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drawings/drawing3.xml" ContentType="application/vnd.openxmlformats-officedocument.drawing+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ctrlProps/ctrlProp13.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01"/>
  <workbookPr codeName="ThisWorkbook" defaultThemeVersion="124226"/>
  <mc:AlternateContent xmlns:mc="http://schemas.openxmlformats.org/markup-compatibility/2006">
    <mc:Choice Requires="x15">
      <x15ac:absPath xmlns:x15ac="http://schemas.microsoft.com/office/spreadsheetml/2010/11/ac" url="C:\Users\Greenwich Township\Documents\Twp Committee\"/>
    </mc:Choice>
  </mc:AlternateContent>
  <xr:revisionPtr revIDLastSave="0" documentId="8_{80EE44B9-206C-4D15-8258-01F3C43A2126}" xr6:coauthVersionLast="46" xr6:coauthVersionMax="46" xr10:uidLastSave="{00000000-0000-0000-0000-000000000000}"/>
  <workbookProtection workbookAlgorithmName="SHA-512" workbookHashValue="59eCE6nkgcf6ovugUBtC8RPxtUsbj+0/rq6dnFlFvjSjEPVTDNdrGCGiOfx8VBVSYBcXmu2ELmA36lhaUdwRUg==" workbookSaltValue="HYLFG7bP2zMRi2WYav3ijw==" workbookSpinCount="100000" lockStructure="1"/>
  <bookViews>
    <workbookView xWindow="-120" yWindow="-120" windowWidth="20730" windowHeight="11160" tabRatio="904" activeTab="10" xr2:uid="{00000000-000D-0000-FFFF-FFFF00000000}"/>
  </bookViews>
  <sheets>
    <sheet name="Instructions" sheetId="202" r:id="rId1"/>
    <sheet name="Key Inputs" sheetId="3" r:id="rId2"/>
    <sheet name="Info" sheetId="97" state="hidden" r:id="rId3"/>
    <sheet name="Revenue Codes" sheetId="197" state="hidden" r:id="rId4"/>
    <sheet name="Appropriation Codes" sheetId="200" state="hidden" r:id="rId5"/>
    <sheet name="Other Codes" sheetId="199" state="hidden" r:id="rId6"/>
    <sheet name="Ranges" sheetId="201" state="hidden" r:id="rId7"/>
    <sheet name="Key Metrics" sheetId="203" state="hidden" r:id="rId8"/>
    <sheet name="Budget Projection Guide" sheetId="206" state="hidden" r:id="rId9"/>
    <sheet name="Budget Projection" sheetId="205" state="hidden" r:id="rId10"/>
    <sheet name="Advertisement" sheetId="51" r:id="rId11"/>
    <sheet name="Summary Data" sheetId="85" r:id="rId12"/>
    <sheet name="Budget Summary" sheetId="47" r:id="rId13"/>
    <sheet name="Tax Summary" sheetId="48" r:id="rId14"/>
    <sheet name="Reserve &amp; Tax Calculation" sheetId="49" r:id="rId15"/>
    <sheet name="Sheet A" sheetId="63" r:id="rId16"/>
    <sheet name="1" sheetId="69" r:id="rId17"/>
    <sheet name="1a" sheetId="68" state="hidden" r:id="rId18"/>
    <sheet name="2" sheetId="67" r:id="rId19"/>
    <sheet name="3" sheetId="66" r:id="rId20"/>
    <sheet name="3a" sheetId="65" r:id="rId21"/>
    <sheet name="App. CAP" sheetId="71" r:id="rId22"/>
    <sheet name="Health Ins." sheetId="92" r:id="rId23"/>
    <sheet name="2% Levy Cap" sheetId="87" r:id="rId24"/>
    <sheet name="3d" sheetId="95" r:id="rId25"/>
    <sheet name="4" sheetId="2" r:id="rId26"/>
    <sheet name="4a" sheetId="13" r:id="rId27"/>
    <sheet name="4b" sheetId="137" r:id="rId28"/>
    <sheet name="4c" sheetId="104" r:id="rId29"/>
    <sheet name="5" sheetId="15" r:id="rId30"/>
    <sheet name="6" sheetId="14" r:id="rId31"/>
    <sheet name="7" sheetId="193" r:id="rId32"/>
    <sheet name="7a" sheetId="194" r:id="rId33"/>
    <sheet name="7b" sheetId="16" r:id="rId34"/>
    <sheet name="8" sheetId="17" r:id="rId35"/>
    <sheet name="9" sheetId="18" r:id="rId36"/>
    <sheet name="9a" sheetId="105" r:id="rId37"/>
    <sheet name="9b" sheetId="106" r:id="rId38"/>
    <sheet name="9c" sheetId="107" r:id="rId39"/>
    <sheet name="9d" sheetId="138" r:id="rId40"/>
    <sheet name="9e" sheetId="139" r:id="rId41"/>
    <sheet name="9f" sheetId="140" r:id="rId42"/>
    <sheet name="9g" sheetId="141" r:id="rId43"/>
    <sheet name="9h" sheetId="142" r:id="rId44"/>
    <sheet name="9 TOTAL" sheetId="19" r:id="rId45"/>
    <sheet name="10" sheetId="20" r:id="rId46"/>
    <sheet name="10a" sheetId="108" r:id="rId47"/>
    <sheet name="10b" sheetId="109" r:id="rId48"/>
    <sheet name="10c" sheetId="110" r:id="rId49"/>
    <sheet name="10d" sheetId="111" r:id="rId50"/>
    <sheet name="10e" sheetId="112" r:id="rId51"/>
    <sheet name="10f" sheetId="113" r:id="rId52"/>
    <sheet name="10g" sheetId="114" r:id="rId53"/>
    <sheet name="10h" sheetId="115" r:id="rId54"/>
    <sheet name="10i" sheetId="116" r:id="rId55"/>
    <sheet name="10j" sheetId="117" r:id="rId56"/>
    <sheet name="10k" sheetId="143" r:id="rId57"/>
    <sheet name="10l" sheetId="144" r:id="rId58"/>
    <sheet name="10m" sheetId="145" r:id="rId59"/>
    <sheet name="10 TOTAL" sheetId="21" r:id="rId60"/>
    <sheet name="11" sheetId="22" r:id="rId61"/>
    <sheet name="12" sheetId="1" r:id="rId62"/>
    <sheet name="13" sheetId="4" r:id="rId63"/>
    <sheet name="14" sheetId="5" r:id="rId64"/>
    <sheet name="15" sheetId="75" r:id="rId65"/>
    <sheet name="15a" sheetId="7" r:id="rId66"/>
    <sheet name="15b" sheetId="8" r:id="rId67"/>
    <sheet name="15c" sheetId="9" r:id="rId68"/>
    <sheet name="15d" sheetId="10" r:id="rId69"/>
    <sheet name="15e" sheetId="11" r:id="rId70"/>
    <sheet name="15f" sheetId="12" r:id="rId71"/>
    <sheet name="15g" sheetId="118" r:id="rId72"/>
    <sheet name="15h" sheetId="119" r:id="rId73"/>
    <sheet name="15i" sheetId="146" r:id="rId74"/>
    <sheet name="15j" sheetId="147" r:id="rId75"/>
    <sheet name="15k" sheetId="148" r:id="rId76"/>
    <sheet name="15l" sheetId="149" r:id="rId77"/>
    <sheet name="15m" sheetId="150" r:id="rId78"/>
    <sheet name="15n" sheetId="120" r:id="rId79"/>
    <sheet name="16" sheetId="23" r:id="rId80"/>
    <sheet name="16a" sheetId="198" r:id="rId81"/>
    <sheet name="17" sheetId="132" r:id="rId82"/>
    <sheet name="17a" sheetId="24" r:id="rId83"/>
    <sheet name="18" sheetId="25" r:id="rId84"/>
    <sheet name="18a" sheetId="151" r:id="rId85"/>
    <sheet name="19" sheetId="26" r:id="rId86"/>
    <sheet name="20" sheetId="27" r:id="rId87"/>
    <sheet name="20a" sheetId="28" r:id="rId88"/>
    <sheet name="21" sheetId="29" r:id="rId89"/>
    <sheet name="22" sheetId="195" r:id="rId90"/>
    <sheet name="22a" sheetId="196" r:id="rId91"/>
    <sheet name="22b" sheetId="30" r:id="rId92"/>
    <sheet name="23" sheetId="31" r:id="rId93"/>
    <sheet name="24" sheetId="32" r:id="rId94"/>
    <sheet name="24a" sheetId="33" r:id="rId95"/>
    <sheet name="24b" sheetId="121" r:id="rId96"/>
    <sheet name="24c" sheetId="122" r:id="rId97"/>
    <sheet name="24d" sheetId="152" r:id="rId98"/>
    <sheet name="24e" sheetId="153" r:id="rId99"/>
    <sheet name="24f" sheetId="154" r:id="rId100"/>
    <sheet name="24g" sheetId="155" r:id="rId101"/>
    <sheet name="24h" sheetId="156" r:id="rId102"/>
    <sheet name="24i" sheetId="157" r:id="rId103"/>
    <sheet name="25" sheetId="34" r:id="rId104"/>
    <sheet name="26" sheetId="35" r:id="rId105"/>
    <sheet name="26a" sheetId="36" r:id="rId106"/>
    <sheet name="27" sheetId="134" r:id="rId107"/>
    <sheet name="27a" sheetId="37" r:id="rId108"/>
    <sheet name="28" sheetId="38" r:id="rId109"/>
    <sheet name="29" sheetId="39" r:id="rId110"/>
    <sheet name="30" sheetId="40" r:id="rId111"/>
    <sheet name="31-Utility1" sheetId="41" r:id="rId112"/>
    <sheet name="32-Utility1" sheetId="160" r:id="rId113"/>
    <sheet name="32a-Utility1" sheetId="159" r:id="rId114"/>
    <sheet name="32b-Utility1" sheetId="42" r:id="rId115"/>
    <sheet name="33-Utility1" sheetId="43" r:id="rId116"/>
    <sheet name="31-Utility2" sheetId="98" r:id="rId117"/>
    <sheet name="32-Utility2" sheetId="162" r:id="rId118"/>
    <sheet name="32a-Utility2" sheetId="161" r:id="rId119"/>
    <sheet name="32b-Utility2" sheetId="99" r:id="rId120"/>
    <sheet name="33-Utility2" sheetId="100" r:id="rId121"/>
    <sheet name="31-Utility3" sheetId="101" r:id="rId122"/>
    <sheet name="32-Utility3" sheetId="164" r:id="rId123"/>
    <sheet name="32a-Utility3" sheetId="163" r:id="rId124"/>
    <sheet name="32b-Utility3" sheetId="102" r:id="rId125"/>
    <sheet name="33-Utility3" sheetId="103" r:id="rId126"/>
    <sheet name="31-Utility4" sheetId="123" r:id="rId127"/>
    <sheet name="32-Utility4" sheetId="166" r:id="rId128"/>
    <sheet name="32a-Utility4" sheetId="165" r:id="rId129"/>
    <sheet name="32b-Utility4" sheetId="124" r:id="rId130"/>
    <sheet name="33-Utility4" sheetId="125" r:id="rId131"/>
    <sheet name="31-Utility5" sheetId="126" r:id="rId132"/>
    <sheet name="32-Utility5" sheetId="168" r:id="rId133"/>
    <sheet name="32a-Utility5" sheetId="167" r:id="rId134"/>
    <sheet name="32b-Utility5" sheetId="127" r:id="rId135"/>
    <sheet name="33-Utility5" sheetId="128" r:id="rId136"/>
    <sheet name="31-Utility6" sheetId="129" r:id="rId137"/>
    <sheet name="32-Utility6" sheetId="170" r:id="rId138"/>
    <sheet name="32a-Utility6" sheetId="169" r:id="rId139"/>
    <sheet name="32b-Utility6" sheetId="130" r:id="rId140"/>
    <sheet name="33-Utility6" sheetId="131" r:id="rId141"/>
    <sheet name="37" sheetId="52" r:id="rId142"/>
    <sheet name="38" sheetId="53" r:id="rId143"/>
    <sheet name="39" sheetId="54" r:id="rId144"/>
    <sheet name="40" sheetId="55" r:id="rId145"/>
    <sheet name="40a" sheetId="56" r:id="rId146"/>
    <sheet name="40b" sheetId="135" r:id="rId147"/>
    <sheet name="40b1" sheetId="57" r:id="rId148"/>
    <sheet name="40b2" sheetId="171" r:id="rId149"/>
    <sheet name="40b3" sheetId="172" r:id="rId150"/>
    <sheet name="40b4" sheetId="173" r:id="rId151"/>
    <sheet name="40b5" sheetId="174" r:id="rId152"/>
    <sheet name="40b6" sheetId="175" r:id="rId153"/>
    <sheet name="40b7" sheetId="176" r:id="rId154"/>
    <sheet name="40b Totals" sheetId="177" r:id="rId155"/>
    <sheet name="40c" sheetId="136" r:id="rId156"/>
    <sheet name="40c1" sheetId="58" r:id="rId157"/>
    <sheet name="40c2" sheetId="178" r:id="rId158"/>
    <sheet name="40c3" sheetId="179" r:id="rId159"/>
    <sheet name="40c4" sheetId="180" r:id="rId160"/>
    <sheet name="40c5" sheetId="181" r:id="rId161"/>
    <sheet name="40c6" sheetId="182" r:id="rId162"/>
    <sheet name="40c7" sheetId="183" r:id="rId163"/>
    <sheet name="40c Totals" sheetId="184" r:id="rId164"/>
    <sheet name="40d" sheetId="158" r:id="rId165"/>
    <sheet name="40d1" sheetId="185" r:id="rId166"/>
    <sheet name="40d2" sheetId="186" r:id="rId167"/>
    <sheet name="40d3" sheetId="187" r:id="rId168"/>
    <sheet name="40d4" sheetId="188" r:id="rId169"/>
    <sheet name="40d5" sheetId="189" r:id="rId170"/>
    <sheet name="40d6" sheetId="190" r:id="rId171"/>
    <sheet name="40d7" sheetId="191" r:id="rId172"/>
    <sheet name="40d Totals" sheetId="192" r:id="rId173"/>
    <sheet name="41" sheetId="60" r:id="rId174"/>
    <sheet name="42" sheetId="61" r:id="rId175"/>
    <sheet name="43" sheetId="77" r:id="rId176"/>
    <sheet name="44" sheetId="208" r:id="rId177"/>
    <sheet name="UEZ" sheetId="209" state="hidden" r:id="rId178"/>
    <sheet name="45" sheetId="76" r:id="rId179"/>
  </sheets>
  <externalReferences>
    <externalReference r:id="rId180"/>
    <externalReference r:id="rId181"/>
    <externalReference r:id="rId182"/>
    <externalReference r:id="rId183"/>
    <externalReference r:id="rId184"/>
  </externalReferences>
  <definedNames>
    <definedName name="_15G" localSheetId="23">#REF!</definedName>
    <definedName name="_15G" localSheetId="9">#REF!</definedName>
    <definedName name="_15G">#REF!</definedName>
    <definedName name="_3C" localSheetId="23">#REF!</definedName>
    <definedName name="_3C">#REF!</definedName>
    <definedName name="_xlnm._FilterDatabase" localSheetId="9" hidden="1">'Budget Projection'!$A$503:$J$1173</definedName>
    <definedName name="_Order1" hidden="1">255</definedName>
    <definedName name="Expenditures">'Budget Projection'!$A$225</definedName>
    <definedName name="LIExpenditures">'Budget Projection'!$A$503</definedName>
    <definedName name="MCode" localSheetId="9">'[1]Instructions-Data Entry'!#REF!</definedName>
    <definedName name="MCode">'[1]Instructions-Data Entry'!#REF!</definedName>
    <definedName name="Method">'Budget Projection'!$I$3</definedName>
    <definedName name="Muni_Code">[2]Tables!$A$2:$A$589</definedName>
    <definedName name="Muni_County">[2]Tables!$D$2:$D$589</definedName>
    <definedName name="OUT_S_F_ADJ" localSheetId="175">'[3]24:25'!$L$13:$L$25</definedName>
    <definedName name="OUT_S_F_ADJ" localSheetId="176">'[3]24:25'!$L$13:$L$25</definedName>
    <definedName name="OUT_S_F_ADJ" localSheetId="178">'[4]24:25'!$L$13:$L$25</definedName>
    <definedName name="OUT_S_F_ADJ" localSheetId="177">'[3]24:25'!$L$13:$L$25</definedName>
    <definedName name="OUT_S_F_ADJ">'[5]24:25'!$L$13:$L$25</definedName>
    <definedName name="OUT_S_F_BUD" localSheetId="175">'[3]24:25'!$F$13:$F$25</definedName>
    <definedName name="OUT_S_F_BUD" localSheetId="176">'[3]24:25'!$F$13:$F$25</definedName>
    <definedName name="OUT_S_F_BUD" localSheetId="178">'[4]24:25'!$F$13:$F$25</definedName>
    <definedName name="OUT_S_F_BUD" localSheetId="177">'[3]24:25'!$F$13:$F$25</definedName>
    <definedName name="OUT_S_F_BUD">'[5]24:25'!$F$13:$F$25</definedName>
    <definedName name="OUT_S_F_CASH_" localSheetId="175">'[3]24:25'!$N$13:$N$25</definedName>
    <definedName name="OUT_S_F_CASH_" localSheetId="176">'[3]24:25'!$N$13:$N$25</definedName>
    <definedName name="OUT_S_F_CASH_" localSheetId="178">'[4]24:25'!$N$13:$N$25</definedName>
    <definedName name="OUT_S_F_CASH_" localSheetId="177">'[3]24:25'!$N$13:$N$25</definedName>
    <definedName name="OUT_S_F_CASH_">'[5]24:25'!$N$13:$N$25</definedName>
    <definedName name="OUT_S_F_CUR" localSheetId="175">'[3]24:25'!$H$13:$H$25</definedName>
    <definedName name="OUT_S_F_CUR" localSheetId="176">'[3]24:25'!$H$13:$H$25</definedName>
    <definedName name="OUT_S_F_CUR" localSheetId="178">'[4]24:25'!$H$13:$H$25</definedName>
    <definedName name="OUT_S_F_CUR" localSheetId="177">'[3]24:25'!$H$13:$H$25</definedName>
    <definedName name="OUT_S_F_CUR">'[5]24:25'!$H$13:$H$25</definedName>
    <definedName name="OUT_S_F_EMER" localSheetId="175">'[3]24:25'!$J$13:$J$25</definedName>
    <definedName name="OUT_S_F_EMER" localSheetId="176">'[3]24:25'!$J$13:$J$25</definedName>
    <definedName name="OUT_S_F_EMER" localSheetId="178">'[4]24:25'!$J$13:$J$25</definedName>
    <definedName name="OUT_S_F_EMER" localSheetId="177">'[3]24:25'!$J$13:$J$25</definedName>
    <definedName name="OUT_S_F_EMER">'[5]24:25'!$J$13:$J$25</definedName>
    <definedName name="OUT_S_F_RES" localSheetId="175">'[3]24:25'!$P$13:$P$25</definedName>
    <definedName name="OUT_S_F_RES" localSheetId="176">'[3]24:25'!$P$13:$P$25</definedName>
    <definedName name="OUT_S_F_RES" localSheetId="178">'[4]24:25'!$P$13:$P$25</definedName>
    <definedName name="OUT_S_F_RES" localSheetId="177">'[3]24:25'!$P$13:$P$25</definedName>
    <definedName name="OUT_S_F_RES">'[5]24:25'!$P$13:$P$25</definedName>
    <definedName name="_xlnm.Print_Area" localSheetId="16">'1'!$A$1:$U$44</definedName>
    <definedName name="_xlnm.Print_Area" localSheetId="45">'10'!$A$1:$K$27</definedName>
    <definedName name="_xlnm.Print_Area" localSheetId="59">'10 TOTAL'!$A$1:$K$27</definedName>
    <definedName name="_xlnm.Print_Area" localSheetId="46">'10a'!$A$1:$K$27</definedName>
    <definedName name="_xlnm.Print_Area" localSheetId="47">'10b'!$A$1:$K$27</definedName>
    <definedName name="_xlnm.Print_Area" localSheetId="48">'10c'!$A$1:$K$27</definedName>
    <definedName name="_xlnm.Print_Area" localSheetId="49">'10d'!$A$1:$K$27</definedName>
    <definedName name="_xlnm.Print_Area" localSheetId="50">'10e'!$A$1:$K$27</definedName>
    <definedName name="_xlnm.Print_Area" localSheetId="51">'10f'!$A$1:$K$27</definedName>
    <definedName name="_xlnm.Print_Area" localSheetId="52">'10g'!$A$1:$K$27</definedName>
    <definedName name="_xlnm.Print_Area" localSheetId="53">'10h'!$A$1:$K$27</definedName>
    <definedName name="_xlnm.Print_Area" localSheetId="54">'10i'!$A$1:$K$27</definedName>
    <definedName name="_xlnm.Print_Area" localSheetId="55">'10j'!$A$1:$K$27</definedName>
    <definedName name="_xlnm.Print_Area" localSheetId="56">'10k'!$A$1:$K$27</definedName>
    <definedName name="_xlnm.Print_Area" localSheetId="57">'10l'!$A$1:$K$27</definedName>
    <definedName name="_xlnm.Print_Area" localSheetId="58">'10m'!$A$1:$K$27</definedName>
    <definedName name="_xlnm.Print_Area" localSheetId="60">'11'!$A$1:$K$27</definedName>
    <definedName name="_xlnm.Print_Area" localSheetId="61">'12'!$A$1:$O$27</definedName>
    <definedName name="_xlnm.Print_Area" localSheetId="62">'13'!$A$1:$O$27</definedName>
    <definedName name="_xlnm.Print_Area" localSheetId="63">'14'!$A$1:$O$27</definedName>
    <definedName name="_xlnm.Print_Area" localSheetId="64">'15'!$A$1:$O$27</definedName>
    <definedName name="_xlnm.Print_Area" localSheetId="65">'15a'!$A$1:$O$27</definedName>
    <definedName name="_xlnm.Print_Area" localSheetId="66">'15b'!$A$1:$O$27</definedName>
    <definedName name="_xlnm.Print_Area" localSheetId="67">'15c'!$A$1:$O$27</definedName>
    <definedName name="_xlnm.Print_Area" localSheetId="68">'15d'!$A$1:$O$27</definedName>
    <definedName name="_xlnm.Print_Area" localSheetId="69">'15e'!$A$1:$O$27</definedName>
    <definedName name="_xlnm.Print_Area" localSheetId="70">'15f'!$A$1:$O$27</definedName>
    <definedName name="_xlnm.Print_Area" localSheetId="71">'15g'!$A$1:$O$27</definedName>
    <definedName name="_xlnm.Print_Area" localSheetId="72">'15h'!$A$1:$O$27</definedName>
    <definedName name="_xlnm.Print_Area" localSheetId="73">'15i'!$A$1:$O$27</definedName>
    <definedName name="_xlnm.Print_Area" localSheetId="74">'15j'!$A$1:$O$27</definedName>
    <definedName name="_xlnm.Print_Area" localSheetId="75">'15k'!$A$1:$O$27</definedName>
    <definedName name="_xlnm.Print_Area" localSheetId="76">'15l'!$A$1:$O$27</definedName>
    <definedName name="_xlnm.Print_Area" localSheetId="77">'15m'!$A$1:$O$27</definedName>
    <definedName name="_xlnm.Print_Area" localSheetId="78">'15n'!$A$1:$O$27</definedName>
    <definedName name="_xlnm.Print_Area" localSheetId="79">'16'!$A$1:$O$27</definedName>
    <definedName name="_xlnm.Print_Area" localSheetId="80">'16a'!$A$1:$O$27</definedName>
    <definedName name="_xlnm.Print_Area" localSheetId="81">'17'!$A$1:$O$27</definedName>
    <definedName name="_xlnm.Print_Area" localSheetId="82">'17a'!$A$1:$O$27</definedName>
    <definedName name="_xlnm.Print_Area" localSheetId="83">'18'!$A$1:$O$27</definedName>
    <definedName name="_xlnm.Print_Area" localSheetId="84">'18a'!$A$1:$O$27</definedName>
    <definedName name="_xlnm.Print_Area" localSheetId="85">'19'!$A$1:$O$26</definedName>
    <definedName name="_xlnm.Print_Area" localSheetId="17">'1a'!$A$1:$Q$43</definedName>
    <definedName name="_xlnm.Print_Area" localSheetId="23">'2% Levy Cap'!$A$1:$U$39</definedName>
    <definedName name="_xlnm.Print_Area" localSheetId="86">'20'!$A$1:$O$27</definedName>
    <definedName name="_xlnm.Print_Area" localSheetId="87">'20a'!$A$1:$O$27</definedName>
    <definedName name="_xlnm.Print_Area" localSheetId="88">'21'!$A$1:$O$27</definedName>
    <definedName name="_xlnm.Print_Area" localSheetId="89">'22'!$A$1:$O$27</definedName>
    <definedName name="_xlnm.Print_Area" localSheetId="90">'22a'!$A$1:$O$27</definedName>
    <definedName name="_xlnm.Print_Area" localSheetId="91">'22b'!$A$1:$O$27</definedName>
    <definedName name="_xlnm.Print_Area" localSheetId="92">'23'!$A$1:$O$27</definedName>
    <definedName name="_xlnm.Print_Area" localSheetId="93">'24'!$A$1:$O$25</definedName>
    <definedName name="_xlnm.Print_Area" localSheetId="94">'24a'!$A$1:$O$25</definedName>
    <definedName name="_xlnm.Print_Area" localSheetId="95">'24b'!$A$1:$O$25</definedName>
    <definedName name="_xlnm.Print_Area" localSheetId="96">'24c'!$A$1:$O$25</definedName>
    <definedName name="_xlnm.Print_Area" localSheetId="97">'24d'!$A$1:$O$25</definedName>
    <definedName name="_xlnm.Print_Area" localSheetId="98">'24e'!$A$1:$O$25</definedName>
    <definedName name="_xlnm.Print_Area" localSheetId="99">'24f'!$A$1:$O$25</definedName>
    <definedName name="_xlnm.Print_Area" localSheetId="100">'24g'!$A$1:$O$25</definedName>
    <definedName name="_xlnm.Print_Area" localSheetId="101">'24h'!$A$1:$O$25</definedName>
    <definedName name="_xlnm.Print_Area" localSheetId="102">'24i'!$A$1:$O$25</definedName>
    <definedName name="_xlnm.Print_Area" localSheetId="103">'25'!$A$1:$O$27</definedName>
    <definedName name="_xlnm.Print_Area" localSheetId="104">'26'!$A$1:$O$27</definedName>
    <definedName name="_xlnm.Print_Area" localSheetId="105">'26a'!$A$1:$O$27</definedName>
    <definedName name="_xlnm.Print_Area" localSheetId="106">'27'!$A$1:$O$27</definedName>
    <definedName name="_xlnm.Print_Area" localSheetId="107">'27a'!$A$1:$O$27</definedName>
    <definedName name="_xlnm.Print_Area" localSheetId="108">'28'!$A$1:$O$26</definedName>
    <definedName name="_xlnm.Print_Area" localSheetId="109">'29'!$A$1:$O$26</definedName>
    <definedName name="_xlnm.Print_Area" localSheetId="19">'3'!$A$1:$R$27</definedName>
    <definedName name="_xlnm.Print_Area" localSheetId="110">'30'!$A$1:$O$25</definedName>
    <definedName name="_xlnm.Print_Area" localSheetId="111">'31-Utility1'!$A$1:$N$27</definedName>
    <definedName name="_xlnm.Print_Area" localSheetId="116">'31-Utility2'!$A$1:$N$27</definedName>
    <definedName name="_xlnm.Print_Area" localSheetId="121">'31-Utility3'!$A$1:$N$27</definedName>
    <definedName name="_xlnm.Print_Area" localSheetId="126">'31-Utility4'!$A$1:$N$27</definedName>
    <definedName name="_xlnm.Print_Area" localSheetId="131">'31-Utility5'!$A$1:$N$27</definedName>
    <definedName name="_xlnm.Print_Area" localSheetId="136">'31-Utility6'!$A$1:$N$27</definedName>
    <definedName name="_xlnm.Print_Area" localSheetId="113">'32a-Utility1'!$A$1:$M$27</definedName>
    <definedName name="_xlnm.Print_Area" localSheetId="118">'32a-Utility2'!$A$1:$M$27</definedName>
    <definedName name="_xlnm.Print_Area" localSheetId="123">'32a-Utility3'!$A$1:$M$27</definedName>
    <definedName name="_xlnm.Print_Area" localSheetId="128">'32a-Utility4'!$A$1:$M$27</definedName>
    <definedName name="_xlnm.Print_Area" localSheetId="133">'32a-Utility5'!$A$1:$M$27</definedName>
    <definedName name="_xlnm.Print_Area" localSheetId="138">'32a-Utility6'!$A$1:$M$27</definedName>
    <definedName name="_xlnm.Print_Area" localSheetId="114">'32b-Utility1'!$A$1:$M$27</definedName>
    <definedName name="_xlnm.Print_Area" localSheetId="119">'32b-Utility2'!$A$1:$M$27</definedName>
    <definedName name="_xlnm.Print_Area" localSheetId="124">'32b-Utility3'!$A$1:$M$27</definedName>
    <definedName name="_xlnm.Print_Area" localSheetId="129">'32b-Utility4'!$A$1:$M$27</definedName>
    <definedName name="_xlnm.Print_Area" localSheetId="134">'32b-Utility5'!$A$1:$M$27</definedName>
    <definedName name="_xlnm.Print_Area" localSheetId="139">'32b-Utility6'!$A$1:$M$27</definedName>
    <definedName name="_xlnm.Print_Area" localSheetId="112">'32-Utility1'!$A$1:$M$27</definedName>
    <definedName name="_xlnm.Print_Area" localSheetId="117">'32-Utility2'!$A$1:$M$27</definedName>
    <definedName name="_xlnm.Print_Area" localSheetId="122">'32-Utility3'!$A$1:$M$27</definedName>
    <definedName name="_xlnm.Print_Area" localSheetId="127">'32-Utility4'!$A$1:$M$27</definedName>
    <definedName name="_xlnm.Print_Area" localSheetId="132">'32-Utility5'!$A$1:$M$27</definedName>
    <definedName name="_xlnm.Print_Area" localSheetId="137">'32-Utility6'!$A$1:$M$27</definedName>
    <definedName name="_xlnm.Print_Area" localSheetId="115">'33-Utility1'!$A$1:$M$26</definedName>
    <definedName name="_xlnm.Print_Area" localSheetId="120">'33-Utility2'!$A$1:$M$26</definedName>
    <definedName name="_xlnm.Print_Area" localSheetId="125">'33-Utility3'!$A$1:$M$26</definedName>
    <definedName name="_xlnm.Print_Area" localSheetId="130">'33-Utility4'!$A$1:$M$26</definedName>
    <definedName name="_xlnm.Print_Area" localSheetId="135">'33-Utility5'!$A$1:$M$26</definedName>
    <definedName name="_xlnm.Print_Area" localSheetId="140">'33-Utility6'!$A$1:$M$26</definedName>
    <definedName name="_xlnm.Print_Area" localSheetId="141">'37'!$A$1:$O$31</definedName>
    <definedName name="_xlnm.Print_Area" localSheetId="142">'38'!$A$1:$L$36</definedName>
    <definedName name="_xlnm.Print_Area" localSheetId="143">'39'!$A$1:$M$31</definedName>
    <definedName name="_xlnm.Print_Area" localSheetId="20">'3a'!$A$1:$N$29</definedName>
    <definedName name="_xlnm.Print_Area" localSheetId="24">'3d'!$A$1:$U$38</definedName>
    <definedName name="_xlnm.Print_Area" localSheetId="25">'4'!$A$1:$K$26</definedName>
    <definedName name="_xlnm.Print_Area" localSheetId="144">'40'!$A$1:$M$39</definedName>
    <definedName name="_xlnm.Print_Area" localSheetId="145">'40a'!$A$1:$M$42</definedName>
    <definedName name="_xlnm.Print_Area" localSheetId="146">'40b'!$A$1:$K$31</definedName>
    <definedName name="_xlnm.Print_Area" localSheetId="154">'40b Totals'!$A$1:$K$31</definedName>
    <definedName name="_xlnm.Print_Area" localSheetId="147">'40b1'!$A$1:$K$31</definedName>
    <definedName name="_xlnm.Print_Area" localSheetId="148">'40b2'!$A$1:$K$31</definedName>
    <definedName name="_xlnm.Print_Area" localSheetId="149">'40b3'!$A$1:$K$31</definedName>
    <definedName name="_xlnm.Print_Area" localSheetId="150">'40b4'!$A$1:$K$31</definedName>
    <definedName name="_xlnm.Print_Area" localSheetId="151">'40b5'!$A$1:$K$31</definedName>
    <definedName name="_xlnm.Print_Area" localSheetId="152">'40b6'!$A$1:$K$31</definedName>
    <definedName name="_xlnm.Print_Area" localSheetId="153">'40b7'!$A$1:$K$31</definedName>
    <definedName name="_xlnm.Print_Area" localSheetId="155">'40c'!$A$1:$K$31</definedName>
    <definedName name="_xlnm.Print_Area" localSheetId="163">'40c Totals'!$A$1:$K$31</definedName>
    <definedName name="_xlnm.Print_Area" localSheetId="156">'40c1'!$A$1:$K$31</definedName>
    <definedName name="_xlnm.Print_Area" localSheetId="157">'40c2'!$A$1:$K$31</definedName>
    <definedName name="_xlnm.Print_Area" localSheetId="158">'40c3'!$A$1:$K$31</definedName>
    <definedName name="_xlnm.Print_Area" localSheetId="159">'40c4'!$A$1:$K$31</definedName>
    <definedName name="_xlnm.Print_Area" localSheetId="160">'40c5'!$A$1:$K$31</definedName>
    <definedName name="_xlnm.Print_Area" localSheetId="161">'40c6'!$A$1:$K$31</definedName>
    <definedName name="_xlnm.Print_Area" localSheetId="162">'40c7'!$A$1:$K$31</definedName>
    <definedName name="_xlnm.Print_Area" localSheetId="164">'40d'!$A$1:$L$31</definedName>
    <definedName name="_xlnm.Print_Area" localSheetId="172">'40d Totals'!$A$1:$L$31</definedName>
    <definedName name="_xlnm.Print_Area" localSheetId="165">'40d1'!$A$1:$L$31</definedName>
    <definedName name="_xlnm.Print_Area" localSheetId="166">'40d2'!$A$1:$L$31</definedName>
    <definedName name="_xlnm.Print_Area" localSheetId="167">'40d3'!$A$1:$L$31</definedName>
    <definedName name="_xlnm.Print_Area" localSheetId="168">'40d4'!$A$1:$L$31</definedName>
    <definedName name="_xlnm.Print_Area" localSheetId="169">'40d5'!$A$1:$L$31</definedName>
    <definedName name="_xlnm.Print_Area" localSheetId="170">'40d6'!$A$1:$L$31</definedName>
    <definedName name="_xlnm.Print_Area" localSheetId="171">'40d7'!$A$1:$L$31</definedName>
    <definedName name="_xlnm.Print_Area" localSheetId="173">'41'!$A$1:$R$42</definedName>
    <definedName name="_xlnm.Print_Area" localSheetId="175">'43'!$A$1:$R$35</definedName>
    <definedName name="_xlnm.Print_Area" localSheetId="176">'44'!$A$1:$R$35</definedName>
    <definedName name="_xlnm.Print_Area" localSheetId="178">'45'!$A$1:$Q$40</definedName>
    <definedName name="_xlnm.Print_Area" localSheetId="26">'4a'!$A$1:$K$27</definedName>
    <definedName name="_xlnm.Print_Area" localSheetId="27">'4b'!$A$1:$K$27</definedName>
    <definedName name="_xlnm.Print_Area" localSheetId="28">'4c'!$A$1:$K$27</definedName>
    <definedName name="_xlnm.Print_Area" localSheetId="29">'5'!$A$1:$K$27</definedName>
    <definedName name="_xlnm.Print_Area" localSheetId="30">'6'!$A$1:$K$29</definedName>
    <definedName name="_xlnm.Print_Area" localSheetId="31">'7'!$A$1:$K$27</definedName>
    <definedName name="_xlnm.Print_Area" localSheetId="32">'7a'!$A$1:$K$27</definedName>
    <definedName name="_xlnm.Print_Area" localSheetId="33">'7b'!$A$1:$K$27</definedName>
    <definedName name="_xlnm.Print_Area" localSheetId="34">'8'!$A$1:$K$27</definedName>
    <definedName name="_xlnm.Print_Area" localSheetId="35">'9'!$A$1:$K$27</definedName>
    <definedName name="_xlnm.Print_Area" localSheetId="44">'9 TOTAL'!$A$1:$K$27</definedName>
    <definedName name="_xlnm.Print_Area" localSheetId="36">'9a'!$A$1:$K$27</definedName>
    <definedName name="_xlnm.Print_Area" localSheetId="37">'9b'!$A$1:$K$27</definedName>
    <definedName name="_xlnm.Print_Area" localSheetId="38">'9c'!$A$1:$K$27</definedName>
    <definedName name="_xlnm.Print_Area" localSheetId="39">'9d'!$A$1:$K$27</definedName>
    <definedName name="_xlnm.Print_Area" localSheetId="40">'9e'!$A$1:$K$27</definedName>
    <definedName name="_xlnm.Print_Area" localSheetId="41">'9f'!$A$1:$K$27</definedName>
    <definedName name="_xlnm.Print_Area" localSheetId="42">'9g'!$A$1:$K$27</definedName>
    <definedName name="_xlnm.Print_Area" localSheetId="43">'9h'!$A$1:$K$27</definedName>
    <definedName name="_xlnm.Print_Area" localSheetId="10">Advertisement!$A$1:$P$171</definedName>
    <definedName name="_xlnm.Print_Area" localSheetId="21">'App. CAP'!$A$1:$U$43</definedName>
    <definedName name="_xlnm.Print_Area" localSheetId="9">'Budget Projection'!$A$1:$J$81</definedName>
    <definedName name="_xlnm.Print_Area" localSheetId="12">'Budget Summary'!$B$1:$T$37</definedName>
    <definedName name="_xlnm.Print_Area" localSheetId="22">'Health Ins.'!$A$1:$U$38</definedName>
    <definedName name="_xlnm.Print_Area" localSheetId="0">Instructions!$A$1:$B$16</definedName>
    <definedName name="_xlnm.Print_Area" localSheetId="1">'Key Inputs'!$C$2:$H$48</definedName>
    <definedName name="_xlnm.Print_Area" localSheetId="14">'Reserve &amp; Tax Calculation'!$B$1:$G$52</definedName>
    <definedName name="_xlnm.Print_Area" localSheetId="15">'Sheet A'!$A$1:$O$36</definedName>
    <definedName name="_xlnm.Print_Area" localSheetId="11">'Summary Data'!$B$2:$O$70</definedName>
    <definedName name="_xlnm.Print_Area" localSheetId="13">'Tax Summary'!$B$2:$T$40</definedName>
    <definedName name="_xlnm.Print_Area" localSheetId="177">UEZ!$A$1:$R$35</definedName>
    <definedName name="PWADJ" localSheetId="23">#REF!</definedName>
    <definedName name="PWADJ" localSheetId="9">#REF!</definedName>
    <definedName name="PWADJ">#REF!</definedName>
    <definedName name="PWCASH" localSheetId="23">#REF!</definedName>
    <definedName name="PWCASH">#REF!</definedName>
    <definedName name="PWCURR" localSheetId="23">#REF!</definedName>
    <definedName name="PWCURR">#REF!</definedName>
    <definedName name="PWRES" localSheetId="23">#REF!</definedName>
    <definedName name="PWRES">#REF!</definedName>
    <definedName name="Revenues">'Budget Projection'!$A$84</definedName>
    <definedName name="SeventeenA" localSheetId="9">Ranges!$A$2:$A$21</definedName>
    <definedName name="SeventeenA">Ranges!$A$2:$A$21</definedName>
    <definedName name="State_Wide_Average">'[1]Health Care Calc Worksheet'!$C$4</definedName>
    <definedName name="Summary">'Budget Projection'!$A$14</definedName>
    <definedName name="Twenty_Five" localSheetId="9">Ranges!$B$2:$B$18</definedName>
    <definedName name="Twenty_Five">Ranges!$B$2:$B$18</definedName>
  </definedNames>
  <calcPr calcId="181029"/>
</workbook>
</file>

<file path=xl/calcChain.xml><?xml version="1.0" encoding="utf-8"?>
<calcChain xmlns="http://schemas.openxmlformats.org/spreadsheetml/2006/main">
  <c r="H18" i="158" l="1"/>
  <c r="F18" i="158"/>
  <c r="F21" i="136"/>
  <c r="E23" i="158"/>
  <c r="F26" i="158"/>
  <c r="E26" i="158"/>
  <c r="B28" i="171" l="1"/>
  <c r="B27" i="171"/>
  <c r="B25" i="171"/>
  <c r="B23" i="171"/>
  <c r="B21" i="171"/>
  <c r="B20" i="171"/>
  <c r="B18" i="171"/>
  <c r="B17" i="171"/>
  <c r="B15" i="171"/>
  <c r="B14" i="171"/>
  <c r="B12" i="171"/>
  <c r="E32" i="49" l="1"/>
  <c r="D28" i="49"/>
  <c r="E38" i="49"/>
  <c r="H35" i="48"/>
  <c r="E35" i="48"/>
  <c r="G15" i="47"/>
  <c r="E15" i="47"/>
  <c r="R31" i="208" l="1"/>
  <c r="R29" i="208"/>
  <c r="R27" i="208"/>
  <c r="R25" i="208"/>
  <c r="R23" i="208"/>
  <c r="Q33" i="209" l="1"/>
  <c r="P33" i="209"/>
  <c r="O33" i="209"/>
  <c r="R32" i="209"/>
  <c r="R22" i="209"/>
  <c r="R21" i="209"/>
  <c r="K21" i="209"/>
  <c r="J21" i="209"/>
  <c r="I21" i="209"/>
  <c r="R20" i="209"/>
  <c r="R19" i="209"/>
  <c r="R18" i="209"/>
  <c r="R17" i="209"/>
  <c r="R16" i="209"/>
  <c r="R15" i="209"/>
  <c r="R14" i="209"/>
  <c r="R13" i="209"/>
  <c r="R12" i="209"/>
  <c r="R11" i="209"/>
  <c r="R10" i="209"/>
  <c r="R9" i="209"/>
  <c r="I6" i="209"/>
  <c r="J6" i="209" s="1"/>
  <c r="R33" i="209" l="1"/>
  <c r="K6" i="209"/>
  <c r="Q4" i="209"/>
  <c r="P6" i="209"/>
  <c r="O6" i="209"/>
  <c r="R10" i="208"/>
  <c r="R11" i="208"/>
  <c r="R12" i="208"/>
  <c r="R13" i="208"/>
  <c r="R14" i="208"/>
  <c r="R15" i="208"/>
  <c r="R16" i="208"/>
  <c r="R17" i="208"/>
  <c r="R18" i="208"/>
  <c r="R19" i="208"/>
  <c r="R20" i="208"/>
  <c r="R21" i="208"/>
  <c r="R22" i="208"/>
  <c r="P33" i="208"/>
  <c r="O33" i="208"/>
  <c r="I21" i="208"/>
  <c r="J21" i="208"/>
  <c r="K21" i="208"/>
  <c r="D14" i="60" l="1"/>
  <c r="Q33" i="208"/>
  <c r="R32" i="208"/>
  <c r="R9" i="208"/>
  <c r="R33" i="208" s="1"/>
  <c r="I6" i="208"/>
  <c r="J6" i="208" s="1"/>
  <c r="J25" i="22"/>
  <c r="P6" i="208" l="1"/>
  <c r="Q4" i="208"/>
  <c r="K6" i="208"/>
  <c r="O6" i="208"/>
  <c r="K5" i="85"/>
  <c r="H34" i="48" l="1"/>
  <c r="R35" i="48"/>
  <c r="I15" i="47" l="1"/>
  <c r="J15" i="47" s="1"/>
  <c r="D429" i="203"/>
  <c r="H352" i="203"/>
  <c r="H381" i="203"/>
  <c r="E375" i="203"/>
  <c r="E372" i="203"/>
  <c r="E402" i="203"/>
  <c r="E412" i="203"/>
  <c r="E434" i="203"/>
  <c r="D437" i="203"/>
  <c r="D443" i="203"/>
  <c r="D448" i="203"/>
  <c r="D57" i="203"/>
  <c r="C433" i="203" l="1"/>
  <c r="D159" i="203"/>
  <c r="C159" i="203"/>
  <c r="D158" i="203"/>
  <c r="C158" i="203"/>
  <c r="D157" i="203"/>
  <c r="C157" i="203"/>
  <c r="D156" i="203"/>
  <c r="C156" i="203"/>
  <c r="D155" i="203"/>
  <c r="C155" i="203"/>
  <c r="D154" i="203"/>
  <c r="C154" i="203"/>
  <c r="D153" i="203"/>
  <c r="C153" i="203"/>
  <c r="D152" i="203"/>
  <c r="C152" i="203"/>
  <c r="D151" i="203"/>
  <c r="C151" i="203"/>
  <c r="D150" i="203"/>
  <c r="C150" i="203"/>
  <c r="D149" i="203"/>
  <c r="C149" i="203"/>
  <c r="D147" i="203"/>
  <c r="C147" i="203"/>
  <c r="D146" i="203"/>
  <c r="C146" i="203"/>
  <c r="D145" i="203"/>
  <c r="C145" i="203"/>
  <c r="D144" i="203"/>
  <c r="C144" i="203"/>
  <c r="D143" i="203"/>
  <c r="C143" i="203"/>
  <c r="D142" i="203"/>
  <c r="C142" i="203"/>
  <c r="D141" i="203"/>
  <c r="C141" i="203"/>
  <c r="D140" i="203"/>
  <c r="C140" i="203"/>
  <c r="D139" i="203"/>
  <c r="C139" i="203"/>
  <c r="D138" i="203"/>
  <c r="C138" i="203"/>
  <c r="D137" i="203"/>
  <c r="C137" i="203"/>
  <c r="D136" i="203"/>
  <c r="C136" i="203"/>
  <c r="D135" i="203"/>
  <c r="C135" i="203"/>
  <c r="D148" i="203" l="1"/>
  <c r="C148" i="203"/>
  <c r="D58" i="203"/>
  <c r="H320" i="203" l="1"/>
  <c r="D320" i="203"/>
  <c r="D374" i="203"/>
  <c r="H174" i="203"/>
  <c r="I443" i="203"/>
  <c r="I430" i="203"/>
  <c r="H448" i="203"/>
  <c r="G448" i="203"/>
  <c r="C448" i="203"/>
  <c r="I444" i="203"/>
  <c r="H444" i="203"/>
  <c r="G444" i="203"/>
  <c r="E444" i="203"/>
  <c r="D444" i="203"/>
  <c r="C444" i="203"/>
  <c r="H443" i="203"/>
  <c r="G443" i="203"/>
  <c r="E443" i="203"/>
  <c r="C443" i="203"/>
  <c r="I442" i="203"/>
  <c r="H442" i="203"/>
  <c r="G442" i="203"/>
  <c r="E442" i="203"/>
  <c r="D442" i="203"/>
  <c r="C442" i="203"/>
  <c r="I441" i="203"/>
  <c r="H441" i="203"/>
  <c r="G441" i="203"/>
  <c r="E441" i="203"/>
  <c r="D441" i="203"/>
  <c r="C441" i="203"/>
  <c r="I437" i="203"/>
  <c r="H437" i="203"/>
  <c r="G437" i="203"/>
  <c r="E437" i="203"/>
  <c r="C437" i="203"/>
  <c r="I436" i="203"/>
  <c r="H436" i="203"/>
  <c r="G436" i="203"/>
  <c r="E436" i="203"/>
  <c r="D436" i="203"/>
  <c r="C436" i="203"/>
  <c r="I435" i="203"/>
  <c r="H435" i="203"/>
  <c r="G435" i="203"/>
  <c r="E435" i="203"/>
  <c r="D435" i="203"/>
  <c r="C435" i="203"/>
  <c r="I434" i="203"/>
  <c r="H434" i="203"/>
  <c r="G434" i="203"/>
  <c r="D434" i="203"/>
  <c r="C434" i="203"/>
  <c r="I433" i="203"/>
  <c r="H433" i="203"/>
  <c r="G433" i="203"/>
  <c r="E433" i="203"/>
  <c r="D433" i="203"/>
  <c r="I432" i="203"/>
  <c r="H432" i="203"/>
  <c r="G432" i="203"/>
  <c r="E432" i="203"/>
  <c r="D432" i="203"/>
  <c r="C432" i="203"/>
  <c r="I431" i="203"/>
  <c r="H431" i="203"/>
  <c r="G431" i="203"/>
  <c r="E431" i="203"/>
  <c r="D431" i="203"/>
  <c r="C431" i="203"/>
  <c r="H430" i="203"/>
  <c r="G430" i="203"/>
  <c r="E430" i="203"/>
  <c r="D430" i="203"/>
  <c r="C430" i="203"/>
  <c r="I429" i="203"/>
  <c r="H429" i="203"/>
  <c r="G429" i="203"/>
  <c r="E429" i="203"/>
  <c r="C429" i="203"/>
  <c r="I428" i="203"/>
  <c r="H428" i="203"/>
  <c r="G428" i="203"/>
  <c r="E428" i="203"/>
  <c r="D428" i="203"/>
  <c r="C428" i="203"/>
  <c r="I427" i="203"/>
  <c r="H427" i="203"/>
  <c r="G427" i="203"/>
  <c r="E427" i="203"/>
  <c r="D427" i="203"/>
  <c r="C427" i="203"/>
  <c r="I426" i="203"/>
  <c r="H426" i="203"/>
  <c r="G426" i="203"/>
  <c r="E426" i="203"/>
  <c r="D426" i="203"/>
  <c r="C426" i="203"/>
  <c r="I424" i="203"/>
  <c r="H424" i="203"/>
  <c r="G424" i="203"/>
  <c r="E424" i="203"/>
  <c r="D424" i="203"/>
  <c r="C424" i="203"/>
  <c r="I416" i="203"/>
  <c r="H416" i="203"/>
  <c r="G416" i="203"/>
  <c r="E416" i="203"/>
  <c r="D416" i="203"/>
  <c r="C416" i="203"/>
  <c r="I415" i="203"/>
  <c r="H415" i="203"/>
  <c r="G415" i="203"/>
  <c r="E415" i="203"/>
  <c r="D415" i="203"/>
  <c r="C415" i="203"/>
  <c r="I414" i="203"/>
  <c r="H414" i="203"/>
  <c r="G414" i="203"/>
  <c r="E414" i="203"/>
  <c r="D414" i="203"/>
  <c r="C414" i="203"/>
  <c r="I413" i="203"/>
  <c r="H413" i="203"/>
  <c r="G413" i="203"/>
  <c r="E413" i="203"/>
  <c r="D413" i="203"/>
  <c r="C413" i="203"/>
  <c r="I412" i="203"/>
  <c r="H412" i="203"/>
  <c r="G412" i="203"/>
  <c r="D412" i="203"/>
  <c r="C412" i="203"/>
  <c r="I411" i="203"/>
  <c r="H411" i="203"/>
  <c r="G411" i="203"/>
  <c r="E411" i="203"/>
  <c r="D411" i="203"/>
  <c r="C411" i="203"/>
  <c r="I403" i="203"/>
  <c r="H403" i="203"/>
  <c r="G403" i="203"/>
  <c r="E403" i="203"/>
  <c r="D403" i="203"/>
  <c r="C403" i="203"/>
  <c r="I402" i="203"/>
  <c r="H402" i="203"/>
  <c r="G402" i="203"/>
  <c r="D402" i="203"/>
  <c r="C402" i="203"/>
  <c r="I401" i="203"/>
  <c r="H401" i="203"/>
  <c r="G401" i="203"/>
  <c r="E401" i="203"/>
  <c r="D401" i="203"/>
  <c r="C401" i="203"/>
  <c r="I397" i="203"/>
  <c r="H397" i="203"/>
  <c r="G397" i="203"/>
  <c r="E397" i="203"/>
  <c r="D397" i="203"/>
  <c r="C397" i="203"/>
  <c r="I396" i="203"/>
  <c r="H396" i="203"/>
  <c r="G396" i="203"/>
  <c r="E396" i="203"/>
  <c r="D396" i="203"/>
  <c r="C396" i="203"/>
  <c r="I384" i="203"/>
  <c r="H384" i="203"/>
  <c r="G384" i="203"/>
  <c r="E384" i="203"/>
  <c r="D384" i="203"/>
  <c r="C384" i="203"/>
  <c r="I383" i="203"/>
  <c r="H383" i="203"/>
  <c r="G383" i="203"/>
  <c r="E383" i="203"/>
  <c r="D383" i="203"/>
  <c r="C383" i="203"/>
  <c r="I382" i="203"/>
  <c r="H382" i="203"/>
  <c r="G382" i="203"/>
  <c r="E382" i="203"/>
  <c r="D382" i="203"/>
  <c r="C382" i="203"/>
  <c r="I381" i="203"/>
  <c r="G381" i="203"/>
  <c r="E381" i="203"/>
  <c r="D381" i="203"/>
  <c r="C381" i="203"/>
  <c r="I380" i="203"/>
  <c r="H380" i="203"/>
  <c r="G380" i="203"/>
  <c r="E380" i="203"/>
  <c r="D380" i="203"/>
  <c r="C380" i="203"/>
  <c r="I379" i="203"/>
  <c r="H379" i="203"/>
  <c r="G379" i="203"/>
  <c r="E379" i="203"/>
  <c r="D379" i="203"/>
  <c r="C379" i="203"/>
  <c r="I378" i="203"/>
  <c r="H378" i="203"/>
  <c r="G378" i="203"/>
  <c r="E378" i="203"/>
  <c r="D378" i="203"/>
  <c r="C378" i="203"/>
  <c r="I377" i="203"/>
  <c r="H377" i="203"/>
  <c r="G377" i="203"/>
  <c r="E377" i="203"/>
  <c r="D377" i="203"/>
  <c r="C377" i="203"/>
  <c r="I376" i="203"/>
  <c r="H376" i="203"/>
  <c r="G376" i="203"/>
  <c r="E376" i="203"/>
  <c r="D376" i="203"/>
  <c r="C376" i="203"/>
  <c r="I375" i="203"/>
  <c r="H375" i="203"/>
  <c r="G375" i="203"/>
  <c r="D375" i="203"/>
  <c r="C375" i="203"/>
  <c r="I374" i="203"/>
  <c r="H374" i="203"/>
  <c r="G374" i="203"/>
  <c r="E374" i="203"/>
  <c r="C374" i="203"/>
  <c r="I373" i="203"/>
  <c r="H373" i="203"/>
  <c r="G373" i="203"/>
  <c r="E373" i="203"/>
  <c r="D373" i="203"/>
  <c r="C373" i="203"/>
  <c r="I372" i="203"/>
  <c r="H372" i="203"/>
  <c r="G372" i="203"/>
  <c r="D372" i="203"/>
  <c r="C372" i="203"/>
  <c r="I371" i="203"/>
  <c r="H371" i="203"/>
  <c r="G371" i="203"/>
  <c r="E371" i="203"/>
  <c r="D371" i="203"/>
  <c r="C371" i="203"/>
  <c r="I370" i="203"/>
  <c r="H370" i="203"/>
  <c r="G370" i="203"/>
  <c r="E370" i="203"/>
  <c r="D370" i="203"/>
  <c r="C370" i="203"/>
  <c r="I369" i="203"/>
  <c r="H369" i="203"/>
  <c r="G369" i="203"/>
  <c r="E369" i="203"/>
  <c r="D369" i="203"/>
  <c r="C369" i="203"/>
  <c r="I368" i="203"/>
  <c r="H368" i="203"/>
  <c r="G368" i="203"/>
  <c r="E368" i="203"/>
  <c r="D368" i="203"/>
  <c r="C368" i="203"/>
  <c r="H364" i="203"/>
  <c r="G364" i="203"/>
  <c r="D364" i="203"/>
  <c r="C364" i="203"/>
  <c r="I360" i="203"/>
  <c r="H360" i="203"/>
  <c r="G360" i="203"/>
  <c r="E360" i="203"/>
  <c r="D360" i="203"/>
  <c r="C360" i="203"/>
  <c r="I356" i="203"/>
  <c r="H356" i="203"/>
  <c r="G356" i="203"/>
  <c r="E356" i="203"/>
  <c r="D356" i="203"/>
  <c r="C356" i="203"/>
  <c r="I355" i="203"/>
  <c r="H355" i="203"/>
  <c r="G355" i="203"/>
  <c r="E355" i="203"/>
  <c r="D355" i="203"/>
  <c r="C355" i="203"/>
  <c r="I354" i="203"/>
  <c r="H354" i="203"/>
  <c r="G354" i="203"/>
  <c r="E354" i="203"/>
  <c r="D354" i="203"/>
  <c r="C354" i="203"/>
  <c r="I353" i="203"/>
  <c r="H353" i="203"/>
  <c r="G353" i="203"/>
  <c r="E353" i="203"/>
  <c r="D353" i="203"/>
  <c r="C353" i="203"/>
  <c r="I352" i="203"/>
  <c r="G352" i="203"/>
  <c r="E352" i="203"/>
  <c r="D352" i="203"/>
  <c r="C352" i="203"/>
  <c r="I351" i="203"/>
  <c r="H351" i="203"/>
  <c r="G351" i="203"/>
  <c r="E351" i="203"/>
  <c r="D351" i="203"/>
  <c r="C351" i="203"/>
  <c r="I350" i="203"/>
  <c r="H350" i="203"/>
  <c r="G350" i="203"/>
  <c r="E350" i="203"/>
  <c r="D350" i="203"/>
  <c r="C350" i="203"/>
  <c r="I346" i="203"/>
  <c r="H346" i="203"/>
  <c r="G346" i="203"/>
  <c r="E346" i="203"/>
  <c r="D346" i="203"/>
  <c r="C346" i="203"/>
  <c r="I342" i="203"/>
  <c r="H342" i="203"/>
  <c r="G342" i="203"/>
  <c r="E342" i="203"/>
  <c r="D342" i="203"/>
  <c r="C342" i="203"/>
  <c r="I338" i="203"/>
  <c r="H338" i="203"/>
  <c r="G338" i="203"/>
  <c r="E338" i="203"/>
  <c r="D338" i="203"/>
  <c r="C338" i="203"/>
  <c r="I334" i="203"/>
  <c r="H334" i="203"/>
  <c r="G334" i="203"/>
  <c r="E334" i="203"/>
  <c r="D334" i="203"/>
  <c r="C334" i="203"/>
  <c r="I333" i="203"/>
  <c r="H333" i="203"/>
  <c r="G333" i="203"/>
  <c r="E333" i="203"/>
  <c r="D333" i="203"/>
  <c r="C333" i="203"/>
  <c r="I332" i="203"/>
  <c r="H332" i="203"/>
  <c r="G332" i="203"/>
  <c r="E332" i="203"/>
  <c r="D332" i="203"/>
  <c r="C332" i="203"/>
  <c r="I331" i="203"/>
  <c r="H331" i="203"/>
  <c r="G331" i="203"/>
  <c r="E331" i="203"/>
  <c r="D331" i="203"/>
  <c r="C331" i="203"/>
  <c r="I330" i="203"/>
  <c r="H330" i="203"/>
  <c r="G330" i="203"/>
  <c r="E330" i="203"/>
  <c r="D330" i="203"/>
  <c r="C330" i="203"/>
  <c r="I329" i="203"/>
  <c r="H329" i="203"/>
  <c r="G329" i="203"/>
  <c r="E329" i="203"/>
  <c r="D329" i="203"/>
  <c r="C329" i="203"/>
  <c r="I328" i="203"/>
  <c r="H328" i="203"/>
  <c r="G328" i="203"/>
  <c r="E328" i="203"/>
  <c r="D328" i="203"/>
  <c r="C328" i="203"/>
  <c r="I327" i="203"/>
  <c r="H327" i="203"/>
  <c r="G327" i="203"/>
  <c r="E327" i="203"/>
  <c r="D327" i="203"/>
  <c r="C327" i="203"/>
  <c r="I326" i="203"/>
  <c r="H326" i="203"/>
  <c r="G326" i="203"/>
  <c r="E326" i="203"/>
  <c r="D326" i="203"/>
  <c r="C326" i="203"/>
  <c r="I325" i="203"/>
  <c r="H325" i="203"/>
  <c r="G325" i="203"/>
  <c r="E325" i="203"/>
  <c r="D325" i="203"/>
  <c r="C325" i="203"/>
  <c r="I321" i="203"/>
  <c r="H321" i="203"/>
  <c r="G321" i="203"/>
  <c r="E321" i="203"/>
  <c r="D321" i="203"/>
  <c r="C321" i="203"/>
  <c r="I320" i="203"/>
  <c r="G320" i="203"/>
  <c r="E320" i="203"/>
  <c r="C320" i="203"/>
  <c r="I319" i="203"/>
  <c r="H319" i="203"/>
  <c r="G319" i="203"/>
  <c r="E319" i="203"/>
  <c r="D319" i="203"/>
  <c r="C319" i="203"/>
  <c r="I318" i="203"/>
  <c r="H318" i="203"/>
  <c r="G318" i="203"/>
  <c r="E318" i="203"/>
  <c r="D318" i="203"/>
  <c r="C318" i="203"/>
  <c r="I317" i="203"/>
  <c r="H317" i="203"/>
  <c r="G317" i="203"/>
  <c r="E317" i="203"/>
  <c r="D317" i="203"/>
  <c r="C317" i="203"/>
  <c r="I316" i="203"/>
  <c r="H316" i="203"/>
  <c r="G316" i="203"/>
  <c r="E316" i="203"/>
  <c r="D316" i="203"/>
  <c r="C316" i="203"/>
  <c r="I315" i="203"/>
  <c r="H315" i="203"/>
  <c r="G315" i="203"/>
  <c r="E315" i="203"/>
  <c r="D315" i="203"/>
  <c r="C315" i="203"/>
  <c r="C314" i="203"/>
  <c r="I314" i="203"/>
  <c r="H314" i="203"/>
  <c r="G314" i="203"/>
  <c r="E314" i="203"/>
  <c r="D314" i="203"/>
  <c r="H308" i="203"/>
  <c r="C425" i="203" l="1"/>
  <c r="C438" i="203" s="1"/>
  <c r="J368" i="203"/>
  <c r="J370" i="203"/>
  <c r="F372" i="203"/>
  <c r="F368" i="203"/>
  <c r="F370" i="203"/>
  <c r="J373" i="203"/>
  <c r="J369" i="203"/>
  <c r="J371" i="203"/>
  <c r="F373" i="203"/>
  <c r="F444" i="203"/>
  <c r="J315" i="203"/>
  <c r="J317" i="203"/>
  <c r="J319" i="203"/>
  <c r="J325" i="203"/>
  <c r="J327" i="203"/>
  <c r="J329" i="203"/>
  <c r="J331" i="203"/>
  <c r="J333" i="203"/>
  <c r="J338" i="203"/>
  <c r="J346" i="203"/>
  <c r="J351" i="203"/>
  <c r="F369" i="203"/>
  <c r="F371" i="203"/>
  <c r="J372" i="203"/>
  <c r="F433" i="203"/>
  <c r="J353" i="203"/>
  <c r="J355" i="203"/>
  <c r="J360" i="203"/>
  <c r="F315" i="203"/>
  <c r="F431" i="203"/>
  <c r="F435" i="203"/>
  <c r="F437" i="203"/>
  <c r="F442" i="203"/>
  <c r="F317" i="203"/>
  <c r="F319" i="203"/>
  <c r="J320" i="203"/>
  <c r="F325" i="203"/>
  <c r="F327" i="203"/>
  <c r="F329" i="203"/>
  <c r="F331" i="203"/>
  <c r="F333" i="203"/>
  <c r="F338" i="203"/>
  <c r="F346" i="203"/>
  <c r="F351" i="203"/>
  <c r="F353" i="203"/>
  <c r="F355" i="203"/>
  <c r="F360" i="203"/>
  <c r="J316" i="203"/>
  <c r="J318" i="203"/>
  <c r="J321" i="203"/>
  <c r="J326" i="203"/>
  <c r="J328" i="203"/>
  <c r="J330" i="203"/>
  <c r="J332" i="203"/>
  <c r="J334" i="203"/>
  <c r="J342" i="203"/>
  <c r="J350" i="203"/>
  <c r="J352" i="203"/>
  <c r="J354" i="203"/>
  <c r="J356" i="203"/>
  <c r="F375" i="203"/>
  <c r="F377" i="203"/>
  <c r="F379" i="203"/>
  <c r="F381" i="203"/>
  <c r="F383" i="203"/>
  <c r="F397" i="203"/>
  <c r="F402" i="203"/>
  <c r="F412" i="203"/>
  <c r="F414" i="203"/>
  <c r="F416" i="203"/>
  <c r="F424" i="203"/>
  <c r="F427" i="203"/>
  <c r="F429" i="203"/>
  <c r="J432" i="203"/>
  <c r="J434" i="203"/>
  <c r="J436" i="203"/>
  <c r="J441" i="203"/>
  <c r="F316" i="203"/>
  <c r="F318" i="203"/>
  <c r="F321" i="203"/>
  <c r="F326" i="203"/>
  <c r="F328" i="203"/>
  <c r="F330" i="203"/>
  <c r="F332" i="203"/>
  <c r="F334" i="203"/>
  <c r="F342" i="203"/>
  <c r="F350" i="203"/>
  <c r="F352" i="203"/>
  <c r="F354" i="203"/>
  <c r="F356" i="203"/>
  <c r="J374" i="203"/>
  <c r="J376" i="203"/>
  <c r="J378" i="203"/>
  <c r="J380" i="203"/>
  <c r="J382" i="203"/>
  <c r="J384" i="203"/>
  <c r="J396" i="203"/>
  <c r="J401" i="203"/>
  <c r="J403" i="203"/>
  <c r="J411" i="203"/>
  <c r="J413" i="203"/>
  <c r="J415" i="203"/>
  <c r="J426" i="203"/>
  <c r="J428" i="203"/>
  <c r="F374" i="203"/>
  <c r="F320" i="203"/>
  <c r="J443" i="203"/>
  <c r="J430" i="203"/>
  <c r="F376" i="203"/>
  <c r="F378" i="203"/>
  <c r="F380" i="203"/>
  <c r="F382" i="203"/>
  <c r="F384" i="203"/>
  <c r="F396" i="203"/>
  <c r="F401" i="203"/>
  <c r="F403" i="203"/>
  <c r="F411" i="203"/>
  <c r="F413" i="203"/>
  <c r="F415" i="203"/>
  <c r="F426" i="203"/>
  <c r="F428" i="203"/>
  <c r="F430" i="203"/>
  <c r="F432" i="203"/>
  <c r="F434" i="203"/>
  <c r="F436" i="203"/>
  <c r="F441" i="203"/>
  <c r="F443" i="203"/>
  <c r="J375" i="203"/>
  <c r="J377" i="203"/>
  <c r="J379" i="203"/>
  <c r="J381" i="203"/>
  <c r="J383" i="203"/>
  <c r="J397" i="203"/>
  <c r="J402" i="203"/>
  <c r="J412" i="203"/>
  <c r="J414" i="203"/>
  <c r="J416" i="203"/>
  <c r="J424" i="203"/>
  <c r="J427" i="203"/>
  <c r="J429" i="203"/>
  <c r="J431" i="203"/>
  <c r="J433" i="203"/>
  <c r="J435" i="203"/>
  <c r="J437" i="203"/>
  <c r="J442" i="203"/>
  <c r="J444" i="203"/>
  <c r="F153" i="205" l="1"/>
  <c r="G153" i="205" s="1"/>
  <c r="H153" i="205" s="1"/>
  <c r="I153" i="205" s="1"/>
  <c r="J153" i="205" s="1"/>
  <c r="D1171" i="205" l="1"/>
  <c r="F1171" i="205" s="1"/>
  <c r="G1171" i="205" s="1"/>
  <c r="H1171" i="205" s="1"/>
  <c r="C1171" i="205"/>
  <c r="D1170" i="205"/>
  <c r="F1170" i="205" s="1"/>
  <c r="G1170" i="205" s="1"/>
  <c r="H1170" i="205" s="1"/>
  <c r="I1170" i="205" s="1"/>
  <c r="J1170" i="205" s="1"/>
  <c r="C1170" i="205"/>
  <c r="D1166" i="205"/>
  <c r="F1166" i="205" s="1"/>
  <c r="G1166" i="205" s="1"/>
  <c r="H1166" i="205" s="1"/>
  <c r="I1166" i="205" s="1"/>
  <c r="J1166" i="205" s="1"/>
  <c r="C1166" i="205"/>
  <c r="D1165" i="205"/>
  <c r="F1165" i="205" s="1"/>
  <c r="G1165" i="205" s="1"/>
  <c r="H1165" i="205" s="1"/>
  <c r="I1165" i="205" s="1"/>
  <c r="J1165" i="205" s="1"/>
  <c r="AM1165" i="205" s="1"/>
  <c r="C1165" i="205"/>
  <c r="D1164" i="205"/>
  <c r="F1164" i="205" s="1"/>
  <c r="G1164" i="205" s="1"/>
  <c r="H1164" i="205" s="1"/>
  <c r="I1164" i="205" s="1"/>
  <c r="J1164" i="205" s="1"/>
  <c r="C1164" i="205"/>
  <c r="D1163" i="205"/>
  <c r="C1163" i="205"/>
  <c r="D1162" i="205"/>
  <c r="F1162" i="205" s="1"/>
  <c r="G1162" i="205" s="1"/>
  <c r="H1162" i="205" s="1"/>
  <c r="I1162" i="205" s="1"/>
  <c r="J1162" i="205" s="1"/>
  <c r="C1162" i="205"/>
  <c r="D1161" i="205"/>
  <c r="F1161" i="205" s="1"/>
  <c r="G1161" i="205" s="1"/>
  <c r="H1161" i="205" s="1"/>
  <c r="I1161" i="205" s="1"/>
  <c r="J1161" i="205" s="1"/>
  <c r="AM1161" i="205" s="1"/>
  <c r="C1161" i="205"/>
  <c r="D1160" i="205"/>
  <c r="F1160" i="205" s="1"/>
  <c r="G1160" i="205" s="1"/>
  <c r="H1160" i="205" s="1"/>
  <c r="I1160" i="205" s="1"/>
  <c r="J1160" i="205" s="1"/>
  <c r="AM1160" i="205" s="1"/>
  <c r="C1160" i="205"/>
  <c r="D1159" i="205"/>
  <c r="F1159" i="205" s="1"/>
  <c r="G1159" i="205" s="1"/>
  <c r="H1159" i="205" s="1"/>
  <c r="I1159" i="205" s="1"/>
  <c r="J1159" i="205" s="1"/>
  <c r="C1159" i="205"/>
  <c r="D1158" i="205"/>
  <c r="F1158" i="205" s="1"/>
  <c r="G1158" i="205" s="1"/>
  <c r="H1158" i="205" s="1"/>
  <c r="I1158" i="205" s="1"/>
  <c r="J1158" i="205" s="1"/>
  <c r="AM1158" i="205" s="1"/>
  <c r="C1158" i="205"/>
  <c r="D1157" i="205"/>
  <c r="F1157" i="205" s="1"/>
  <c r="G1157" i="205" s="1"/>
  <c r="H1157" i="205" s="1"/>
  <c r="I1157" i="205" s="1"/>
  <c r="J1157" i="205" s="1"/>
  <c r="C1157" i="205"/>
  <c r="D1156" i="205"/>
  <c r="F1156" i="205" s="1"/>
  <c r="G1156" i="205" s="1"/>
  <c r="H1156" i="205" s="1"/>
  <c r="I1156" i="205" s="1"/>
  <c r="J1156" i="205" s="1"/>
  <c r="C1156" i="205"/>
  <c r="D1155" i="205"/>
  <c r="F1155" i="205" s="1"/>
  <c r="G1155" i="205" s="1"/>
  <c r="H1155" i="205" s="1"/>
  <c r="I1155" i="205" s="1"/>
  <c r="J1155" i="205" s="1"/>
  <c r="C1155" i="205"/>
  <c r="D1151" i="205"/>
  <c r="C1151" i="205"/>
  <c r="D1150" i="205"/>
  <c r="F1150" i="205" s="1"/>
  <c r="G1150" i="205" s="1"/>
  <c r="H1150" i="205" s="1"/>
  <c r="I1150" i="205" s="1"/>
  <c r="J1150" i="205" s="1"/>
  <c r="AM1150" i="205" s="1"/>
  <c r="C1150" i="205"/>
  <c r="D1149" i="205"/>
  <c r="F1149" i="205" s="1"/>
  <c r="G1149" i="205" s="1"/>
  <c r="H1149" i="205" s="1"/>
  <c r="I1149" i="205" s="1"/>
  <c r="J1149" i="205" s="1"/>
  <c r="C1149" i="205"/>
  <c r="D1148" i="205"/>
  <c r="F1148" i="205" s="1"/>
  <c r="G1148" i="205" s="1"/>
  <c r="H1148" i="205" s="1"/>
  <c r="I1148" i="205" s="1"/>
  <c r="J1148" i="205" s="1"/>
  <c r="AM1148" i="205" s="1"/>
  <c r="C1148" i="205"/>
  <c r="D1147" i="205"/>
  <c r="F1147" i="205" s="1"/>
  <c r="G1147" i="205" s="1"/>
  <c r="H1147" i="205" s="1"/>
  <c r="I1147" i="205" s="1"/>
  <c r="J1147" i="205" s="1"/>
  <c r="C1147" i="205"/>
  <c r="D1146" i="205"/>
  <c r="F1146" i="205" s="1"/>
  <c r="G1146" i="205" s="1"/>
  <c r="H1146" i="205" s="1"/>
  <c r="I1146" i="205" s="1"/>
  <c r="J1146" i="205" s="1"/>
  <c r="C1146" i="205"/>
  <c r="D1145" i="205"/>
  <c r="F1145" i="205" s="1"/>
  <c r="G1145" i="205" s="1"/>
  <c r="H1145" i="205" s="1"/>
  <c r="I1145" i="205" s="1"/>
  <c r="J1145" i="205" s="1"/>
  <c r="AM1145" i="205" s="1"/>
  <c r="C1145" i="205"/>
  <c r="D1144" i="205"/>
  <c r="F1144" i="205" s="1"/>
  <c r="G1144" i="205" s="1"/>
  <c r="H1144" i="205" s="1"/>
  <c r="I1144" i="205" s="1"/>
  <c r="J1144" i="205" s="1"/>
  <c r="AM1144" i="205" s="1"/>
  <c r="C1144" i="205"/>
  <c r="D1143" i="205"/>
  <c r="F1143" i="205" s="1"/>
  <c r="G1143" i="205" s="1"/>
  <c r="H1143" i="205" s="1"/>
  <c r="I1143" i="205" s="1"/>
  <c r="J1143" i="205" s="1"/>
  <c r="C1143" i="205"/>
  <c r="D1142" i="205"/>
  <c r="F1142" i="205" s="1"/>
  <c r="G1142" i="205" s="1"/>
  <c r="H1142" i="205" s="1"/>
  <c r="I1142" i="205" s="1"/>
  <c r="J1142" i="205" s="1"/>
  <c r="C1142" i="205"/>
  <c r="D1141" i="205"/>
  <c r="F1141" i="205" s="1"/>
  <c r="G1141" i="205" s="1"/>
  <c r="H1141" i="205" s="1"/>
  <c r="I1141" i="205" s="1"/>
  <c r="J1141" i="205" s="1"/>
  <c r="C1141" i="205"/>
  <c r="D1140" i="205"/>
  <c r="F1140" i="205" s="1"/>
  <c r="G1140" i="205" s="1"/>
  <c r="H1140" i="205" s="1"/>
  <c r="I1140" i="205" s="1"/>
  <c r="J1140" i="205" s="1"/>
  <c r="C1140" i="205"/>
  <c r="D1139" i="205"/>
  <c r="F1139" i="205" s="1"/>
  <c r="G1139" i="205" s="1"/>
  <c r="H1139" i="205" s="1"/>
  <c r="I1139" i="205" s="1"/>
  <c r="J1139" i="205" s="1"/>
  <c r="C1139" i="205"/>
  <c r="D1138" i="205"/>
  <c r="F1138" i="205" s="1"/>
  <c r="G1138" i="205" s="1"/>
  <c r="H1138" i="205" s="1"/>
  <c r="I1138" i="205" s="1"/>
  <c r="J1138" i="205" s="1"/>
  <c r="AM1138" i="205" s="1"/>
  <c r="C1138" i="205"/>
  <c r="D1137" i="205"/>
  <c r="F1137" i="205" s="1"/>
  <c r="G1137" i="205" s="1"/>
  <c r="H1137" i="205" s="1"/>
  <c r="I1137" i="205" s="1"/>
  <c r="J1137" i="205" s="1"/>
  <c r="C1137" i="205"/>
  <c r="D1136" i="205"/>
  <c r="F1136" i="205" s="1"/>
  <c r="G1136" i="205" s="1"/>
  <c r="H1136" i="205" s="1"/>
  <c r="I1136" i="205" s="1"/>
  <c r="J1136" i="205" s="1"/>
  <c r="C1136" i="205"/>
  <c r="D1135" i="205"/>
  <c r="F1135" i="205" s="1"/>
  <c r="G1135" i="205" s="1"/>
  <c r="H1135" i="205" s="1"/>
  <c r="I1135" i="205" s="1"/>
  <c r="J1135" i="205" s="1"/>
  <c r="C1135" i="205"/>
  <c r="D1134" i="205"/>
  <c r="F1134" i="205" s="1"/>
  <c r="G1134" i="205" s="1"/>
  <c r="H1134" i="205" s="1"/>
  <c r="I1134" i="205" s="1"/>
  <c r="J1134" i="205" s="1"/>
  <c r="AM1134" i="205" s="1"/>
  <c r="C1134" i="205"/>
  <c r="D1133" i="205"/>
  <c r="C1133" i="205"/>
  <c r="D1132" i="205"/>
  <c r="F1132" i="205" s="1"/>
  <c r="G1132" i="205" s="1"/>
  <c r="H1132" i="205" s="1"/>
  <c r="I1132" i="205" s="1"/>
  <c r="J1132" i="205" s="1"/>
  <c r="AM1132" i="205" s="1"/>
  <c r="C1132" i="205"/>
  <c r="D1131" i="205"/>
  <c r="F1131" i="205" s="1"/>
  <c r="G1131" i="205" s="1"/>
  <c r="H1131" i="205" s="1"/>
  <c r="I1131" i="205" s="1"/>
  <c r="J1131" i="205" s="1"/>
  <c r="C1131" i="205"/>
  <c r="D1130" i="205"/>
  <c r="F1130" i="205" s="1"/>
  <c r="G1130" i="205" s="1"/>
  <c r="H1130" i="205" s="1"/>
  <c r="I1130" i="205" s="1"/>
  <c r="J1130" i="205" s="1"/>
  <c r="C1130" i="205"/>
  <c r="D1129" i="205"/>
  <c r="F1129" i="205" s="1"/>
  <c r="G1129" i="205" s="1"/>
  <c r="H1129" i="205" s="1"/>
  <c r="I1129" i="205" s="1"/>
  <c r="J1129" i="205" s="1"/>
  <c r="C1129" i="205"/>
  <c r="D1128" i="205"/>
  <c r="F1128" i="205" s="1"/>
  <c r="G1128" i="205" s="1"/>
  <c r="H1128" i="205" s="1"/>
  <c r="I1128" i="205" s="1"/>
  <c r="J1128" i="205" s="1"/>
  <c r="C1128" i="205"/>
  <c r="D1127" i="205"/>
  <c r="F1127" i="205" s="1"/>
  <c r="G1127" i="205" s="1"/>
  <c r="H1127" i="205" s="1"/>
  <c r="I1127" i="205" s="1"/>
  <c r="J1127" i="205" s="1"/>
  <c r="C1127" i="205"/>
  <c r="D1126" i="205"/>
  <c r="C1126" i="205"/>
  <c r="D1125" i="205"/>
  <c r="F1125" i="205" s="1"/>
  <c r="G1125" i="205" s="1"/>
  <c r="H1125" i="205" s="1"/>
  <c r="I1125" i="205" s="1"/>
  <c r="J1125" i="205" s="1"/>
  <c r="C1125" i="205"/>
  <c r="D1124" i="205"/>
  <c r="F1124" i="205" s="1"/>
  <c r="G1124" i="205" s="1"/>
  <c r="H1124" i="205" s="1"/>
  <c r="I1124" i="205" s="1"/>
  <c r="J1124" i="205" s="1"/>
  <c r="C1124" i="205"/>
  <c r="D1123" i="205"/>
  <c r="F1123" i="205" s="1"/>
  <c r="G1123" i="205" s="1"/>
  <c r="H1123" i="205" s="1"/>
  <c r="I1123" i="205" s="1"/>
  <c r="J1123" i="205" s="1"/>
  <c r="C1123" i="205"/>
  <c r="D1122" i="205"/>
  <c r="F1122" i="205" s="1"/>
  <c r="G1122" i="205" s="1"/>
  <c r="H1122" i="205" s="1"/>
  <c r="I1122" i="205" s="1"/>
  <c r="J1122" i="205" s="1"/>
  <c r="AM1122" i="205" s="1"/>
  <c r="C1122" i="205"/>
  <c r="D1121" i="205"/>
  <c r="F1121" i="205" s="1"/>
  <c r="G1121" i="205" s="1"/>
  <c r="H1121" i="205" s="1"/>
  <c r="I1121" i="205" s="1"/>
  <c r="J1121" i="205" s="1"/>
  <c r="C1121" i="205"/>
  <c r="D1120" i="205"/>
  <c r="F1120" i="205" s="1"/>
  <c r="G1120" i="205" s="1"/>
  <c r="H1120" i="205" s="1"/>
  <c r="I1120" i="205" s="1"/>
  <c r="J1120" i="205" s="1"/>
  <c r="C1120" i="205"/>
  <c r="D1119" i="205"/>
  <c r="F1119" i="205" s="1"/>
  <c r="G1119" i="205" s="1"/>
  <c r="H1119" i="205" s="1"/>
  <c r="I1119" i="205" s="1"/>
  <c r="J1119" i="205" s="1"/>
  <c r="C1119" i="205"/>
  <c r="D1118" i="205"/>
  <c r="F1118" i="205" s="1"/>
  <c r="G1118" i="205" s="1"/>
  <c r="H1118" i="205" s="1"/>
  <c r="I1118" i="205" s="1"/>
  <c r="J1118" i="205" s="1"/>
  <c r="AM1118" i="205" s="1"/>
  <c r="C1118" i="205"/>
  <c r="D1117" i="205"/>
  <c r="F1117" i="205" s="1"/>
  <c r="G1117" i="205" s="1"/>
  <c r="H1117" i="205" s="1"/>
  <c r="I1117" i="205" s="1"/>
  <c r="J1117" i="205" s="1"/>
  <c r="C1117" i="205"/>
  <c r="D1116" i="205"/>
  <c r="F1116" i="205" s="1"/>
  <c r="G1116" i="205" s="1"/>
  <c r="H1116" i="205" s="1"/>
  <c r="I1116" i="205" s="1"/>
  <c r="J1116" i="205" s="1"/>
  <c r="C1116" i="205"/>
  <c r="D1115" i="205"/>
  <c r="F1115" i="205" s="1"/>
  <c r="G1115" i="205" s="1"/>
  <c r="H1115" i="205" s="1"/>
  <c r="I1115" i="205" s="1"/>
  <c r="J1115" i="205" s="1"/>
  <c r="C1115" i="205"/>
  <c r="D1114" i="205"/>
  <c r="F1114" i="205" s="1"/>
  <c r="G1114" i="205" s="1"/>
  <c r="H1114" i="205" s="1"/>
  <c r="I1114" i="205" s="1"/>
  <c r="J1114" i="205" s="1"/>
  <c r="AM1114" i="205" s="1"/>
  <c r="C1114" i="205"/>
  <c r="D1113" i="205"/>
  <c r="F1113" i="205" s="1"/>
  <c r="G1113" i="205" s="1"/>
  <c r="H1113" i="205" s="1"/>
  <c r="C1113" i="205"/>
  <c r="D1100" i="205"/>
  <c r="F1100" i="205" s="1"/>
  <c r="G1100" i="205" s="1"/>
  <c r="H1100" i="205" s="1"/>
  <c r="I1100" i="205" s="1"/>
  <c r="J1100" i="205" s="1"/>
  <c r="C1100" i="205"/>
  <c r="D1099" i="205"/>
  <c r="F1099" i="205" s="1"/>
  <c r="G1099" i="205" s="1"/>
  <c r="H1099" i="205" s="1"/>
  <c r="I1099" i="205" s="1"/>
  <c r="J1099" i="205" s="1"/>
  <c r="AM1099" i="205" s="1"/>
  <c r="C1099" i="205"/>
  <c r="D1098" i="205"/>
  <c r="C1098" i="205"/>
  <c r="D1097" i="205"/>
  <c r="F1097" i="205" s="1"/>
  <c r="G1097" i="205" s="1"/>
  <c r="H1097" i="205" s="1"/>
  <c r="I1097" i="205" s="1"/>
  <c r="J1097" i="205" s="1"/>
  <c r="C1097" i="205"/>
  <c r="D1096" i="205"/>
  <c r="F1096" i="205" s="1"/>
  <c r="G1096" i="205" s="1"/>
  <c r="H1096" i="205" s="1"/>
  <c r="I1096" i="205" s="1"/>
  <c r="J1096" i="205" s="1"/>
  <c r="C1096" i="205"/>
  <c r="D1095" i="205"/>
  <c r="F1095" i="205" s="1"/>
  <c r="G1095" i="205" s="1"/>
  <c r="H1095" i="205" s="1"/>
  <c r="I1095" i="205" s="1"/>
  <c r="J1095" i="205" s="1"/>
  <c r="C1095" i="205"/>
  <c r="D1094" i="205"/>
  <c r="C1094" i="205"/>
  <c r="D1093" i="205"/>
  <c r="F1093" i="205" s="1"/>
  <c r="G1093" i="205" s="1"/>
  <c r="H1093" i="205" s="1"/>
  <c r="I1093" i="205" s="1"/>
  <c r="J1093" i="205" s="1"/>
  <c r="AM1093" i="205" s="1"/>
  <c r="C1093" i="205"/>
  <c r="D1092" i="205"/>
  <c r="F1092" i="205" s="1"/>
  <c r="G1092" i="205" s="1"/>
  <c r="H1092" i="205" s="1"/>
  <c r="I1092" i="205" s="1"/>
  <c r="J1092" i="205" s="1"/>
  <c r="C1092" i="205"/>
  <c r="D1091" i="205"/>
  <c r="F1091" i="205" s="1"/>
  <c r="G1091" i="205" s="1"/>
  <c r="H1091" i="205" s="1"/>
  <c r="I1091" i="205" s="1"/>
  <c r="J1091" i="205" s="1"/>
  <c r="AM1091" i="205" s="1"/>
  <c r="C1091" i="205"/>
  <c r="D1090" i="205"/>
  <c r="F1090" i="205" s="1"/>
  <c r="G1090" i="205" s="1"/>
  <c r="H1090" i="205" s="1"/>
  <c r="I1090" i="205" s="1"/>
  <c r="J1090" i="205" s="1"/>
  <c r="C1090" i="205"/>
  <c r="D1089" i="205"/>
  <c r="F1089" i="205" s="1"/>
  <c r="G1089" i="205" s="1"/>
  <c r="H1089" i="205" s="1"/>
  <c r="I1089" i="205" s="1"/>
  <c r="J1089" i="205" s="1"/>
  <c r="C1089" i="205"/>
  <c r="D1088" i="205"/>
  <c r="C1088" i="205"/>
  <c r="D1087" i="205"/>
  <c r="F1087" i="205" s="1"/>
  <c r="G1087" i="205" s="1"/>
  <c r="H1087" i="205" s="1"/>
  <c r="I1087" i="205" s="1"/>
  <c r="J1087" i="205" s="1"/>
  <c r="AM1087" i="205" s="1"/>
  <c r="C1087" i="205"/>
  <c r="D1086" i="205"/>
  <c r="C1086" i="205"/>
  <c r="D1085" i="205"/>
  <c r="F1085" i="205" s="1"/>
  <c r="G1085" i="205" s="1"/>
  <c r="H1085" i="205" s="1"/>
  <c r="I1085" i="205" s="1"/>
  <c r="J1085" i="205" s="1"/>
  <c r="C1085" i="205"/>
  <c r="D1084" i="205"/>
  <c r="F1084" i="205" s="1"/>
  <c r="G1084" i="205" s="1"/>
  <c r="H1084" i="205" s="1"/>
  <c r="I1084" i="205" s="1"/>
  <c r="J1084" i="205" s="1"/>
  <c r="AM1084" i="205" s="1"/>
  <c r="C1084" i="205"/>
  <c r="D1083" i="205"/>
  <c r="F1083" i="205" s="1"/>
  <c r="G1083" i="205" s="1"/>
  <c r="H1083" i="205" s="1"/>
  <c r="I1083" i="205" s="1"/>
  <c r="J1083" i="205" s="1"/>
  <c r="C1083" i="205"/>
  <c r="D1070" i="205"/>
  <c r="F1070" i="205" s="1"/>
  <c r="G1070" i="205" s="1"/>
  <c r="H1070" i="205" s="1"/>
  <c r="I1070" i="205" s="1"/>
  <c r="J1070" i="205" s="1"/>
  <c r="C1070" i="205"/>
  <c r="D1069" i="205"/>
  <c r="F1069" i="205" s="1"/>
  <c r="G1069" i="205" s="1"/>
  <c r="H1069" i="205" s="1"/>
  <c r="I1069" i="205" s="1"/>
  <c r="J1069" i="205" s="1"/>
  <c r="AM1069" i="205" s="1"/>
  <c r="C1069" i="205"/>
  <c r="D1068" i="205"/>
  <c r="F1068" i="205" s="1"/>
  <c r="G1068" i="205" s="1"/>
  <c r="H1068" i="205" s="1"/>
  <c r="I1068" i="205" s="1"/>
  <c r="J1068" i="205" s="1"/>
  <c r="AM1068" i="205" s="1"/>
  <c r="C1068" i="205"/>
  <c r="D1067" i="205"/>
  <c r="C1067" i="205"/>
  <c r="D1066" i="205"/>
  <c r="C1066" i="205"/>
  <c r="D1065" i="205"/>
  <c r="F1065" i="205" s="1"/>
  <c r="G1065" i="205" s="1"/>
  <c r="H1065" i="205" s="1"/>
  <c r="I1065" i="205" s="1"/>
  <c r="J1065" i="205" s="1"/>
  <c r="C1065" i="205"/>
  <c r="D1064" i="205"/>
  <c r="F1064" i="205" s="1"/>
  <c r="G1064" i="205" s="1"/>
  <c r="H1064" i="205" s="1"/>
  <c r="I1064" i="205" s="1"/>
  <c r="J1064" i="205" s="1"/>
  <c r="AM1064" i="205" s="1"/>
  <c r="C1064" i="205"/>
  <c r="D1063" i="205"/>
  <c r="F1063" i="205" s="1"/>
  <c r="G1063" i="205" s="1"/>
  <c r="H1063" i="205" s="1"/>
  <c r="I1063" i="205" s="1"/>
  <c r="J1063" i="205" s="1"/>
  <c r="C1063" i="205"/>
  <c r="D1062" i="205"/>
  <c r="F1062" i="205" s="1"/>
  <c r="G1062" i="205" s="1"/>
  <c r="H1062" i="205" s="1"/>
  <c r="I1062" i="205" s="1"/>
  <c r="J1062" i="205" s="1"/>
  <c r="C1062" i="205"/>
  <c r="D1058" i="205"/>
  <c r="F1058" i="205" s="1"/>
  <c r="G1058" i="205" s="1"/>
  <c r="H1058" i="205" s="1"/>
  <c r="I1058" i="205" s="1"/>
  <c r="J1058" i="205" s="1"/>
  <c r="C1058" i="205"/>
  <c r="D1057" i="205"/>
  <c r="F1057" i="205" s="1"/>
  <c r="G1057" i="205" s="1"/>
  <c r="H1057" i="205" s="1"/>
  <c r="I1057" i="205" s="1"/>
  <c r="J1057" i="205" s="1"/>
  <c r="AM1057" i="205" s="1"/>
  <c r="C1057" i="205"/>
  <c r="D1056" i="205"/>
  <c r="F1056" i="205" s="1"/>
  <c r="G1056" i="205" s="1"/>
  <c r="H1056" i="205" s="1"/>
  <c r="I1056" i="205" s="1"/>
  <c r="J1056" i="205" s="1"/>
  <c r="C1056" i="205"/>
  <c r="D1055" i="205"/>
  <c r="F1055" i="205" s="1"/>
  <c r="G1055" i="205" s="1"/>
  <c r="H1055" i="205" s="1"/>
  <c r="I1055" i="205" s="1"/>
  <c r="J1055" i="205" s="1"/>
  <c r="AM1055" i="205" s="1"/>
  <c r="C1055" i="205"/>
  <c r="D1054" i="205"/>
  <c r="F1054" i="205" s="1"/>
  <c r="G1054" i="205" s="1"/>
  <c r="H1054" i="205" s="1"/>
  <c r="I1054" i="205" s="1"/>
  <c r="J1054" i="205" s="1"/>
  <c r="C1054" i="205"/>
  <c r="D1053" i="205"/>
  <c r="F1053" i="205" s="1"/>
  <c r="G1053" i="205" s="1"/>
  <c r="H1053" i="205" s="1"/>
  <c r="I1053" i="205" s="1"/>
  <c r="J1053" i="205" s="1"/>
  <c r="C1053" i="205"/>
  <c r="D1028" i="205"/>
  <c r="F1028" i="205" s="1"/>
  <c r="G1028" i="205" s="1"/>
  <c r="H1028" i="205" s="1"/>
  <c r="I1028" i="205" s="1"/>
  <c r="J1028" i="205" s="1"/>
  <c r="AM1028" i="205" s="1"/>
  <c r="C1028" i="205"/>
  <c r="D1027" i="205"/>
  <c r="C1027" i="205"/>
  <c r="D1026" i="205"/>
  <c r="F1026" i="205" s="1"/>
  <c r="G1026" i="205" s="1"/>
  <c r="H1026" i="205" s="1"/>
  <c r="I1026" i="205" s="1"/>
  <c r="J1026" i="205" s="1"/>
  <c r="AM1026" i="205" s="1"/>
  <c r="C1026" i="205"/>
  <c r="D1025" i="205"/>
  <c r="C1025" i="205"/>
  <c r="D1024" i="205"/>
  <c r="F1024" i="205" s="1"/>
  <c r="G1024" i="205" s="1"/>
  <c r="H1024" i="205" s="1"/>
  <c r="I1024" i="205" s="1"/>
  <c r="J1024" i="205" s="1"/>
  <c r="C1024" i="205"/>
  <c r="D1023" i="205"/>
  <c r="F1023" i="205" s="1"/>
  <c r="G1023" i="205" s="1"/>
  <c r="H1023" i="205" s="1"/>
  <c r="I1023" i="205" s="1"/>
  <c r="J1023" i="205" s="1"/>
  <c r="AM1023" i="205" s="1"/>
  <c r="C1023" i="205"/>
  <c r="D1022" i="205"/>
  <c r="F1022" i="205" s="1"/>
  <c r="G1022" i="205" s="1"/>
  <c r="H1022" i="205" s="1"/>
  <c r="I1022" i="205" s="1"/>
  <c r="J1022" i="205" s="1"/>
  <c r="C1022" i="205"/>
  <c r="D1021" i="205"/>
  <c r="F1021" i="205" s="1"/>
  <c r="G1021" i="205" s="1"/>
  <c r="H1021" i="205" s="1"/>
  <c r="I1021" i="205" s="1"/>
  <c r="J1021" i="205" s="1"/>
  <c r="C1021" i="205"/>
  <c r="D1020" i="205"/>
  <c r="F1020" i="205" s="1"/>
  <c r="G1020" i="205" s="1"/>
  <c r="H1020" i="205" s="1"/>
  <c r="I1020" i="205" s="1"/>
  <c r="J1020" i="205" s="1"/>
  <c r="AM1020" i="205" s="1"/>
  <c r="C1020" i="205"/>
  <c r="D1019" i="205"/>
  <c r="F1019" i="205" s="1"/>
  <c r="G1019" i="205" s="1"/>
  <c r="H1019" i="205" s="1"/>
  <c r="I1019" i="205" s="1"/>
  <c r="J1019" i="205" s="1"/>
  <c r="C1019" i="205"/>
  <c r="D1018" i="205"/>
  <c r="F1018" i="205" s="1"/>
  <c r="G1018" i="205" s="1"/>
  <c r="H1018" i="205" s="1"/>
  <c r="I1018" i="205" s="1"/>
  <c r="J1018" i="205" s="1"/>
  <c r="C1018" i="205"/>
  <c r="D1017" i="205"/>
  <c r="C1017" i="205"/>
  <c r="D1016" i="205"/>
  <c r="F1016" i="205" s="1"/>
  <c r="G1016" i="205" s="1"/>
  <c r="H1016" i="205" s="1"/>
  <c r="I1016" i="205" s="1"/>
  <c r="J1016" i="205" s="1"/>
  <c r="C1016" i="205"/>
  <c r="D1015" i="205"/>
  <c r="F1015" i="205" s="1"/>
  <c r="G1015" i="205" s="1"/>
  <c r="H1015" i="205" s="1"/>
  <c r="I1015" i="205" s="1"/>
  <c r="J1015" i="205" s="1"/>
  <c r="AM1015" i="205" s="1"/>
  <c r="C1015" i="205"/>
  <c r="D1014" i="205"/>
  <c r="F1014" i="205" s="1"/>
  <c r="G1014" i="205" s="1"/>
  <c r="H1014" i="205" s="1"/>
  <c r="I1014" i="205" s="1"/>
  <c r="J1014" i="205" s="1"/>
  <c r="C1014" i="205"/>
  <c r="D1013" i="205"/>
  <c r="C1013" i="205"/>
  <c r="D1012" i="205"/>
  <c r="F1012" i="205" s="1"/>
  <c r="G1012" i="205" s="1"/>
  <c r="H1012" i="205" s="1"/>
  <c r="I1012" i="205" s="1"/>
  <c r="J1012" i="205" s="1"/>
  <c r="C1012" i="205"/>
  <c r="D1011" i="205"/>
  <c r="C1011" i="205"/>
  <c r="D1010" i="205"/>
  <c r="F1010" i="205" s="1"/>
  <c r="G1010" i="205" s="1"/>
  <c r="H1010" i="205" s="1"/>
  <c r="I1010" i="205" s="1"/>
  <c r="J1010" i="205" s="1"/>
  <c r="C1010" i="205"/>
  <c r="D1009" i="205"/>
  <c r="C1009" i="205"/>
  <c r="D1008" i="205"/>
  <c r="F1008" i="205" s="1"/>
  <c r="G1008" i="205" s="1"/>
  <c r="H1008" i="205" s="1"/>
  <c r="I1008" i="205" s="1"/>
  <c r="J1008" i="205" s="1"/>
  <c r="C1008" i="205"/>
  <c r="D1007" i="205"/>
  <c r="F1007" i="205" s="1"/>
  <c r="G1007" i="205" s="1"/>
  <c r="H1007" i="205" s="1"/>
  <c r="I1007" i="205" s="1"/>
  <c r="J1007" i="205" s="1"/>
  <c r="C1007" i="205"/>
  <c r="D1006" i="205"/>
  <c r="F1006" i="205" s="1"/>
  <c r="G1006" i="205" s="1"/>
  <c r="H1006" i="205" s="1"/>
  <c r="I1006" i="205" s="1"/>
  <c r="J1006" i="205" s="1"/>
  <c r="C1006" i="205"/>
  <c r="D1005" i="205"/>
  <c r="C1005" i="205"/>
  <c r="D1004" i="205"/>
  <c r="F1004" i="205" s="1"/>
  <c r="G1004" i="205" s="1"/>
  <c r="H1004" i="205" s="1"/>
  <c r="I1004" i="205" s="1"/>
  <c r="J1004" i="205" s="1"/>
  <c r="C1004" i="205"/>
  <c r="D1003" i="205"/>
  <c r="F1003" i="205" s="1"/>
  <c r="G1003" i="205" s="1"/>
  <c r="H1003" i="205" s="1"/>
  <c r="I1003" i="205" s="1"/>
  <c r="J1003" i="205" s="1"/>
  <c r="AM1003" i="205" s="1"/>
  <c r="C1003" i="205"/>
  <c r="D1002" i="205"/>
  <c r="F1002" i="205" s="1"/>
  <c r="G1002" i="205" s="1"/>
  <c r="H1002" i="205" s="1"/>
  <c r="I1002" i="205" s="1"/>
  <c r="J1002" i="205" s="1"/>
  <c r="C1002" i="205"/>
  <c r="D998" i="205"/>
  <c r="F998" i="205" s="1"/>
  <c r="G998" i="205" s="1"/>
  <c r="H998" i="205" s="1"/>
  <c r="I998" i="205" s="1"/>
  <c r="J998" i="205" s="1"/>
  <c r="C998" i="205"/>
  <c r="D997" i="205"/>
  <c r="F997" i="205" s="1"/>
  <c r="G997" i="205" s="1"/>
  <c r="H997" i="205" s="1"/>
  <c r="I997" i="205" s="1"/>
  <c r="J997" i="205" s="1"/>
  <c r="AM997" i="205" s="1"/>
  <c r="C997" i="205"/>
  <c r="D996" i="205"/>
  <c r="F996" i="205" s="1"/>
  <c r="G996" i="205" s="1"/>
  <c r="H996" i="205" s="1"/>
  <c r="I996" i="205" s="1"/>
  <c r="J996" i="205" s="1"/>
  <c r="C996" i="205"/>
  <c r="D995" i="205"/>
  <c r="F995" i="205" s="1"/>
  <c r="G995" i="205" s="1"/>
  <c r="H995" i="205" s="1"/>
  <c r="I995" i="205" s="1"/>
  <c r="J995" i="205" s="1"/>
  <c r="C995" i="205"/>
  <c r="D994" i="205"/>
  <c r="F994" i="205" s="1"/>
  <c r="G994" i="205" s="1"/>
  <c r="H994" i="205" s="1"/>
  <c r="I994" i="205" s="1"/>
  <c r="J994" i="205" s="1"/>
  <c r="C994" i="205"/>
  <c r="D993" i="205"/>
  <c r="F993" i="205" s="1"/>
  <c r="G993" i="205" s="1"/>
  <c r="H993" i="205" s="1"/>
  <c r="I993" i="205" s="1"/>
  <c r="J993" i="205" s="1"/>
  <c r="AM993" i="205" s="1"/>
  <c r="C993" i="205"/>
  <c r="D992" i="205"/>
  <c r="F992" i="205" s="1"/>
  <c r="G992" i="205" s="1"/>
  <c r="H992" i="205" s="1"/>
  <c r="I992" i="205" s="1"/>
  <c r="J992" i="205" s="1"/>
  <c r="C992" i="205"/>
  <c r="D991" i="205"/>
  <c r="F991" i="205" s="1"/>
  <c r="G991" i="205" s="1"/>
  <c r="H991" i="205" s="1"/>
  <c r="I991" i="205" s="1"/>
  <c r="J991" i="205" s="1"/>
  <c r="AM991" i="205" s="1"/>
  <c r="C991" i="205"/>
  <c r="D990" i="205"/>
  <c r="F990" i="205" s="1"/>
  <c r="G990" i="205" s="1"/>
  <c r="H990" i="205" s="1"/>
  <c r="I990" i="205" s="1"/>
  <c r="J990" i="205" s="1"/>
  <c r="C990" i="205"/>
  <c r="D989" i="205"/>
  <c r="F989" i="205" s="1"/>
  <c r="G989" i="205" s="1"/>
  <c r="H989" i="205" s="1"/>
  <c r="I989" i="205" s="1"/>
  <c r="J989" i="205" s="1"/>
  <c r="C989" i="205"/>
  <c r="D988" i="205"/>
  <c r="F988" i="205" s="1"/>
  <c r="G988" i="205" s="1"/>
  <c r="H988" i="205" s="1"/>
  <c r="I988" i="205" s="1"/>
  <c r="J988" i="205" s="1"/>
  <c r="C988" i="205"/>
  <c r="D987" i="205"/>
  <c r="F987" i="205" s="1"/>
  <c r="G987" i="205" s="1"/>
  <c r="H987" i="205" s="1"/>
  <c r="I987" i="205" s="1"/>
  <c r="J987" i="205" s="1"/>
  <c r="AM987" i="205" s="1"/>
  <c r="C987" i="205"/>
  <c r="D986" i="205"/>
  <c r="F986" i="205" s="1"/>
  <c r="G986" i="205" s="1"/>
  <c r="H986" i="205" s="1"/>
  <c r="I986" i="205" s="1"/>
  <c r="J986" i="205" s="1"/>
  <c r="C986" i="205"/>
  <c r="D985" i="205"/>
  <c r="F985" i="205" s="1"/>
  <c r="G985" i="205" s="1"/>
  <c r="H985" i="205" s="1"/>
  <c r="I985" i="205" s="1"/>
  <c r="J985" i="205" s="1"/>
  <c r="AM985" i="205" s="1"/>
  <c r="C985" i="205"/>
  <c r="D984" i="205"/>
  <c r="F984" i="205" s="1"/>
  <c r="G984" i="205" s="1"/>
  <c r="H984" i="205" s="1"/>
  <c r="I984" i="205" s="1"/>
  <c r="J984" i="205" s="1"/>
  <c r="C984" i="205"/>
  <c r="D983" i="205"/>
  <c r="F983" i="205" s="1"/>
  <c r="G983" i="205" s="1"/>
  <c r="H983" i="205" s="1"/>
  <c r="I983" i="205" s="1"/>
  <c r="J983" i="205" s="1"/>
  <c r="C983" i="205"/>
  <c r="D982" i="205"/>
  <c r="F982" i="205" s="1"/>
  <c r="G982" i="205" s="1"/>
  <c r="H982" i="205" s="1"/>
  <c r="I982" i="205" s="1"/>
  <c r="J982" i="205" s="1"/>
  <c r="C982" i="205"/>
  <c r="D981" i="205"/>
  <c r="F981" i="205" s="1"/>
  <c r="G981" i="205" s="1"/>
  <c r="H981" i="205" s="1"/>
  <c r="I981" i="205" s="1"/>
  <c r="J981" i="205" s="1"/>
  <c r="AM981" i="205" s="1"/>
  <c r="C981" i="205"/>
  <c r="D980" i="205"/>
  <c r="F980" i="205" s="1"/>
  <c r="G980" i="205" s="1"/>
  <c r="H980" i="205" s="1"/>
  <c r="I980" i="205" s="1"/>
  <c r="J980" i="205" s="1"/>
  <c r="C980" i="205"/>
  <c r="D979" i="205"/>
  <c r="F979" i="205" s="1"/>
  <c r="G979" i="205" s="1"/>
  <c r="H979" i="205" s="1"/>
  <c r="I979" i="205" s="1"/>
  <c r="J979" i="205" s="1"/>
  <c r="AM979" i="205" s="1"/>
  <c r="C979" i="205"/>
  <c r="D978" i="205"/>
  <c r="F978" i="205" s="1"/>
  <c r="G978" i="205" s="1"/>
  <c r="H978" i="205" s="1"/>
  <c r="I978" i="205" s="1"/>
  <c r="J978" i="205" s="1"/>
  <c r="C978" i="205"/>
  <c r="D973" i="205"/>
  <c r="F973" i="205" s="1"/>
  <c r="G973" i="205" s="1"/>
  <c r="H973" i="205" s="1"/>
  <c r="I973" i="205" s="1"/>
  <c r="J973" i="205" s="1"/>
  <c r="C973" i="205"/>
  <c r="D972" i="205"/>
  <c r="F972" i="205" s="1"/>
  <c r="G972" i="205" s="1"/>
  <c r="H972" i="205" s="1"/>
  <c r="I972" i="205" s="1"/>
  <c r="J972" i="205" s="1"/>
  <c r="C972" i="205"/>
  <c r="D968" i="205"/>
  <c r="C968" i="205"/>
  <c r="D967" i="205"/>
  <c r="F967" i="205" s="1"/>
  <c r="G967" i="205" s="1"/>
  <c r="H967" i="205" s="1"/>
  <c r="I967" i="205" s="1"/>
  <c r="J967" i="205" s="1"/>
  <c r="AM967" i="205" s="1"/>
  <c r="C967" i="205"/>
  <c r="D966" i="205"/>
  <c r="F966" i="205" s="1"/>
  <c r="G966" i="205" s="1"/>
  <c r="H966" i="205" s="1"/>
  <c r="I966" i="205" s="1"/>
  <c r="J966" i="205" s="1"/>
  <c r="C966" i="205"/>
  <c r="D962" i="205"/>
  <c r="F962" i="205" s="1"/>
  <c r="G962" i="205" s="1"/>
  <c r="H962" i="205" s="1"/>
  <c r="I962" i="205" s="1"/>
  <c r="J962" i="205" s="1"/>
  <c r="C962" i="205"/>
  <c r="D961" i="205"/>
  <c r="F961" i="205" s="1"/>
  <c r="G961" i="205" s="1"/>
  <c r="H961" i="205" s="1"/>
  <c r="I961" i="205" s="1"/>
  <c r="J961" i="205" s="1"/>
  <c r="C961" i="205"/>
  <c r="D960" i="205"/>
  <c r="F960" i="205" s="1"/>
  <c r="G960" i="205" s="1"/>
  <c r="H960" i="205" s="1"/>
  <c r="I960" i="205" s="1"/>
  <c r="J960" i="205" s="1"/>
  <c r="C960" i="205"/>
  <c r="D959" i="205"/>
  <c r="F959" i="205" s="1"/>
  <c r="G959" i="205" s="1"/>
  <c r="H959" i="205" s="1"/>
  <c r="I959" i="205" s="1"/>
  <c r="J959" i="205" s="1"/>
  <c r="C959" i="205"/>
  <c r="D958" i="205"/>
  <c r="F958" i="205" s="1"/>
  <c r="G958" i="205" s="1"/>
  <c r="H958" i="205" s="1"/>
  <c r="I958" i="205" s="1"/>
  <c r="J958" i="205" s="1"/>
  <c r="AM958" i="205" s="1"/>
  <c r="C958" i="205"/>
  <c r="D957" i="205"/>
  <c r="F957" i="205" s="1"/>
  <c r="G957" i="205" s="1"/>
  <c r="H957" i="205" s="1"/>
  <c r="I957" i="205" s="1"/>
  <c r="J957" i="205" s="1"/>
  <c r="C957" i="205"/>
  <c r="D950" i="205"/>
  <c r="F950" i="205" s="1"/>
  <c r="G950" i="205" s="1"/>
  <c r="H950" i="205" s="1"/>
  <c r="I950" i="205" s="1"/>
  <c r="J950" i="205" s="1"/>
  <c r="AM950" i="205" s="1"/>
  <c r="C950" i="205"/>
  <c r="D949" i="205"/>
  <c r="F949" i="205" s="1"/>
  <c r="G949" i="205" s="1"/>
  <c r="H949" i="205" s="1"/>
  <c r="I949" i="205" s="1"/>
  <c r="J949" i="205" s="1"/>
  <c r="C949" i="205"/>
  <c r="D948" i="205"/>
  <c r="F948" i="205" s="1"/>
  <c r="G948" i="205" s="1"/>
  <c r="H948" i="205" s="1"/>
  <c r="I948" i="205" s="1"/>
  <c r="J948" i="205" s="1"/>
  <c r="C948" i="205"/>
  <c r="D947" i="205"/>
  <c r="F947" i="205" s="1"/>
  <c r="G947" i="205" s="1"/>
  <c r="H947" i="205" s="1"/>
  <c r="I947" i="205" s="1"/>
  <c r="J947" i="205" s="1"/>
  <c r="C947" i="205"/>
  <c r="D946" i="205"/>
  <c r="F946" i="205" s="1"/>
  <c r="G946" i="205" s="1"/>
  <c r="H946" i="205" s="1"/>
  <c r="I946" i="205" s="1"/>
  <c r="J946" i="205" s="1"/>
  <c r="AM946" i="205" s="1"/>
  <c r="C946" i="205"/>
  <c r="D945" i="205"/>
  <c r="C945" i="205"/>
  <c r="D944" i="205"/>
  <c r="F944" i="205" s="1"/>
  <c r="G944" i="205" s="1"/>
  <c r="H944" i="205" s="1"/>
  <c r="I944" i="205" s="1"/>
  <c r="J944" i="205" s="1"/>
  <c r="C944" i="205"/>
  <c r="D943" i="205"/>
  <c r="F943" i="205" s="1"/>
  <c r="G943" i="205" s="1"/>
  <c r="H943" i="205" s="1"/>
  <c r="I943" i="205" s="1"/>
  <c r="J943" i="205" s="1"/>
  <c r="C943" i="205"/>
  <c r="D942" i="205"/>
  <c r="F942" i="205" s="1"/>
  <c r="G942" i="205" s="1"/>
  <c r="H942" i="205" s="1"/>
  <c r="I942" i="205" s="1"/>
  <c r="J942" i="205" s="1"/>
  <c r="C942" i="205"/>
  <c r="D938" i="205"/>
  <c r="C938" i="205"/>
  <c r="D937" i="205"/>
  <c r="F937" i="205" s="1"/>
  <c r="G937" i="205" s="1"/>
  <c r="H937" i="205" s="1"/>
  <c r="I937" i="205" s="1"/>
  <c r="J937" i="205" s="1"/>
  <c r="C937" i="205"/>
  <c r="D936" i="205"/>
  <c r="F936" i="205" s="1"/>
  <c r="G936" i="205" s="1"/>
  <c r="H936" i="205" s="1"/>
  <c r="I936" i="205" s="1"/>
  <c r="J936" i="205" s="1"/>
  <c r="C936" i="205"/>
  <c r="D932" i="205"/>
  <c r="F932" i="205" s="1"/>
  <c r="G932" i="205" s="1"/>
  <c r="H932" i="205" s="1"/>
  <c r="I932" i="205" s="1"/>
  <c r="J932" i="205" s="1"/>
  <c r="C932" i="205"/>
  <c r="D931" i="205"/>
  <c r="C931" i="205"/>
  <c r="D930" i="205"/>
  <c r="F930" i="205" s="1"/>
  <c r="G930" i="205" s="1"/>
  <c r="H930" i="205" s="1"/>
  <c r="I930" i="205" s="1"/>
  <c r="J930" i="205" s="1"/>
  <c r="C930" i="205"/>
  <c r="D926" i="205"/>
  <c r="C926" i="205"/>
  <c r="D925" i="205"/>
  <c r="F925" i="205" s="1"/>
  <c r="G925" i="205" s="1"/>
  <c r="H925" i="205" s="1"/>
  <c r="I925" i="205" s="1"/>
  <c r="J925" i="205" s="1"/>
  <c r="C925" i="205"/>
  <c r="D924" i="205"/>
  <c r="C924" i="205"/>
  <c r="D920" i="205"/>
  <c r="F920" i="205" s="1"/>
  <c r="G920" i="205" s="1"/>
  <c r="H920" i="205" s="1"/>
  <c r="I920" i="205" s="1"/>
  <c r="J920" i="205" s="1"/>
  <c r="C920" i="205"/>
  <c r="D919" i="205"/>
  <c r="F919" i="205" s="1"/>
  <c r="G919" i="205" s="1"/>
  <c r="H919" i="205" s="1"/>
  <c r="I919" i="205" s="1"/>
  <c r="J919" i="205" s="1"/>
  <c r="C919" i="205"/>
  <c r="D918" i="205"/>
  <c r="F918" i="205" s="1"/>
  <c r="G918" i="205" s="1"/>
  <c r="H918" i="205" s="1"/>
  <c r="I918" i="205" s="1"/>
  <c r="J918" i="205" s="1"/>
  <c r="C918" i="205"/>
  <c r="D917" i="205"/>
  <c r="F917" i="205" s="1"/>
  <c r="G917" i="205" s="1"/>
  <c r="H917" i="205" s="1"/>
  <c r="I917" i="205" s="1"/>
  <c r="J917" i="205" s="1"/>
  <c r="AM917" i="205" s="1"/>
  <c r="C917" i="205"/>
  <c r="D916" i="205"/>
  <c r="F916" i="205" s="1"/>
  <c r="G916" i="205" s="1"/>
  <c r="H916" i="205" s="1"/>
  <c r="I916" i="205" s="1"/>
  <c r="J916" i="205" s="1"/>
  <c r="AM916" i="205" s="1"/>
  <c r="C916" i="205"/>
  <c r="D915" i="205"/>
  <c r="F915" i="205" s="1"/>
  <c r="G915" i="205" s="1"/>
  <c r="H915" i="205" s="1"/>
  <c r="I915" i="205" s="1"/>
  <c r="J915" i="205" s="1"/>
  <c r="AM915" i="205" s="1"/>
  <c r="C915" i="205"/>
  <c r="D914" i="205"/>
  <c r="F914" i="205" s="1"/>
  <c r="G914" i="205" s="1"/>
  <c r="H914" i="205" s="1"/>
  <c r="I914" i="205" s="1"/>
  <c r="J914" i="205" s="1"/>
  <c r="C914" i="205"/>
  <c r="D913" i="205"/>
  <c r="C913" i="205"/>
  <c r="D912" i="205"/>
  <c r="F912" i="205" s="1"/>
  <c r="G912" i="205" s="1"/>
  <c r="H912" i="205" s="1"/>
  <c r="I912" i="205" s="1"/>
  <c r="J912" i="205" s="1"/>
  <c r="AM912" i="205" s="1"/>
  <c r="C912" i="205"/>
  <c r="D911" i="205"/>
  <c r="F911" i="205" s="1"/>
  <c r="G911" i="205" s="1"/>
  <c r="H911" i="205" s="1"/>
  <c r="I911" i="205" s="1"/>
  <c r="J911" i="205" s="1"/>
  <c r="C911" i="205"/>
  <c r="D910" i="205"/>
  <c r="F910" i="205" s="1"/>
  <c r="G910" i="205" s="1"/>
  <c r="H910" i="205" s="1"/>
  <c r="I910" i="205" s="1"/>
  <c r="J910" i="205" s="1"/>
  <c r="C910" i="205"/>
  <c r="D909" i="205"/>
  <c r="C909" i="205"/>
  <c r="D908" i="205"/>
  <c r="F908" i="205" s="1"/>
  <c r="G908" i="205" s="1"/>
  <c r="H908" i="205" s="1"/>
  <c r="I908" i="205" s="1"/>
  <c r="J908" i="205" s="1"/>
  <c r="C908" i="205"/>
  <c r="D907" i="205"/>
  <c r="C907" i="205"/>
  <c r="D906" i="205"/>
  <c r="F906" i="205" s="1"/>
  <c r="G906" i="205" s="1"/>
  <c r="H906" i="205" s="1"/>
  <c r="I906" i="205" s="1"/>
  <c r="J906" i="205" s="1"/>
  <c r="C906" i="205"/>
  <c r="D905" i="205"/>
  <c r="C905" i="205"/>
  <c r="D904" i="205"/>
  <c r="F904" i="205" s="1"/>
  <c r="G904" i="205" s="1"/>
  <c r="H904" i="205" s="1"/>
  <c r="I904" i="205" s="1"/>
  <c r="J904" i="205" s="1"/>
  <c r="AM904" i="205" s="1"/>
  <c r="C904" i="205"/>
  <c r="D903" i="205"/>
  <c r="F903" i="205" s="1"/>
  <c r="G903" i="205" s="1"/>
  <c r="H903" i="205" s="1"/>
  <c r="I903" i="205" s="1"/>
  <c r="J903" i="205" s="1"/>
  <c r="AM903" i="205" s="1"/>
  <c r="C903" i="205"/>
  <c r="D902" i="205"/>
  <c r="F902" i="205" s="1"/>
  <c r="G902" i="205" s="1"/>
  <c r="H902" i="205" s="1"/>
  <c r="I902" i="205" s="1"/>
  <c r="J902" i="205" s="1"/>
  <c r="AM902" i="205" s="1"/>
  <c r="C902" i="205"/>
  <c r="D901" i="205"/>
  <c r="C901" i="205"/>
  <c r="D900" i="205"/>
  <c r="F900" i="205" s="1"/>
  <c r="G900" i="205" s="1"/>
  <c r="H900" i="205" s="1"/>
  <c r="I900" i="205" s="1"/>
  <c r="J900" i="205" s="1"/>
  <c r="C900" i="205"/>
  <c r="D899" i="205"/>
  <c r="F899" i="205" s="1"/>
  <c r="G899" i="205" s="1"/>
  <c r="H899" i="205" s="1"/>
  <c r="I899" i="205" s="1"/>
  <c r="J899" i="205" s="1"/>
  <c r="C899" i="205"/>
  <c r="D898" i="205"/>
  <c r="F898" i="205" s="1"/>
  <c r="G898" i="205" s="1"/>
  <c r="H898" i="205" s="1"/>
  <c r="I898" i="205" s="1"/>
  <c r="J898" i="205" s="1"/>
  <c r="C898" i="205"/>
  <c r="D897" i="205"/>
  <c r="C897" i="205"/>
  <c r="D896" i="205"/>
  <c r="F896" i="205" s="1"/>
  <c r="G896" i="205" s="1"/>
  <c r="H896" i="205" s="1"/>
  <c r="I896" i="205" s="1"/>
  <c r="J896" i="205" s="1"/>
  <c r="AM896" i="205" s="1"/>
  <c r="C896" i="205"/>
  <c r="D895" i="205"/>
  <c r="C895" i="205"/>
  <c r="D894" i="205"/>
  <c r="F894" i="205" s="1"/>
  <c r="G894" i="205" s="1"/>
  <c r="H894" i="205" s="1"/>
  <c r="I894" i="205" s="1"/>
  <c r="J894" i="205" s="1"/>
  <c r="C894" i="205"/>
  <c r="D893" i="205"/>
  <c r="F893" i="205" s="1"/>
  <c r="G893" i="205" s="1"/>
  <c r="H893" i="205" s="1"/>
  <c r="I893" i="205" s="1"/>
  <c r="J893" i="205" s="1"/>
  <c r="C893" i="205"/>
  <c r="D892" i="205"/>
  <c r="F892" i="205" s="1"/>
  <c r="G892" i="205" s="1"/>
  <c r="H892" i="205" s="1"/>
  <c r="I892" i="205" s="1"/>
  <c r="J892" i="205" s="1"/>
  <c r="C892" i="205"/>
  <c r="D891" i="205"/>
  <c r="F891" i="205" s="1"/>
  <c r="G891" i="205" s="1"/>
  <c r="H891" i="205" s="1"/>
  <c r="I891" i="205" s="1"/>
  <c r="J891" i="205" s="1"/>
  <c r="C891" i="205"/>
  <c r="D887" i="205"/>
  <c r="F887" i="205" s="1"/>
  <c r="G887" i="205" s="1"/>
  <c r="H887" i="205" s="1"/>
  <c r="I887" i="205" s="1"/>
  <c r="J887" i="205" s="1"/>
  <c r="C887" i="205"/>
  <c r="D886" i="205"/>
  <c r="F886" i="205" s="1"/>
  <c r="G886" i="205" s="1"/>
  <c r="H886" i="205" s="1"/>
  <c r="I886" i="205" s="1"/>
  <c r="J886" i="205" s="1"/>
  <c r="C886" i="205"/>
  <c r="D885" i="205"/>
  <c r="F885" i="205" s="1"/>
  <c r="G885" i="205" s="1"/>
  <c r="H885" i="205" s="1"/>
  <c r="I885" i="205" s="1"/>
  <c r="J885" i="205" s="1"/>
  <c r="AM885" i="205" s="1"/>
  <c r="C885" i="205"/>
  <c r="D884" i="205"/>
  <c r="C884" i="205"/>
  <c r="D883" i="205"/>
  <c r="F883" i="205" s="1"/>
  <c r="G883" i="205" s="1"/>
  <c r="H883" i="205" s="1"/>
  <c r="I883" i="205" s="1"/>
  <c r="J883" i="205" s="1"/>
  <c r="C883" i="205"/>
  <c r="D882" i="205"/>
  <c r="F882" i="205" s="1"/>
  <c r="G882" i="205" s="1"/>
  <c r="H882" i="205" s="1"/>
  <c r="I882" i="205" s="1"/>
  <c r="J882" i="205" s="1"/>
  <c r="C882" i="205"/>
  <c r="D881" i="205"/>
  <c r="F881" i="205" s="1"/>
  <c r="G881" i="205" s="1"/>
  <c r="H881" i="205" s="1"/>
  <c r="I881" i="205" s="1"/>
  <c r="J881" i="205" s="1"/>
  <c r="AM881" i="205" s="1"/>
  <c r="C881" i="205"/>
  <c r="D880" i="205"/>
  <c r="F880" i="205" s="1"/>
  <c r="G880" i="205" s="1"/>
  <c r="H880" i="205" s="1"/>
  <c r="I880" i="205" s="1"/>
  <c r="J880" i="205" s="1"/>
  <c r="C880" i="205"/>
  <c r="D879" i="205"/>
  <c r="F879" i="205" s="1"/>
  <c r="G879" i="205" s="1"/>
  <c r="H879" i="205" s="1"/>
  <c r="I879" i="205" s="1"/>
  <c r="J879" i="205" s="1"/>
  <c r="C879" i="205"/>
  <c r="D878" i="205"/>
  <c r="F878" i="205" s="1"/>
  <c r="G878" i="205" s="1"/>
  <c r="H878" i="205" s="1"/>
  <c r="I878" i="205" s="1"/>
  <c r="J878" i="205" s="1"/>
  <c r="C878" i="205"/>
  <c r="D877" i="205"/>
  <c r="F877" i="205" s="1"/>
  <c r="G877" i="205" s="1"/>
  <c r="H877" i="205" s="1"/>
  <c r="I877" i="205" s="1"/>
  <c r="J877" i="205" s="1"/>
  <c r="C877" i="205"/>
  <c r="D876" i="205"/>
  <c r="F876" i="205" s="1"/>
  <c r="G876" i="205" s="1"/>
  <c r="H876" i="205" s="1"/>
  <c r="I876" i="205" s="1"/>
  <c r="J876" i="205" s="1"/>
  <c r="C876" i="205"/>
  <c r="D875" i="205"/>
  <c r="F875" i="205" s="1"/>
  <c r="G875" i="205" s="1"/>
  <c r="H875" i="205" s="1"/>
  <c r="I875" i="205" s="1"/>
  <c r="J875" i="205" s="1"/>
  <c r="AM875" i="205" s="1"/>
  <c r="C875" i="205"/>
  <c r="D874" i="205"/>
  <c r="F874" i="205" s="1"/>
  <c r="G874" i="205" s="1"/>
  <c r="H874" i="205" s="1"/>
  <c r="I874" i="205" s="1"/>
  <c r="J874" i="205" s="1"/>
  <c r="AM874" i="205" s="1"/>
  <c r="C874" i="205"/>
  <c r="D873" i="205"/>
  <c r="F873" i="205" s="1"/>
  <c r="G873" i="205" s="1"/>
  <c r="H873" i="205" s="1"/>
  <c r="I873" i="205" s="1"/>
  <c r="J873" i="205" s="1"/>
  <c r="AM873" i="205" s="1"/>
  <c r="C873" i="205"/>
  <c r="D872" i="205"/>
  <c r="C872" i="205"/>
  <c r="D871" i="205"/>
  <c r="F871" i="205" s="1"/>
  <c r="G871" i="205" s="1"/>
  <c r="H871" i="205" s="1"/>
  <c r="I871" i="205" s="1"/>
  <c r="J871" i="205" s="1"/>
  <c r="C871" i="205"/>
  <c r="D870" i="205"/>
  <c r="F870" i="205" s="1"/>
  <c r="G870" i="205" s="1"/>
  <c r="H870" i="205" s="1"/>
  <c r="I870" i="205" s="1"/>
  <c r="J870" i="205" s="1"/>
  <c r="C870" i="205"/>
  <c r="D869" i="205"/>
  <c r="F869" i="205" s="1"/>
  <c r="G869" i="205" s="1"/>
  <c r="H869" i="205" s="1"/>
  <c r="I869" i="205" s="1"/>
  <c r="J869" i="205" s="1"/>
  <c r="AM869" i="205" s="1"/>
  <c r="C869" i="205"/>
  <c r="D868" i="205"/>
  <c r="C868" i="205"/>
  <c r="D867" i="205"/>
  <c r="F867" i="205" s="1"/>
  <c r="G867" i="205" s="1"/>
  <c r="H867" i="205" s="1"/>
  <c r="I867" i="205" s="1"/>
  <c r="J867" i="205" s="1"/>
  <c r="C867" i="205"/>
  <c r="D866" i="205"/>
  <c r="C866" i="205"/>
  <c r="D865" i="205"/>
  <c r="F865" i="205" s="1"/>
  <c r="G865" i="205" s="1"/>
  <c r="H865" i="205" s="1"/>
  <c r="I865" i="205" s="1"/>
  <c r="J865" i="205" s="1"/>
  <c r="C865" i="205"/>
  <c r="D864" i="205"/>
  <c r="F864" i="205" s="1"/>
  <c r="G864" i="205" s="1"/>
  <c r="H864" i="205" s="1"/>
  <c r="I864" i="205" s="1"/>
  <c r="J864" i="205" s="1"/>
  <c r="C864" i="205"/>
  <c r="D850" i="205"/>
  <c r="F850" i="205" s="1"/>
  <c r="G850" i="205" s="1"/>
  <c r="H850" i="205" s="1"/>
  <c r="I850" i="205" s="1"/>
  <c r="J850" i="205" s="1"/>
  <c r="D520" i="205"/>
  <c r="F520" i="205" s="1"/>
  <c r="G520" i="205" s="1"/>
  <c r="H520" i="205" s="1"/>
  <c r="I520" i="205" s="1"/>
  <c r="J520" i="205" s="1"/>
  <c r="AM520" i="205" s="1"/>
  <c r="D1001" i="205"/>
  <c r="F1001" i="205" s="1"/>
  <c r="G1001" i="205" s="1"/>
  <c r="H1001" i="205" s="1"/>
  <c r="I1001" i="205" s="1"/>
  <c r="J1001" i="205" s="1"/>
  <c r="C1001" i="205"/>
  <c r="D1000" i="205"/>
  <c r="F1000" i="205" s="1"/>
  <c r="G1000" i="205" s="1"/>
  <c r="H1000" i="205" s="1"/>
  <c r="I1000" i="205" s="1"/>
  <c r="J1000" i="205" s="1"/>
  <c r="C1000" i="205"/>
  <c r="D999" i="205"/>
  <c r="F999" i="205" s="1"/>
  <c r="G999" i="205" s="1"/>
  <c r="H999" i="205" s="1"/>
  <c r="I999" i="205" s="1"/>
  <c r="J999" i="205" s="1"/>
  <c r="C999" i="205"/>
  <c r="D956" i="205"/>
  <c r="F956" i="205" s="1"/>
  <c r="G956" i="205" s="1"/>
  <c r="H956" i="205" s="1"/>
  <c r="I956" i="205" s="1"/>
  <c r="J956" i="205" s="1"/>
  <c r="C956" i="205"/>
  <c r="D955" i="205"/>
  <c r="F955" i="205" s="1"/>
  <c r="G955" i="205" s="1"/>
  <c r="H955" i="205" s="1"/>
  <c r="I955" i="205" s="1"/>
  <c r="J955" i="205" s="1"/>
  <c r="C955" i="205"/>
  <c r="D954" i="205"/>
  <c r="F954" i="205" s="1"/>
  <c r="G954" i="205" s="1"/>
  <c r="H954" i="205" s="1"/>
  <c r="I954" i="205" s="1"/>
  <c r="J954" i="205" s="1"/>
  <c r="AM954" i="205" s="1"/>
  <c r="C954" i="205"/>
  <c r="D953" i="205"/>
  <c r="F953" i="205" s="1"/>
  <c r="G953" i="205" s="1"/>
  <c r="H953" i="205" s="1"/>
  <c r="I953" i="205" s="1"/>
  <c r="J953" i="205" s="1"/>
  <c r="C953" i="205"/>
  <c r="D952" i="205"/>
  <c r="F952" i="205" s="1"/>
  <c r="G952" i="205" s="1"/>
  <c r="H952" i="205" s="1"/>
  <c r="I952" i="205" s="1"/>
  <c r="J952" i="205" s="1"/>
  <c r="C952" i="205"/>
  <c r="D951" i="205"/>
  <c r="F951" i="205" s="1"/>
  <c r="G951" i="205" s="1"/>
  <c r="H951" i="205" s="1"/>
  <c r="I951" i="205" s="1"/>
  <c r="J951" i="205" s="1"/>
  <c r="C951" i="205"/>
  <c r="D206" i="205"/>
  <c r="F206" i="205" s="1"/>
  <c r="G206" i="205" s="1"/>
  <c r="H206" i="205" s="1"/>
  <c r="I206" i="205" s="1"/>
  <c r="J206" i="205" s="1"/>
  <c r="AM206" i="205" s="1"/>
  <c r="C206" i="205"/>
  <c r="D205" i="205"/>
  <c r="F205" i="205" s="1"/>
  <c r="G205" i="205" s="1"/>
  <c r="H205" i="205" s="1"/>
  <c r="I205" i="205" s="1"/>
  <c r="J205" i="205" s="1"/>
  <c r="AM205" i="205" s="1"/>
  <c r="C205" i="205"/>
  <c r="D204" i="205"/>
  <c r="F204" i="205" s="1"/>
  <c r="G204" i="205" s="1"/>
  <c r="H204" i="205" s="1"/>
  <c r="I204" i="205" s="1"/>
  <c r="J204" i="205" s="1"/>
  <c r="AM204" i="205" s="1"/>
  <c r="C204" i="205"/>
  <c r="D203" i="205"/>
  <c r="F203" i="205" s="1"/>
  <c r="G203" i="205" s="1"/>
  <c r="H203" i="205" s="1"/>
  <c r="I203" i="205" s="1"/>
  <c r="J203" i="205" s="1"/>
  <c r="AM203" i="205" s="1"/>
  <c r="C203" i="205"/>
  <c r="D202" i="205"/>
  <c r="F202" i="205" s="1"/>
  <c r="G202" i="205" s="1"/>
  <c r="H202" i="205" s="1"/>
  <c r="I202" i="205" s="1"/>
  <c r="J202" i="205" s="1"/>
  <c r="AM202" i="205" s="1"/>
  <c r="C202" i="205"/>
  <c r="D201" i="205"/>
  <c r="F201" i="205" s="1"/>
  <c r="G201" i="205" s="1"/>
  <c r="H201" i="205" s="1"/>
  <c r="I201" i="205" s="1"/>
  <c r="J201" i="205" s="1"/>
  <c r="AM201" i="205" s="1"/>
  <c r="C201" i="205"/>
  <c r="D200" i="205"/>
  <c r="F200" i="205" s="1"/>
  <c r="G200" i="205" s="1"/>
  <c r="H200" i="205" s="1"/>
  <c r="I200" i="205" s="1"/>
  <c r="J200" i="205" s="1"/>
  <c r="AM200" i="205" s="1"/>
  <c r="C200" i="205"/>
  <c r="D199" i="205"/>
  <c r="F199" i="205" s="1"/>
  <c r="G199" i="205" s="1"/>
  <c r="C199" i="205"/>
  <c r="D198" i="205"/>
  <c r="F198" i="205" s="1"/>
  <c r="G198" i="205" s="1"/>
  <c r="H198" i="205" s="1"/>
  <c r="I198" i="205" s="1"/>
  <c r="J198" i="205" s="1"/>
  <c r="AM198" i="205" s="1"/>
  <c r="C198" i="205"/>
  <c r="D197" i="205"/>
  <c r="F197" i="205" s="1"/>
  <c r="G197" i="205" s="1"/>
  <c r="H197" i="205" s="1"/>
  <c r="I197" i="205" s="1"/>
  <c r="J197" i="205" s="1"/>
  <c r="C197" i="205"/>
  <c r="D196" i="205"/>
  <c r="F196" i="205" s="1"/>
  <c r="G196" i="205" s="1"/>
  <c r="H196" i="205" s="1"/>
  <c r="I196" i="205" s="1"/>
  <c r="J196" i="205" s="1"/>
  <c r="AM196" i="205" s="1"/>
  <c r="C196" i="205"/>
  <c r="D195" i="205"/>
  <c r="F195" i="205" s="1"/>
  <c r="G195" i="205" s="1"/>
  <c r="H195" i="205" s="1"/>
  <c r="I195" i="205" s="1"/>
  <c r="J195" i="205" s="1"/>
  <c r="AM195" i="205" s="1"/>
  <c r="C195" i="205"/>
  <c r="D194" i="205"/>
  <c r="F194" i="205" s="1"/>
  <c r="G194" i="205" s="1"/>
  <c r="H194" i="205" s="1"/>
  <c r="I194" i="205" s="1"/>
  <c r="J194" i="205" s="1"/>
  <c r="C194" i="205"/>
  <c r="D84" i="205"/>
  <c r="C84" i="205"/>
  <c r="J13" i="205"/>
  <c r="R13" i="205" s="1"/>
  <c r="X13" i="205" s="1"/>
  <c r="AD13" i="205" s="1"/>
  <c r="I13" i="205"/>
  <c r="H13" i="205"/>
  <c r="G13" i="205"/>
  <c r="F13" i="205"/>
  <c r="N13" i="205" s="1"/>
  <c r="T13" i="205" s="1"/>
  <c r="Z13" i="205" s="1"/>
  <c r="E13" i="205"/>
  <c r="E29" i="205" s="1"/>
  <c r="D13" i="205"/>
  <c r="D29" i="205" s="1"/>
  <c r="D59" i="205" s="1"/>
  <c r="C13" i="205"/>
  <c r="L1" i="205"/>
  <c r="AN1172" i="205"/>
  <c r="M1172" i="205"/>
  <c r="AN1171" i="205"/>
  <c r="M1171" i="205"/>
  <c r="A1171" i="205"/>
  <c r="A1172" i="205" s="1"/>
  <c r="AN1170" i="205"/>
  <c r="M1170" i="205"/>
  <c r="M1169" i="205"/>
  <c r="AN1166" i="205"/>
  <c r="M1166" i="205"/>
  <c r="AN1165" i="205"/>
  <c r="O1165" i="205"/>
  <c r="P1165" i="205" s="1"/>
  <c r="Q1165" i="205" s="1"/>
  <c r="R1165" i="205" s="1"/>
  <c r="M1165" i="205"/>
  <c r="A1165" i="205"/>
  <c r="A1166" i="205" s="1"/>
  <c r="AN1164" i="205"/>
  <c r="O1164" i="205"/>
  <c r="P1164" i="205" s="1"/>
  <c r="Q1164" i="205" s="1"/>
  <c r="R1164" i="205" s="1"/>
  <c r="M1164" i="205"/>
  <c r="AN1163" i="205"/>
  <c r="O1163" i="205"/>
  <c r="P1163" i="205" s="1"/>
  <c r="Q1163" i="205" s="1"/>
  <c r="R1163" i="205" s="1"/>
  <c r="M1163" i="205"/>
  <c r="AN1162" i="205"/>
  <c r="O1162" i="205"/>
  <c r="P1162" i="205" s="1"/>
  <c r="Q1162" i="205" s="1"/>
  <c r="R1162" i="205" s="1"/>
  <c r="M1162" i="205"/>
  <c r="A1162" i="205"/>
  <c r="A1163" i="205" s="1"/>
  <c r="AN1161" i="205"/>
  <c r="O1161" i="205"/>
  <c r="P1161" i="205" s="1"/>
  <c r="Q1161" i="205" s="1"/>
  <c r="R1161" i="205" s="1"/>
  <c r="M1161" i="205"/>
  <c r="AN1160" i="205"/>
  <c r="O1160" i="205"/>
  <c r="P1160" i="205" s="1"/>
  <c r="Q1160" i="205" s="1"/>
  <c r="R1160" i="205" s="1"/>
  <c r="M1160" i="205"/>
  <c r="AN1159" i="205"/>
  <c r="O1159" i="205"/>
  <c r="P1159" i="205" s="1"/>
  <c r="Q1159" i="205" s="1"/>
  <c r="R1159" i="205" s="1"/>
  <c r="M1159" i="205"/>
  <c r="A1159" i="205"/>
  <c r="A1160" i="205" s="1"/>
  <c r="AN1158" i="205"/>
  <c r="O1158" i="205"/>
  <c r="P1158" i="205" s="1"/>
  <c r="Q1158" i="205" s="1"/>
  <c r="R1158" i="205" s="1"/>
  <c r="M1158" i="205"/>
  <c r="AN1157" i="205"/>
  <c r="O1157" i="205"/>
  <c r="P1157" i="205" s="1"/>
  <c r="Q1157" i="205" s="1"/>
  <c r="R1157" i="205" s="1"/>
  <c r="M1157" i="205"/>
  <c r="AN1156" i="205"/>
  <c r="O1156" i="205"/>
  <c r="P1156" i="205" s="1"/>
  <c r="Q1156" i="205" s="1"/>
  <c r="R1156" i="205" s="1"/>
  <c r="M1156" i="205"/>
  <c r="A1156" i="205"/>
  <c r="A1157" i="205" s="1"/>
  <c r="AN1155" i="205"/>
  <c r="O1155" i="205"/>
  <c r="P1155" i="205" s="1"/>
  <c r="Q1155" i="205" s="1"/>
  <c r="R1155" i="205" s="1"/>
  <c r="M1155" i="205"/>
  <c r="M1154" i="205"/>
  <c r="AN1151" i="205"/>
  <c r="M1151" i="205"/>
  <c r="AN1150" i="205"/>
  <c r="M1150" i="205"/>
  <c r="A1150" i="205"/>
  <c r="A1151" i="205" s="1"/>
  <c r="AN1149" i="205"/>
  <c r="M1149" i="205"/>
  <c r="AN1148" i="205"/>
  <c r="M1148" i="205"/>
  <c r="AN1147" i="205"/>
  <c r="M1147" i="205"/>
  <c r="A1147" i="205"/>
  <c r="A1148" i="205" s="1"/>
  <c r="AN1146" i="205"/>
  <c r="M1146" i="205"/>
  <c r="AN1145" i="205"/>
  <c r="M1145" i="205"/>
  <c r="AN1144" i="205"/>
  <c r="M1144" i="205"/>
  <c r="A1144" i="205"/>
  <c r="A1145" i="205" s="1"/>
  <c r="AN1143" i="205"/>
  <c r="M1143" i="205"/>
  <c r="AN1142" i="205"/>
  <c r="M1142" i="205"/>
  <c r="AN1141" i="205"/>
  <c r="M1141" i="205"/>
  <c r="A1141" i="205"/>
  <c r="A1142" i="205" s="1"/>
  <c r="AN1140" i="205"/>
  <c r="M1140" i="205"/>
  <c r="AN1139" i="205"/>
  <c r="M1139" i="205"/>
  <c r="AN1138" i="205"/>
  <c r="M1138" i="205"/>
  <c r="A1138" i="205"/>
  <c r="A1139" i="205" s="1"/>
  <c r="AN1137" i="205"/>
  <c r="M1137" i="205"/>
  <c r="AN1136" i="205"/>
  <c r="M1136" i="205"/>
  <c r="AN1135" i="205"/>
  <c r="M1135" i="205"/>
  <c r="A1135" i="205"/>
  <c r="A1136" i="205" s="1"/>
  <c r="AN1134" i="205"/>
  <c r="M1134" i="205"/>
  <c r="AN1133" i="205"/>
  <c r="M1133" i="205"/>
  <c r="AN1132" i="205"/>
  <c r="M1132" i="205"/>
  <c r="A1132" i="205"/>
  <c r="A1133" i="205" s="1"/>
  <c r="AN1131" i="205"/>
  <c r="M1131" i="205"/>
  <c r="AN1130" i="205"/>
  <c r="M1130" i="205"/>
  <c r="AN1129" i="205"/>
  <c r="M1129" i="205"/>
  <c r="A1129" i="205"/>
  <c r="A1130" i="205" s="1"/>
  <c r="AN1128" i="205"/>
  <c r="M1128" i="205"/>
  <c r="AN1127" i="205"/>
  <c r="M1127" i="205"/>
  <c r="AN1126" i="205"/>
  <c r="M1126" i="205"/>
  <c r="A1126" i="205"/>
  <c r="A1127" i="205" s="1"/>
  <c r="AN1125" i="205"/>
  <c r="M1125" i="205"/>
  <c r="AN1124" i="205"/>
  <c r="M1124" i="205"/>
  <c r="AN1123" i="205"/>
  <c r="M1123" i="205"/>
  <c r="A1123" i="205"/>
  <c r="A1124" i="205" s="1"/>
  <c r="AN1122" i="205"/>
  <c r="M1122" i="205"/>
  <c r="AN1121" i="205"/>
  <c r="M1121" i="205"/>
  <c r="AN1120" i="205"/>
  <c r="M1120" i="205"/>
  <c r="A1120" i="205"/>
  <c r="A1121" i="205" s="1"/>
  <c r="AN1119" i="205"/>
  <c r="M1119" i="205"/>
  <c r="AN1118" i="205"/>
  <c r="M1118" i="205"/>
  <c r="AN1117" i="205"/>
  <c r="M1117" i="205"/>
  <c r="A1117" i="205"/>
  <c r="A1118" i="205" s="1"/>
  <c r="AN1116" i="205"/>
  <c r="M1116" i="205"/>
  <c r="AN1115" i="205"/>
  <c r="M1115" i="205"/>
  <c r="AN1114" i="205"/>
  <c r="M1114" i="205"/>
  <c r="A1114" i="205"/>
  <c r="A1115" i="205" s="1"/>
  <c r="AN1113" i="205"/>
  <c r="M1113" i="205"/>
  <c r="M1112" i="205"/>
  <c r="AN1109" i="205"/>
  <c r="O1109" i="205"/>
  <c r="P1109" i="205" s="1"/>
  <c r="Q1109" i="205" s="1"/>
  <c r="R1109" i="205" s="1"/>
  <c r="M1109" i="205"/>
  <c r="AN1108" i="205"/>
  <c r="O1108" i="205"/>
  <c r="P1108" i="205" s="1"/>
  <c r="Q1108" i="205" s="1"/>
  <c r="R1108" i="205" s="1"/>
  <c r="M1108" i="205"/>
  <c r="A1108" i="205"/>
  <c r="A1109" i="205" s="1"/>
  <c r="AN1107" i="205"/>
  <c r="O1107" i="205"/>
  <c r="P1107" i="205" s="1"/>
  <c r="Q1107" i="205" s="1"/>
  <c r="R1107" i="205" s="1"/>
  <c r="M1107" i="205"/>
  <c r="AN1106" i="205"/>
  <c r="O1106" i="205"/>
  <c r="P1106" i="205" s="1"/>
  <c r="Q1106" i="205" s="1"/>
  <c r="R1106" i="205" s="1"/>
  <c r="M1106" i="205"/>
  <c r="AN1105" i="205"/>
  <c r="O1105" i="205"/>
  <c r="P1105" i="205" s="1"/>
  <c r="Q1105" i="205" s="1"/>
  <c r="R1105" i="205" s="1"/>
  <c r="M1105" i="205"/>
  <c r="A1105" i="205"/>
  <c r="A1106" i="205" s="1"/>
  <c r="AN1104" i="205"/>
  <c r="O1104" i="205"/>
  <c r="P1104" i="205" s="1"/>
  <c r="Q1104" i="205" s="1"/>
  <c r="R1104" i="205" s="1"/>
  <c r="M1104" i="205"/>
  <c r="AN1103" i="205"/>
  <c r="O1103" i="205"/>
  <c r="P1103" i="205" s="1"/>
  <c r="Q1103" i="205" s="1"/>
  <c r="R1103" i="205" s="1"/>
  <c r="M1103" i="205"/>
  <c r="AN1102" i="205"/>
  <c r="O1102" i="205"/>
  <c r="P1102" i="205" s="1"/>
  <c r="Q1102" i="205" s="1"/>
  <c r="R1102" i="205" s="1"/>
  <c r="M1102" i="205"/>
  <c r="A1102" i="205"/>
  <c r="A1103" i="205" s="1"/>
  <c r="AN1101" i="205"/>
  <c r="O1101" i="205"/>
  <c r="P1101" i="205" s="1"/>
  <c r="Q1101" i="205" s="1"/>
  <c r="R1101" i="205" s="1"/>
  <c r="M1101" i="205"/>
  <c r="AN1100" i="205"/>
  <c r="O1100" i="205"/>
  <c r="P1100" i="205" s="1"/>
  <c r="Q1100" i="205" s="1"/>
  <c r="R1100" i="205" s="1"/>
  <c r="M1100" i="205"/>
  <c r="AN1099" i="205"/>
  <c r="O1099" i="205"/>
  <c r="P1099" i="205" s="1"/>
  <c r="Q1099" i="205" s="1"/>
  <c r="R1099" i="205" s="1"/>
  <c r="M1099" i="205"/>
  <c r="A1099" i="205"/>
  <c r="A1100" i="205" s="1"/>
  <c r="AN1098" i="205"/>
  <c r="O1098" i="205"/>
  <c r="P1098" i="205" s="1"/>
  <c r="Q1098" i="205" s="1"/>
  <c r="R1098" i="205" s="1"/>
  <c r="M1098" i="205"/>
  <c r="AN1097" i="205"/>
  <c r="O1097" i="205"/>
  <c r="P1097" i="205" s="1"/>
  <c r="Q1097" i="205" s="1"/>
  <c r="R1097" i="205" s="1"/>
  <c r="M1097" i="205"/>
  <c r="AN1096" i="205"/>
  <c r="O1096" i="205"/>
  <c r="P1096" i="205" s="1"/>
  <c r="Q1096" i="205" s="1"/>
  <c r="R1096" i="205" s="1"/>
  <c r="M1096" i="205"/>
  <c r="A1096" i="205"/>
  <c r="A1097" i="205" s="1"/>
  <c r="AN1095" i="205"/>
  <c r="O1095" i="205"/>
  <c r="P1095" i="205" s="1"/>
  <c r="Q1095" i="205" s="1"/>
  <c r="R1095" i="205" s="1"/>
  <c r="M1095" i="205"/>
  <c r="AN1094" i="205"/>
  <c r="O1094" i="205"/>
  <c r="P1094" i="205" s="1"/>
  <c r="Q1094" i="205" s="1"/>
  <c r="R1094" i="205" s="1"/>
  <c r="M1094" i="205"/>
  <c r="AN1093" i="205"/>
  <c r="O1093" i="205"/>
  <c r="P1093" i="205" s="1"/>
  <c r="Q1093" i="205" s="1"/>
  <c r="R1093" i="205" s="1"/>
  <c r="M1093" i="205"/>
  <c r="A1093" i="205"/>
  <c r="A1094" i="205" s="1"/>
  <c r="AN1092" i="205"/>
  <c r="O1092" i="205"/>
  <c r="P1092" i="205" s="1"/>
  <c r="Q1092" i="205" s="1"/>
  <c r="R1092" i="205" s="1"/>
  <c r="M1092" i="205"/>
  <c r="AN1091" i="205"/>
  <c r="O1091" i="205"/>
  <c r="P1091" i="205" s="1"/>
  <c r="Q1091" i="205" s="1"/>
  <c r="R1091" i="205" s="1"/>
  <c r="M1091" i="205"/>
  <c r="AN1090" i="205"/>
  <c r="O1090" i="205"/>
  <c r="P1090" i="205" s="1"/>
  <c r="Q1090" i="205" s="1"/>
  <c r="R1090" i="205" s="1"/>
  <c r="M1090" i="205"/>
  <c r="A1090" i="205"/>
  <c r="A1091" i="205" s="1"/>
  <c r="AN1089" i="205"/>
  <c r="O1089" i="205"/>
  <c r="P1089" i="205" s="1"/>
  <c r="Q1089" i="205" s="1"/>
  <c r="R1089" i="205" s="1"/>
  <c r="M1089" i="205"/>
  <c r="AN1088" i="205"/>
  <c r="O1088" i="205"/>
  <c r="P1088" i="205" s="1"/>
  <c r="Q1088" i="205" s="1"/>
  <c r="R1088" i="205" s="1"/>
  <c r="M1088" i="205"/>
  <c r="AN1087" i="205"/>
  <c r="O1087" i="205"/>
  <c r="P1087" i="205" s="1"/>
  <c r="Q1087" i="205" s="1"/>
  <c r="R1087" i="205" s="1"/>
  <c r="M1087" i="205"/>
  <c r="A1087" i="205"/>
  <c r="A1088" i="205" s="1"/>
  <c r="AN1086" i="205"/>
  <c r="O1086" i="205"/>
  <c r="P1086" i="205" s="1"/>
  <c r="Q1086" i="205" s="1"/>
  <c r="R1086" i="205" s="1"/>
  <c r="M1086" i="205"/>
  <c r="AN1085" i="205"/>
  <c r="O1085" i="205"/>
  <c r="P1085" i="205" s="1"/>
  <c r="Q1085" i="205" s="1"/>
  <c r="R1085" i="205" s="1"/>
  <c r="M1085" i="205"/>
  <c r="AN1084" i="205"/>
  <c r="O1084" i="205"/>
  <c r="P1084" i="205" s="1"/>
  <c r="Q1084" i="205" s="1"/>
  <c r="R1084" i="205" s="1"/>
  <c r="M1084" i="205"/>
  <c r="A1084" i="205"/>
  <c r="A1085" i="205" s="1"/>
  <c r="AN1083" i="205"/>
  <c r="O1083" i="205"/>
  <c r="P1083" i="205" s="1"/>
  <c r="Q1083" i="205" s="1"/>
  <c r="R1083" i="205" s="1"/>
  <c r="M1083" i="205"/>
  <c r="M1082" i="205"/>
  <c r="AN1079" i="205"/>
  <c r="O1079" i="205"/>
  <c r="P1079" i="205" s="1"/>
  <c r="Q1079" i="205" s="1"/>
  <c r="R1079" i="205" s="1"/>
  <c r="M1079" i="205"/>
  <c r="AN1078" i="205"/>
  <c r="O1078" i="205"/>
  <c r="P1078" i="205" s="1"/>
  <c r="Q1078" i="205" s="1"/>
  <c r="R1078" i="205" s="1"/>
  <c r="M1078" i="205"/>
  <c r="A1078" i="205"/>
  <c r="A1079" i="205" s="1"/>
  <c r="AN1077" i="205"/>
  <c r="O1077" i="205"/>
  <c r="P1077" i="205" s="1"/>
  <c r="Q1077" i="205" s="1"/>
  <c r="R1077" i="205" s="1"/>
  <c r="M1077" i="205"/>
  <c r="AN1076" i="205"/>
  <c r="O1076" i="205"/>
  <c r="P1076" i="205" s="1"/>
  <c r="Q1076" i="205" s="1"/>
  <c r="R1076" i="205" s="1"/>
  <c r="M1076" i="205"/>
  <c r="AN1075" i="205"/>
  <c r="O1075" i="205"/>
  <c r="P1075" i="205" s="1"/>
  <c r="Q1075" i="205" s="1"/>
  <c r="R1075" i="205" s="1"/>
  <c r="M1075" i="205"/>
  <c r="A1075" i="205"/>
  <c r="A1076" i="205" s="1"/>
  <c r="AN1074" i="205"/>
  <c r="O1074" i="205"/>
  <c r="P1074" i="205" s="1"/>
  <c r="Q1074" i="205" s="1"/>
  <c r="R1074" i="205" s="1"/>
  <c r="M1074" i="205"/>
  <c r="AN1073" i="205"/>
  <c r="O1073" i="205"/>
  <c r="P1073" i="205" s="1"/>
  <c r="Q1073" i="205" s="1"/>
  <c r="R1073" i="205" s="1"/>
  <c r="M1073" i="205"/>
  <c r="AN1072" i="205"/>
  <c r="O1072" i="205"/>
  <c r="P1072" i="205" s="1"/>
  <c r="Q1072" i="205" s="1"/>
  <c r="R1072" i="205" s="1"/>
  <c r="M1072" i="205"/>
  <c r="A1072" i="205"/>
  <c r="A1073" i="205" s="1"/>
  <c r="AN1071" i="205"/>
  <c r="O1071" i="205"/>
  <c r="P1071" i="205" s="1"/>
  <c r="Q1071" i="205" s="1"/>
  <c r="R1071" i="205" s="1"/>
  <c r="M1071" i="205"/>
  <c r="AN1070" i="205"/>
  <c r="O1070" i="205"/>
  <c r="P1070" i="205" s="1"/>
  <c r="Q1070" i="205" s="1"/>
  <c r="R1070" i="205" s="1"/>
  <c r="M1070" i="205"/>
  <c r="AN1069" i="205"/>
  <c r="O1069" i="205"/>
  <c r="P1069" i="205" s="1"/>
  <c r="Q1069" i="205" s="1"/>
  <c r="R1069" i="205" s="1"/>
  <c r="M1069" i="205"/>
  <c r="A1069" i="205"/>
  <c r="A1070" i="205" s="1"/>
  <c r="AN1068" i="205"/>
  <c r="O1068" i="205"/>
  <c r="P1068" i="205" s="1"/>
  <c r="Q1068" i="205" s="1"/>
  <c r="R1068" i="205" s="1"/>
  <c r="M1068" i="205"/>
  <c r="AN1067" i="205"/>
  <c r="O1067" i="205"/>
  <c r="P1067" i="205" s="1"/>
  <c r="Q1067" i="205" s="1"/>
  <c r="R1067" i="205" s="1"/>
  <c r="M1067" i="205"/>
  <c r="AN1066" i="205"/>
  <c r="O1066" i="205"/>
  <c r="P1066" i="205" s="1"/>
  <c r="Q1066" i="205" s="1"/>
  <c r="R1066" i="205" s="1"/>
  <c r="M1066" i="205"/>
  <c r="A1066" i="205"/>
  <c r="A1067" i="205" s="1"/>
  <c r="AN1065" i="205"/>
  <c r="O1065" i="205"/>
  <c r="P1065" i="205" s="1"/>
  <c r="Q1065" i="205" s="1"/>
  <c r="R1065" i="205" s="1"/>
  <c r="M1065" i="205"/>
  <c r="AN1064" i="205"/>
  <c r="O1064" i="205"/>
  <c r="P1064" i="205" s="1"/>
  <c r="Q1064" i="205" s="1"/>
  <c r="R1064" i="205" s="1"/>
  <c r="M1064" i="205"/>
  <c r="AN1063" i="205"/>
  <c r="O1063" i="205"/>
  <c r="P1063" i="205" s="1"/>
  <c r="Q1063" i="205" s="1"/>
  <c r="R1063" i="205" s="1"/>
  <c r="M1063" i="205"/>
  <c r="A1063" i="205"/>
  <c r="A1064" i="205" s="1"/>
  <c r="AN1062" i="205"/>
  <c r="O1062" i="205"/>
  <c r="P1062" i="205" s="1"/>
  <c r="Q1062" i="205" s="1"/>
  <c r="R1062" i="205" s="1"/>
  <c r="M1062" i="205"/>
  <c r="M1061" i="205"/>
  <c r="AN1058" i="205"/>
  <c r="M1058" i="205"/>
  <c r="AN1057" i="205"/>
  <c r="M1057" i="205"/>
  <c r="A1057" i="205"/>
  <c r="A1058" i="205" s="1"/>
  <c r="AN1056" i="205"/>
  <c r="M1056" i="205"/>
  <c r="AN1055" i="205"/>
  <c r="M1055" i="205"/>
  <c r="AN1054" i="205"/>
  <c r="M1054" i="205"/>
  <c r="A1054" i="205"/>
  <c r="A1055" i="205" s="1"/>
  <c r="AN1053" i="205"/>
  <c r="M1053" i="205"/>
  <c r="M1052" i="205"/>
  <c r="AN1049" i="205"/>
  <c r="M1049" i="205"/>
  <c r="AN1048" i="205"/>
  <c r="M1048" i="205"/>
  <c r="A1048" i="205"/>
  <c r="A1049" i="205" s="1"/>
  <c r="AN1047" i="205"/>
  <c r="M1047" i="205"/>
  <c r="AN1046" i="205"/>
  <c r="M1046" i="205"/>
  <c r="AN1045" i="205"/>
  <c r="M1045" i="205"/>
  <c r="A1045" i="205"/>
  <c r="A1046" i="205" s="1"/>
  <c r="AN1044" i="205"/>
  <c r="M1044" i="205"/>
  <c r="AN1043" i="205"/>
  <c r="M1043" i="205"/>
  <c r="AN1042" i="205"/>
  <c r="M1042" i="205"/>
  <c r="A1042" i="205"/>
  <c r="A1043" i="205" s="1"/>
  <c r="AN1041" i="205"/>
  <c r="M1041" i="205"/>
  <c r="AN1040" i="205"/>
  <c r="M1040" i="205"/>
  <c r="AN1039" i="205"/>
  <c r="M1039" i="205"/>
  <c r="A1039" i="205"/>
  <c r="A1040" i="205" s="1"/>
  <c r="AN1038" i="205"/>
  <c r="M1038" i="205"/>
  <c r="AN1037" i="205"/>
  <c r="M1037" i="205"/>
  <c r="AN1036" i="205"/>
  <c r="M1036" i="205"/>
  <c r="A1036" i="205"/>
  <c r="A1037" i="205" s="1"/>
  <c r="AN1035" i="205"/>
  <c r="M1035" i="205"/>
  <c r="AN1034" i="205"/>
  <c r="M1034" i="205"/>
  <c r="AN1033" i="205"/>
  <c r="M1033" i="205"/>
  <c r="A1033" i="205"/>
  <c r="A1034" i="205" s="1"/>
  <c r="AN1032" i="205"/>
  <c r="M1032" i="205"/>
  <c r="AN1031" i="205"/>
  <c r="M1031" i="205"/>
  <c r="AN1030" i="205"/>
  <c r="M1030" i="205"/>
  <c r="A1030" i="205"/>
  <c r="A1031" i="205" s="1"/>
  <c r="AN1029" i="205"/>
  <c r="M1029" i="205"/>
  <c r="AN1028" i="205"/>
  <c r="M1028" i="205"/>
  <c r="AN1027" i="205"/>
  <c r="M1027" i="205"/>
  <c r="A1027" i="205"/>
  <c r="A1028" i="205" s="1"/>
  <c r="AN1026" i="205"/>
  <c r="M1026" i="205"/>
  <c r="AN1025" i="205"/>
  <c r="M1025" i="205"/>
  <c r="AN1024" i="205"/>
  <c r="M1024" i="205"/>
  <c r="A1024" i="205"/>
  <c r="A1025" i="205" s="1"/>
  <c r="AN1023" i="205"/>
  <c r="M1023" i="205"/>
  <c r="AN1022" i="205"/>
  <c r="M1022" i="205"/>
  <c r="AN1021" i="205"/>
  <c r="M1021" i="205"/>
  <c r="A1021" i="205"/>
  <c r="A1022" i="205" s="1"/>
  <c r="AN1020" i="205"/>
  <c r="M1020" i="205"/>
  <c r="AN1019" i="205"/>
  <c r="M1019" i="205"/>
  <c r="AN1018" i="205"/>
  <c r="M1018" i="205"/>
  <c r="A1018" i="205"/>
  <c r="A1019" i="205" s="1"/>
  <c r="AN1017" i="205"/>
  <c r="M1017" i="205"/>
  <c r="AN1016" i="205"/>
  <c r="M1016" i="205"/>
  <c r="AN1015" i="205"/>
  <c r="M1015" i="205"/>
  <c r="A1015" i="205"/>
  <c r="A1016" i="205" s="1"/>
  <c r="AN1014" i="205"/>
  <c r="M1014" i="205"/>
  <c r="AN1013" i="205"/>
  <c r="M1013" i="205"/>
  <c r="AN1012" i="205"/>
  <c r="M1012" i="205"/>
  <c r="A1012" i="205"/>
  <c r="A1013" i="205" s="1"/>
  <c r="AN1011" i="205"/>
  <c r="M1011" i="205"/>
  <c r="AN1010" i="205"/>
  <c r="M1010" i="205"/>
  <c r="AN1009" i="205"/>
  <c r="M1009" i="205"/>
  <c r="A1009" i="205"/>
  <c r="A1010" i="205" s="1"/>
  <c r="AN1008" i="205"/>
  <c r="M1008" i="205"/>
  <c r="AN1007" i="205"/>
  <c r="M1007" i="205"/>
  <c r="AN1006" i="205"/>
  <c r="M1006" i="205"/>
  <c r="A1006" i="205"/>
  <c r="A1007" i="205" s="1"/>
  <c r="AN1005" i="205"/>
  <c r="M1005" i="205"/>
  <c r="AN1004" i="205"/>
  <c r="M1004" i="205"/>
  <c r="AN1003" i="205"/>
  <c r="M1003" i="205"/>
  <c r="A1003" i="205"/>
  <c r="A1004" i="205" s="1"/>
  <c r="AN1002" i="205"/>
  <c r="M1002" i="205"/>
  <c r="AN1001" i="205"/>
  <c r="M1001" i="205"/>
  <c r="AN1000" i="205"/>
  <c r="M1000" i="205"/>
  <c r="A1000" i="205"/>
  <c r="A1001" i="205" s="1"/>
  <c r="AN999" i="205"/>
  <c r="M999" i="205"/>
  <c r="AN998" i="205"/>
  <c r="M998" i="205"/>
  <c r="AN997" i="205"/>
  <c r="M997" i="205"/>
  <c r="A997" i="205"/>
  <c r="A998" i="205" s="1"/>
  <c r="AN996" i="205"/>
  <c r="M996" i="205"/>
  <c r="AN995" i="205"/>
  <c r="M995" i="205"/>
  <c r="AN994" i="205"/>
  <c r="M994" i="205"/>
  <c r="A994" i="205"/>
  <c r="A995" i="205" s="1"/>
  <c r="AN993" i="205"/>
  <c r="M993" i="205"/>
  <c r="AN992" i="205"/>
  <c r="M992" i="205"/>
  <c r="AN991" i="205"/>
  <c r="M991" i="205"/>
  <c r="A991" i="205"/>
  <c r="A992" i="205" s="1"/>
  <c r="AN990" i="205"/>
  <c r="M990" i="205"/>
  <c r="AN989" i="205"/>
  <c r="M989" i="205"/>
  <c r="AN988" i="205"/>
  <c r="M988" i="205"/>
  <c r="A988" i="205"/>
  <c r="A989" i="205" s="1"/>
  <c r="AN987" i="205"/>
  <c r="M987" i="205"/>
  <c r="AN986" i="205"/>
  <c r="M986" i="205"/>
  <c r="AN985" i="205"/>
  <c r="M985" i="205"/>
  <c r="A985" i="205"/>
  <c r="A986" i="205" s="1"/>
  <c r="AN984" i="205"/>
  <c r="M984" i="205"/>
  <c r="AN983" i="205"/>
  <c r="M983" i="205"/>
  <c r="AN982" i="205"/>
  <c r="M982" i="205"/>
  <c r="A982" i="205"/>
  <c r="A983" i="205" s="1"/>
  <c r="AN981" i="205"/>
  <c r="M981" i="205"/>
  <c r="AN980" i="205"/>
  <c r="M980" i="205"/>
  <c r="AN979" i="205"/>
  <c r="M979" i="205"/>
  <c r="A979" i="205"/>
  <c r="A980" i="205" s="1"/>
  <c r="AN978" i="205"/>
  <c r="M978" i="205"/>
  <c r="M977" i="205"/>
  <c r="AN974" i="205"/>
  <c r="O974" i="205"/>
  <c r="P974" i="205" s="1"/>
  <c r="Q974" i="205" s="1"/>
  <c r="R974" i="205" s="1"/>
  <c r="M974" i="205"/>
  <c r="AN973" i="205"/>
  <c r="O973" i="205"/>
  <c r="P973" i="205" s="1"/>
  <c r="Q973" i="205" s="1"/>
  <c r="R973" i="205" s="1"/>
  <c r="M973" i="205"/>
  <c r="A973" i="205"/>
  <c r="A974" i="205" s="1"/>
  <c r="AN972" i="205"/>
  <c r="O972" i="205"/>
  <c r="P972" i="205" s="1"/>
  <c r="Q972" i="205" s="1"/>
  <c r="R972" i="205" s="1"/>
  <c r="M972" i="205"/>
  <c r="M971" i="205"/>
  <c r="AN968" i="205"/>
  <c r="M968" i="205"/>
  <c r="AN967" i="205"/>
  <c r="M967" i="205"/>
  <c r="A967" i="205"/>
  <c r="A968" i="205" s="1"/>
  <c r="AN966" i="205"/>
  <c r="M966" i="205"/>
  <c r="M965" i="205"/>
  <c r="AN962" i="205"/>
  <c r="M962" i="205"/>
  <c r="AN961" i="205"/>
  <c r="M961" i="205"/>
  <c r="A961" i="205"/>
  <c r="A962" i="205" s="1"/>
  <c r="AN960" i="205"/>
  <c r="M960" i="205"/>
  <c r="AN959" i="205"/>
  <c r="M959" i="205"/>
  <c r="AN958" i="205"/>
  <c r="M958" i="205"/>
  <c r="A958" i="205"/>
  <c r="A959" i="205" s="1"/>
  <c r="AN957" i="205"/>
  <c r="M957" i="205"/>
  <c r="AN956" i="205"/>
  <c r="M956" i="205"/>
  <c r="AN955" i="205"/>
  <c r="M955" i="205"/>
  <c r="A955" i="205"/>
  <c r="A956" i="205" s="1"/>
  <c r="AN954" i="205"/>
  <c r="M954" i="205"/>
  <c r="AN953" i="205"/>
  <c r="M953" i="205"/>
  <c r="AN952" i="205"/>
  <c r="M952" i="205"/>
  <c r="A952" i="205"/>
  <c r="A953" i="205" s="1"/>
  <c r="AN951" i="205"/>
  <c r="M951" i="205"/>
  <c r="AN950" i="205"/>
  <c r="M950" i="205"/>
  <c r="AN949" i="205"/>
  <c r="M949" i="205"/>
  <c r="A949" i="205"/>
  <c r="A950" i="205" s="1"/>
  <c r="AN948" i="205"/>
  <c r="M948" i="205"/>
  <c r="AN947" i="205"/>
  <c r="M947" i="205"/>
  <c r="AN946" i="205"/>
  <c r="M946" i="205"/>
  <c r="A946" i="205"/>
  <c r="A947" i="205" s="1"/>
  <c r="AN945" i="205"/>
  <c r="M945" i="205"/>
  <c r="AN944" i="205"/>
  <c r="M944" i="205"/>
  <c r="AN943" i="205"/>
  <c r="M943" i="205"/>
  <c r="A943" i="205"/>
  <c r="A944" i="205" s="1"/>
  <c r="AN942" i="205"/>
  <c r="M942" i="205"/>
  <c r="M941" i="205"/>
  <c r="AN938" i="205"/>
  <c r="M938" i="205"/>
  <c r="AN937" i="205"/>
  <c r="M937" i="205"/>
  <c r="A937" i="205"/>
  <c r="A938" i="205" s="1"/>
  <c r="AN936" i="205"/>
  <c r="M936" i="205"/>
  <c r="M935" i="205"/>
  <c r="AN932" i="205"/>
  <c r="M932" i="205"/>
  <c r="AN931" i="205"/>
  <c r="M931" i="205"/>
  <c r="A931" i="205"/>
  <c r="A932" i="205" s="1"/>
  <c r="AN930" i="205"/>
  <c r="M930" i="205"/>
  <c r="M929" i="205"/>
  <c r="AN926" i="205"/>
  <c r="M926" i="205"/>
  <c r="AN925" i="205"/>
  <c r="M925" i="205"/>
  <c r="A925" i="205"/>
  <c r="A926" i="205" s="1"/>
  <c r="AN924" i="205"/>
  <c r="M924" i="205"/>
  <c r="M923" i="205"/>
  <c r="AN920" i="205"/>
  <c r="M920" i="205"/>
  <c r="AN919" i="205"/>
  <c r="M919" i="205"/>
  <c r="A919" i="205"/>
  <c r="A920" i="205" s="1"/>
  <c r="AN918" i="205"/>
  <c r="M918" i="205"/>
  <c r="AN917" i="205"/>
  <c r="M917" i="205"/>
  <c r="AN916" i="205"/>
  <c r="M916" i="205"/>
  <c r="A916" i="205"/>
  <c r="A917" i="205" s="1"/>
  <c r="AN915" i="205"/>
  <c r="M915" i="205"/>
  <c r="AN914" i="205"/>
  <c r="M914" i="205"/>
  <c r="AN913" i="205"/>
  <c r="M913" i="205"/>
  <c r="A913" i="205"/>
  <c r="A914" i="205" s="1"/>
  <c r="AN912" i="205"/>
  <c r="M912" i="205"/>
  <c r="AN911" i="205"/>
  <c r="M911" i="205"/>
  <c r="AN910" i="205"/>
  <c r="M910" i="205"/>
  <c r="A910" i="205"/>
  <c r="A911" i="205" s="1"/>
  <c r="AN909" i="205"/>
  <c r="M909" i="205"/>
  <c r="AN908" i="205"/>
  <c r="M908" i="205"/>
  <c r="AN907" i="205"/>
  <c r="M907" i="205"/>
  <c r="A907" i="205"/>
  <c r="A908" i="205" s="1"/>
  <c r="AN906" i="205"/>
  <c r="M906" i="205"/>
  <c r="AN905" i="205"/>
  <c r="M905" i="205"/>
  <c r="AN904" i="205"/>
  <c r="M904" i="205"/>
  <c r="A904" i="205"/>
  <c r="A905" i="205" s="1"/>
  <c r="AN903" i="205"/>
  <c r="M903" i="205"/>
  <c r="AN902" i="205"/>
  <c r="M902" i="205"/>
  <c r="AN901" i="205"/>
  <c r="M901" i="205"/>
  <c r="A901" i="205"/>
  <c r="A902" i="205" s="1"/>
  <c r="AN900" i="205"/>
  <c r="M900" i="205"/>
  <c r="AN899" i="205"/>
  <c r="M899" i="205"/>
  <c r="AN898" i="205"/>
  <c r="M898" i="205"/>
  <c r="A898" i="205"/>
  <c r="A899" i="205" s="1"/>
  <c r="AN897" i="205"/>
  <c r="M897" i="205"/>
  <c r="AN896" i="205"/>
  <c r="M896" i="205"/>
  <c r="AN895" i="205"/>
  <c r="M895" i="205"/>
  <c r="A895" i="205"/>
  <c r="A896" i="205" s="1"/>
  <c r="AN894" i="205"/>
  <c r="M894" i="205"/>
  <c r="AN893" i="205"/>
  <c r="M893" i="205"/>
  <c r="AN892" i="205"/>
  <c r="M892" i="205"/>
  <c r="A892" i="205"/>
  <c r="A893" i="205" s="1"/>
  <c r="AN891" i="205"/>
  <c r="M891" i="205"/>
  <c r="M890" i="205"/>
  <c r="AN887" i="205"/>
  <c r="M887" i="205"/>
  <c r="AN886" i="205"/>
  <c r="M886" i="205"/>
  <c r="A886" i="205"/>
  <c r="A887" i="205" s="1"/>
  <c r="AN885" i="205"/>
  <c r="M885" i="205"/>
  <c r="AN884" i="205"/>
  <c r="M884" i="205"/>
  <c r="AN883" i="205"/>
  <c r="M883" i="205"/>
  <c r="A883" i="205"/>
  <c r="A884" i="205" s="1"/>
  <c r="AN882" i="205"/>
  <c r="M882" i="205"/>
  <c r="AN881" i="205"/>
  <c r="M881" i="205"/>
  <c r="AN880" i="205"/>
  <c r="M880" i="205"/>
  <c r="A880" i="205"/>
  <c r="A881" i="205" s="1"/>
  <c r="AN879" i="205"/>
  <c r="M879" i="205"/>
  <c r="AN878" i="205"/>
  <c r="M878" i="205"/>
  <c r="AN877" i="205"/>
  <c r="M877" i="205"/>
  <c r="A877" i="205"/>
  <c r="A878" i="205" s="1"/>
  <c r="AN876" i="205"/>
  <c r="M876" i="205"/>
  <c r="AN875" i="205"/>
  <c r="M875" i="205"/>
  <c r="AN874" i="205"/>
  <c r="M874" i="205"/>
  <c r="A874" i="205"/>
  <c r="A875" i="205" s="1"/>
  <c r="AN873" i="205"/>
  <c r="M873" i="205"/>
  <c r="AN872" i="205"/>
  <c r="M872" i="205"/>
  <c r="AN871" i="205"/>
  <c r="M871" i="205"/>
  <c r="A871" i="205"/>
  <c r="A872" i="205" s="1"/>
  <c r="AN870" i="205"/>
  <c r="M870" i="205"/>
  <c r="AN869" i="205"/>
  <c r="M869" i="205"/>
  <c r="AN868" i="205"/>
  <c r="M868" i="205"/>
  <c r="A868" i="205"/>
  <c r="A869" i="205" s="1"/>
  <c r="AN867" i="205"/>
  <c r="M867" i="205"/>
  <c r="AN866" i="205"/>
  <c r="M866" i="205"/>
  <c r="AN865" i="205"/>
  <c r="M865" i="205"/>
  <c r="A865" i="205"/>
  <c r="A866" i="205" s="1"/>
  <c r="AN864" i="205"/>
  <c r="M864" i="205"/>
  <c r="AN863" i="205"/>
  <c r="M863" i="205"/>
  <c r="AN862" i="205"/>
  <c r="M862" i="205"/>
  <c r="A862" i="205"/>
  <c r="A863" i="205" s="1"/>
  <c r="AN861" i="205"/>
  <c r="M861" i="205"/>
  <c r="AN860" i="205"/>
  <c r="M860" i="205"/>
  <c r="AN859" i="205"/>
  <c r="M859" i="205"/>
  <c r="A859" i="205"/>
  <c r="A860" i="205" s="1"/>
  <c r="AN858" i="205"/>
  <c r="M858" i="205"/>
  <c r="AN857" i="205"/>
  <c r="M857" i="205"/>
  <c r="AN856" i="205"/>
  <c r="M856" i="205"/>
  <c r="A856" i="205"/>
  <c r="A857" i="205" s="1"/>
  <c r="AN855" i="205"/>
  <c r="M855" i="205"/>
  <c r="AN854" i="205"/>
  <c r="M854" i="205"/>
  <c r="AN853" i="205"/>
  <c r="M853" i="205"/>
  <c r="A853" i="205"/>
  <c r="A854" i="205" s="1"/>
  <c r="AN852" i="205"/>
  <c r="M852" i="205"/>
  <c r="AN851" i="205"/>
  <c r="M851" i="205"/>
  <c r="AN850" i="205"/>
  <c r="M850" i="205"/>
  <c r="A850" i="205"/>
  <c r="A851" i="205" s="1"/>
  <c r="AN849" i="205"/>
  <c r="M849" i="205"/>
  <c r="M848" i="205"/>
  <c r="AN845" i="205"/>
  <c r="M845" i="205"/>
  <c r="AN844" i="205"/>
  <c r="M844" i="205"/>
  <c r="A844" i="205"/>
  <c r="A845" i="205" s="1"/>
  <c r="AN843" i="205"/>
  <c r="M843" i="205"/>
  <c r="AN842" i="205"/>
  <c r="M842" i="205"/>
  <c r="AN841" i="205"/>
  <c r="M841" i="205"/>
  <c r="A841" i="205"/>
  <c r="A842" i="205" s="1"/>
  <c r="AN840" i="205"/>
  <c r="M840" i="205"/>
  <c r="AN839" i="205"/>
  <c r="M839" i="205"/>
  <c r="AN838" i="205"/>
  <c r="M838" i="205"/>
  <c r="A838" i="205"/>
  <c r="A839" i="205" s="1"/>
  <c r="AN837" i="205"/>
  <c r="M837" i="205"/>
  <c r="AN836" i="205"/>
  <c r="M836" i="205"/>
  <c r="AN835" i="205"/>
  <c r="M835" i="205"/>
  <c r="A835" i="205"/>
  <c r="A836" i="205" s="1"/>
  <c r="AN834" i="205"/>
  <c r="M834" i="205"/>
  <c r="AN833" i="205"/>
  <c r="M833" i="205"/>
  <c r="AN832" i="205"/>
  <c r="M832" i="205"/>
  <c r="A832" i="205"/>
  <c r="A833" i="205" s="1"/>
  <c r="AN831" i="205"/>
  <c r="M831" i="205"/>
  <c r="AN830" i="205"/>
  <c r="M830" i="205"/>
  <c r="AN829" i="205"/>
  <c r="M829" i="205"/>
  <c r="A829" i="205"/>
  <c r="A830" i="205" s="1"/>
  <c r="AN828" i="205"/>
  <c r="M828" i="205"/>
  <c r="AN827" i="205"/>
  <c r="M827" i="205"/>
  <c r="AN826" i="205"/>
  <c r="M826" i="205"/>
  <c r="A826" i="205"/>
  <c r="A827" i="205" s="1"/>
  <c r="AN825" i="205"/>
  <c r="M825" i="205"/>
  <c r="AN824" i="205"/>
  <c r="M824" i="205"/>
  <c r="AN823" i="205"/>
  <c r="M823" i="205"/>
  <c r="A823" i="205"/>
  <c r="A824" i="205" s="1"/>
  <c r="AN822" i="205"/>
  <c r="M822" i="205"/>
  <c r="AN821" i="205"/>
  <c r="M821" i="205"/>
  <c r="AN820" i="205"/>
  <c r="M820" i="205"/>
  <c r="A820" i="205"/>
  <c r="A821" i="205" s="1"/>
  <c r="AN819" i="205"/>
  <c r="M819" i="205"/>
  <c r="M818" i="205"/>
  <c r="AN815" i="205"/>
  <c r="M815" i="205"/>
  <c r="AN814" i="205"/>
  <c r="M814" i="205"/>
  <c r="A814" i="205"/>
  <c r="A815" i="205" s="1"/>
  <c r="AN813" i="205"/>
  <c r="M813" i="205"/>
  <c r="AN812" i="205"/>
  <c r="M812" i="205"/>
  <c r="AN811" i="205"/>
  <c r="M811" i="205"/>
  <c r="A811" i="205"/>
  <c r="A812" i="205" s="1"/>
  <c r="AN810" i="205"/>
  <c r="M810" i="205"/>
  <c r="AN809" i="205"/>
  <c r="M809" i="205"/>
  <c r="AN808" i="205"/>
  <c r="M808" i="205"/>
  <c r="A808" i="205"/>
  <c r="A809" i="205" s="1"/>
  <c r="AN807" i="205"/>
  <c r="M807" i="205"/>
  <c r="AN806" i="205"/>
  <c r="M806" i="205"/>
  <c r="AN805" i="205"/>
  <c r="M805" i="205"/>
  <c r="A805" i="205"/>
  <c r="A806" i="205" s="1"/>
  <c r="AN804" i="205"/>
  <c r="M804" i="205"/>
  <c r="AN803" i="205"/>
  <c r="M803" i="205"/>
  <c r="AN802" i="205"/>
  <c r="M802" i="205"/>
  <c r="A802" i="205"/>
  <c r="A803" i="205" s="1"/>
  <c r="AN801" i="205"/>
  <c r="M801" i="205"/>
  <c r="AN800" i="205"/>
  <c r="M800" i="205"/>
  <c r="AN799" i="205"/>
  <c r="M799" i="205"/>
  <c r="A799" i="205"/>
  <c r="A800" i="205" s="1"/>
  <c r="AN798" i="205"/>
  <c r="M798" i="205"/>
  <c r="AN797" i="205"/>
  <c r="M797" i="205"/>
  <c r="AN796" i="205"/>
  <c r="M796" i="205"/>
  <c r="A796" i="205"/>
  <c r="A797" i="205" s="1"/>
  <c r="AN795" i="205"/>
  <c r="M795" i="205"/>
  <c r="M794" i="205"/>
  <c r="AN791" i="205"/>
  <c r="M791" i="205"/>
  <c r="AN790" i="205"/>
  <c r="M790" i="205"/>
  <c r="A790" i="205"/>
  <c r="A791" i="205" s="1"/>
  <c r="AN789" i="205"/>
  <c r="M789" i="205"/>
  <c r="AN788" i="205"/>
  <c r="M788" i="205"/>
  <c r="AN787" i="205"/>
  <c r="M787" i="205"/>
  <c r="A787" i="205"/>
  <c r="A788" i="205" s="1"/>
  <c r="AN786" i="205"/>
  <c r="M786" i="205"/>
  <c r="AN785" i="205"/>
  <c r="M785" i="205"/>
  <c r="AN784" i="205"/>
  <c r="M784" i="205"/>
  <c r="A784" i="205"/>
  <c r="A785" i="205" s="1"/>
  <c r="AN783" i="205"/>
  <c r="M783" i="205"/>
  <c r="AN782" i="205"/>
  <c r="M782" i="205"/>
  <c r="AN781" i="205"/>
  <c r="M781" i="205"/>
  <c r="A781" i="205"/>
  <c r="A782" i="205" s="1"/>
  <c r="AN780" i="205"/>
  <c r="M780" i="205"/>
  <c r="AN779" i="205"/>
  <c r="M779" i="205"/>
  <c r="AN778" i="205"/>
  <c r="M778" i="205"/>
  <c r="A778" i="205"/>
  <c r="A779" i="205" s="1"/>
  <c r="AN777" i="205"/>
  <c r="M777" i="205"/>
  <c r="AN776" i="205"/>
  <c r="M776" i="205"/>
  <c r="AN775" i="205"/>
  <c r="M775" i="205"/>
  <c r="A775" i="205"/>
  <c r="A776" i="205" s="1"/>
  <c r="AN774" i="205"/>
  <c r="M774" i="205"/>
  <c r="AN773" i="205"/>
  <c r="M773" i="205"/>
  <c r="AN772" i="205"/>
  <c r="M772" i="205"/>
  <c r="A772" i="205"/>
  <c r="A773" i="205" s="1"/>
  <c r="AN771" i="205"/>
  <c r="M771" i="205"/>
  <c r="AN770" i="205"/>
  <c r="M770" i="205"/>
  <c r="AN769" i="205"/>
  <c r="M769" i="205"/>
  <c r="A769" i="205"/>
  <c r="A770" i="205" s="1"/>
  <c r="AN768" i="205"/>
  <c r="M768" i="205"/>
  <c r="AN767" i="205"/>
  <c r="M767" i="205"/>
  <c r="AN766" i="205"/>
  <c r="M766" i="205"/>
  <c r="A766" i="205"/>
  <c r="A767" i="205" s="1"/>
  <c r="AN765" i="205"/>
  <c r="M765" i="205"/>
  <c r="AN764" i="205"/>
  <c r="M764" i="205"/>
  <c r="AN763" i="205"/>
  <c r="M763" i="205"/>
  <c r="A763" i="205"/>
  <c r="A764" i="205" s="1"/>
  <c r="AN762" i="205"/>
  <c r="M762" i="205"/>
  <c r="AN761" i="205"/>
  <c r="M761" i="205"/>
  <c r="AN760" i="205"/>
  <c r="M760" i="205"/>
  <c r="A760" i="205"/>
  <c r="A761" i="205" s="1"/>
  <c r="AN759" i="205"/>
  <c r="M759" i="205"/>
  <c r="M758" i="205"/>
  <c r="AN755" i="205"/>
  <c r="M755" i="205"/>
  <c r="AN754" i="205"/>
  <c r="M754" i="205"/>
  <c r="A754" i="205"/>
  <c r="A755" i="205" s="1"/>
  <c r="AN753" i="205"/>
  <c r="M753" i="205"/>
  <c r="AN752" i="205"/>
  <c r="M752" i="205"/>
  <c r="AN751" i="205"/>
  <c r="M751" i="205"/>
  <c r="A751" i="205"/>
  <c r="A752" i="205" s="1"/>
  <c r="AN750" i="205"/>
  <c r="M750" i="205"/>
  <c r="AN749" i="205"/>
  <c r="M749" i="205"/>
  <c r="AN748" i="205"/>
  <c r="M748" i="205"/>
  <c r="A748" i="205"/>
  <c r="A749" i="205" s="1"/>
  <c r="AN747" i="205"/>
  <c r="M747" i="205"/>
  <c r="AN746" i="205"/>
  <c r="M746" i="205"/>
  <c r="AN745" i="205"/>
  <c r="M745" i="205"/>
  <c r="A745" i="205"/>
  <c r="A746" i="205" s="1"/>
  <c r="AN744" i="205"/>
  <c r="M744" i="205"/>
  <c r="AN743" i="205"/>
  <c r="M743" i="205"/>
  <c r="AN742" i="205"/>
  <c r="M742" i="205"/>
  <c r="A742" i="205"/>
  <c r="A743" i="205" s="1"/>
  <c r="AN741" i="205"/>
  <c r="M741" i="205"/>
  <c r="AN740" i="205"/>
  <c r="M740" i="205"/>
  <c r="AN739" i="205"/>
  <c r="M739" i="205"/>
  <c r="A739" i="205"/>
  <c r="A740" i="205" s="1"/>
  <c r="AN738" i="205"/>
  <c r="M738" i="205"/>
  <c r="AN737" i="205"/>
  <c r="M737" i="205"/>
  <c r="AN736" i="205"/>
  <c r="M736" i="205"/>
  <c r="A736" i="205"/>
  <c r="A737" i="205" s="1"/>
  <c r="AN735" i="205"/>
  <c r="M735" i="205"/>
  <c r="AN734" i="205"/>
  <c r="M734" i="205"/>
  <c r="AN733" i="205"/>
  <c r="M733" i="205"/>
  <c r="A733" i="205"/>
  <c r="A734" i="205" s="1"/>
  <c r="AN732" i="205"/>
  <c r="M732" i="205"/>
  <c r="AN731" i="205"/>
  <c r="M731" i="205"/>
  <c r="AN730" i="205"/>
  <c r="M730" i="205"/>
  <c r="A730" i="205"/>
  <c r="A731" i="205" s="1"/>
  <c r="AN729" i="205"/>
  <c r="M729" i="205"/>
  <c r="AN728" i="205"/>
  <c r="M728" i="205"/>
  <c r="AN727" i="205"/>
  <c r="M727" i="205"/>
  <c r="A727" i="205"/>
  <c r="A728" i="205" s="1"/>
  <c r="AN726" i="205"/>
  <c r="M726" i="205"/>
  <c r="AN725" i="205"/>
  <c r="M725" i="205"/>
  <c r="AN724" i="205"/>
  <c r="M724" i="205"/>
  <c r="A724" i="205"/>
  <c r="A725" i="205" s="1"/>
  <c r="AN723" i="205"/>
  <c r="M723" i="205"/>
  <c r="AN722" i="205"/>
  <c r="M722" i="205"/>
  <c r="AN721" i="205"/>
  <c r="M721" i="205"/>
  <c r="A721" i="205"/>
  <c r="A722" i="205" s="1"/>
  <c r="AN720" i="205"/>
  <c r="M720" i="205"/>
  <c r="AN719" i="205"/>
  <c r="M719" i="205"/>
  <c r="AN718" i="205"/>
  <c r="M718" i="205"/>
  <c r="A718" i="205"/>
  <c r="A719" i="205" s="1"/>
  <c r="AN717" i="205"/>
  <c r="M717" i="205"/>
  <c r="AN716" i="205"/>
  <c r="M716" i="205"/>
  <c r="AN715" i="205"/>
  <c r="M715" i="205"/>
  <c r="A715" i="205"/>
  <c r="A716" i="205" s="1"/>
  <c r="AN714" i="205"/>
  <c r="M714" i="205"/>
  <c r="M713" i="205"/>
  <c r="AN710" i="205"/>
  <c r="M710" i="205"/>
  <c r="AN709" i="205"/>
  <c r="M709" i="205"/>
  <c r="A709" i="205"/>
  <c r="A710" i="205" s="1"/>
  <c r="AN708" i="205"/>
  <c r="M708" i="205"/>
  <c r="AN707" i="205"/>
  <c r="M707" i="205"/>
  <c r="AN706" i="205"/>
  <c r="M706" i="205"/>
  <c r="A706" i="205"/>
  <c r="A707" i="205" s="1"/>
  <c r="AN705" i="205"/>
  <c r="M705" i="205"/>
  <c r="AN704" i="205"/>
  <c r="M704" i="205"/>
  <c r="AN703" i="205"/>
  <c r="M703" i="205"/>
  <c r="A703" i="205"/>
  <c r="A704" i="205" s="1"/>
  <c r="AN702" i="205"/>
  <c r="M702" i="205"/>
  <c r="AN701" i="205"/>
  <c r="M701" i="205"/>
  <c r="AN700" i="205"/>
  <c r="M700" i="205"/>
  <c r="A700" i="205"/>
  <c r="A701" i="205" s="1"/>
  <c r="AN699" i="205"/>
  <c r="M699" i="205"/>
  <c r="AN698" i="205"/>
  <c r="M698" i="205"/>
  <c r="AN697" i="205"/>
  <c r="M697" i="205"/>
  <c r="A697" i="205"/>
  <c r="A698" i="205" s="1"/>
  <c r="AN696" i="205"/>
  <c r="M696" i="205"/>
  <c r="AN695" i="205"/>
  <c r="M695" i="205"/>
  <c r="AN694" i="205"/>
  <c r="M694" i="205"/>
  <c r="A694" i="205"/>
  <c r="A695" i="205" s="1"/>
  <c r="AN693" i="205"/>
  <c r="M693" i="205"/>
  <c r="AN692" i="205"/>
  <c r="M692" i="205"/>
  <c r="AN691" i="205"/>
  <c r="M691" i="205"/>
  <c r="A691" i="205"/>
  <c r="A692" i="205" s="1"/>
  <c r="AN690" i="205"/>
  <c r="M690" i="205"/>
  <c r="AN689" i="205"/>
  <c r="M689" i="205"/>
  <c r="AN688" i="205"/>
  <c r="M688" i="205"/>
  <c r="A688" i="205"/>
  <c r="A689" i="205" s="1"/>
  <c r="AN687" i="205"/>
  <c r="M687" i="205"/>
  <c r="AN686" i="205"/>
  <c r="M686" i="205"/>
  <c r="AN685" i="205"/>
  <c r="M685" i="205"/>
  <c r="A685" i="205"/>
  <c r="A686" i="205" s="1"/>
  <c r="AN684" i="205"/>
  <c r="M684" i="205"/>
  <c r="AN683" i="205"/>
  <c r="M683" i="205"/>
  <c r="AN682" i="205"/>
  <c r="M682" i="205"/>
  <c r="A682" i="205"/>
  <c r="A683" i="205" s="1"/>
  <c r="AN681" i="205"/>
  <c r="M681" i="205"/>
  <c r="AN680" i="205"/>
  <c r="M680" i="205"/>
  <c r="AN679" i="205"/>
  <c r="M679" i="205"/>
  <c r="A679" i="205"/>
  <c r="A680" i="205" s="1"/>
  <c r="AN678" i="205"/>
  <c r="M678" i="205"/>
  <c r="AN677" i="205"/>
  <c r="M677" i="205"/>
  <c r="AN676" i="205"/>
  <c r="M676" i="205"/>
  <c r="A676" i="205"/>
  <c r="A677" i="205" s="1"/>
  <c r="AN675" i="205"/>
  <c r="M675" i="205"/>
  <c r="AN674" i="205"/>
  <c r="M674" i="205"/>
  <c r="AN673" i="205"/>
  <c r="M673" i="205"/>
  <c r="A673" i="205"/>
  <c r="A674" i="205" s="1"/>
  <c r="AN672" i="205"/>
  <c r="M672" i="205"/>
  <c r="AN671" i="205"/>
  <c r="M671" i="205"/>
  <c r="AN670" i="205"/>
  <c r="M670" i="205"/>
  <c r="A670" i="205"/>
  <c r="A671" i="205" s="1"/>
  <c r="AN669" i="205"/>
  <c r="M669" i="205"/>
  <c r="AN668" i="205"/>
  <c r="M668" i="205"/>
  <c r="AN667" i="205"/>
  <c r="M667" i="205"/>
  <c r="A667" i="205"/>
  <c r="A668" i="205" s="1"/>
  <c r="AN666" i="205"/>
  <c r="M666" i="205"/>
  <c r="AN665" i="205"/>
  <c r="M665" i="205"/>
  <c r="AN664" i="205"/>
  <c r="M664" i="205"/>
  <c r="A664" i="205"/>
  <c r="A665" i="205" s="1"/>
  <c r="AN663" i="205"/>
  <c r="M663" i="205"/>
  <c r="AN662" i="205"/>
  <c r="M662" i="205"/>
  <c r="AN661" i="205"/>
  <c r="M661" i="205"/>
  <c r="A661" i="205"/>
  <c r="A662" i="205" s="1"/>
  <c r="AN660" i="205"/>
  <c r="M660" i="205"/>
  <c r="M659" i="205"/>
  <c r="AN656" i="205"/>
  <c r="M656" i="205"/>
  <c r="AN655" i="205"/>
  <c r="M655" i="205"/>
  <c r="A655" i="205"/>
  <c r="A656" i="205" s="1"/>
  <c r="AN654" i="205"/>
  <c r="M654" i="205"/>
  <c r="AN653" i="205"/>
  <c r="M653" i="205"/>
  <c r="AN652" i="205"/>
  <c r="M652" i="205"/>
  <c r="A652" i="205"/>
  <c r="A653" i="205" s="1"/>
  <c r="AN651" i="205"/>
  <c r="M651" i="205"/>
  <c r="AN650" i="205"/>
  <c r="M650" i="205"/>
  <c r="AN649" i="205"/>
  <c r="M649" i="205"/>
  <c r="A649" i="205"/>
  <c r="A650" i="205" s="1"/>
  <c r="AN648" i="205"/>
  <c r="M648" i="205"/>
  <c r="AN647" i="205"/>
  <c r="M647" i="205"/>
  <c r="AN646" i="205"/>
  <c r="M646" i="205"/>
  <c r="A646" i="205"/>
  <c r="A647" i="205" s="1"/>
  <c r="AN645" i="205"/>
  <c r="M645" i="205"/>
  <c r="AN644" i="205"/>
  <c r="M644" i="205"/>
  <c r="AN643" i="205"/>
  <c r="M643" i="205"/>
  <c r="A643" i="205"/>
  <c r="A644" i="205" s="1"/>
  <c r="AN642" i="205"/>
  <c r="M642" i="205"/>
  <c r="AN641" i="205"/>
  <c r="M641" i="205"/>
  <c r="AN640" i="205"/>
  <c r="M640" i="205"/>
  <c r="A640" i="205"/>
  <c r="A641" i="205" s="1"/>
  <c r="AN639" i="205"/>
  <c r="M639" i="205"/>
  <c r="AN638" i="205"/>
  <c r="M638" i="205"/>
  <c r="AN637" i="205"/>
  <c r="M637" i="205"/>
  <c r="A637" i="205"/>
  <c r="A638" i="205" s="1"/>
  <c r="AN636" i="205"/>
  <c r="M636" i="205"/>
  <c r="AN635" i="205"/>
  <c r="M635" i="205"/>
  <c r="AN632" i="205"/>
  <c r="M632" i="205"/>
  <c r="AN631" i="205"/>
  <c r="M631" i="205"/>
  <c r="A631" i="205"/>
  <c r="A632" i="205" s="1"/>
  <c r="AN630" i="205"/>
  <c r="M630" i="205"/>
  <c r="AN629" i="205"/>
  <c r="M629" i="205"/>
  <c r="AN628" i="205"/>
  <c r="M628" i="205"/>
  <c r="A628" i="205"/>
  <c r="A629" i="205" s="1"/>
  <c r="AN627" i="205"/>
  <c r="M627" i="205"/>
  <c r="AN626" i="205"/>
  <c r="M626" i="205"/>
  <c r="AN625" i="205"/>
  <c r="M625" i="205"/>
  <c r="A625" i="205"/>
  <c r="A626" i="205" s="1"/>
  <c r="AN624" i="205"/>
  <c r="M624" i="205"/>
  <c r="AN623" i="205"/>
  <c r="M623" i="205"/>
  <c r="AN622" i="205"/>
  <c r="M622" i="205"/>
  <c r="A622" i="205"/>
  <c r="A623" i="205" s="1"/>
  <c r="AN621" i="205"/>
  <c r="M621" i="205"/>
  <c r="AN620" i="205"/>
  <c r="M620" i="205"/>
  <c r="AN619" i="205"/>
  <c r="M619" i="205"/>
  <c r="A619" i="205"/>
  <c r="A620" i="205" s="1"/>
  <c r="AN618" i="205"/>
  <c r="M618" i="205"/>
  <c r="AN617" i="205"/>
  <c r="M617" i="205"/>
  <c r="AN616" i="205"/>
  <c r="M616" i="205"/>
  <c r="A616" i="205"/>
  <c r="A617" i="205" s="1"/>
  <c r="AN615" i="205"/>
  <c r="M615" i="205"/>
  <c r="AN614" i="205"/>
  <c r="M614" i="205"/>
  <c r="AN613" i="205"/>
  <c r="M613" i="205"/>
  <c r="A613" i="205"/>
  <c r="A614" i="205" s="1"/>
  <c r="AN612" i="205"/>
  <c r="M612" i="205"/>
  <c r="AN611" i="205"/>
  <c r="M611" i="205"/>
  <c r="AN610" i="205"/>
  <c r="M610" i="205"/>
  <c r="A610" i="205"/>
  <c r="A611" i="205" s="1"/>
  <c r="AN609" i="205"/>
  <c r="M609" i="205"/>
  <c r="AN608" i="205"/>
  <c r="M608" i="205"/>
  <c r="AN607" i="205"/>
  <c r="M607" i="205"/>
  <c r="A607" i="205"/>
  <c r="A608" i="205" s="1"/>
  <c r="AN606" i="205"/>
  <c r="M606" i="205"/>
  <c r="AN605" i="205"/>
  <c r="M605" i="205"/>
  <c r="AN604" i="205"/>
  <c r="M604" i="205"/>
  <c r="A604" i="205"/>
  <c r="A605" i="205" s="1"/>
  <c r="AN603" i="205"/>
  <c r="M603" i="205"/>
  <c r="AN602" i="205"/>
  <c r="M602" i="205"/>
  <c r="AN601" i="205"/>
  <c r="M601" i="205"/>
  <c r="A601" i="205"/>
  <c r="A602" i="205" s="1"/>
  <c r="AN600" i="205"/>
  <c r="M600" i="205"/>
  <c r="AN599" i="205"/>
  <c r="M599" i="205"/>
  <c r="AN598" i="205"/>
  <c r="M598" i="205"/>
  <c r="A598" i="205"/>
  <c r="A599" i="205" s="1"/>
  <c r="AN597" i="205"/>
  <c r="M597" i="205"/>
  <c r="AN596" i="205"/>
  <c r="M596" i="205"/>
  <c r="AN595" i="205"/>
  <c r="M595" i="205"/>
  <c r="A595" i="205"/>
  <c r="A596" i="205" s="1"/>
  <c r="AN594" i="205"/>
  <c r="M594" i="205"/>
  <c r="AN593" i="205"/>
  <c r="M593" i="205"/>
  <c r="AN592" i="205"/>
  <c r="M592" i="205"/>
  <c r="A592" i="205"/>
  <c r="A593" i="205" s="1"/>
  <c r="AN591" i="205"/>
  <c r="M591" i="205"/>
  <c r="AN590" i="205"/>
  <c r="M590" i="205"/>
  <c r="AN589" i="205"/>
  <c r="M589" i="205"/>
  <c r="A589" i="205"/>
  <c r="A590" i="205" s="1"/>
  <c r="AN588" i="205"/>
  <c r="M588" i="205"/>
  <c r="M587" i="205"/>
  <c r="AN584" i="205"/>
  <c r="M584" i="205"/>
  <c r="AN583" i="205"/>
  <c r="M583" i="205"/>
  <c r="A583" i="205"/>
  <c r="A584" i="205" s="1"/>
  <c r="AN582" i="205"/>
  <c r="M582" i="205"/>
  <c r="AN581" i="205"/>
  <c r="M581" i="205"/>
  <c r="AN580" i="205"/>
  <c r="M580" i="205"/>
  <c r="A580" i="205"/>
  <c r="A581" i="205" s="1"/>
  <c r="AN579" i="205"/>
  <c r="M579" i="205"/>
  <c r="AN578" i="205"/>
  <c r="M578" i="205"/>
  <c r="AN577" i="205"/>
  <c r="M577" i="205"/>
  <c r="A577" i="205"/>
  <c r="A578" i="205" s="1"/>
  <c r="AN576" i="205"/>
  <c r="M576" i="205"/>
  <c r="AN575" i="205"/>
  <c r="M575" i="205"/>
  <c r="AN574" i="205"/>
  <c r="M574" i="205"/>
  <c r="A574" i="205"/>
  <c r="A575" i="205" s="1"/>
  <c r="AN573" i="205"/>
  <c r="M573" i="205"/>
  <c r="AN572" i="205"/>
  <c r="M572" i="205"/>
  <c r="AN571" i="205"/>
  <c r="M571" i="205"/>
  <c r="A571" i="205"/>
  <c r="A572" i="205" s="1"/>
  <c r="AN570" i="205"/>
  <c r="M570" i="205"/>
  <c r="AN569" i="205"/>
  <c r="M569" i="205"/>
  <c r="AN568" i="205"/>
  <c r="M568" i="205"/>
  <c r="A568" i="205"/>
  <c r="A569" i="205" s="1"/>
  <c r="AN567" i="205"/>
  <c r="M567" i="205"/>
  <c r="AN566" i="205"/>
  <c r="M566" i="205"/>
  <c r="AN565" i="205"/>
  <c r="M565" i="205"/>
  <c r="A565" i="205"/>
  <c r="A566" i="205" s="1"/>
  <c r="AN564" i="205"/>
  <c r="M564" i="205"/>
  <c r="AN563" i="205"/>
  <c r="M563" i="205"/>
  <c r="AN562" i="205"/>
  <c r="M562" i="205"/>
  <c r="A562" i="205"/>
  <c r="A563" i="205" s="1"/>
  <c r="AN561" i="205"/>
  <c r="M561" i="205"/>
  <c r="M560" i="205"/>
  <c r="AN557" i="205"/>
  <c r="M557" i="205"/>
  <c r="AN556" i="205"/>
  <c r="M556" i="205"/>
  <c r="A556" i="205"/>
  <c r="A557" i="205" s="1"/>
  <c r="AN555" i="205"/>
  <c r="M555" i="205"/>
  <c r="AN554" i="205"/>
  <c r="M554" i="205"/>
  <c r="AN553" i="205"/>
  <c r="M553" i="205"/>
  <c r="A553" i="205"/>
  <c r="A554" i="205" s="1"/>
  <c r="AN552" i="205"/>
  <c r="M552" i="205"/>
  <c r="AN551" i="205"/>
  <c r="M551" i="205"/>
  <c r="AN550" i="205"/>
  <c r="M550" i="205"/>
  <c r="A550" i="205"/>
  <c r="A551" i="205" s="1"/>
  <c r="AN549" i="205"/>
  <c r="M549" i="205"/>
  <c r="AN548" i="205"/>
  <c r="M548" i="205"/>
  <c r="AN547" i="205"/>
  <c r="M547" i="205"/>
  <c r="A547" i="205"/>
  <c r="A548" i="205" s="1"/>
  <c r="AN546" i="205"/>
  <c r="M546" i="205"/>
  <c r="AN545" i="205"/>
  <c r="M545" i="205"/>
  <c r="AN544" i="205"/>
  <c r="M544" i="205"/>
  <c r="A544" i="205"/>
  <c r="A545" i="205" s="1"/>
  <c r="AN543" i="205"/>
  <c r="M543" i="205"/>
  <c r="AN542" i="205"/>
  <c r="M542" i="205"/>
  <c r="AN541" i="205"/>
  <c r="M541" i="205"/>
  <c r="A541" i="205"/>
  <c r="A542" i="205" s="1"/>
  <c r="AN540" i="205"/>
  <c r="M540" i="205"/>
  <c r="AN539" i="205"/>
  <c r="M539" i="205"/>
  <c r="AN538" i="205"/>
  <c r="M538" i="205"/>
  <c r="A538" i="205"/>
  <c r="A539" i="205" s="1"/>
  <c r="AN537" i="205"/>
  <c r="M537" i="205"/>
  <c r="AN536" i="205"/>
  <c r="M536" i="205"/>
  <c r="AN535" i="205"/>
  <c r="M535" i="205"/>
  <c r="A535" i="205"/>
  <c r="A536" i="205" s="1"/>
  <c r="AN534" i="205"/>
  <c r="M534" i="205"/>
  <c r="AN533" i="205"/>
  <c r="M533" i="205"/>
  <c r="AN532" i="205"/>
  <c r="M532" i="205"/>
  <c r="A532" i="205"/>
  <c r="A533" i="205" s="1"/>
  <c r="AN531" i="205"/>
  <c r="M531" i="205"/>
  <c r="AN530" i="205"/>
  <c r="M530" i="205"/>
  <c r="AN529" i="205"/>
  <c r="M529" i="205"/>
  <c r="A529" i="205"/>
  <c r="A530" i="205" s="1"/>
  <c r="AN528" i="205"/>
  <c r="M528" i="205"/>
  <c r="AN527" i="205"/>
  <c r="M527" i="205"/>
  <c r="AN526" i="205"/>
  <c r="M526" i="205"/>
  <c r="A526" i="205"/>
  <c r="A527" i="205" s="1"/>
  <c r="AN525" i="205"/>
  <c r="M525" i="205"/>
  <c r="AN524" i="205"/>
  <c r="M524" i="205"/>
  <c r="AN523" i="205"/>
  <c r="M523" i="205"/>
  <c r="A523" i="205"/>
  <c r="A524" i="205" s="1"/>
  <c r="AN522" i="205"/>
  <c r="M522" i="205"/>
  <c r="AN521" i="205"/>
  <c r="M521" i="205"/>
  <c r="AN520" i="205"/>
  <c r="M520" i="205"/>
  <c r="A520" i="205"/>
  <c r="A521" i="205" s="1"/>
  <c r="AN519" i="205"/>
  <c r="M519" i="205"/>
  <c r="AN518" i="205"/>
  <c r="M518" i="205"/>
  <c r="AN517" i="205"/>
  <c r="M517" i="205"/>
  <c r="A517" i="205"/>
  <c r="A518" i="205" s="1"/>
  <c r="AN516" i="205"/>
  <c r="M516" i="205"/>
  <c r="AN515" i="205"/>
  <c r="M515" i="205"/>
  <c r="AN514" i="205"/>
  <c r="M514" i="205"/>
  <c r="A514" i="205"/>
  <c r="A515" i="205" s="1"/>
  <c r="AN513" i="205"/>
  <c r="M513" i="205"/>
  <c r="AN512" i="205"/>
  <c r="M512" i="205"/>
  <c r="AN511" i="205"/>
  <c r="M511" i="205"/>
  <c r="A511" i="205"/>
  <c r="A512" i="205" s="1"/>
  <c r="AN510" i="205"/>
  <c r="M510" i="205"/>
  <c r="AN509" i="205"/>
  <c r="M509" i="205"/>
  <c r="AN508" i="205"/>
  <c r="M508" i="205"/>
  <c r="A508" i="205"/>
  <c r="A509" i="205" s="1"/>
  <c r="AN507" i="205"/>
  <c r="M507" i="205"/>
  <c r="AN506" i="205"/>
  <c r="M506" i="205"/>
  <c r="AN505" i="205"/>
  <c r="M505" i="205"/>
  <c r="A505" i="205"/>
  <c r="AN504" i="205"/>
  <c r="M504" i="205"/>
  <c r="M503" i="205"/>
  <c r="B495" i="205"/>
  <c r="AN494" i="205"/>
  <c r="B491" i="205"/>
  <c r="AN490" i="205"/>
  <c r="AN489" i="205"/>
  <c r="AN488" i="205"/>
  <c r="AN487" i="205"/>
  <c r="B484" i="205"/>
  <c r="AN483" i="205"/>
  <c r="AN482" i="205"/>
  <c r="AN481" i="205"/>
  <c r="AN480" i="205"/>
  <c r="AN479" i="205"/>
  <c r="AN478" i="205"/>
  <c r="AN477" i="205"/>
  <c r="AN476" i="205"/>
  <c r="AN475" i="205"/>
  <c r="AN474" i="205"/>
  <c r="AN473" i="205"/>
  <c r="AN472" i="205"/>
  <c r="AN471" i="205"/>
  <c r="B468" i="205"/>
  <c r="AN467" i="205"/>
  <c r="AN466" i="205"/>
  <c r="AN465" i="205"/>
  <c r="AN464" i="205"/>
  <c r="AN463" i="205"/>
  <c r="AN462" i="205"/>
  <c r="AN461" i="205"/>
  <c r="AN460" i="205"/>
  <c r="AN459" i="205"/>
  <c r="B456" i="205"/>
  <c r="AN455" i="205"/>
  <c r="AN454" i="205"/>
  <c r="AN453" i="205"/>
  <c r="AN452" i="205"/>
  <c r="AN451" i="205"/>
  <c r="AN450" i="205"/>
  <c r="B447" i="205"/>
  <c r="AN446" i="205"/>
  <c r="AN445" i="205"/>
  <c r="B442" i="205"/>
  <c r="AN441" i="205"/>
  <c r="AN440" i="205"/>
  <c r="AN439" i="205"/>
  <c r="AN438" i="205"/>
  <c r="AN437" i="205"/>
  <c r="AN436" i="205"/>
  <c r="AN435" i="205"/>
  <c r="AN434" i="205"/>
  <c r="AN433" i="205"/>
  <c r="AN432" i="205"/>
  <c r="AN431" i="205"/>
  <c r="AN430" i="205"/>
  <c r="AN429" i="205"/>
  <c r="AN428" i="205"/>
  <c r="AN427" i="205"/>
  <c r="AN426" i="205"/>
  <c r="AN425" i="205"/>
  <c r="AN424" i="205"/>
  <c r="AN423" i="205"/>
  <c r="AN422" i="205"/>
  <c r="AN421" i="205"/>
  <c r="AN420" i="205"/>
  <c r="AN419" i="205"/>
  <c r="AN418" i="205"/>
  <c r="B415" i="205"/>
  <c r="AN414" i="205"/>
  <c r="B411" i="205"/>
  <c r="AN410" i="205"/>
  <c r="B407" i="205"/>
  <c r="AN406" i="205"/>
  <c r="AN405" i="205"/>
  <c r="AN404" i="205"/>
  <c r="AN403" i="205"/>
  <c r="AN402" i="205"/>
  <c r="AN401" i="205"/>
  <c r="AN400" i="205"/>
  <c r="B397" i="205"/>
  <c r="AN396" i="205"/>
  <c r="B393" i="205"/>
  <c r="AN392" i="205"/>
  <c r="B389" i="205"/>
  <c r="AN388" i="205"/>
  <c r="B385" i="205"/>
  <c r="AN384" i="205"/>
  <c r="AN383" i="205"/>
  <c r="AN382" i="205"/>
  <c r="AN381" i="205"/>
  <c r="AN380" i="205"/>
  <c r="AN379" i="205"/>
  <c r="AN378" i="205"/>
  <c r="AN377" i="205"/>
  <c r="AN376" i="205"/>
  <c r="AN375" i="205"/>
  <c r="B372" i="205"/>
  <c r="AN371" i="205"/>
  <c r="AN370" i="205"/>
  <c r="AN369" i="205"/>
  <c r="AN368" i="205"/>
  <c r="AN367" i="205"/>
  <c r="AN366" i="205"/>
  <c r="AN365" i="205"/>
  <c r="AN364" i="205"/>
  <c r="AN363" i="205"/>
  <c r="AN362" i="205"/>
  <c r="AN361" i="205"/>
  <c r="AN360" i="205"/>
  <c r="AN359" i="205"/>
  <c r="B356" i="205"/>
  <c r="AN355" i="205"/>
  <c r="AN354" i="205"/>
  <c r="AN353" i="205"/>
  <c r="AN352" i="205"/>
  <c r="AN351" i="205"/>
  <c r="AN350" i="205"/>
  <c r="AN349" i="205"/>
  <c r="AN348" i="205"/>
  <c r="AN347" i="205"/>
  <c r="B344" i="205"/>
  <c r="AN343" i="205"/>
  <c r="AN342" i="205"/>
  <c r="AN341" i="205"/>
  <c r="AN340" i="205"/>
  <c r="AN339" i="205"/>
  <c r="AN338" i="205"/>
  <c r="AN337" i="205"/>
  <c r="B334" i="205"/>
  <c r="AN333" i="205"/>
  <c r="AN332" i="205"/>
  <c r="AN331" i="205"/>
  <c r="AN330" i="205"/>
  <c r="AN329" i="205"/>
  <c r="AN328" i="205"/>
  <c r="AN327" i="205"/>
  <c r="AN326" i="205"/>
  <c r="AN325" i="205"/>
  <c r="AN324" i="205"/>
  <c r="AN323" i="205"/>
  <c r="B320" i="205"/>
  <c r="AN319" i="205"/>
  <c r="AN318" i="205"/>
  <c r="AN317" i="205"/>
  <c r="AN316" i="205"/>
  <c r="AN315" i="205"/>
  <c r="AN314" i="205"/>
  <c r="AN313" i="205"/>
  <c r="AN312" i="205"/>
  <c r="AN311" i="205"/>
  <c r="AN310" i="205"/>
  <c r="AN309" i="205"/>
  <c r="AN308" i="205"/>
  <c r="AN307" i="205"/>
  <c r="AN306" i="205"/>
  <c r="B303" i="205"/>
  <c r="AN302" i="205"/>
  <c r="AN301" i="205"/>
  <c r="AN300" i="205"/>
  <c r="AN299" i="205"/>
  <c r="AN298" i="205"/>
  <c r="AN297" i="205"/>
  <c r="AN296" i="205"/>
  <c r="AN295" i="205"/>
  <c r="AN294" i="205"/>
  <c r="AN293" i="205"/>
  <c r="AN292" i="205"/>
  <c r="AN291" i="205"/>
  <c r="AN290" i="205"/>
  <c r="AN289" i="205"/>
  <c r="AN288" i="205"/>
  <c r="AN287" i="205"/>
  <c r="AN286" i="205"/>
  <c r="B283" i="205"/>
  <c r="AN282" i="205"/>
  <c r="AN281" i="205"/>
  <c r="AN280" i="205"/>
  <c r="AN279" i="205"/>
  <c r="AN278" i="205"/>
  <c r="AN277" i="205"/>
  <c r="AN276" i="205"/>
  <c r="B273" i="205"/>
  <c r="AN272" i="205"/>
  <c r="AN271" i="205"/>
  <c r="AN270" i="205"/>
  <c r="AN269" i="205"/>
  <c r="AN268" i="205"/>
  <c r="AN267" i="205"/>
  <c r="AN266" i="205"/>
  <c r="AN265" i="205"/>
  <c r="AN264" i="205"/>
  <c r="AN263" i="205"/>
  <c r="AN262" i="205"/>
  <c r="AN261" i="205"/>
  <c r="AN260" i="205"/>
  <c r="AN259" i="205"/>
  <c r="AN258" i="205"/>
  <c r="B255" i="205"/>
  <c r="AN254" i="205"/>
  <c r="AN253" i="205"/>
  <c r="AN252" i="205"/>
  <c r="AN251" i="205"/>
  <c r="AN250" i="205"/>
  <c r="AN249" i="205"/>
  <c r="AN248" i="205"/>
  <c r="AN247" i="205"/>
  <c r="B244" i="205"/>
  <c r="AN243" i="205"/>
  <c r="AN242" i="205"/>
  <c r="AN241" i="205"/>
  <c r="AN240" i="205"/>
  <c r="AN239" i="205"/>
  <c r="AN238" i="205"/>
  <c r="AN237" i="205"/>
  <c r="AN236" i="205"/>
  <c r="AN235" i="205"/>
  <c r="AN234" i="205"/>
  <c r="AN233" i="205"/>
  <c r="AN232" i="205"/>
  <c r="AN231" i="205"/>
  <c r="AN230" i="205"/>
  <c r="AN229" i="205"/>
  <c r="AN228" i="205"/>
  <c r="AN227" i="205"/>
  <c r="AN226" i="205"/>
  <c r="AN217" i="205"/>
  <c r="M217" i="205"/>
  <c r="AN216" i="205"/>
  <c r="M216" i="205"/>
  <c r="AN215" i="205"/>
  <c r="M215" i="205"/>
  <c r="AN214" i="205"/>
  <c r="M214" i="205"/>
  <c r="AN213" i="205"/>
  <c r="M213" i="205"/>
  <c r="AN212" i="205"/>
  <c r="M212" i="205"/>
  <c r="AN211" i="205"/>
  <c r="M211" i="205"/>
  <c r="AN210" i="205"/>
  <c r="M210" i="205"/>
  <c r="AN209" i="205"/>
  <c r="M209" i="205"/>
  <c r="AN208" i="205"/>
  <c r="M208" i="205"/>
  <c r="AN207" i="205"/>
  <c r="M207" i="205"/>
  <c r="AN206" i="205"/>
  <c r="O206" i="205"/>
  <c r="P206" i="205" s="1"/>
  <c r="Q206" i="205" s="1"/>
  <c r="R206" i="205" s="1"/>
  <c r="M206" i="205"/>
  <c r="AN205" i="205"/>
  <c r="O205" i="205"/>
  <c r="P205" i="205" s="1"/>
  <c r="Q205" i="205" s="1"/>
  <c r="R205" i="205" s="1"/>
  <c r="M205" i="205"/>
  <c r="AN204" i="205"/>
  <c r="O204" i="205"/>
  <c r="P204" i="205" s="1"/>
  <c r="Q204" i="205" s="1"/>
  <c r="R204" i="205" s="1"/>
  <c r="M204" i="205"/>
  <c r="AN203" i="205"/>
  <c r="M203" i="205"/>
  <c r="AN202" i="205"/>
  <c r="M202" i="205"/>
  <c r="AN201" i="205"/>
  <c r="M201" i="205"/>
  <c r="AN200" i="205"/>
  <c r="M200" i="205"/>
  <c r="AN199" i="205"/>
  <c r="O199" i="205"/>
  <c r="P199" i="205" s="1"/>
  <c r="Q199" i="205" s="1"/>
  <c r="R199" i="205" s="1"/>
  <c r="M199" i="205"/>
  <c r="AN198" i="205"/>
  <c r="M198" i="205"/>
  <c r="AN197" i="205"/>
  <c r="M197" i="205"/>
  <c r="AN196" i="205"/>
  <c r="O196" i="205"/>
  <c r="P196" i="205" s="1"/>
  <c r="Q196" i="205" s="1"/>
  <c r="R196" i="205" s="1"/>
  <c r="M196" i="205"/>
  <c r="AN195" i="205"/>
  <c r="M195" i="205"/>
  <c r="AN194" i="205"/>
  <c r="M194" i="205"/>
  <c r="AN190" i="205"/>
  <c r="O190" i="205"/>
  <c r="P190" i="205" s="1"/>
  <c r="Q190" i="205" s="1"/>
  <c r="R190" i="205" s="1"/>
  <c r="M190" i="205"/>
  <c r="AN186" i="205"/>
  <c r="M186" i="205"/>
  <c r="AN185" i="205"/>
  <c r="M185" i="205"/>
  <c r="AN184" i="205"/>
  <c r="M184" i="205"/>
  <c r="AN180" i="205"/>
  <c r="M180" i="205"/>
  <c r="AN179" i="205"/>
  <c r="M179" i="205"/>
  <c r="AN178" i="205"/>
  <c r="M178" i="205"/>
  <c r="AN177" i="205"/>
  <c r="M177" i="205"/>
  <c r="AN176" i="205"/>
  <c r="M176" i="205"/>
  <c r="AN175" i="205"/>
  <c r="M175" i="205"/>
  <c r="AN174" i="205"/>
  <c r="M174" i="205"/>
  <c r="AN173" i="205"/>
  <c r="M173" i="205"/>
  <c r="AN172" i="205"/>
  <c r="M172" i="205"/>
  <c r="AN171" i="205"/>
  <c r="M171" i="205"/>
  <c r="AN170" i="205"/>
  <c r="M170" i="205"/>
  <c r="AN169" i="205"/>
  <c r="M169" i="205"/>
  <c r="AN168" i="205"/>
  <c r="M168" i="205"/>
  <c r="AN167" i="205"/>
  <c r="M167" i="205"/>
  <c r="AN166" i="205"/>
  <c r="M166" i="205"/>
  <c r="AN165" i="205"/>
  <c r="M165" i="205"/>
  <c r="AN164" i="205"/>
  <c r="M164" i="205"/>
  <c r="AN163" i="205"/>
  <c r="M163" i="205"/>
  <c r="AN162" i="205"/>
  <c r="M162" i="205"/>
  <c r="AN161" i="205"/>
  <c r="M161" i="205"/>
  <c r="AN160" i="205"/>
  <c r="M160" i="205"/>
  <c r="AN159" i="205"/>
  <c r="M159" i="205"/>
  <c r="AN158" i="205"/>
  <c r="M158" i="205"/>
  <c r="AN157" i="205"/>
  <c r="M157" i="205"/>
  <c r="AN153" i="205"/>
  <c r="M153" i="205"/>
  <c r="E153" i="205"/>
  <c r="N153" i="205" s="1"/>
  <c r="O153" i="205" s="1"/>
  <c r="P153" i="205" s="1"/>
  <c r="Q153" i="205" s="1"/>
  <c r="R153" i="205" s="1"/>
  <c r="AN152" i="205"/>
  <c r="M152" i="205"/>
  <c r="AN151" i="205"/>
  <c r="M151" i="205"/>
  <c r="AN147" i="205"/>
  <c r="O147" i="205"/>
  <c r="P147" i="205" s="1"/>
  <c r="Q147" i="205" s="1"/>
  <c r="R147" i="205" s="1"/>
  <c r="M147" i="205"/>
  <c r="AN146" i="205"/>
  <c r="O146" i="205"/>
  <c r="P146" i="205" s="1"/>
  <c r="Q146" i="205" s="1"/>
  <c r="R146" i="205" s="1"/>
  <c r="M146" i="205"/>
  <c r="AN145" i="205"/>
  <c r="O145" i="205"/>
  <c r="P145" i="205" s="1"/>
  <c r="Q145" i="205" s="1"/>
  <c r="R145" i="205" s="1"/>
  <c r="M145" i="205"/>
  <c r="AN144" i="205"/>
  <c r="O144" i="205"/>
  <c r="P144" i="205" s="1"/>
  <c r="Q144" i="205" s="1"/>
  <c r="R144" i="205" s="1"/>
  <c r="M144" i="205"/>
  <c r="AN143" i="205"/>
  <c r="O143" i="205"/>
  <c r="P143" i="205" s="1"/>
  <c r="Q143" i="205" s="1"/>
  <c r="R143" i="205" s="1"/>
  <c r="M143" i="205"/>
  <c r="AN142" i="205"/>
  <c r="O142" i="205"/>
  <c r="P142" i="205" s="1"/>
  <c r="Q142" i="205" s="1"/>
  <c r="R142" i="205" s="1"/>
  <c r="M142" i="205"/>
  <c r="AN141" i="205"/>
  <c r="O141" i="205"/>
  <c r="P141" i="205" s="1"/>
  <c r="Q141" i="205" s="1"/>
  <c r="R141" i="205" s="1"/>
  <c r="M141" i="205"/>
  <c r="AN140" i="205"/>
  <c r="O140" i="205"/>
  <c r="P140" i="205" s="1"/>
  <c r="Q140" i="205" s="1"/>
  <c r="R140" i="205" s="1"/>
  <c r="M140" i="205"/>
  <c r="AN139" i="205"/>
  <c r="O139" i="205"/>
  <c r="P139" i="205" s="1"/>
  <c r="Q139" i="205" s="1"/>
  <c r="R139" i="205" s="1"/>
  <c r="M139" i="205"/>
  <c r="AN138" i="205"/>
  <c r="O138" i="205"/>
  <c r="P138" i="205" s="1"/>
  <c r="Q138" i="205" s="1"/>
  <c r="R138" i="205" s="1"/>
  <c r="M138" i="205"/>
  <c r="AN137" i="205"/>
  <c r="O137" i="205"/>
  <c r="P137" i="205" s="1"/>
  <c r="Q137" i="205" s="1"/>
  <c r="R137" i="205" s="1"/>
  <c r="M137" i="205"/>
  <c r="AN136" i="205"/>
  <c r="O136" i="205"/>
  <c r="P136" i="205" s="1"/>
  <c r="Q136" i="205" s="1"/>
  <c r="R136" i="205" s="1"/>
  <c r="M136" i="205"/>
  <c r="AN135" i="205"/>
  <c r="O135" i="205"/>
  <c r="P135" i="205" s="1"/>
  <c r="Q135" i="205" s="1"/>
  <c r="R135" i="205" s="1"/>
  <c r="M135" i="205"/>
  <c r="AN134" i="205"/>
  <c r="O134" i="205"/>
  <c r="P134" i="205" s="1"/>
  <c r="Q134" i="205" s="1"/>
  <c r="R134" i="205" s="1"/>
  <c r="M134" i="205"/>
  <c r="AN133" i="205"/>
  <c r="O133" i="205"/>
  <c r="P133" i="205" s="1"/>
  <c r="Q133" i="205" s="1"/>
  <c r="R133" i="205" s="1"/>
  <c r="M133" i="205"/>
  <c r="AN132" i="205"/>
  <c r="O132" i="205"/>
  <c r="P132" i="205" s="1"/>
  <c r="Q132" i="205" s="1"/>
  <c r="R132" i="205" s="1"/>
  <c r="M132" i="205"/>
  <c r="AN131" i="205"/>
  <c r="O131" i="205"/>
  <c r="P131" i="205" s="1"/>
  <c r="Q131" i="205" s="1"/>
  <c r="R131" i="205" s="1"/>
  <c r="M131" i="205"/>
  <c r="AN127" i="205"/>
  <c r="M127" i="205"/>
  <c r="AN126" i="205"/>
  <c r="M126" i="205"/>
  <c r="AN125" i="205"/>
  <c r="M125" i="205"/>
  <c r="AN124" i="205"/>
  <c r="M124" i="205"/>
  <c r="AN123" i="205"/>
  <c r="M123" i="205"/>
  <c r="AN122" i="205"/>
  <c r="M122" i="205"/>
  <c r="AN121" i="205"/>
  <c r="M121" i="205"/>
  <c r="AN120" i="205"/>
  <c r="M120" i="205"/>
  <c r="AN119" i="205"/>
  <c r="M119" i="205"/>
  <c r="AN118" i="205"/>
  <c r="M118" i="205"/>
  <c r="AN117" i="205"/>
  <c r="M117" i="205"/>
  <c r="AN116" i="205"/>
  <c r="M116" i="205"/>
  <c r="AN115" i="205"/>
  <c r="M115" i="205"/>
  <c r="AN114" i="205"/>
  <c r="M114" i="205"/>
  <c r="AN113" i="205"/>
  <c r="M113" i="205"/>
  <c r="AN112" i="205"/>
  <c r="M112" i="205"/>
  <c r="AN111" i="205"/>
  <c r="M111" i="205"/>
  <c r="AN110" i="205"/>
  <c r="M110" i="205"/>
  <c r="AN109" i="205"/>
  <c r="M109" i="205"/>
  <c r="AN108" i="205"/>
  <c r="M108" i="205"/>
  <c r="AN107" i="205"/>
  <c r="M107" i="205"/>
  <c r="AN106" i="205"/>
  <c r="M106" i="205"/>
  <c r="AN105" i="205"/>
  <c r="M105" i="205"/>
  <c r="AN104" i="205"/>
  <c r="M104" i="205"/>
  <c r="AN103" i="205"/>
  <c r="M103" i="205"/>
  <c r="AN102" i="205"/>
  <c r="M102" i="205"/>
  <c r="AN101" i="205"/>
  <c r="M101" i="205"/>
  <c r="AN100" i="205"/>
  <c r="M100" i="205"/>
  <c r="AN99" i="205"/>
  <c r="M99" i="205"/>
  <c r="AN98" i="205"/>
  <c r="M98" i="205"/>
  <c r="AN97" i="205"/>
  <c r="M97" i="205"/>
  <c r="AN96" i="205"/>
  <c r="M96" i="205"/>
  <c r="AN92" i="205"/>
  <c r="M92" i="205"/>
  <c r="AN91" i="205"/>
  <c r="M91" i="205"/>
  <c r="AN87" i="205"/>
  <c r="O87" i="205"/>
  <c r="P87" i="205" s="1"/>
  <c r="Q87" i="205" s="1"/>
  <c r="R87" i="205" s="1"/>
  <c r="M87" i="205"/>
  <c r="AN86" i="205"/>
  <c r="O86" i="205"/>
  <c r="P86" i="205" s="1"/>
  <c r="Q86" i="205" s="1"/>
  <c r="R86" i="205" s="1"/>
  <c r="M86" i="205"/>
  <c r="G84" i="205"/>
  <c r="AN72" i="205"/>
  <c r="AN71" i="205"/>
  <c r="AN70" i="205"/>
  <c r="AN69" i="205"/>
  <c r="AN68" i="205"/>
  <c r="AN67" i="205"/>
  <c r="AN66" i="205"/>
  <c r="AN63" i="205"/>
  <c r="AN62" i="205"/>
  <c r="AN61" i="205"/>
  <c r="AN60" i="205"/>
  <c r="AN53" i="205"/>
  <c r="AN52" i="205"/>
  <c r="AN51" i="205"/>
  <c r="AN50" i="205"/>
  <c r="AN49" i="205"/>
  <c r="AN48" i="205"/>
  <c r="AN47" i="205"/>
  <c r="AN46" i="205"/>
  <c r="AN45" i="205"/>
  <c r="AN44" i="205"/>
  <c r="AN43" i="205"/>
  <c r="AN42" i="205"/>
  <c r="AN41" i="205"/>
  <c r="AN40" i="205"/>
  <c r="AN39" i="205"/>
  <c r="AN38" i="205"/>
  <c r="AN37" i="205"/>
  <c r="AN36" i="205"/>
  <c r="AN35" i="205"/>
  <c r="AN34" i="205"/>
  <c r="AN33" i="205"/>
  <c r="AN32" i="205"/>
  <c r="AN31" i="205"/>
  <c r="AN30" i="205"/>
  <c r="AN23" i="205"/>
  <c r="AN22" i="205"/>
  <c r="AN21" i="205"/>
  <c r="AN20" i="205"/>
  <c r="AN19" i="205"/>
  <c r="AN18" i="205"/>
  <c r="AN17" i="205"/>
  <c r="AN16" i="205"/>
  <c r="AN15" i="205"/>
  <c r="P13" i="205"/>
  <c r="V13" i="205" s="1"/>
  <c r="AB13" i="205" s="1"/>
  <c r="O13" i="205"/>
  <c r="U13" i="205" s="1"/>
  <c r="AA13" i="205" s="1"/>
  <c r="AP4" i="205"/>
  <c r="G29" i="205"/>
  <c r="G59" i="205" s="1"/>
  <c r="C29" i="205"/>
  <c r="C59" i="205" s="1"/>
  <c r="AK9" i="205"/>
  <c r="AK8" i="205"/>
  <c r="AK7" i="205"/>
  <c r="AR4" i="205"/>
  <c r="AO4" i="205"/>
  <c r="AL4" i="205"/>
  <c r="C927" i="205" l="1"/>
  <c r="C41" i="205" s="1"/>
  <c r="C61" i="205"/>
  <c r="C70" i="205"/>
  <c r="E868" i="205"/>
  <c r="N868" i="205" s="1"/>
  <c r="O868" i="205" s="1"/>
  <c r="P868" i="205" s="1"/>
  <c r="Q868" i="205" s="1"/>
  <c r="R868" i="205" s="1"/>
  <c r="E1151" i="205"/>
  <c r="O1151" i="205" s="1"/>
  <c r="P1151" i="205" s="1"/>
  <c r="Q1151" i="205" s="1"/>
  <c r="R1151" i="205" s="1"/>
  <c r="E997" i="205"/>
  <c r="N997" i="205" s="1"/>
  <c r="O997" i="205" s="1"/>
  <c r="P997" i="205" s="1"/>
  <c r="Q997" i="205" s="1"/>
  <c r="R997" i="205" s="1"/>
  <c r="E1156" i="205"/>
  <c r="AM4" i="205"/>
  <c r="E1058" i="205"/>
  <c r="N1058" i="205" s="1"/>
  <c r="O1058" i="205" s="1"/>
  <c r="P1058" i="205" s="1"/>
  <c r="Q1058" i="205" s="1"/>
  <c r="R1058" i="205" s="1"/>
  <c r="I1113" i="205"/>
  <c r="J1113" i="205" s="1"/>
  <c r="H199" i="205"/>
  <c r="I199" i="205" s="1"/>
  <c r="J199" i="205" s="1"/>
  <c r="F1066" i="205"/>
  <c r="G1066" i="205" s="1"/>
  <c r="H1066" i="205" s="1"/>
  <c r="I1066" i="205" s="1"/>
  <c r="J1066" i="205" s="1"/>
  <c r="AM1066" i="205" s="1"/>
  <c r="I1171" i="205"/>
  <c r="J1171" i="205" s="1"/>
  <c r="E912" i="205"/>
  <c r="N912" i="205" s="1"/>
  <c r="O912" i="205" s="1"/>
  <c r="P912" i="205" s="1"/>
  <c r="Q912" i="205" s="1"/>
  <c r="R912" i="205" s="1"/>
  <c r="E1028" i="205"/>
  <c r="N1028" i="205" s="1"/>
  <c r="O1028" i="205" s="1"/>
  <c r="P1028" i="205" s="1"/>
  <c r="Q1028" i="205" s="1"/>
  <c r="R1028" i="205" s="1"/>
  <c r="D61" i="205"/>
  <c r="E1023" i="205"/>
  <c r="N1023" i="205" s="1"/>
  <c r="O1023" i="205" s="1"/>
  <c r="P1023" i="205" s="1"/>
  <c r="Q1023" i="205" s="1"/>
  <c r="R1023" i="205" s="1"/>
  <c r="E1055" i="205"/>
  <c r="N1055" i="205" s="1"/>
  <c r="O1055" i="205" s="1"/>
  <c r="P1055" i="205" s="1"/>
  <c r="Q1055" i="205" s="1"/>
  <c r="R1055" i="205" s="1"/>
  <c r="E1142" i="205"/>
  <c r="O1142" i="205" s="1"/>
  <c r="P1142" i="205" s="1"/>
  <c r="Q1142" i="205" s="1"/>
  <c r="R1142" i="205" s="1"/>
  <c r="E1130" i="205"/>
  <c r="O1130" i="205" s="1"/>
  <c r="P1130" i="205" s="1"/>
  <c r="Q1130" i="205" s="1"/>
  <c r="R1130" i="205" s="1"/>
  <c r="E1140" i="205"/>
  <c r="O1140" i="205" s="1"/>
  <c r="P1140" i="205" s="1"/>
  <c r="Q1140" i="205" s="1"/>
  <c r="R1140" i="205" s="1"/>
  <c r="E1144" i="205"/>
  <c r="O1144" i="205" s="1"/>
  <c r="P1144" i="205" s="1"/>
  <c r="Q1144" i="205" s="1"/>
  <c r="R1144" i="205" s="1"/>
  <c r="F1126" i="205"/>
  <c r="G1126" i="205" s="1"/>
  <c r="H1126" i="205" s="1"/>
  <c r="I1126" i="205" s="1"/>
  <c r="J1126" i="205" s="1"/>
  <c r="AM1126" i="205" s="1"/>
  <c r="E1126" i="205"/>
  <c r="O1126" i="205" s="1"/>
  <c r="P1126" i="205" s="1"/>
  <c r="Q1126" i="205" s="1"/>
  <c r="R1126" i="205" s="1"/>
  <c r="F1163" i="205"/>
  <c r="G1163" i="205" s="1"/>
  <c r="H1163" i="205" s="1"/>
  <c r="I1163" i="205" s="1"/>
  <c r="J1163" i="205" s="1"/>
  <c r="AM1163" i="205" s="1"/>
  <c r="E1163" i="205"/>
  <c r="E1124" i="205"/>
  <c r="O1124" i="205" s="1"/>
  <c r="P1124" i="205" s="1"/>
  <c r="Q1124" i="205" s="1"/>
  <c r="R1124" i="205" s="1"/>
  <c r="E869" i="205"/>
  <c r="N869" i="205" s="1"/>
  <c r="O869" i="205" s="1"/>
  <c r="P869" i="205" s="1"/>
  <c r="Q869" i="205" s="1"/>
  <c r="R869" i="205" s="1"/>
  <c r="E885" i="205"/>
  <c r="N885" i="205" s="1"/>
  <c r="O885" i="205" s="1"/>
  <c r="P885" i="205" s="1"/>
  <c r="Q885" i="205" s="1"/>
  <c r="R885" i="205" s="1"/>
  <c r="E944" i="205"/>
  <c r="N944" i="205" s="1"/>
  <c r="O944" i="205" s="1"/>
  <c r="P944" i="205" s="1"/>
  <c r="Q944" i="205" s="1"/>
  <c r="R944" i="205" s="1"/>
  <c r="E950" i="205"/>
  <c r="N950" i="205" s="1"/>
  <c r="O950" i="205" s="1"/>
  <c r="P950" i="205" s="1"/>
  <c r="Q950" i="205" s="1"/>
  <c r="R950" i="205" s="1"/>
  <c r="E958" i="205"/>
  <c r="N958" i="205" s="1"/>
  <c r="O958" i="205" s="1"/>
  <c r="P958" i="205" s="1"/>
  <c r="Q958" i="205" s="1"/>
  <c r="R958" i="205" s="1"/>
  <c r="E983" i="205"/>
  <c r="N983" i="205" s="1"/>
  <c r="O983" i="205" s="1"/>
  <c r="P983" i="205" s="1"/>
  <c r="Q983" i="205" s="1"/>
  <c r="R983" i="205" s="1"/>
  <c r="E1062" i="205"/>
  <c r="E1161" i="205"/>
  <c r="E902" i="205"/>
  <c r="N902" i="205" s="1"/>
  <c r="O902" i="205" s="1"/>
  <c r="P902" i="205" s="1"/>
  <c r="Q902" i="205" s="1"/>
  <c r="R902" i="205" s="1"/>
  <c r="E1001" i="205"/>
  <c r="N1001" i="205" s="1"/>
  <c r="O1001" i="205" s="1"/>
  <c r="P1001" i="205" s="1"/>
  <c r="Q1001" i="205" s="1"/>
  <c r="R1001" i="205" s="1"/>
  <c r="E198" i="205"/>
  <c r="N198" i="205" s="1"/>
  <c r="O198" i="205" s="1"/>
  <c r="P198" i="205" s="1"/>
  <c r="Q198" i="205" s="1"/>
  <c r="R198" i="205" s="1"/>
  <c r="E873" i="205"/>
  <c r="N873" i="205" s="1"/>
  <c r="O873" i="205" s="1"/>
  <c r="P873" i="205" s="1"/>
  <c r="Q873" i="205" s="1"/>
  <c r="R873" i="205" s="1"/>
  <c r="E887" i="205"/>
  <c r="N887" i="205" s="1"/>
  <c r="O887" i="205" s="1"/>
  <c r="P887" i="205" s="1"/>
  <c r="Q887" i="205" s="1"/>
  <c r="R887" i="205" s="1"/>
  <c r="E896" i="205"/>
  <c r="N896" i="205" s="1"/>
  <c r="O896" i="205" s="1"/>
  <c r="P896" i="205" s="1"/>
  <c r="Q896" i="205" s="1"/>
  <c r="R896" i="205" s="1"/>
  <c r="E920" i="205"/>
  <c r="N920" i="205" s="1"/>
  <c r="O920" i="205" s="1"/>
  <c r="P920" i="205" s="1"/>
  <c r="Q920" i="205" s="1"/>
  <c r="R920" i="205" s="1"/>
  <c r="E962" i="205"/>
  <c r="N962" i="205" s="1"/>
  <c r="O962" i="205" s="1"/>
  <c r="P962" i="205" s="1"/>
  <c r="Q962" i="205" s="1"/>
  <c r="R962" i="205" s="1"/>
  <c r="E1093" i="205"/>
  <c r="E1150" i="205"/>
  <c r="O1150" i="205" s="1"/>
  <c r="P1150" i="205" s="1"/>
  <c r="Q1150" i="205" s="1"/>
  <c r="R1150" i="205" s="1"/>
  <c r="E1170" i="205"/>
  <c r="N1170" i="205" s="1"/>
  <c r="O1170" i="205" s="1"/>
  <c r="P1170" i="205" s="1"/>
  <c r="Q1170" i="205" s="1"/>
  <c r="R1170" i="205" s="1"/>
  <c r="D62" i="205"/>
  <c r="E194" i="205"/>
  <c r="N194" i="205" s="1"/>
  <c r="O194" i="205" s="1"/>
  <c r="P194" i="205" s="1"/>
  <c r="Q194" i="205" s="1"/>
  <c r="R194" i="205" s="1"/>
  <c r="E914" i="205"/>
  <c r="N914" i="205" s="1"/>
  <c r="O914" i="205" s="1"/>
  <c r="P914" i="205" s="1"/>
  <c r="Q914" i="205" s="1"/>
  <c r="R914" i="205" s="1"/>
  <c r="E946" i="205"/>
  <c r="N946" i="205" s="1"/>
  <c r="O946" i="205" s="1"/>
  <c r="P946" i="205" s="1"/>
  <c r="Q946" i="205" s="1"/>
  <c r="R946" i="205" s="1"/>
  <c r="E949" i="205"/>
  <c r="N949" i="205" s="1"/>
  <c r="O949" i="205" s="1"/>
  <c r="P949" i="205" s="1"/>
  <c r="Q949" i="205" s="1"/>
  <c r="R949" i="205" s="1"/>
  <c r="E989" i="205"/>
  <c r="N989" i="205" s="1"/>
  <c r="O989" i="205" s="1"/>
  <c r="P989" i="205" s="1"/>
  <c r="Q989" i="205" s="1"/>
  <c r="R989" i="205" s="1"/>
  <c r="D1059" i="205"/>
  <c r="D48" i="205" s="1"/>
  <c r="E205" i="205"/>
  <c r="E877" i="205"/>
  <c r="N877" i="205" s="1"/>
  <c r="O877" i="205" s="1"/>
  <c r="P877" i="205" s="1"/>
  <c r="Q877" i="205" s="1"/>
  <c r="R877" i="205" s="1"/>
  <c r="E904" i="205"/>
  <c r="N904" i="205" s="1"/>
  <c r="O904" i="205" s="1"/>
  <c r="P904" i="205" s="1"/>
  <c r="Q904" i="205" s="1"/>
  <c r="R904" i="205" s="1"/>
  <c r="E917" i="205"/>
  <c r="N917" i="205" s="1"/>
  <c r="O917" i="205" s="1"/>
  <c r="P917" i="205" s="1"/>
  <c r="Q917" i="205" s="1"/>
  <c r="R917" i="205" s="1"/>
  <c r="E201" i="205"/>
  <c r="N201" i="205" s="1"/>
  <c r="O201" i="205" s="1"/>
  <c r="P201" i="205" s="1"/>
  <c r="Q201" i="205" s="1"/>
  <c r="R201" i="205" s="1"/>
  <c r="F1009" i="205"/>
  <c r="G1009" i="205" s="1"/>
  <c r="H1009" i="205" s="1"/>
  <c r="I1009" i="205" s="1"/>
  <c r="J1009" i="205" s="1"/>
  <c r="AM1009" i="205" s="1"/>
  <c r="F1011" i="205"/>
  <c r="G1011" i="205" s="1"/>
  <c r="H1011" i="205" s="1"/>
  <c r="I1011" i="205" s="1"/>
  <c r="J1011" i="205" s="1"/>
  <c r="AM1011" i="205" s="1"/>
  <c r="E1013" i="205"/>
  <c r="N1013" i="205" s="1"/>
  <c r="O1013" i="205" s="1"/>
  <c r="P1013" i="205" s="1"/>
  <c r="Q1013" i="205" s="1"/>
  <c r="R1013" i="205" s="1"/>
  <c r="F1013" i="205"/>
  <c r="G1013" i="205" s="1"/>
  <c r="H1013" i="205" s="1"/>
  <c r="I1013" i="205" s="1"/>
  <c r="J1013" i="205" s="1"/>
  <c r="AM1013" i="205" s="1"/>
  <c r="E1025" i="205"/>
  <c r="N1025" i="205" s="1"/>
  <c r="O1025" i="205" s="1"/>
  <c r="P1025" i="205" s="1"/>
  <c r="Q1025" i="205" s="1"/>
  <c r="R1025" i="205" s="1"/>
  <c r="F1025" i="205"/>
  <c r="G1025" i="205" s="1"/>
  <c r="H1025" i="205" s="1"/>
  <c r="I1025" i="205" s="1"/>
  <c r="J1025" i="205" s="1"/>
  <c r="AM1025" i="205" s="1"/>
  <c r="F1027" i="205"/>
  <c r="G1027" i="205" s="1"/>
  <c r="H1027" i="205" s="1"/>
  <c r="I1027" i="205" s="1"/>
  <c r="J1027" i="205" s="1"/>
  <c r="AM1027" i="205" s="1"/>
  <c r="F1067" i="205"/>
  <c r="G1067" i="205" s="1"/>
  <c r="H1067" i="205" s="1"/>
  <c r="I1067" i="205" s="1"/>
  <c r="J1067" i="205" s="1"/>
  <c r="AM1067" i="205" s="1"/>
  <c r="F1086" i="205"/>
  <c r="G1086" i="205" s="1"/>
  <c r="H1086" i="205" s="1"/>
  <c r="I1086" i="205" s="1"/>
  <c r="J1086" i="205" s="1"/>
  <c r="AM1086" i="205" s="1"/>
  <c r="F1094" i="205"/>
  <c r="G1094" i="205" s="1"/>
  <c r="H1094" i="205" s="1"/>
  <c r="I1094" i="205" s="1"/>
  <c r="J1094" i="205" s="1"/>
  <c r="AM1094" i="205" s="1"/>
  <c r="F1098" i="205"/>
  <c r="G1098" i="205" s="1"/>
  <c r="H1098" i="205" s="1"/>
  <c r="I1098" i="205" s="1"/>
  <c r="J1098" i="205" s="1"/>
  <c r="AM1098" i="205" s="1"/>
  <c r="F1133" i="205"/>
  <c r="G1133" i="205" s="1"/>
  <c r="H1133" i="205" s="1"/>
  <c r="I1133" i="205" s="1"/>
  <c r="J1133" i="205" s="1"/>
  <c r="AM1133" i="205" s="1"/>
  <c r="F1151" i="205"/>
  <c r="G1151" i="205" s="1"/>
  <c r="H1151" i="205" s="1"/>
  <c r="I1151" i="205" s="1"/>
  <c r="J1151" i="205" s="1"/>
  <c r="AM1151" i="205" s="1"/>
  <c r="F1005" i="205"/>
  <c r="G1005" i="205" s="1"/>
  <c r="H1005" i="205" s="1"/>
  <c r="I1005" i="205" s="1"/>
  <c r="J1005" i="205" s="1"/>
  <c r="AM1005" i="205" s="1"/>
  <c r="F1017" i="205"/>
  <c r="G1017" i="205" s="1"/>
  <c r="H1017" i="205" s="1"/>
  <c r="I1017" i="205" s="1"/>
  <c r="J1017" i="205" s="1"/>
  <c r="AM1017" i="205" s="1"/>
  <c r="F1088" i="205"/>
  <c r="G1088" i="205" s="1"/>
  <c r="H1088" i="205" s="1"/>
  <c r="I1088" i="205" s="1"/>
  <c r="J1088" i="205" s="1"/>
  <c r="AM1088" i="205" s="1"/>
  <c r="E985" i="205"/>
  <c r="N985" i="205" s="1"/>
  <c r="O985" i="205" s="1"/>
  <c r="P985" i="205" s="1"/>
  <c r="Q985" i="205" s="1"/>
  <c r="R985" i="205" s="1"/>
  <c r="E995" i="205"/>
  <c r="N995" i="205" s="1"/>
  <c r="O995" i="205" s="1"/>
  <c r="P995" i="205" s="1"/>
  <c r="Q995" i="205" s="1"/>
  <c r="R995" i="205" s="1"/>
  <c r="E1020" i="205"/>
  <c r="N1020" i="205" s="1"/>
  <c r="O1020" i="205" s="1"/>
  <c r="P1020" i="205" s="1"/>
  <c r="Q1020" i="205" s="1"/>
  <c r="R1020" i="205" s="1"/>
  <c r="E1070" i="205"/>
  <c r="E1084" i="205"/>
  <c r="E1086" i="205"/>
  <c r="E1091" i="205"/>
  <c r="E1118" i="205"/>
  <c r="O1118" i="205" s="1"/>
  <c r="P1118" i="205" s="1"/>
  <c r="Q1118" i="205" s="1"/>
  <c r="R1118" i="205" s="1"/>
  <c r="E1138" i="205"/>
  <c r="O1138" i="205" s="1"/>
  <c r="P1138" i="205" s="1"/>
  <c r="Q1138" i="205" s="1"/>
  <c r="R1138" i="205" s="1"/>
  <c r="E1057" i="205"/>
  <c r="N1057" i="205" s="1"/>
  <c r="O1057" i="205" s="1"/>
  <c r="P1057" i="205" s="1"/>
  <c r="Q1057" i="205" s="1"/>
  <c r="R1057" i="205" s="1"/>
  <c r="E1087" i="205"/>
  <c r="E1114" i="205"/>
  <c r="O1114" i="205" s="1"/>
  <c r="P1114" i="205" s="1"/>
  <c r="Q1114" i="205" s="1"/>
  <c r="R1114" i="205" s="1"/>
  <c r="D927" i="205"/>
  <c r="D41" i="205" s="1"/>
  <c r="F924" i="205"/>
  <c r="G924" i="205" s="1"/>
  <c r="H924" i="205" s="1"/>
  <c r="I924" i="205" s="1"/>
  <c r="J924" i="205" s="1"/>
  <c r="F926" i="205"/>
  <c r="G926" i="205" s="1"/>
  <c r="H926" i="205" s="1"/>
  <c r="I926" i="205" s="1"/>
  <c r="J926" i="205" s="1"/>
  <c r="AM926" i="205" s="1"/>
  <c r="F931" i="205"/>
  <c r="G931" i="205" s="1"/>
  <c r="H931" i="205" s="1"/>
  <c r="I931" i="205" s="1"/>
  <c r="J931" i="205" s="1"/>
  <c r="AM931" i="205" s="1"/>
  <c r="F938" i="205"/>
  <c r="G938" i="205" s="1"/>
  <c r="H938" i="205" s="1"/>
  <c r="I938" i="205" s="1"/>
  <c r="J938" i="205" s="1"/>
  <c r="AM938" i="205" s="1"/>
  <c r="E945" i="205"/>
  <c r="N945" i="205" s="1"/>
  <c r="O945" i="205" s="1"/>
  <c r="P945" i="205" s="1"/>
  <c r="Q945" i="205" s="1"/>
  <c r="R945" i="205" s="1"/>
  <c r="F945" i="205"/>
  <c r="G945" i="205" s="1"/>
  <c r="H945" i="205" s="1"/>
  <c r="I945" i="205" s="1"/>
  <c r="J945" i="205" s="1"/>
  <c r="AM945" i="205" s="1"/>
  <c r="E968" i="205"/>
  <c r="N968" i="205" s="1"/>
  <c r="O968" i="205" s="1"/>
  <c r="P968" i="205" s="1"/>
  <c r="Q968" i="205" s="1"/>
  <c r="R968" i="205" s="1"/>
  <c r="F968" i="205"/>
  <c r="G968" i="205" s="1"/>
  <c r="H968" i="205" s="1"/>
  <c r="I968" i="205" s="1"/>
  <c r="J968" i="205" s="1"/>
  <c r="AM968" i="205" s="1"/>
  <c r="F895" i="205"/>
  <c r="G895" i="205" s="1"/>
  <c r="H895" i="205" s="1"/>
  <c r="I895" i="205" s="1"/>
  <c r="J895" i="205" s="1"/>
  <c r="AM895" i="205" s="1"/>
  <c r="F897" i="205"/>
  <c r="G897" i="205" s="1"/>
  <c r="H897" i="205" s="1"/>
  <c r="I897" i="205" s="1"/>
  <c r="J897" i="205" s="1"/>
  <c r="AM897" i="205" s="1"/>
  <c r="F901" i="205"/>
  <c r="G901" i="205" s="1"/>
  <c r="H901" i="205" s="1"/>
  <c r="I901" i="205" s="1"/>
  <c r="J901" i="205" s="1"/>
  <c r="AM901" i="205" s="1"/>
  <c r="E905" i="205"/>
  <c r="N905" i="205" s="1"/>
  <c r="O905" i="205" s="1"/>
  <c r="P905" i="205" s="1"/>
  <c r="Q905" i="205" s="1"/>
  <c r="R905" i="205" s="1"/>
  <c r="F905" i="205"/>
  <c r="G905" i="205" s="1"/>
  <c r="H905" i="205" s="1"/>
  <c r="I905" i="205" s="1"/>
  <c r="J905" i="205" s="1"/>
  <c r="AM905" i="205" s="1"/>
  <c r="F907" i="205"/>
  <c r="G907" i="205" s="1"/>
  <c r="H907" i="205" s="1"/>
  <c r="I907" i="205" s="1"/>
  <c r="J907" i="205" s="1"/>
  <c r="AM907" i="205" s="1"/>
  <c r="F909" i="205"/>
  <c r="G909" i="205" s="1"/>
  <c r="H909" i="205" s="1"/>
  <c r="I909" i="205" s="1"/>
  <c r="J909" i="205" s="1"/>
  <c r="AM909" i="205" s="1"/>
  <c r="F913" i="205"/>
  <c r="G913" i="205" s="1"/>
  <c r="H913" i="205" s="1"/>
  <c r="I913" i="205" s="1"/>
  <c r="J913" i="205" s="1"/>
  <c r="AM913" i="205" s="1"/>
  <c r="F868" i="205"/>
  <c r="G868" i="205" s="1"/>
  <c r="H868" i="205" s="1"/>
  <c r="I868" i="205" s="1"/>
  <c r="J868" i="205" s="1"/>
  <c r="AM868" i="205" s="1"/>
  <c r="E872" i="205"/>
  <c r="N872" i="205" s="1"/>
  <c r="O872" i="205" s="1"/>
  <c r="P872" i="205" s="1"/>
  <c r="Q872" i="205" s="1"/>
  <c r="R872" i="205" s="1"/>
  <c r="F872" i="205"/>
  <c r="G872" i="205" s="1"/>
  <c r="H872" i="205" s="1"/>
  <c r="I872" i="205" s="1"/>
  <c r="J872" i="205" s="1"/>
  <c r="AM872" i="205" s="1"/>
  <c r="F884" i="205"/>
  <c r="G884" i="205" s="1"/>
  <c r="H884" i="205" s="1"/>
  <c r="I884" i="205" s="1"/>
  <c r="J884" i="205" s="1"/>
  <c r="AM884" i="205" s="1"/>
  <c r="E884" i="205"/>
  <c r="N884" i="205" s="1"/>
  <c r="O884" i="205" s="1"/>
  <c r="P884" i="205" s="1"/>
  <c r="Q884" i="205" s="1"/>
  <c r="R884" i="205" s="1"/>
  <c r="F866" i="205"/>
  <c r="G866" i="205" s="1"/>
  <c r="H866" i="205" s="1"/>
  <c r="I866" i="205" s="1"/>
  <c r="J866" i="205" s="1"/>
  <c r="AM866" i="205" s="1"/>
  <c r="AM153" i="205"/>
  <c r="AK903" i="205"/>
  <c r="AK1145" i="205"/>
  <c r="E874" i="205"/>
  <c r="N874" i="205" s="1"/>
  <c r="O874" i="205" s="1"/>
  <c r="P874" i="205" s="1"/>
  <c r="Q874" i="205" s="1"/>
  <c r="R874" i="205" s="1"/>
  <c r="AM878" i="205"/>
  <c r="E878" i="205"/>
  <c r="N878" i="205" s="1"/>
  <c r="O878" i="205" s="1"/>
  <c r="P878" i="205" s="1"/>
  <c r="Q878" i="205" s="1"/>
  <c r="R878" i="205" s="1"/>
  <c r="E893" i="205"/>
  <c r="N893" i="205" s="1"/>
  <c r="O893" i="205" s="1"/>
  <c r="P893" i="205" s="1"/>
  <c r="Q893" i="205" s="1"/>
  <c r="R893" i="205" s="1"/>
  <c r="E915" i="205"/>
  <c r="N915" i="205" s="1"/>
  <c r="O915" i="205" s="1"/>
  <c r="P915" i="205" s="1"/>
  <c r="Q915" i="205" s="1"/>
  <c r="R915" i="205" s="1"/>
  <c r="E947" i="205"/>
  <c r="N947" i="205" s="1"/>
  <c r="O947" i="205" s="1"/>
  <c r="P947" i="205" s="1"/>
  <c r="Q947" i="205" s="1"/>
  <c r="R947" i="205" s="1"/>
  <c r="E966" i="205"/>
  <c r="N966" i="205" s="1"/>
  <c r="O966" i="205" s="1"/>
  <c r="P966" i="205" s="1"/>
  <c r="Q966" i="205" s="1"/>
  <c r="R966" i="205" s="1"/>
  <c r="D969" i="205"/>
  <c r="D45" i="205" s="1"/>
  <c r="E1007" i="205"/>
  <c r="N1007" i="205" s="1"/>
  <c r="O1007" i="205" s="1"/>
  <c r="P1007" i="205" s="1"/>
  <c r="Q1007" i="205" s="1"/>
  <c r="R1007" i="205" s="1"/>
  <c r="E1069" i="205"/>
  <c r="E1100" i="205"/>
  <c r="AM1125" i="205"/>
  <c r="E1125" i="205"/>
  <c r="O1125" i="205" s="1"/>
  <c r="P1125" i="205" s="1"/>
  <c r="Q1125" i="205" s="1"/>
  <c r="R1125" i="205" s="1"/>
  <c r="AM1137" i="205"/>
  <c r="E1137" i="205"/>
  <c r="O1137" i="205" s="1"/>
  <c r="P1137" i="205" s="1"/>
  <c r="Q1137" i="205" s="1"/>
  <c r="R1137" i="205" s="1"/>
  <c r="E1145" i="205"/>
  <c r="O1145" i="205" s="1"/>
  <c r="P1145" i="205" s="1"/>
  <c r="Q1145" i="205" s="1"/>
  <c r="R1145" i="205" s="1"/>
  <c r="E1149" i="205"/>
  <c r="O1149" i="205" s="1"/>
  <c r="P1149" i="205" s="1"/>
  <c r="Q1149" i="205" s="1"/>
  <c r="R1149" i="205" s="1"/>
  <c r="E1164" i="205"/>
  <c r="AM1164" i="205"/>
  <c r="E1171" i="205"/>
  <c r="N1171" i="205" s="1"/>
  <c r="O1171" i="205" s="1"/>
  <c r="P1171" i="205" s="1"/>
  <c r="Q1171" i="205" s="1"/>
  <c r="R1171" i="205" s="1"/>
  <c r="E880" i="205"/>
  <c r="N880" i="205" s="1"/>
  <c r="O880" i="205" s="1"/>
  <c r="P880" i="205" s="1"/>
  <c r="Q880" i="205" s="1"/>
  <c r="R880" i="205" s="1"/>
  <c r="E886" i="205"/>
  <c r="N886" i="205" s="1"/>
  <c r="O886" i="205" s="1"/>
  <c r="P886" i="205" s="1"/>
  <c r="Q886" i="205" s="1"/>
  <c r="R886" i="205" s="1"/>
  <c r="E926" i="205"/>
  <c r="N926" i="205" s="1"/>
  <c r="O926" i="205" s="1"/>
  <c r="P926" i="205" s="1"/>
  <c r="Q926" i="205" s="1"/>
  <c r="R926" i="205" s="1"/>
  <c r="E1067" i="205"/>
  <c r="E1009" i="205"/>
  <c r="N1009" i="205" s="1"/>
  <c r="O1009" i="205" s="1"/>
  <c r="P1009" i="205" s="1"/>
  <c r="Q1009" i="205" s="1"/>
  <c r="R1009" i="205" s="1"/>
  <c r="E1027" i="205"/>
  <c r="N1027" i="205" s="1"/>
  <c r="O1027" i="205" s="1"/>
  <c r="P1027" i="205" s="1"/>
  <c r="Q1027" i="205" s="1"/>
  <c r="R1027" i="205" s="1"/>
  <c r="AM1100" i="205"/>
  <c r="E1133" i="205"/>
  <c r="O1133" i="205" s="1"/>
  <c r="P1133" i="205" s="1"/>
  <c r="Q1133" i="205" s="1"/>
  <c r="R1133" i="205" s="1"/>
  <c r="E1147" i="205"/>
  <c r="O1147" i="205" s="1"/>
  <c r="P1147" i="205" s="1"/>
  <c r="Q1147" i="205" s="1"/>
  <c r="R1147" i="205" s="1"/>
  <c r="AK869" i="205"/>
  <c r="C62" i="205"/>
  <c r="AM867" i="205"/>
  <c r="AM1070" i="205"/>
  <c r="AK1026" i="205"/>
  <c r="AM877" i="205"/>
  <c r="AM962" i="205"/>
  <c r="AM1095" i="205"/>
  <c r="AK916" i="205"/>
  <c r="AK873" i="205"/>
  <c r="AK1087" i="205"/>
  <c r="AK958" i="205"/>
  <c r="AM999" i="205"/>
  <c r="J84" i="205"/>
  <c r="AN4" i="205"/>
  <c r="F84" i="205"/>
  <c r="E59" i="205"/>
  <c r="E84" i="205"/>
  <c r="I84" i="205"/>
  <c r="Q13" i="205"/>
  <c r="W13" i="205" s="1"/>
  <c r="AC13" i="205" s="1"/>
  <c r="AK196" i="205"/>
  <c r="AM197" i="205"/>
  <c r="E197" i="205"/>
  <c r="N197" i="205" s="1"/>
  <c r="O197" i="205" s="1"/>
  <c r="P197" i="205" s="1"/>
  <c r="Q197" i="205" s="1"/>
  <c r="R197" i="205" s="1"/>
  <c r="AK203" i="205"/>
  <c r="AM1141" i="205"/>
  <c r="E1141" i="205"/>
  <c r="O1141" i="205" s="1"/>
  <c r="P1141" i="205" s="1"/>
  <c r="Q1141" i="205" s="1"/>
  <c r="R1141" i="205" s="1"/>
  <c r="D70" i="205"/>
  <c r="AQ4" i="205"/>
  <c r="AK195" i="205"/>
  <c r="E195" i="205"/>
  <c r="N195" i="205" s="1"/>
  <c r="O195" i="205" s="1"/>
  <c r="P195" i="205" s="1"/>
  <c r="Q195" i="205" s="1"/>
  <c r="R195" i="205" s="1"/>
  <c r="E203" i="205"/>
  <c r="N203" i="205" s="1"/>
  <c r="O203" i="205" s="1"/>
  <c r="P203" i="205" s="1"/>
  <c r="Q203" i="205" s="1"/>
  <c r="R203" i="205" s="1"/>
  <c r="E206" i="205"/>
  <c r="AM870" i="205"/>
  <c r="E870" i="205"/>
  <c r="N870" i="205" s="1"/>
  <c r="O870" i="205" s="1"/>
  <c r="P870" i="205" s="1"/>
  <c r="Q870" i="205" s="1"/>
  <c r="R870" i="205" s="1"/>
  <c r="AM886" i="205"/>
  <c r="AM887" i="205"/>
  <c r="AM949" i="205"/>
  <c r="E1014" i="205"/>
  <c r="N1014" i="205" s="1"/>
  <c r="O1014" i="205" s="1"/>
  <c r="P1014" i="205" s="1"/>
  <c r="Q1014" i="205" s="1"/>
  <c r="R1014" i="205" s="1"/>
  <c r="AM1014" i="205"/>
  <c r="AK1015" i="205"/>
  <c r="E1015" i="205"/>
  <c r="N1015" i="205" s="1"/>
  <c r="O1015" i="205" s="1"/>
  <c r="P1015" i="205" s="1"/>
  <c r="Q1015" i="205" s="1"/>
  <c r="R1015" i="205" s="1"/>
  <c r="AM1022" i="205"/>
  <c r="E1022" i="205"/>
  <c r="N1022" i="205" s="1"/>
  <c r="O1022" i="205" s="1"/>
  <c r="P1022" i="205" s="1"/>
  <c r="Q1022" i="205" s="1"/>
  <c r="R1022" i="205" s="1"/>
  <c r="H29" i="205"/>
  <c r="H59" i="205" s="1"/>
  <c r="E196" i="205"/>
  <c r="AK198" i="205"/>
  <c r="E199" i="205"/>
  <c r="AK200" i="205"/>
  <c r="E200" i="205"/>
  <c r="N200" i="205" s="1"/>
  <c r="O200" i="205" s="1"/>
  <c r="P200" i="205" s="1"/>
  <c r="Q200" i="205" s="1"/>
  <c r="R200" i="205" s="1"/>
  <c r="AK201" i="205"/>
  <c r="E204" i="205"/>
  <c r="AK204" i="205"/>
  <c r="AM910" i="205"/>
  <c r="E910" i="205"/>
  <c r="N910" i="205" s="1"/>
  <c r="O910" i="205" s="1"/>
  <c r="P910" i="205" s="1"/>
  <c r="Q910" i="205" s="1"/>
  <c r="R910" i="205" s="1"/>
  <c r="E972" i="205"/>
  <c r="AK202" i="205"/>
  <c r="E202" i="205"/>
  <c r="N202" i="205" s="1"/>
  <c r="O202" i="205" s="1"/>
  <c r="P202" i="205" s="1"/>
  <c r="Q202" i="205" s="1"/>
  <c r="R202" i="205" s="1"/>
  <c r="I29" i="205"/>
  <c r="I59" i="205" s="1"/>
  <c r="H84" i="205"/>
  <c r="AK205" i="205"/>
  <c r="AK206" i="205"/>
  <c r="E924" i="205"/>
  <c r="N924" i="205" s="1"/>
  <c r="O924" i="205" s="1"/>
  <c r="P924" i="205" s="1"/>
  <c r="Q924" i="205" s="1"/>
  <c r="R924" i="205" s="1"/>
  <c r="AM899" i="205"/>
  <c r="E899" i="205"/>
  <c r="N899" i="205" s="1"/>
  <c r="O899" i="205" s="1"/>
  <c r="P899" i="205" s="1"/>
  <c r="Q899" i="205" s="1"/>
  <c r="R899" i="205" s="1"/>
  <c r="AK967" i="205"/>
  <c r="C969" i="205"/>
  <c r="C45" i="205" s="1"/>
  <c r="E990" i="205"/>
  <c r="N990" i="205" s="1"/>
  <c r="O990" i="205" s="1"/>
  <c r="P990" i="205" s="1"/>
  <c r="Q990" i="205" s="1"/>
  <c r="R990" i="205" s="1"/>
  <c r="AM990" i="205"/>
  <c r="E996" i="205"/>
  <c r="N996" i="205" s="1"/>
  <c r="O996" i="205" s="1"/>
  <c r="P996" i="205" s="1"/>
  <c r="Q996" i="205" s="1"/>
  <c r="R996" i="205" s="1"/>
  <c r="AM996" i="205"/>
  <c r="AM1006" i="205"/>
  <c r="E1006" i="205"/>
  <c r="N1006" i="205" s="1"/>
  <c r="O1006" i="205" s="1"/>
  <c r="P1006" i="205" s="1"/>
  <c r="Q1006" i="205" s="1"/>
  <c r="R1006" i="205" s="1"/>
  <c r="F29" i="205"/>
  <c r="F59" i="205" s="1"/>
  <c r="J29" i="205"/>
  <c r="J59" i="205" s="1"/>
  <c r="A506" i="205"/>
  <c r="D381" i="205" s="1"/>
  <c r="AM956" i="205"/>
  <c r="AM982" i="205"/>
  <c r="E982" i="205"/>
  <c r="N982" i="205" s="1"/>
  <c r="O982" i="205" s="1"/>
  <c r="P982" i="205" s="1"/>
  <c r="Q982" i="205" s="1"/>
  <c r="R982" i="205" s="1"/>
  <c r="E931" i="205"/>
  <c r="N931" i="205" s="1"/>
  <c r="O931" i="205" s="1"/>
  <c r="P931" i="205" s="1"/>
  <c r="Q931" i="205" s="1"/>
  <c r="R931" i="205" s="1"/>
  <c r="E948" i="205"/>
  <c r="N948" i="205" s="1"/>
  <c r="O948" i="205" s="1"/>
  <c r="P948" i="205" s="1"/>
  <c r="Q948" i="205" s="1"/>
  <c r="R948" i="205" s="1"/>
  <c r="AM948" i="205"/>
  <c r="AK991" i="205"/>
  <c r="E991" i="205"/>
  <c r="N991" i="205" s="1"/>
  <c r="O991" i="205" s="1"/>
  <c r="P991" i="205" s="1"/>
  <c r="Q991" i="205" s="1"/>
  <c r="R991" i="205" s="1"/>
  <c r="AM850" i="205"/>
  <c r="AM880" i="205"/>
  <c r="AK899" i="205"/>
  <c r="AM1001" i="205"/>
  <c r="E1024" i="205"/>
  <c r="N1024" i="205" s="1"/>
  <c r="O1024" i="205" s="1"/>
  <c r="P1024" i="205" s="1"/>
  <c r="Q1024" i="205" s="1"/>
  <c r="R1024" i="205" s="1"/>
  <c r="AM1024" i="205"/>
  <c r="E875" i="205"/>
  <c r="N875" i="205" s="1"/>
  <c r="O875" i="205" s="1"/>
  <c r="P875" i="205" s="1"/>
  <c r="Q875" i="205" s="1"/>
  <c r="R875" i="205" s="1"/>
  <c r="AK875" i="205"/>
  <c r="AK881" i="205"/>
  <c r="E881" i="205"/>
  <c r="N881" i="205" s="1"/>
  <c r="O881" i="205" s="1"/>
  <c r="P881" i="205" s="1"/>
  <c r="Q881" i="205" s="1"/>
  <c r="R881" i="205" s="1"/>
  <c r="AM883" i="205"/>
  <c r="AM908" i="205"/>
  <c r="C921" i="205"/>
  <c r="C40" i="205" s="1"/>
  <c r="E937" i="205"/>
  <c r="N937" i="205" s="1"/>
  <c r="O937" i="205" s="1"/>
  <c r="P937" i="205" s="1"/>
  <c r="Q937" i="205" s="1"/>
  <c r="R937" i="205" s="1"/>
  <c r="E978" i="205"/>
  <c r="N978" i="205" s="1"/>
  <c r="O978" i="205" s="1"/>
  <c r="P978" i="205" s="1"/>
  <c r="Q978" i="205" s="1"/>
  <c r="R978" i="205" s="1"/>
  <c r="AM989" i="205"/>
  <c r="AK989" i="205"/>
  <c r="AM994" i="205"/>
  <c r="E994" i="205"/>
  <c r="N994" i="205" s="1"/>
  <c r="O994" i="205" s="1"/>
  <c r="P994" i="205" s="1"/>
  <c r="Q994" i="205" s="1"/>
  <c r="R994" i="205" s="1"/>
  <c r="E1002" i="205"/>
  <c r="N1002" i="205" s="1"/>
  <c r="O1002" i="205" s="1"/>
  <c r="P1002" i="205" s="1"/>
  <c r="Q1002" i="205" s="1"/>
  <c r="R1002" i="205" s="1"/>
  <c r="AM1002" i="205"/>
  <c r="E1018" i="205"/>
  <c r="N1018" i="205" s="1"/>
  <c r="O1018" i="205" s="1"/>
  <c r="P1018" i="205" s="1"/>
  <c r="Q1018" i="205" s="1"/>
  <c r="R1018" i="205" s="1"/>
  <c r="AM1018" i="205"/>
  <c r="E1139" i="205"/>
  <c r="O1139" i="205" s="1"/>
  <c r="P1139" i="205" s="1"/>
  <c r="Q1139" i="205" s="1"/>
  <c r="R1139" i="205" s="1"/>
  <c r="AM1139" i="205"/>
  <c r="AM865" i="205"/>
  <c r="E865" i="205"/>
  <c r="N865" i="205" s="1"/>
  <c r="O865" i="205" s="1"/>
  <c r="P865" i="205" s="1"/>
  <c r="Q865" i="205" s="1"/>
  <c r="R865" i="205" s="1"/>
  <c r="E883" i="205"/>
  <c r="N883" i="205" s="1"/>
  <c r="O883" i="205" s="1"/>
  <c r="P883" i="205" s="1"/>
  <c r="Q883" i="205" s="1"/>
  <c r="R883" i="205" s="1"/>
  <c r="E908" i="205"/>
  <c r="N908" i="205" s="1"/>
  <c r="O908" i="205" s="1"/>
  <c r="P908" i="205" s="1"/>
  <c r="Q908" i="205" s="1"/>
  <c r="R908" i="205" s="1"/>
  <c r="E913" i="205"/>
  <c r="N913" i="205" s="1"/>
  <c r="O913" i="205" s="1"/>
  <c r="P913" i="205" s="1"/>
  <c r="Q913" i="205" s="1"/>
  <c r="R913" i="205" s="1"/>
  <c r="AM919" i="205"/>
  <c r="E919" i="205"/>
  <c r="N919" i="205" s="1"/>
  <c r="O919" i="205" s="1"/>
  <c r="P919" i="205" s="1"/>
  <c r="Q919" i="205" s="1"/>
  <c r="R919" i="205" s="1"/>
  <c r="C963" i="205"/>
  <c r="C44" i="205" s="1"/>
  <c r="E951" i="205"/>
  <c r="N951" i="205" s="1"/>
  <c r="O951" i="205" s="1"/>
  <c r="P951" i="205" s="1"/>
  <c r="Q951" i="205" s="1"/>
  <c r="R951" i="205" s="1"/>
  <c r="AM951" i="205"/>
  <c r="AK979" i="205"/>
  <c r="E979" i="205"/>
  <c r="N979" i="205" s="1"/>
  <c r="O979" i="205" s="1"/>
  <c r="P979" i="205" s="1"/>
  <c r="Q979" i="205" s="1"/>
  <c r="R979" i="205" s="1"/>
  <c r="E984" i="205"/>
  <c r="N984" i="205" s="1"/>
  <c r="O984" i="205" s="1"/>
  <c r="P984" i="205" s="1"/>
  <c r="Q984" i="205" s="1"/>
  <c r="R984" i="205" s="1"/>
  <c r="AM984" i="205"/>
  <c r="AK987" i="205"/>
  <c r="AK1003" i="205"/>
  <c r="E1003" i="205"/>
  <c r="N1003" i="205" s="1"/>
  <c r="O1003" i="205" s="1"/>
  <c r="P1003" i="205" s="1"/>
  <c r="Q1003" i="205" s="1"/>
  <c r="R1003" i="205" s="1"/>
  <c r="E1008" i="205"/>
  <c r="N1008" i="205" s="1"/>
  <c r="O1008" i="205" s="1"/>
  <c r="P1008" i="205" s="1"/>
  <c r="Q1008" i="205" s="1"/>
  <c r="R1008" i="205" s="1"/>
  <c r="AM1008" i="205"/>
  <c r="AM1142" i="205"/>
  <c r="AM871" i="205"/>
  <c r="E871" i="205"/>
  <c r="N871" i="205" s="1"/>
  <c r="O871" i="205" s="1"/>
  <c r="P871" i="205" s="1"/>
  <c r="Q871" i="205" s="1"/>
  <c r="R871" i="205" s="1"/>
  <c r="AK874" i="205"/>
  <c r="AM879" i="205"/>
  <c r="E879" i="205"/>
  <c r="N879" i="205" s="1"/>
  <c r="O879" i="205" s="1"/>
  <c r="P879" i="205" s="1"/>
  <c r="Q879" i="205" s="1"/>
  <c r="R879" i="205" s="1"/>
  <c r="E891" i="205"/>
  <c r="N891" i="205" s="1"/>
  <c r="O891" i="205" s="1"/>
  <c r="P891" i="205" s="1"/>
  <c r="Q891" i="205" s="1"/>
  <c r="R891" i="205" s="1"/>
  <c r="D921" i="205"/>
  <c r="E895" i="205"/>
  <c r="N895" i="205" s="1"/>
  <c r="O895" i="205" s="1"/>
  <c r="P895" i="205" s="1"/>
  <c r="Q895" i="205" s="1"/>
  <c r="R895" i="205" s="1"/>
  <c r="E901" i="205"/>
  <c r="N901" i="205" s="1"/>
  <c r="O901" i="205" s="1"/>
  <c r="P901" i="205" s="1"/>
  <c r="Q901" i="205" s="1"/>
  <c r="R901" i="205" s="1"/>
  <c r="AK910" i="205"/>
  <c r="AM911" i="205"/>
  <c r="E911" i="205"/>
  <c r="N911" i="205" s="1"/>
  <c r="O911" i="205" s="1"/>
  <c r="P911" i="205" s="1"/>
  <c r="Q911" i="205" s="1"/>
  <c r="R911" i="205" s="1"/>
  <c r="E932" i="205"/>
  <c r="N932" i="205" s="1"/>
  <c r="O932" i="205" s="1"/>
  <c r="P932" i="205" s="1"/>
  <c r="Q932" i="205" s="1"/>
  <c r="R932" i="205" s="1"/>
  <c r="AM932" i="205"/>
  <c r="D933" i="205"/>
  <c r="E943" i="205"/>
  <c r="N943" i="205" s="1"/>
  <c r="O943" i="205" s="1"/>
  <c r="P943" i="205" s="1"/>
  <c r="Q943" i="205" s="1"/>
  <c r="R943" i="205" s="1"/>
  <c r="D963" i="205"/>
  <c r="AM944" i="205"/>
  <c r="AK950" i="205"/>
  <c r="E953" i="205"/>
  <c r="N953" i="205" s="1"/>
  <c r="O953" i="205" s="1"/>
  <c r="P953" i="205" s="1"/>
  <c r="Q953" i="205" s="1"/>
  <c r="R953" i="205" s="1"/>
  <c r="AM953" i="205"/>
  <c r="E957" i="205"/>
  <c r="N957" i="205" s="1"/>
  <c r="O957" i="205" s="1"/>
  <c r="P957" i="205" s="1"/>
  <c r="Q957" i="205" s="1"/>
  <c r="R957" i="205" s="1"/>
  <c r="AM957" i="205"/>
  <c r="E960" i="205"/>
  <c r="N960" i="205" s="1"/>
  <c r="O960" i="205" s="1"/>
  <c r="P960" i="205" s="1"/>
  <c r="Q960" i="205" s="1"/>
  <c r="R960" i="205" s="1"/>
  <c r="AM960" i="205"/>
  <c r="E980" i="205"/>
  <c r="N980" i="205" s="1"/>
  <c r="O980" i="205" s="1"/>
  <c r="P980" i="205" s="1"/>
  <c r="Q980" i="205" s="1"/>
  <c r="R980" i="205" s="1"/>
  <c r="AM980" i="205"/>
  <c r="E992" i="205"/>
  <c r="N992" i="205" s="1"/>
  <c r="O992" i="205" s="1"/>
  <c r="P992" i="205" s="1"/>
  <c r="Q992" i="205" s="1"/>
  <c r="R992" i="205" s="1"/>
  <c r="AM992" i="205"/>
  <c r="E1004" i="205"/>
  <c r="N1004" i="205" s="1"/>
  <c r="O1004" i="205" s="1"/>
  <c r="P1004" i="205" s="1"/>
  <c r="Q1004" i="205" s="1"/>
  <c r="R1004" i="205" s="1"/>
  <c r="AM1004" i="205"/>
  <c r="E1016" i="205"/>
  <c r="N1016" i="205" s="1"/>
  <c r="O1016" i="205" s="1"/>
  <c r="P1016" i="205" s="1"/>
  <c r="Q1016" i="205" s="1"/>
  <c r="R1016" i="205" s="1"/>
  <c r="AM1016" i="205"/>
  <c r="AK1020" i="205"/>
  <c r="E1131" i="205"/>
  <c r="O1131" i="205" s="1"/>
  <c r="P1131" i="205" s="1"/>
  <c r="Q1131" i="205" s="1"/>
  <c r="R1131" i="205" s="1"/>
  <c r="AM1131" i="205"/>
  <c r="E864" i="205"/>
  <c r="N864" i="205" s="1"/>
  <c r="O864" i="205" s="1"/>
  <c r="P864" i="205" s="1"/>
  <c r="Q864" i="205" s="1"/>
  <c r="R864" i="205" s="1"/>
  <c r="E866" i="205"/>
  <c r="N866" i="205" s="1"/>
  <c r="O866" i="205" s="1"/>
  <c r="P866" i="205" s="1"/>
  <c r="Q866" i="205" s="1"/>
  <c r="R866" i="205" s="1"/>
  <c r="E892" i="205"/>
  <c r="N892" i="205" s="1"/>
  <c r="O892" i="205" s="1"/>
  <c r="P892" i="205" s="1"/>
  <c r="Q892" i="205" s="1"/>
  <c r="R892" i="205" s="1"/>
  <c r="AM893" i="205"/>
  <c r="E898" i="205"/>
  <c r="N898" i="205" s="1"/>
  <c r="O898" i="205" s="1"/>
  <c r="P898" i="205" s="1"/>
  <c r="Q898" i="205" s="1"/>
  <c r="R898" i="205" s="1"/>
  <c r="E918" i="205"/>
  <c r="N918" i="205" s="1"/>
  <c r="O918" i="205" s="1"/>
  <c r="P918" i="205" s="1"/>
  <c r="Q918" i="205" s="1"/>
  <c r="R918" i="205" s="1"/>
  <c r="AM918" i="205"/>
  <c r="E936" i="205"/>
  <c r="N936" i="205" s="1"/>
  <c r="O936" i="205" s="1"/>
  <c r="P936" i="205" s="1"/>
  <c r="Q936" i="205" s="1"/>
  <c r="R936" i="205" s="1"/>
  <c r="D939" i="205"/>
  <c r="E938" i="205"/>
  <c r="N938" i="205" s="1"/>
  <c r="O938" i="205" s="1"/>
  <c r="P938" i="205" s="1"/>
  <c r="Q938" i="205" s="1"/>
  <c r="R938" i="205" s="1"/>
  <c r="AK946" i="205"/>
  <c r="AK954" i="205"/>
  <c r="AM961" i="205"/>
  <c r="E961" i="205"/>
  <c r="N961" i="205" s="1"/>
  <c r="O961" i="205" s="1"/>
  <c r="P961" i="205" s="1"/>
  <c r="Q961" i="205" s="1"/>
  <c r="R961" i="205" s="1"/>
  <c r="G969" i="205"/>
  <c r="G45" i="205" s="1"/>
  <c r="AK981" i="205"/>
  <c r="AK993" i="205"/>
  <c r="E1021" i="205"/>
  <c r="N1021" i="205" s="1"/>
  <c r="O1021" i="205" s="1"/>
  <c r="P1021" i="205" s="1"/>
  <c r="Q1021" i="205" s="1"/>
  <c r="R1021" i="205" s="1"/>
  <c r="AM1021" i="205"/>
  <c r="AM1124" i="205"/>
  <c r="AM1162" i="205"/>
  <c r="E1162" i="205"/>
  <c r="E867" i="205"/>
  <c r="N867" i="205" s="1"/>
  <c r="O867" i="205" s="1"/>
  <c r="P867" i="205" s="1"/>
  <c r="Q867" i="205" s="1"/>
  <c r="R867" i="205" s="1"/>
  <c r="E876" i="205"/>
  <c r="N876" i="205" s="1"/>
  <c r="O876" i="205" s="1"/>
  <c r="P876" i="205" s="1"/>
  <c r="Q876" i="205" s="1"/>
  <c r="R876" i="205" s="1"/>
  <c r="E894" i="205"/>
  <c r="N894" i="205" s="1"/>
  <c r="O894" i="205" s="1"/>
  <c r="P894" i="205" s="1"/>
  <c r="Q894" i="205" s="1"/>
  <c r="R894" i="205" s="1"/>
  <c r="AM894" i="205"/>
  <c r="E900" i="205"/>
  <c r="N900" i="205" s="1"/>
  <c r="O900" i="205" s="1"/>
  <c r="P900" i="205" s="1"/>
  <c r="Q900" i="205" s="1"/>
  <c r="R900" i="205" s="1"/>
  <c r="AM900" i="205"/>
  <c r="E907" i="205"/>
  <c r="N907" i="205" s="1"/>
  <c r="O907" i="205" s="1"/>
  <c r="P907" i="205" s="1"/>
  <c r="Q907" i="205" s="1"/>
  <c r="R907" i="205" s="1"/>
  <c r="E916" i="205"/>
  <c r="N916" i="205" s="1"/>
  <c r="O916" i="205" s="1"/>
  <c r="P916" i="205" s="1"/>
  <c r="Q916" i="205" s="1"/>
  <c r="R916" i="205" s="1"/>
  <c r="AK917" i="205"/>
  <c r="AM920" i="205"/>
  <c r="E930" i="205"/>
  <c r="N930" i="205" s="1"/>
  <c r="O930" i="205" s="1"/>
  <c r="P930" i="205" s="1"/>
  <c r="Q930" i="205" s="1"/>
  <c r="R930" i="205" s="1"/>
  <c r="AM952" i="205"/>
  <c r="E952" i="205"/>
  <c r="N952" i="205" s="1"/>
  <c r="O952" i="205" s="1"/>
  <c r="P952" i="205" s="1"/>
  <c r="Q952" i="205" s="1"/>
  <c r="R952" i="205" s="1"/>
  <c r="E956" i="205"/>
  <c r="N956" i="205" s="1"/>
  <c r="O956" i="205" s="1"/>
  <c r="P956" i="205" s="1"/>
  <c r="Q956" i="205" s="1"/>
  <c r="R956" i="205" s="1"/>
  <c r="E959" i="205"/>
  <c r="N959" i="205" s="1"/>
  <c r="O959" i="205" s="1"/>
  <c r="P959" i="205" s="1"/>
  <c r="Q959" i="205" s="1"/>
  <c r="R959" i="205" s="1"/>
  <c r="E973" i="205"/>
  <c r="AM983" i="205"/>
  <c r="E986" i="205"/>
  <c r="N986" i="205" s="1"/>
  <c r="O986" i="205" s="1"/>
  <c r="P986" i="205" s="1"/>
  <c r="Q986" i="205" s="1"/>
  <c r="R986" i="205" s="1"/>
  <c r="AM986" i="205"/>
  <c r="AM988" i="205"/>
  <c r="E988" i="205"/>
  <c r="N988" i="205" s="1"/>
  <c r="O988" i="205" s="1"/>
  <c r="P988" i="205" s="1"/>
  <c r="Q988" i="205" s="1"/>
  <c r="R988" i="205" s="1"/>
  <c r="AM995" i="205"/>
  <c r="E998" i="205"/>
  <c r="N998" i="205" s="1"/>
  <c r="O998" i="205" s="1"/>
  <c r="P998" i="205" s="1"/>
  <c r="Q998" i="205" s="1"/>
  <c r="R998" i="205" s="1"/>
  <c r="AM998" i="205"/>
  <c r="AM1000" i="205"/>
  <c r="E1000" i="205"/>
  <c r="N1000" i="205" s="1"/>
  <c r="O1000" i="205" s="1"/>
  <c r="P1000" i="205" s="1"/>
  <c r="Q1000" i="205" s="1"/>
  <c r="R1000" i="205" s="1"/>
  <c r="AM1007" i="205"/>
  <c r="E1010" i="205"/>
  <c r="N1010" i="205" s="1"/>
  <c r="O1010" i="205" s="1"/>
  <c r="P1010" i="205" s="1"/>
  <c r="Q1010" i="205" s="1"/>
  <c r="R1010" i="205" s="1"/>
  <c r="AM1010" i="205"/>
  <c r="AM1012" i="205"/>
  <c r="E1012" i="205"/>
  <c r="N1012" i="205" s="1"/>
  <c r="O1012" i="205" s="1"/>
  <c r="P1012" i="205" s="1"/>
  <c r="Q1012" i="205" s="1"/>
  <c r="R1012" i="205" s="1"/>
  <c r="E1019" i="205"/>
  <c r="N1019" i="205" s="1"/>
  <c r="O1019" i="205" s="1"/>
  <c r="P1019" i="205" s="1"/>
  <c r="Q1019" i="205" s="1"/>
  <c r="R1019" i="205" s="1"/>
  <c r="AK1023" i="205"/>
  <c r="AM1065" i="205"/>
  <c r="E1065" i="205"/>
  <c r="AM882" i="205"/>
  <c r="E882" i="205"/>
  <c r="N882" i="205" s="1"/>
  <c r="O882" i="205" s="1"/>
  <c r="P882" i="205" s="1"/>
  <c r="Q882" i="205" s="1"/>
  <c r="R882" i="205" s="1"/>
  <c r="AK885" i="205"/>
  <c r="AK896" i="205"/>
  <c r="AK902" i="205"/>
  <c r="E903" i="205"/>
  <c r="N903" i="205" s="1"/>
  <c r="O903" i="205" s="1"/>
  <c r="P903" i="205" s="1"/>
  <c r="Q903" i="205" s="1"/>
  <c r="R903" i="205" s="1"/>
  <c r="AK904" i="205"/>
  <c r="E906" i="205"/>
  <c r="N906" i="205" s="1"/>
  <c r="O906" i="205" s="1"/>
  <c r="P906" i="205" s="1"/>
  <c r="Q906" i="205" s="1"/>
  <c r="R906" i="205" s="1"/>
  <c r="AM906" i="205"/>
  <c r="AK915" i="205"/>
  <c r="E925" i="205"/>
  <c r="N925" i="205" s="1"/>
  <c r="O925" i="205" s="1"/>
  <c r="P925" i="205" s="1"/>
  <c r="Q925" i="205" s="1"/>
  <c r="R925" i="205" s="1"/>
  <c r="AM925" i="205"/>
  <c r="C933" i="205"/>
  <c r="C42" i="205" s="1"/>
  <c r="AK932" i="205"/>
  <c r="C939" i="205"/>
  <c r="C43" i="205" s="1"/>
  <c r="AM955" i="205"/>
  <c r="E955" i="205"/>
  <c r="N955" i="205" s="1"/>
  <c r="O955" i="205" s="1"/>
  <c r="P955" i="205" s="1"/>
  <c r="Q955" i="205" s="1"/>
  <c r="R955" i="205" s="1"/>
  <c r="AK985" i="205"/>
  <c r="AK997" i="205"/>
  <c r="E1026" i="205"/>
  <c r="N1026" i="205" s="1"/>
  <c r="O1026" i="205" s="1"/>
  <c r="P1026" i="205" s="1"/>
  <c r="Q1026" i="205" s="1"/>
  <c r="R1026" i="205" s="1"/>
  <c r="AK1055" i="205"/>
  <c r="AM1058" i="205"/>
  <c r="AK1068" i="205"/>
  <c r="AK1099" i="205"/>
  <c r="AM1054" i="205"/>
  <c r="E1054" i="205"/>
  <c r="N1054" i="205" s="1"/>
  <c r="O1054" i="205" s="1"/>
  <c r="P1054" i="205" s="1"/>
  <c r="Q1054" i="205" s="1"/>
  <c r="R1054" i="205" s="1"/>
  <c r="E967" i="205"/>
  <c r="N967" i="205" s="1"/>
  <c r="O967" i="205" s="1"/>
  <c r="P967" i="205" s="1"/>
  <c r="Q967" i="205" s="1"/>
  <c r="R967" i="205" s="1"/>
  <c r="E981" i="205"/>
  <c r="N981" i="205" s="1"/>
  <c r="O981" i="205" s="1"/>
  <c r="P981" i="205" s="1"/>
  <c r="Q981" i="205" s="1"/>
  <c r="R981" i="205" s="1"/>
  <c r="AK984" i="205"/>
  <c r="E993" i="205"/>
  <c r="N993" i="205" s="1"/>
  <c r="O993" i="205" s="1"/>
  <c r="P993" i="205" s="1"/>
  <c r="Q993" i="205" s="1"/>
  <c r="R993" i="205" s="1"/>
  <c r="E1005" i="205"/>
  <c r="N1005" i="205" s="1"/>
  <c r="O1005" i="205" s="1"/>
  <c r="P1005" i="205" s="1"/>
  <c r="Q1005" i="205" s="1"/>
  <c r="R1005" i="205" s="1"/>
  <c r="E1017" i="205"/>
  <c r="N1017" i="205" s="1"/>
  <c r="O1017" i="205" s="1"/>
  <c r="P1017" i="205" s="1"/>
  <c r="Q1017" i="205" s="1"/>
  <c r="R1017" i="205" s="1"/>
  <c r="AM1117" i="205"/>
  <c r="E1117" i="205"/>
  <c r="O1117" i="205" s="1"/>
  <c r="P1117" i="205" s="1"/>
  <c r="Q1117" i="205" s="1"/>
  <c r="R1117" i="205" s="1"/>
  <c r="E897" i="205"/>
  <c r="N897" i="205" s="1"/>
  <c r="O897" i="205" s="1"/>
  <c r="P897" i="205" s="1"/>
  <c r="Q897" i="205" s="1"/>
  <c r="R897" i="205" s="1"/>
  <c r="E909" i="205"/>
  <c r="N909" i="205" s="1"/>
  <c r="O909" i="205" s="1"/>
  <c r="P909" i="205" s="1"/>
  <c r="Q909" i="205" s="1"/>
  <c r="R909" i="205" s="1"/>
  <c r="AK912" i="205"/>
  <c r="E942" i="205"/>
  <c r="N942" i="205" s="1"/>
  <c r="O942" i="205" s="1"/>
  <c r="P942" i="205" s="1"/>
  <c r="Q942" i="205" s="1"/>
  <c r="R942" i="205" s="1"/>
  <c r="E954" i="205"/>
  <c r="N954" i="205" s="1"/>
  <c r="O954" i="205" s="1"/>
  <c r="P954" i="205" s="1"/>
  <c r="Q954" i="205" s="1"/>
  <c r="R954" i="205" s="1"/>
  <c r="E987" i="205"/>
  <c r="N987" i="205" s="1"/>
  <c r="O987" i="205" s="1"/>
  <c r="P987" i="205" s="1"/>
  <c r="Q987" i="205" s="1"/>
  <c r="R987" i="205" s="1"/>
  <c r="E999" i="205"/>
  <c r="N999" i="205" s="1"/>
  <c r="O999" i="205" s="1"/>
  <c r="P999" i="205" s="1"/>
  <c r="Q999" i="205" s="1"/>
  <c r="R999" i="205" s="1"/>
  <c r="E1011" i="205"/>
  <c r="N1011" i="205" s="1"/>
  <c r="O1011" i="205" s="1"/>
  <c r="P1011" i="205" s="1"/>
  <c r="Q1011" i="205" s="1"/>
  <c r="R1011" i="205" s="1"/>
  <c r="AK1028" i="205"/>
  <c r="E1056" i="205"/>
  <c r="N1056" i="205" s="1"/>
  <c r="O1056" i="205" s="1"/>
  <c r="P1056" i="205" s="1"/>
  <c r="Q1056" i="205" s="1"/>
  <c r="R1056" i="205" s="1"/>
  <c r="AM1056" i="205"/>
  <c r="E1088" i="205"/>
  <c r="E1090" i="205"/>
  <c r="E1116" i="205"/>
  <c r="O1116" i="205" s="1"/>
  <c r="P1116" i="205" s="1"/>
  <c r="Q1116" i="205" s="1"/>
  <c r="R1116" i="205" s="1"/>
  <c r="AM1116" i="205"/>
  <c r="AK1118" i="205"/>
  <c r="C1059" i="205"/>
  <c r="C48" i="205" s="1"/>
  <c r="E1083" i="205"/>
  <c r="E1115" i="205"/>
  <c r="O1115" i="205" s="1"/>
  <c r="P1115" i="205" s="1"/>
  <c r="Q1115" i="205" s="1"/>
  <c r="R1115" i="205" s="1"/>
  <c r="AM1120" i="205"/>
  <c r="E1120" i="205"/>
  <c r="O1120" i="205" s="1"/>
  <c r="P1120" i="205" s="1"/>
  <c r="Q1120" i="205" s="1"/>
  <c r="R1120" i="205" s="1"/>
  <c r="E1128" i="205"/>
  <c r="O1128" i="205" s="1"/>
  <c r="P1128" i="205" s="1"/>
  <c r="Q1128" i="205" s="1"/>
  <c r="R1128" i="205" s="1"/>
  <c r="AM1128" i="205"/>
  <c r="AK1148" i="205"/>
  <c r="E1148" i="205"/>
  <c r="O1148" i="205" s="1"/>
  <c r="P1148" i="205" s="1"/>
  <c r="Q1148" i="205" s="1"/>
  <c r="R1148" i="205" s="1"/>
  <c r="E1063" i="205"/>
  <c r="AM1089" i="205"/>
  <c r="E1089" i="205"/>
  <c r="AM1121" i="205"/>
  <c r="E1121" i="205"/>
  <c r="O1121" i="205" s="1"/>
  <c r="P1121" i="205" s="1"/>
  <c r="Q1121" i="205" s="1"/>
  <c r="R1121" i="205" s="1"/>
  <c r="E1129" i="205"/>
  <c r="O1129" i="205" s="1"/>
  <c r="P1129" i="205" s="1"/>
  <c r="Q1129" i="205" s="1"/>
  <c r="R1129" i="205" s="1"/>
  <c r="AK1144" i="205"/>
  <c r="E1066" i="205"/>
  <c r="AK1084" i="205"/>
  <c r="E1097" i="205"/>
  <c r="AM1097" i="205"/>
  <c r="E1098" i="205"/>
  <c r="E1127" i="205"/>
  <c r="O1127" i="205" s="1"/>
  <c r="P1127" i="205" s="1"/>
  <c r="Q1127" i="205" s="1"/>
  <c r="R1127" i="205" s="1"/>
  <c r="AM1127" i="205"/>
  <c r="AK1132" i="205"/>
  <c r="E1143" i="205"/>
  <c r="O1143" i="205" s="1"/>
  <c r="P1143" i="205" s="1"/>
  <c r="Q1143" i="205" s="1"/>
  <c r="R1143" i="205" s="1"/>
  <c r="AM1143" i="205"/>
  <c r="AM1146" i="205"/>
  <c r="E1146" i="205"/>
  <c r="O1146" i="205" s="1"/>
  <c r="P1146" i="205" s="1"/>
  <c r="Q1146" i="205" s="1"/>
  <c r="R1146" i="205" s="1"/>
  <c r="AM1147" i="205"/>
  <c r="AM1166" i="205"/>
  <c r="E1166" i="205"/>
  <c r="N1166" i="205" s="1"/>
  <c r="O1166" i="205" s="1"/>
  <c r="P1166" i="205" s="1"/>
  <c r="Q1166" i="205" s="1"/>
  <c r="R1166" i="205" s="1"/>
  <c r="AK1057" i="205"/>
  <c r="AK1064" i="205"/>
  <c r="E1064" i="205"/>
  <c r="AK1091" i="205"/>
  <c r="AM1092" i="205"/>
  <c r="E1092" i="205"/>
  <c r="AM1096" i="205"/>
  <c r="E1096" i="205"/>
  <c r="C1152" i="205"/>
  <c r="C51" i="205" s="1"/>
  <c r="E1119" i="205"/>
  <c r="O1119" i="205" s="1"/>
  <c r="P1119" i="205" s="1"/>
  <c r="Q1119" i="205" s="1"/>
  <c r="R1119" i="205" s="1"/>
  <c r="AM1119" i="205"/>
  <c r="AK1122" i="205"/>
  <c r="AM1130" i="205"/>
  <c r="E1158" i="205"/>
  <c r="AK1158" i="205"/>
  <c r="E1085" i="205"/>
  <c r="AK1093" i="205"/>
  <c r="AM1123" i="205"/>
  <c r="E1123" i="205"/>
  <c r="O1123" i="205" s="1"/>
  <c r="P1123" i="205" s="1"/>
  <c r="Q1123" i="205" s="1"/>
  <c r="R1123" i="205" s="1"/>
  <c r="AM1136" i="205"/>
  <c r="E1136" i="205"/>
  <c r="O1136" i="205" s="1"/>
  <c r="P1136" i="205" s="1"/>
  <c r="Q1136" i="205" s="1"/>
  <c r="R1136" i="205" s="1"/>
  <c r="E1165" i="205"/>
  <c r="AK1165" i="205"/>
  <c r="E1053" i="205"/>
  <c r="N1053" i="205" s="1"/>
  <c r="O1053" i="205" s="1"/>
  <c r="P1053" i="205" s="1"/>
  <c r="Q1053" i="205" s="1"/>
  <c r="R1053" i="205" s="1"/>
  <c r="E1068" i="205"/>
  <c r="AK1069" i="205"/>
  <c r="E1094" i="205"/>
  <c r="E1095" i="205"/>
  <c r="E1099" i="205"/>
  <c r="E1113" i="205"/>
  <c r="O1113" i="205" s="1"/>
  <c r="P1113" i="205" s="1"/>
  <c r="Q1113" i="205" s="1"/>
  <c r="R1113" i="205" s="1"/>
  <c r="D1152" i="205"/>
  <c r="AK1114" i="205"/>
  <c r="E1132" i="205"/>
  <c r="O1132" i="205" s="1"/>
  <c r="P1132" i="205" s="1"/>
  <c r="Q1132" i="205" s="1"/>
  <c r="R1132" i="205" s="1"/>
  <c r="E1135" i="205"/>
  <c r="O1135" i="205" s="1"/>
  <c r="P1135" i="205" s="1"/>
  <c r="Q1135" i="205" s="1"/>
  <c r="R1135" i="205" s="1"/>
  <c r="AK1138" i="205"/>
  <c r="AM1140" i="205"/>
  <c r="AK1150" i="205"/>
  <c r="AM1156" i="205"/>
  <c r="AK1164" i="205"/>
  <c r="E1122" i="205"/>
  <c r="O1122" i="205" s="1"/>
  <c r="P1122" i="205" s="1"/>
  <c r="Q1122" i="205" s="1"/>
  <c r="R1122" i="205" s="1"/>
  <c r="AK1125" i="205"/>
  <c r="AK1134" i="205"/>
  <c r="C1167" i="205"/>
  <c r="C52" i="205" s="1"/>
  <c r="AM1159" i="205"/>
  <c r="E1159" i="205"/>
  <c r="E1134" i="205"/>
  <c r="O1134" i="205" s="1"/>
  <c r="P1134" i="205" s="1"/>
  <c r="Q1134" i="205" s="1"/>
  <c r="R1134" i="205" s="1"/>
  <c r="AK1137" i="205"/>
  <c r="D1167" i="205"/>
  <c r="E1155" i="205"/>
  <c r="AM1157" i="205"/>
  <c r="E1157" i="205"/>
  <c r="AK1161" i="205"/>
  <c r="E1160" i="205"/>
  <c r="AK1160" i="205"/>
  <c r="C429" i="205" l="1"/>
  <c r="C451" i="205"/>
  <c r="D375" i="205"/>
  <c r="AK1151" i="205"/>
  <c r="E41" i="205"/>
  <c r="AK931" i="205"/>
  <c r="E62" i="205"/>
  <c r="E61" i="205"/>
  <c r="E70" i="205"/>
  <c r="AK913" i="205"/>
  <c r="AK1009" i="205"/>
  <c r="AK938" i="205"/>
  <c r="AK884" i="205"/>
  <c r="AK895" i="205"/>
  <c r="AK1086" i="205"/>
  <c r="E927" i="205"/>
  <c r="AK1011" i="205"/>
  <c r="AK868" i="205"/>
  <c r="AK1025" i="205"/>
  <c r="AK905" i="205"/>
  <c r="AK1094" i="205"/>
  <c r="AK1005" i="205"/>
  <c r="AK945" i="205"/>
  <c r="AK926" i="205"/>
  <c r="AK907" i="205"/>
  <c r="AK866" i="205"/>
  <c r="AK1098" i="205"/>
  <c r="AK1027" i="205"/>
  <c r="AK1017" i="205"/>
  <c r="AK897" i="205"/>
  <c r="AK1163" i="205"/>
  <c r="H1152" i="205"/>
  <c r="C471" i="205"/>
  <c r="H481" i="205"/>
  <c r="H446" i="205"/>
  <c r="D369" i="205"/>
  <c r="H450" i="205"/>
  <c r="G464" i="205"/>
  <c r="H490" i="205"/>
  <c r="H476" i="205"/>
  <c r="H400" i="205"/>
  <c r="H402" i="205"/>
  <c r="H401" i="205"/>
  <c r="F933" i="205"/>
  <c r="F42" i="205" s="1"/>
  <c r="AK1067" i="205"/>
  <c r="AK1133" i="205"/>
  <c r="AK1088" i="205"/>
  <c r="AK901" i="205"/>
  <c r="AK909" i="205"/>
  <c r="E45" i="205"/>
  <c r="AK872" i="205"/>
  <c r="D482" i="205"/>
  <c r="D459" i="205"/>
  <c r="C462" i="205"/>
  <c r="G434" i="205"/>
  <c r="D489" i="205"/>
  <c r="AK999" i="205"/>
  <c r="F483" i="205"/>
  <c r="AK968" i="205"/>
  <c r="G410" i="205"/>
  <c r="G411" i="205" s="1"/>
  <c r="AK1119" i="205"/>
  <c r="AK1012" i="205"/>
  <c r="AK1024" i="205"/>
  <c r="C479" i="205"/>
  <c r="D400" i="205"/>
  <c r="AK1156" i="205"/>
  <c r="AK1143" i="205"/>
  <c r="AK1128" i="205"/>
  <c r="AK1065" i="205"/>
  <c r="AK1002" i="205"/>
  <c r="F969" i="205"/>
  <c r="F45" i="205" s="1"/>
  <c r="AK962" i="205"/>
  <c r="AK918" i="205"/>
  <c r="AK878" i="205"/>
  <c r="D488" i="205"/>
  <c r="C475" i="205"/>
  <c r="D377" i="205"/>
  <c r="D383" i="205"/>
  <c r="D402" i="205"/>
  <c r="D446" i="205"/>
  <c r="C464" i="205"/>
  <c r="H383" i="205"/>
  <c r="D379" i="205"/>
  <c r="D404" i="205"/>
  <c r="D451" i="205"/>
  <c r="E451" i="205" s="1"/>
  <c r="D432" i="205"/>
  <c r="C445" i="205"/>
  <c r="D463" i="205"/>
  <c r="C483" i="205"/>
  <c r="I365" i="205"/>
  <c r="H379" i="205"/>
  <c r="C388" i="205"/>
  <c r="C389" i="205" s="1"/>
  <c r="D406" i="205"/>
  <c r="H452" i="205"/>
  <c r="C460" i="205"/>
  <c r="AK197" i="205"/>
  <c r="AK153" i="205"/>
  <c r="AK1166" i="205"/>
  <c r="AK957" i="205"/>
  <c r="AK1058" i="205"/>
  <c r="G927" i="205"/>
  <c r="G41" i="205" s="1"/>
  <c r="AK871" i="205"/>
  <c r="AK886" i="205"/>
  <c r="F61" i="205"/>
  <c r="H381" i="205"/>
  <c r="F481" i="205"/>
  <c r="AK911" i="205"/>
  <c r="AK994" i="205"/>
  <c r="AK1126" i="205"/>
  <c r="AK1159" i="205"/>
  <c r="AK1136" i="205"/>
  <c r="AK1130" i="205"/>
  <c r="AK1120" i="205"/>
  <c r="F1059" i="205"/>
  <c r="F48" i="205" s="1"/>
  <c r="AK1117" i="205"/>
  <c r="AK1054" i="205"/>
  <c r="AK1124" i="205"/>
  <c r="AK1100" i="205"/>
  <c r="F1167" i="205"/>
  <c r="F52" i="205" s="1"/>
  <c r="AK1139" i="205"/>
  <c r="AK908" i="205"/>
  <c r="G479" i="205"/>
  <c r="H433" i="205"/>
  <c r="J462" i="205"/>
  <c r="J474" i="205"/>
  <c r="J482" i="205"/>
  <c r="I490" i="205"/>
  <c r="AK948" i="205"/>
  <c r="F1152" i="205"/>
  <c r="F51" i="205" s="1"/>
  <c r="AK1147" i="205"/>
  <c r="AK961" i="205"/>
  <c r="AK1123" i="205"/>
  <c r="G481" i="205"/>
  <c r="G490" i="205"/>
  <c r="I432" i="205"/>
  <c r="G463" i="205"/>
  <c r="F477" i="205"/>
  <c r="AK887" i="205"/>
  <c r="AK1095" i="205"/>
  <c r="AK877" i="205"/>
  <c r="AK1070" i="205"/>
  <c r="F487" i="205"/>
  <c r="AK1096" i="205"/>
  <c r="AK1121" i="205"/>
  <c r="AK1008" i="205"/>
  <c r="AK1146" i="205"/>
  <c r="AK990" i="205"/>
  <c r="AK1021" i="205"/>
  <c r="AK988" i="205"/>
  <c r="AK960" i="205"/>
  <c r="AK920" i="205"/>
  <c r="AK883" i="205"/>
  <c r="H479" i="205"/>
  <c r="F479" i="205"/>
  <c r="I488" i="205"/>
  <c r="AK949" i="205"/>
  <c r="AK867" i="205"/>
  <c r="AK1000" i="205"/>
  <c r="AK956" i="205"/>
  <c r="I427" i="205"/>
  <c r="AM199" i="205"/>
  <c r="AK952" i="205"/>
  <c r="G933" i="205"/>
  <c r="G42" i="205" s="1"/>
  <c r="E933" i="205"/>
  <c r="D42" i="205"/>
  <c r="E42" i="205" s="1"/>
  <c r="AM1019" i="205"/>
  <c r="F62" i="205"/>
  <c r="F921" i="205"/>
  <c r="F40" i="205" s="1"/>
  <c r="J428" i="205"/>
  <c r="I423" i="205"/>
  <c r="J480" i="205"/>
  <c r="AK1089" i="205"/>
  <c r="AK1014" i="205"/>
  <c r="H927" i="205"/>
  <c r="H41" i="205" s="1"/>
  <c r="AK1016" i="205"/>
  <c r="AK992" i="205"/>
  <c r="AK980" i="205"/>
  <c r="AK944" i="205"/>
  <c r="AM937" i="205"/>
  <c r="H475" i="205"/>
  <c r="I369" i="205"/>
  <c r="G388" i="205"/>
  <c r="G389" i="205" s="1"/>
  <c r="I420" i="205"/>
  <c r="I428" i="205"/>
  <c r="F473" i="205"/>
  <c r="F475" i="205"/>
  <c r="I489" i="205"/>
  <c r="E1059" i="205"/>
  <c r="AK1140" i="205"/>
  <c r="AK1157" i="205"/>
  <c r="AK1131" i="205"/>
  <c r="AK1092" i="205"/>
  <c r="AK1066" i="205"/>
  <c r="AK1097" i="205"/>
  <c r="AM1090" i="205"/>
  <c r="AK1018" i="205"/>
  <c r="AK996" i="205"/>
  <c r="E969" i="205"/>
  <c r="AK1010" i="205"/>
  <c r="AK998" i="205"/>
  <c r="AK986" i="205"/>
  <c r="AK951" i="205"/>
  <c r="AM914" i="205"/>
  <c r="AK882" i="205"/>
  <c r="AK1162" i="205"/>
  <c r="H969" i="205"/>
  <c r="H45" i="205" s="1"/>
  <c r="AK894" i="205"/>
  <c r="AM892" i="205"/>
  <c r="AK953" i="205"/>
  <c r="E963" i="205"/>
  <c r="D44" i="205"/>
  <c r="E44" i="205" s="1"/>
  <c r="AK870" i="205"/>
  <c r="AK955" i="205"/>
  <c r="AK906" i="205"/>
  <c r="AK1001" i="205"/>
  <c r="AK982" i="205"/>
  <c r="D480" i="205"/>
  <c r="I482" i="205"/>
  <c r="J488" i="205"/>
  <c r="H429" i="205"/>
  <c r="J432" i="205"/>
  <c r="I451" i="205"/>
  <c r="H460" i="205"/>
  <c r="I463" i="205"/>
  <c r="C473" i="205"/>
  <c r="C477" i="205"/>
  <c r="C481" i="205"/>
  <c r="G487" i="205"/>
  <c r="C490" i="205"/>
  <c r="I366" i="205"/>
  <c r="I370" i="205"/>
  <c r="D376" i="205"/>
  <c r="D378" i="205"/>
  <c r="D380" i="205"/>
  <c r="D382" i="205"/>
  <c r="D384" i="205"/>
  <c r="F392" i="205"/>
  <c r="F393" i="205" s="1"/>
  <c r="H404" i="205"/>
  <c r="H406" i="205"/>
  <c r="I421" i="205"/>
  <c r="I425" i="205"/>
  <c r="I429" i="205"/>
  <c r="I433" i="205"/>
  <c r="H451" i="205"/>
  <c r="G460" i="205"/>
  <c r="G462" i="205"/>
  <c r="J473" i="205"/>
  <c r="J475" i="205"/>
  <c r="J477" i="205"/>
  <c r="J479" i="205"/>
  <c r="J481" i="205"/>
  <c r="AK1006" i="205"/>
  <c r="F70" i="205"/>
  <c r="H489" i="205"/>
  <c r="F431" i="205"/>
  <c r="H403" i="205"/>
  <c r="I419" i="205"/>
  <c r="I431" i="205"/>
  <c r="G461" i="205"/>
  <c r="J472" i="205"/>
  <c r="E1167" i="205"/>
  <c r="D52" i="205"/>
  <c r="E52" i="205" s="1"/>
  <c r="AK1116" i="205"/>
  <c r="F963" i="205"/>
  <c r="F44" i="205" s="1"/>
  <c r="E939" i="205"/>
  <c r="D43" i="205"/>
  <c r="E43" i="205" s="1"/>
  <c r="AK1004" i="205"/>
  <c r="E921" i="205"/>
  <c r="D40" i="205"/>
  <c r="E40" i="205" s="1"/>
  <c r="J489" i="205"/>
  <c r="I424" i="205"/>
  <c r="F471" i="205"/>
  <c r="J490" i="205"/>
  <c r="C488" i="205"/>
  <c r="D487" i="205"/>
  <c r="D481" i="205"/>
  <c r="H480" i="205"/>
  <c r="G478" i="205"/>
  <c r="D477" i="205"/>
  <c r="C476" i="205"/>
  <c r="I475" i="205"/>
  <c r="H474" i="205"/>
  <c r="G473" i="205"/>
  <c r="G472" i="205"/>
  <c r="I464" i="205"/>
  <c r="H463" i="205"/>
  <c r="F462" i="205"/>
  <c r="D461" i="205"/>
  <c r="I460" i="205"/>
  <c r="J452" i="205"/>
  <c r="C452" i="205"/>
  <c r="J451" i="205"/>
  <c r="J446" i="205"/>
  <c r="C446" i="205"/>
  <c r="D434" i="205"/>
  <c r="D433" i="205"/>
  <c r="H432" i="205"/>
  <c r="G431" i="205"/>
  <c r="D430" i="205"/>
  <c r="D429" i="205"/>
  <c r="E429" i="205" s="1"/>
  <c r="H428" i="205"/>
  <c r="G427" i="205"/>
  <c r="H426" i="205"/>
  <c r="C426" i="205"/>
  <c r="J425" i="205"/>
  <c r="D425" i="205"/>
  <c r="F424" i="205"/>
  <c r="G423" i="205"/>
  <c r="H422" i="205"/>
  <c r="C422" i="205"/>
  <c r="J421" i="205"/>
  <c r="D421" i="205"/>
  <c r="F420" i="205"/>
  <c r="G419" i="205"/>
  <c r="C418" i="205"/>
  <c r="J406" i="205"/>
  <c r="F405" i="205"/>
  <c r="G404" i="205"/>
  <c r="I403" i="205"/>
  <c r="C403" i="205"/>
  <c r="J402" i="205"/>
  <c r="F401" i="205"/>
  <c r="H392" i="205"/>
  <c r="H393" i="205" s="1"/>
  <c r="C392" i="205"/>
  <c r="I388" i="205"/>
  <c r="I389" i="205" s="1"/>
  <c r="D388" i="205"/>
  <c r="I384" i="205"/>
  <c r="C384" i="205"/>
  <c r="J383" i="205"/>
  <c r="F382" i="205"/>
  <c r="G381" i="205"/>
  <c r="I380" i="205"/>
  <c r="C380" i="205"/>
  <c r="J379" i="205"/>
  <c r="F378" i="205"/>
  <c r="G377" i="205"/>
  <c r="I376" i="205"/>
  <c r="C376" i="205"/>
  <c r="J371" i="205"/>
  <c r="D371" i="205"/>
  <c r="F370" i="205"/>
  <c r="G369" i="205"/>
  <c r="H368" i="205"/>
  <c r="C368" i="205"/>
  <c r="J367" i="205"/>
  <c r="D367" i="205"/>
  <c r="F366" i="205"/>
  <c r="G365" i="205"/>
  <c r="H364" i="205"/>
  <c r="C364" i="205"/>
  <c r="F490" i="205"/>
  <c r="C487" i="205"/>
  <c r="D483" i="205"/>
  <c r="H482" i="205"/>
  <c r="G480" i="205"/>
  <c r="I479" i="205"/>
  <c r="C478" i="205"/>
  <c r="I477" i="205"/>
  <c r="G475" i="205"/>
  <c r="G474" i="205"/>
  <c r="D472" i="205"/>
  <c r="D471" i="205"/>
  <c r="F464" i="205"/>
  <c r="F463" i="205"/>
  <c r="D462" i="205"/>
  <c r="F460" i="205"/>
  <c r="F459" i="205"/>
  <c r="I452" i="205"/>
  <c r="G451" i="205"/>
  <c r="F450" i="205"/>
  <c r="I446" i="205"/>
  <c r="G445" i="205"/>
  <c r="J434" i="205"/>
  <c r="C434" i="205"/>
  <c r="J433" i="205"/>
  <c r="G432" i="205"/>
  <c r="D431" i="205"/>
  <c r="J430" i="205"/>
  <c r="C430" i="205"/>
  <c r="J429" i="205"/>
  <c r="G428" i="205"/>
  <c r="F427" i="205"/>
  <c r="G426" i="205"/>
  <c r="H425" i="205"/>
  <c r="C425" i="205"/>
  <c r="J424" i="205"/>
  <c r="D424" i="205"/>
  <c r="F423" i="205"/>
  <c r="G422" i="205"/>
  <c r="H421" i="205"/>
  <c r="C421" i="205"/>
  <c r="J420" i="205"/>
  <c r="D420" i="205"/>
  <c r="F419" i="205"/>
  <c r="G418" i="205"/>
  <c r="I410" i="205"/>
  <c r="I411" i="205" s="1"/>
  <c r="D410" i="205"/>
  <c r="I406" i="205"/>
  <c r="C406" i="205"/>
  <c r="F404" i="205"/>
  <c r="G403" i="205"/>
  <c r="I402" i="205"/>
  <c r="C402" i="205"/>
  <c r="F400" i="205"/>
  <c r="F396" i="205"/>
  <c r="F397" i="205" s="1"/>
  <c r="G392" i="205"/>
  <c r="G393" i="205" s="1"/>
  <c r="H388" i="205"/>
  <c r="H389" i="205" s="1"/>
  <c r="G384" i="205"/>
  <c r="I383" i="205"/>
  <c r="C383" i="205"/>
  <c r="J382" i="205"/>
  <c r="F381" i="205"/>
  <c r="G380" i="205"/>
  <c r="I379" i="205"/>
  <c r="C379" i="205"/>
  <c r="J378" i="205"/>
  <c r="F377" i="205"/>
  <c r="G376" i="205"/>
  <c r="C375" i="205"/>
  <c r="E375" i="205" s="1"/>
  <c r="H371" i="205"/>
  <c r="C371" i="205"/>
  <c r="J370" i="205"/>
  <c r="D370" i="205"/>
  <c r="F369" i="205"/>
  <c r="G368" i="205"/>
  <c r="H367" i="205"/>
  <c r="C367" i="205"/>
  <c r="J366" i="205"/>
  <c r="D366" i="205"/>
  <c r="F365" i="205"/>
  <c r="G364" i="205"/>
  <c r="H488" i="205"/>
  <c r="I481" i="205"/>
  <c r="D479" i="205"/>
  <c r="D476" i="205"/>
  <c r="I474" i="205"/>
  <c r="I472" i="205"/>
  <c r="J463" i="205"/>
  <c r="H462" i="205"/>
  <c r="F452" i="205"/>
  <c r="C427" i="205"/>
  <c r="F426" i="205"/>
  <c r="C423" i="205"/>
  <c r="F422" i="205"/>
  <c r="C419" i="205"/>
  <c r="F418" i="205"/>
  <c r="F410" i="205"/>
  <c r="F411" i="205" s="1"/>
  <c r="C404" i="205"/>
  <c r="F403" i="205"/>
  <c r="C400" i="205"/>
  <c r="C396" i="205"/>
  <c r="D392" i="205"/>
  <c r="F388" i="205"/>
  <c r="F389" i="205" s="1"/>
  <c r="J384" i="205"/>
  <c r="C382" i="205"/>
  <c r="J380" i="205"/>
  <c r="C378" i="205"/>
  <c r="J376" i="205"/>
  <c r="G371" i="205"/>
  <c r="H370" i="205"/>
  <c r="J369" i="205"/>
  <c r="D368" i="205"/>
  <c r="G367" i="205"/>
  <c r="H366" i="205"/>
  <c r="J365" i="205"/>
  <c r="D364" i="205"/>
  <c r="H478" i="205"/>
  <c r="I462" i="205"/>
  <c r="J460" i="205"/>
  <c r="C431" i="205"/>
  <c r="C428" i="205"/>
  <c r="C424" i="205"/>
  <c r="J422" i="205"/>
  <c r="D419" i="205"/>
  <c r="H410" i="205"/>
  <c r="H411" i="205" s="1"/>
  <c r="C405" i="205"/>
  <c r="G382" i="205"/>
  <c r="F379" i="205"/>
  <c r="F368" i="205"/>
  <c r="C365" i="205"/>
  <c r="G489" i="205"/>
  <c r="G488" i="205"/>
  <c r="G482" i="205"/>
  <c r="C480" i="205"/>
  <c r="D475" i="205"/>
  <c r="D474" i="205"/>
  <c r="I473" i="205"/>
  <c r="H472" i="205"/>
  <c r="G471" i="205"/>
  <c r="D464" i="205"/>
  <c r="D460" i="205"/>
  <c r="F451" i="205"/>
  <c r="F446" i="205"/>
  <c r="H434" i="205"/>
  <c r="G433" i="205"/>
  <c r="J431" i="205"/>
  <c r="H430" i="205"/>
  <c r="G429" i="205"/>
  <c r="J427" i="205"/>
  <c r="D426" i="205"/>
  <c r="G425" i="205"/>
  <c r="H424" i="205"/>
  <c r="J423" i="205"/>
  <c r="D422" i="205"/>
  <c r="G421" i="205"/>
  <c r="H420" i="205"/>
  <c r="J419" i="205"/>
  <c r="D418" i="205"/>
  <c r="G406" i="205"/>
  <c r="J404" i="205"/>
  <c r="G402" i="205"/>
  <c r="F384" i="205"/>
  <c r="C381" i="205"/>
  <c r="F380" i="205"/>
  <c r="C377" i="205"/>
  <c r="F376" i="205"/>
  <c r="F371" i="205"/>
  <c r="G370" i="205"/>
  <c r="H369" i="205"/>
  <c r="F367" i="205"/>
  <c r="G366" i="205"/>
  <c r="H365" i="205"/>
  <c r="F489" i="205"/>
  <c r="C482" i="205"/>
  <c r="G477" i="205"/>
  <c r="C474" i="205"/>
  <c r="D473" i="205"/>
  <c r="C472" i="205"/>
  <c r="C450" i="205"/>
  <c r="F445" i="205"/>
  <c r="F434" i="205"/>
  <c r="F433" i="205"/>
  <c r="F432" i="205"/>
  <c r="H431" i="205"/>
  <c r="F430" i="205"/>
  <c r="F429" i="205"/>
  <c r="F428" i="205"/>
  <c r="H427" i="205"/>
  <c r="F425" i="205"/>
  <c r="G424" i="205"/>
  <c r="H423" i="205"/>
  <c r="F421" i="205"/>
  <c r="G420" i="205"/>
  <c r="H419" i="205"/>
  <c r="F406" i="205"/>
  <c r="G405" i="205"/>
  <c r="I404" i="205"/>
  <c r="F402" i="205"/>
  <c r="G401" i="205"/>
  <c r="G383" i="205"/>
  <c r="I382" i="205"/>
  <c r="J381" i="205"/>
  <c r="AM381" i="205" s="1"/>
  <c r="G379" i="205"/>
  <c r="I378" i="205"/>
  <c r="G375" i="205"/>
  <c r="C370" i="205"/>
  <c r="C366" i="205"/>
  <c r="D365" i="205"/>
  <c r="D490" i="205"/>
  <c r="J464" i="205"/>
  <c r="H461" i="205"/>
  <c r="C432" i="205"/>
  <c r="D427" i="205"/>
  <c r="J426" i="205"/>
  <c r="D423" i="205"/>
  <c r="C420" i="205"/>
  <c r="J403" i="205"/>
  <c r="C401" i="205"/>
  <c r="D396" i="205"/>
  <c r="F383" i="205"/>
  <c r="I381" i="205"/>
  <c r="G378" i="205"/>
  <c r="F375" i="205"/>
  <c r="C369" i="205"/>
  <c r="F364" i="205"/>
  <c r="E1152" i="205"/>
  <c r="D51" i="205"/>
  <c r="E51" i="205" s="1"/>
  <c r="AK1056" i="205"/>
  <c r="G1167" i="205"/>
  <c r="G52" i="205" s="1"/>
  <c r="H487" i="205"/>
  <c r="AK1127" i="205"/>
  <c r="G1059" i="205"/>
  <c r="G48" i="205" s="1"/>
  <c r="AK900" i="205"/>
  <c r="F927" i="205"/>
  <c r="F41" i="205" s="1"/>
  <c r="AK1007" i="205"/>
  <c r="AK995" i="205"/>
  <c r="AK983" i="205"/>
  <c r="AK925" i="205"/>
  <c r="F939" i="205"/>
  <c r="F43" i="205" s="1"/>
  <c r="G396" i="205"/>
  <c r="G397" i="205" s="1"/>
  <c r="AK893" i="205"/>
  <c r="AK879" i="205"/>
  <c r="AK1142" i="205"/>
  <c r="AK865" i="205"/>
  <c r="AK1013" i="205"/>
  <c r="AK919" i="205"/>
  <c r="AK880" i="205"/>
  <c r="D478" i="205"/>
  <c r="I480" i="205"/>
  <c r="G483" i="205"/>
  <c r="C489" i="205"/>
  <c r="D428" i="205"/>
  <c r="G430" i="205"/>
  <c r="C433" i="205"/>
  <c r="G446" i="205"/>
  <c r="G452" i="205"/>
  <c r="F461" i="205"/>
  <c r="H464" i="205"/>
  <c r="H473" i="205"/>
  <c r="H477" i="205"/>
  <c r="F488" i="205"/>
  <c r="I367" i="205"/>
  <c r="I371" i="205"/>
  <c r="H376" i="205"/>
  <c r="H378" i="205"/>
  <c r="H380" i="205"/>
  <c r="H382" i="205"/>
  <c r="H384" i="205"/>
  <c r="D401" i="205"/>
  <c r="D403" i="205"/>
  <c r="D405" i="205"/>
  <c r="C410" i="205"/>
  <c r="I422" i="205"/>
  <c r="I426" i="205"/>
  <c r="I430" i="205"/>
  <c r="I434" i="205"/>
  <c r="D445" i="205"/>
  <c r="D450" i="205"/>
  <c r="D452" i="205"/>
  <c r="C459" i="205"/>
  <c r="C461" i="205"/>
  <c r="C463" i="205"/>
  <c r="F472" i="205"/>
  <c r="F474" i="205"/>
  <c r="F476" i="205"/>
  <c r="F478" i="205"/>
  <c r="F480" i="205"/>
  <c r="F482" i="205"/>
  <c r="E48" i="205"/>
  <c r="AK1022" i="205"/>
  <c r="AK1141" i="205"/>
  <c r="AM482" i="205" l="1"/>
  <c r="E462" i="205"/>
  <c r="AM383" i="205"/>
  <c r="AM489" i="205"/>
  <c r="E422" i="205"/>
  <c r="E402" i="205"/>
  <c r="E479" i="205"/>
  <c r="E478" i="205"/>
  <c r="AK1129" i="205"/>
  <c r="E403" i="205"/>
  <c r="E368" i="205"/>
  <c r="AM382" i="205"/>
  <c r="AM379" i="205"/>
  <c r="E404" i="205"/>
  <c r="AM406" i="205"/>
  <c r="AM404" i="205"/>
  <c r="E464" i="205"/>
  <c r="E475" i="205"/>
  <c r="AM432" i="205"/>
  <c r="AM402" i="205"/>
  <c r="AM488" i="205"/>
  <c r="AM451" i="205"/>
  <c r="AM431" i="205"/>
  <c r="AM463" i="205"/>
  <c r="AM446" i="205"/>
  <c r="E452" i="205"/>
  <c r="AM380" i="205"/>
  <c r="E460" i="205"/>
  <c r="E365" i="205"/>
  <c r="AM376" i="205"/>
  <c r="AM384" i="205"/>
  <c r="E446" i="205"/>
  <c r="AM371" i="205"/>
  <c r="E428" i="205"/>
  <c r="E377" i="205"/>
  <c r="E476" i="205"/>
  <c r="AM430" i="205"/>
  <c r="E483" i="205"/>
  <c r="AM474" i="205"/>
  <c r="E490" i="205"/>
  <c r="E481" i="205"/>
  <c r="AM434" i="205"/>
  <c r="E401" i="205"/>
  <c r="H483" i="205"/>
  <c r="G61" i="205"/>
  <c r="AK463" i="205"/>
  <c r="E427" i="205"/>
  <c r="AM464" i="205"/>
  <c r="AK451" i="205"/>
  <c r="AM429" i="205"/>
  <c r="AM419" i="205"/>
  <c r="AM370" i="205"/>
  <c r="AM420" i="205"/>
  <c r="G476" i="205"/>
  <c r="G484" i="205" s="1"/>
  <c r="AK1019" i="205"/>
  <c r="C447" i="205"/>
  <c r="AK914" i="205"/>
  <c r="AM423" i="205"/>
  <c r="AK424" i="205"/>
  <c r="AM433" i="205"/>
  <c r="E367" i="205"/>
  <c r="AM460" i="205"/>
  <c r="AM366" i="205"/>
  <c r="AM378" i="205"/>
  <c r="E477" i="205"/>
  <c r="AM481" i="205"/>
  <c r="AM473" i="205"/>
  <c r="AK369" i="205"/>
  <c r="AK420" i="205"/>
  <c r="AK432" i="205"/>
  <c r="AK474" i="205"/>
  <c r="F491" i="205"/>
  <c r="E426" i="205"/>
  <c r="E370" i="205"/>
  <c r="AK479" i="205"/>
  <c r="AM425" i="205"/>
  <c r="E380" i="205"/>
  <c r="AK199" i="205"/>
  <c r="D397" i="205"/>
  <c r="E396" i="205"/>
  <c r="AK421" i="205"/>
  <c r="AK430" i="205"/>
  <c r="AM452" i="205"/>
  <c r="D491" i="205"/>
  <c r="E487" i="205"/>
  <c r="G70" i="205"/>
  <c r="E369" i="205"/>
  <c r="AK480" i="205"/>
  <c r="AK428" i="205"/>
  <c r="C397" i="205"/>
  <c r="H491" i="205"/>
  <c r="E410" i="205"/>
  <c r="D411" i="205"/>
  <c r="E424" i="205"/>
  <c r="F484" i="205"/>
  <c r="AK490" i="205"/>
  <c r="AK473" i="205"/>
  <c r="H405" i="205"/>
  <c r="G62" i="205"/>
  <c r="D385" i="205"/>
  <c r="AK475" i="205"/>
  <c r="H471" i="205"/>
  <c r="E450" i="205"/>
  <c r="C411" i="205"/>
  <c r="AK489" i="205"/>
  <c r="H1059" i="205"/>
  <c r="H48" i="205" s="1"/>
  <c r="H445" i="205"/>
  <c r="H447" i="205" s="1"/>
  <c r="AM1129" i="205"/>
  <c r="J476" i="205"/>
  <c r="AM476" i="205" s="1"/>
  <c r="E423" i="205"/>
  <c r="AK370" i="205"/>
  <c r="AK472" i="205"/>
  <c r="AK482" i="205"/>
  <c r="AK381" i="205"/>
  <c r="AK365" i="205"/>
  <c r="E419" i="205"/>
  <c r="AK431" i="205"/>
  <c r="E364" i="205"/>
  <c r="C407" i="205"/>
  <c r="E366" i="205"/>
  <c r="AK371" i="205"/>
  <c r="AK383" i="205"/>
  <c r="AK402" i="205"/>
  <c r="AM424" i="205"/>
  <c r="AK434" i="205"/>
  <c r="D484" i="205"/>
  <c r="E471" i="205"/>
  <c r="AM367" i="205"/>
  <c r="AK376" i="205"/>
  <c r="D389" i="205"/>
  <c r="E389" i="205" s="1"/>
  <c r="E388" i="205"/>
  <c r="AK403" i="205"/>
  <c r="E421" i="205"/>
  <c r="AK426" i="205"/>
  <c r="E433" i="205"/>
  <c r="G450" i="205"/>
  <c r="E461" i="205"/>
  <c r="AK488" i="205"/>
  <c r="AK464" i="205"/>
  <c r="E400" i="205"/>
  <c r="E482" i="205"/>
  <c r="AM479" i="205"/>
  <c r="E378" i="205"/>
  <c r="G491" i="205"/>
  <c r="AK892" i="205"/>
  <c r="I969" i="205"/>
  <c r="I45" i="205" s="1"/>
  <c r="AK966" i="205"/>
  <c r="E432" i="205"/>
  <c r="H377" i="205"/>
  <c r="I927" i="205"/>
  <c r="I41" i="205" s="1"/>
  <c r="AM462" i="205"/>
  <c r="AK1170" i="205"/>
  <c r="F385" i="205"/>
  <c r="AM427" i="205"/>
  <c r="AK382" i="205"/>
  <c r="AK423" i="205"/>
  <c r="AK379" i="205"/>
  <c r="C491" i="205"/>
  <c r="D447" i="205"/>
  <c r="E445" i="205"/>
  <c r="E405" i="205"/>
  <c r="AK433" i="205"/>
  <c r="G939" i="205"/>
  <c r="G43" i="205" s="1"/>
  <c r="H1167" i="205"/>
  <c r="H52" i="205" s="1"/>
  <c r="AM403" i="205"/>
  <c r="AM426" i="205"/>
  <c r="AK366" i="205"/>
  <c r="G385" i="205"/>
  <c r="F447" i="205"/>
  <c r="E473" i="205"/>
  <c r="E474" i="205"/>
  <c r="AM422" i="205"/>
  <c r="AM365" i="205"/>
  <c r="AM369" i="205"/>
  <c r="AK378" i="205"/>
  <c r="AK419" i="205"/>
  <c r="AK427" i="205"/>
  <c r="AK406" i="205"/>
  <c r="E420" i="205"/>
  <c r="AK425" i="205"/>
  <c r="E431" i="205"/>
  <c r="I461" i="205"/>
  <c r="E472" i="205"/>
  <c r="E371" i="205"/>
  <c r="AK380" i="205"/>
  <c r="G400" i="205"/>
  <c r="G407" i="205" s="1"/>
  <c r="AM421" i="205"/>
  <c r="E430" i="205"/>
  <c r="E434" i="205"/>
  <c r="J461" i="205"/>
  <c r="AM461" i="205" s="1"/>
  <c r="AM490" i="205"/>
  <c r="AK460" i="205"/>
  <c r="D407" i="205"/>
  <c r="E379" i="205"/>
  <c r="C484" i="205"/>
  <c r="I368" i="205"/>
  <c r="AM477" i="205"/>
  <c r="E384" i="205"/>
  <c r="E376" i="205"/>
  <c r="AK481" i="205"/>
  <c r="AK462" i="205"/>
  <c r="E463" i="205"/>
  <c r="E488" i="205"/>
  <c r="G921" i="205"/>
  <c r="G40" i="205" s="1"/>
  <c r="E459" i="205"/>
  <c r="G963" i="205"/>
  <c r="G44" i="205" s="1"/>
  <c r="E418" i="205"/>
  <c r="D393" i="205"/>
  <c r="E392" i="205"/>
  <c r="AK404" i="205"/>
  <c r="AK367" i="205"/>
  <c r="C385" i="205"/>
  <c r="F407" i="205"/>
  <c r="G447" i="205"/>
  <c r="AK384" i="205"/>
  <c r="C393" i="205"/>
  <c r="AK422" i="205"/>
  <c r="E425" i="205"/>
  <c r="AK446" i="205"/>
  <c r="AK452" i="205"/>
  <c r="I476" i="205"/>
  <c r="AM472" i="205"/>
  <c r="AM475" i="205"/>
  <c r="E382" i="205"/>
  <c r="AK477" i="205"/>
  <c r="E480" i="205"/>
  <c r="AK1090" i="205"/>
  <c r="I478" i="205"/>
  <c r="E406" i="205"/>
  <c r="AK937" i="205"/>
  <c r="AM480" i="205"/>
  <c r="E383" i="205"/>
  <c r="AM428" i="205"/>
  <c r="G459" i="205"/>
  <c r="AK429" i="205"/>
  <c r="H933" i="205"/>
  <c r="H42" i="205" s="1"/>
  <c r="E381" i="205"/>
  <c r="E489" i="205"/>
  <c r="I364" i="205"/>
  <c r="G1152" i="205"/>
  <c r="G51" i="205" s="1"/>
  <c r="H963" i="205" l="1"/>
  <c r="H44" i="205" s="1"/>
  <c r="E407" i="205"/>
  <c r="AK476" i="205"/>
  <c r="E447" i="205"/>
  <c r="H61" i="205"/>
  <c r="AK1149" i="205"/>
  <c r="I483" i="205"/>
  <c r="AK461" i="205"/>
  <c r="I933" i="205"/>
  <c r="I42" i="205" s="1"/>
  <c r="AK930" i="205"/>
  <c r="I392" i="205"/>
  <c r="H921" i="205"/>
  <c r="H40" i="205" s="1"/>
  <c r="H375" i="205"/>
  <c r="AM1135" i="205"/>
  <c r="J478" i="205"/>
  <c r="AM478" i="205" s="1"/>
  <c r="AK1135" i="205"/>
  <c r="AK898" i="205"/>
  <c r="I377" i="205"/>
  <c r="H51" i="205"/>
  <c r="E385" i="205"/>
  <c r="E491" i="205"/>
  <c r="AM864" i="205"/>
  <c r="J364" i="205"/>
  <c r="AM364" i="205" s="1"/>
  <c r="H418" i="205"/>
  <c r="E393" i="205"/>
  <c r="AK864" i="205"/>
  <c r="AK1062" i="205"/>
  <c r="I1167" i="205"/>
  <c r="I52" i="205" s="1"/>
  <c r="I487" i="205"/>
  <c r="AM1170" i="205"/>
  <c r="E484" i="205"/>
  <c r="H459" i="205"/>
  <c r="AM876" i="205"/>
  <c r="J368" i="205"/>
  <c r="AK876" i="205"/>
  <c r="AK942" i="205"/>
  <c r="AM924" i="205"/>
  <c r="J927" i="205"/>
  <c r="J41" i="205" s="1"/>
  <c r="AM41" i="205" s="1"/>
  <c r="AK924" i="205"/>
  <c r="J388" i="205"/>
  <c r="I1059" i="205"/>
  <c r="I48" i="205" s="1"/>
  <c r="I445" i="205"/>
  <c r="H484" i="205"/>
  <c r="H62" i="205"/>
  <c r="I405" i="205"/>
  <c r="I1152" i="205"/>
  <c r="I51" i="205" s="1"/>
  <c r="H70" i="205"/>
  <c r="E397" i="205"/>
  <c r="H939" i="205"/>
  <c r="H43" i="205" s="1"/>
  <c r="H396" i="205"/>
  <c r="J969" i="205"/>
  <c r="J45" i="205" s="1"/>
  <c r="AM45" i="205" s="1"/>
  <c r="AM966" i="205"/>
  <c r="J410" i="205"/>
  <c r="AK1113" i="205"/>
  <c r="E411" i="205"/>
  <c r="I471" i="205" l="1"/>
  <c r="I484" i="205" s="1"/>
  <c r="H407" i="205"/>
  <c r="AM1149" i="205"/>
  <c r="J483" i="205"/>
  <c r="AM483" i="205" s="1"/>
  <c r="I61" i="205"/>
  <c r="I401" i="205"/>
  <c r="AK364" i="205"/>
  <c r="AM959" i="205"/>
  <c r="J405" i="205"/>
  <c r="AM405" i="205" s="1"/>
  <c r="AK959" i="205"/>
  <c r="J963" i="205"/>
  <c r="J44" i="205" s="1"/>
  <c r="AM44" i="205" s="1"/>
  <c r="I62" i="205"/>
  <c r="I963" i="205"/>
  <c r="I44" i="205" s="1"/>
  <c r="AM368" i="205"/>
  <c r="AK368" i="205"/>
  <c r="AM1062" i="205"/>
  <c r="I393" i="205"/>
  <c r="H385" i="205"/>
  <c r="J411" i="205"/>
  <c r="AM410" i="205"/>
  <c r="AK410" i="205"/>
  <c r="J389" i="205"/>
  <c r="AM388" i="205"/>
  <c r="AK388" i="205"/>
  <c r="AK194" i="205"/>
  <c r="I921" i="205"/>
  <c r="I40" i="205" s="1"/>
  <c r="I375" i="205"/>
  <c r="I385" i="205" s="1"/>
  <c r="AK478" i="205"/>
  <c r="J1059" i="205"/>
  <c r="J48" i="205" s="1"/>
  <c r="AM48" i="205" s="1"/>
  <c r="AM1053" i="205"/>
  <c r="J445" i="205"/>
  <c r="AK445" i="205" s="1"/>
  <c r="AK1053" i="205"/>
  <c r="AM942" i="205"/>
  <c r="AM1155" i="205"/>
  <c r="J1167" i="205"/>
  <c r="J52" i="205" s="1"/>
  <c r="AM52" i="205" s="1"/>
  <c r="J487" i="205"/>
  <c r="AK487" i="205" s="1"/>
  <c r="I418" i="205"/>
  <c r="AM898" i="205"/>
  <c r="J377" i="205"/>
  <c r="AM377" i="205" s="1"/>
  <c r="H397" i="205"/>
  <c r="AK972" i="205"/>
  <c r="AM1113" i="205"/>
  <c r="I939" i="205"/>
  <c r="I43" i="205" s="1"/>
  <c r="I396" i="205"/>
  <c r="I397" i="205" s="1"/>
  <c r="J1152" i="205"/>
  <c r="J51" i="205" s="1"/>
  <c r="AM51" i="205" s="1"/>
  <c r="I70" i="205"/>
  <c r="J450" i="205"/>
  <c r="I447" i="205"/>
  <c r="I400" i="205"/>
  <c r="I459" i="205"/>
  <c r="I491" i="205"/>
  <c r="I450" i="205"/>
  <c r="AM930" i="205"/>
  <c r="J933" i="205"/>
  <c r="J42" i="205" s="1"/>
  <c r="AM42" i="205" s="1"/>
  <c r="J392" i="205"/>
  <c r="AK392" i="205" s="1"/>
  <c r="AK1155" i="205"/>
  <c r="J400" i="205" l="1"/>
  <c r="AM400" i="205" s="1"/>
  <c r="AK1115" i="205"/>
  <c r="AM1171" i="205"/>
  <c r="AK1171" i="205"/>
  <c r="AK483" i="205"/>
  <c r="AK405" i="205"/>
  <c r="AM947" i="205"/>
  <c r="J61" i="205"/>
  <c r="AM61" i="205" s="1"/>
  <c r="J401" i="205"/>
  <c r="AK947" i="205"/>
  <c r="J939" i="205"/>
  <c r="J43" i="205" s="1"/>
  <c r="AM43" i="205" s="1"/>
  <c r="AM936" i="205"/>
  <c r="J396" i="205"/>
  <c r="AK396" i="205" s="1"/>
  <c r="AK936" i="205"/>
  <c r="AM978" i="205"/>
  <c r="J418" i="205"/>
  <c r="AM450" i="205"/>
  <c r="AK377" i="205"/>
  <c r="AM1083" i="205"/>
  <c r="J459" i="205"/>
  <c r="AK459" i="205" s="1"/>
  <c r="AK1083" i="205"/>
  <c r="AM1115" i="205"/>
  <c r="J70" i="205"/>
  <c r="AM70" i="205" s="1"/>
  <c r="J447" i="205"/>
  <c r="AM445" i="205"/>
  <c r="J921" i="205"/>
  <c r="J40" i="205" s="1"/>
  <c r="AM40" i="205" s="1"/>
  <c r="AM891" i="205"/>
  <c r="J375" i="205"/>
  <c r="AK891" i="205"/>
  <c r="AM1085" i="205"/>
  <c r="J393" i="205"/>
  <c r="AM392" i="205"/>
  <c r="AM1063" i="205"/>
  <c r="AK1063" i="205"/>
  <c r="J471" i="205"/>
  <c r="AM943" i="205"/>
  <c r="J62" i="205"/>
  <c r="AM62" i="205" s="1"/>
  <c r="AK943" i="205"/>
  <c r="AK978" i="205"/>
  <c r="AM973" i="205"/>
  <c r="AK973" i="205"/>
  <c r="AK450" i="205"/>
  <c r="I407" i="205"/>
  <c r="AM972" i="205"/>
  <c r="AM487" i="205"/>
  <c r="J491" i="205"/>
  <c r="AM194" i="205"/>
  <c r="AK1085" i="205"/>
  <c r="AK400" i="205" l="1"/>
  <c r="J407" i="205"/>
  <c r="AM401" i="205"/>
  <c r="AK401" i="205"/>
  <c r="J484" i="205"/>
  <c r="AM471" i="205"/>
  <c r="AK471" i="205"/>
  <c r="J385" i="205"/>
  <c r="AM375" i="205"/>
  <c r="AM418" i="205"/>
  <c r="AK418" i="205"/>
  <c r="AM459" i="205"/>
  <c r="AM396" i="205"/>
  <c r="J397" i="205"/>
  <c r="AK375" i="205"/>
  <c r="C472" i="203" l="1"/>
  <c r="C471" i="203"/>
  <c r="C469" i="203"/>
  <c r="C468" i="203"/>
  <c r="C467" i="203"/>
  <c r="C466" i="203"/>
  <c r="C465" i="203"/>
  <c r="C464" i="203"/>
  <c r="C462" i="203"/>
  <c r="C461" i="203"/>
  <c r="C459" i="203"/>
  <c r="C458" i="203"/>
  <c r="C457" i="203"/>
  <c r="C456" i="203"/>
  <c r="C455" i="203" l="1"/>
  <c r="I420" i="203" l="1"/>
  <c r="D1109" i="205" s="1"/>
  <c r="H420" i="203"/>
  <c r="D1108" i="205" s="1"/>
  <c r="G420" i="203"/>
  <c r="D1107" i="205" s="1"/>
  <c r="E420" i="203"/>
  <c r="C1109" i="205" s="1"/>
  <c r="D420" i="203"/>
  <c r="C1108" i="205" s="1"/>
  <c r="C420" i="203"/>
  <c r="C1107" i="205" s="1"/>
  <c r="I419" i="203"/>
  <c r="D1106" i="205" s="1"/>
  <c r="H419" i="203"/>
  <c r="D1105" i="205" s="1"/>
  <c r="G419" i="203"/>
  <c r="D1104" i="205" s="1"/>
  <c r="E419" i="203"/>
  <c r="C1106" i="205" s="1"/>
  <c r="D419" i="203"/>
  <c r="C1105" i="205" s="1"/>
  <c r="C419" i="203"/>
  <c r="C1104" i="205" s="1"/>
  <c r="I418" i="203"/>
  <c r="H418" i="203"/>
  <c r="G418" i="203"/>
  <c r="E418" i="203"/>
  <c r="D418" i="203"/>
  <c r="C418" i="203"/>
  <c r="I407" i="203"/>
  <c r="D1079" i="205" s="1"/>
  <c r="H407" i="203"/>
  <c r="D1078" i="205" s="1"/>
  <c r="G407" i="203"/>
  <c r="D1077" i="205" s="1"/>
  <c r="E407" i="203"/>
  <c r="C1079" i="205" s="1"/>
  <c r="D407" i="203"/>
  <c r="C1078" i="205" s="1"/>
  <c r="C407" i="203"/>
  <c r="C1077" i="205" s="1"/>
  <c r="I406" i="203"/>
  <c r="D1076" i="205" s="1"/>
  <c r="H406" i="203"/>
  <c r="D1075" i="205" s="1"/>
  <c r="G406" i="203"/>
  <c r="D1074" i="205" s="1"/>
  <c r="E406" i="203"/>
  <c r="C1076" i="205" s="1"/>
  <c r="D406" i="203"/>
  <c r="C1075" i="205" s="1"/>
  <c r="C406" i="203"/>
  <c r="C1074" i="205" s="1"/>
  <c r="I405" i="203"/>
  <c r="H405" i="203"/>
  <c r="G405" i="203"/>
  <c r="E405" i="203"/>
  <c r="D405" i="203"/>
  <c r="C405" i="203"/>
  <c r="I392" i="203"/>
  <c r="D1049" i="205" s="1"/>
  <c r="H392" i="203"/>
  <c r="D1048" i="205" s="1"/>
  <c r="G392" i="203"/>
  <c r="D1047" i="205" s="1"/>
  <c r="E392" i="203"/>
  <c r="C1049" i="205" s="1"/>
  <c r="D392" i="203"/>
  <c r="C1048" i="205" s="1"/>
  <c r="C392" i="203"/>
  <c r="C1047" i="205" s="1"/>
  <c r="I391" i="203"/>
  <c r="D1046" i="205" s="1"/>
  <c r="H391" i="203"/>
  <c r="D1045" i="205" s="1"/>
  <c r="G391" i="203"/>
  <c r="D1044" i="205" s="1"/>
  <c r="E391" i="203"/>
  <c r="C1046" i="205" s="1"/>
  <c r="D391" i="203"/>
  <c r="C1045" i="205" s="1"/>
  <c r="C391" i="203"/>
  <c r="C1044" i="205" s="1"/>
  <c r="I390" i="203"/>
  <c r="D1043" i="205" s="1"/>
  <c r="H390" i="203"/>
  <c r="D1042" i="205" s="1"/>
  <c r="G390" i="203"/>
  <c r="D1041" i="205" s="1"/>
  <c r="E390" i="203"/>
  <c r="C1043" i="205" s="1"/>
  <c r="D390" i="203"/>
  <c r="C1042" i="205" s="1"/>
  <c r="C390" i="203"/>
  <c r="C1041" i="205" s="1"/>
  <c r="I389" i="203"/>
  <c r="D1040" i="205" s="1"/>
  <c r="H389" i="203"/>
  <c r="D1039" i="205" s="1"/>
  <c r="G389" i="203"/>
  <c r="D1038" i="205" s="1"/>
  <c r="E389" i="203"/>
  <c r="C1040" i="205" s="1"/>
  <c r="D389" i="203"/>
  <c r="C1039" i="205" s="1"/>
  <c r="C389" i="203"/>
  <c r="C1038" i="205" s="1"/>
  <c r="I388" i="203"/>
  <c r="D1037" i="205" s="1"/>
  <c r="H388" i="203"/>
  <c r="D1036" i="205" s="1"/>
  <c r="G388" i="203"/>
  <c r="D1035" i="205" s="1"/>
  <c r="E388" i="203"/>
  <c r="C1037" i="205" s="1"/>
  <c r="D388" i="203"/>
  <c r="C1036" i="205" s="1"/>
  <c r="C388" i="203"/>
  <c r="C1035" i="205" s="1"/>
  <c r="I387" i="203"/>
  <c r="D1034" i="205" s="1"/>
  <c r="H387" i="203"/>
  <c r="D1033" i="205" s="1"/>
  <c r="G387" i="203"/>
  <c r="D1032" i="205" s="1"/>
  <c r="E387" i="203"/>
  <c r="C1034" i="205" s="1"/>
  <c r="D387" i="203"/>
  <c r="C1033" i="205" s="1"/>
  <c r="C387" i="203"/>
  <c r="C1032" i="205" s="1"/>
  <c r="I386" i="203"/>
  <c r="H386" i="203"/>
  <c r="G386" i="203"/>
  <c r="E386" i="203"/>
  <c r="D386" i="203"/>
  <c r="C386" i="203"/>
  <c r="I313" i="203"/>
  <c r="D863" i="205" s="1"/>
  <c r="H313" i="203"/>
  <c r="D862" i="205" s="1"/>
  <c r="G313" i="203"/>
  <c r="D861" i="205" s="1"/>
  <c r="E313" i="203"/>
  <c r="C863" i="205" s="1"/>
  <c r="D313" i="203"/>
  <c r="C862" i="205" s="1"/>
  <c r="C313" i="203"/>
  <c r="C861" i="205" s="1"/>
  <c r="I312" i="203"/>
  <c r="D860" i="205" s="1"/>
  <c r="H312" i="203"/>
  <c r="D859" i="205" s="1"/>
  <c r="G312" i="203"/>
  <c r="D858" i="205" s="1"/>
  <c r="E312" i="203"/>
  <c r="C860" i="205" s="1"/>
  <c r="D312" i="203"/>
  <c r="C859" i="205" s="1"/>
  <c r="C312" i="203"/>
  <c r="C858" i="205" s="1"/>
  <c r="I311" i="203"/>
  <c r="D857" i="205" s="1"/>
  <c r="H311" i="203"/>
  <c r="D856" i="205" s="1"/>
  <c r="G311" i="203"/>
  <c r="D855" i="205" s="1"/>
  <c r="E311" i="203"/>
  <c r="C857" i="205" s="1"/>
  <c r="D311" i="203"/>
  <c r="C856" i="205" s="1"/>
  <c r="C311" i="203"/>
  <c r="C855" i="205" s="1"/>
  <c r="I310" i="203"/>
  <c r="D854" i="205" s="1"/>
  <c r="H310" i="203"/>
  <c r="D853" i="205" s="1"/>
  <c r="G310" i="203"/>
  <c r="D852" i="205" s="1"/>
  <c r="E310" i="203"/>
  <c r="C854" i="205" s="1"/>
  <c r="D310" i="203"/>
  <c r="C310" i="203"/>
  <c r="C852" i="205" s="1"/>
  <c r="I308" i="203"/>
  <c r="D851" i="205" s="1"/>
  <c r="G308" i="203"/>
  <c r="D849" i="205" s="1"/>
  <c r="E308" i="203"/>
  <c r="C851" i="205" s="1"/>
  <c r="D308" i="203"/>
  <c r="C850" i="205" s="1"/>
  <c r="C308" i="203"/>
  <c r="C849" i="205" s="1"/>
  <c r="I304" i="203"/>
  <c r="D845" i="205" s="1"/>
  <c r="H304" i="203"/>
  <c r="D844" i="205" s="1"/>
  <c r="G304" i="203"/>
  <c r="D843" i="205" s="1"/>
  <c r="E304" i="203"/>
  <c r="C845" i="205" s="1"/>
  <c r="D304" i="203"/>
  <c r="C844" i="205" s="1"/>
  <c r="C304" i="203"/>
  <c r="C843" i="205" s="1"/>
  <c r="I303" i="203"/>
  <c r="D842" i="205" s="1"/>
  <c r="H303" i="203"/>
  <c r="D841" i="205" s="1"/>
  <c r="G303" i="203"/>
  <c r="D840" i="205" s="1"/>
  <c r="E303" i="203"/>
  <c r="C842" i="205" s="1"/>
  <c r="D303" i="203"/>
  <c r="C841" i="205" s="1"/>
  <c r="C303" i="203"/>
  <c r="C840" i="205" s="1"/>
  <c r="I302" i="203"/>
  <c r="D839" i="205" s="1"/>
  <c r="H302" i="203"/>
  <c r="D838" i="205" s="1"/>
  <c r="G302" i="203"/>
  <c r="D837" i="205" s="1"/>
  <c r="E302" i="203"/>
  <c r="C839" i="205" s="1"/>
  <c r="D302" i="203"/>
  <c r="C838" i="205" s="1"/>
  <c r="C302" i="203"/>
  <c r="C837" i="205" s="1"/>
  <c r="I301" i="203"/>
  <c r="D836" i="205" s="1"/>
  <c r="H301" i="203"/>
  <c r="D835" i="205" s="1"/>
  <c r="G301" i="203"/>
  <c r="D834" i="205" s="1"/>
  <c r="E301" i="203"/>
  <c r="C836" i="205" s="1"/>
  <c r="D301" i="203"/>
  <c r="C835" i="205" s="1"/>
  <c r="C301" i="203"/>
  <c r="C834" i="205" s="1"/>
  <c r="I300" i="203"/>
  <c r="D833" i="205" s="1"/>
  <c r="H300" i="203"/>
  <c r="D832" i="205" s="1"/>
  <c r="G300" i="203"/>
  <c r="D831" i="205" s="1"/>
  <c r="E300" i="203"/>
  <c r="C833" i="205" s="1"/>
  <c r="D300" i="203"/>
  <c r="C832" i="205" s="1"/>
  <c r="C300" i="203"/>
  <c r="C831" i="205" s="1"/>
  <c r="I299" i="203"/>
  <c r="D830" i="205" s="1"/>
  <c r="H299" i="203"/>
  <c r="D829" i="205" s="1"/>
  <c r="G299" i="203"/>
  <c r="D828" i="205" s="1"/>
  <c r="E299" i="203"/>
  <c r="C830" i="205" s="1"/>
  <c r="D299" i="203"/>
  <c r="C829" i="205" s="1"/>
  <c r="C299" i="203"/>
  <c r="C828" i="205" s="1"/>
  <c r="I298" i="203"/>
  <c r="D827" i="205" s="1"/>
  <c r="H298" i="203"/>
  <c r="D826" i="205" s="1"/>
  <c r="G298" i="203"/>
  <c r="D825" i="205" s="1"/>
  <c r="E298" i="203"/>
  <c r="C827" i="205" s="1"/>
  <c r="D298" i="203"/>
  <c r="C826" i="205" s="1"/>
  <c r="C298" i="203"/>
  <c r="C825" i="205" s="1"/>
  <c r="I297" i="203"/>
  <c r="D824" i="205" s="1"/>
  <c r="H297" i="203"/>
  <c r="D823" i="205" s="1"/>
  <c r="G297" i="203"/>
  <c r="D822" i="205" s="1"/>
  <c r="E297" i="203"/>
  <c r="C824" i="205" s="1"/>
  <c r="D297" i="203"/>
  <c r="C823" i="205" s="1"/>
  <c r="C297" i="203"/>
  <c r="C822" i="205" s="1"/>
  <c r="I296" i="203"/>
  <c r="D821" i="205" s="1"/>
  <c r="H296" i="203"/>
  <c r="D820" i="205" s="1"/>
  <c r="G296" i="203"/>
  <c r="D819" i="205" s="1"/>
  <c r="E296" i="203"/>
  <c r="C821" i="205" s="1"/>
  <c r="D296" i="203"/>
  <c r="C820" i="205" s="1"/>
  <c r="C296" i="203"/>
  <c r="C819" i="205" s="1"/>
  <c r="I292" i="203"/>
  <c r="D815" i="205" s="1"/>
  <c r="H292" i="203"/>
  <c r="D814" i="205" s="1"/>
  <c r="G292" i="203"/>
  <c r="D813" i="205" s="1"/>
  <c r="E292" i="203"/>
  <c r="C815" i="205" s="1"/>
  <c r="D292" i="203"/>
  <c r="C814" i="205" s="1"/>
  <c r="C292" i="203"/>
  <c r="C813" i="205" s="1"/>
  <c r="I291" i="203"/>
  <c r="D812" i="205" s="1"/>
  <c r="H291" i="203"/>
  <c r="D811" i="205" s="1"/>
  <c r="G291" i="203"/>
  <c r="D810" i="205" s="1"/>
  <c r="E291" i="203"/>
  <c r="C812" i="205" s="1"/>
  <c r="D291" i="203"/>
  <c r="C811" i="205" s="1"/>
  <c r="C291" i="203"/>
  <c r="C810" i="205" s="1"/>
  <c r="I290" i="203"/>
  <c r="D809" i="205" s="1"/>
  <c r="H290" i="203"/>
  <c r="D808" i="205" s="1"/>
  <c r="G290" i="203"/>
  <c r="D807" i="205" s="1"/>
  <c r="E290" i="203"/>
  <c r="C809" i="205" s="1"/>
  <c r="D290" i="203"/>
  <c r="C808" i="205" s="1"/>
  <c r="C290" i="203"/>
  <c r="C807" i="205" s="1"/>
  <c r="I289" i="203"/>
  <c r="D806" i="205" s="1"/>
  <c r="H289" i="203"/>
  <c r="D805" i="205" s="1"/>
  <c r="G289" i="203"/>
  <c r="D804" i="205" s="1"/>
  <c r="E289" i="203"/>
  <c r="C806" i="205" s="1"/>
  <c r="D289" i="203"/>
  <c r="C805" i="205" s="1"/>
  <c r="C289" i="203"/>
  <c r="C804" i="205" s="1"/>
  <c r="I288" i="203"/>
  <c r="D803" i="205" s="1"/>
  <c r="H288" i="203"/>
  <c r="D802" i="205" s="1"/>
  <c r="G288" i="203"/>
  <c r="D801" i="205" s="1"/>
  <c r="E288" i="203"/>
  <c r="C803" i="205" s="1"/>
  <c r="D288" i="203"/>
  <c r="C802" i="205" s="1"/>
  <c r="C288" i="203"/>
  <c r="C801" i="205" s="1"/>
  <c r="I287" i="203"/>
  <c r="D800" i="205" s="1"/>
  <c r="H287" i="203"/>
  <c r="D799" i="205" s="1"/>
  <c r="G287" i="203"/>
  <c r="D798" i="205" s="1"/>
  <c r="E287" i="203"/>
  <c r="C800" i="205" s="1"/>
  <c r="D287" i="203"/>
  <c r="C799" i="205" s="1"/>
  <c r="C287" i="203"/>
  <c r="C798" i="205" s="1"/>
  <c r="I285" i="203"/>
  <c r="D797" i="205" s="1"/>
  <c r="H285" i="203"/>
  <c r="D796" i="205" s="1"/>
  <c r="G285" i="203"/>
  <c r="D795" i="205" s="1"/>
  <c r="E285" i="203"/>
  <c r="C797" i="205" s="1"/>
  <c r="D285" i="203"/>
  <c r="C796" i="205" s="1"/>
  <c r="C285" i="203"/>
  <c r="C795" i="205" s="1"/>
  <c r="I281" i="203"/>
  <c r="D791" i="205" s="1"/>
  <c r="H281" i="203"/>
  <c r="D790" i="205" s="1"/>
  <c r="G281" i="203"/>
  <c r="D789" i="205" s="1"/>
  <c r="E281" i="203"/>
  <c r="C791" i="205" s="1"/>
  <c r="D281" i="203"/>
  <c r="C790" i="205" s="1"/>
  <c r="C281" i="203"/>
  <c r="C789" i="205" s="1"/>
  <c r="I280" i="203"/>
  <c r="D788" i="205" s="1"/>
  <c r="H280" i="203"/>
  <c r="D787" i="205" s="1"/>
  <c r="G280" i="203"/>
  <c r="D786" i="205" s="1"/>
  <c r="E280" i="203"/>
  <c r="C788" i="205" s="1"/>
  <c r="D280" i="203"/>
  <c r="C787" i="205" s="1"/>
  <c r="C280" i="203"/>
  <c r="C786" i="205" s="1"/>
  <c r="I279" i="203"/>
  <c r="D785" i="205" s="1"/>
  <c r="H279" i="203"/>
  <c r="D784" i="205" s="1"/>
  <c r="G279" i="203"/>
  <c r="D783" i="205" s="1"/>
  <c r="E279" i="203"/>
  <c r="C785" i="205" s="1"/>
  <c r="D279" i="203"/>
  <c r="C784" i="205" s="1"/>
  <c r="C279" i="203"/>
  <c r="C783" i="205" s="1"/>
  <c r="I278" i="203"/>
  <c r="D782" i="205" s="1"/>
  <c r="H278" i="203"/>
  <c r="D781" i="205" s="1"/>
  <c r="G278" i="203"/>
  <c r="D780" i="205" s="1"/>
  <c r="E278" i="203"/>
  <c r="C782" i="205" s="1"/>
  <c r="D278" i="203"/>
  <c r="C781" i="205" s="1"/>
  <c r="C278" i="203"/>
  <c r="C780" i="205" s="1"/>
  <c r="I277" i="203"/>
  <c r="D779" i="205" s="1"/>
  <c r="H277" i="203"/>
  <c r="D778" i="205" s="1"/>
  <c r="G277" i="203"/>
  <c r="D777" i="205" s="1"/>
  <c r="E277" i="203"/>
  <c r="C779" i="205" s="1"/>
  <c r="D277" i="203"/>
  <c r="C778" i="205" s="1"/>
  <c r="C277" i="203"/>
  <c r="C777" i="205" s="1"/>
  <c r="I276" i="203"/>
  <c r="D776" i="205" s="1"/>
  <c r="H276" i="203"/>
  <c r="D775" i="205" s="1"/>
  <c r="G276" i="203"/>
  <c r="D774" i="205" s="1"/>
  <c r="E276" i="203"/>
  <c r="C776" i="205" s="1"/>
  <c r="D276" i="203"/>
  <c r="C775" i="205" s="1"/>
  <c r="C276" i="203"/>
  <c r="C774" i="205" s="1"/>
  <c r="I275" i="203"/>
  <c r="D773" i="205" s="1"/>
  <c r="H275" i="203"/>
  <c r="D772" i="205" s="1"/>
  <c r="G275" i="203"/>
  <c r="D771" i="205" s="1"/>
  <c r="E275" i="203"/>
  <c r="C773" i="205" s="1"/>
  <c r="D275" i="203"/>
  <c r="C772" i="205" s="1"/>
  <c r="C275" i="203"/>
  <c r="C771" i="205" s="1"/>
  <c r="I274" i="203"/>
  <c r="D770" i="205" s="1"/>
  <c r="H274" i="203"/>
  <c r="D769" i="205" s="1"/>
  <c r="G274" i="203"/>
  <c r="D768" i="205" s="1"/>
  <c r="E274" i="203"/>
  <c r="C770" i="205" s="1"/>
  <c r="D274" i="203"/>
  <c r="C769" i="205" s="1"/>
  <c r="C274" i="203"/>
  <c r="C768" i="205" s="1"/>
  <c r="I273" i="203"/>
  <c r="D767" i="205" s="1"/>
  <c r="H273" i="203"/>
  <c r="D766" i="205" s="1"/>
  <c r="G273" i="203"/>
  <c r="D765" i="205" s="1"/>
  <c r="E273" i="203"/>
  <c r="C767" i="205" s="1"/>
  <c r="D273" i="203"/>
  <c r="C766" i="205" s="1"/>
  <c r="C273" i="203"/>
  <c r="C765" i="205" s="1"/>
  <c r="I272" i="203"/>
  <c r="D764" i="205" s="1"/>
  <c r="H272" i="203"/>
  <c r="D763" i="205" s="1"/>
  <c r="G272" i="203"/>
  <c r="D762" i="205" s="1"/>
  <c r="E272" i="203"/>
  <c r="C764" i="205" s="1"/>
  <c r="D272" i="203"/>
  <c r="C763" i="205" s="1"/>
  <c r="C272" i="203"/>
  <c r="C762" i="205" s="1"/>
  <c r="I270" i="203"/>
  <c r="D761" i="205" s="1"/>
  <c r="H270" i="203"/>
  <c r="D760" i="205" s="1"/>
  <c r="G270" i="203"/>
  <c r="D759" i="205" s="1"/>
  <c r="E270" i="203"/>
  <c r="C761" i="205" s="1"/>
  <c r="D270" i="203"/>
  <c r="C760" i="205" s="1"/>
  <c r="C270" i="203"/>
  <c r="C759" i="205" s="1"/>
  <c r="I266" i="203"/>
  <c r="D755" i="205" s="1"/>
  <c r="H266" i="203"/>
  <c r="D754" i="205" s="1"/>
  <c r="G266" i="203"/>
  <c r="D753" i="205" s="1"/>
  <c r="E266" i="203"/>
  <c r="C755" i="205" s="1"/>
  <c r="D266" i="203"/>
  <c r="C754" i="205" s="1"/>
  <c r="C266" i="203"/>
  <c r="C753" i="205" s="1"/>
  <c r="I265" i="203"/>
  <c r="D752" i="205" s="1"/>
  <c r="H265" i="203"/>
  <c r="D751" i="205" s="1"/>
  <c r="G265" i="203"/>
  <c r="D750" i="205" s="1"/>
  <c r="E265" i="203"/>
  <c r="C752" i="205" s="1"/>
  <c r="D265" i="203"/>
  <c r="C751" i="205" s="1"/>
  <c r="C265" i="203"/>
  <c r="C750" i="205" s="1"/>
  <c r="I264" i="203"/>
  <c r="D749" i="205" s="1"/>
  <c r="H264" i="203"/>
  <c r="D748" i="205" s="1"/>
  <c r="G264" i="203"/>
  <c r="D747" i="205" s="1"/>
  <c r="E264" i="203"/>
  <c r="C749" i="205" s="1"/>
  <c r="D264" i="203"/>
  <c r="C748" i="205" s="1"/>
  <c r="C264" i="203"/>
  <c r="C747" i="205" s="1"/>
  <c r="I263" i="203"/>
  <c r="D746" i="205" s="1"/>
  <c r="H263" i="203"/>
  <c r="D745" i="205" s="1"/>
  <c r="G263" i="203"/>
  <c r="D744" i="205" s="1"/>
  <c r="E263" i="203"/>
  <c r="C746" i="205" s="1"/>
  <c r="D263" i="203"/>
  <c r="C745" i="205" s="1"/>
  <c r="C263" i="203"/>
  <c r="C744" i="205" s="1"/>
  <c r="I262" i="203"/>
  <c r="D743" i="205" s="1"/>
  <c r="H262" i="203"/>
  <c r="D742" i="205" s="1"/>
  <c r="G262" i="203"/>
  <c r="D741" i="205" s="1"/>
  <c r="E262" i="203"/>
  <c r="C743" i="205" s="1"/>
  <c r="D262" i="203"/>
  <c r="C742" i="205" s="1"/>
  <c r="C262" i="203"/>
  <c r="C741" i="205" s="1"/>
  <c r="I261" i="203"/>
  <c r="D740" i="205" s="1"/>
  <c r="H261" i="203"/>
  <c r="D739" i="205" s="1"/>
  <c r="G261" i="203"/>
  <c r="D738" i="205" s="1"/>
  <c r="E261" i="203"/>
  <c r="C740" i="205" s="1"/>
  <c r="D261" i="203"/>
  <c r="C739" i="205" s="1"/>
  <c r="C261" i="203"/>
  <c r="C738" i="205" s="1"/>
  <c r="I260" i="203"/>
  <c r="D737" i="205" s="1"/>
  <c r="H260" i="203"/>
  <c r="D736" i="205" s="1"/>
  <c r="G260" i="203"/>
  <c r="D735" i="205" s="1"/>
  <c r="E260" i="203"/>
  <c r="C737" i="205" s="1"/>
  <c r="D260" i="203"/>
  <c r="C736" i="205" s="1"/>
  <c r="C260" i="203"/>
  <c r="C735" i="205" s="1"/>
  <c r="I259" i="203"/>
  <c r="D734" i="205" s="1"/>
  <c r="H259" i="203"/>
  <c r="D733" i="205" s="1"/>
  <c r="G259" i="203"/>
  <c r="D732" i="205" s="1"/>
  <c r="E259" i="203"/>
  <c r="C734" i="205" s="1"/>
  <c r="D259" i="203"/>
  <c r="C733" i="205" s="1"/>
  <c r="C259" i="203"/>
  <c r="C732" i="205" s="1"/>
  <c r="I258" i="203"/>
  <c r="D731" i="205" s="1"/>
  <c r="H258" i="203"/>
  <c r="D730" i="205" s="1"/>
  <c r="G258" i="203"/>
  <c r="D729" i="205" s="1"/>
  <c r="E258" i="203"/>
  <c r="C731" i="205" s="1"/>
  <c r="D258" i="203"/>
  <c r="C730" i="205" s="1"/>
  <c r="C258" i="203"/>
  <c r="C729" i="205" s="1"/>
  <c r="I257" i="203"/>
  <c r="D728" i="205" s="1"/>
  <c r="H257" i="203"/>
  <c r="D727" i="205" s="1"/>
  <c r="G257" i="203"/>
  <c r="D726" i="205" s="1"/>
  <c r="E257" i="203"/>
  <c r="C728" i="205" s="1"/>
  <c r="D257" i="203"/>
  <c r="C727" i="205" s="1"/>
  <c r="C257" i="203"/>
  <c r="C726" i="205" s="1"/>
  <c r="I256" i="203"/>
  <c r="D725" i="205" s="1"/>
  <c r="H256" i="203"/>
  <c r="D724" i="205" s="1"/>
  <c r="G256" i="203"/>
  <c r="D723" i="205" s="1"/>
  <c r="E256" i="203"/>
  <c r="C725" i="205" s="1"/>
  <c r="D256" i="203"/>
  <c r="C724" i="205" s="1"/>
  <c r="C256" i="203"/>
  <c r="C723" i="205" s="1"/>
  <c r="I255" i="203"/>
  <c r="D722" i="205" s="1"/>
  <c r="H255" i="203"/>
  <c r="D721" i="205" s="1"/>
  <c r="G255" i="203"/>
  <c r="D720" i="205" s="1"/>
  <c r="E255" i="203"/>
  <c r="C722" i="205" s="1"/>
  <c r="D255" i="203"/>
  <c r="C721" i="205" s="1"/>
  <c r="C255" i="203"/>
  <c r="C720" i="205" s="1"/>
  <c r="I254" i="203"/>
  <c r="D719" i="205" s="1"/>
  <c r="H254" i="203"/>
  <c r="D718" i="205" s="1"/>
  <c r="G254" i="203"/>
  <c r="D717" i="205" s="1"/>
  <c r="E254" i="203"/>
  <c r="C719" i="205" s="1"/>
  <c r="D254" i="203"/>
  <c r="C718" i="205" s="1"/>
  <c r="C254" i="203"/>
  <c r="C717" i="205" s="1"/>
  <c r="I252" i="203"/>
  <c r="D716" i="205" s="1"/>
  <c r="H252" i="203"/>
  <c r="D715" i="205" s="1"/>
  <c r="G252" i="203"/>
  <c r="D714" i="205" s="1"/>
  <c r="E252" i="203"/>
  <c r="C716" i="205" s="1"/>
  <c r="D252" i="203"/>
  <c r="C715" i="205" s="1"/>
  <c r="C252" i="203"/>
  <c r="C714" i="205" s="1"/>
  <c r="I248" i="203"/>
  <c r="D710" i="205" s="1"/>
  <c r="H248" i="203"/>
  <c r="D709" i="205" s="1"/>
  <c r="G248" i="203"/>
  <c r="D708" i="205" s="1"/>
  <c r="E248" i="203"/>
  <c r="C710" i="205" s="1"/>
  <c r="D248" i="203"/>
  <c r="C709" i="205" s="1"/>
  <c r="C248" i="203"/>
  <c r="C708" i="205" s="1"/>
  <c r="I247" i="203"/>
  <c r="D707" i="205" s="1"/>
  <c r="H247" i="203"/>
  <c r="D706" i="205" s="1"/>
  <c r="G247" i="203"/>
  <c r="D705" i="205" s="1"/>
  <c r="E247" i="203"/>
  <c r="C707" i="205" s="1"/>
  <c r="D247" i="203"/>
  <c r="C706" i="205" s="1"/>
  <c r="C247" i="203"/>
  <c r="C705" i="205" s="1"/>
  <c r="I246" i="203"/>
  <c r="D704" i="205" s="1"/>
  <c r="H246" i="203"/>
  <c r="D703" i="205" s="1"/>
  <c r="G246" i="203"/>
  <c r="D702" i="205" s="1"/>
  <c r="E246" i="203"/>
  <c r="C704" i="205" s="1"/>
  <c r="D246" i="203"/>
  <c r="C703" i="205" s="1"/>
  <c r="C246" i="203"/>
  <c r="C702" i="205" s="1"/>
  <c r="I245" i="203"/>
  <c r="D701" i="205" s="1"/>
  <c r="H245" i="203"/>
  <c r="D700" i="205" s="1"/>
  <c r="G245" i="203"/>
  <c r="D699" i="205" s="1"/>
  <c r="E245" i="203"/>
  <c r="C701" i="205" s="1"/>
  <c r="D245" i="203"/>
  <c r="C700" i="205" s="1"/>
  <c r="C245" i="203"/>
  <c r="C699" i="205" s="1"/>
  <c r="I244" i="203"/>
  <c r="D698" i="205" s="1"/>
  <c r="H244" i="203"/>
  <c r="D697" i="205" s="1"/>
  <c r="G244" i="203"/>
  <c r="D696" i="205" s="1"/>
  <c r="E244" i="203"/>
  <c r="C698" i="205" s="1"/>
  <c r="D244" i="203"/>
  <c r="C697" i="205" s="1"/>
  <c r="C244" i="203"/>
  <c r="C696" i="205" s="1"/>
  <c r="I243" i="203"/>
  <c r="D695" i="205" s="1"/>
  <c r="H243" i="203"/>
  <c r="D694" i="205" s="1"/>
  <c r="G243" i="203"/>
  <c r="D693" i="205" s="1"/>
  <c r="E243" i="203"/>
  <c r="C695" i="205" s="1"/>
  <c r="D243" i="203"/>
  <c r="C694" i="205" s="1"/>
  <c r="C243" i="203"/>
  <c r="C693" i="205" s="1"/>
  <c r="I242" i="203"/>
  <c r="D692" i="205" s="1"/>
  <c r="H242" i="203"/>
  <c r="D691" i="205" s="1"/>
  <c r="G242" i="203"/>
  <c r="D690" i="205" s="1"/>
  <c r="E242" i="203"/>
  <c r="C692" i="205" s="1"/>
  <c r="D242" i="203"/>
  <c r="C691" i="205" s="1"/>
  <c r="C242" i="203"/>
  <c r="C690" i="205" s="1"/>
  <c r="I241" i="203"/>
  <c r="D689" i="205" s="1"/>
  <c r="H241" i="203"/>
  <c r="D688" i="205" s="1"/>
  <c r="G241" i="203"/>
  <c r="D687" i="205" s="1"/>
  <c r="E241" i="203"/>
  <c r="C689" i="205" s="1"/>
  <c r="D241" i="203"/>
  <c r="C688" i="205" s="1"/>
  <c r="C241" i="203"/>
  <c r="C687" i="205" s="1"/>
  <c r="I240" i="203"/>
  <c r="D686" i="205" s="1"/>
  <c r="H240" i="203"/>
  <c r="D685" i="205" s="1"/>
  <c r="G240" i="203"/>
  <c r="D684" i="205" s="1"/>
  <c r="E240" i="203"/>
  <c r="C686" i="205" s="1"/>
  <c r="D240" i="203"/>
  <c r="C685" i="205" s="1"/>
  <c r="C240" i="203"/>
  <c r="C684" i="205" s="1"/>
  <c r="I239" i="203"/>
  <c r="D683" i="205" s="1"/>
  <c r="H239" i="203"/>
  <c r="D682" i="205" s="1"/>
  <c r="G239" i="203"/>
  <c r="D681" i="205" s="1"/>
  <c r="E239" i="203"/>
  <c r="C683" i="205" s="1"/>
  <c r="D239" i="203"/>
  <c r="C682" i="205" s="1"/>
  <c r="C239" i="203"/>
  <c r="C681" i="205" s="1"/>
  <c r="I238" i="203"/>
  <c r="D680" i="205" s="1"/>
  <c r="H238" i="203"/>
  <c r="D679" i="205" s="1"/>
  <c r="G238" i="203"/>
  <c r="D678" i="205" s="1"/>
  <c r="E238" i="203"/>
  <c r="C680" i="205" s="1"/>
  <c r="D238" i="203"/>
  <c r="C679" i="205" s="1"/>
  <c r="C238" i="203"/>
  <c r="C678" i="205" s="1"/>
  <c r="I237" i="203"/>
  <c r="D677" i="205" s="1"/>
  <c r="H237" i="203"/>
  <c r="D676" i="205" s="1"/>
  <c r="G237" i="203"/>
  <c r="D675" i="205" s="1"/>
  <c r="E237" i="203"/>
  <c r="C677" i="205" s="1"/>
  <c r="D237" i="203"/>
  <c r="C676" i="205" s="1"/>
  <c r="C237" i="203"/>
  <c r="C675" i="205" s="1"/>
  <c r="I236" i="203"/>
  <c r="D674" i="205" s="1"/>
  <c r="H236" i="203"/>
  <c r="D673" i="205" s="1"/>
  <c r="G236" i="203"/>
  <c r="D672" i="205" s="1"/>
  <c r="E236" i="203"/>
  <c r="C674" i="205" s="1"/>
  <c r="D236" i="203"/>
  <c r="C673" i="205" s="1"/>
  <c r="C236" i="203"/>
  <c r="C672" i="205" s="1"/>
  <c r="I235" i="203"/>
  <c r="D671" i="205" s="1"/>
  <c r="H235" i="203"/>
  <c r="D670" i="205" s="1"/>
  <c r="G235" i="203"/>
  <c r="D669" i="205" s="1"/>
  <c r="E235" i="203"/>
  <c r="C671" i="205" s="1"/>
  <c r="D235" i="203"/>
  <c r="C670" i="205" s="1"/>
  <c r="C235" i="203"/>
  <c r="C669" i="205" s="1"/>
  <c r="I234" i="203"/>
  <c r="D668" i="205" s="1"/>
  <c r="H234" i="203"/>
  <c r="D667" i="205" s="1"/>
  <c r="G234" i="203"/>
  <c r="D666" i="205" s="1"/>
  <c r="E234" i="203"/>
  <c r="C668" i="205" s="1"/>
  <c r="D234" i="203"/>
  <c r="C667" i="205" s="1"/>
  <c r="C234" i="203"/>
  <c r="C666" i="205" s="1"/>
  <c r="I233" i="203"/>
  <c r="D665" i="205" s="1"/>
  <c r="H233" i="203"/>
  <c r="D664" i="205" s="1"/>
  <c r="G233" i="203"/>
  <c r="D663" i="205" s="1"/>
  <c r="E233" i="203"/>
  <c r="C665" i="205" s="1"/>
  <c r="D233" i="203"/>
  <c r="C664" i="205" s="1"/>
  <c r="C233" i="203"/>
  <c r="C663" i="205" s="1"/>
  <c r="I231" i="203"/>
  <c r="D662" i="205" s="1"/>
  <c r="H231" i="203"/>
  <c r="D661" i="205" s="1"/>
  <c r="G231" i="203"/>
  <c r="D660" i="205" s="1"/>
  <c r="E231" i="203"/>
  <c r="C662" i="205" s="1"/>
  <c r="D231" i="203"/>
  <c r="C661" i="205" s="1"/>
  <c r="C231" i="203"/>
  <c r="C660" i="205" s="1"/>
  <c r="I227" i="203"/>
  <c r="D656" i="205" s="1"/>
  <c r="H227" i="203"/>
  <c r="D655" i="205" s="1"/>
  <c r="G227" i="203"/>
  <c r="D654" i="205" s="1"/>
  <c r="E227" i="203"/>
  <c r="C656" i="205" s="1"/>
  <c r="D227" i="203"/>
  <c r="C655" i="205" s="1"/>
  <c r="C227" i="203"/>
  <c r="C654" i="205" s="1"/>
  <c r="I226" i="203"/>
  <c r="D653" i="205" s="1"/>
  <c r="H226" i="203"/>
  <c r="D652" i="205" s="1"/>
  <c r="G226" i="203"/>
  <c r="D651" i="205" s="1"/>
  <c r="E226" i="203"/>
  <c r="C653" i="205" s="1"/>
  <c r="D226" i="203"/>
  <c r="C652" i="205" s="1"/>
  <c r="C226" i="203"/>
  <c r="C651" i="205" s="1"/>
  <c r="I225" i="203"/>
  <c r="D650" i="205" s="1"/>
  <c r="H225" i="203"/>
  <c r="D649" i="205" s="1"/>
  <c r="G225" i="203"/>
  <c r="D648" i="205" s="1"/>
  <c r="E225" i="203"/>
  <c r="C650" i="205" s="1"/>
  <c r="D225" i="203"/>
  <c r="C649" i="205" s="1"/>
  <c r="C225" i="203"/>
  <c r="C648" i="205" s="1"/>
  <c r="I224" i="203"/>
  <c r="D647" i="205" s="1"/>
  <c r="H224" i="203"/>
  <c r="D646" i="205" s="1"/>
  <c r="G224" i="203"/>
  <c r="D645" i="205" s="1"/>
  <c r="E224" i="203"/>
  <c r="C647" i="205" s="1"/>
  <c r="D224" i="203"/>
  <c r="C646" i="205" s="1"/>
  <c r="C224" i="203"/>
  <c r="C645" i="205" s="1"/>
  <c r="I223" i="203"/>
  <c r="D644" i="205" s="1"/>
  <c r="H223" i="203"/>
  <c r="D643" i="205" s="1"/>
  <c r="G223" i="203"/>
  <c r="D642" i="205" s="1"/>
  <c r="E223" i="203"/>
  <c r="C644" i="205" s="1"/>
  <c r="D223" i="203"/>
  <c r="C643" i="205" s="1"/>
  <c r="C223" i="203"/>
  <c r="C642" i="205" s="1"/>
  <c r="I222" i="203"/>
  <c r="D641" i="205" s="1"/>
  <c r="H222" i="203"/>
  <c r="D640" i="205" s="1"/>
  <c r="G222" i="203"/>
  <c r="D639" i="205" s="1"/>
  <c r="E222" i="203"/>
  <c r="C641" i="205" s="1"/>
  <c r="D222" i="203"/>
  <c r="C640" i="205" s="1"/>
  <c r="C222" i="203"/>
  <c r="C639" i="205" s="1"/>
  <c r="I221" i="203"/>
  <c r="D638" i="205" s="1"/>
  <c r="H221" i="203"/>
  <c r="D637" i="205" s="1"/>
  <c r="G221" i="203"/>
  <c r="D636" i="205" s="1"/>
  <c r="E221" i="203"/>
  <c r="C638" i="205" s="1"/>
  <c r="D221" i="203"/>
  <c r="C637" i="205" s="1"/>
  <c r="C221" i="203"/>
  <c r="C636" i="205" s="1"/>
  <c r="I217" i="203"/>
  <c r="D632" i="205" s="1"/>
  <c r="H217" i="203"/>
  <c r="D631" i="205" s="1"/>
  <c r="G217" i="203"/>
  <c r="D630" i="205" s="1"/>
  <c r="E217" i="203"/>
  <c r="C632" i="205" s="1"/>
  <c r="D217" i="203"/>
  <c r="C631" i="205" s="1"/>
  <c r="C217" i="203"/>
  <c r="C630" i="205" s="1"/>
  <c r="I216" i="203"/>
  <c r="D629" i="205" s="1"/>
  <c r="H216" i="203"/>
  <c r="D628" i="205" s="1"/>
  <c r="G216" i="203"/>
  <c r="D627" i="205" s="1"/>
  <c r="E216" i="203"/>
  <c r="C629" i="205" s="1"/>
  <c r="D216" i="203"/>
  <c r="C628" i="205" s="1"/>
  <c r="C216" i="203"/>
  <c r="C627" i="205" s="1"/>
  <c r="I215" i="203"/>
  <c r="D626" i="205" s="1"/>
  <c r="H215" i="203"/>
  <c r="D625" i="205" s="1"/>
  <c r="G215" i="203"/>
  <c r="D624" i="205" s="1"/>
  <c r="E215" i="203"/>
  <c r="C626" i="205" s="1"/>
  <c r="D215" i="203"/>
  <c r="C625" i="205" s="1"/>
  <c r="C215" i="203"/>
  <c r="C624" i="205" s="1"/>
  <c r="I214" i="203"/>
  <c r="D623" i="205" s="1"/>
  <c r="H214" i="203"/>
  <c r="D622" i="205" s="1"/>
  <c r="G214" i="203"/>
  <c r="D621" i="205" s="1"/>
  <c r="E214" i="203"/>
  <c r="C623" i="205" s="1"/>
  <c r="D214" i="203"/>
  <c r="C622" i="205" s="1"/>
  <c r="C214" i="203"/>
  <c r="C621" i="205" s="1"/>
  <c r="I213" i="203"/>
  <c r="D620" i="205" s="1"/>
  <c r="H213" i="203"/>
  <c r="D619" i="205" s="1"/>
  <c r="G213" i="203"/>
  <c r="D618" i="205" s="1"/>
  <c r="E213" i="203"/>
  <c r="C620" i="205" s="1"/>
  <c r="D213" i="203"/>
  <c r="C619" i="205" s="1"/>
  <c r="C213" i="203"/>
  <c r="C618" i="205" s="1"/>
  <c r="I212" i="203"/>
  <c r="D617" i="205" s="1"/>
  <c r="H212" i="203"/>
  <c r="D616" i="205" s="1"/>
  <c r="G212" i="203"/>
  <c r="D615" i="205" s="1"/>
  <c r="E212" i="203"/>
  <c r="C617" i="205" s="1"/>
  <c r="D212" i="203"/>
  <c r="C616" i="205" s="1"/>
  <c r="C212" i="203"/>
  <c r="C615" i="205" s="1"/>
  <c r="I211" i="203"/>
  <c r="D614" i="205" s="1"/>
  <c r="H211" i="203"/>
  <c r="D613" i="205" s="1"/>
  <c r="G211" i="203"/>
  <c r="D612" i="205" s="1"/>
  <c r="E211" i="203"/>
  <c r="C614" i="205" s="1"/>
  <c r="D211" i="203"/>
  <c r="C613" i="205" s="1"/>
  <c r="C211" i="203"/>
  <c r="C612" i="205" s="1"/>
  <c r="I210" i="203"/>
  <c r="D611" i="205" s="1"/>
  <c r="H210" i="203"/>
  <c r="D610" i="205" s="1"/>
  <c r="G210" i="203"/>
  <c r="D609" i="205" s="1"/>
  <c r="E210" i="203"/>
  <c r="C611" i="205" s="1"/>
  <c r="D210" i="203"/>
  <c r="C610" i="205" s="1"/>
  <c r="C210" i="203"/>
  <c r="C609" i="205" s="1"/>
  <c r="I209" i="203"/>
  <c r="D608" i="205" s="1"/>
  <c r="H209" i="203"/>
  <c r="D607" i="205" s="1"/>
  <c r="G209" i="203"/>
  <c r="D606" i="205" s="1"/>
  <c r="E209" i="203"/>
  <c r="C608" i="205" s="1"/>
  <c r="D209" i="203"/>
  <c r="C607" i="205" s="1"/>
  <c r="C209" i="203"/>
  <c r="C606" i="205" s="1"/>
  <c r="I208" i="203"/>
  <c r="D605" i="205" s="1"/>
  <c r="H208" i="203"/>
  <c r="D604" i="205" s="1"/>
  <c r="G208" i="203"/>
  <c r="D603" i="205" s="1"/>
  <c r="E208" i="203"/>
  <c r="C605" i="205" s="1"/>
  <c r="D208" i="203"/>
  <c r="C604" i="205" s="1"/>
  <c r="C208" i="203"/>
  <c r="C603" i="205" s="1"/>
  <c r="I207" i="203"/>
  <c r="D602" i="205" s="1"/>
  <c r="H207" i="203"/>
  <c r="D601" i="205" s="1"/>
  <c r="G207" i="203"/>
  <c r="D600" i="205" s="1"/>
  <c r="E207" i="203"/>
  <c r="C602" i="205" s="1"/>
  <c r="D207" i="203"/>
  <c r="C601" i="205" s="1"/>
  <c r="C207" i="203"/>
  <c r="C600" i="205" s="1"/>
  <c r="I206" i="203"/>
  <c r="D599" i="205" s="1"/>
  <c r="H206" i="203"/>
  <c r="D598" i="205" s="1"/>
  <c r="G206" i="203"/>
  <c r="D597" i="205" s="1"/>
  <c r="E206" i="203"/>
  <c r="C599" i="205" s="1"/>
  <c r="D206" i="203"/>
  <c r="C598" i="205" s="1"/>
  <c r="C206" i="203"/>
  <c r="C597" i="205" s="1"/>
  <c r="I205" i="203"/>
  <c r="D596" i="205" s="1"/>
  <c r="H205" i="203"/>
  <c r="D595" i="205" s="1"/>
  <c r="G205" i="203"/>
  <c r="D594" i="205" s="1"/>
  <c r="E205" i="203"/>
  <c r="C596" i="205" s="1"/>
  <c r="D205" i="203"/>
  <c r="C595" i="205" s="1"/>
  <c r="C205" i="203"/>
  <c r="C594" i="205" s="1"/>
  <c r="I204" i="203"/>
  <c r="D593" i="205" s="1"/>
  <c r="H204" i="203"/>
  <c r="D592" i="205" s="1"/>
  <c r="G204" i="203"/>
  <c r="D591" i="205" s="1"/>
  <c r="E204" i="203"/>
  <c r="C593" i="205" s="1"/>
  <c r="D204" i="203"/>
  <c r="C592" i="205" s="1"/>
  <c r="C204" i="203"/>
  <c r="C591" i="205" s="1"/>
  <c r="I202" i="203"/>
  <c r="D590" i="205" s="1"/>
  <c r="H202" i="203"/>
  <c r="D589" i="205" s="1"/>
  <c r="G202" i="203"/>
  <c r="D588" i="205" s="1"/>
  <c r="E202" i="203"/>
  <c r="C590" i="205" s="1"/>
  <c r="D202" i="203"/>
  <c r="C589" i="205" s="1"/>
  <c r="C202" i="203"/>
  <c r="C588" i="205" s="1"/>
  <c r="I198" i="203"/>
  <c r="D584" i="205" s="1"/>
  <c r="H198" i="203"/>
  <c r="D583" i="205" s="1"/>
  <c r="G198" i="203"/>
  <c r="D582" i="205" s="1"/>
  <c r="E198" i="203"/>
  <c r="C584" i="205" s="1"/>
  <c r="D198" i="203"/>
  <c r="C583" i="205" s="1"/>
  <c r="C198" i="203"/>
  <c r="C582" i="205" s="1"/>
  <c r="I197" i="203"/>
  <c r="D581" i="205" s="1"/>
  <c r="H197" i="203"/>
  <c r="D580" i="205" s="1"/>
  <c r="G197" i="203"/>
  <c r="D579" i="205" s="1"/>
  <c r="E197" i="203"/>
  <c r="C581" i="205" s="1"/>
  <c r="D197" i="203"/>
  <c r="C580" i="205" s="1"/>
  <c r="C197" i="203"/>
  <c r="C579" i="205" s="1"/>
  <c r="I196" i="203"/>
  <c r="D578" i="205" s="1"/>
  <c r="H196" i="203"/>
  <c r="D577" i="205" s="1"/>
  <c r="G196" i="203"/>
  <c r="D576" i="205" s="1"/>
  <c r="E196" i="203"/>
  <c r="C578" i="205" s="1"/>
  <c r="D196" i="203"/>
  <c r="C577" i="205" s="1"/>
  <c r="C196" i="203"/>
  <c r="C576" i="205" s="1"/>
  <c r="I195" i="203"/>
  <c r="D575" i="205" s="1"/>
  <c r="H195" i="203"/>
  <c r="D574" i="205" s="1"/>
  <c r="G195" i="203"/>
  <c r="D573" i="205" s="1"/>
  <c r="E195" i="203"/>
  <c r="C575" i="205" s="1"/>
  <c r="D195" i="203"/>
  <c r="C574" i="205" s="1"/>
  <c r="C195" i="203"/>
  <c r="C573" i="205" s="1"/>
  <c r="I194" i="203"/>
  <c r="D572" i="205" s="1"/>
  <c r="H194" i="203"/>
  <c r="D571" i="205" s="1"/>
  <c r="G194" i="203"/>
  <c r="D570" i="205" s="1"/>
  <c r="E194" i="203"/>
  <c r="C572" i="205" s="1"/>
  <c r="D194" i="203"/>
  <c r="C571" i="205" s="1"/>
  <c r="C194" i="203"/>
  <c r="C570" i="205" s="1"/>
  <c r="I193" i="203"/>
  <c r="D569" i="205" s="1"/>
  <c r="H193" i="203"/>
  <c r="D568" i="205" s="1"/>
  <c r="G193" i="203"/>
  <c r="D567" i="205" s="1"/>
  <c r="E193" i="203"/>
  <c r="C569" i="205" s="1"/>
  <c r="D193" i="203"/>
  <c r="C568" i="205" s="1"/>
  <c r="C193" i="203"/>
  <c r="C567" i="205" s="1"/>
  <c r="I192" i="203"/>
  <c r="D566" i="205" s="1"/>
  <c r="H192" i="203"/>
  <c r="D565" i="205" s="1"/>
  <c r="G192" i="203"/>
  <c r="D564" i="205" s="1"/>
  <c r="E192" i="203"/>
  <c r="C566" i="205" s="1"/>
  <c r="D192" i="203"/>
  <c r="C565" i="205" s="1"/>
  <c r="C192" i="203"/>
  <c r="C564" i="205" s="1"/>
  <c r="I190" i="203"/>
  <c r="D563" i="205" s="1"/>
  <c r="H190" i="203"/>
  <c r="D562" i="205" s="1"/>
  <c r="G190" i="203"/>
  <c r="D561" i="205" s="1"/>
  <c r="E190" i="203"/>
  <c r="C563" i="205" s="1"/>
  <c r="D190" i="203"/>
  <c r="C562" i="205" s="1"/>
  <c r="C190" i="203"/>
  <c r="C561" i="205" s="1"/>
  <c r="I186" i="203"/>
  <c r="D557" i="205" s="1"/>
  <c r="H186" i="203"/>
  <c r="D556" i="205" s="1"/>
  <c r="G186" i="203"/>
  <c r="D555" i="205" s="1"/>
  <c r="E186" i="203"/>
  <c r="C557" i="205" s="1"/>
  <c r="D186" i="203"/>
  <c r="C556" i="205" s="1"/>
  <c r="C186" i="203"/>
  <c r="C555" i="205" s="1"/>
  <c r="I185" i="203"/>
  <c r="D554" i="205" s="1"/>
  <c r="H185" i="203"/>
  <c r="D553" i="205" s="1"/>
  <c r="G185" i="203"/>
  <c r="D552" i="205" s="1"/>
  <c r="E185" i="203"/>
  <c r="C554" i="205" s="1"/>
  <c r="D185" i="203"/>
  <c r="C553" i="205" s="1"/>
  <c r="C185" i="203"/>
  <c r="C552" i="205" s="1"/>
  <c r="I184" i="203"/>
  <c r="D551" i="205" s="1"/>
  <c r="H184" i="203"/>
  <c r="D550" i="205" s="1"/>
  <c r="G184" i="203"/>
  <c r="D549" i="205" s="1"/>
  <c r="E184" i="203"/>
  <c r="C551" i="205" s="1"/>
  <c r="D184" i="203"/>
  <c r="C550" i="205" s="1"/>
  <c r="C184" i="203"/>
  <c r="C549" i="205" s="1"/>
  <c r="I183" i="203"/>
  <c r="D548" i="205" s="1"/>
  <c r="H183" i="203"/>
  <c r="D547" i="205" s="1"/>
  <c r="G183" i="203"/>
  <c r="D546" i="205" s="1"/>
  <c r="E183" i="203"/>
  <c r="C548" i="205" s="1"/>
  <c r="D183" i="203"/>
  <c r="C547" i="205" s="1"/>
  <c r="C183" i="203"/>
  <c r="C546" i="205" s="1"/>
  <c r="I182" i="203"/>
  <c r="D545" i="205" s="1"/>
  <c r="H182" i="203"/>
  <c r="D544" i="205" s="1"/>
  <c r="G182" i="203"/>
  <c r="D543" i="205" s="1"/>
  <c r="E182" i="203"/>
  <c r="C545" i="205" s="1"/>
  <c r="D182" i="203"/>
  <c r="C544" i="205" s="1"/>
  <c r="C182" i="203"/>
  <c r="C543" i="205" s="1"/>
  <c r="I181" i="203"/>
  <c r="D542" i="205" s="1"/>
  <c r="H181" i="203"/>
  <c r="D541" i="205" s="1"/>
  <c r="G181" i="203"/>
  <c r="D540" i="205" s="1"/>
  <c r="E181" i="203"/>
  <c r="C542" i="205" s="1"/>
  <c r="D181" i="203"/>
  <c r="C541" i="205" s="1"/>
  <c r="C181" i="203"/>
  <c r="C540" i="205" s="1"/>
  <c r="I180" i="203"/>
  <c r="D539" i="205" s="1"/>
  <c r="H180" i="203"/>
  <c r="D538" i="205" s="1"/>
  <c r="G180" i="203"/>
  <c r="D537" i="205" s="1"/>
  <c r="E180" i="203"/>
  <c r="C539" i="205" s="1"/>
  <c r="D180" i="203"/>
  <c r="C538" i="205" s="1"/>
  <c r="C180" i="203"/>
  <c r="C537" i="205" s="1"/>
  <c r="I179" i="203"/>
  <c r="D536" i="205" s="1"/>
  <c r="H179" i="203"/>
  <c r="D535" i="205" s="1"/>
  <c r="G179" i="203"/>
  <c r="D534" i="205" s="1"/>
  <c r="E179" i="203"/>
  <c r="C536" i="205" s="1"/>
  <c r="D179" i="203"/>
  <c r="C535" i="205" s="1"/>
  <c r="C179" i="203"/>
  <c r="C534" i="205" s="1"/>
  <c r="I178" i="203"/>
  <c r="D533" i="205" s="1"/>
  <c r="H178" i="203"/>
  <c r="D532" i="205" s="1"/>
  <c r="G178" i="203"/>
  <c r="D531" i="205" s="1"/>
  <c r="E178" i="203"/>
  <c r="C533" i="205" s="1"/>
  <c r="D178" i="203"/>
  <c r="C532" i="205" s="1"/>
  <c r="C178" i="203"/>
  <c r="C531" i="205" s="1"/>
  <c r="I177" i="203"/>
  <c r="D530" i="205" s="1"/>
  <c r="H177" i="203"/>
  <c r="D529" i="205" s="1"/>
  <c r="G177" i="203"/>
  <c r="D528" i="205" s="1"/>
  <c r="E177" i="203"/>
  <c r="C530" i="205" s="1"/>
  <c r="D177" i="203"/>
  <c r="C529" i="205" s="1"/>
  <c r="C177" i="203"/>
  <c r="C528" i="205" s="1"/>
  <c r="I176" i="203"/>
  <c r="D527" i="205" s="1"/>
  <c r="H176" i="203"/>
  <c r="D526" i="205" s="1"/>
  <c r="G176" i="203"/>
  <c r="D525" i="205" s="1"/>
  <c r="E176" i="203"/>
  <c r="C527" i="205" s="1"/>
  <c r="D176" i="203"/>
  <c r="C526" i="205" s="1"/>
  <c r="C176" i="203"/>
  <c r="C525" i="205" s="1"/>
  <c r="I175" i="203"/>
  <c r="D524" i="205" s="1"/>
  <c r="H175" i="203"/>
  <c r="D523" i="205" s="1"/>
  <c r="G175" i="203"/>
  <c r="D522" i="205" s="1"/>
  <c r="E175" i="203"/>
  <c r="C524" i="205" s="1"/>
  <c r="D175" i="203"/>
  <c r="C523" i="205" s="1"/>
  <c r="C175" i="203"/>
  <c r="C522" i="205" s="1"/>
  <c r="I174" i="203"/>
  <c r="D521" i="205" s="1"/>
  <c r="G174" i="203"/>
  <c r="D519" i="205" s="1"/>
  <c r="E174" i="203"/>
  <c r="C521" i="205" s="1"/>
  <c r="D174" i="203"/>
  <c r="C520" i="205" s="1"/>
  <c r="C174" i="203"/>
  <c r="C519" i="205" s="1"/>
  <c r="I173" i="203"/>
  <c r="D518" i="205" s="1"/>
  <c r="H173" i="203"/>
  <c r="D517" i="205" s="1"/>
  <c r="G173" i="203"/>
  <c r="D516" i="205" s="1"/>
  <c r="E173" i="203"/>
  <c r="C518" i="205" s="1"/>
  <c r="D173" i="203"/>
  <c r="C517" i="205" s="1"/>
  <c r="C173" i="203"/>
  <c r="C516" i="205" s="1"/>
  <c r="I172" i="203"/>
  <c r="D515" i="205" s="1"/>
  <c r="H172" i="203"/>
  <c r="D514" i="205" s="1"/>
  <c r="G172" i="203"/>
  <c r="D513" i="205" s="1"/>
  <c r="E172" i="203"/>
  <c r="C515" i="205" s="1"/>
  <c r="D172" i="203"/>
  <c r="C514" i="205" s="1"/>
  <c r="C172" i="203"/>
  <c r="C513" i="205" s="1"/>
  <c r="I171" i="203"/>
  <c r="D512" i="205" s="1"/>
  <c r="H171" i="203"/>
  <c r="D511" i="205" s="1"/>
  <c r="G171" i="203"/>
  <c r="D510" i="205" s="1"/>
  <c r="E171" i="203"/>
  <c r="C512" i="205" s="1"/>
  <c r="D171" i="203"/>
  <c r="C511" i="205" s="1"/>
  <c r="C171" i="203"/>
  <c r="C510" i="205" s="1"/>
  <c r="I170" i="203"/>
  <c r="D509" i="205" s="1"/>
  <c r="H170" i="203"/>
  <c r="D508" i="205" s="1"/>
  <c r="G170" i="203"/>
  <c r="D507" i="205" s="1"/>
  <c r="E170" i="203"/>
  <c r="C509" i="205" s="1"/>
  <c r="D170" i="203"/>
  <c r="C508" i="205" s="1"/>
  <c r="C170" i="203"/>
  <c r="C507" i="205" s="1"/>
  <c r="I168" i="203"/>
  <c r="D506" i="205" s="1"/>
  <c r="H168" i="203"/>
  <c r="D505" i="205" s="1"/>
  <c r="G168" i="203"/>
  <c r="D504" i="205" s="1"/>
  <c r="E168" i="203"/>
  <c r="C506" i="205" s="1"/>
  <c r="D168" i="203"/>
  <c r="C505" i="205" s="1"/>
  <c r="C168" i="203"/>
  <c r="C504" i="205" s="1"/>
  <c r="C1031" i="205" l="1"/>
  <c r="E385" i="203"/>
  <c r="C1103" i="205"/>
  <c r="E417" i="203"/>
  <c r="D1029" i="205"/>
  <c r="F1029" i="205" s="1"/>
  <c r="G385" i="203"/>
  <c r="D1101" i="205"/>
  <c r="F1101" i="205" s="1"/>
  <c r="G417" i="203"/>
  <c r="C1029" i="205"/>
  <c r="C385" i="203"/>
  <c r="D1030" i="205"/>
  <c r="H385" i="203"/>
  <c r="H393" i="203" s="1"/>
  <c r="C1101" i="205"/>
  <c r="C417" i="203"/>
  <c r="D1102" i="205"/>
  <c r="F1102" i="205" s="1"/>
  <c r="H417" i="203"/>
  <c r="C853" i="205"/>
  <c r="E853" i="205" s="1"/>
  <c r="N853" i="205" s="1"/>
  <c r="O853" i="205" s="1"/>
  <c r="P853" i="205" s="1"/>
  <c r="Q853" i="205" s="1"/>
  <c r="R853" i="205" s="1"/>
  <c r="D309" i="203"/>
  <c r="C1030" i="205"/>
  <c r="D385" i="203"/>
  <c r="D1031" i="205"/>
  <c r="I385" i="203"/>
  <c r="C1102" i="205"/>
  <c r="D417" i="203"/>
  <c r="D1103" i="205"/>
  <c r="I417" i="203"/>
  <c r="C1071" i="205"/>
  <c r="C404" i="203"/>
  <c r="D1072" i="205"/>
  <c r="F1072" i="205" s="1"/>
  <c r="H404" i="203"/>
  <c r="C1072" i="205"/>
  <c r="D404" i="203"/>
  <c r="D1073" i="205"/>
  <c r="I404" i="203"/>
  <c r="I408" i="203" s="1"/>
  <c r="C1073" i="205"/>
  <c r="E404" i="203"/>
  <c r="D1071" i="205"/>
  <c r="F1071" i="205" s="1"/>
  <c r="G404" i="203"/>
  <c r="D294" i="205"/>
  <c r="AK520" i="205"/>
  <c r="E520" i="205"/>
  <c r="N520" i="205" s="1"/>
  <c r="O520" i="205" s="1"/>
  <c r="P520" i="205" s="1"/>
  <c r="Q520" i="205" s="1"/>
  <c r="R520" i="205" s="1"/>
  <c r="C234" i="205"/>
  <c r="F535" i="205"/>
  <c r="G535" i="205" s="1"/>
  <c r="H535" i="205" s="1"/>
  <c r="I535" i="205" s="1"/>
  <c r="J535" i="205" s="1"/>
  <c r="AM535" i="205" s="1"/>
  <c r="E535" i="205"/>
  <c r="N535" i="205" s="1"/>
  <c r="O535" i="205" s="1"/>
  <c r="P535" i="205" s="1"/>
  <c r="Q535" i="205" s="1"/>
  <c r="R535" i="205" s="1"/>
  <c r="F525" i="205"/>
  <c r="E525" i="205"/>
  <c r="N525" i="205" s="1"/>
  <c r="O525" i="205" s="1"/>
  <c r="P525" i="205" s="1"/>
  <c r="Q525" i="205" s="1"/>
  <c r="R525" i="205" s="1"/>
  <c r="D233" i="205"/>
  <c r="F506" i="205"/>
  <c r="G506" i="205" s="1"/>
  <c r="H506" i="205" s="1"/>
  <c r="I506" i="205" s="1"/>
  <c r="J506" i="205" s="1"/>
  <c r="AM506" i="205" s="1"/>
  <c r="E506" i="205"/>
  <c r="N506" i="205" s="1"/>
  <c r="O506" i="205" s="1"/>
  <c r="P506" i="205" s="1"/>
  <c r="Q506" i="205" s="1"/>
  <c r="R506" i="205" s="1"/>
  <c r="C231" i="205"/>
  <c r="F521" i="205"/>
  <c r="G521" i="205" s="1"/>
  <c r="H521" i="205" s="1"/>
  <c r="I521" i="205" s="1"/>
  <c r="J521" i="205" s="1"/>
  <c r="AM521" i="205" s="1"/>
  <c r="E521" i="205"/>
  <c r="N521" i="205" s="1"/>
  <c r="O521" i="205" s="1"/>
  <c r="P521" i="205" s="1"/>
  <c r="Q521" i="205" s="1"/>
  <c r="R521" i="205" s="1"/>
  <c r="F522" i="205"/>
  <c r="E522" i="205"/>
  <c r="N522" i="205" s="1"/>
  <c r="O522" i="205" s="1"/>
  <c r="P522" i="205" s="1"/>
  <c r="Q522" i="205" s="1"/>
  <c r="R522" i="205" s="1"/>
  <c r="D232" i="205"/>
  <c r="F527" i="205"/>
  <c r="G527" i="205" s="1"/>
  <c r="H527" i="205" s="1"/>
  <c r="I527" i="205" s="1"/>
  <c r="J527" i="205" s="1"/>
  <c r="AM527" i="205" s="1"/>
  <c r="E527" i="205"/>
  <c r="N527" i="205" s="1"/>
  <c r="O527" i="205" s="1"/>
  <c r="P527" i="205" s="1"/>
  <c r="Q527" i="205" s="1"/>
  <c r="R527" i="205" s="1"/>
  <c r="F528" i="205"/>
  <c r="E528" i="205"/>
  <c r="N528" i="205" s="1"/>
  <c r="O528" i="205" s="1"/>
  <c r="P528" i="205" s="1"/>
  <c r="Q528" i="205" s="1"/>
  <c r="R528" i="205" s="1"/>
  <c r="D234" i="205"/>
  <c r="F533" i="205"/>
  <c r="G533" i="205" s="1"/>
  <c r="H533" i="205" s="1"/>
  <c r="I533" i="205" s="1"/>
  <c r="J533" i="205" s="1"/>
  <c r="AM533" i="205" s="1"/>
  <c r="E533" i="205"/>
  <c r="N533" i="205" s="1"/>
  <c r="O533" i="205" s="1"/>
  <c r="P533" i="205" s="1"/>
  <c r="Q533" i="205" s="1"/>
  <c r="R533" i="205" s="1"/>
  <c r="F534" i="205"/>
  <c r="E534" i="205"/>
  <c r="N534" i="205" s="1"/>
  <c r="O534" i="205" s="1"/>
  <c r="P534" i="205" s="1"/>
  <c r="Q534" i="205" s="1"/>
  <c r="R534" i="205" s="1"/>
  <c r="D236" i="205"/>
  <c r="F539" i="205"/>
  <c r="G539" i="205" s="1"/>
  <c r="H539" i="205" s="1"/>
  <c r="I539" i="205" s="1"/>
  <c r="J539" i="205" s="1"/>
  <c r="AM539" i="205" s="1"/>
  <c r="E539" i="205"/>
  <c r="N539" i="205" s="1"/>
  <c r="O539" i="205" s="1"/>
  <c r="P539" i="205" s="1"/>
  <c r="Q539" i="205" s="1"/>
  <c r="R539" i="205" s="1"/>
  <c r="F540" i="205"/>
  <c r="E540" i="205"/>
  <c r="N540" i="205" s="1"/>
  <c r="O540" i="205" s="1"/>
  <c r="P540" i="205" s="1"/>
  <c r="Q540" i="205" s="1"/>
  <c r="R540" i="205" s="1"/>
  <c r="D238" i="205"/>
  <c r="F545" i="205"/>
  <c r="G545" i="205" s="1"/>
  <c r="H545" i="205" s="1"/>
  <c r="I545" i="205" s="1"/>
  <c r="J545" i="205" s="1"/>
  <c r="AM545" i="205" s="1"/>
  <c r="E545" i="205"/>
  <c r="N545" i="205" s="1"/>
  <c r="O545" i="205" s="1"/>
  <c r="P545" i="205" s="1"/>
  <c r="Q545" i="205" s="1"/>
  <c r="R545" i="205" s="1"/>
  <c r="F546" i="205"/>
  <c r="E546" i="205"/>
  <c r="N546" i="205" s="1"/>
  <c r="O546" i="205" s="1"/>
  <c r="P546" i="205" s="1"/>
  <c r="Q546" i="205" s="1"/>
  <c r="R546" i="205" s="1"/>
  <c r="D240" i="205"/>
  <c r="F551" i="205"/>
  <c r="G551" i="205" s="1"/>
  <c r="H551" i="205" s="1"/>
  <c r="I551" i="205" s="1"/>
  <c r="J551" i="205" s="1"/>
  <c r="AM551" i="205" s="1"/>
  <c r="E551" i="205"/>
  <c r="N551" i="205" s="1"/>
  <c r="O551" i="205" s="1"/>
  <c r="P551" i="205" s="1"/>
  <c r="Q551" i="205" s="1"/>
  <c r="R551" i="205" s="1"/>
  <c r="F552" i="205"/>
  <c r="E552" i="205"/>
  <c r="N552" i="205" s="1"/>
  <c r="O552" i="205" s="1"/>
  <c r="P552" i="205" s="1"/>
  <c r="Q552" i="205" s="1"/>
  <c r="R552" i="205" s="1"/>
  <c r="D242" i="205"/>
  <c r="F557" i="205"/>
  <c r="G557" i="205" s="1"/>
  <c r="H557" i="205" s="1"/>
  <c r="I557" i="205" s="1"/>
  <c r="J557" i="205" s="1"/>
  <c r="AM557" i="205" s="1"/>
  <c r="E557" i="205"/>
  <c r="N557" i="205" s="1"/>
  <c r="O557" i="205" s="1"/>
  <c r="P557" i="205" s="1"/>
  <c r="Q557" i="205" s="1"/>
  <c r="R557" i="205" s="1"/>
  <c r="E561" i="205"/>
  <c r="N561" i="205" s="1"/>
  <c r="O561" i="205" s="1"/>
  <c r="P561" i="205" s="1"/>
  <c r="Q561" i="205" s="1"/>
  <c r="R561" i="205" s="1"/>
  <c r="D585" i="205"/>
  <c r="F561" i="205"/>
  <c r="D247" i="205"/>
  <c r="F566" i="205"/>
  <c r="G566" i="205" s="1"/>
  <c r="H566" i="205" s="1"/>
  <c r="I566" i="205" s="1"/>
  <c r="J566" i="205" s="1"/>
  <c r="AM566" i="205" s="1"/>
  <c r="E566" i="205"/>
  <c r="N566" i="205" s="1"/>
  <c r="O566" i="205" s="1"/>
  <c r="P566" i="205" s="1"/>
  <c r="Q566" i="205" s="1"/>
  <c r="R566" i="205" s="1"/>
  <c r="F567" i="205"/>
  <c r="E567" i="205"/>
  <c r="N567" i="205" s="1"/>
  <c r="O567" i="205" s="1"/>
  <c r="P567" i="205" s="1"/>
  <c r="Q567" i="205" s="1"/>
  <c r="R567" i="205" s="1"/>
  <c r="D249" i="205"/>
  <c r="F504" i="205"/>
  <c r="E504" i="205"/>
  <c r="N504" i="205" s="1"/>
  <c r="O504" i="205" s="1"/>
  <c r="P504" i="205" s="1"/>
  <c r="Q504" i="205" s="1"/>
  <c r="R504" i="205" s="1"/>
  <c r="D226" i="205"/>
  <c r="F523" i="205"/>
  <c r="G523" i="205" s="1"/>
  <c r="H523" i="205" s="1"/>
  <c r="I523" i="205" s="1"/>
  <c r="J523" i="205" s="1"/>
  <c r="AM523" i="205" s="1"/>
  <c r="E523" i="205"/>
  <c r="N523" i="205" s="1"/>
  <c r="O523" i="205" s="1"/>
  <c r="P523" i="205" s="1"/>
  <c r="Q523" i="205" s="1"/>
  <c r="R523" i="205" s="1"/>
  <c r="F529" i="205"/>
  <c r="G529" i="205" s="1"/>
  <c r="H529" i="205" s="1"/>
  <c r="I529" i="205" s="1"/>
  <c r="J529" i="205" s="1"/>
  <c r="AM529" i="205" s="1"/>
  <c r="E529" i="205"/>
  <c r="N529" i="205" s="1"/>
  <c r="O529" i="205" s="1"/>
  <c r="P529" i="205" s="1"/>
  <c r="Q529" i="205" s="1"/>
  <c r="R529" i="205" s="1"/>
  <c r="C238" i="205"/>
  <c r="F541" i="205"/>
  <c r="G541" i="205" s="1"/>
  <c r="H541" i="205" s="1"/>
  <c r="I541" i="205" s="1"/>
  <c r="J541" i="205" s="1"/>
  <c r="AM541" i="205" s="1"/>
  <c r="E541" i="205"/>
  <c r="N541" i="205" s="1"/>
  <c r="O541" i="205" s="1"/>
  <c r="P541" i="205" s="1"/>
  <c r="Q541" i="205" s="1"/>
  <c r="R541" i="205" s="1"/>
  <c r="C240" i="205"/>
  <c r="F547" i="205"/>
  <c r="G547" i="205" s="1"/>
  <c r="H547" i="205" s="1"/>
  <c r="I547" i="205" s="1"/>
  <c r="J547" i="205" s="1"/>
  <c r="AM547" i="205" s="1"/>
  <c r="E547" i="205"/>
  <c r="N547" i="205" s="1"/>
  <c r="O547" i="205" s="1"/>
  <c r="P547" i="205" s="1"/>
  <c r="Q547" i="205" s="1"/>
  <c r="R547" i="205" s="1"/>
  <c r="C242" i="205"/>
  <c r="F553" i="205"/>
  <c r="G553" i="205" s="1"/>
  <c r="H553" i="205" s="1"/>
  <c r="I553" i="205" s="1"/>
  <c r="J553" i="205" s="1"/>
  <c r="AM553" i="205" s="1"/>
  <c r="E553" i="205"/>
  <c r="N553" i="205" s="1"/>
  <c r="O553" i="205" s="1"/>
  <c r="P553" i="205" s="1"/>
  <c r="Q553" i="205" s="1"/>
  <c r="R553" i="205" s="1"/>
  <c r="C585" i="205"/>
  <c r="C31" i="205" s="1"/>
  <c r="C247" i="205"/>
  <c r="F562" i="205"/>
  <c r="G562" i="205" s="1"/>
  <c r="H562" i="205" s="1"/>
  <c r="I562" i="205" s="1"/>
  <c r="J562" i="205" s="1"/>
  <c r="AM562" i="205" s="1"/>
  <c r="E562" i="205"/>
  <c r="N562" i="205" s="1"/>
  <c r="O562" i="205" s="1"/>
  <c r="P562" i="205" s="1"/>
  <c r="Q562" i="205" s="1"/>
  <c r="R562" i="205" s="1"/>
  <c r="C249" i="205"/>
  <c r="F568" i="205"/>
  <c r="G568" i="205" s="1"/>
  <c r="H568" i="205" s="1"/>
  <c r="I568" i="205" s="1"/>
  <c r="J568" i="205" s="1"/>
  <c r="AM568" i="205" s="1"/>
  <c r="E568" i="205"/>
  <c r="N568" i="205" s="1"/>
  <c r="O568" i="205" s="1"/>
  <c r="P568" i="205" s="1"/>
  <c r="Q568" i="205" s="1"/>
  <c r="R568" i="205" s="1"/>
  <c r="C251" i="205"/>
  <c r="F574" i="205"/>
  <c r="G574" i="205" s="1"/>
  <c r="H574" i="205" s="1"/>
  <c r="I574" i="205" s="1"/>
  <c r="J574" i="205" s="1"/>
  <c r="AM574" i="205" s="1"/>
  <c r="E574" i="205"/>
  <c r="N574" i="205" s="1"/>
  <c r="O574" i="205" s="1"/>
  <c r="P574" i="205" s="1"/>
  <c r="Q574" i="205" s="1"/>
  <c r="R574" i="205" s="1"/>
  <c r="C253" i="205"/>
  <c r="F580" i="205"/>
  <c r="G580" i="205" s="1"/>
  <c r="H580" i="205" s="1"/>
  <c r="I580" i="205" s="1"/>
  <c r="J580" i="205" s="1"/>
  <c r="AM580" i="205" s="1"/>
  <c r="E580" i="205"/>
  <c r="N580" i="205" s="1"/>
  <c r="O580" i="205" s="1"/>
  <c r="P580" i="205" s="1"/>
  <c r="Q580" i="205" s="1"/>
  <c r="R580" i="205" s="1"/>
  <c r="C633" i="205"/>
  <c r="C32" i="205" s="1"/>
  <c r="C258" i="205"/>
  <c r="F589" i="205"/>
  <c r="G589" i="205" s="1"/>
  <c r="H589" i="205" s="1"/>
  <c r="I589" i="205" s="1"/>
  <c r="J589" i="205" s="1"/>
  <c r="AM589" i="205" s="1"/>
  <c r="E589" i="205"/>
  <c r="N589" i="205" s="1"/>
  <c r="O589" i="205" s="1"/>
  <c r="P589" i="205" s="1"/>
  <c r="Q589" i="205" s="1"/>
  <c r="R589" i="205" s="1"/>
  <c r="C260" i="205"/>
  <c r="F595" i="205"/>
  <c r="G595" i="205" s="1"/>
  <c r="H595" i="205" s="1"/>
  <c r="I595" i="205" s="1"/>
  <c r="J595" i="205" s="1"/>
  <c r="AM595" i="205" s="1"/>
  <c r="E595" i="205"/>
  <c r="N595" i="205" s="1"/>
  <c r="O595" i="205" s="1"/>
  <c r="P595" i="205" s="1"/>
  <c r="Q595" i="205" s="1"/>
  <c r="R595" i="205" s="1"/>
  <c r="C262" i="205"/>
  <c r="F601" i="205"/>
  <c r="G601" i="205" s="1"/>
  <c r="H601" i="205" s="1"/>
  <c r="I601" i="205" s="1"/>
  <c r="J601" i="205" s="1"/>
  <c r="AM601" i="205" s="1"/>
  <c r="E601" i="205"/>
  <c r="N601" i="205" s="1"/>
  <c r="O601" i="205" s="1"/>
  <c r="P601" i="205" s="1"/>
  <c r="Q601" i="205" s="1"/>
  <c r="R601" i="205" s="1"/>
  <c r="C264" i="205"/>
  <c r="F607" i="205"/>
  <c r="G607" i="205" s="1"/>
  <c r="H607" i="205" s="1"/>
  <c r="I607" i="205" s="1"/>
  <c r="J607" i="205" s="1"/>
  <c r="AM607" i="205" s="1"/>
  <c r="E607" i="205"/>
  <c r="N607" i="205" s="1"/>
  <c r="O607" i="205" s="1"/>
  <c r="P607" i="205" s="1"/>
  <c r="Q607" i="205" s="1"/>
  <c r="R607" i="205" s="1"/>
  <c r="C266" i="205"/>
  <c r="F613" i="205"/>
  <c r="G613" i="205" s="1"/>
  <c r="H613" i="205" s="1"/>
  <c r="I613" i="205" s="1"/>
  <c r="J613" i="205" s="1"/>
  <c r="AM613" i="205" s="1"/>
  <c r="E613" i="205"/>
  <c r="N613" i="205" s="1"/>
  <c r="O613" i="205" s="1"/>
  <c r="P613" i="205" s="1"/>
  <c r="Q613" i="205" s="1"/>
  <c r="R613" i="205" s="1"/>
  <c r="C268" i="205"/>
  <c r="F619" i="205"/>
  <c r="G619" i="205" s="1"/>
  <c r="H619" i="205" s="1"/>
  <c r="I619" i="205" s="1"/>
  <c r="J619" i="205" s="1"/>
  <c r="AM619" i="205" s="1"/>
  <c r="E619" i="205"/>
  <c r="N619" i="205" s="1"/>
  <c r="O619" i="205" s="1"/>
  <c r="P619" i="205" s="1"/>
  <c r="Q619" i="205" s="1"/>
  <c r="R619" i="205" s="1"/>
  <c r="AK527" i="205"/>
  <c r="C236" i="205"/>
  <c r="F505" i="205"/>
  <c r="G505" i="205" s="1"/>
  <c r="H505" i="205" s="1"/>
  <c r="I505" i="205" s="1"/>
  <c r="J505" i="205" s="1"/>
  <c r="AM505" i="205" s="1"/>
  <c r="E505" i="205"/>
  <c r="N505" i="205" s="1"/>
  <c r="O505" i="205" s="1"/>
  <c r="P505" i="205" s="1"/>
  <c r="Q505" i="205" s="1"/>
  <c r="R505" i="205" s="1"/>
  <c r="F524" i="205"/>
  <c r="G524" i="205" s="1"/>
  <c r="H524" i="205" s="1"/>
  <c r="I524" i="205" s="1"/>
  <c r="J524" i="205" s="1"/>
  <c r="AM524" i="205" s="1"/>
  <c r="E524" i="205"/>
  <c r="N524" i="205" s="1"/>
  <c r="O524" i="205" s="1"/>
  <c r="P524" i="205" s="1"/>
  <c r="Q524" i="205" s="1"/>
  <c r="R524" i="205" s="1"/>
  <c r="F530" i="205"/>
  <c r="G530" i="205" s="1"/>
  <c r="H530" i="205" s="1"/>
  <c r="I530" i="205" s="1"/>
  <c r="J530" i="205" s="1"/>
  <c r="AM530" i="205" s="1"/>
  <c r="E530" i="205"/>
  <c r="N530" i="205" s="1"/>
  <c r="O530" i="205" s="1"/>
  <c r="P530" i="205" s="1"/>
  <c r="Q530" i="205" s="1"/>
  <c r="R530" i="205" s="1"/>
  <c r="F531" i="205"/>
  <c r="E531" i="205"/>
  <c r="N531" i="205" s="1"/>
  <c r="O531" i="205" s="1"/>
  <c r="P531" i="205" s="1"/>
  <c r="Q531" i="205" s="1"/>
  <c r="R531" i="205" s="1"/>
  <c r="D235" i="205"/>
  <c r="F536" i="205"/>
  <c r="G536" i="205" s="1"/>
  <c r="H536" i="205" s="1"/>
  <c r="I536" i="205" s="1"/>
  <c r="J536" i="205" s="1"/>
  <c r="AM536" i="205" s="1"/>
  <c r="E536" i="205"/>
  <c r="N536" i="205" s="1"/>
  <c r="O536" i="205" s="1"/>
  <c r="P536" i="205" s="1"/>
  <c r="Q536" i="205" s="1"/>
  <c r="R536" i="205" s="1"/>
  <c r="F537" i="205"/>
  <c r="E537" i="205"/>
  <c r="N537" i="205" s="1"/>
  <c r="O537" i="205" s="1"/>
  <c r="P537" i="205" s="1"/>
  <c r="Q537" i="205" s="1"/>
  <c r="R537" i="205" s="1"/>
  <c r="D237" i="205"/>
  <c r="F542" i="205"/>
  <c r="G542" i="205" s="1"/>
  <c r="H542" i="205" s="1"/>
  <c r="I542" i="205" s="1"/>
  <c r="J542" i="205" s="1"/>
  <c r="AM542" i="205" s="1"/>
  <c r="E542" i="205"/>
  <c r="N542" i="205" s="1"/>
  <c r="O542" i="205" s="1"/>
  <c r="P542" i="205" s="1"/>
  <c r="Q542" i="205" s="1"/>
  <c r="R542" i="205" s="1"/>
  <c r="F543" i="205"/>
  <c r="E543" i="205"/>
  <c r="N543" i="205" s="1"/>
  <c r="O543" i="205" s="1"/>
  <c r="P543" i="205" s="1"/>
  <c r="Q543" i="205" s="1"/>
  <c r="R543" i="205" s="1"/>
  <c r="D239" i="205"/>
  <c r="F548" i="205"/>
  <c r="G548" i="205" s="1"/>
  <c r="H548" i="205" s="1"/>
  <c r="I548" i="205" s="1"/>
  <c r="J548" i="205" s="1"/>
  <c r="AM548" i="205" s="1"/>
  <c r="E548" i="205"/>
  <c r="N548" i="205" s="1"/>
  <c r="O548" i="205" s="1"/>
  <c r="P548" i="205" s="1"/>
  <c r="Q548" i="205" s="1"/>
  <c r="R548" i="205" s="1"/>
  <c r="F549" i="205"/>
  <c r="E549" i="205"/>
  <c r="N549" i="205" s="1"/>
  <c r="O549" i="205" s="1"/>
  <c r="P549" i="205" s="1"/>
  <c r="Q549" i="205" s="1"/>
  <c r="R549" i="205" s="1"/>
  <c r="D241" i="205"/>
  <c r="F554" i="205"/>
  <c r="G554" i="205" s="1"/>
  <c r="H554" i="205" s="1"/>
  <c r="I554" i="205" s="1"/>
  <c r="J554" i="205" s="1"/>
  <c r="AM554" i="205" s="1"/>
  <c r="E554" i="205"/>
  <c r="N554" i="205" s="1"/>
  <c r="O554" i="205" s="1"/>
  <c r="P554" i="205" s="1"/>
  <c r="Q554" i="205" s="1"/>
  <c r="R554" i="205" s="1"/>
  <c r="F555" i="205"/>
  <c r="E555" i="205"/>
  <c r="N555" i="205" s="1"/>
  <c r="O555" i="205" s="1"/>
  <c r="P555" i="205" s="1"/>
  <c r="Q555" i="205" s="1"/>
  <c r="R555" i="205" s="1"/>
  <c r="D243" i="205"/>
  <c r="F563" i="205"/>
  <c r="G563" i="205" s="1"/>
  <c r="H563" i="205" s="1"/>
  <c r="I563" i="205" s="1"/>
  <c r="J563" i="205" s="1"/>
  <c r="AM563" i="205" s="1"/>
  <c r="E563" i="205"/>
  <c r="N563" i="205" s="1"/>
  <c r="O563" i="205" s="1"/>
  <c r="P563" i="205" s="1"/>
  <c r="Q563" i="205" s="1"/>
  <c r="R563" i="205" s="1"/>
  <c r="F564" i="205"/>
  <c r="E564" i="205"/>
  <c r="N564" i="205" s="1"/>
  <c r="O564" i="205" s="1"/>
  <c r="P564" i="205" s="1"/>
  <c r="Q564" i="205" s="1"/>
  <c r="R564" i="205" s="1"/>
  <c r="D248" i="205"/>
  <c r="F569" i="205"/>
  <c r="G569" i="205" s="1"/>
  <c r="H569" i="205" s="1"/>
  <c r="I569" i="205" s="1"/>
  <c r="J569" i="205" s="1"/>
  <c r="AM569" i="205" s="1"/>
  <c r="E569" i="205"/>
  <c r="N569" i="205" s="1"/>
  <c r="O569" i="205" s="1"/>
  <c r="P569" i="205" s="1"/>
  <c r="Q569" i="205" s="1"/>
  <c r="R569" i="205" s="1"/>
  <c r="F570" i="205"/>
  <c r="E570" i="205"/>
  <c r="N570" i="205" s="1"/>
  <c r="O570" i="205" s="1"/>
  <c r="P570" i="205" s="1"/>
  <c r="Q570" i="205" s="1"/>
  <c r="R570" i="205" s="1"/>
  <c r="D250" i="205"/>
  <c r="F575" i="205"/>
  <c r="G575" i="205" s="1"/>
  <c r="H575" i="205" s="1"/>
  <c r="I575" i="205" s="1"/>
  <c r="J575" i="205" s="1"/>
  <c r="AM575" i="205" s="1"/>
  <c r="E575" i="205"/>
  <c r="N575" i="205" s="1"/>
  <c r="O575" i="205" s="1"/>
  <c r="P575" i="205" s="1"/>
  <c r="Q575" i="205" s="1"/>
  <c r="R575" i="205" s="1"/>
  <c r="F576" i="205"/>
  <c r="E576" i="205"/>
  <c r="N576" i="205" s="1"/>
  <c r="O576" i="205" s="1"/>
  <c r="P576" i="205" s="1"/>
  <c r="Q576" i="205" s="1"/>
  <c r="R576" i="205" s="1"/>
  <c r="D252" i="205"/>
  <c r="F581" i="205"/>
  <c r="G581" i="205" s="1"/>
  <c r="H581" i="205" s="1"/>
  <c r="I581" i="205" s="1"/>
  <c r="J581" i="205" s="1"/>
  <c r="AM581" i="205" s="1"/>
  <c r="E581" i="205"/>
  <c r="N581" i="205" s="1"/>
  <c r="O581" i="205" s="1"/>
  <c r="P581" i="205" s="1"/>
  <c r="Q581" i="205" s="1"/>
  <c r="R581" i="205" s="1"/>
  <c r="F582" i="205"/>
  <c r="E582" i="205"/>
  <c r="N582" i="205" s="1"/>
  <c r="O582" i="205" s="1"/>
  <c r="P582" i="205" s="1"/>
  <c r="Q582" i="205" s="1"/>
  <c r="R582" i="205" s="1"/>
  <c r="D254" i="205"/>
  <c r="F590" i="205"/>
  <c r="G590" i="205" s="1"/>
  <c r="H590" i="205" s="1"/>
  <c r="I590" i="205" s="1"/>
  <c r="J590" i="205" s="1"/>
  <c r="AM590" i="205" s="1"/>
  <c r="E590" i="205"/>
  <c r="N590" i="205" s="1"/>
  <c r="O590" i="205" s="1"/>
  <c r="P590" i="205" s="1"/>
  <c r="Q590" i="205" s="1"/>
  <c r="R590" i="205" s="1"/>
  <c r="F591" i="205"/>
  <c r="E591" i="205"/>
  <c r="N591" i="205" s="1"/>
  <c r="O591" i="205" s="1"/>
  <c r="P591" i="205" s="1"/>
  <c r="Q591" i="205" s="1"/>
  <c r="R591" i="205" s="1"/>
  <c r="D259" i="205"/>
  <c r="F596" i="205"/>
  <c r="G596" i="205" s="1"/>
  <c r="H596" i="205" s="1"/>
  <c r="I596" i="205" s="1"/>
  <c r="J596" i="205" s="1"/>
  <c r="AM596" i="205" s="1"/>
  <c r="E596" i="205"/>
  <c r="N596" i="205" s="1"/>
  <c r="O596" i="205" s="1"/>
  <c r="P596" i="205" s="1"/>
  <c r="Q596" i="205" s="1"/>
  <c r="R596" i="205" s="1"/>
  <c r="F597" i="205"/>
  <c r="E597" i="205"/>
  <c r="N597" i="205" s="1"/>
  <c r="O597" i="205" s="1"/>
  <c r="P597" i="205" s="1"/>
  <c r="Q597" i="205" s="1"/>
  <c r="R597" i="205" s="1"/>
  <c r="D261" i="205"/>
  <c r="F602" i="205"/>
  <c r="G602" i="205" s="1"/>
  <c r="H602" i="205" s="1"/>
  <c r="I602" i="205" s="1"/>
  <c r="J602" i="205" s="1"/>
  <c r="AM602" i="205" s="1"/>
  <c r="E602" i="205"/>
  <c r="N602" i="205" s="1"/>
  <c r="O602" i="205" s="1"/>
  <c r="P602" i="205" s="1"/>
  <c r="Q602" i="205" s="1"/>
  <c r="R602" i="205" s="1"/>
  <c r="F603" i="205"/>
  <c r="E603" i="205"/>
  <c r="N603" i="205" s="1"/>
  <c r="O603" i="205" s="1"/>
  <c r="P603" i="205" s="1"/>
  <c r="Q603" i="205" s="1"/>
  <c r="R603" i="205" s="1"/>
  <c r="D263" i="205"/>
  <c r="C232" i="205"/>
  <c r="C226" i="205"/>
  <c r="F519" i="205"/>
  <c r="E519" i="205"/>
  <c r="N519" i="205" s="1"/>
  <c r="O519" i="205" s="1"/>
  <c r="P519" i="205" s="1"/>
  <c r="Q519" i="205" s="1"/>
  <c r="R519" i="205" s="1"/>
  <c r="D231" i="205"/>
  <c r="C233" i="205"/>
  <c r="F526" i="205"/>
  <c r="G526" i="205" s="1"/>
  <c r="H526" i="205" s="1"/>
  <c r="I526" i="205" s="1"/>
  <c r="J526" i="205" s="1"/>
  <c r="AM526" i="205" s="1"/>
  <c r="E526" i="205"/>
  <c r="N526" i="205" s="1"/>
  <c r="O526" i="205" s="1"/>
  <c r="P526" i="205" s="1"/>
  <c r="Q526" i="205" s="1"/>
  <c r="R526" i="205" s="1"/>
  <c r="C235" i="205"/>
  <c r="F532" i="205"/>
  <c r="G532" i="205" s="1"/>
  <c r="H532" i="205" s="1"/>
  <c r="I532" i="205" s="1"/>
  <c r="J532" i="205" s="1"/>
  <c r="AM532" i="205" s="1"/>
  <c r="E532" i="205"/>
  <c r="N532" i="205" s="1"/>
  <c r="O532" i="205" s="1"/>
  <c r="P532" i="205" s="1"/>
  <c r="Q532" i="205" s="1"/>
  <c r="R532" i="205" s="1"/>
  <c r="C237" i="205"/>
  <c r="F538" i="205"/>
  <c r="G538" i="205" s="1"/>
  <c r="H538" i="205" s="1"/>
  <c r="I538" i="205" s="1"/>
  <c r="J538" i="205" s="1"/>
  <c r="AM538" i="205" s="1"/>
  <c r="E538" i="205"/>
  <c r="N538" i="205" s="1"/>
  <c r="O538" i="205" s="1"/>
  <c r="P538" i="205" s="1"/>
  <c r="Q538" i="205" s="1"/>
  <c r="R538" i="205" s="1"/>
  <c r="C239" i="205"/>
  <c r="F544" i="205"/>
  <c r="G544" i="205" s="1"/>
  <c r="H544" i="205" s="1"/>
  <c r="I544" i="205" s="1"/>
  <c r="J544" i="205" s="1"/>
  <c r="AM544" i="205" s="1"/>
  <c r="E544" i="205"/>
  <c r="N544" i="205" s="1"/>
  <c r="O544" i="205" s="1"/>
  <c r="P544" i="205" s="1"/>
  <c r="Q544" i="205" s="1"/>
  <c r="R544" i="205" s="1"/>
  <c r="C241" i="205"/>
  <c r="F550" i="205"/>
  <c r="G550" i="205" s="1"/>
  <c r="H550" i="205" s="1"/>
  <c r="I550" i="205" s="1"/>
  <c r="J550" i="205" s="1"/>
  <c r="AM550" i="205" s="1"/>
  <c r="E550" i="205"/>
  <c r="N550" i="205" s="1"/>
  <c r="O550" i="205" s="1"/>
  <c r="P550" i="205" s="1"/>
  <c r="Q550" i="205" s="1"/>
  <c r="R550" i="205" s="1"/>
  <c r="C243" i="205"/>
  <c r="F556" i="205"/>
  <c r="G556" i="205" s="1"/>
  <c r="H556" i="205" s="1"/>
  <c r="I556" i="205" s="1"/>
  <c r="J556" i="205" s="1"/>
  <c r="AM556" i="205" s="1"/>
  <c r="E556" i="205"/>
  <c r="N556" i="205" s="1"/>
  <c r="O556" i="205" s="1"/>
  <c r="P556" i="205" s="1"/>
  <c r="Q556" i="205" s="1"/>
  <c r="R556" i="205" s="1"/>
  <c r="C248" i="205"/>
  <c r="F565" i="205"/>
  <c r="G565" i="205" s="1"/>
  <c r="H565" i="205" s="1"/>
  <c r="I565" i="205" s="1"/>
  <c r="J565" i="205" s="1"/>
  <c r="AM565" i="205" s="1"/>
  <c r="E565" i="205"/>
  <c r="N565" i="205" s="1"/>
  <c r="O565" i="205" s="1"/>
  <c r="P565" i="205" s="1"/>
  <c r="Q565" i="205" s="1"/>
  <c r="R565" i="205" s="1"/>
  <c r="C250" i="205"/>
  <c r="F571" i="205"/>
  <c r="G571" i="205" s="1"/>
  <c r="H571" i="205" s="1"/>
  <c r="I571" i="205" s="1"/>
  <c r="J571" i="205" s="1"/>
  <c r="AM571" i="205" s="1"/>
  <c r="E571" i="205"/>
  <c r="N571" i="205" s="1"/>
  <c r="O571" i="205" s="1"/>
  <c r="P571" i="205" s="1"/>
  <c r="Q571" i="205" s="1"/>
  <c r="R571" i="205" s="1"/>
  <c r="C252" i="205"/>
  <c r="F577" i="205"/>
  <c r="G577" i="205" s="1"/>
  <c r="H577" i="205" s="1"/>
  <c r="I577" i="205" s="1"/>
  <c r="J577" i="205" s="1"/>
  <c r="AM577" i="205" s="1"/>
  <c r="E577" i="205"/>
  <c r="N577" i="205" s="1"/>
  <c r="O577" i="205" s="1"/>
  <c r="P577" i="205" s="1"/>
  <c r="Q577" i="205" s="1"/>
  <c r="R577" i="205" s="1"/>
  <c r="C254" i="205"/>
  <c r="F583" i="205"/>
  <c r="G583" i="205" s="1"/>
  <c r="H583" i="205" s="1"/>
  <c r="I583" i="205" s="1"/>
  <c r="J583" i="205" s="1"/>
  <c r="AM583" i="205" s="1"/>
  <c r="E583" i="205"/>
  <c r="N583" i="205" s="1"/>
  <c r="O583" i="205" s="1"/>
  <c r="P583" i="205" s="1"/>
  <c r="Q583" i="205" s="1"/>
  <c r="R583" i="205" s="1"/>
  <c r="C259" i="205"/>
  <c r="F572" i="205"/>
  <c r="G572" i="205" s="1"/>
  <c r="H572" i="205" s="1"/>
  <c r="I572" i="205" s="1"/>
  <c r="J572" i="205" s="1"/>
  <c r="AM572" i="205" s="1"/>
  <c r="E572" i="205"/>
  <c r="N572" i="205" s="1"/>
  <c r="O572" i="205" s="1"/>
  <c r="P572" i="205" s="1"/>
  <c r="Q572" i="205" s="1"/>
  <c r="R572" i="205" s="1"/>
  <c r="F573" i="205"/>
  <c r="E573" i="205"/>
  <c r="N573" i="205" s="1"/>
  <c r="O573" i="205" s="1"/>
  <c r="P573" i="205" s="1"/>
  <c r="Q573" i="205" s="1"/>
  <c r="R573" i="205" s="1"/>
  <c r="D251" i="205"/>
  <c r="F578" i="205"/>
  <c r="G578" i="205" s="1"/>
  <c r="H578" i="205" s="1"/>
  <c r="I578" i="205" s="1"/>
  <c r="J578" i="205" s="1"/>
  <c r="AM578" i="205" s="1"/>
  <c r="E578" i="205"/>
  <c r="N578" i="205" s="1"/>
  <c r="O578" i="205" s="1"/>
  <c r="P578" i="205" s="1"/>
  <c r="Q578" i="205" s="1"/>
  <c r="R578" i="205" s="1"/>
  <c r="F579" i="205"/>
  <c r="E579" i="205"/>
  <c r="N579" i="205" s="1"/>
  <c r="O579" i="205" s="1"/>
  <c r="P579" i="205" s="1"/>
  <c r="Q579" i="205" s="1"/>
  <c r="R579" i="205" s="1"/>
  <c r="D253" i="205"/>
  <c r="F584" i="205"/>
  <c r="G584" i="205" s="1"/>
  <c r="H584" i="205" s="1"/>
  <c r="I584" i="205" s="1"/>
  <c r="J584" i="205" s="1"/>
  <c r="AM584" i="205" s="1"/>
  <c r="E584" i="205"/>
  <c r="N584" i="205" s="1"/>
  <c r="O584" i="205" s="1"/>
  <c r="P584" i="205" s="1"/>
  <c r="Q584" i="205" s="1"/>
  <c r="R584" i="205" s="1"/>
  <c r="F588" i="205"/>
  <c r="D633" i="205"/>
  <c r="E588" i="205"/>
  <c r="N588" i="205" s="1"/>
  <c r="O588" i="205" s="1"/>
  <c r="P588" i="205" s="1"/>
  <c r="Q588" i="205" s="1"/>
  <c r="R588" i="205" s="1"/>
  <c r="D258" i="205"/>
  <c r="F593" i="205"/>
  <c r="G593" i="205" s="1"/>
  <c r="H593" i="205" s="1"/>
  <c r="I593" i="205" s="1"/>
  <c r="J593" i="205" s="1"/>
  <c r="AM593" i="205" s="1"/>
  <c r="E593" i="205"/>
  <c r="N593" i="205" s="1"/>
  <c r="O593" i="205" s="1"/>
  <c r="P593" i="205" s="1"/>
  <c r="Q593" i="205" s="1"/>
  <c r="R593" i="205" s="1"/>
  <c r="F594" i="205"/>
  <c r="E594" i="205"/>
  <c r="N594" i="205" s="1"/>
  <c r="O594" i="205" s="1"/>
  <c r="P594" i="205" s="1"/>
  <c r="Q594" i="205" s="1"/>
  <c r="R594" i="205" s="1"/>
  <c r="D260" i="205"/>
  <c r="F599" i="205"/>
  <c r="G599" i="205" s="1"/>
  <c r="H599" i="205" s="1"/>
  <c r="I599" i="205" s="1"/>
  <c r="J599" i="205" s="1"/>
  <c r="AM599" i="205" s="1"/>
  <c r="E599" i="205"/>
  <c r="N599" i="205" s="1"/>
  <c r="O599" i="205" s="1"/>
  <c r="P599" i="205" s="1"/>
  <c r="Q599" i="205" s="1"/>
  <c r="R599" i="205" s="1"/>
  <c r="F600" i="205"/>
  <c r="E600" i="205"/>
  <c r="N600" i="205" s="1"/>
  <c r="O600" i="205" s="1"/>
  <c r="P600" i="205" s="1"/>
  <c r="Q600" i="205" s="1"/>
  <c r="R600" i="205" s="1"/>
  <c r="D262" i="205"/>
  <c r="F605" i="205"/>
  <c r="G605" i="205" s="1"/>
  <c r="H605" i="205" s="1"/>
  <c r="I605" i="205" s="1"/>
  <c r="J605" i="205" s="1"/>
  <c r="AM605" i="205" s="1"/>
  <c r="E605" i="205"/>
  <c r="N605" i="205" s="1"/>
  <c r="O605" i="205" s="1"/>
  <c r="P605" i="205" s="1"/>
  <c r="Q605" i="205" s="1"/>
  <c r="R605" i="205" s="1"/>
  <c r="F606" i="205"/>
  <c r="E606" i="205"/>
  <c r="N606" i="205" s="1"/>
  <c r="O606" i="205" s="1"/>
  <c r="P606" i="205" s="1"/>
  <c r="Q606" i="205" s="1"/>
  <c r="R606" i="205" s="1"/>
  <c r="D264" i="205"/>
  <c r="F611" i="205"/>
  <c r="G611" i="205" s="1"/>
  <c r="H611" i="205" s="1"/>
  <c r="I611" i="205" s="1"/>
  <c r="J611" i="205" s="1"/>
  <c r="AM611" i="205" s="1"/>
  <c r="E611" i="205"/>
  <c r="N611" i="205" s="1"/>
  <c r="O611" i="205" s="1"/>
  <c r="P611" i="205" s="1"/>
  <c r="Q611" i="205" s="1"/>
  <c r="R611" i="205" s="1"/>
  <c r="F612" i="205"/>
  <c r="E612" i="205"/>
  <c r="N612" i="205" s="1"/>
  <c r="O612" i="205" s="1"/>
  <c r="P612" i="205" s="1"/>
  <c r="Q612" i="205" s="1"/>
  <c r="R612" i="205" s="1"/>
  <c r="D266" i="205"/>
  <c r="F617" i="205"/>
  <c r="G617" i="205" s="1"/>
  <c r="H617" i="205" s="1"/>
  <c r="I617" i="205" s="1"/>
  <c r="J617" i="205" s="1"/>
  <c r="AM617" i="205" s="1"/>
  <c r="E617" i="205"/>
  <c r="N617" i="205" s="1"/>
  <c r="O617" i="205" s="1"/>
  <c r="P617" i="205" s="1"/>
  <c r="Q617" i="205" s="1"/>
  <c r="R617" i="205" s="1"/>
  <c r="F618" i="205"/>
  <c r="E618" i="205"/>
  <c r="N618" i="205" s="1"/>
  <c r="O618" i="205" s="1"/>
  <c r="P618" i="205" s="1"/>
  <c r="Q618" i="205" s="1"/>
  <c r="R618" i="205" s="1"/>
  <c r="D268" i="205"/>
  <c r="F623" i="205"/>
  <c r="G623" i="205" s="1"/>
  <c r="H623" i="205" s="1"/>
  <c r="I623" i="205" s="1"/>
  <c r="J623" i="205" s="1"/>
  <c r="AM623" i="205" s="1"/>
  <c r="E623" i="205"/>
  <c r="N623" i="205" s="1"/>
  <c r="O623" i="205" s="1"/>
  <c r="P623" i="205" s="1"/>
  <c r="Q623" i="205" s="1"/>
  <c r="R623" i="205" s="1"/>
  <c r="F624" i="205"/>
  <c r="E624" i="205"/>
  <c r="N624" i="205" s="1"/>
  <c r="O624" i="205" s="1"/>
  <c r="P624" i="205" s="1"/>
  <c r="Q624" i="205" s="1"/>
  <c r="R624" i="205" s="1"/>
  <c r="D270" i="205"/>
  <c r="F629" i="205"/>
  <c r="G629" i="205" s="1"/>
  <c r="H629" i="205" s="1"/>
  <c r="I629" i="205" s="1"/>
  <c r="J629" i="205" s="1"/>
  <c r="AM629" i="205" s="1"/>
  <c r="E629" i="205"/>
  <c r="N629" i="205" s="1"/>
  <c r="O629" i="205" s="1"/>
  <c r="P629" i="205" s="1"/>
  <c r="Q629" i="205" s="1"/>
  <c r="R629" i="205" s="1"/>
  <c r="F630" i="205"/>
  <c r="E630" i="205"/>
  <c r="N630" i="205" s="1"/>
  <c r="O630" i="205" s="1"/>
  <c r="P630" i="205" s="1"/>
  <c r="Q630" i="205" s="1"/>
  <c r="R630" i="205" s="1"/>
  <c r="D272" i="205"/>
  <c r="C66" i="205"/>
  <c r="F638" i="205"/>
  <c r="G638" i="205" s="1"/>
  <c r="H638" i="205" s="1"/>
  <c r="I638" i="205" s="1"/>
  <c r="J638" i="205" s="1"/>
  <c r="AM638" i="205" s="1"/>
  <c r="E638" i="205"/>
  <c r="N638" i="205" s="1"/>
  <c r="O638" i="205" s="1"/>
  <c r="P638" i="205" s="1"/>
  <c r="Q638" i="205" s="1"/>
  <c r="R638" i="205" s="1"/>
  <c r="F639" i="205"/>
  <c r="E639" i="205"/>
  <c r="N639" i="205" s="1"/>
  <c r="O639" i="205" s="1"/>
  <c r="P639" i="205" s="1"/>
  <c r="Q639" i="205" s="1"/>
  <c r="R639" i="205" s="1"/>
  <c r="D277" i="205"/>
  <c r="F644" i="205"/>
  <c r="G644" i="205" s="1"/>
  <c r="H644" i="205" s="1"/>
  <c r="I644" i="205" s="1"/>
  <c r="J644" i="205" s="1"/>
  <c r="AM644" i="205" s="1"/>
  <c r="E644" i="205"/>
  <c r="N644" i="205" s="1"/>
  <c r="O644" i="205" s="1"/>
  <c r="P644" i="205" s="1"/>
  <c r="Q644" i="205" s="1"/>
  <c r="R644" i="205" s="1"/>
  <c r="E645" i="205"/>
  <c r="N645" i="205" s="1"/>
  <c r="O645" i="205" s="1"/>
  <c r="P645" i="205" s="1"/>
  <c r="Q645" i="205" s="1"/>
  <c r="R645" i="205" s="1"/>
  <c r="F645" i="205"/>
  <c r="D279" i="205"/>
  <c r="F650" i="205"/>
  <c r="G650" i="205" s="1"/>
  <c r="H650" i="205" s="1"/>
  <c r="I650" i="205" s="1"/>
  <c r="J650" i="205" s="1"/>
  <c r="AM650" i="205" s="1"/>
  <c r="E650" i="205"/>
  <c r="N650" i="205" s="1"/>
  <c r="O650" i="205" s="1"/>
  <c r="P650" i="205" s="1"/>
  <c r="Q650" i="205" s="1"/>
  <c r="R650" i="205" s="1"/>
  <c r="E651" i="205"/>
  <c r="N651" i="205" s="1"/>
  <c r="O651" i="205" s="1"/>
  <c r="P651" i="205" s="1"/>
  <c r="Q651" i="205" s="1"/>
  <c r="R651" i="205" s="1"/>
  <c r="F651" i="205"/>
  <c r="D281" i="205"/>
  <c r="F656" i="205"/>
  <c r="G656" i="205" s="1"/>
  <c r="H656" i="205" s="1"/>
  <c r="I656" i="205" s="1"/>
  <c r="J656" i="205" s="1"/>
  <c r="AM656" i="205" s="1"/>
  <c r="E656" i="205"/>
  <c r="N656" i="205" s="1"/>
  <c r="O656" i="205" s="1"/>
  <c r="P656" i="205" s="1"/>
  <c r="Q656" i="205" s="1"/>
  <c r="R656" i="205" s="1"/>
  <c r="F660" i="205"/>
  <c r="E660" i="205"/>
  <c r="N660" i="205" s="1"/>
  <c r="O660" i="205" s="1"/>
  <c r="P660" i="205" s="1"/>
  <c r="Q660" i="205" s="1"/>
  <c r="R660" i="205" s="1"/>
  <c r="D711" i="205"/>
  <c r="D286" i="205"/>
  <c r="F665" i="205"/>
  <c r="G665" i="205" s="1"/>
  <c r="H665" i="205" s="1"/>
  <c r="I665" i="205" s="1"/>
  <c r="J665" i="205" s="1"/>
  <c r="AM665" i="205" s="1"/>
  <c r="E665" i="205"/>
  <c r="N665" i="205" s="1"/>
  <c r="O665" i="205" s="1"/>
  <c r="P665" i="205" s="1"/>
  <c r="Q665" i="205" s="1"/>
  <c r="R665" i="205" s="1"/>
  <c r="F666" i="205"/>
  <c r="E666" i="205"/>
  <c r="N666" i="205" s="1"/>
  <c r="O666" i="205" s="1"/>
  <c r="P666" i="205" s="1"/>
  <c r="Q666" i="205" s="1"/>
  <c r="R666" i="205" s="1"/>
  <c r="D288" i="205"/>
  <c r="F671" i="205"/>
  <c r="G671" i="205" s="1"/>
  <c r="H671" i="205" s="1"/>
  <c r="I671" i="205" s="1"/>
  <c r="J671" i="205" s="1"/>
  <c r="AM671" i="205" s="1"/>
  <c r="E671" i="205"/>
  <c r="N671" i="205" s="1"/>
  <c r="O671" i="205" s="1"/>
  <c r="P671" i="205" s="1"/>
  <c r="Q671" i="205" s="1"/>
  <c r="R671" i="205" s="1"/>
  <c r="F672" i="205"/>
  <c r="E672" i="205"/>
  <c r="N672" i="205" s="1"/>
  <c r="O672" i="205" s="1"/>
  <c r="P672" i="205" s="1"/>
  <c r="Q672" i="205" s="1"/>
  <c r="R672" i="205" s="1"/>
  <c r="D290" i="205"/>
  <c r="F677" i="205"/>
  <c r="G677" i="205" s="1"/>
  <c r="H677" i="205" s="1"/>
  <c r="I677" i="205" s="1"/>
  <c r="J677" i="205" s="1"/>
  <c r="AM677" i="205" s="1"/>
  <c r="E677" i="205"/>
  <c r="N677" i="205" s="1"/>
  <c r="O677" i="205" s="1"/>
  <c r="P677" i="205" s="1"/>
  <c r="Q677" i="205" s="1"/>
  <c r="R677" i="205" s="1"/>
  <c r="F678" i="205"/>
  <c r="E678" i="205"/>
  <c r="N678" i="205" s="1"/>
  <c r="O678" i="205" s="1"/>
  <c r="P678" i="205" s="1"/>
  <c r="Q678" i="205" s="1"/>
  <c r="R678" i="205" s="1"/>
  <c r="D292" i="205"/>
  <c r="F683" i="205"/>
  <c r="G683" i="205" s="1"/>
  <c r="H683" i="205" s="1"/>
  <c r="I683" i="205" s="1"/>
  <c r="J683" i="205" s="1"/>
  <c r="AM683" i="205" s="1"/>
  <c r="E683" i="205"/>
  <c r="N683" i="205" s="1"/>
  <c r="O683" i="205" s="1"/>
  <c r="P683" i="205" s="1"/>
  <c r="Q683" i="205" s="1"/>
  <c r="R683" i="205" s="1"/>
  <c r="F684" i="205"/>
  <c r="E684" i="205"/>
  <c r="N684" i="205" s="1"/>
  <c r="O684" i="205" s="1"/>
  <c r="P684" i="205" s="1"/>
  <c r="Q684" i="205" s="1"/>
  <c r="R684" i="205" s="1"/>
  <c r="F689" i="205"/>
  <c r="G689" i="205" s="1"/>
  <c r="H689" i="205" s="1"/>
  <c r="I689" i="205" s="1"/>
  <c r="J689" i="205" s="1"/>
  <c r="AM689" i="205" s="1"/>
  <c r="E689" i="205"/>
  <c r="N689" i="205" s="1"/>
  <c r="O689" i="205" s="1"/>
  <c r="P689" i="205" s="1"/>
  <c r="Q689" i="205" s="1"/>
  <c r="R689" i="205" s="1"/>
  <c r="F690" i="205"/>
  <c r="E690" i="205"/>
  <c r="N690" i="205" s="1"/>
  <c r="O690" i="205" s="1"/>
  <c r="P690" i="205" s="1"/>
  <c r="Q690" i="205" s="1"/>
  <c r="R690" i="205" s="1"/>
  <c r="D296" i="205"/>
  <c r="F695" i="205"/>
  <c r="G695" i="205" s="1"/>
  <c r="H695" i="205" s="1"/>
  <c r="I695" i="205" s="1"/>
  <c r="J695" i="205" s="1"/>
  <c r="AM695" i="205" s="1"/>
  <c r="E695" i="205"/>
  <c r="N695" i="205" s="1"/>
  <c r="O695" i="205" s="1"/>
  <c r="P695" i="205" s="1"/>
  <c r="Q695" i="205" s="1"/>
  <c r="R695" i="205" s="1"/>
  <c r="F696" i="205"/>
  <c r="E696" i="205"/>
  <c r="N696" i="205" s="1"/>
  <c r="O696" i="205" s="1"/>
  <c r="P696" i="205" s="1"/>
  <c r="Q696" i="205" s="1"/>
  <c r="R696" i="205" s="1"/>
  <c r="D298" i="205"/>
  <c r="F701" i="205"/>
  <c r="G701" i="205" s="1"/>
  <c r="H701" i="205" s="1"/>
  <c r="I701" i="205" s="1"/>
  <c r="J701" i="205" s="1"/>
  <c r="AM701" i="205" s="1"/>
  <c r="E701" i="205"/>
  <c r="N701" i="205" s="1"/>
  <c r="O701" i="205" s="1"/>
  <c r="P701" i="205" s="1"/>
  <c r="Q701" i="205" s="1"/>
  <c r="R701" i="205" s="1"/>
  <c r="F702" i="205"/>
  <c r="E702" i="205"/>
  <c r="N702" i="205" s="1"/>
  <c r="O702" i="205" s="1"/>
  <c r="P702" i="205" s="1"/>
  <c r="Q702" i="205" s="1"/>
  <c r="R702" i="205" s="1"/>
  <c r="D300" i="205"/>
  <c r="F707" i="205"/>
  <c r="G707" i="205" s="1"/>
  <c r="H707" i="205" s="1"/>
  <c r="I707" i="205" s="1"/>
  <c r="J707" i="205" s="1"/>
  <c r="AM707" i="205" s="1"/>
  <c r="E707" i="205"/>
  <c r="N707" i="205" s="1"/>
  <c r="O707" i="205" s="1"/>
  <c r="P707" i="205" s="1"/>
  <c r="Q707" i="205" s="1"/>
  <c r="R707" i="205" s="1"/>
  <c r="F708" i="205"/>
  <c r="E708" i="205"/>
  <c r="N708" i="205" s="1"/>
  <c r="O708" i="205" s="1"/>
  <c r="P708" i="205" s="1"/>
  <c r="Q708" i="205" s="1"/>
  <c r="R708" i="205" s="1"/>
  <c r="D302" i="205"/>
  <c r="F716" i="205"/>
  <c r="G716" i="205" s="1"/>
  <c r="H716" i="205" s="1"/>
  <c r="I716" i="205" s="1"/>
  <c r="J716" i="205" s="1"/>
  <c r="AM716" i="205" s="1"/>
  <c r="E716" i="205"/>
  <c r="N716" i="205" s="1"/>
  <c r="O716" i="205" s="1"/>
  <c r="P716" i="205" s="1"/>
  <c r="Q716" i="205" s="1"/>
  <c r="R716" i="205" s="1"/>
  <c r="F717" i="205"/>
  <c r="E717" i="205"/>
  <c r="N717" i="205" s="1"/>
  <c r="O717" i="205" s="1"/>
  <c r="P717" i="205" s="1"/>
  <c r="Q717" i="205" s="1"/>
  <c r="R717" i="205" s="1"/>
  <c r="D307" i="205"/>
  <c r="F722" i="205"/>
  <c r="G722" i="205" s="1"/>
  <c r="H722" i="205" s="1"/>
  <c r="I722" i="205" s="1"/>
  <c r="J722" i="205" s="1"/>
  <c r="AM722" i="205" s="1"/>
  <c r="E722" i="205"/>
  <c r="N722" i="205" s="1"/>
  <c r="O722" i="205" s="1"/>
  <c r="P722" i="205" s="1"/>
  <c r="Q722" i="205" s="1"/>
  <c r="R722" i="205" s="1"/>
  <c r="F723" i="205"/>
  <c r="E723" i="205"/>
  <c r="N723" i="205" s="1"/>
  <c r="O723" i="205" s="1"/>
  <c r="P723" i="205" s="1"/>
  <c r="Q723" i="205" s="1"/>
  <c r="R723" i="205" s="1"/>
  <c r="D309" i="205"/>
  <c r="F728" i="205"/>
  <c r="G728" i="205" s="1"/>
  <c r="H728" i="205" s="1"/>
  <c r="I728" i="205" s="1"/>
  <c r="J728" i="205" s="1"/>
  <c r="AM728" i="205" s="1"/>
  <c r="E728" i="205"/>
  <c r="N728" i="205" s="1"/>
  <c r="O728" i="205" s="1"/>
  <c r="P728" i="205" s="1"/>
  <c r="Q728" i="205" s="1"/>
  <c r="R728" i="205" s="1"/>
  <c r="F729" i="205"/>
  <c r="E729" i="205"/>
  <c r="N729" i="205" s="1"/>
  <c r="O729" i="205" s="1"/>
  <c r="P729" i="205" s="1"/>
  <c r="Q729" i="205" s="1"/>
  <c r="R729" i="205" s="1"/>
  <c r="D311" i="205"/>
  <c r="F734" i="205"/>
  <c r="G734" i="205" s="1"/>
  <c r="H734" i="205" s="1"/>
  <c r="I734" i="205" s="1"/>
  <c r="J734" i="205" s="1"/>
  <c r="AM734" i="205" s="1"/>
  <c r="E734" i="205"/>
  <c r="N734" i="205" s="1"/>
  <c r="O734" i="205" s="1"/>
  <c r="P734" i="205" s="1"/>
  <c r="Q734" i="205" s="1"/>
  <c r="R734" i="205" s="1"/>
  <c r="F735" i="205"/>
  <c r="E735" i="205"/>
  <c r="N735" i="205" s="1"/>
  <c r="O735" i="205" s="1"/>
  <c r="P735" i="205" s="1"/>
  <c r="Q735" i="205" s="1"/>
  <c r="R735" i="205" s="1"/>
  <c r="D313" i="205"/>
  <c r="F740" i="205"/>
  <c r="G740" i="205" s="1"/>
  <c r="H740" i="205" s="1"/>
  <c r="I740" i="205" s="1"/>
  <c r="J740" i="205" s="1"/>
  <c r="AM740" i="205" s="1"/>
  <c r="E740" i="205"/>
  <c r="N740" i="205" s="1"/>
  <c r="O740" i="205" s="1"/>
  <c r="P740" i="205" s="1"/>
  <c r="Q740" i="205" s="1"/>
  <c r="R740" i="205" s="1"/>
  <c r="F741" i="205"/>
  <c r="E741" i="205"/>
  <c r="N741" i="205" s="1"/>
  <c r="O741" i="205" s="1"/>
  <c r="P741" i="205" s="1"/>
  <c r="Q741" i="205" s="1"/>
  <c r="R741" i="205" s="1"/>
  <c r="D315" i="205"/>
  <c r="F746" i="205"/>
  <c r="G746" i="205" s="1"/>
  <c r="H746" i="205" s="1"/>
  <c r="I746" i="205" s="1"/>
  <c r="J746" i="205" s="1"/>
  <c r="AM746" i="205" s="1"/>
  <c r="E746" i="205"/>
  <c r="N746" i="205" s="1"/>
  <c r="O746" i="205" s="1"/>
  <c r="P746" i="205" s="1"/>
  <c r="Q746" i="205" s="1"/>
  <c r="R746" i="205" s="1"/>
  <c r="E747" i="205"/>
  <c r="N747" i="205" s="1"/>
  <c r="O747" i="205" s="1"/>
  <c r="P747" i="205" s="1"/>
  <c r="Q747" i="205" s="1"/>
  <c r="R747" i="205" s="1"/>
  <c r="F747" i="205"/>
  <c r="D317" i="205"/>
  <c r="F752" i="205"/>
  <c r="G752" i="205" s="1"/>
  <c r="H752" i="205" s="1"/>
  <c r="I752" i="205" s="1"/>
  <c r="J752" i="205" s="1"/>
  <c r="AM752" i="205" s="1"/>
  <c r="E752" i="205"/>
  <c r="N752" i="205" s="1"/>
  <c r="O752" i="205" s="1"/>
  <c r="P752" i="205" s="1"/>
  <c r="Q752" i="205" s="1"/>
  <c r="R752" i="205" s="1"/>
  <c r="F753" i="205"/>
  <c r="E753" i="205"/>
  <c r="N753" i="205" s="1"/>
  <c r="O753" i="205" s="1"/>
  <c r="P753" i="205" s="1"/>
  <c r="Q753" i="205" s="1"/>
  <c r="R753" i="205" s="1"/>
  <c r="D319" i="205"/>
  <c r="F761" i="205"/>
  <c r="G761" i="205" s="1"/>
  <c r="H761" i="205" s="1"/>
  <c r="I761" i="205" s="1"/>
  <c r="J761" i="205" s="1"/>
  <c r="AM761" i="205" s="1"/>
  <c r="E761" i="205"/>
  <c r="N761" i="205" s="1"/>
  <c r="O761" i="205" s="1"/>
  <c r="P761" i="205" s="1"/>
  <c r="Q761" i="205" s="1"/>
  <c r="R761" i="205" s="1"/>
  <c r="F762" i="205"/>
  <c r="E762" i="205"/>
  <c r="N762" i="205" s="1"/>
  <c r="O762" i="205" s="1"/>
  <c r="P762" i="205" s="1"/>
  <c r="Q762" i="205" s="1"/>
  <c r="R762" i="205" s="1"/>
  <c r="D324" i="205"/>
  <c r="F767" i="205"/>
  <c r="G767" i="205" s="1"/>
  <c r="H767" i="205" s="1"/>
  <c r="I767" i="205" s="1"/>
  <c r="J767" i="205" s="1"/>
  <c r="AM767" i="205" s="1"/>
  <c r="E767" i="205"/>
  <c r="N767" i="205" s="1"/>
  <c r="O767" i="205" s="1"/>
  <c r="P767" i="205" s="1"/>
  <c r="Q767" i="205" s="1"/>
  <c r="R767" i="205" s="1"/>
  <c r="F768" i="205"/>
  <c r="E768" i="205"/>
  <c r="N768" i="205" s="1"/>
  <c r="O768" i="205" s="1"/>
  <c r="P768" i="205" s="1"/>
  <c r="Q768" i="205" s="1"/>
  <c r="R768" i="205" s="1"/>
  <c r="D326" i="205"/>
  <c r="F773" i="205"/>
  <c r="G773" i="205" s="1"/>
  <c r="H773" i="205" s="1"/>
  <c r="I773" i="205" s="1"/>
  <c r="J773" i="205" s="1"/>
  <c r="AM773" i="205" s="1"/>
  <c r="E773" i="205"/>
  <c r="N773" i="205" s="1"/>
  <c r="O773" i="205" s="1"/>
  <c r="P773" i="205" s="1"/>
  <c r="Q773" i="205" s="1"/>
  <c r="R773" i="205" s="1"/>
  <c r="F774" i="205"/>
  <c r="E774" i="205"/>
  <c r="N774" i="205" s="1"/>
  <c r="O774" i="205" s="1"/>
  <c r="P774" i="205" s="1"/>
  <c r="Q774" i="205" s="1"/>
  <c r="R774" i="205" s="1"/>
  <c r="D328" i="205"/>
  <c r="F779" i="205"/>
  <c r="G779" i="205" s="1"/>
  <c r="H779" i="205" s="1"/>
  <c r="I779" i="205" s="1"/>
  <c r="J779" i="205" s="1"/>
  <c r="AM779" i="205" s="1"/>
  <c r="E779" i="205"/>
  <c r="N779" i="205" s="1"/>
  <c r="O779" i="205" s="1"/>
  <c r="P779" i="205" s="1"/>
  <c r="Q779" i="205" s="1"/>
  <c r="R779" i="205" s="1"/>
  <c r="F780" i="205"/>
  <c r="E780" i="205"/>
  <c r="N780" i="205" s="1"/>
  <c r="O780" i="205" s="1"/>
  <c r="P780" i="205" s="1"/>
  <c r="Q780" i="205" s="1"/>
  <c r="R780" i="205" s="1"/>
  <c r="D330" i="205"/>
  <c r="F785" i="205"/>
  <c r="G785" i="205" s="1"/>
  <c r="H785" i="205" s="1"/>
  <c r="I785" i="205" s="1"/>
  <c r="J785" i="205" s="1"/>
  <c r="AM785" i="205" s="1"/>
  <c r="E785" i="205"/>
  <c r="N785" i="205" s="1"/>
  <c r="O785" i="205" s="1"/>
  <c r="P785" i="205" s="1"/>
  <c r="Q785" i="205" s="1"/>
  <c r="R785" i="205" s="1"/>
  <c r="F786" i="205"/>
  <c r="E786" i="205"/>
  <c r="N786" i="205" s="1"/>
  <c r="O786" i="205" s="1"/>
  <c r="P786" i="205" s="1"/>
  <c r="Q786" i="205" s="1"/>
  <c r="R786" i="205" s="1"/>
  <c r="D332" i="205"/>
  <c r="F791" i="205"/>
  <c r="G791" i="205" s="1"/>
  <c r="H791" i="205" s="1"/>
  <c r="I791" i="205" s="1"/>
  <c r="J791" i="205" s="1"/>
  <c r="AM791" i="205" s="1"/>
  <c r="E791" i="205"/>
  <c r="N791" i="205" s="1"/>
  <c r="O791" i="205" s="1"/>
  <c r="P791" i="205" s="1"/>
  <c r="Q791" i="205" s="1"/>
  <c r="R791" i="205" s="1"/>
  <c r="F795" i="205"/>
  <c r="E795" i="205"/>
  <c r="N795" i="205" s="1"/>
  <c r="O795" i="205" s="1"/>
  <c r="P795" i="205" s="1"/>
  <c r="Q795" i="205" s="1"/>
  <c r="R795" i="205" s="1"/>
  <c r="D816" i="205"/>
  <c r="D337" i="205"/>
  <c r="F800" i="205"/>
  <c r="G800" i="205" s="1"/>
  <c r="H800" i="205" s="1"/>
  <c r="I800" i="205" s="1"/>
  <c r="J800" i="205" s="1"/>
  <c r="AM800" i="205" s="1"/>
  <c r="E800" i="205"/>
  <c r="N800" i="205" s="1"/>
  <c r="O800" i="205" s="1"/>
  <c r="P800" i="205" s="1"/>
  <c r="Q800" i="205" s="1"/>
  <c r="R800" i="205" s="1"/>
  <c r="F801" i="205"/>
  <c r="E801" i="205"/>
  <c r="N801" i="205" s="1"/>
  <c r="O801" i="205" s="1"/>
  <c r="P801" i="205" s="1"/>
  <c r="Q801" i="205" s="1"/>
  <c r="R801" i="205" s="1"/>
  <c r="D339" i="205"/>
  <c r="F806" i="205"/>
  <c r="G806" i="205" s="1"/>
  <c r="H806" i="205" s="1"/>
  <c r="I806" i="205" s="1"/>
  <c r="J806" i="205" s="1"/>
  <c r="AM806" i="205" s="1"/>
  <c r="E806" i="205"/>
  <c r="N806" i="205" s="1"/>
  <c r="O806" i="205" s="1"/>
  <c r="P806" i="205" s="1"/>
  <c r="Q806" i="205" s="1"/>
  <c r="R806" i="205" s="1"/>
  <c r="F807" i="205"/>
  <c r="E807" i="205"/>
  <c r="N807" i="205" s="1"/>
  <c r="O807" i="205" s="1"/>
  <c r="P807" i="205" s="1"/>
  <c r="Q807" i="205" s="1"/>
  <c r="R807" i="205" s="1"/>
  <c r="D341" i="205"/>
  <c r="F812" i="205"/>
  <c r="G812" i="205" s="1"/>
  <c r="H812" i="205" s="1"/>
  <c r="I812" i="205" s="1"/>
  <c r="J812" i="205" s="1"/>
  <c r="AM812" i="205" s="1"/>
  <c r="E812" i="205"/>
  <c r="N812" i="205" s="1"/>
  <c r="O812" i="205" s="1"/>
  <c r="P812" i="205" s="1"/>
  <c r="Q812" i="205" s="1"/>
  <c r="R812" i="205" s="1"/>
  <c r="F813" i="205"/>
  <c r="E813" i="205"/>
  <c r="N813" i="205" s="1"/>
  <c r="O813" i="205" s="1"/>
  <c r="P813" i="205" s="1"/>
  <c r="Q813" i="205" s="1"/>
  <c r="R813" i="205" s="1"/>
  <c r="D343" i="205"/>
  <c r="F821" i="205"/>
  <c r="G821" i="205" s="1"/>
  <c r="H821" i="205" s="1"/>
  <c r="I821" i="205" s="1"/>
  <c r="J821" i="205" s="1"/>
  <c r="AM821" i="205" s="1"/>
  <c r="E821" i="205"/>
  <c r="N821" i="205" s="1"/>
  <c r="O821" i="205" s="1"/>
  <c r="P821" i="205" s="1"/>
  <c r="Q821" i="205" s="1"/>
  <c r="R821" i="205" s="1"/>
  <c r="F822" i="205"/>
  <c r="E822" i="205"/>
  <c r="N822" i="205" s="1"/>
  <c r="O822" i="205" s="1"/>
  <c r="P822" i="205" s="1"/>
  <c r="Q822" i="205" s="1"/>
  <c r="R822" i="205" s="1"/>
  <c r="D348" i="205"/>
  <c r="F827" i="205"/>
  <c r="G827" i="205" s="1"/>
  <c r="H827" i="205" s="1"/>
  <c r="I827" i="205" s="1"/>
  <c r="J827" i="205" s="1"/>
  <c r="AM827" i="205" s="1"/>
  <c r="E827" i="205"/>
  <c r="N827" i="205" s="1"/>
  <c r="O827" i="205" s="1"/>
  <c r="P827" i="205" s="1"/>
  <c r="Q827" i="205" s="1"/>
  <c r="R827" i="205" s="1"/>
  <c r="F828" i="205"/>
  <c r="E828" i="205"/>
  <c r="N828" i="205" s="1"/>
  <c r="O828" i="205" s="1"/>
  <c r="P828" i="205" s="1"/>
  <c r="Q828" i="205" s="1"/>
  <c r="R828" i="205" s="1"/>
  <c r="D350" i="205"/>
  <c r="F833" i="205"/>
  <c r="G833" i="205" s="1"/>
  <c r="H833" i="205" s="1"/>
  <c r="I833" i="205" s="1"/>
  <c r="J833" i="205" s="1"/>
  <c r="AM833" i="205" s="1"/>
  <c r="E833" i="205"/>
  <c r="N833" i="205" s="1"/>
  <c r="O833" i="205" s="1"/>
  <c r="P833" i="205" s="1"/>
  <c r="Q833" i="205" s="1"/>
  <c r="R833" i="205" s="1"/>
  <c r="F834" i="205"/>
  <c r="E834" i="205"/>
  <c r="N834" i="205" s="1"/>
  <c r="O834" i="205" s="1"/>
  <c r="P834" i="205" s="1"/>
  <c r="Q834" i="205" s="1"/>
  <c r="R834" i="205" s="1"/>
  <c r="D352" i="205"/>
  <c r="F839" i="205"/>
  <c r="G839" i="205" s="1"/>
  <c r="H839" i="205" s="1"/>
  <c r="I839" i="205" s="1"/>
  <c r="J839" i="205" s="1"/>
  <c r="AM839" i="205" s="1"/>
  <c r="E839" i="205"/>
  <c r="N839" i="205" s="1"/>
  <c r="O839" i="205" s="1"/>
  <c r="P839" i="205" s="1"/>
  <c r="Q839" i="205" s="1"/>
  <c r="R839" i="205" s="1"/>
  <c r="F840" i="205"/>
  <c r="E840" i="205"/>
  <c r="N840" i="205" s="1"/>
  <c r="O840" i="205" s="1"/>
  <c r="P840" i="205" s="1"/>
  <c r="Q840" i="205" s="1"/>
  <c r="R840" i="205" s="1"/>
  <c r="D354" i="205"/>
  <c r="F845" i="205"/>
  <c r="G845" i="205" s="1"/>
  <c r="H845" i="205" s="1"/>
  <c r="I845" i="205" s="1"/>
  <c r="J845" i="205" s="1"/>
  <c r="AM845" i="205" s="1"/>
  <c r="E845" i="205"/>
  <c r="N845" i="205" s="1"/>
  <c r="O845" i="205" s="1"/>
  <c r="P845" i="205" s="1"/>
  <c r="Q845" i="205" s="1"/>
  <c r="R845" i="205" s="1"/>
  <c r="F849" i="205"/>
  <c r="E849" i="205"/>
  <c r="N849" i="205" s="1"/>
  <c r="O849" i="205" s="1"/>
  <c r="P849" i="205" s="1"/>
  <c r="Q849" i="205" s="1"/>
  <c r="R849" i="205" s="1"/>
  <c r="D359" i="205"/>
  <c r="C361" i="205"/>
  <c r="F856" i="205"/>
  <c r="G856" i="205" s="1"/>
  <c r="H856" i="205" s="1"/>
  <c r="I856" i="205" s="1"/>
  <c r="J856" i="205" s="1"/>
  <c r="AM856" i="205" s="1"/>
  <c r="E856" i="205"/>
  <c r="N856" i="205" s="1"/>
  <c r="O856" i="205" s="1"/>
  <c r="P856" i="205" s="1"/>
  <c r="Q856" i="205" s="1"/>
  <c r="R856" i="205" s="1"/>
  <c r="C363" i="205"/>
  <c r="F862" i="205"/>
  <c r="G862" i="205" s="1"/>
  <c r="H862" i="205" s="1"/>
  <c r="I862" i="205" s="1"/>
  <c r="J862" i="205" s="1"/>
  <c r="AM862" i="205" s="1"/>
  <c r="E862" i="205"/>
  <c r="N862" i="205" s="1"/>
  <c r="O862" i="205" s="1"/>
  <c r="P862" i="205" s="1"/>
  <c r="Q862" i="205" s="1"/>
  <c r="R862" i="205" s="1"/>
  <c r="C436" i="205"/>
  <c r="F1033" i="205"/>
  <c r="G1033" i="205" s="1"/>
  <c r="H1033" i="205" s="1"/>
  <c r="I1033" i="205" s="1"/>
  <c r="J1033" i="205" s="1"/>
  <c r="AM1033" i="205" s="1"/>
  <c r="E1033" i="205"/>
  <c r="N1033" i="205" s="1"/>
  <c r="O1033" i="205" s="1"/>
  <c r="P1033" i="205" s="1"/>
  <c r="Q1033" i="205" s="1"/>
  <c r="R1033" i="205" s="1"/>
  <c r="C438" i="205"/>
  <c r="F1039" i="205"/>
  <c r="G1039" i="205" s="1"/>
  <c r="H1039" i="205" s="1"/>
  <c r="I1039" i="205" s="1"/>
  <c r="J1039" i="205" s="1"/>
  <c r="AM1039" i="205" s="1"/>
  <c r="E1039" i="205"/>
  <c r="N1039" i="205" s="1"/>
  <c r="O1039" i="205" s="1"/>
  <c r="P1039" i="205" s="1"/>
  <c r="Q1039" i="205" s="1"/>
  <c r="R1039" i="205" s="1"/>
  <c r="C440" i="205"/>
  <c r="F1045" i="205"/>
  <c r="G1045" i="205" s="1"/>
  <c r="H1045" i="205" s="1"/>
  <c r="I1045" i="205" s="1"/>
  <c r="J1045" i="205" s="1"/>
  <c r="AM1045" i="205" s="1"/>
  <c r="E1045" i="205"/>
  <c r="N1045" i="205" s="1"/>
  <c r="O1045" i="205" s="1"/>
  <c r="P1045" i="205" s="1"/>
  <c r="Q1045" i="205" s="1"/>
  <c r="R1045" i="205" s="1"/>
  <c r="C455" i="205"/>
  <c r="F1078" i="205"/>
  <c r="G1078" i="205" s="1"/>
  <c r="H1078" i="205" s="1"/>
  <c r="I1078" i="205" s="1"/>
  <c r="J1078" i="205" s="1"/>
  <c r="AM1078" i="205" s="1"/>
  <c r="E1078" i="205"/>
  <c r="C466" i="205"/>
  <c r="F1105" i="205"/>
  <c r="G1105" i="205" s="1"/>
  <c r="H1105" i="205" s="1"/>
  <c r="I1105" i="205" s="1"/>
  <c r="J1105" i="205" s="1"/>
  <c r="AM1105" i="205" s="1"/>
  <c r="E1105" i="205"/>
  <c r="C270" i="205"/>
  <c r="F625" i="205"/>
  <c r="G625" i="205" s="1"/>
  <c r="H625" i="205" s="1"/>
  <c r="I625" i="205" s="1"/>
  <c r="J625" i="205" s="1"/>
  <c r="AM625" i="205" s="1"/>
  <c r="E625" i="205"/>
  <c r="N625" i="205" s="1"/>
  <c r="O625" i="205" s="1"/>
  <c r="P625" i="205" s="1"/>
  <c r="Q625" i="205" s="1"/>
  <c r="R625" i="205" s="1"/>
  <c r="C272" i="205"/>
  <c r="F631" i="205"/>
  <c r="G631" i="205" s="1"/>
  <c r="H631" i="205" s="1"/>
  <c r="I631" i="205" s="1"/>
  <c r="J631" i="205" s="1"/>
  <c r="AM631" i="205" s="1"/>
  <c r="E631" i="205"/>
  <c r="N631" i="205" s="1"/>
  <c r="O631" i="205" s="1"/>
  <c r="P631" i="205" s="1"/>
  <c r="Q631" i="205" s="1"/>
  <c r="R631" i="205" s="1"/>
  <c r="C277" i="205"/>
  <c r="F640" i="205"/>
  <c r="E640" i="205"/>
  <c r="N640" i="205" s="1"/>
  <c r="O640" i="205" s="1"/>
  <c r="P640" i="205" s="1"/>
  <c r="Q640" i="205" s="1"/>
  <c r="R640" i="205" s="1"/>
  <c r="D63" i="205"/>
  <c r="C279" i="205"/>
  <c r="F646" i="205"/>
  <c r="G646" i="205" s="1"/>
  <c r="H646" i="205" s="1"/>
  <c r="I646" i="205" s="1"/>
  <c r="J646" i="205" s="1"/>
  <c r="AM646" i="205" s="1"/>
  <c r="E646" i="205"/>
  <c r="N646" i="205" s="1"/>
  <c r="O646" i="205" s="1"/>
  <c r="P646" i="205" s="1"/>
  <c r="Q646" i="205" s="1"/>
  <c r="R646" i="205" s="1"/>
  <c r="C281" i="205"/>
  <c r="F652" i="205"/>
  <c r="G652" i="205" s="1"/>
  <c r="H652" i="205" s="1"/>
  <c r="I652" i="205" s="1"/>
  <c r="J652" i="205" s="1"/>
  <c r="AM652" i="205" s="1"/>
  <c r="E652" i="205"/>
  <c r="N652" i="205" s="1"/>
  <c r="O652" i="205" s="1"/>
  <c r="P652" i="205" s="1"/>
  <c r="Q652" i="205" s="1"/>
  <c r="R652" i="205" s="1"/>
  <c r="C711" i="205"/>
  <c r="C34" i="205" s="1"/>
  <c r="C286" i="205"/>
  <c r="F661" i="205"/>
  <c r="G661" i="205" s="1"/>
  <c r="H661" i="205" s="1"/>
  <c r="I661" i="205" s="1"/>
  <c r="J661" i="205" s="1"/>
  <c r="AM661" i="205" s="1"/>
  <c r="E661" i="205"/>
  <c r="N661" i="205" s="1"/>
  <c r="O661" i="205" s="1"/>
  <c r="P661" i="205" s="1"/>
  <c r="Q661" i="205" s="1"/>
  <c r="R661" i="205" s="1"/>
  <c r="C288" i="205"/>
  <c r="F667" i="205"/>
  <c r="G667" i="205" s="1"/>
  <c r="H667" i="205" s="1"/>
  <c r="I667" i="205" s="1"/>
  <c r="J667" i="205" s="1"/>
  <c r="AM667" i="205" s="1"/>
  <c r="E667" i="205"/>
  <c r="N667" i="205" s="1"/>
  <c r="O667" i="205" s="1"/>
  <c r="P667" i="205" s="1"/>
  <c r="Q667" i="205" s="1"/>
  <c r="R667" i="205" s="1"/>
  <c r="C290" i="205"/>
  <c r="F673" i="205"/>
  <c r="G673" i="205" s="1"/>
  <c r="H673" i="205" s="1"/>
  <c r="I673" i="205" s="1"/>
  <c r="J673" i="205" s="1"/>
  <c r="AM673" i="205" s="1"/>
  <c r="E673" i="205"/>
  <c r="N673" i="205" s="1"/>
  <c r="O673" i="205" s="1"/>
  <c r="P673" i="205" s="1"/>
  <c r="Q673" i="205" s="1"/>
  <c r="R673" i="205" s="1"/>
  <c r="C292" i="205"/>
  <c r="F679" i="205"/>
  <c r="G679" i="205" s="1"/>
  <c r="H679" i="205" s="1"/>
  <c r="I679" i="205" s="1"/>
  <c r="J679" i="205" s="1"/>
  <c r="AM679" i="205" s="1"/>
  <c r="E679" i="205"/>
  <c r="N679" i="205" s="1"/>
  <c r="O679" i="205" s="1"/>
  <c r="P679" i="205" s="1"/>
  <c r="Q679" i="205" s="1"/>
  <c r="R679" i="205" s="1"/>
  <c r="C294" i="205"/>
  <c r="F685" i="205"/>
  <c r="G685" i="205" s="1"/>
  <c r="H685" i="205" s="1"/>
  <c r="I685" i="205" s="1"/>
  <c r="J685" i="205" s="1"/>
  <c r="AM685" i="205" s="1"/>
  <c r="E685" i="205"/>
  <c r="N685" i="205" s="1"/>
  <c r="O685" i="205" s="1"/>
  <c r="P685" i="205" s="1"/>
  <c r="Q685" i="205" s="1"/>
  <c r="R685" i="205" s="1"/>
  <c r="C296" i="205"/>
  <c r="F691" i="205"/>
  <c r="G691" i="205" s="1"/>
  <c r="H691" i="205" s="1"/>
  <c r="I691" i="205" s="1"/>
  <c r="J691" i="205" s="1"/>
  <c r="AM691" i="205" s="1"/>
  <c r="E691" i="205"/>
  <c r="N691" i="205" s="1"/>
  <c r="O691" i="205" s="1"/>
  <c r="P691" i="205" s="1"/>
  <c r="Q691" i="205" s="1"/>
  <c r="R691" i="205" s="1"/>
  <c r="C298" i="205"/>
  <c r="F697" i="205"/>
  <c r="G697" i="205" s="1"/>
  <c r="H697" i="205" s="1"/>
  <c r="I697" i="205" s="1"/>
  <c r="J697" i="205" s="1"/>
  <c r="AM697" i="205" s="1"/>
  <c r="E697" i="205"/>
  <c r="N697" i="205" s="1"/>
  <c r="O697" i="205" s="1"/>
  <c r="P697" i="205" s="1"/>
  <c r="Q697" i="205" s="1"/>
  <c r="R697" i="205" s="1"/>
  <c r="C300" i="205"/>
  <c r="F703" i="205"/>
  <c r="G703" i="205" s="1"/>
  <c r="H703" i="205" s="1"/>
  <c r="I703" i="205" s="1"/>
  <c r="J703" i="205" s="1"/>
  <c r="AM703" i="205" s="1"/>
  <c r="E703" i="205"/>
  <c r="N703" i="205" s="1"/>
  <c r="O703" i="205" s="1"/>
  <c r="P703" i="205" s="1"/>
  <c r="Q703" i="205" s="1"/>
  <c r="R703" i="205" s="1"/>
  <c r="C302" i="205"/>
  <c r="F709" i="205"/>
  <c r="G709" i="205" s="1"/>
  <c r="H709" i="205" s="1"/>
  <c r="I709" i="205" s="1"/>
  <c r="J709" i="205" s="1"/>
  <c r="AM709" i="205" s="1"/>
  <c r="E709" i="205"/>
  <c r="N709" i="205" s="1"/>
  <c r="O709" i="205" s="1"/>
  <c r="P709" i="205" s="1"/>
  <c r="Q709" i="205" s="1"/>
  <c r="R709" i="205" s="1"/>
  <c r="C307" i="205"/>
  <c r="F718" i="205"/>
  <c r="G718" i="205" s="1"/>
  <c r="H718" i="205" s="1"/>
  <c r="I718" i="205" s="1"/>
  <c r="J718" i="205" s="1"/>
  <c r="AM718" i="205" s="1"/>
  <c r="E718" i="205"/>
  <c r="N718" i="205" s="1"/>
  <c r="O718" i="205" s="1"/>
  <c r="P718" i="205" s="1"/>
  <c r="Q718" i="205" s="1"/>
  <c r="R718" i="205" s="1"/>
  <c r="C309" i="205"/>
  <c r="F724" i="205"/>
  <c r="G724" i="205" s="1"/>
  <c r="H724" i="205" s="1"/>
  <c r="I724" i="205" s="1"/>
  <c r="J724" i="205" s="1"/>
  <c r="AM724" i="205" s="1"/>
  <c r="E724" i="205"/>
  <c r="N724" i="205" s="1"/>
  <c r="O724" i="205" s="1"/>
  <c r="P724" i="205" s="1"/>
  <c r="Q724" i="205" s="1"/>
  <c r="R724" i="205" s="1"/>
  <c r="C311" i="205"/>
  <c r="F730" i="205"/>
  <c r="G730" i="205" s="1"/>
  <c r="H730" i="205" s="1"/>
  <c r="I730" i="205" s="1"/>
  <c r="J730" i="205" s="1"/>
  <c r="AM730" i="205" s="1"/>
  <c r="E730" i="205"/>
  <c r="N730" i="205" s="1"/>
  <c r="O730" i="205" s="1"/>
  <c r="P730" i="205" s="1"/>
  <c r="Q730" i="205" s="1"/>
  <c r="R730" i="205" s="1"/>
  <c r="C313" i="205"/>
  <c r="F736" i="205"/>
  <c r="G736" i="205" s="1"/>
  <c r="H736" i="205" s="1"/>
  <c r="I736" i="205" s="1"/>
  <c r="J736" i="205" s="1"/>
  <c r="AM736" i="205" s="1"/>
  <c r="E736" i="205"/>
  <c r="N736" i="205" s="1"/>
  <c r="O736" i="205" s="1"/>
  <c r="P736" i="205" s="1"/>
  <c r="Q736" i="205" s="1"/>
  <c r="R736" i="205" s="1"/>
  <c r="C315" i="205"/>
  <c r="F742" i="205"/>
  <c r="G742" i="205" s="1"/>
  <c r="H742" i="205" s="1"/>
  <c r="I742" i="205" s="1"/>
  <c r="J742" i="205" s="1"/>
  <c r="AM742" i="205" s="1"/>
  <c r="E742" i="205"/>
  <c r="N742" i="205" s="1"/>
  <c r="O742" i="205" s="1"/>
  <c r="P742" i="205" s="1"/>
  <c r="Q742" i="205" s="1"/>
  <c r="R742" i="205" s="1"/>
  <c r="C317" i="205"/>
  <c r="F748" i="205"/>
  <c r="G748" i="205" s="1"/>
  <c r="H748" i="205" s="1"/>
  <c r="I748" i="205" s="1"/>
  <c r="J748" i="205" s="1"/>
  <c r="AM748" i="205" s="1"/>
  <c r="E748" i="205"/>
  <c r="N748" i="205" s="1"/>
  <c r="O748" i="205" s="1"/>
  <c r="P748" i="205" s="1"/>
  <c r="Q748" i="205" s="1"/>
  <c r="R748" i="205" s="1"/>
  <c r="C319" i="205"/>
  <c r="F754" i="205"/>
  <c r="G754" i="205" s="1"/>
  <c r="H754" i="205" s="1"/>
  <c r="I754" i="205" s="1"/>
  <c r="J754" i="205" s="1"/>
  <c r="AM754" i="205" s="1"/>
  <c r="E754" i="205"/>
  <c r="N754" i="205" s="1"/>
  <c r="O754" i="205" s="1"/>
  <c r="P754" i="205" s="1"/>
  <c r="Q754" i="205" s="1"/>
  <c r="R754" i="205" s="1"/>
  <c r="C324" i="205"/>
  <c r="F763" i="205"/>
  <c r="G763" i="205" s="1"/>
  <c r="H763" i="205" s="1"/>
  <c r="I763" i="205" s="1"/>
  <c r="J763" i="205" s="1"/>
  <c r="AM763" i="205" s="1"/>
  <c r="E763" i="205"/>
  <c r="N763" i="205" s="1"/>
  <c r="O763" i="205" s="1"/>
  <c r="P763" i="205" s="1"/>
  <c r="Q763" i="205" s="1"/>
  <c r="R763" i="205" s="1"/>
  <c r="C326" i="205"/>
  <c r="F769" i="205"/>
  <c r="G769" i="205" s="1"/>
  <c r="H769" i="205" s="1"/>
  <c r="I769" i="205" s="1"/>
  <c r="J769" i="205" s="1"/>
  <c r="AM769" i="205" s="1"/>
  <c r="E769" i="205"/>
  <c r="N769" i="205" s="1"/>
  <c r="O769" i="205" s="1"/>
  <c r="P769" i="205" s="1"/>
  <c r="Q769" i="205" s="1"/>
  <c r="R769" i="205" s="1"/>
  <c r="C328" i="205"/>
  <c r="F775" i="205"/>
  <c r="G775" i="205" s="1"/>
  <c r="H775" i="205" s="1"/>
  <c r="I775" i="205" s="1"/>
  <c r="J775" i="205" s="1"/>
  <c r="AM775" i="205" s="1"/>
  <c r="E775" i="205"/>
  <c r="N775" i="205" s="1"/>
  <c r="O775" i="205" s="1"/>
  <c r="P775" i="205" s="1"/>
  <c r="Q775" i="205" s="1"/>
  <c r="R775" i="205" s="1"/>
  <c r="C330" i="205"/>
  <c r="F781" i="205"/>
  <c r="G781" i="205" s="1"/>
  <c r="H781" i="205" s="1"/>
  <c r="I781" i="205" s="1"/>
  <c r="J781" i="205" s="1"/>
  <c r="AM781" i="205" s="1"/>
  <c r="E781" i="205"/>
  <c r="N781" i="205" s="1"/>
  <c r="O781" i="205" s="1"/>
  <c r="P781" i="205" s="1"/>
  <c r="Q781" i="205" s="1"/>
  <c r="R781" i="205" s="1"/>
  <c r="C332" i="205"/>
  <c r="F787" i="205"/>
  <c r="G787" i="205" s="1"/>
  <c r="H787" i="205" s="1"/>
  <c r="I787" i="205" s="1"/>
  <c r="J787" i="205" s="1"/>
  <c r="AM787" i="205" s="1"/>
  <c r="E787" i="205"/>
  <c r="N787" i="205" s="1"/>
  <c r="O787" i="205" s="1"/>
  <c r="P787" i="205" s="1"/>
  <c r="Q787" i="205" s="1"/>
  <c r="R787" i="205" s="1"/>
  <c r="C816" i="205"/>
  <c r="C37" i="205" s="1"/>
  <c r="C337" i="205"/>
  <c r="F796" i="205"/>
  <c r="G796" i="205" s="1"/>
  <c r="H796" i="205" s="1"/>
  <c r="I796" i="205" s="1"/>
  <c r="J796" i="205" s="1"/>
  <c r="AM796" i="205" s="1"/>
  <c r="E796" i="205"/>
  <c r="N796" i="205" s="1"/>
  <c r="O796" i="205" s="1"/>
  <c r="P796" i="205" s="1"/>
  <c r="Q796" i="205" s="1"/>
  <c r="R796" i="205" s="1"/>
  <c r="C339" i="205"/>
  <c r="F802" i="205"/>
  <c r="G802" i="205" s="1"/>
  <c r="H802" i="205" s="1"/>
  <c r="I802" i="205" s="1"/>
  <c r="J802" i="205" s="1"/>
  <c r="AM802" i="205" s="1"/>
  <c r="E802" i="205"/>
  <c r="N802" i="205" s="1"/>
  <c r="O802" i="205" s="1"/>
  <c r="P802" i="205" s="1"/>
  <c r="Q802" i="205" s="1"/>
  <c r="R802" i="205" s="1"/>
  <c r="C341" i="205"/>
  <c r="F808" i="205"/>
  <c r="G808" i="205" s="1"/>
  <c r="H808" i="205" s="1"/>
  <c r="I808" i="205" s="1"/>
  <c r="J808" i="205" s="1"/>
  <c r="AM808" i="205" s="1"/>
  <c r="E808" i="205"/>
  <c r="N808" i="205" s="1"/>
  <c r="O808" i="205" s="1"/>
  <c r="P808" i="205" s="1"/>
  <c r="Q808" i="205" s="1"/>
  <c r="R808" i="205" s="1"/>
  <c r="C343" i="205"/>
  <c r="F814" i="205"/>
  <c r="G814" i="205" s="1"/>
  <c r="H814" i="205" s="1"/>
  <c r="I814" i="205" s="1"/>
  <c r="J814" i="205" s="1"/>
  <c r="AM814" i="205" s="1"/>
  <c r="E814" i="205"/>
  <c r="N814" i="205" s="1"/>
  <c r="O814" i="205" s="1"/>
  <c r="P814" i="205" s="1"/>
  <c r="Q814" i="205" s="1"/>
  <c r="R814" i="205" s="1"/>
  <c r="C348" i="205"/>
  <c r="F823" i="205"/>
  <c r="G823" i="205" s="1"/>
  <c r="H823" i="205" s="1"/>
  <c r="I823" i="205" s="1"/>
  <c r="J823" i="205" s="1"/>
  <c r="AM823" i="205" s="1"/>
  <c r="E823" i="205"/>
  <c r="N823" i="205" s="1"/>
  <c r="O823" i="205" s="1"/>
  <c r="P823" i="205" s="1"/>
  <c r="Q823" i="205" s="1"/>
  <c r="R823" i="205" s="1"/>
  <c r="C350" i="205"/>
  <c r="F829" i="205"/>
  <c r="G829" i="205" s="1"/>
  <c r="H829" i="205" s="1"/>
  <c r="I829" i="205" s="1"/>
  <c r="J829" i="205" s="1"/>
  <c r="AM829" i="205" s="1"/>
  <c r="E829" i="205"/>
  <c r="N829" i="205" s="1"/>
  <c r="O829" i="205" s="1"/>
  <c r="P829" i="205" s="1"/>
  <c r="Q829" i="205" s="1"/>
  <c r="R829" i="205" s="1"/>
  <c r="C352" i="205"/>
  <c r="F835" i="205"/>
  <c r="G835" i="205" s="1"/>
  <c r="H835" i="205" s="1"/>
  <c r="I835" i="205" s="1"/>
  <c r="J835" i="205" s="1"/>
  <c r="AM835" i="205" s="1"/>
  <c r="E835" i="205"/>
  <c r="N835" i="205" s="1"/>
  <c r="O835" i="205" s="1"/>
  <c r="P835" i="205" s="1"/>
  <c r="Q835" i="205" s="1"/>
  <c r="R835" i="205" s="1"/>
  <c r="C354" i="205"/>
  <c r="F841" i="205"/>
  <c r="G841" i="205" s="1"/>
  <c r="H841" i="205" s="1"/>
  <c r="I841" i="205" s="1"/>
  <c r="J841" i="205" s="1"/>
  <c r="AM841" i="205" s="1"/>
  <c r="E841" i="205"/>
  <c r="N841" i="205" s="1"/>
  <c r="O841" i="205" s="1"/>
  <c r="P841" i="205" s="1"/>
  <c r="Q841" i="205" s="1"/>
  <c r="R841" i="205" s="1"/>
  <c r="C359" i="205"/>
  <c r="F851" i="205"/>
  <c r="G851" i="205" s="1"/>
  <c r="H851" i="205" s="1"/>
  <c r="I851" i="205" s="1"/>
  <c r="J851" i="205" s="1"/>
  <c r="AM851" i="205" s="1"/>
  <c r="E851" i="205"/>
  <c r="N851" i="205" s="1"/>
  <c r="O851" i="205" s="1"/>
  <c r="P851" i="205" s="1"/>
  <c r="Q851" i="205" s="1"/>
  <c r="R851" i="205" s="1"/>
  <c r="F852" i="205"/>
  <c r="E852" i="205"/>
  <c r="N852" i="205" s="1"/>
  <c r="O852" i="205" s="1"/>
  <c r="P852" i="205" s="1"/>
  <c r="Q852" i="205" s="1"/>
  <c r="R852" i="205" s="1"/>
  <c r="D360" i="205"/>
  <c r="E857" i="205"/>
  <c r="N857" i="205" s="1"/>
  <c r="O857" i="205" s="1"/>
  <c r="P857" i="205" s="1"/>
  <c r="Q857" i="205" s="1"/>
  <c r="R857" i="205" s="1"/>
  <c r="F857" i="205"/>
  <c r="G857" i="205" s="1"/>
  <c r="H857" i="205" s="1"/>
  <c r="I857" i="205" s="1"/>
  <c r="J857" i="205" s="1"/>
  <c r="AM857" i="205" s="1"/>
  <c r="F858" i="205"/>
  <c r="E858" i="205"/>
  <c r="N858" i="205" s="1"/>
  <c r="O858" i="205" s="1"/>
  <c r="P858" i="205" s="1"/>
  <c r="Q858" i="205" s="1"/>
  <c r="R858" i="205" s="1"/>
  <c r="D362" i="205"/>
  <c r="F863" i="205"/>
  <c r="G863" i="205" s="1"/>
  <c r="H863" i="205" s="1"/>
  <c r="I863" i="205" s="1"/>
  <c r="J863" i="205" s="1"/>
  <c r="AM863" i="205" s="1"/>
  <c r="E863" i="205"/>
  <c r="N863" i="205" s="1"/>
  <c r="O863" i="205" s="1"/>
  <c r="P863" i="205" s="1"/>
  <c r="Q863" i="205" s="1"/>
  <c r="R863" i="205" s="1"/>
  <c r="F1034" i="205"/>
  <c r="G1034" i="205" s="1"/>
  <c r="H1034" i="205" s="1"/>
  <c r="I1034" i="205" s="1"/>
  <c r="J1034" i="205" s="1"/>
  <c r="AM1034" i="205" s="1"/>
  <c r="E1034" i="205"/>
  <c r="N1034" i="205" s="1"/>
  <c r="O1034" i="205" s="1"/>
  <c r="P1034" i="205" s="1"/>
  <c r="Q1034" i="205" s="1"/>
  <c r="R1034" i="205" s="1"/>
  <c r="F1035" i="205"/>
  <c r="E1035" i="205"/>
  <c r="N1035" i="205" s="1"/>
  <c r="O1035" i="205" s="1"/>
  <c r="P1035" i="205" s="1"/>
  <c r="Q1035" i="205" s="1"/>
  <c r="R1035" i="205" s="1"/>
  <c r="D437" i="205"/>
  <c r="F1040" i="205"/>
  <c r="G1040" i="205" s="1"/>
  <c r="H1040" i="205" s="1"/>
  <c r="I1040" i="205" s="1"/>
  <c r="J1040" i="205" s="1"/>
  <c r="AM1040" i="205" s="1"/>
  <c r="E1040" i="205"/>
  <c r="N1040" i="205" s="1"/>
  <c r="O1040" i="205" s="1"/>
  <c r="P1040" i="205" s="1"/>
  <c r="Q1040" i="205" s="1"/>
  <c r="R1040" i="205" s="1"/>
  <c r="F1041" i="205"/>
  <c r="E1041" i="205"/>
  <c r="N1041" i="205" s="1"/>
  <c r="O1041" i="205" s="1"/>
  <c r="P1041" i="205" s="1"/>
  <c r="Q1041" i="205" s="1"/>
  <c r="R1041" i="205" s="1"/>
  <c r="D439" i="205"/>
  <c r="F1046" i="205"/>
  <c r="G1046" i="205" s="1"/>
  <c r="H1046" i="205" s="1"/>
  <c r="I1046" i="205" s="1"/>
  <c r="J1046" i="205" s="1"/>
  <c r="AM1046" i="205" s="1"/>
  <c r="E1046" i="205"/>
  <c r="N1046" i="205" s="1"/>
  <c r="O1046" i="205" s="1"/>
  <c r="P1046" i="205" s="1"/>
  <c r="Q1046" i="205" s="1"/>
  <c r="R1046" i="205" s="1"/>
  <c r="F1047" i="205"/>
  <c r="E1047" i="205"/>
  <c r="N1047" i="205" s="1"/>
  <c r="O1047" i="205" s="1"/>
  <c r="P1047" i="205" s="1"/>
  <c r="Q1047" i="205" s="1"/>
  <c r="R1047" i="205" s="1"/>
  <c r="D441" i="205"/>
  <c r="F1074" i="205"/>
  <c r="E1074" i="205"/>
  <c r="D454" i="205"/>
  <c r="F1079" i="205"/>
  <c r="G1079" i="205" s="1"/>
  <c r="H1079" i="205" s="1"/>
  <c r="I1079" i="205" s="1"/>
  <c r="J1079" i="205" s="1"/>
  <c r="AM1079" i="205" s="1"/>
  <c r="E1079" i="205"/>
  <c r="F1106" i="205"/>
  <c r="G1106" i="205" s="1"/>
  <c r="H1106" i="205" s="1"/>
  <c r="I1106" i="205" s="1"/>
  <c r="J1106" i="205" s="1"/>
  <c r="AM1106" i="205" s="1"/>
  <c r="E1106" i="205"/>
  <c r="F1107" i="205"/>
  <c r="E1107" i="205"/>
  <c r="D467" i="205"/>
  <c r="F608" i="205"/>
  <c r="G608" i="205" s="1"/>
  <c r="H608" i="205" s="1"/>
  <c r="I608" i="205" s="1"/>
  <c r="J608" i="205" s="1"/>
  <c r="AM608" i="205" s="1"/>
  <c r="E608" i="205"/>
  <c r="N608" i="205" s="1"/>
  <c r="O608" i="205" s="1"/>
  <c r="P608" i="205" s="1"/>
  <c r="Q608" i="205" s="1"/>
  <c r="R608" i="205" s="1"/>
  <c r="F609" i="205"/>
  <c r="E609" i="205"/>
  <c r="N609" i="205" s="1"/>
  <c r="O609" i="205" s="1"/>
  <c r="P609" i="205" s="1"/>
  <c r="Q609" i="205" s="1"/>
  <c r="R609" i="205" s="1"/>
  <c r="D265" i="205"/>
  <c r="F614" i="205"/>
  <c r="G614" i="205" s="1"/>
  <c r="H614" i="205" s="1"/>
  <c r="I614" i="205" s="1"/>
  <c r="J614" i="205" s="1"/>
  <c r="AM614" i="205" s="1"/>
  <c r="E614" i="205"/>
  <c r="N614" i="205" s="1"/>
  <c r="O614" i="205" s="1"/>
  <c r="P614" i="205" s="1"/>
  <c r="Q614" i="205" s="1"/>
  <c r="R614" i="205" s="1"/>
  <c r="F615" i="205"/>
  <c r="E615" i="205"/>
  <c r="N615" i="205" s="1"/>
  <c r="O615" i="205" s="1"/>
  <c r="P615" i="205" s="1"/>
  <c r="Q615" i="205" s="1"/>
  <c r="R615" i="205" s="1"/>
  <c r="D267" i="205"/>
  <c r="F620" i="205"/>
  <c r="G620" i="205" s="1"/>
  <c r="H620" i="205" s="1"/>
  <c r="I620" i="205" s="1"/>
  <c r="J620" i="205" s="1"/>
  <c r="AM620" i="205" s="1"/>
  <c r="E620" i="205"/>
  <c r="N620" i="205" s="1"/>
  <c r="O620" i="205" s="1"/>
  <c r="P620" i="205" s="1"/>
  <c r="Q620" i="205" s="1"/>
  <c r="R620" i="205" s="1"/>
  <c r="F621" i="205"/>
  <c r="E621" i="205"/>
  <c r="N621" i="205" s="1"/>
  <c r="O621" i="205" s="1"/>
  <c r="P621" i="205" s="1"/>
  <c r="Q621" i="205" s="1"/>
  <c r="R621" i="205" s="1"/>
  <c r="D269" i="205"/>
  <c r="F626" i="205"/>
  <c r="G626" i="205" s="1"/>
  <c r="H626" i="205" s="1"/>
  <c r="I626" i="205" s="1"/>
  <c r="J626" i="205" s="1"/>
  <c r="AM626" i="205" s="1"/>
  <c r="E626" i="205"/>
  <c r="N626" i="205" s="1"/>
  <c r="O626" i="205" s="1"/>
  <c r="P626" i="205" s="1"/>
  <c r="Q626" i="205" s="1"/>
  <c r="R626" i="205" s="1"/>
  <c r="F627" i="205"/>
  <c r="E627" i="205"/>
  <c r="N627" i="205" s="1"/>
  <c r="O627" i="205" s="1"/>
  <c r="P627" i="205" s="1"/>
  <c r="Q627" i="205" s="1"/>
  <c r="R627" i="205" s="1"/>
  <c r="D271" i="205"/>
  <c r="F632" i="205"/>
  <c r="G632" i="205" s="1"/>
  <c r="H632" i="205" s="1"/>
  <c r="I632" i="205" s="1"/>
  <c r="J632" i="205" s="1"/>
  <c r="AM632" i="205" s="1"/>
  <c r="E632" i="205"/>
  <c r="N632" i="205" s="1"/>
  <c r="O632" i="205" s="1"/>
  <c r="P632" i="205" s="1"/>
  <c r="Q632" i="205" s="1"/>
  <c r="R632" i="205" s="1"/>
  <c r="F636" i="205"/>
  <c r="E636" i="205"/>
  <c r="N636" i="205" s="1"/>
  <c r="O636" i="205" s="1"/>
  <c r="P636" i="205" s="1"/>
  <c r="Q636" i="205" s="1"/>
  <c r="R636" i="205" s="1"/>
  <c r="D657" i="205"/>
  <c r="D276" i="205"/>
  <c r="C63" i="205"/>
  <c r="F641" i="205"/>
  <c r="G641" i="205" s="1"/>
  <c r="H641" i="205" s="1"/>
  <c r="I641" i="205" s="1"/>
  <c r="J641" i="205" s="1"/>
  <c r="AM641" i="205" s="1"/>
  <c r="E641" i="205"/>
  <c r="N641" i="205" s="1"/>
  <c r="O641" i="205" s="1"/>
  <c r="P641" i="205" s="1"/>
  <c r="Q641" i="205" s="1"/>
  <c r="R641" i="205" s="1"/>
  <c r="F642" i="205"/>
  <c r="E642" i="205"/>
  <c r="N642" i="205" s="1"/>
  <c r="O642" i="205" s="1"/>
  <c r="P642" i="205" s="1"/>
  <c r="Q642" i="205" s="1"/>
  <c r="R642" i="205" s="1"/>
  <c r="D278" i="205"/>
  <c r="F647" i="205"/>
  <c r="G647" i="205" s="1"/>
  <c r="H647" i="205" s="1"/>
  <c r="I647" i="205" s="1"/>
  <c r="J647" i="205" s="1"/>
  <c r="AM647" i="205" s="1"/>
  <c r="E647" i="205"/>
  <c r="N647" i="205" s="1"/>
  <c r="O647" i="205" s="1"/>
  <c r="P647" i="205" s="1"/>
  <c r="Q647" i="205" s="1"/>
  <c r="R647" i="205" s="1"/>
  <c r="F648" i="205"/>
  <c r="E648" i="205"/>
  <c r="N648" i="205" s="1"/>
  <c r="O648" i="205" s="1"/>
  <c r="P648" i="205" s="1"/>
  <c r="Q648" i="205" s="1"/>
  <c r="R648" i="205" s="1"/>
  <c r="D280" i="205"/>
  <c r="F653" i="205"/>
  <c r="G653" i="205" s="1"/>
  <c r="H653" i="205" s="1"/>
  <c r="I653" i="205" s="1"/>
  <c r="J653" i="205" s="1"/>
  <c r="AM653" i="205" s="1"/>
  <c r="E653" i="205"/>
  <c r="N653" i="205" s="1"/>
  <c r="O653" i="205" s="1"/>
  <c r="P653" i="205" s="1"/>
  <c r="Q653" i="205" s="1"/>
  <c r="R653" i="205" s="1"/>
  <c r="F654" i="205"/>
  <c r="E654" i="205"/>
  <c r="N654" i="205" s="1"/>
  <c r="O654" i="205" s="1"/>
  <c r="P654" i="205" s="1"/>
  <c r="Q654" i="205" s="1"/>
  <c r="R654" i="205" s="1"/>
  <c r="D282" i="205"/>
  <c r="F662" i="205"/>
  <c r="G662" i="205" s="1"/>
  <c r="H662" i="205" s="1"/>
  <c r="I662" i="205" s="1"/>
  <c r="J662" i="205" s="1"/>
  <c r="AM662" i="205" s="1"/>
  <c r="E662" i="205"/>
  <c r="N662" i="205" s="1"/>
  <c r="O662" i="205" s="1"/>
  <c r="P662" i="205" s="1"/>
  <c r="Q662" i="205" s="1"/>
  <c r="R662" i="205" s="1"/>
  <c r="F663" i="205"/>
  <c r="E663" i="205"/>
  <c r="N663" i="205" s="1"/>
  <c r="O663" i="205" s="1"/>
  <c r="P663" i="205" s="1"/>
  <c r="Q663" i="205" s="1"/>
  <c r="R663" i="205" s="1"/>
  <c r="D287" i="205"/>
  <c r="F668" i="205"/>
  <c r="G668" i="205" s="1"/>
  <c r="H668" i="205" s="1"/>
  <c r="I668" i="205" s="1"/>
  <c r="J668" i="205" s="1"/>
  <c r="AM668" i="205" s="1"/>
  <c r="E668" i="205"/>
  <c r="N668" i="205" s="1"/>
  <c r="O668" i="205" s="1"/>
  <c r="P668" i="205" s="1"/>
  <c r="Q668" i="205" s="1"/>
  <c r="R668" i="205" s="1"/>
  <c r="F669" i="205"/>
  <c r="E669" i="205"/>
  <c r="N669" i="205" s="1"/>
  <c r="O669" i="205" s="1"/>
  <c r="P669" i="205" s="1"/>
  <c r="Q669" i="205" s="1"/>
  <c r="R669" i="205" s="1"/>
  <c r="D289" i="205"/>
  <c r="E674" i="205"/>
  <c r="N674" i="205" s="1"/>
  <c r="O674" i="205" s="1"/>
  <c r="P674" i="205" s="1"/>
  <c r="Q674" i="205" s="1"/>
  <c r="R674" i="205" s="1"/>
  <c r="F674" i="205"/>
  <c r="G674" i="205" s="1"/>
  <c r="H674" i="205" s="1"/>
  <c r="I674" i="205" s="1"/>
  <c r="J674" i="205" s="1"/>
  <c r="AM674" i="205" s="1"/>
  <c r="F675" i="205"/>
  <c r="E675" i="205"/>
  <c r="N675" i="205" s="1"/>
  <c r="O675" i="205" s="1"/>
  <c r="P675" i="205" s="1"/>
  <c r="Q675" i="205" s="1"/>
  <c r="R675" i="205" s="1"/>
  <c r="D291" i="205"/>
  <c r="F680" i="205"/>
  <c r="G680" i="205" s="1"/>
  <c r="H680" i="205" s="1"/>
  <c r="I680" i="205" s="1"/>
  <c r="J680" i="205" s="1"/>
  <c r="AM680" i="205" s="1"/>
  <c r="E680" i="205"/>
  <c r="N680" i="205" s="1"/>
  <c r="O680" i="205" s="1"/>
  <c r="P680" i="205" s="1"/>
  <c r="Q680" i="205" s="1"/>
  <c r="R680" i="205" s="1"/>
  <c r="F681" i="205"/>
  <c r="E681" i="205"/>
  <c r="N681" i="205" s="1"/>
  <c r="O681" i="205" s="1"/>
  <c r="P681" i="205" s="1"/>
  <c r="Q681" i="205" s="1"/>
  <c r="R681" i="205" s="1"/>
  <c r="D293" i="205"/>
  <c r="F686" i="205"/>
  <c r="G686" i="205" s="1"/>
  <c r="H686" i="205" s="1"/>
  <c r="I686" i="205" s="1"/>
  <c r="J686" i="205" s="1"/>
  <c r="AM686" i="205" s="1"/>
  <c r="E686" i="205"/>
  <c r="N686" i="205" s="1"/>
  <c r="O686" i="205" s="1"/>
  <c r="P686" i="205" s="1"/>
  <c r="Q686" i="205" s="1"/>
  <c r="R686" i="205" s="1"/>
  <c r="F687" i="205"/>
  <c r="E687" i="205"/>
  <c r="N687" i="205" s="1"/>
  <c r="O687" i="205" s="1"/>
  <c r="P687" i="205" s="1"/>
  <c r="Q687" i="205" s="1"/>
  <c r="R687" i="205" s="1"/>
  <c r="D295" i="205"/>
  <c r="F692" i="205"/>
  <c r="G692" i="205" s="1"/>
  <c r="H692" i="205" s="1"/>
  <c r="I692" i="205" s="1"/>
  <c r="J692" i="205" s="1"/>
  <c r="AM692" i="205" s="1"/>
  <c r="E692" i="205"/>
  <c r="N692" i="205" s="1"/>
  <c r="O692" i="205" s="1"/>
  <c r="P692" i="205" s="1"/>
  <c r="Q692" i="205" s="1"/>
  <c r="R692" i="205" s="1"/>
  <c r="F693" i="205"/>
  <c r="E693" i="205"/>
  <c r="N693" i="205" s="1"/>
  <c r="O693" i="205" s="1"/>
  <c r="P693" i="205" s="1"/>
  <c r="Q693" i="205" s="1"/>
  <c r="R693" i="205" s="1"/>
  <c r="D297" i="205"/>
  <c r="F698" i="205"/>
  <c r="G698" i="205" s="1"/>
  <c r="H698" i="205" s="1"/>
  <c r="I698" i="205" s="1"/>
  <c r="J698" i="205" s="1"/>
  <c r="AM698" i="205" s="1"/>
  <c r="E698" i="205"/>
  <c r="N698" i="205" s="1"/>
  <c r="O698" i="205" s="1"/>
  <c r="P698" i="205" s="1"/>
  <c r="Q698" i="205" s="1"/>
  <c r="R698" i="205" s="1"/>
  <c r="F699" i="205"/>
  <c r="E699" i="205"/>
  <c r="N699" i="205" s="1"/>
  <c r="O699" i="205" s="1"/>
  <c r="P699" i="205" s="1"/>
  <c r="Q699" i="205" s="1"/>
  <c r="R699" i="205" s="1"/>
  <c r="D299" i="205"/>
  <c r="F704" i="205"/>
  <c r="G704" i="205" s="1"/>
  <c r="H704" i="205" s="1"/>
  <c r="I704" i="205" s="1"/>
  <c r="J704" i="205" s="1"/>
  <c r="AM704" i="205" s="1"/>
  <c r="E704" i="205"/>
  <c r="N704" i="205" s="1"/>
  <c r="O704" i="205" s="1"/>
  <c r="P704" i="205" s="1"/>
  <c r="Q704" i="205" s="1"/>
  <c r="R704" i="205" s="1"/>
  <c r="F705" i="205"/>
  <c r="E705" i="205"/>
  <c r="N705" i="205" s="1"/>
  <c r="O705" i="205" s="1"/>
  <c r="P705" i="205" s="1"/>
  <c r="Q705" i="205" s="1"/>
  <c r="R705" i="205" s="1"/>
  <c r="D301" i="205"/>
  <c r="E710" i="205"/>
  <c r="N710" i="205" s="1"/>
  <c r="O710" i="205" s="1"/>
  <c r="P710" i="205" s="1"/>
  <c r="Q710" i="205" s="1"/>
  <c r="R710" i="205" s="1"/>
  <c r="F710" i="205"/>
  <c r="G710" i="205" s="1"/>
  <c r="H710" i="205" s="1"/>
  <c r="I710" i="205" s="1"/>
  <c r="J710" i="205" s="1"/>
  <c r="AM710" i="205" s="1"/>
  <c r="F714" i="205"/>
  <c r="E714" i="205"/>
  <c r="N714" i="205" s="1"/>
  <c r="O714" i="205" s="1"/>
  <c r="P714" i="205" s="1"/>
  <c r="Q714" i="205" s="1"/>
  <c r="R714" i="205" s="1"/>
  <c r="D756" i="205"/>
  <c r="D306" i="205"/>
  <c r="F719" i="205"/>
  <c r="G719" i="205" s="1"/>
  <c r="H719" i="205" s="1"/>
  <c r="I719" i="205" s="1"/>
  <c r="J719" i="205" s="1"/>
  <c r="AM719" i="205" s="1"/>
  <c r="E719" i="205"/>
  <c r="N719" i="205" s="1"/>
  <c r="O719" i="205" s="1"/>
  <c r="P719" i="205" s="1"/>
  <c r="Q719" i="205" s="1"/>
  <c r="R719" i="205" s="1"/>
  <c r="F720" i="205"/>
  <c r="E720" i="205"/>
  <c r="N720" i="205" s="1"/>
  <c r="O720" i="205" s="1"/>
  <c r="P720" i="205" s="1"/>
  <c r="Q720" i="205" s="1"/>
  <c r="R720" i="205" s="1"/>
  <c r="D308" i="205"/>
  <c r="F725" i="205"/>
  <c r="G725" i="205" s="1"/>
  <c r="H725" i="205" s="1"/>
  <c r="I725" i="205" s="1"/>
  <c r="J725" i="205" s="1"/>
  <c r="AM725" i="205" s="1"/>
  <c r="E725" i="205"/>
  <c r="N725" i="205" s="1"/>
  <c r="O725" i="205" s="1"/>
  <c r="P725" i="205" s="1"/>
  <c r="Q725" i="205" s="1"/>
  <c r="R725" i="205" s="1"/>
  <c r="F726" i="205"/>
  <c r="E726" i="205"/>
  <c r="N726" i="205" s="1"/>
  <c r="O726" i="205" s="1"/>
  <c r="P726" i="205" s="1"/>
  <c r="Q726" i="205" s="1"/>
  <c r="R726" i="205" s="1"/>
  <c r="D310" i="205"/>
  <c r="F731" i="205"/>
  <c r="G731" i="205" s="1"/>
  <c r="H731" i="205" s="1"/>
  <c r="I731" i="205" s="1"/>
  <c r="J731" i="205" s="1"/>
  <c r="AM731" i="205" s="1"/>
  <c r="E731" i="205"/>
  <c r="N731" i="205" s="1"/>
  <c r="O731" i="205" s="1"/>
  <c r="P731" i="205" s="1"/>
  <c r="Q731" i="205" s="1"/>
  <c r="R731" i="205" s="1"/>
  <c r="F732" i="205"/>
  <c r="E732" i="205"/>
  <c r="N732" i="205" s="1"/>
  <c r="O732" i="205" s="1"/>
  <c r="P732" i="205" s="1"/>
  <c r="Q732" i="205" s="1"/>
  <c r="R732" i="205" s="1"/>
  <c r="D312" i="205"/>
  <c r="E737" i="205"/>
  <c r="N737" i="205" s="1"/>
  <c r="O737" i="205" s="1"/>
  <c r="P737" i="205" s="1"/>
  <c r="Q737" i="205" s="1"/>
  <c r="R737" i="205" s="1"/>
  <c r="F737" i="205"/>
  <c r="G737" i="205" s="1"/>
  <c r="H737" i="205" s="1"/>
  <c r="I737" i="205" s="1"/>
  <c r="J737" i="205" s="1"/>
  <c r="AM737" i="205" s="1"/>
  <c r="F738" i="205"/>
  <c r="E738" i="205"/>
  <c r="N738" i="205" s="1"/>
  <c r="O738" i="205" s="1"/>
  <c r="P738" i="205" s="1"/>
  <c r="Q738" i="205" s="1"/>
  <c r="R738" i="205" s="1"/>
  <c r="D314" i="205"/>
  <c r="F743" i="205"/>
  <c r="G743" i="205" s="1"/>
  <c r="H743" i="205" s="1"/>
  <c r="I743" i="205" s="1"/>
  <c r="J743" i="205" s="1"/>
  <c r="AM743" i="205" s="1"/>
  <c r="E743" i="205"/>
  <c r="N743" i="205" s="1"/>
  <c r="O743" i="205" s="1"/>
  <c r="P743" i="205" s="1"/>
  <c r="Q743" i="205" s="1"/>
  <c r="R743" i="205" s="1"/>
  <c r="F744" i="205"/>
  <c r="E744" i="205"/>
  <c r="N744" i="205" s="1"/>
  <c r="O744" i="205" s="1"/>
  <c r="P744" i="205" s="1"/>
  <c r="Q744" i="205" s="1"/>
  <c r="R744" i="205" s="1"/>
  <c r="D316" i="205"/>
  <c r="F749" i="205"/>
  <c r="G749" i="205" s="1"/>
  <c r="H749" i="205" s="1"/>
  <c r="I749" i="205" s="1"/>
  <c r="J749" i="205" s="1"/>
  <c r="AM749" i="205" s="1"/>
  <c r="E749" i="205"/>
  <c r="N749" i="205" s="1"/>
  <c r="O749" i="205" s="1"/>
  <c r="P749" i="205" s="1"/>
  <c r="Q749" i="205" s="1"/>
  <c r="R749" i="205" s="1"/>
  <c r="F750" i="205"/>
  <c r="E750" i="205"/>
  <c r="N750" i="205" s="1"/>
  <c r="O750" i="205" s="1"/>
  <c r="P750" i="205" s="1"/>
  <c r="Q750" i="205" s="1"/>
  <c r="R750" i="205" s="1"/>
  <c r="D318" i="205"/>
  <c r="F755" i="205"/>
  <c r="G755" i="205" s="1"/>
  <c r="H755" i="205" s="1"/>
  <c r="I755" i="205" s="1"/>
  <c r="J755" i="205" s="1"/>
  <c r="AM755" i="205" s="1"/>
  <c r="E755" i="205"/>
  <c r="N755" i="205" s="1"/>
  <c r="O755" i="205" s="1"/>
  <c r="P755" i="205" s="1"/>
  <c r="Q755" i="205" s="1"/>
  <c r="R755" i="205" s="1"/>
  <c r="F759" i="205"/>
  <c r="E759" i="205"/>
  <c r="N759" i="205" s="1"/>
  <c r="O759" i="205" s="1"/>
  <c r="P759" i="205" s="1"/>
  <c r="Q759" i="205" s="1"/>
  <c r="R759" i="205" s="1"/>
  <c r="D323" i="205"/>
  <c r="D792" i="205"/>
  <c r="F764" i="205"/>
  <c r="G764" i="205" s="1"/>
  <c r="H764" i="205" s="1"/>
  <c r="I764" i="205" s="1"/>
  <c r="J764" i="205" s="1"/>
  <c r="AM764" i="205" s="1"/>
  <c r="E764" i="205"/>
  <c r="N764" i="205" s="1"/>
  <c r="O764" i="205" s="1"/>
  <c r="P764" i="205" s="1"/>
  <c r="Q764" i="205" s="1"/>
  <c r="R764" i="205" s="1"/>
  <c r="F765" i="205"/>
  <c r="E765" i="205"/>
  <c r="N765" i="205" s="1"/>
  <c r="O765" i="205" s="1"/>
  <c r="P765" i="205" s="1"/>
  <c r="Q765" i="205" s="1"/>
  <c r="R765" i="205" s="1"/>
  <c r="D325" i="205"/>
  <c r="F770" i="205"/>
  <c r="G770" i="205" s="1"/>
  <c r="H770" i="205" s="1"/>
  <c r="I770" i="205" s="1"/>
  <c r="J770" i="205" s="1"/>
  <c r="AM770" i="205" s="1"/>
  <c r="E770" i="205"/>
  <c r="N770" i="205" s="1"/>
  <c r="O770" i="205" s="1"/>
  <c r="P770" i="205" s="1"/>
  <c r="Q770" i="205" s="1"/>
  <c r="R770" i="205" s="1"/>
  <c r="F771" i="205"/>
  <c r="E771" i="205"/>
  <c r="N771" i="205" s="1"/>
  <c r="O771" i="205" s="1"/>
  <c r="P771" i="205" s="1"/>
  <c r="Q771" i="205" s="1"/>
  <c r="R771" i="205" s="1"/>
  <c r="D327" i="205"/>
  <c r="F776" i="205"/>
  <c r="G776" i="205" s="1"/>
  <c r="H776" i="205" s="1"/>
  <c r="I776" i="205" s="1"/>
  <c r="J776" i="205" s="1"/>
  <c r="AM776" i="205" s="1"/>
  <c r="E776" i="205"/>
  <c r="N776" i="205" s="1"/>
  <c r="O776" i="205" s="1"/>
  <c r="P776" i="205" s="1"/>
  <c r="Q776" i="205" s="1"/>
  <c r="R776" i="205" s="1"/>
  <c r="F777" i="205"/>
  <c r="E777" i="205"/>
  <c r="N777" i="205" s="1"/>
  <c r="O777" i="205" s="1"/>
  <c r="P777" i="205" s="1"/>
  <c r="Q777" i="205" s="1"/>
  <c r="R777" i="205" s="1"/>
  <c r="D329" i="205"/>
  <c r="F782" i="205"/>
  <c r="G782" i="205" s="1"/>
  <c r="H782" i="205" s="1"/>
  <c r="I782" i="205" s="1"/>
  <c r="J782" i="205" s="1"/>
  <c r="AM782" i="205" s="1"/>
  <c r="E782" i="205"/>
  <c r="N782" i="205" s="1"/>
  <c r="O782" i="205" s="1"/>
  <c r="P782" i="205" s="1"/>
  <c r="Q782" i="205" s="1"/>
  <c r="R782" i="205" s="1"/>
  <c r="F783" i="205"/>
  <c r="E783" i="205"/>
  <c r="N783" i="205" s="1"/>
  <c r="O783" i="205" s="1"/>
  <c r="P783" i="205" s="1"/>
  <c r="Q783" i="205" s="1"/>
  <c r="R783" i="205" s="1"/>
  <c r="D331" i="205"/>
  <c r="F788" i="205"/>
  <c r="G788" i="205" s="1"/>
  <c r="H788" i="205" s="1"/>
  <c r="I788" i="205" s="1"/>
  <c r="J788" i="205" s="1"/>
  <c r="AM788" i="205" s="1"/>
  <c r="E788" i="205"/>
  <c r="N788" i="205" s="1"/>
  <c r="O788" i="205" s="1"/>
  <c r="P788" i="205" s="1"/>
  <c r="Q788" i="205" s="1"/>
  <c r="R788" i="205" s="1"/>
  <c r="F789" i="205"/>
  <c r="E789" i="205"/>
  <c r="N789" i="205" s="1"/>
  <c r="O789" i="205" s="1"/>
  <c r="P789" i="205" s="1"/>
  <c r="Q789" i="205" s="1"/>
  <c r="R789" i="205" s="1"/>
  <c r="D333" i="205"/>
  <c r="F797" i="205"/>
  <c r="G797" i="205" s="1"/>
  <c r="H797" i="205" s="1"/>
  <c r="I797" i="205" s="1"/>
  <c r="J797" i="205" s="1"/>
  <c r="AM797" i="205" s="1"/>
  <c r="E797" i="205"/>
  <c r="N797" i="205" s="1"/>
  <c r="O797" i="205" s="1"/>
  <c r="P797" i="205" s="1"/>
  <c r="Q797" i="205" s="1"/>
  <c r="R797" i="205" s="1"/>
  <c r="F798" i="205"/>
  <c r="E798" i="205"/>
  <c r="N798" i="205" s="1"/>
  <c r="O798" i="205" s="1"/>
  <c r="P798" i="205" s="1"/>
  <c r="Q798" i="205" s="1"/>
  <c r="R798" i="205" s="1"/>
  <c r="D338" i="205"/>
  <c r="F803" i="205"/>
  <c r="G803" i="205" s="1"/>
  <c r="H803" i="205" s="1"/>
  <c r="I803" i="205" s="1"/>
  <c r="J803" i="205" s="1"/>
  <c r="AM803" i="205" s="1"/>
  <c r="E803" i="205"/>
  <c r="N803" i="205" s="1"/>
  <c r="O803" i="205" s="1"/>
  <c r="P803" i="205" s="1"/>
  <c r="Q803" i="205" s="1"/>
  <c r="R803" i="205" s="1"/>
  <c r="F804" i="205"/>
  <c r="E804" i="205"/>
  <c r="N804" i="205" s="1"/>
  <c r="O804" i="205" s="1"/>
  <c r="P804" i="205" s="1"/>
  <c r="Q804" i="205" s="1"/>
  <c r="R804" i="205" s="1"/>
  <c r="D340" i="205"/>
  <c r="F809" i="205"/>
  <c r="G809" i="205" s="1"/>
  <c r="H809" i="205" s="1"/>
  <c r="I809" i="205" s="1"/>
  <c r="J809" i="205" s="1"/>
  <c r="AM809" i="205" s="1"/>
  <c r="E809" i="205"/>
  <c r="N809" i="205" s="1"/>
  <c r="O809" i="205" s="1"/>
  <c r="P809" i="205" s="1"/>
  <c r="Q809" i="205" s="1"/>
  <c r="R809" i="205" s="1"/>
  <c r="F810" i="205"/>
  <c r="E810" i="205"/>
  <c r="N810" i="205" s="1"/>
  <c r="O810" i="205" s="1"/>
  <c r="P810" i="205" s="1"/>
  <c r="Q810" i="205" s="1"/>
  <c r="R810" i="205" s="1"/>
  <c r="D342" i="205"/>
  <c r="F815" i="205"/>
  <c r="G815" i="205" s="1"/>
  <c r="H815" i="205" s="1"/>
  <c r="I815" i="205" s="1"/>
  <c r="J815" i="205" s="1"/>
  <c r="AM815" i="205" s="1"/>
  <c r="E815" i="205"/>
  <c r="N815" i="205" s="1"/>
  <c r="O815" i="205" s="1"/>
  <c r="P815" i="205" s="1"/>
  <c r="Q815" i="205" s="1"/>
  <c r="R815" i="205" s="1"/>
  <c r="F819" i="205"/>
  <c r="E819" i="205"/>
  <c r="N819" i="205" s="1"/>
  <c r="O819" i="205" s="1"/>
  <c r="P819" i="205" s="1"/>
  <c r="Q819" i="205" s="1"/>
  <c r="R819" i="205" s="1"/>
  <c r="D846" i="205"/>
  <c r="D347" i="205"/>
  <c r="E824" i="205"/>
  <c r="N824" i="205" s="1"/>
  <c r="O824" i="205" s="1"/>
  <c r="P824" i="205" s="1"/>
  <c r="Q824" i="205" s="1"/>
  <c r="R824" i="205" s="1"/>
  <c r="F824" i="205"/>
  <c r="G824" i="205" s="1"/>
  <c r="H824" i="205" s="1"/>
  <c r="I824" i="205" s="1"/>
  <c r="J824" i="205" s="1"/>
  <c r="AM824" i="205" s="1"/>
  <c r="F825" i="205"/>
  <c r="E825" i="205"/>
  <c r="N825" i="205" s="1"/>
  <c r="O825" i="205" s="1"/>
  <c r="P825" i="205" s="1"/>
  <c r="Q825" i="205" s="1"/>
  <c r="R825" i="205" s="1"/>
  <c r="D349" i="205"/>
  <c r="F830" i="205"/>
  <c r="G830" i="205" s="1"/>
  <c r="H830" i="205" s="1"/>
  <c r="I830" i="205" s="1"/>
  <c r="J830" i="205" s="1"/>
  <c r="AM830" i="205" s="1"/>
  <c r="E830" i="205"/>
  <c r="N830" i="205" s="1"/>
  <c r="O830" i="205" s="1"/>
  <c r="P830" i="205" s="1"/>
  <c r="Q830" i="205" s="1"/>
  <c r="R830" i="205" s="1"/>
  <c r="F831" i="205"/>
  <c r="E831" i="205"/>
  <c r="N831" i="205" s="1"/>
  <c r="O831" i="205" s="1"/>
  <c r="P831" i="205" s="1"/>
  <c r="Q831" i="205" s="1"/>
  <c r="R831" i="205" s="1"/>
  <c r="D351" i="205"/>
  <c r="E836" i="205"/>
  <c r="N836" i="205" s="1"/>
  <c r="O836" i="205" s="1"/>
  <c r="P836" i="205" s="1"/>
  <c r="Q836" i="205" s="1"/>
  <c r="R836" i="205" s="1"/>
  <c r="F836" i="205"/>
  <c r="G836" i="205" s="1"/>
  <c r="H836" i="205" s="1"/>
  <c r="I836" i="205" s="1"/>
  <c r="J836" i="205" s="1"/>
  <c r="AM836" i="205" s="1"/>
  <c r="F837" i="205"/>
  <c r="E837" i="205"/>
  <c r="N837" i="205" s="1"/>
  <c r="O837" i="205" s="1"/>
  <c r="P837" i="205" s="1"/>
  <c r="Q837" i="205" s="1"/>
  <c r="R837" i="205" s="1"/>
  <c r="D353" i="205"/>
  <c r="F842" i="205"/>
  <c r="G842" i="205" s="1"/>
  <c r="H842" i="205" s="1"/>
  <c r="I842" i="205" s="1"/>
  <c r="J842" i="205" s="1"/>
  <c r="AM842" i="205" s="1"/>
  <c r="E842" i="205"/>
  <c r="N842" i="205" s="1"/>
  <c r="O842" i="205" s="1"/>
  <c r="P842" i="205" s="1"/>
  <c r="Q842" i="205" s="1"/>
  <c r="R842" i="205" s="1"/>
  <c r="F843" i="205"/>
  <c r="E843" i="205"/>
  <c r="N843" i="205" s="1"/>
  <c r="O843" i="205" s="1"/>
  <c r="P843" i="205" s="1"/>
  <c r="Q843" i="205" s="1"/>
  <c r="R843" i="205" s="1"/>
  <c r="D355" i="205"/>
  <c r="E850" i="205"/>
  <c r="N850" i="205" s="1"/>
  <c r="O850" i="205" s="1"/>
  <c r="P850" i="205" s="1"/>
  <c r="Q850" i="205" s="1"/>
  <c r="R850" i="205" s="1"/>
  <c r="AK850" i="205"/>
  <c r="F853" i="205"/>
  <c r="G853" i="205" s="1"/>
  <c r="H853" i="205" s="1"/>
  <c r="I853" i="205" s="1"/>
  <c r="J853" i="205" s="1"/>
  <c r="AM853" i="205" s="1"/>
  <c r="C362" i="205"/>
  <c r="F859" i="205"/>
  <c r="G859" i="205" s="1"/>
  <c r="H859" i="205" s="1"/>
  <c r="I859" i="205" s="1"/>
  <c r="J859" i="205" s="1"/>
  <c r="AM859" i="205" s="1"/>
  <c r="E859" i="205"/>
  <c r="N859" i="205" s="1"/>
  <c r="O859" i="205" s="1"/>
  <c r="P859" i="205" s="1"/>
  <c r="Q859" i="205" s="1"/>
  <c r="R859" i="205" s="1"/>
  <c r="F1030" i="205"/>
  <c r="G1030" i="205" s="1"/>
  <c r="H1030" i="205" s="1"/>
  <c r="I1030" i="205" s="1"/>
  <c r="J1030" i="205" s="1"/>
  <c r="AM1030" i="205" s="1"/>
  <c r="C437" i="205"/>
  <c r="F1036" i="205"/>
  <c r="G1036" i="205" s="1"/>
  <c r="H1036" i="205" s="1"/>
  <c r="I1036" i="205" s="1"/>
  <c r="J1036" i="205" s="1"/>
  <c r="AM1036" i="205" s="1"/>
  <c r="E1036" i="205"/>
  <c r="N1036" i="205" s="1"/>
  <c r="O1036" i="205" s="1"/>
  <c r="P1036" i="205" s="1"/>
  <c r="Q1036" i="205" s="1"/>
  <c r="R1036" i="205" s="1"/>
  <c r="C439" i="205"/>
  <c r="F1042" i="205"/>
  <c r="G1042" i="205" s="1"/>
  <c r="H1042" i="205" s="1"/>
  <c r="I1042" i="205" s="1"/>
  <c r="J1042" i="205" s="1"/>
  <c r="AM1042" i="205" s="1"/>
  <c r="E1042" i="205"/>
  <c r="N1042" i="205" s="1"/>
  <c r="O1042" i="205" s="1"/>
  <c r="P1042" i="205" s="1"/>
  <c r="Q1042" i="205" s="1"/>
  <c r="R1042" i="205" s="1"/>
  <c r="C441" i="205"/>
  <c r="F1048" i="205"/>
  <c r="G1048" i="205" s="1"/>
  <c r="H1048" i="205" s="1"/>
  <c r="I1048" i="205" s="1"/>
  <c r="J1048" i="205" s="1"/>
  <c r="AM1048" i="205" s="1"/>
  <c r="E1048" i="205"/>
  <c r="N1048" i="205" s="1"/>
  <c r="O1048" i="205" s="1"/>
  <c r="P1048" i="205" s="1"/>
  <c r="Q1048" i="205" s="1"/>
  <c r="R1048" i="205" s="1"/>
  <c r="C454" i="205"/>
  <c r="F1075" i="205"/>
  <c r="G1075" i="205" s="1"/>
  <c r="H1075" i="205" s="1"/>
  <c r="I1075" i="205" s="1"/>
  <c r="J1075" i="205" s="1"/>
  <c r="AM1075" i="205" s="1"/>
  <c r="E1075" i="205"/>
  <c r="C467" i="205"/>
  <c r="F1108" i="205"/>
  <c r="G1108" i="205" s="1"/>
  <c r="H1108" i="205" s="1"/>
  <c r="I1108" i="205" s="1"/>
  <c r="J1108" i="205" s="1"/>
  <c r="AM1108" i="205" s="1"/>
  <c r="E1108" i="205"/>
  <c r="F592" i="205"/>
  <c r="G592" i="205" s="1"/>
  <c r="H592" i="205" s="1"/>
  <c r="I592" i="205" s="1"/>
  <c r="J592" i="205" s="1"/>
  <c r="AM592" i="205" s="1"/>
  <c r="E592" i="205"/>
  <c r="N592" i="205" s="1"/>
  <c r="O592" i="205" s="1"/>
  <c r="P592" i="205" s="1"/>
  <c r="Q592" i="205" s="1"/>
  <c r="R592" i="205" s="1"/>
  <c r="C261" i="205"/>
  <c r="F598" i="205"/>
  <c r="G598" i="205" s="1"/>
  <c r="H598" i="205" s="1"/>
  <c r="I598" i="205" s="1"/>
  <c r="J598" i="205" s="1"/>
  <c r="AM598" i="205" s="1"/>
  <c r="E598" i="205"/>
  <c r="N598" i="205" s="1"/>
  <c r="O598" i="205" s="1"/>
  <c r="P598" i="205" s="1"/>
  <c r="Q598" i="205" s="1"/>
  <c r="R598" i="205" s="1"/>
  <c r="C263" i="205"/>
  <c r="F604" i="205"/>
  <c r="G604" i="205" s="1"/>
  <c r="H604" i="205" s="1"/>
  <c r="I604" i="205" s="1"/>
  <c r="J604" i="205" s="1"/>
  <c r="AM604" i="205" s="1"/>
  <c r="E604" i="205"/>
  <c r="N604" i="205" s="1"/>
  <c r="O604" i="205" s="1"/>
  <c r="P604" i="205" s="1"/>
  <c r="Q604" i="205" s="1"/>
  <c r="R604" i="205" s="1"/>
  <c r="C265" i="205"/>
  <c r="F610" i="205"/>
  <c r="G610" i="205" s="1"/>
  <c r="H610" i="205" s="1"/>
  <c r="I610" i="205" s="1"/>
  <c r="J610" i="205" s="1"/>
  <c r="AM610" i="205" s="1"/>
  <c r="E610" i="205"/>
  <c r="N610" i="205" s="1"/>
  <c r="O610" i="205" s="1"/>
  <c r="P610" i="205" s="1"/>
  <c r="Q610" i="205" s="1"/>
  <c r="R610" i="205" s="1"/>
  <c r="C267" i="205"/>
  <c r="F616" i="205"/>
  <c r="G616" i="205" s="1"/>
  <c r="H616" i="205" s="1"/>
  <c r="I616" i="205" s="1"/>
  <c r="J616" i="205" s="1"/>
  <c r="AM616" i="205" s="1"/>
  <c r="E616" i="205"/>
  <c r="N616" i="205" s="1"/>
  <c r="O616" i="205" s="1"/>
  <c r="P616" i="205" s="1"/>
  <c r="Q616" i="205" s="1"/>
  <c r="R616" i="205" s="1"/>
  <c r="C269" i="205"/>
  <c r="F622" i="205"/>
  <c r="G622" i="205" s="1"/>
  <c r="H622" i="205" s="1"/>
  <c r="I622" i="205" s="1"/>
  <c r="J622" i="205" s="1"/>
  <c r="AM622" i="205" s="1"/>
  <c r="E622" i="205"/>
  <c r="N622" i="205" s="1"/>
  <c r="O622" i="205" s="1"/>
  <c r="P622" i="205" s="1"/>
  <c r="Q622" i="205" s="1"/>
  <c r="R622" i="205" s="1"/>
  <c r="C271" i="205"/>
  <c r="F628" i="205"/>
  <c r="G628" i="205" s="1"/>
  <c r="H628" i="205" s="1"/>
  <c r="I628" i="205" s="1"/>
  <c r="J628" i="205" s="1"/>
  <c r="AM628" i="205" s="1"/>
  <c r="E628" i="205"/>
  <c r="N628" i="205" s="1"/>
  <c r="O628" i="205" s="1"/>
  <c r="P628" i="205" s="1"/>
  <c r="Q628" i="205" s="1"/>
  <c r="R628" i="205" s="1"/>
  <c r="C657" i="205"/>
  <c r="C33" i="205" s="1"/>
  <c r="C276" i="205"/>
  <c r="F637" i="205"/>
  <c r="E637" i="205"/>
  <c r="N637" i="205" s="1"/>
  <c r="O637" i="205" s="1"/>
  <c r="P637" i="205" s="1"/>
  <c r="Q637" i="205" s="1"/>
  <c r="R637" i="205" s="1"/>
  <c r="D66" i="205"/>
  <c r="C278" i="205"/>
  <c r="F643" i="205"/>
  <c r="G643" i="205" s="1"/>
  <c r="H643" i="205" s="1"/>
  <c r="I643" i="205" s="1"/>
  <c r="J643" i="205" s="1"/>
  <c r="AM643" i="205" s="1"/>
  <c r="E643" i="205"/>
  <c r="N643" i="205" s="1"/>
  <c r="O643" i="205" s="1"/>
  <c r="P643" i="205" s="1"/>
  <c r="Q643" i="205" s="1"/>
  <c r="R643" i="205" s="1"/>
  <c r="C280" i="205"/>
  <c r="F649" i="205"/>
  <c r="G649" i="205" s="1"/>
  <c r="H649" i="205" s="1"/>
  <c r="I649" i="205" s="1"/>
  <c r="J649" i="205" s="1"/>
  <c r="AM649" i="205" s="1"/>
  <c r="E649" i="205"/>
  <c r="N649" i="205" s="1"/>
  <c r="O649" i="205" s="1"/>
  <c r="P649" i="205" s="1"/>
  <c r="Q649" i="205" s="1"/>
  <c r="R649" i="205" s="1"/>
  <c r="C282" i="205"/>
  <c r="F655" i="205"/>
  <c r="G655" i="205" s="1"/>
  <c r="H655" i="205" s="1"/>
  <c r="I655" i="205" s="1"/>
  <c r="J655" i="205" s="1"/>
  <c r="AM655" i="205" s="1"/>
  <c r="E655" i="205"/>
  <c r="N655" i="205" s="1"/>
  <c r="O655" i="205" s="1"/>
  <c r="P655" i="205" s="1"/>
  <c r="Q655" i="205" s="1"/>
  <c r="R655" i="205" s="1"/>
  <c r="C287" i="205"/>
  <c r="F664" i="205"/>
  <c r="G664" i="205" s="1"/>
  <c r="H664" i="205" s="1"/>
  <c r="I664" i="205" s="1"/>
  <c r="J664" i="205" s="1"/>
  <c r="AM664" i="205" s="1"/>
  <c r="E664" i="205"/>
  <c r="N664" i="205" s="1"/>
  <c r="O664" i="205" s="1"/>
  <c r="P664" i="205" s="1"/>
  <c r="Q664" i="205" s="1"/>
  <c r="R664" i="205" s="1"/>
  <c r="C289" i="205"/>
  <c r="F670" i="205"/>
  <c r="G670" i="205" s="1"/>
  <c r="H670" i="205" s="1"/>
  <c r="I670" i="205" s="1"/>
  <c r="J670" i="205" s="1"/>
  <c r="AM670" i="205" s="1"/>
  <c r="E670" i="205"/>
  <c r="N670" i="205" s="1"/>
  <c r="O670" i="205" s="1"/>
  <c r="P670" i="205" s="1"/>
  <c r="Q670" i="205" s="1"/>
  <c r="R670" i="205" s="1"/>
  <c r="C291" i="205"/>
  <c r="F676" i="205"/>
  <c r="G676" i="205" s="1"/>
  <c r="H676" i="205" s="1"/>
  <c r="I676" i="205" s="1"/>
  <c r="J676" i="205" s="1"/>
  <c r="AM676" i="205" s="1"/>
  <c r="E676" i="205"/>
  <c r="N676" i="205" s="1"/>
  <c r="O676" i="205" s="1"/>
  <c r="P676" i="205" s="1"/>
  <c r="Q676" i="205" s="1"/>
  <c r="R676" i="205" s="1"/>
  <c r="C293" i="205"/>
  <c r="E682" i="205"/>
  <c r="N682" i="205" s="1"/>
  <c r="O682" i="205" s="1"/>
  <c r="P682" i="205" s="1"/>
  <c r="Q682" i="205" s="1"/>
  <c r="R682" i="205" s="1"/>
  <c r="F682" i="205"/>
  <c r="G682" i="205" s="1"/>
  <c r="H682" i="205" s="1"/>
  <c r="I682" i="205" s="1"/>
  <c r="J682" i="205" s="1"/>
  <c r="AM682" i="205" s="1"/>
  <c r="C295" i="205"/>
  <c r="F688" i="205"/>
  <c r="G688" i="205" s="1"/>
  <c r="H688" i="205" s="1"/>
  <c r="I688" i="205" s="1"/>
  <c r="J688" i="205" s="1"/>
  <c r="AM688" i="205" s="1"/>
  <c r="E688" i="205"/>
  <c r="N688" i="205" s="1"/>
  <c r="O688" i="205" s="1"/>
  <c r="P688" i="205" s="1"/>
  <c r="Q688" i="205" s="1"/>
  <c r="R688" i="205" s="1"/>
  <c r="C297" i="205"/>
  <c r="F694" i="205"/>
  <c r="G694" i="205" s="1"/>
  <c r="H694" i="205" s="1"/>
  <c r="I694" i="205" s="1"/>
  <c r="J694" i="205" s="1"/>
  <c r="AM694" i="205" s="1"/>
  <c r="E694" i="205"/>
  <c r="N694" i="205" s="1"/>
  <c r="O694" i="205" s="1"/>
  <c r="P694" i="205" s="1"/>
  <c r="Q694" i="205" s="1"/>
  <c r="R694" i="205" s="1"/>
  <c r="C299" i="205"/>
  <c r="F700" i="205"/>
  <c r="G700" i="205" s="1"/>
  <c r="H700" i="205" s="1"/>
  <c r="I700" i="205" s="1"/>
  <c r="J700" i="205" s="1"/>
  <c r="AM700" i="205" s="1"/>
  <c r="E700" i="205"/>
  <c r="N700" i="205" s="1"/>
  <c r="O700" i="205" s="1"/>
  <c r="P700" i="205" s="1"/>
  <c r="Q700" i="205" s="1"/>
  <c r="R700" i="205" s="1"/>
  <c r="C301" i="205"/>
  <c r="E706" i="205"/>
  <c r="N706" i="205" s="1"/>
  <c r="O706" i="205" s="1"/>
  <c r="P706" i="205" s="1"/>
  <c r="Q706" i="205" s="1"/>
  <c r="R706" i="205" s="1"/>
  <c r="F706" i="205"/>
  <c r="G706" i="205" s="1"/>
  <c r="H706" i="205" s="1"/>
  <c r="I706" i="205" s="1"/>
  <c r="J706" i="205" s="1"/>
  <c r="AM706" i="205" s="1"/>
  <c r="C756" i="205"/>
  <c r="C35" i="205" s="1"/>
  <c r="C306" i="205"/>
  <c r="F715" i="205"/>
  <c r="G715" i="205" s="1"/>
  <c r="H715" i="205" s="1"/>
  <c r="I715" i="205" s="1"/>
  <c r="J715" i="205" s="1"/>
  <c r="AM715" i="205" s="1"/>
  <c r="E715" i="205"/>
  <c r="N715" i="205" s="1"/>
  <c r="O715" i="205" s="1"/>
  <c r="P715" i="205" s="1"/>
  <c r="Q715" i="205" s="1"/>
  <c r="R715" i="205" s="1"/>
  <c r="C308" i="205"/>
  <c r="F721" i="205"/>
  <c r="G721" i="205" s="1"/>
  <c r="H721" i="205" s="1"/>
  <c r="I721" i="205" s="1"/>
  <c r="J721" i="205" s="1"/>
  <c r="AM721" i="205" s="1"/>
  <c r="E721" i="205"/>
  <c r="N721" i="205" s="1"/>
  <c r="O721" i="205" s="1"/>
  <c r="P721" i="205" s="1"/>
  <c r="Q721" i="205" s="1"/>
  <c r="R721" i="205" s="1"/>
  <c r="C310" i="205"/>
  <c r="F727" i="205"/>
  <c r="G727" i="205" s="1"/>
  <c r="H727" i="205" s="1"/>
  <c r="I727" i="205" s="1"/>
  <c r="J727" i="205" s="1"/>
  <c r="AM727" i="205" s="1"/>
  <c r="E727" i="205"/>
  <c r="N727" i="205" s="1"/>
  <c r="O727" i="205" s="1"/>
  <c r="P727" i="205" s="1"/>
  <c r="Q727" i="205" s="1"/>
  <c r="R727" i="205" s="1"/>
  <c r="C312" i="205"/>
  <c r="F733" i="205"/>
  <c r="G733" i="205" s="1"/>
  <c r="H733" i="205" s="1"/>
  <c r="I733" i="205" s="1"/>
  <c r="J733" i="205" s="1"/>
  <c r="AM733" i="205" s="1"/>
  <c r="E733" i="205"/>
  <c r="N733" i="205" s="1"/>
  <c r="O733" i="205" s="1"/>
  <c r="P733" i="205" s="1"/>
  <c r="Q733" i="205" s="1"/>
  <c r="R733" i="205" s="1"/>
  <c r="C314" i="205"/>
  <c r="E739" i="205"/>
  <c r="N739" i="205" s="1"/>
  <c r="O739" i="205" s="1"/>
  <c r="P739" i="205" s="1"/>
  <c r="Q739" i="205" s="1"/>
  <c r="R739" i="205" s="1"/>
  <c r="F739" i="205"/>
  <c r="G739" i="205" s="1"/>
  <c r="H739" i="205" s="1"/>
  <c r="I739" i="205" s="1"/>
  <c r="J739" i="205" s="1"/>
  <c r="AM739" i="205" s="1"/>
  <c r="C316" i="205"/>
  <c r="F745" i="205"/>
  <c r="G745" i="205" s="1"/>
  <c r="H745" i="205" s="1"/>
  <c r="I745" i="205" s="1"/>
  <c r="J745" i="205" s="1"/>
  <c r="AM745" i="205" s="1"/>
  <c r="E745" i="205"/>
  <c r="N745" i="205" s="1"/>
  <c r="O745" i="205" s="1"/>
  <c r="P745" i="205" s="1"/>
  <c r="Q745" i="205" s="1"/>
  <c r="R745" i="205" s="1"/>
  <c r="C318" i="205"/>
  <c r="F751" i="205"/>
  <c r="G751" i="205" s="1"/>
  <c r="H751" i="205" s="1"/>
  <c r="I751" i="205" s="1"/>
  <c r="J751" i="205" s="1"/>
  <c r="AM751" i="205" s="1"/>
  <c r="E751" i="205"/>
  <c r="N751" i="205" s="1"/>
  <c r="O751" i="205" s="1"/>
  <c r="P751" i="205" s="1"/>
  <c r="Q751" i="205" s="1"/>
  <c r="R751" i="205" s="1"/>
  <c r="C792" i="205"/>
  <c r="C36" i="205" s="1"/>
  <c r="C323" i="205"/>
  <c r="F760" i="205"/>
  <c r="G760" i="205" s="1"/>
  <c r="H760" i="205" s="1"/>
  <c r="I760" i="205" s="1"/>
  <c r="J760" i="205" s="1"/>
  <c r="AM760" i="205" s="1"/>
  <c r="E760" i="205"/>
  <c r="N760" i="205" s="1"/>
  <c r="O760" i="205" s="1"/>
  <c r="P760" i="205" s="1"/>
  <c r="Q760" i="205" s="1"/>
  <c r="R760" i="205" s="1"/>
  <c r="C325" i="205"/>
  <c r="F766" i="205"/>
  <c r="G766" i="205" s="1"/>
  <c r="H766" i="205" s="1"/>
  <c r="I766" i="205" s="1"/>
  <c r="J766" i="205" s="1"/>
  <c r="AM766" i="205" s="1"/>
  <c r="E766" i="205"/>
  <c r="N766" i="205" s="1"/>
  <c r="O766" i="205" s="1"/>
  <c r="P766" i="205" s="1"/>
  <c r="Q766" i="205" s="1"/>
  <c r="R766" i="205" s="1"/>
  <c r="C327" i="205"/>
  <c r="F772" i="205"/>
  <c r="G772" i="205" s="1"/>
  <c r="H772" i="205" s="1"/>
  <c r="I772" i="205" s="1"/>
  <c r="J772" i="205" s="1"/>
  <c r="AM772" i="205" s="1"/>
  <c r="E772" i="205"/>
  <c r="N772" i="205" s="1"/>
  <c r="O772" i="205" s="1"/>
  <c r="P772" i="205" s="1"/>
  <c r="Q772" i="205" s="1"/>
  <c r="R772" i="205" s="1"/>
  <c r="C329" i="205"/>
  <c r="F778" i="205"/>
  <c r="G778" i="205" s="1"/>
  <c r="H778" i="205" s="1"/>
  <c r="I778" i="205" s="1"/>
  <c r="J778" i="205" s="1"/>
  <c r="AM778" i="205" s="1"/>
  <c r="E778" i="205"/>
  <c r="N778" i="205" s="1"/>
  <c r="O778" i="205" s="1"/>
  <c r="P778" i="205" s="1"/>
  <c r="Q778" i="205" s="1"/>
  <c r="R778" i="205" s="1"/>
  <c r="C331" i="205"/>
  <c r="F784" i="205"/>
  <c r="G784" i="205" s="1"/>
  <c r="H784" i="205" s="1"/>
  <c r="I784" i="205" s="1"/>
  <c r="J784" i="205" s="1"/>
  <c r="AM784" i="205" s="1"/>
  <c r="E784" i="205"/>
  <c r="N784" i="205" s="1"/>
  <c r="O784" i="205" s="1"/>
  <c r="P784" i="205" s="1"/>
  <c r="Q784" i="205" s="1"/>
  <c r="R784" i="205" s="1"/>
  <c r="C333" i="205"/>
  <c r="F790" i="205"/>
  <c r="G790" i="205" s="1"/>
  <c r="H790" i="205" s="1"/>
  <c r="I790" i="205" s="1"/>
  <c r="J790" i="205" s="1"/>
  <c r="AM790" i="205" s="1"/>
  <c r="E790" i="205"/>
  <c r="N790" i="205" s="1"/>
  <c r="O790" i="205" s="1"/>
  <c r="P790" i="205" s="1"/>
  <c r="Q790" i="205" s="1"/>
  <c r="R790" i="205" s="1"/>
  <c r="C338" i="205"/>
  <c r="F799" i="205"/>
  <c r="G799" i="205" s="1"/>
  <c r="H799" i="205" s="1"/>
  <c r="I799" i="205" s="1"/>
  <c r="J799" i="205" s="1"/>
  <c r="AM799" i="205" s="1"/>
  <c r="E799" i="205"/>
  <c r="N799" i="205" s="1"/>
  <c r="O799" i="205" s="1"/>
  <c r="P799" i="205" s="1"/>
  <c r="Q799" i="205" s="1"/>
  <c r="R799" i="205" s="1"/>
  <c r="C340" i="205"/>
  <c r="F805" i="205"/>
  <c r="G805" i="205" s="1"/>
  <c r="H805" i="205" s="1"/>
  <c r="I805" i="205" s="1"/>
  <c r="J805" i="205" s="1"/>
  <c r="AM805" i="205" s="1"/>
  <c r="E805" i="205"/>
  <c r="N805" i="205" s="1"/>
  <c r="O805" i="205" s="1"/>
  <c r="P805" i="205" s="1"/>
  <c r="Q805" i="205" s="1"/>
  <c r="R805" i="205" s="1"/>
  <c r="C342" i="205"/>
  <c r="F811" i="205"/>
  <c r="G811" i="205" s="1"/>
  <c r="H811" i="205" s="1"/>
  <c r="I811" i="205" s="1"/>
  <c r="J811" i="205" s="1"/>
  <c r="AM811" i="205" s="1"/>
  <c r="E811" i="205"/>
  <c r="N811" i="205" s="1"/>
  <c r="O811" i="205" s="1"/>
  <c r="P811" i="205" s="1"/>
  <c r="Q811" i="205" s="1"/>
  <c r="R811" i="205" s="1"/>
  <c r="C846" i="205"/>
  <c r="C38" i="205" s="1"/>
  <c r="C347" i="205"/>
  <c r="F820" i="205"/>
  <c r="G820" i="205" s="1"/>
  <c r="H820" i="205" s="1"/>
  <c r="I820" i="205" s="1"/>
  <c r="J820" i="205" s="1"/>
  <c r="AM820" i="205" s="1"/>
  <c r="E820" i="205"/>
  <c r="N820" i="205" s="1"/>
  <c r="O820" i="205" s="1"/>
  <c r="P820" i="205" s="1"/>
  <c r="Q820" i="205" s="1"/>
  <c r="R820" i="205" s="1"/>
  <c r="C349" i="205"/>
  <c r="F826" i="205"/>
  <c r="G826" i="205" s="1"/>
  <c r="H826" i="205" s="1"/>
  <c r="I826" i="205" s="1"/>
  <c r="J826" i="205" s="1"/>
  <c r="AM826" i="205" s="1"/>
  <c r="E826" i="205"/>
  <c r="N826" i="205" s="1"/>
  <c r="O826" i="205" s="1"/>
  <c r="P826" i="205" s="1"/>
  <c r="Q826" i="205" s="1"/>
  <c r="R826" i="205" s="1"/>
  <c r="C351" i="205"/>
  <c r="F832" i="205"/>
  <c r="G832" i="205" s="1"/>
  <c r="H832" i="205" s="1"/>
  <c r="I832" i="205" s="1"/>
  <c r="J832" i="205" s="1"/>
  <c r="AM832" i="205" s="1"/>
  <c r="E832" i="205"/>
  <c r="N832" i="205" s="1"/>
  <c r="O832" i="205" s="1"/>
  <c r="P832" i="205" s="1"/>
  <c r="Q832" i="205" s="1"/>
  <c r="R832" i="205" s="1"/>
  <c r="C353" i="205"/>
  <c r="F838" i="205"/>
  <c r="G838" i="205" s="1"/>
  <c r="H838" i="205" s="1"/>
  <c r="I838" i="205" s="1"/>
  <c r="J838" i="205" s="1"/>
  <c r="AM838" i="205" s="1"/>
  <c r="E838" i="205"/>
  <c r="N838" i="205" s="1"/>
  <c r="O838" i="205" s="1"/>
  <c r="P838" i="205" s="1"/>
  <c r="Q838" i="205" s="1"/>
  <c r="R838" i="205" s="1"/>
  <c r="C355" i="205"/>
  <c r="F844" i="205"/>
  <c r="G844" i="205" s="1"/>
  <c r="H844" i="205" s="1"/>
  <c r="I844" i="205" s="1"/>
  <c r="J844" i="205" s="1"/>
  <c r="AM844" i="205" s="1"/>
  <c r="E844" i="205"/>
  <c r="N844" i="205" s="1"/>
  <c r="O844" i="205" s="1"/>
  <c r="P844" i="205" s="1"/>
  <c r="Q844" i="205" s="1"/>
  <c r="R844" i="205" s="1"/>
  <c r="F854" i="205"/>
  <c r="G854" i="205" s="1"/>
  <c r="H854" i="205" s="1"/>
  <c r="I854" i="205" s="1"/>
  <c r="J854" i="205" s="1"/>
  <c r="AM854" i="205" s="1"/>
  <c r="E854" i="205"/>
  <c r="N854" i="205" s="1"/>
  <c r="O854" i="205" s="1"/>
  <c r="P854" i="205" s="1"/>
  <c r="Q854" i="205" s="1"/>
  <c r="R854" i="205" s="1"/>
  <c r="F855" i="205"/>
  <c r="E855" i="205"/>
  <c r="N855" i="205" s="1"/>
  <c r="O855" i="205" s="1"/>
  <c r="P855" i="205" s="1"/>
  <c r="Q855" i="205" s="1"/>
  <c r="R855" i="205" s="1"/>
  <c r="D361" i="205"/>
  <c r="F860" i="205"/>
  <c r="G860" i="205" s="1"/>
  <c r="H860" i="205" s="1"/>
  <c r="I860" i="205" s="1"/>
  <c r="J860" i="205" s="1"/>
  <c r="AM860" i="205" s="1"/>
  <c r="E860" i="205"/>
  <c r="N860" i="205" s="1"/>
  <c r="O860" i="205" s="1"/>
  <c r="P860" i="205" s="1"/>
  <c r="Q860" i="205" s="1"/>
  <c r="R860" i="205" s="1"/>
  <c r="F861" i="205"/>
  <c r="E861" i="205"/>
  <c r="N861" i="205" s="1"/>
  <c r="O861" i="205" s="1"/>
  <c r="P861" i="205" s="1"/>
  <c r="Q861" i="205" s="1"/>
  <c r="R861" i="205" s="1"/>
  <c r="D363" i="205"/>
  <c r="F1032" i="205"/>
  <c r="E1032" i="205"/>
  <c r="N1032" i="205" s="1"/>
  <c r="O1032" i="205" s="1"/>
  <c r="P1032" i="205" s="1"/>
  <c r="Q1032" i="205" s="1"/>
  <c r="R1032" i="205" s="1"/>
  <c r="D436" i="205"/>
  <c r="F1037" i="205"/>
  <c r="G1037" i="205" s="1"/>
  <c r="H1037" i="205" s="1"/>
  <c r="I1037" i="205" s="1"/>
  <c r="J1037" i="205" s="1"/>
  <c r="AM1037" i="205" s="1"/>
  <c r="E1037" i="205"/>
  <c r="N1037" i="205" s="1"/>
  <c r="O1037" i="205" s="1"/>
  <c r="P1037" i="205" s="1"/>
  <c r="Q1037" i="205" s="1"/>
  <c r="R1037" i="205" s="1"/>
  <c r="F1038" i="205"/>
  <c r="E1038" i="205"/>
  <c r="N1038" i="205" s="1"/>
  <c r="O1038" i="205" s="1"/>
  <c r="P1038" i="205" s="1"/>
  <c r="Q1038" i="205" s="1"/>
  <c r="R1038" i="205" s="1"/>
  <c r="D438" i="205"/>
  <c r="F1043" i="205"/>
  <c r="G1043" i="205" s="1"/>
  <c r="H1043" i="205" s="1"/>
  <c r="I1043" i="205" s="1"/>
  <c r="J1043" i="205" s="1"/>
  <c r="AM1043" i="205" s="1"/>
  <c r="E1043" i="205"/>
  <c r="N1043" i="205" s="1"/>
  <c r="O1043" i="205" s="1"/>
  <c r="P1043" i="205" s="1"/>
  <c r="Q1043" i="205" s="1"/>
  <c r="R1043" i="205" s="1"/>
  <c r="F1044" i="205"/>
  <c r="E1044" i="205"/>
  <c r="N1044" i="205" s="1"/>
  <c r="O1044" i="205" s="1"/>
  <c r="P1044" i="205" s="1"/>
  <c r="Q1044" i="205" s="1"/>
  <c r="R1044" i="205" s="1"/>
  <c r="D440" i="205"/>
  <c r="F1049" i="205"/>
  <c r="G1049" i="205" s="1"/>
  <c r="H1049" i="205" s="1"/>
  <c r="I1049" i="205" s="1"/>
  <c r="J1049" i="205" s="1"/>
  <c r="AM1049" i="205" s="1"/>
  <c r="E1049" i="205"/>
  <c r="N1049" i="205" s="1"/>
  <c r="O1049" i="205" s="1"/>
  <c r="P1049" i="205" s="1"/>
  <c r="Q1049" i="205" s="1"/>
  <c r="R1049" i="205" s="1"/>
  <c r="F1076" i="205"/>
  <c r="G1076" i="205" s="1"/>
  <c r="H1076" i="205" s="1"/>
  <c r="I1076" i="205" s="1"/>
  <c r="J1076" i="205" s="1"/>
  <c r="AM1076" i="205" s="1"/>
  <c r="E1076" i="205"/>
  <c r="F1077" i="205"/>
  <c r="E1077" i="205"/>
  <c r="D455" i="205"/>
  <c r="E1104" i="205"/>
  <c r="F1104" i="205"/>
  <c r="D466" i="205"/>
  <c r="F1109" i="205"/>
  <c r="G1109" i="205" s="1"/>
  <c r="H1109" i="205" s="1"/>
  <c r="I1109" i="205" s="1"/>
  <c r="J1109" i="205" s="1"/>
  <c r="AM1109" i="205" s="1"/>
  <c r="E1109" i="205"/>
  <c r="C558" i="205"/>
  <c r="C227" i="205"/>
  <c r="F508" i="205"/>
  <c r="G508" i="205" s="1"/>
  <c r="H508" i="205" s="1"/>
  <c r="I508" i="205" s="1"/>
  <c r="J508" i="205" s="1"/>
  <c r="AM508" i="205" s="1"/>
  <c r="E508" i="205"/>
  <c r="N508" i="205" s="1"/>
  <c r="O508" i="205" s="1"/>
  <c r="P508" i="205" s="1"/>
  <c r="Q508" i="205" s="1"/>
  <c r="R508" i="205" s="1"/>
  <c r="C229" i="205"/>
  <c r="F514" i="205"/>
  <c r="G514" i="205" s="1"/>
  <c r="H514" i="205" s="1"/>
  <c r="I514" i="205" s="1"/>
  <c r="J514" i="205" s="1"/>
  <c r="AM514" i="205" s="1"/>
  <c r="E514" i="205"/>
  <c r="N514" i="205" s="1"/>
  <c r="O514" i="205" s="1"/>
  <c r="P514" i="205" s="1"/>
  <c r="Q514" i="205" s="1"/>
  <c r="R514" i="205" s="1"/>
  <c r="F509" i="205"/>
  <c r="G509" i="205" s="1"/>
  <c r="H509" i="205" s="1"/>
  <c r="I509" i="205" s="1"/>
  <c r="J509" i="205" s="1"/>
  <c r="AM509" i="205" s="1"/>
  <c r="E509" i="205"/>
  <c r="N509" i="205" s="1"/>
  <c r="O509" i="205" s="1"/>
  <c r="P509" i="205" s="1"/>
  <c r="Q509" i="205" s="1"/>
  <c r="R509" i="205" s="1"/>
  <c r="F510" i="205"/>
  <c r="E510" i="205"/>
  <c r="N510" i="205" s="1"/>
  <c r="O510" i="205" s="1"/>
  <c r="P510" i="205" s="1"/>
  <c r="Q510" i="205" s="1"/>
  <c r="R510" i="205" s="1"/>
  <c r="D228" i="205"/>
  <c r="F515" i="205"/>
  <c r="G515" i="205" s="1"/>
  <c r="H515" i="205" s="1"/>
  <c r="I515" i="205" s="1"/>
  <c r="J515" i="205" s="1"/>
  <c r="AM515" i="205" s="1"/>
  <c r="E515" i="205"/>
  <c r="N515" i="205" s="1"/>
  <c r="O515" i="205" s="1"/>
  <c r="P515" i="205" s="1"/>
  <c r="Q515" i="205" s="1"/>
  <c r="R515" i="205" s="1"/>
  <c r="F516" i="205"/>
  <c r="E516" i="205"/>
  <c r="N516" i="205" s="1"/>
  <c r="O516" i="205" s="1"/>
  <c r="P516" i="205" s="1"/>
  <c r="Q516" i="205" s="1"/>
  <c r="R516" i="205" s="1"/>
  <c r="D230" i="205"/>
  <c r="C228" i="205"/>
  <c r="F511" i="205"/>
  <c r="G511" i="205" s="1"/>
  <c r="H511" i="205" s="1"/>
  <c r="I511" i="205" s="1"/>
  <c r="J511" i="205" s="1"/>
  <c r="AM511" i="205" s="1"/>
  <c r="E511" i="205"/>
  <c r="N511" i="205" s="1"/>
  <c r="O511" i="205" s="1"/>
  <c r="P511" i="205" s="1"/>
  <c r="Q511" i="205" s="1"/>
  <c r="R511" i="205" s="1"/>
  <c r="C230" i="205"/>
  <c r="F517" i="205"/>
  <c r="G517" i="205" s="1"/>
  <c r="H517" i="205" s="1"/>
  <c r="I517" i="205" s="1"/>
  <c r="J517" i="205" s="1"/>
  <c r="AM517" i="205" s="1"/>
  <c r="E517" i="205"/>
  <c r="N517" i="205" s="1"/>
  <c r="O517" i="205" s="1"/>
  <c r="P517" i="205" s="1"/>
  <c r="Q517" i="205" s="1"/>
  <c r="R517" i="205" s="1"/>
  <c r="F507" i="205"/>
  <c r="E507" i="205"/>
  <c r="N507" i="205" s="1"/>
  <c r="O507" i="205" s="1"/>
  <c r="P507" i="205" s="1"/>
  <c r="Q507" i="205" s="1"/>
  <c r="R507" i="205" s="1"/>
  <c r="D558" i="205"/>
  <c r="D227" i="205"/>
  <c r="F512" i="205"/>
  <c r="G512" i="205" s="1"/>
  <c r="H512" i="205" s="1"/>
  <c r="I512" i="205" s="1"/>
  <c r="J512" i="205" s="1"/>
  <c r="AM512" i="205" s="1"/>
  <c r="E512" i="205"/>
  <c r="N512" i="205" s="1"/>
  <c r="O512" i="205" s="1"/>
  <c r="P512" i="205" s="1"/>
  <c r="Q512" i="205" s="1"/>
  <c r="R512" i="205" s="1"/>
  <c r="F513" i="205"/>
  <c r="E513" i="205"/>
  <c r="N513" i="205" s="1"/>
  <c r="O513" i="205" s="1"/>
  <c r="P513" i="205" s="1"/>
  <c r="Q513" i="205" s="1"/>
  <c r="R513" i="205" s="1"/>
  <c r="D229" i="205"/>
  <c r="F518" i="205"/>
  <c r="G518" i="205" s="1"/>
  <c r="H518" i="205" s="1"/>
  <c r="I518" i="205" s="1"/>
  <c r="J518" i="205" s="1"/>
  <c r="AM518" i="205" s="1"/>
  <c r="E518" i="205"/>
  <c r="N518" i="205" s="1"/>
  <c r="O518" i="205" s="1"/>
  <c r="P518" i="205" s="1"/>
  <c r="Q518" i="205" s="1"/>
  <c r="R518" i="205" s="1"/>
  <c r="E1102" i="205" l="1"/>
  <c r="C1080" i="205"/>
  <c r="C49" i="205" s="1"/>
  <c r="C67" i="205"/>
  <c r="E1031" i="205"/>
  <c r="N1031" i="205" s="1"/>
  <c r="O1031" i="205" s="1"/>
  <c r="P1031" i="205" s="1"/>
  <c r="Q1031" i="205" s="1"/>
  <c r="R1031" i="205" s="1"/>
  <c r="J404" i="203"/>
  <c r="C69" i="205"/>
  <c r="E1030" i="205"/>
  <c r="N1030" i="205" s="1"/>
  <c r="O1030" i="205" s="1"/>
  <c r="P1030" i="205" s="1"/>
  <c r="Q1030" i="205" s="1"/>
  <c r="R1030" i="205" s="1"/>
  <c r="E1101" i="205"/>
  <c r="C453" i="205"/>
  <c r="C456" i="205" s="1"/>
  <c r="E1073" i="205"/>
  <c r="D1110" i="205"/>
  <c r="D50" i="205" s="1"/>
  <c r="C1110" i="205"/>
  <c r="C50" i="205" s="1"/>
  <c r="C1050" i="205"/>
  <c r="C47" i="205" s="1"/>
  <c r="AK596" i="205"/>
  <c r="E262" i="205"/>
  <c r="E1029" i="205"/>
  <c r="N1029" i="205" s="1"/>
  <c r="O1029" i="205" s="1"/>
  <c r="P1029" i="205" s="1"/>
  <c r="Q1029" i="205" s="1"/>
  <c r="R1029" i="205" s="1"/>
  <c r="E1103" i="205"/>
  <c r="E1071" i="205"/>
  <c r="F1103" i="205"/>
  <c r="G1103" i="205" s="1"/>
  <c r="H1103" i="205" s="1"/>
  <c r="I1103" i="205" s="1"/>
  <c r="J1103" i="205" s="1"/>
  <c r="AM1103" i="205" s="1"/>
  <c r="D1080" i="205"/>
  <c r="E1080" i="205" s="1"/>
  <c r="F1031" i="205"/>
  <c r="G1031" i="205" s="1"/>
  <c r="H1031" i="205" s="1"/>
  <c r="I1031" i="205" s="1"/>
  <c r="J1031" i="205" s="1"/>
  <c r="AM1031" i="205" s="1"/>
  <c r="D67" i="205"/>
  <c r="C360" i="205"/>
  <c r="E360" i="205" s="1"/>
  <c r="F1073" i="205"/>
  <c r="G1073" i="205" s="1"/>
  <c r="H1073" i="205" s="1"/>
  <c r="I1073" i="205" s="1"/>
  <c r="J1073" i="205" s="1"/>
  <c r="AM1073" i="205" s="1"/>
  <c r="E440" i="205"/>
  <c r="C465" i="205"/>
  <c r="C468" i="205" s="1"/>
  <c r="D435" i="205"/>
  <c r="D442" i="205" s="1"/>
  <c r="D69" i="205"/>
  <c r="D453" i="205"/>
  <c r="D456" i="205" s="1"/>
  <c r="E361" i="205"/>
  <c r="C435" i="205"/>
  <c r="C442" i="205" s="1"/>
  <c r="E455" i="205"/>
  <c r="D465" i="205"/>
  <c r="D468" i="205" s="1"/>
  <c r="D1050" i="205"/>
  <c r="D47" i="205" s="1"/>
  <c r="E1072" i="205"/>
  <c r="E260" i="205"/>
  <c r="AK533" i="205"/>
  <c r="D60" i="205"/>
  <c r="D64" i="205" s="1"/>
  <c r="E231" i="205"/>
  <c r="C60" i="205"/>
  <c r="C64" i="205" s="1"/>
  <c r="AK613" i="205"/>
  <c r="AK557" i="205"/>
  <c r="E66" i="205"/>
  <c r="E438" i="205"/>
  <c r="AK1106" i="205"/>
  <c r="AK719" i="205"/>
  <c r="AK829" i="205"/>
  <c r="AK823" i="205"/>
  <c r="AK656" i="205"/>
  <c r="AK800" i="205"/>
  <c r="AK710" i="205"/>
  <c r="AK755" i="205"/>
  <c r="AK679" i="205"/>
  <c r="AK731" i="205"/>
  <c r="E253" i="205"/>
  <c r="AK724" i="205"/>
  <c r="AK547" i="205"/>
  <c r="AK602" i="205"/>
  <c r="AK619" i="205"/>
  <c r="AK530" i="205"/>
  <c r="AK797" i="205"/>
  <c r="AK752" i="205"/>
  <c r="AK562" i="205"/>
  <c r="AK736" i="205"/>
  <c r="AK728" i="205"/>
  <c r="AK650" i="205"/>
  <c r="AK545" i="205"/>
  <c r="AK701" i="205"/>
  <c r="AK535" i="205"/>
  <c r="AK851" i="205"/>
  <c r="AK827" i="205"/>
  <c r="AK779" i="205"/>
  <c r="AK1075" i="205"/>
  <c r="AK629" i="205"/>
  <c r="AK830" i="205"/>
  <c r="AK625" i="205"/>
  <c r="AK577" i="205"/>
  <c r="AK626" i="205"/>
  <c r="AK835" i="205"/>
  <c r="AK842" i="205"/>
  <c r="AK863" i="205"/>
  <c r="AK581" i="205"/>
  <c r="AK1040" i="205"/>
  <c r="E268" i="205"/>
  <c r="AK568" i="205"/>
  <c r="AK644" i="205"/>
  <c r="AK841" i="205"/>
  <c r="AK601" i="205"/>
  <c r="AK529" i="205"/>
  <c r="AK680" i="205"/>
  <c r="AK674" i="205"/>
  <c r="AK607" i="205"/>
  <c r="AK1078" i="205"/>
  <c r="AK806" i="205"/>
  <c r="AK716" i="205"/>
  <c r="AK677" i="205"/>
  <c r="AK782" i="205"/>
  <c r="AK1079" i="205"/>
  <c r="AK856" i="205"/>
  <c r="AK524" i="205"/>
  <c r="AK833" i="205"/>
  <c r="AK809" i="205"/>
  <c r="AK749" i="205"/>
  <c r="AK743" i="205"/>
  <c r="AK737" i="205"/>
  <c r="AK725" i="205"/>
  <c r="AK566" i="205"/>
  <c r="AK1048" i="205"/>
  <c r="AK569" i="205"/>
  <c r="AK574" i="205"/>
  <c r="AK554" i="205"/>
  <c r="AK583" i="205"/>
  <c r="AK505" i="205"/>
  <c r="AK542" i="205"/>
  <c r="AK539" i="205"/>
  <c r="AK1042" i="205"/>
  <c r="AK718" i="205"/>
  <c r="AK667" i="205"/>
  <c r="AK646" i="205"/>
  <c r="AK638" i="205"/>
  <c r="J417" i="203"/>
  <c r="AK668" i="205"/>
  <c r="AK802" i="205"/>
  <c r="AK781" i="205"/>
  <c r="AK742" i="205"/>
  <c r="AK812" i="205"/>
  <c r="AK740" i="205"/>
  <c r="AK689" i="205"/>
  <c r="E436" i="205"/>
  <c r="AK692" i="205"/>
  <c r="AK641" i="205"/>
  <c r="AK614" i="205"/>
  <c r="AK814" i="205"/>
  <c r="AK691" i="205"/>
  <c r="AK1105" i="205"/>
  <c r="AK1039" i="205"/>
  <c r="AK862" i="205"/>
  <c r="AK839" i="205"/>
  <c r="AK791" i="205"/>
  <c r="F417" i="203"/>
  <c r="F385" i="203"/>
  <c r="J385" i="203"/>
  <c r="E466" i="205"/>
  <c r="AK769" i="205"/>
  <c r="AK754" i="205"/>
  <c r="AK730" i="205"/>
  <c r="AK703" i="205"/>
  <c r="AK845" i="205"/>
  <c r="AK821" i="205"/>
  <c r="AK623" i="205"/>
  <c r="AK523" i="205"/>
  <c r="AK589" i="205"/>
  <c r="AK506" i="205"/>
  <c r="F404" i="203"/>
  <c r="AK511" i="205"/>
  <c r="AK748" i="205"/>
  <c r="AK665" i="205"/>
  <c r="AK580" i="205"/>
  <c r="E363" i="205"/>
  <c r="E264" i="205"/>
  <c r="E251" i="205"/>
  <c r="AK770" i="205"/>
  <c r="AK767" i="205"/>
  <c r="AK853" i="205"/>
  <c r="AK1108" i="205"/>
  <c r="AK1030" i="205"/>
  <c r="AK704" i="205"/>
  <c r="AK857" i="205"/>
  <c r="F888" i="205"/>
  <c r="F39" i="205" s="1"/>
  <c r="AK653" i="205"/>
  <c r="E238" i="205"/>
  <c r="F60" i="205"/>
  <c r="E342" i="205"/>
  <c r="E266" i="205"/>
  <c r="AK1036" i="205"/>
  <c r="AK859" i="205"/>
  <c r="E333" i="205"/>
  <c r="E291" i="205"/>
  <c r="AK514" i="205"/>
  <c r="AK571" i="205"/>
  <c r="E241" i="205"/>
  <c r="E301" i="205"/>
  <c r="E300" i="205"/>
  <c r="E228" i="205"/>
  <c r="E295" i="205"/>
  <c r="E289" i="205"/>
  <c r="E280" i="205"/>
  <c r="E269" i="205"/>
  <c r="E265" i="205"/>
  <c r="E437" i="205"/>
  <c r="E317" i="205"/>
  <c r="E309" i="205"/>
  <c r="E298" i="205"/>
  <c r="E290" i="205"/>
  <c r="E272" i="205"/>
  <c r="E250" i="205"/>
  <c r="E237" i="205"/>
  <c r="E293" i="205"/>
  <c r="E326" i="205"/>
  <c r="E242" i="205"/>
  <c r="E234" i="205"/>
  <c r="E329" i="205"/>
  <c r="E287" i="205"/>
  <c r="E267" i="205"/>
  <c r="E324" i="205"/>
  <c r="E313" i="205"/>
  <c r="E294" i="205"/>
  <c r="E259" i="205"/>
  <c r="E252" i="205"/>
  <c r="E248" i="205"/>
  <c r="E340" i="205"/>
  <c r="G798" i="205"/>
  <c r="F338" i="205"/>
  <c r="G771" i="205"/>
  <c r="F327" i="205"/>
  <c r="G714" i="205"/>
  <c r="F306" i="205"/>
  <c r="F756" i="205"/>
  <c r="F35" i="205" s="1"/>
  <c r="G699" i="205"/>
  <c r="F299" i="205"/>
  <c r="E297" i="205"/>
  <c r="G687" i="205"/>
  <c r="F295" i="205"/>
  <c r="G675" i="205"/>
  <c r="F291" i="205"/>
  <c r="G663" i="205"/>
  <c r="F287" i="205"/>
  <c r="E282" i="205"/>
  <c r="G648" i="205"/>
  <c r="F280" i="205"/>
  <c r="E278" i="205"/>
  <c r="E657" i="205"/>
  <c r="D33" i="205"/>
  <c r="E33" i="205" s="1"/>
  <c r="G627" i="205"/>
  <c r="F271" i="205"/>
  <c r="G615" i="205"/>
  <c r="F267" i="205"/>
  <c r="G1107" i="205"/>
  <c r="F467" i="205"/>
  <c r="G1047" i="205"/>
  <c r="F441" i="205"/>
  <c r="E439" i="205"/>
  <c r="G1035" i="205"/>
  <c r="F437" i="205"/>
  <c r="C888" i="205"/>
  <c r="C39" i="205" s="1"/>
  <c r="C344" i="205"/>
  <c r="G1072" i="205"/>
  <c r="AK1049" i="205"/>
  <c r="AK860" i="205"/>
  <c r="AK844" i="205"/>
  <c r="AK832" i="205"/>
  <c r="AK820" i="205"/>
  <c r="AK805" i="205"/>
  <c r="E816" i="205"/>
  <c r="D37" i="205"/>
  <c r="E37" i="205" s="1"/>
  <c r="G786" i="205"/>
  <c r="F332" i="205"/>
  <c r="E330" i="205"/>
  <c r="G774" i="205"/>
  <c r="F328" i="205"/>
  <c r="G762" i="205"/>
  <c r="F324" i="205"/>
  <c r="E319" i="205"/>
  <c r="E315" i="205"/>
  <c r="G735" i="205"/>
  <c r="F313" i="205"/>
  <c r="E311" i="205"/>
  <c r="G723" i="205"/>
  <c r="F309" i="205"/>
  <c r="E307" i="205"/>
  <c r="G708" i="205"/>
  <c r="F302" i="205"/>
  <c r="G696" i="205"/>
  <c r="F298" i="205"/>
  <c r="E296" i="205"/>
  <c r="G684" i="205"/>
  <c r="F294" i="205"/>
  <c r="E292" i="205"/>
  <c r="G672" i="205"/>
  <c r="F290" i="205"/>
  <c r="E288" i="205"/>
  <c r="AK655" i="205"/>
  <c r="G645" i="205"/>
  <c r="F279" i="205"/>
  <c r="AK643" i="205"/>
  <c r="G624" i="205"/>
  <c r="F270" i="205"/>
  <c r="G612" i="205"/>
  <c r="F266" i="205"/>
  <c r="G600" i="205"/>
  <c r="F262" i="205"/>
  <c r="E633" i="205"/>
  <c r="D32" i="205"/>
  <c r="E32" i="205" s="1"/>
  <c r="G519" i="205"/>
  <c r="F231" i="205"/>
  <c r="E263" i="205"/>
  <c r="G597" i="205"/>
  <c r="F261" i="205"/>
  <c r="G582" i="205"/>
  <c r="F254" i="205"/>
  <c r="G570" i="205"/>
  <c r="F250" i="205"/>
  <c r="G555" i="205"/>
  <c r="F243" i="205"/>
  <c r="G543" i="205"/>
  <c r="F239" i="205"/>
  <c r="G531" i="205"/>
  <c r="F235" i="205"/>
  <c r="AK611" i="205"/>
  <c r="C255" i="205"/>
  <c r="G504" i="205"/>
  <c r="F226" i="205"/>
  <c r="G561" i="205"/>
  <c r="F585" i="205"/>
  <c r="F31" i="205" s="1"/>
  <c r="F247" i="205"/>
  <c r="G552" i="205"/>
  <c r="F242" i="205"/>
  <c r="E240" i="205"/>
  <c r="G540" i="205"/>
  <c r="F238" i="205"/>
  <c r="E236" i="205"/>
  <c r="G528" i="205"/>
  <c r="F234" i="205"/>
  <c r="E232" i="205"/>
  <c r="G525" i="205"/>
  <c r="F233" i="205"/>
  <c r="E846" i="205"/>
  <c r="D38" i="205"/>
  <c r="E38" i="205" s="1"/>
  <c r="G810" i="205"/>
  <c r="F342" i="205"/>
  <c r="G783" i="205"/>
  <c r="F331" i="205"/>
  <c r="E229" i="205"/>
  <c r="AK508" i="205"/>
  <c r="G1071" i="205"/>
  <c r="G1038" i="205"/>
  <c r="F438" i="205"/>
  <c r="G861" i="205"/>
  <c r="F363" i="205"/>
  <c r="AK836" i="205"/>
  <c r="AK815" i="205"/>
  <c r="AK788" i="205"/>
  <c r="AK764" i="205"/>
  <c r="C334" i="205"/>
  <c r="C320" i="205"/>
  <c r="AK698" i="205"/>
  <c r="AK647" i="205"/>
  <c r="G637" i="205"/>
  <c r="F66" i="205"/>
  <c r="AK632" i="205"/>
  <c r="AK608" i="205"/>
  <c r="G1102" i="205"/>
  <c r="AK1034" i="205"/>
  <c r="G843" i="205"/>
  <c r="F355" i="205"/>
  <c r="E353" i="205"/>
  <c r="G831" i="205"/>
  <c r="F351" i="205"/>
  <c r="E349" i="205"/>
  <c r="AK787" i="205"/>
  <c r="AK775" i="205"/>
  <c r="AK763" i="205"/>
  <c r="G759" i="205"/>
  <c r="F323" i="205"/>
  <c r="F792" i="205"/>
  <c r="F36" i="205" s="1"/>
  <c r="E318" i="205"/>
  <c r="G744" i="205"/>
  <c r="F316" i="205"/>
  <c r="E314" i="205"/>
  <c r="G732" i="205"/>
  <c r="F312" i="205"/>
  <c r="E310" i="205"/>
  <c r="G720" i="205"/>
  <c r="F308" i="205"/>
  <c r="E306" i="205"/>
  <c r="D320" i="205"/>
  <c r="AK652" i="205"/>
  <c r="AK631" i="205"/>
  <c r="G1074" i="205"/>
  <c r="F454" i="205"/>
  <c r="G858" i="205"/>
  <c r="F362" i="205"/>
  <c r="AK773" i="205"/>
  <c r="AK746" i="205"/>
  <c r="AK722" i="205"/>
  <c r="AK695" i="205"/>
  <c r="AK671" i="205"/>
  <c r="G640" i="205"/>
  <c r="F63" i="205"/>
  <c r="AK1076" i="205"/>
  <c r="AK1043" i="205"/>
  <c r="AK854" i="205"/>
  <c r="G849" i="205"/>
  <c r="F359" i="205"/>
  <c r="E354" i="205"/>
  <c r="G834" i="205"/>
  <c r="F352" i="205"/>
  <c r="E350" i="205"/>
  <c r="G822" i="205"/>
  <c r="F348" i="205"/>
  <c r="E343" i="205"/>
  <c r="G807" i="205"/>
  <c r="F341" i="205"/>
  <c r="E339" i="205"/>
  <c r="AK790" i="205"/>
  <c r="AK778" i="205"/>
  <c r="AK766" i="205"/>
  <c r="AK751" i="205"/>
  <c r="AK739" i="205"/>
  <c r="AK727" i="205"/>
  <c r="AK715" i="205"/>
  <c r="AK700" i="205"/>
  <c r="AK688" i="205"/>
  <c r="AK676" i="205"/>
  <c r="AK664" i="205"/>
  <c r="G660" i="205"/>
  <c r="F286" i="205"/>
  <c r="F711" i="205"/>
  <c r="F34" i="205" s="1"/>
  <c r="E281" i="205"/>
  <c r="E277" i="205"/>
  <c r="AK628" i="205"/>
  <c r="AK616" i="205"/>
  <c r="AK604" i="205"/>
  <c r="AK592" i="205"/>
  <c r="G588" i="205"/>
  <c r="F258" i="205"/>
  <c r="F633" i="205"/>
  <c r="F32" i="205" s="1"/>
  <c r="G573" i="205"/>
  <c r="F251" i="205"/>
  <c r="AK575" i="205"/>
  <c r="AK548" i="205"/>
  <c r="AK605" i="205"/>
  <c r="AK584" i="205"/>
  <c r="E249" i="205"/>
  <c r="D31" i="205"/>
  <c r="E31" i="205" s="1"/>
  <c r="E585" i="205"/>
  <c r="AK556" i="205"/>
  <c r="AK544" i="205"/>
  <c r="AK532" i="205"/>
  <c r="AK521" i="205"/>
  <c r="G819" i="205"/>
  <c r="F347" i="205"/>
  <c r="F846" i="205"/>
  <c r="F38" i="205" s="1"/>
  <c r="E338" i="205"/>
  <c r="G789" i="205"/>
  <c r="F333" i="205"/>
  <c r="E327" i="205"/>
  <c r="G765" i="205"/>
  <c r="F325" i="205"/>
  <c r="E792" i="205"/>
  <c r="D36" i="205"/>
  <c r="E36" i="205" s="1"/>
  <c r="E756" i="205"/>
  <c r="D35" i="205"/>
  <c r="E35" i="205" s="1"/>
  <c r="G705" i="205"/>
  <c r="F301" i="205"/>
  <c r="E299" i="205"/>
  <c r="G693" i="205"/>
  <c r="F297" i="205"/>
  <c r="G681" i="205"/>
  <c r="F293" i="205"/>
  <c r="G669" i="205"/>
  <c r="F289" i="205"/>
  <c r="G654" i="205"/>
  <c r="F282" i="205"/>
  <c r="G642" i="205"/>
  <c r="F278" i="205"/>
  <c r="G636" i="205"/>
  <c r="F657" i="205"/>
  <c r="F33" i="205" s="1"/>
  <c r="F276" i="205"/>
  <c r="E271" i="205"/>
  <c r="G621" i="205"/>
  <c r="F269" i="205"/>
  <c r="G609" i="205"/>
  <c r="F265" i="205"/>
  <c r="E467" i="205"/>
  <c r="E441" i="205"/>
  <c r="G1041" i="205"/>
  <c r="F439" i="205"/>
  <c r="C303" i="205"/>
  <c r="AK1037" i="205"/>
  <c r="D372" i="205"/>
  <c r="E359" i="205"/>
  <c r="AK838" i="205"/>
  <c r="AK826" i="205"/>
  <c r="AK811" i="205"/>
  <c r="AK799" i="205"/>
  <c r="G795" i="205"/>
  <c r="F816" i="205"/>
  <c r="F37" i="205" s="1"/>
  <c r="F337" i="205"/>
  <c r="E332" i="205"/>
  <c r="G780" i="205"/>
  <c r="F330" i="205"/>
  <c r="E328" i="205"/>
  <c r="G768" i="205"/>
  <c r="F326" i="205"/>
  <c r="G753" i="205"/>
  <c r="F319" i="205"/>
  <c r="G741" i="205"/>
  <c r="F315" i="205"/>
  <c r="G729" i="205"/>
  <c r="F311" i="205"/>
  <c r="G717" i="205"/>
  <c r="F307" i="205"/>
  <c r="E302" i="205"/>
  <c r="G702" i="205"/>
  <c r="F300" i="205"/>
  <c r="G690" i="205"/>
  <c r="F296" i="205"/>
  <c r="G678" i="205"/>
  <c r="F292" i="205"/>
  <c r="G666" i="205"/>
  <c r="F288" i="205"/>
  <c r="D303" i="205"/>
  <c r="E286" i="205"/>
  <c r="G651" i="205"/>
  <c r="F281" i="205"/>
  <c r="AK649" i="205"/>
  <c r="G630" i="205"/>
  <c r="F272" i="205"/>
  <c r="E270" i="205"/>
  <c r="G618" i="205"/>
  <c r="F268" i="205"/>
  <c r="G606" i="205"/>
  <c r="F264" i="205"/>
  <c r="G594" i="205"/>
  <c r="F260" i="205"/>
  <c r="D273" i="205"/>
  <c r="E258" i="205"/>
  <c r="G603" i="205"/>
  <c r="F263" i="205"/>
  <c r="E261" i="205"/>
  <c r="G591" i="205"/>
  <c r="F259" i="205"/>
  <c r="E254" i="205"/>
  <c r="G576" i="205"/>
  <c r="F252" i="205"/>
  <c r="G564" i="205"/>
  <c r="F248" i="205"/>
  <c r="E243" i="205"/>
  <c r="G549" i="205"/>
  <c r="F241" i="205"/>
  <c r="E239" i="205"/>
  <c r="G537" i="205"/>
  <c r="F237" i="205"/>
  <c r="E235" i="205"/>
  <c r="AK599" i="205"/>
  <c r="AK578" i="205"/>
  <c r="E226" i="205"/>
  <c r="AK565" i="205"/>
  <c r="G546" i="205"/>
  <c r="F240" i="205"/>
  <c r="G534" i="205"/>
  <c r="F236" i="205"/>
  <c r="G522" i="205"/>
  <c r="F232" i="205"/>
  <c r="E233" i="205"/>
  <c r="G1104" i="205"/>
  <c r="F466" i="205"/>
  <c r="G1077" i="205"/>
  <c r="F455" i="205"/>
  <c r="G804" i="205"/>
  <c r="F340" i="205"/>
  <c r="E331" i="205"/>
  <c r="G777" i="205"/>
  <c r="F329" i="205"/>
  <c r="G1044" i="205"/>
  <c r="F440" i="205"/>
  <c r="G1032" i="205"/>
  <c r="F436" i="205"/>
  <c r="G855" i="205"/>
  <c r="F361" i="205"/>
  <c r="AK824" i="205"/>
  <c r="C356" i="205"/>
  <c r="AK803" i="205"/>
  <c r="AK776" i="205"/>
  <c r="E325" i="205"/>
  <c r="AK686" i="205"/>
  <c r="AK662" i="205"/>
  <c r="C283" i="205"/>
  <c r="AK620" i="205"/>
  <c r="AK1046" i="205"/>
  <c r="E355" i="205"/>
  <c r="G837" i="205"/>
  <c r="F353" i="205"/>
  <c r="E351" i="205"/>
  <c r="G825" i="205"/>
  <c r="F349" i="205"/>
  <c r="D356" i="205"/>
  <c r="E347" i="205"/>
  <c r="AK808" i="205"/>
  <c r="AK796" i="205"/>
  <c r="E323" i="205"/>
  <c r="D334" i="205"/>
  <c r="G750" i="205"/>
  <c r="F318" i="205"/>
  <c r="E316" i="205"/>
  <c r="G738" i="205"/>
  <c r="F314" i="205"/>
  <c r="E312" i="205"/>
  <c r="G726" i="205"/>
  <c r="F310" i="205"/>
  <c r="E308" i="205"/>
  <c r="AK709" i="205"/>
  <c r="AK697" i="205"/>
  <c r="AK685" i="205"/>
  <c r="AK673" i="205"/>
  <c r="AK661" i="205"/>
  <c r="E276" i="205"/>
  <c r="D283" i="205"/>
  <c r="G1101" i="205"/>
  <c r="F465" i="205"/>
  <c r="E454" i="205"/>
  <c r="AK1045" i="205"/>
  <c r="AK1033" i="205"/>
  <c r="G1029" i="205"/>
  <c r="E362" i="205"/>
  <c r="G852" i="205"/>
  <c r="F360" i="205"/>
  <c r="AK785" i="205"/>
  <c r="AK761" i="205"/>
  <c r="AK734" i="205"/>
  <c r="AK707" i="205"/>
  <c r="AK683" i="205"/>
  <c r="E63" i="205"/>
  <c r="AK1109" i="205"/>
  <c r="D888" i="205"/>
  <c r="G840" i="205"/>
  <c r="F354" i="205"/>
  <c r="E352" i="205"/>
  <c r="G828" i="205"/>
  <c r="F350" i="205"/>
  <c r="E348" i="205"/>
  <c r="G813" i="205"/>
  <c r="F343" i="205"/>
  <c r="E341" i="205"/>
  <c r="G801" i="205"/>
  <c r="F339" i="205"/>
  <c r="E337" i="205"/>
  <c r="D344" i="205"/>
  <c r="AK784" i="205"/>
  <c r="AK772" i="205"/>
  <c r="AK760" i="205"/>
  <c r="G747" i="205"/>
  <c r="F317" i="205"/>
  <c r="AK745" i="205"/>
  <c r="AK733" i="205"/>
  <c r="AK721" i="205"/>
  <c r="AK706" i="205"/>
  <c r="AK694" i="205"/>
  <c r="AK682" i="205"/>
  <c r="AK670" i="205"/>
  <c r="E711" i="205"/>
  <c r="D34" i="205"/>
  <c r="E34" i="205" s="1"/>
  <c r="E279" i="205"/>
  <c r="G639" i="205"/>
  <c r="F277" i="205"/>
  <c r="AK622" i="205"/>
  <c r="AK610" i="205"/>
  <c r="AK598" i="205"/>
  <c r="G579" i="205"/>
  <c r="F253" i="205"/>
  <c r="AK590" i="205"/>
  <c r="AK563" i="205"/>
  <c r="AK536" i="205"/>
  <c r="AK595" i="205"/>
  <c r="AK553" i="205"/>
  <c r="AK541" i="205"/>
  <c r="AK617" i="205"/>
  <c r="AK593" i="205"/>
  <c r="C273" i="205"/>
  <c r="AK572" i="205"/>
  <c r="AK551" i="205"/>
  <c r="G567" i="205"/>
  <c r="F249" i="205"/>
  <c r="E247" i="205"/>
  <c r="D255" i="205"/>
  <c r="AK550" i="205"/>
  <c r="AK538" i="205"/>
  <c r="AK526" i="205"/>
  <c r="AK517" i="205"/>
  <c r="AK509" i="205"/>
  <c r="E230" i="205"/>
  <c r="G510" i="205"/>
  <c r="F228" i="205"/>
  <c r="AK518" i="205"/>
  <c r="C244" i="205"/>
  <c r="D244" i="205"/>
  <c r="E227" i="205"/>
  <c r="G507" i="205"/>
  <c r="F558" i="205"/>
  <c r="F227" i="205"/>
  <c r="AK512" i="205"/>
  <c r="G513" i="205"/>
  <c r="F229" i="205"/>
  <c r="D30" i="205"/>
  <c r="E558" i="205"/>
  <c r="AK515" i="205"/>
  <c r="G516" i="205"/>
  <c r="F230" i="205"/>
  <c r="C30" i="205"/>
  <c r="C449" i="203"/>
  <c r="I445" i="203"/>
  <c r="I425" i="203"/>
  <c r="D425" i="203"/>
  <c r="F420" i="203"/>
  <c r="F419" i="203"/>
  <c r="F418" i="203"/>
  <c r="J407" i="203"/>
  <c r="F405" i="203"/>
  <c r="H398" i="203"/>
  <c r="H365" i="203"/>
  <c r="I361" i="203"/>
  <c r="I357" i="203"/>
  <c r="I347" i="203"/>
  <c r="H347" i="203"/>
  <c r="I343" i="203"/>
  <c r="I339" i="203"/>
  <c r="H335" i="203"/>
  <c r="I309" i="203"/>
  <c r="H305" i="203"/>
  <c r="H286" i="203"/>
  <c r="I271" i="203"/>
  <c r="H271" i="203"/>
  <c r="H253" i="203"/>
  <c r="F254" i="203"/>
  <c r="F252" i="203"/>
  <c r="F247" i="203"/>
  <c r="F246" i="203"/>
  <c r="F244" i="203"/>
  <c r="I232" i="203"/>
  <c r="I228" i="203"/>
  <c r="H203" i="203"/>
  <c r="E191" i="203"/>
  <c r="D191" i="203"/>
  <c r="F190" i="203"/>
  <c r="F183" i="203"/>
  <c r="F174" i="203"/>
  <c r="F172" i="203"/>
  <c r="F171" i="203"/>
  <c r="D335" i="203"/>
  <c r="E305" i="203"/>
  <c r="E286" i="203"/>
  <c r="D271" i="203"/>
  <c r="I253" i="203"/>
  <c r="D253" i="203"/>
  <c r="H232" i="203"/>
  <c r="H249" i="203" s="1"/>
  <c r="E232" i="203"/>
  <c r="E203" i="203"/>
  <c r="E218" i="203" s="1"/>
  <c r="G165" i="203"/>
  <c r="C165" i="203"/>
  <c r="D217" i="205"/>
  <c r="C217" i="205"/>
  <c r="D216" i="205"/>
  <c r="C216" i="205"/>
  <c r="D215" i="205"/>
  <c r="C215" i="205"/>
  <c r="D214" i="205"/>
  <c r="C214" i="205"/>
  <c r="D213" i="205"/>
  <c r="C213" i="205"/>
  <c r="D212" i="205"/>
  <c r="C212" i="205"/>
  <c r="D211" i="205"/>
  <c r="C211" i="205"/>
  <c r="D210" i="205"/>
  <c r="C210" i="205"/>
  <c r="D209" i="205"/>
  <c r="C209" i="205"/>
  <c r="D208" i="205"/>
  <c r="C208" i="205"/>
  <c r="D207" i="205"/>
  <c r="C207" i="205"/>
  <c r="D127" i="203"/>
  <c r="D186" i="205" s="1"/>
  <c r="C127" i="203"/>
  <c r="C186" i="205" s="1"/>
  <c r="D126" i="203"/>
  <c r="D185" i="205" s="1"/>
  <c r="C126" i="203"/>
  <c r="C185" i="205" s="1"/>
  <c r="D125" i="203"/>
  <c r="D184" i="205" s="1"/>
  <c r="C125" i="203"/>
  <c r="C184" i="205" s="1"/>
  <c r="D121" i="203"/>
  <c r="D180" i="205" s="1"/>
  <c r="C121" i="203"/>
  <c r="C180" i="205" s="1"/>
  <c r="D120" i="203"/>
  <c r="D179" i="205" s="1"/>
  <c r="C120" i="203"/>
  <c r="C179" i="205" s="1"/>
  <c r="D119" i="203"/>
  <c r="D178" i="205" s="1"/>
  <c r="F178" i="205" s="1"/>
  <c r="G178" i="205" s="1"/>
  <c r="H178" i="205" s="1"/>
  <c r="I178" i="205" s="1"/>
  <c r="J178" i="205" s="1"/>
  <c r="AM178" i="205" s="1"/>
  <c r="C119" i="203"/>
  <c r="C178" i="205" s="1"/>
  <c r="D118" i="203"/>
  <c r="D177" i="205" s="1"/>
  <c r="C118" i="203"/>
  <c r="C177" i="205" s="1"/>
  <c r="D117" i="203"/>
  <c r="D176" i="205" s="1"/>
  <c r="C117" i="203"/>
  <c r="C176" i="205" s="1"/>
  <c r="D116" i="203"/>
  <c r="D175" i="205" s="1"/>
  <c r="C116" i="203"/>
  <c r="C175" i="205" s="1"/>
  <c r="D115" i="203"/>
  <c r="D174" i="205" s="1"/>
  <c r="C115" i="203"/>
  <c r="C174" i="205" s="1"/>
  <c r="D113" i="203"/>
  <c r="D173" i="205" s="1"/>
  <c r="C113" i="203"/>
  <c r="C173" i="205" s="1"/>
  <c r="D112" i="203"/>
  <c r="D172" i="205" s="1"/>
  <c r="C112" i="203"/>
  <c r="C172" i="205" s="1"/>
  <c r="D111" i="203"/>
  <c r="D171" i="205" s="1"/>
  <c r="C111" i="203"/>
  <c r="C171" i="205" s="1"/>
  <c r="D110" i="203"/>
  <c r="D170" i="205" s="1"/>
  <c r="C110" i="203"/>
  <c r="C170" i="205" s="1"/>
  <c r="D109" i="203"/>
  <c r="D169" i="205" s="1"/>
  <c r="C109" i="203"/>
  <c r="C169" i="205" s="1"/>
  <c r="D108" i="203"/>
  <c r="D168" i="205" s="1"/>
  <c r="C108" i="203"/>
  <c r="C168" i="205" s="1"/>
  <c r="D107" i="203"/>
  <c r="D167" i="205" s="1"/>
  <c r="C107" i="203"/>
  <c r="C167" i="205" s="1"/>
  <c r="D106" i="203"/>
  <c r="D166" i="205" s="1"/>
  <c r="C106" i="203"/>
  <c r="C166" i="205" s="1"/>
  <c r="D105" i="203"/>
  <c r="D165" i="205" s="1"/>
  <c r="C105" i="203"/>
  <c r="C165" i="205" s="1"/>
  <c r="D104" i="203"/>
  <c r="D164" i="205" s="1"/>
  <c r="C104" i="203"/>
  <c r="C164" i="205" s="1"/>
  <c r="D103" i="203"/>
  <c r="D163" i="205" s="1"/>
  <c r="C103" i="203"/>
  <c r="C163" i="205" s="1"/>
  <c r="D102" i="203"/>
  <c r="D162" i="205" s="1"/>
  <c r="C102" i="203"/>
  <c r="C162" i="205" s="1"/>
  <c r="D101" i="203"/>
  <c r="D161" i="205" s="1"/>
  <c r="C101" i="203"/>
  <c r="C161" i="205" s="1"/>
  <c r="D100" i="203"/>
  <c r="D160" i="205" s="1"/>
  <c r="C100" i="203"/>
  <c r="C160" i="205" s="1"/>
  <c r="D99" i="203"/>
  <c r="D159" i="205" s="1"/>
  <c r="C99" i="203"/>
  <c r="C159" i="205" s="1"/>
  <c r="D98" i="203"/>
  <c r="D158" i="205" s="1"/>
  <c r="C98" i="203"/>
  <c r="C158" i="205" s="1"/>
  <c r="D97" i="203"/>
  <c r="D157" i="205" s="1"/>
  <c r="C97" i="203"/>
  <c r="C157" i="205" s="1"/>
  <c r="D93" i="203"/>
  <c r="C93" i="203"/>
  <c r="D92" i="203"/>
  <c r="D152" i="205" s="1"/>
  <c r="C92" i="203"/>
  <c r="C152" i="205" s="1"/>
  <c r="D91" i="203"/>
  <c r="D151" i="205" s="1"/>
  <c r="C91" i="203"/>
  <c r="C151" i="205" s="1"/>
  <c r="D87" i="203"/>
  <c r="D147" i="205" s="1"/>
  <c r="C87" i="203"/>
  <c r="C147" i="205" s="1"/>
  <c r="D86" i="203"/>
  <c r="D146" i="205" s="1"/>
  <c r="C86" i="203"/>
  <c r="C146" i="205" s="1"/>
  <c r="D85" i="203"/>
  <c r="D145" i="205" s="1"/>
  <c r="C85" i="203"/>
  <c r="C145" i="205" s="1"/>
  <c r="D84" i="203"/>
  <c r="D144" i="205" s="1"/>
  <c r="C84" i="203"/>
  <c r="C144" i="205" s="1"/>
  <c r="D83" i="203"/>
  <c r="D143" i="205" s="1"/>
  <c r="C83" i="203"/>
  <c r="C143" i="205" s="1"/>
  <c r="D82" i="203"/>
  <c r="D142" i="205" s="1"/>
  <c r="C82" i="203"/>
  <c r="C142" i="205" s="1"/>
  <c r="D81" i="203"/>
  <c r="D141" i="205" s="1"/>
  <c r="C81" i="203"/>
  <c r="C141" i="205" s="1"/>
  <c r="D79" i="203"/>
  <c r="D140" i="205" s="1"/>
  <c r="C79" i="203"/>
  <c r="C140" i="205" s="1"/>
  <c r="D78" i="203"/>
  <c r="D139" i="205" s="1"/>
  <c r="C78" i="203"/>
  <c r="C139" i="205" s="1"/>
  <c r="D77" i="203"/>
  <c r="D138" i="205" s="1"/>
  <c r="C77" i="203"/>
  <c r="C138" i="205" s="1"/>
  <c r="D76" i="203"/>
  <c r="D137" i="205" s="1"/>
  <c r="C76" i="203"/>
  <c r="C137" i="205" s="1"/>
  <c r="D75" i="203"/>
  <c r="D136" i="205" s="1"/>
  <c r="C75" i="203"/>
  <c r="C136" i="205" s="1"/>
  <c r="D74" i="203"/>
  <c r="D135" i="205" s="1"/>
  <c r="C74" i="203"/>
  <c r="C135" i="205" s="1"/>
  <c r="D73" i="203"/>
  <c r="D134" i="205" s="1"/>
  <c r="C73" i="203"/>
  <c r="C134" i="205" s="1"/>
  <c r="D72" i="203"/>
  <c r="D133" i="205" s="1"/>
  <c r="C72" i="203"/>
  <c r="C133" i="205" s="1"/>
  <c r="D71" i="203"/>
  <c r="D132" i="205" s="1"/>
  <c r="C71" i="203"/>
  <c r="C132" i="205" s="1"/>
  <c r="D70" i="203"/>
  <c r="D131" i="205" s="1"/>
  <c r="C70" i="203"/>
  <c r="C131" i="205" s="1"/>
  <c r="D66" i="203"/>
  <c r="D127" i="205" s="1"/>
  <c r="C66" i="203"/>
  <c r="C127" i="205" s="1"/>
  <c r="D65" i="203"/>
  <c r="D126" i="205" s="1"/>
  <c r="C65" i="203"/>
  <c r="C126" i="205" s="1"/>
  <c r="D64" i="203"/>
  <c r="D125" i="205" s="1"/>
  <c r="C64" i="203"/>
  <c r="C125" i="205" s="1"/>
  <c r="D63" i="203"/>
  <c r="D124" i="205" s="1"/>
  <c r="C63" i="203"/>
  <c r="C124" i="205" s="1"/>
  <c r="D62" i="203"/>
  <c r="D123" i="205" s="1"/>
  <c r="C62" i="203"/>
  <c r="C123" i="205" s="1"/>
  <c r="D61" i="203"/>
  <c r="D122" i="205" s="1"/>
  <c r="C61" i="203"/>
  <c r="C122" i="205" s="1"/>
  <c r="D60" i="203"/>
  <c r="D121" i="205" s="1"/>
  <c r="C60" i="203"/>
  <c r="C121" i="205" s="1"/>
  <c r="D59" i="203"/>
  <c r="D120" i="205" s="1"/>
  <c r="C59" i="203"/>
  <c r="C120" i="205" s="1"/>
  <c r="D119" i="205"/>
  <c r="C58" i="203"/>
  <c r="C119" i="205" s="1"/>
  <c r="D118" i="205"/>
  <c r="C57" i="203"/>
  <c r="C118" i="205" s="1"/>
  <c r="D56" i="203"/>
  <c r="D117" i="205" s="1"/>
  <c r="C56" i="203"/>
  <c r="C117" i="205" s="1"/>
  <c r="D54" i="203"/>
  <c r="D116" i="205" s="1"/>
  <c r="C54" i="203"/>
  <c r="C116" i="205" s="1"/>
  <c r="D53" i="203"/>
  <c r="D115" i="205" s="1"/>
  <c r="C53" i="203"/>
  <c r="C115" i="205" s="1"/>
  <c r="D52" i="203"/>
  <c r="D114" i="205" s="1"/>
  <c r="C52" i="203"/>
  <c r="C114" i="205" s="1"/>
  <c r="D51" i="203"/>
  <c r="D113" i="205" s="1"/>
  <c r="C51" i="203"/>
  <c r="C113" i="205" s="1"/>
  <c r="D49" i="203"/>
  <c r="D112" i="205" s="1"/>
  <c r="C49" i="203"/>
  <c r="C112" i="205" s="1"/>
  <c r="D48" i="203"/>
  <c r="D111" i="205" s="1"/>
  <c r="C48" i="203"/>
  <c r="C111" i="205" s="1"/>
  <c r="D47" i="203"/>
  <c r="D110" i="205" s="1"/>
  <c r="C47" i="203"/>
  <c r="C110" i="205" s="1"/>
  <c r="D46" i="203"/>
  <c r="D109" i="205" s="1"/>
  <c r="C46" i="203"/>
  <c r="C109" i="205" s="1"/>
  <c r="D45" i="203"/>
  <c r="D108" i="205" s="1"/>
  <c r="C45" i="203"/>
  <c r="C108" i="205" s="1"/>
  <c r="D44" i="203"/>
  <c r="D107" i="205" s="1"/>
  <c r="C44" i="203"/>
  <c r="C107" i="205" s="1"/>
  <c r="D43" i="203"/>
  <c r="D106" i="205" s="1"/>
  <c r="C43" i="203"/>
  <c r="C106" i="205" s="1"/>
  <c r="D42" i="203"/>
  <c r="D105" i="205" s="1"/>
  <c r="C42" i="203"/>
  <c r="C105" i="205" s="1"/>
  <c r="D41" i="203"/>
  <c r="D104" i="205" s="1"/>
  <c r="C41" i="203"/>
  <c r="C104" i="205" s="1"/>
  <c r="D40" i="203"/>
  <c r="D103" i="205" s="1"/>
  <c r="C40" i="203"/>
  <c r="C103" i="205" s="1"/>
  <c r="D39" i="203"/>
  <c r="D102" i="205" s="1"/>
  <c r="C39" i="203"/>
  <c r="C102" i="205" s="1"/>
  <c r="D38" i="203"/>
  <c r="D101" i="205" s="1"/>
  <c r="C38" i="203"/>
  <c r="C101" i="205" s="1"/>
  <c r="D37" i="203"/>
  <c r="D100" i="205" s="1"/>
  <c r="C37" i="203"/>
  <c r="C100" i="205" s="1"/>
  <c r="D36" i="203"/>
  <c r="D99" i="205" s="1"/>
  <c r="C36" i="203"/>
  <c r="C99" i="205" s="1"/>
  <c r="D35" i="203"/>
  <c r="D98" i="205" s="1"/>
  <c r="C35" i="203"/>
  <c r="C98" i="205" s="1"/>
  <c r="D34" i="203"/>
  <c r="D97" i="205" s="1"/>
  <c r="C34" i="203"/>
  <c r="C97" i="205" s="1"/>
  <c r="D33" i="203"/>
  <c r="D96" i="205" s="1"/>
  <c r="C33" i="203"/>
  <c r="C96" i="205" s="1"/>
  <c r="D29" i="203"/>
  <c r="C29" i="203"/>
  <c r="C92" i="205" s="1"/>
  <c r="C28" i="203"/>
  <c r="C91" i="205" s="1"/>
  <c r="D18" i="203"/>
  <c r="C18" i="203"/>
  <c r="D4" i="203"/>
  <c r="G5" i="203" s="1"/>
  <c r="C4" i="203"/>
  <c r="C5" i="203" s="1"/>
  <c r="H449" i="203"/>
  <c r="B449" i="203"/>
  <c r="D449" i="203"/>
  <c r="B445" i="203"/>
  <c r="B438" i="203"/>
  <c r="E425" i="203"/>
  <c r="E438" i="203" s="1"/>
  <c r="G425" i="203"/>
  <c r="B421" i="203"/>
  <c r="B408" i="203"/>
  <c r="E398" i="203"/>
  <c r="B398" i="203"/>
  <c r="I398" i="203"/>
  <c r="G398" i="203"/>
  <c r="D398" i="203"/>
  <c r="B393" i="203"/>
  <c r="C393" i="203"/>
  <c r="G365" i="203"/>
  <c r="B365" i="203"/>
  <c r="D365" i="203"/>
  <c r="C365" i="203"/>
  <c r="H361" i="203"/>
  <c r="G361" i="203"/>
  <c r="B361" i="203"/>
  <c r="E361" i="203"/>
  <c r="D361" i="203"/>
  <c r="C361" i="203"/>
  <c r="H357" i="203"/>
  <c r="B357" i="203"/>
  <c r="D357" i="203"/>
  <c r="G347" i="203"/>
  <c r="B347" i="203"/>
  <c r="E347" i="203"/>
  <c r="D347" i="203"/>
  <c r="C347" i="203"/>
  <c r="H343" i="203"/>
  <c r="G343" i="203"/>
  <c r="B343" i="203"/>
  <c r="E343" i="203"/>
  <c r="D343" i="203"/>
  <c r="C343" i="203"/>
  <c r="H339" i="203"/>
  <c r="G339" i="203"/>
  <c r="B339" i="203"/>
  <c r="E339" i="203"/>
  <c r="D339" i="203"/>
  <c r="C339" i="203"/>
  <c r="B335" i="203"/>
  <c r="E335" i="203"/>
  <c r="B322" i="203"/>
  <c r="G309" i="203"/>
  <c r="H309" i="203"/>
  <c r="C309" i="203"/>
  <c r="B305" i="203"/>
  <c r="C305" i="203"/>
  <c r="B293" i="203"/>
  <c r="I286" i="203"/>
  <c r="D286" i="203"/>
  <c r="G286" i="203"/>
  <c r="B282" i="203"/>
  <c r="E271" i="203"/>
  <c r="E282" i="203" s="1"/>
  <c r="C271" i="203"/>
  <c r="B267" i="203"/>
  <c r="E253" i="203"/>
  <c r="B249" i="203"/>
  <c r="D232" i="203"/>
  <c r="B228" i="203"/>
  <c r="H228" i="203"/>
  <c r="B218" i="203"/>
  <c r="D203" i="203"/>
  <c r="D218" i="203" s="1"/>
  <c r="B199" i="203"/>
  <c r="B187" i="203"/>
  <c r="B160" i="203"/>
  <c r="B132" i="203"/>
  <c r="B128" i="203"/>
  <c r="B94" i="203"/>
  <c r="B88" i="203"/>
  <c r="B30" i="203"/>
  <c r="B25" i="203"/>
  <c r="E67" i="205" l="1"/>
  <c r="S120" i="203"/>
  <c r="E69" i="205"/>
  <c r="E47" i="205"/>
  <c r="E344" i="205"/>
  <c r="F1110" i="205"/>
  <c r="F50" i="205" s="1"/>
  <c r="E1050" i="205"/>
  <c r="AK1103" i="205"/>
  <c r="E50" i="205"/>
  <c r="E1110" i="205"/>
  <c r="F1080" i="205"/>
  <c r="F49" i="205" s="1"/>
  <c r="C372" i="205"/>
  <c r="E372" i="205" s="1"/>
  <c r="E435" i="205"/>
  <c r="D49" i="205"/>
  <c r="E49" i="205" s="1"/>
  <c r="E60" i="205"/>
  <c r="F69" i="205"/>
  <c r="F453" i="205"/>
  <c r="F456" i="205" s="1"/>
  <c r="AK1073" i="205"/>
  <c r="AK1031" i="205"/>
  <c r="F435" i="205"/>
  <c r="F442" i="205" s="1"/>
  <c r="F1050" i="205"/>
  <c r="F47" i="205" s="1"/>
  <c r="E320" i="205"/>
  <c r="E465" i="205"/>
  <c r="F67" i="205"/>
  <c r="E453" i="205"/>
  <c r="S83" i="203"/>
  <c r="F64" i="205"/>
  <c r="E334" i="205"/>
  <c r="E64" i="205"/>
  <c r="E303" i="205"/>
  <c r="E255" i="205"/>
  <c r="G888" i="205"/>
  <c r="G39" i="205" s="1"/>
  <c r="G60" i="205"/>
  <c r="E283" i="205"/>
  <c r="E356" i="205"/>
  <c r="F101" i="205"/>
  <c r="G101" i="205" s="1"/>
  <c r="H101" i="205" s="1"/>
  <c r="I101" i="205" s="1"/>
  <c r="J101" i="205" s="1"/>
  <c r="AM101" i="205" s="1"/>
  <c r="E101" i="205"/>
  <c r="N101" i="205" s="1"/>
  <c r="O101" i="205" s="1"/>
  <c r="P101" i="205" s="1"/>
  <c r="Q101" i="205" s="1"/>
  <c r="R101" i="205" s="1"/>
  <c r="C93" i="205"/>
  <c r="C16" i="205" s="1"/>
  <c r="F98" i="205"/>
  <c r="G98" i="205" s="1"/>
  <c r="H98" i="205" s="1"/>
  <c r="I98" i="205" s="1"/>
  <c r="J98" i="205" s="1"/>
  <c r="AM98" i="205" s="1"/>
  <c r="E98" i="205"/>
  <c r="N98" i="205" s="1"/>
  <c r="O98" i="205" s="1"/>
  <c r="P98" i="205" s="1"/>
  <c r="Q98" i="205" s="1"/>
  <c r="R98" i="205" s="1"/>
  <c r="F102" i="205"/>
  <c r="G102" i="205" s="1"/>
  <c r="H102" i="205" s="1"/>
  <c r="I102" i="205" s="1"/>
  <c r="J102" i="205" s="1"/>
  <c r="AM102" i="205" s="1"/>
  <c r="E102" i="205"/>
  <c r="N102" i="205" s="1"/>
  <c r="O102" i="205" s="1"/>
  <c r="P102" i="205" s="1"/>
  <c r="Q102" i="205" s="1"/>
  <c r="R102" i="205" s="1"/>
  <c r="F104" i="205"/>
  <c r="G104" i="205" s="1"/>
  <c r="H104" i="205" s="1"/>
  <c r="I104" i="205" s="1"/>
  <c r="J104" i="205" s="1"/>
  <c r="AM104" i="205" s="1"/>
  <c r="E104" i="205"/>
  <c r="N104" i="205" s="1"/>
  <c r="O104" i="205" s="1"/>
  <c r="P104" i="205" s="1"/>
  <c r="Q104" i="205" s="1"/>
  <c r="R104" i="205" s="1"/>
  <c r="F106" i="205"/>
  <c r="G106" i="205" s="1"/>
  <c r="H106" i="205" s="1"/>
  <c r="I106" i="205" s="1"/>
  <c r="J106" i="205" s="1"/>
  <c r="AM106" i="205" s="1"/>
  <c r="E106" i="205"/>
  <c r="N106" i="205" s="1"/>
  <c r="O106" i="205" s="1"/>
  <c r="P106" i="205" s="1"/>
  <c r="Q106" i="205" s="1"/>
  <c r="R106" i="205" s="1"/>
  <c r="F108" i="205"/>
  <c r="G108" i="205" s="1"/>
  <c r="H108" i="205" s="1"/>
  <c r="I108" i="205" s="1"/>
  <c r="J108" i="205" s="1"/>
  <c r="AM108" i="205" s="1"/>
  <c r="E108" i="205"/>
  <c r="N108" i="205" s="1"/>
  <c r="O108" i="205" s="1"/>
  <c r="P108" i="205" s="1"/>
  <c r="Q108" i="205" s="1"/>
  <c r="R108" i="205" s="1"/>
  <c r="F110" i="205"/>
  <c r="G110" i="205" s="1"/>
  <c r="H110" i="205" s="1"/>
  <c r="I110" i="205" s="1"/>
  <c r="J110" i="205" s="1"/>
  <c r="AM110" i="205" s="1"/>
  <c r="E110" i="205"/>
  <c r="N110" i="205" s="1"/>
  <c r="O110" i="205" s="1"/>
  <c r="P110" i="205" s="1"/>
  <c r="Q110" i="205" s="1"/>
  <c r="R110" i="205" s="1"/>
  <c r="F112" i="205"/>
  <c r="G112" i="205" s="1"/>
  <c r="H112" i="205" s="1"/>
  <c r="I112" i="205" s="1"/>
  <c r="J112" i="205" s="1"/>
  <c r="AM112" i="205" s="1"/>
  <c r="E112" i="205"/>
  <c r="N112" i="205" s="1"/>
  <c r="O112" i="205" s="1"/>
  <c r="P112" i="205" s="1"/>
  <c r="Q112" i="205" s="1"/>
  <c r="R112" i="205" s="1"/>
  <c r="F114" i="205"/>
  <c r="G114" i="205" s="1"/>
  <c r="H114" i="205" s="1"/>
  <c r="I114" i="205" s="1"/>
  <c r="J114" i="205" s="1"/>
  <c r="AM114" i="205" s="1"/>
  <c r="E114" i="205"/>
  <c r="N114" i="205" s="1"/>
  <c r="O114" i="205" s="1"/>
  <c r="P114" i="205" s="1"/>
  <c r="Q114" i="205" s="1"/>
  <c r="R114" i="205" s="1"/>
  <c r="F116" i="205"/>
  <c r="G116" i="205" s="1"/>
  <c r="H116" i="205" s="1"/>
  <c r="I116" i="205" s="1"/>
  <c r="J116" i="205" s="1"/>
  <c r="AM116" i="205" s="1"/>
  <c r="E116" i="205"/>
  <c r="N116" i="205" s="1"/>
  <c r="O116" i="205" s="1"/>
  <c r="P116" i="205" s="1"/>
  <c r="Q116" i="205" s="1"/>
  <c r="R116" i="205" s="1"/>
  <c r="F131" i="205"/>
  <c r="E131" i="205"/>
  <c r="D148" i="205"/>
  <c r="F133" i="205"/>
  <c r="G133" i="205" s="1"/>
  <c r="H133" i="205" s="1"/>
  <c r="I133" i="205" s="1"/>
  <c r="J133" i="205" s="1"/>
  <c r="AM133" i="205" s="1"/>
  <c r="E133" i="205"/>
  <c r="F135" i="205"/>
  <c r="G135" i="205" s="1"/>
  <c r="H135" i="205" s="1"/>
  <c r="I135" i="205" s="1"/>
  <c r="J135" i="205" s="1"/>
  <c r="AM135" i="205" s="1"/>
  <c r="E135" i="205"/>
  <c r="F137" i="205"/>
  <c r="G137" i="205" s="1"/>
  <c r="H137" i="205" s="1"/>
  <c r="I137" i="205" s="1"/>
  <c r="J137" i="205" s="1"/>
  <c r="AM137" i="205" s="1"/>
  <c r="E137" i="205"/>
  <c r="F139" i="205"/>
  <c r="G139" i="205" s="1"/>
  <c r="H139" i="205" s="1"/>
  <c r="I139" i="205" s="1"/>
  <c r="J139" i="205" s="1"/>
  <c r="AM139" i="205" s="1"/>
  <c r="E139" i="205"/>
  <c r="F141" i="205"/>
  <c r="G141" i="205" s="1"/>
  <c r="H141" i="205" s="1"/>
  <c r="I141" i="205" s="1"/>
  <c r="J141" i="205" s="1"/>
  <c r="AM141" i="205" s="1"/>
  <c r="E141" i="205"/>
  <c r="F143" i="205"/>
  <c r="G143" i="205" s="1"/>
  <c r="H143" i="205" s="1"/>
  <c r="I143" i="205" s="1"/>
  <c r="J143" i="205" s="1"/>
  <c r="AM143" i="205" s="1"/>
  <c r="E143" i="205"/>
  <c r="F145" i="205"/>
  <c r="G145" i="205" s="1"/>
  <c r="H145" i="205" s="1"/>
  <c r="I145" i="205" s="1"/>
  <c r="J145" i="205" s="1"/>
  <c r="AM145" i="205" s="1"/>
  <c r="E145" i="205"/>
  <c r="F147" i="205"/>
  <c r="G147" i="205" s="1"/>
  <c r="H147" i="205" s="1"/>
  <c r="I147" i="205" s="1"/>
  <c r="J147" i="205" s="1"/>
  <c r="AM147" i="205" s="1"/>
  <c r="E147" i="205"/>
  <c r="F152" i="205"/>
  <c r="G152" i="205" s="1"/>
  <c r="H152" i="205" s="1"/>
  <c r="I152" i="205" s="1"/>
  <c r="J152" i="205" s="1"/>
  <c r="AM152" i="205" s="1"/>
  <c r="E152" i="205"/>
  <c r="N152" i="205" s="1"/>
  <c r="O152" i="205" s="1"/>
  <c r="P152" i="205" s="1"/>
  <c r="Q152" i="205" s="1"/>
  <c r="R152" i="205" s="1"/>
  <c r="F157" i="205"/>
  <c r="G157" i="205" s="1"/>
  <c r="H157" i="205" s="1"/>
  <c r="I157" i="205" s="1"/>
  <c r="J157" i="205" s="1"/>
  <c r="AM157" i="205" s="1"/>
  <c r="E157" i="205"/>
  <c r="N157" i="205" s="1"/>
  <c r="O157" i="205" s="1"/>
  <c r="P157" i="205" s="1"/>
  <c r="Q157" i="205" s="1"/>
  <c r="R157" i="205" s="1"/>
  <c r="F159" i="205"/>
  <c r="G159" i="205" s="1"/>
  <c r="H159" i="205" s="1"/>
  <c r="I159" i="205" s="1"/>
  <c r="J159" i="205" s="1"/>
  <c r="AM159" i="205" s="1"/>
  <c r="E159" i="205"/>
  <c r="N159" i="205" s="1"/>
  <c r="O159" i="205" s="1"/>
  <c r="P159" i="205" s="1"/>
  <c r="Q159" i="205" s="1"/>
  <c r="R159" i="205" s="1"/>
  <c r="F161" i="205"/>
  <c r="G161" i="205" s="1"/>
  <c r="H161" i="205" s="1"/>
  <c r="I161" i="205" s="1"/>
  <c r="J161" i="205" s="1"/>
  <c r="AM161" i="205" s="1"/>
  <c r="E161" i="205"/>
  <c r="N161" i="205" s="1"/>
  <c r="O161" i="205" s="1"/>
  <c r="P161" i="205" s="1"/>
  <c r="Q161" i="205" s="1"/>
  <c r="R161" i="205" s="1"/>
  <c r="F163" i="205"/>
  <c r="G163" i="205" s="1"/>
  <c r="H163" i="205" s="1"/>
  <c r="I163" i="205" s="1"/>
  <c r="J163" i="205" s="1"/>
  <c r="AM163" i="205" s="1"/>
  <c r="E163" i="205"/>
  <c r="N163" i="205" s="1"/>
  <c r="O163" i="205" s="1"/>
  <c r="P163" i="205" s="1"/>
  <c r="Q163" i="205" s="1"/>
  <c r="R163" i="205" s="1"/>
  <c r="F165" i="205"/>
  <c r="G165" i="205" s="1"/>
  <c r="H165" i="205" s="1"/>
  <c r="I165" i="205" s="1"/>
  <c r="J165" i="205" s="1"/>
  <c r="AM165" i="205" s="1"/>
  <c r="E165" i="205"/>
  <c r="N165" i="205" s="1"/>
  <c r="O165" i="205" s="1"/>
  <c r="P165" i="205" s="1"/>
  <c r="Q165" i="205" s="1"/>
  <c r="R165" i="205" s="1"/>
  <c r="F167" i="205"/>
  <c r="G167" i="205" s="1"/>
  <c r="H167" i="205" s="1"/>
  <c r="I167" i="205" s="1"/>
  <c r="J167" i="205" s="1"/>
  <c r="AM167" i="205" s="1"/>
  <c r="E167" i="205"/>
  <c r="N167" i="205" s="1"/>
  <c r="O167" i="205" s="1"/>
  <c r="P167" i="205" s="1"/>
  <c r="Q167" i="205" s="1"/>
  <c r="R167" i="205" s="1"/>
  <c r="F169" i="205"/>
  <c r="G169" i="205" s="1"/>
  <c r="H169" i="205" s="1"/>
  <c r="I169" i="205" s="1"/>
  <c r="J169" i="205" s="1"/>
  <c r="AM169" i="205" s="1"/>
  <c r="E169" i="205"/>
  <c r="N169" i="205" s="1"/>
  <c r="O169" i="205" s="1"/>
  <c r="P169" i="205" s="1"/>
  <c r="Q169" i="205" s="1"/>
  <c r="R169" i="205" s="1"/>
  <c r="F171" i="205"/>
  <c r="G171" i="205" s="1"/>
  <c r="H171" i="205" s="1"/>
  <c r="I171" i="205" s="1"/>
  <c r="J171" i="205" s="1"/>
  <c r="AM171" i="205" s="1"/>
  <c r="E171" i="205"/>
  <c r="N171" i="205" s="1"/>
  <c r="O171" i="205" s="1"/>
  <c r="P171" i="205" s="1"/>
  <c r="Q171" i="205" s="1"/>
  <c r="R171" i="205" s="1"/>
  <c r="F173" i="205"/>
  <c r="G173" i="205" s="1"/>
  <c r="H173" i="205" s="1"/>
  <c r="I173" i="205" s="1"/>
  <c r="J173" i="205" s="1"/>
  <c r="AM173" i="205" s="1"/>
  <c r="E173" i="205"/>
  <c r="N173" i="205" s="1"/>
  <c r="O173" i="205" s="1"/>
  <c r="P173" i="205" s="1"/>
  <c r="Q173" i="205" s="1"/>
  <c r="R173" i="205" s="1"/>
  <c r="F184" i="205"/>
  <c r="D187" i="205"/>
  <c r="E184" i="205"/>
  <c r="N184" i="205" s="1"/>
  <c r="O184" i="205" s="1"/>
  <c r="P184" i="205" s="1"/>
  <c r="Q184" i="205" s="1"/>
  <c r="R184" i="205" s="1"/>
  <c r="F186" i="205"/>
  <c r="G186" i="205" s="1"/>
  <c r="H186" i="205" s="1"/>
  <c r="I186" i="205" s="1"/>
  <c r="J186" i="205" s="1"/>
  <c r="AM186" i="205" s="1"/>
  <c r="E186" i="205"/>
  <c r="N186" i="205" s="1"/>
  <c r="O186" i="205" s="1"/>
  <c r="P186" i="205" s="1"/>
  <c r="Q186" i="205" s="1"/>
  <c r="R186" i="205" s="1"/>
  <c r="H813" i="205"/>
  <c r="G343" i="205"/>
  <c r="H738" i="205"/>
  <c r="G314" i="205"/>
  <c r="H804" i="205"/>
  <c r="G340" i="205"/>
  <c r="H630" i="205"/>
  <c r="G272" i="205"/>
  <c r="H651" i="205"/>
  <c r="G281" i="205"/>
  <c r="H666" i="205"/>
  <c r="G288" i="205"/>
  <c r="H690" i="205"/>
  <c r="G296" i="205"/>
  <c r="H780" i="205"/>
  <c r="G330" i="205"/>
  <c r="H795" i="205"/>
  <c r="G337" i="205"/>
  <c r="G816" i="205"/>
  <c r="G37" i="205" s="1"/>
  <c r="H765" i="205"/>
  <c r="G325" i="205"/>
  <c r="F273" i="205"/>
  <c r="H807" i="205"/>
  <c r="G341" i="205"/>
  <c r="F372" i="205"/>
  <c r="H744" i="205"/>
  <c r="G316" i="205"/>
  <c r="H759" i="205"/>
  <c r="G792" i="205"/>
  <c r="G36" i="205" s="1"/>
  <c r="G323" i="205"/>
  <c r="H540" i="205"/>
  <c r="G238" i="205"/>
  <c r="F255" i="205"/>
  <c r="H504" i="205"/>
  <c r="G226" i="205"/>
  <c r="H531" i="205"/>
  <c r="G235" i="205"/>
  <c r="H555" i="205"/>
  <c r="G243" i="205"/>
  <c r="H582" i="205"/>
  <c r="G254" i="205"/>
  <c r="H696" i="205"/>
  <c r="G298" i="205"/>
  <c r="H735" i="205"/>
  <c r="G313" i="205"/>
  <c r="H762" i="205"/>
  <c r="G324" i="205"/>
  <c r="H1047" i="205"/>
  <c r="G441" i="205"/>
  <c r="H1107" i="205"/>
  <c r="G467" i="205"/>
  <c r="H627" i="205"/>
  <c r="G271" i="205"/>
  <c r="H663" i="205"/>
  <c r="G287" i="205"/>
  <c r="H687" i="205"/>
  <c r="G295" i="205"/>
  <c r="H771" i="205"/>
  <c r="G327" i="205"/>
  <c r="F99" i="205"/>
  <c r="G99" i="205" s="1"/>
  <c r="H99" i="205" s="1"/>
  <c r="I99" i="205" s="1"/>
  <c r="J99" i="205" s="1"/>
  <c r="AM99" i="205" s="1"/>
  <c r="E99" i="205"/>
  <c r="N99" i="205" s="1"/>
  <c r="O99" i="205" s="1"/>
  <c r="P99" i="205" s="1"/>
  <c r="Q99" i="205" s="1"/>
  <c r="R99" i="205" s="1"/>
  <c r="F96" i="205"/>
  <c r="G96" i="205" s="1"/>
  <c r="H96" i="205" s="1"/>
  <c r="I96" i="205" s="1"/>
  <c r="J96" i="205" s="1"/>
  <c r="AM96" i="205" s="1"/>
  <c r="E96" i="205"/>
  <c r="N96" i="205" s="1"/>
  <c r="O96" i="205" s="1"/>
  <c r="P96" i="205" s="1"/>
  <c r="Q96" i="205" s="1"/>
  <c r="R96" i="205" s="1"/>
  <c r="F100" i="205"/>
  <c r="G100" i="205" s="1"/>
  <c r="H100" i="205" s="1"/>
  <c r="I100" i="205" s="1"/>
  <c r="J100" i="205" s="1"/>
  <c r="AM100" i="205" s="1"/>
  <c r="E100" i="205"/>
  <c r="N100" i="205" s="1"/>
  <c r="O100" i="205" s="1"/>
  <c r="P100" i="205" s="1"/>
  <c r="Q100" i="205" s="1"/>
  <c r="R100" i="205" s="1"/>
  <c r="C154" i="205"/>
  <c r="C19" i="205" s="1"/>
  <c r="H567" i="205"/>
  <c r="G249" i="205"/>
  <c r="H579" i="205"/>
  <c r="G253" i="205"/>
  <c r="H801" i="205"/>
  <c r="G339" i="205"/>
  <c r="H852" i="205"/>
  <c r="G360" i="205"/>
  <c r="H1029" i="205"/>
  <c r="G435" i="205"/>
  <c r="G1050" i="205"/>
  <c r="G47" i="205" s="1"/>
  <c r="H726" i="205"/>
  <c r="G310" i="205"/>
  <c r="H855" i="205"/>
  <c r="G361" i="205"/>
  <c r="H1044" i="205"/>
  <c r="G440" i="205"/>
  <c r="H777" i="205"/>
  <c r="G329" i="205"/>
  <c r="H1104" i="205"/>
  <c r="G466" i="205"/>
  <c r="H522" i="205"/>
  <c r="G232" i="205"/>
  <c r="H546" i="205"/>
  <c r="G240" i="205"/>
  <c r="H564" i="205"/>
  <c r="G248" i="205"/>
  <c r="H603" i="205"/>
  <c r="G263" i="205"/>
  <c r="H594" i="205"/>
  <c r="G260" i="205"/>
  <c r="H618" i="205"/>
  <c r="G268" i="205"/>
  <c r="H717" i="205"/>
  <c r="G307" i="205"/>
  <c r="H741" i="205"/>
  <c r="G315" i="205"/>
  <c r="H768" i="205"/>
  <c r="G326" i="205"/>
  <c r="H621" i="205"/>
  <c r="G269" i="205"/>
  <c r="H636" i="205"/>
  <c r="G276" i="205"/>
  <c r="G657" i="205"/>
  <c r="G33" i="205" s="1"/>
  <c r="H654" i="205"/>
  <c r="G282" i="205"/>
  <c r="H681" i="205"/>
  <c r="G293" i="205"/>
  <c r="H588" i="205"/>
  <c r="G258" i="205"/>
  <c r="G633" i="205"/>
  <c r="G32" i="205" s="1"/>
  <c r="F303" i="205"/>
  <c r="H732" i="205"/>
  <c r="G312" i="205"/>
  <c r="H843" i="205"/>
  <c r="G355" i="205"/>
  <c r="H1102" i="205"/>
  <c r="G67" i="205"/>
  <c r="H637" i="205"/>
  <c r="G66" i="205"/>
  <c r="H861" i="205"/>
  <c r="G363" i="205"/>
  <c r="H810" i="205"/>
  <c r="G342" i="205"/>
  <c r="H528" i="205"/>
  <c r="G234" i="205"/>
  <c r="H612" i="205"/>
  <c r="G266" i="205"/>
  <c r="H684" i="205"/>
  <c r="G294" i="205"/>
  <c r="H723" i="205"/>
  <c r="G309" i="205"/>
  <c r="H786" i="205"/>
  <c r="G332" i="205"/>
  <c r="H1035" i="205"/>
  <c r="G437" i="205"/>
  <c r="E468" i="205"/>
  <c r="H648" i="205"/>
  <c r="G280" i="205"/>
  <c r="F320" i="205"/>
  <c r="F97" i="205"/>
  <c r="G97" i="205" s="1"/>
  <c r="H97" i="205" s="1"/>
  <c r="I97" i="205" s="1"/>
  <c r="J97" i="205" s="1"/>
  <c r="AM97" i="205" s="1"/>
  <c r="E97" i="205"/>
  <c r="N97" i="205" s="1"/>
  <c r="O97" i="205" s="1"/>
  <c r="P97" i="205" s="1"/>
  <c r="Q97" i="205" s="1"/>
  <c r="R97" i="205" s="1"/>
  <c r="F105" i="205"/>
  <c r="G105" i="205" s="1"/>
  <c r="H105" i="205" s="1"/>
  <c r="I105" i="205" s="1"/>
  <c r="J105" i="205" s="1"/>
  <c r="AM105" i="205" s="1"/>
  <c r="E105" i="205"/>
  <c r="N105" i="205" s="1"/>
  <c r="O105" i="205" s="1"/>
  <c r="P105" i="205" s="1"/>
  <c r="Q105" i="205" s="1"/>
  <c r="R105" i="205" s="1"/>
  <c r="F107" i="205"/>
  <c r="G107" i="205" s="1"/>
  <c r="H107" i="205" s="1"/>
  <c r="I107" i="205" s="1"/>
  <c r="J107" i="205" s="1"/>
  <c r="AM107" i="205" s="1"/>
  <c r="E107" i="205"/>
  <c r="N107" i="205" s="1"/>
  <c r="O107" i="205" s="1"/>
  <c r="P107" i="205" s="1"/>
  <c r="Q107" i="205" s="1"/>
  <c r="R107" i="205" s="1"/>
  <c r="F109" i="205"/>
  <c r="G109" i="205" s="1"/>
  <c r="H109" i="205" s="1"/>
  <c r="I109" i="205" s="1"/>
  <c r="J109" i="205" s="1"/>
  <c r="AM109" i="205" s="1"/>
  <c r="E109" i="205"/>
  <c r="N109" i="205" s="1"/>
  <c r="O109" i="205" s="1"/>
  <c r="P109" i="205" s="1"/>
  <c r="Q109" i="205" s="1"/>
  <c r="R109" i="205" s="1"/>
  <c r="F111" i="205"/>
  <c r="G111" i="205" s="1"/>
  <c r="H111" i="205" s="1"/>
  <c r="I111" i="205" s="1"/>
  <c r="J111" i="205" s="1"/>
  <c r="AM111" i="205" s="1"/>
  <c r="E111" i="205"/>
  <c r="N111" i="205" s="1"/>
  <c r="O111" i="205" s="1"/>
  <c r="P111" i="205" s="1"/>
  <c r="Q111" i="205" s="1"/>
  <c r="R111" i="205" s="1"/>
  <c r="F113" i="205"/>
  <c r="G113" i="205" s="1"/>
  <c r="H113" i="205" s="1"/>
  <c r="I113" i="205" s="1"/>
  <c r="J113" i="205" s="1"/>
  <c r="AM113" i="205" s="1"/>
  <c r="E113" i="205"/>
  <c r="N113" i="205" s="1"/>
  <c r="O113" i="205" s="1"/>
  <c r="P113" i="205" s="1"/>
  <c r="Q113" i="205" s="1"/>
  <c r="R113" i="205" s="1"/>
  <c r="F115" i="205"/>
  <c r="G115" i="205" s="1"/>
  <c r="H115" i="205" s="1"/>
  <c r="I115" i="205" s="1"/>
  <c r="J115" i="205" s="1"/>
  <c r="AM115" i="205" s="1"/>
  <c r="E115" i="205"/>
  <c r="N115" i="205" s="1"/>
  <c r="O115" i="205" s="1"/>
  <c r="P115" i="205" s="1"/>
  <c r="Q115" i="205" s="1"/>
  <c r="R115" i="205" s="1"/>
  <c r="F132" i="205"/>
  <c r="G132" i="205" s="1"/>
  <c r="H132" i="205" s="1"/>
  <c r="I132" i="205" s="1"/>
  <c r="J132" i="205" s="1"/>
  <c r="AM132" i="205" s="1"/>
  <c r="E132" i="205"/>
  <c r="F134" i="205"/>
  <c r="G134" i="205" s="1"/>
  <c r="H134" i="205" s="1"/>
  <c r="I134" i="205" s="1"/>
  <c r="J134" i="205" s="1"/>
  <c r="AM134" i="205" s="1"/>
  <c r="E134" i="205"/>
  <c r="F136" i="205"/>
  <c r="G136" i="205" s="1"/>
  <c r="H136" i="205" s="1"/>
  <c r="I136" i="205" s="1"/>
  <c r="J136" i="205" s="1"/>
  <c r="AM136" i="205" s="1"/>
  <c r="E136" i="205"/>
  <c r="F138" i="205"/>
  <c r="G138" i="205" s="1"/>
  <c r="H138" i="205" s="1"/>
  <c r="I138" i="205" s="1"/>
  <c r="J138" i="205" s="1"/>
  <c r="AM138" i="205" s="1"/>
  <c r="E138" i="205"/>
  <c r="F140" i="205"/>
  <c r="G140" i="205" s="1"/>
  <c r="H140" i="205" s="1"/>
  <c r="I140" i="205" s="1"/>
  <c r="J140" i="205" s="1"/>
  <c r="AM140" i="205" s="1"/>
  <c r="E140" i="205"/>
  <c r="F142" i="205"/>
  <c r="G142" i="205" s="1"/>
  <c r="H142" i="205" s="1"/>
  <c r="I142" i="205" s="1"/>
  <c r="J142" i="205" s="1"/>
  <c r="AM142" i="205" s="1"/>
  <c r="E142" i="205"/>
  <c r="F144" i="205"/>
  <c r="G144" i="205" s="1"/>
  <c r="H144" i="205" s="1"/>
  <c r="I144" i="205" s="1"/>
  <c r="J144" i="205" s="1"/>
  <c r="AM144" i="205" s="1"/>
  <c r="E144" i="205"/>
  <c r="F146" i="205"/>
  <c r="G146" i="205" s="1"/>
  <c r="H146" i="205" s="1"/>
  <c r="I146" i="205" s="1"/>
  <c r="J146" i="205" s="1"/>
  <c r="AM146" i="205" s="1"/>
  <c r="E146" i="205"/>
  <c r="F151" i="205"/>
  <c r="E151" i="205"/>
  <c r="N151" i="205" s="1"/>
  <c r="O151" i="205" s="1"/>
  <c r="P151" i="205" s="1"/>
  <c r="Q151" i="205" s="1"/>
  <c r="R151" i="205" s="1"/>
  <c r="D154" i="205"/>
  <c r="F158" i="205"/>
  <c r="G158" i="205" s="1"/>
  <c r="H158" i="205" s="1"/>
  <c r="I158" i="205" s="1"/>
  <c r="J158" i="205" s="1"/>
  <c r="AM158" i="205" s="1"/>
  <c r="E158" i="205"/>
  <c r="N158" i="205" s="1"/>
  <c r="O158" i="205" s="1"/>
  <c r="P158" i="205" s="1"/>
  <c r="Q158" i="205" s="1"/>
  <c r="R158" i="205" s="1"/>
  <c r="F160" i="205"/>
  <c r="G160" i="205" s="1"/>
  <c r="H160" i="205" s="1"/>
  <c r="I160" i="205" s="1"/>
  <c r="J160" i="205" s="1"/>
  <c r="AM160" i="205" s="1"/>
  <c r="E160" i="205"/>
  <c r="N160" i="205" s="1"/>
  <c r="O160" i="205" s="1"/>
  <c r="P160" i="205" s="1"/>
  <c r="Q160" i="205" s="1"/>
  <c r="R160" i="205" s="1"/>
  <c r="F162" i="205"/>
  <c r="G162" i="205" s="1"/>
  <c r="H162" i="205" s="1"/>
  <c r="I162" i="205" s="1"/>
  <c r="J162" i="205" s="1"/>
  <c r="AM162" i="205" s="1"/>
  <c r="E162" i="205"/>
  <c r="N162" i="205" s="1"/>
  <c r="O162" i="205" s="1"/>
  <c r="P162" i="205" s="1"/>
  <c r="Q162" i="205" s="1"/>
  <c r="R162" i="205" s="1"/>
  <c r="F164" i="205"/>
  <c r="G164" i="205" s="1"/>
  <c r="H164" i="205" s="1"/>
  <c r="I164" i="205" s="1"/>
  <c r="J164" i="205" s="1"/>
  <c r="AM164" i="205" s="1"/>
  <c r="E164" i="205"/>
  <c r="N164" i="205" s="1"/>
  <c r="O164" i="205" s="1"/>
  <c r="P164" i="205" s="1"/>
  <c r="Q164" i="205" s="1"/>
  <c r="R164" i="205" s="1"/>
  <c r="F166" i="205"/>
  <c r="G166" i="205" s="1"/>
  <c r="H166" i="205" s="1"/>
  <c r="I166" i="205" s="1"/>
  <c r="J166" i="205" s="1"/>
  <c r="AM166" i="205" s="1"/>
  <c r="E166" i="205"/>
  <c r="N166" i="205" s="1"/>
  <c r="O166" i="205" s="1"/>
  <c r="P166" i="205" s="1"/>
  <c r="Q166" i="205" s="1"/>
  <c r="R166" i="205" s="1"/>
  <c r="F168" i="205"/>
  <c r="G168" i="205" s="1"/>
  <c r="H168" i="205" s="1"/>
  <c r="I168" i="205" s="1"/>
  <c r="J168" i="205" s="1"/>
  <c r="AM168" i="205" s="1"/>
  <c r="E168" i="205"/>
  <c r="N168" i="205" s="1"/>
  <c r="O168" i="205" s="1"/>
  <c r="P168" i="205" s="1"/>
  <c r="Q168" i="205" s="1"/>
  <c r="R168" i="205" s="1"/>
  <c r="F170" i="205"/>
  <c r="G170" i="205" s="1"/>
  <c r="H170" i="205" s="1"/>
  <c r="I170" i="205" s="1"/>
  <c r="J170" i="205" s="1"/>
  <c r="AM170" i="205" s="1"/>
  <c r="E170" i="205"/>
  <c r="N170" i="205" s="1"/>
  <c r="O170" i="205" s="1"/>
  <c r="P170" i="205" s="1"/>
  <c r="Q170" i="205" s="1"/>
  <c r="R170" i="205" s="1"/>
  <c r="F172" i="205"/>
  <c r="G172" i="205" s="1"/>
  <c r="H172" i="205" s="1"/>
  <c r="I172" i="205" s="1"/>
  <c r="J172" i="205" s="1"/>
  <c r="AM172" i="205" s="1"/>
  <c r="E172" i="205"/>
  <c r="N172" i="205" s="1"/>
  <c r="O172" i="205" s="1"/>
  <c r="P172" i="205" s="1"/>
  <c r="Q172" i="205" s="1"/>
  <c r="R172" i="205" s="1"/>
  <c r="F185" i="205"/>
  <c r="G185" i="205" s="1"/>
  <c r="H185" i="205" s="1"/>
  <c r="I185" i="205" s="1"/>
  <c r="J185" i="205" s="1"/>
  <c r="AM185" i="205" s="1"/>
  <c r="E185" i="205"/>
  <c r="N185" i="205" s="1"/>
  <c r="O185" i="205" s="1"/>
  <c r="P185" i="205" s="1"/>
  <c r="Q185" i="205" s="1"/>
  <c r="R185" i="205" s="1"/>
  <c r="H639" i="205"/>
  <c r="G277" i="205"/>
  <c r="H747" i="205"/>
  <c r="G317" i="205"/>
  <c r="H840" i="205"/>
  <c r="G354" i="205"/>
  <c r="F468" i="205"/>
  <c r="H837" i="205"/>
  <c r="G353" i="205"/>
  <c r="H549" i="205"/>
  <c r="G241" i="205"/>
  <c r="H591" i="205"/>
  <c r="G259" i="205"/>
  <c r="H678" i="205"/>
  <c r="G292" i="205"/>
  <c r="H702" i="205"/>
  <c r="G300" i="205"/>
  <c r="F344" i="205"/>
  <c r="H705" i="205"/>
  <c r="G301" i="205"/>
  <c r="F356" i="205"/>
  <c r="H573" i="205"/>
  <c r="G251" i="205"/>
  <c r="H660" i="205"/>
  <c r="G286" i="205"/>
  <c r="G711" i="205"/>
  <c r="G34" i="205" s="1"/>
  <c r="H834" i="205"/>
  <c r="G352" i="205"/>
  <c r="H849" i="205"/>
  <c r="G359" i="205"/>
  <c r="H858" i="205"/>
  <c r="G362" i="205"/>
  <c r="H1074" i="205"/>
  <c r="G454" i="205"/>
  <c r="H720" i="205"/>
  <c r="G308" i="205"/>
  <c r="H831" i="205"/>
  <c r="G351" i="205"/>
  <c r="H1071" i="205"/>
  <c r="G453" i="205"/>
  <c r="G1080" i="205"/>
  <c r="G49" i="205" s="1"/>
  <c r="H525" i="205"/>
  <c r="G233" i="205"/>
  <c r="H561" i="205"/>
  <c r="G585" i="205"/>
  <c r="G31" i="205" s="1"/>
  <c r="G247" i="205"/>
  <c r="H543" i="205"/>
  <c r="G239" i="205"/>
  <c r="H570" i="205"/>
  <c r="G250" i="205"/>
  <c r="H597" i="205"/>
  <c r="G261" i="205"/>
  <c r="H519" i="205"/>
  <c r="G231" i="205"/>
  <c r="H645" i="205"/>
  <c r="G279" i="205"/>
  <c r="H672" i="205"/>
  <c r="G290" i="205"/>
  <c r="H708" i="205"/>
  <c r="G302" i="205"/>
  <c r="H774" i="205"/>
  <c r="G328" i="205"/>
  <c r="E442" i="205"/>
  <c r="H615" i="205"/>
  <c r="G267" i="205"/>
  <c r="H675" i="205"/>
  <c r="G291" i="205"/>
  <c r="H714" i="205"/>
  <c r="G756" i="205"/>
  <c r="G35" i="205" s="1"/>
  <c r="G306" i="205"/>
  <c r="H798" i="205"/>
  <c r="G338" i="205"/>
  <c r="S29" i="203"/>
  <c r="D92" i="205"/>
  <c r="F103" i="205"/>
  <c r="G103" i="205" s="1"/>
  <c r="H103" i="205" s="1"/>
  <c r="I103" i="205" s="1"/>
  <c r="J103" i="205" s="1"/>
  <c r="AM103" i="205" s="1"/>
  <c r="E103" i="205"/>
  <c r="N103" i="205" s="1"/>
  <c r="O103" i="205" s="1"/>
  <c r="P103" i="205" s="1"/>
  <c r="Q103" i="205" s="1"/>
  <c r="R103" i="205" s="1"/>
  <c r="C148" i="205"/>
  <c r="C18" i="205" s="1"/>
  <c r="AK137" i="205"/>
  <c r="C187" i="205"/>
  <c r="C21" i="205" s="1"/>
  <c r="H828" i="205"/>
  <c r="G350" i="205"/>
  <c r="E888" i="205"/>
  <c r="D39" i="205"/>
  <c r="E39" i="205" s="1"/>
  <c r="H1101" i="205"/>
  <c r="G465" i="205"/>
  <c r="G1110" i="205"/>
  <c r="G50" i="205" s="1"/>
  <c r="H750" i="205"/>
  <c r="G318" i="205"/>
  <c r="H825" i="205"/>
  <c r="G349" i="205"/>
  <c r="H1032" i="205"/>
  <c r="G436" i="205"/>
  <c r="H1077" i="205"/>
  <c r="G455" i="205"/>
  <c r="H534" i="205"/>
  <c r="G236" i="205"/>
  <c r="H537" i="205"/>
  <c r="G237" i="205"/>
  <c r="H576" i="205"/>
  <c r="G252" i="205"/>
  <c r="E273" i="205"/>
  <c r="H606" i="205"/>
  <c r="G264" i="205"/>
  <c r="H729" i="205"/>
  <c r="G311" i="205"/>
  <c r="H753" i="205"/>
  <c r="G319" i="205"/>
  <c r="H1041" i="205"/>
  <c r="G439" i="205"/>
  <c r="H609" i="205"/>
  <c r="G265" i="205"/>
  <c r="F283" i="205"/>
  <c r="H642" i="205"/>
  <c r="G278" i="205"/>
  <c r="H669" i="205"/>
  <c r="G289" i="205"/>
  <c r="H693" i="205"/>
  <c r="G297" i="205"/>
  <c r="H789" i="205"/>
  <c r="G333" i="205"/>
  <c r="H819" i="205"/>
  <c r="G347" i="205"/>
  <c r="G846" i="205"/>
  <c r="G38" i="205" s="1"/>
  <c r="H822" i="205"/>
  <c r="G348" i="205"/>
  <c r="H640" i="205"/>
  <c r="G63" i="205"/>
  <c r="F334" i="205"/>
  <c r="H1038" i="205"/>
  <c r="G438" i="205"/>
  <c r="H783" i="205"/>
  <c r="G331" i="205"/>
  <c r="H552" i="205"/>
  <c r="G242" i="205"/>
  <c r="H600" i="205"/>
  <c r="G262" i="205"/>
  <c r="H624" i="205"/>
  <c r="G270" i="205"/>
  <c r="H1072" i="205"/>
  <c r="G69" i="205"/>
  <c r="H699" i="205"/>
  <c r="G299" i="205"/>
  <c r="E456" i="205"/>
  <c r="F244" i="205"/>
  <c r="E30" i="205"/>
  <c r="H507" i="205"/>
  <c r="G558" i="205"/>
  <c r="G227" i="205"/>
  <c r="H513" i="205"/>
  <c r="G229" i="205"/>
  <c r="E244" i="205"/>
  <c r="H516" i="205"/>
  <c r="G230" i="205"/>
  <c r="F30" i="205"/>
  <c r="H510" i="205"/>
  <c r="G228" i="205"/>
  <c r="C218" i="205"/>
  <c r="C23" i="205" s="1"/>
  <c r="F208" i="205"/>
  <c r="G208" i="205" s="1"/>
  <c r="H208" i="205" s="1"/>
  <c r="I208" i="205" s="1"/>
  <c r="J208" i="205" s="1"/>
  <c r="AM208" i="205" s="1"/>
  <c r="E208" i="205"/>
  <c r="N208" i="205" s="1"/>
  <c r="O208" i="205" s="1"/>
  <c r="P208" i="205" s="1"/>
  <c r="Q208" i="205" s="1"/>
  <c r="R208" i="205" s="1"/>
  <c r="F210" i="205"/>
  <c r="G210" i="205" s="1"/>
  <c r="H210" i="205" s="1"/>
  <c r="I210" i="205" s="1"/>
  <c r="J210" i="205" s="1"/>
  <c r="AM210" i="205" s="1"/>
  <c r="E210" i="205"/>
  <c r="N210" i="205" s="1"/>
  <c r="O210" i="205" s="1"/>
  <c r="P210" i="205" s="1"/>
  <c r="Q210" i="205" s="1"/>
  <c r="R210" i="205" s="1"/>
  <c r="F212" i="205"/>
  <c r="G212" i="205" s="1"/>
  <c r="H212" i="205" s="1"/>
  <c r="I212" i="205" s="1"/>
  <c r="J212" i="205" s="1"/>
  <c r="AM212" i="205" s="1"/>
  <c r="E212" i="205"/>
  <c r="N212" i="205" s="1"/>
  <c r="O212" i="205" s="1"/>
  <c r="P212" i="205" s="1"/>
  <c r="Q212" i="205" s="1"/>
  <c r="R212" i="205" s="1"/>
  <c r="F214" i="205"/>
  <c r="G214" i="205" s="1"/>
  <c r="H214" i="205" s="1"/>
  <c r="I214" i="205" s="1"/>
  <c r="J214" i="205" s="1"/>
  <c r="AM214" i="205" s="1"/>
  <c r="E214" i="205"/>
  <c r="N214" i="205" s="1"/>
  <c r="O214" i="205" s="1"/>
  <c r="P214" i="205" s="1"/>
  <c r="Q214" i="205" s="1"/>
  <c r="R214" i="205" s="1"/>
  <c r="F216" i="205"/>
  <c r="G216" i="205" s="1"/>
  <c r="H216" i="205" s="1"/>
  <c r="I216" i="205" s="1"/>
  <c r="J216" i="205" s="1"/>
  <c r="AM216" i="205" s="1"/>
  <c r="E216" i="205"/>
  <c r="N216" i="205" s="1"/>
  <c r="O216" i="205" s="1"/>
  <c r="P216" i="205" s="1"/>
  <c r="Q216" i="205" s="1"/>
  <c r="R216" i="205" s="1"/>
  <c r="F207" i="205"/>
  <c r="D218" i="205"/>
  <c r="E207" i="205"/>
  <c r="N207" i="205" s="1"/>
  <c r="O207" i="205" s="1"/>
  <c r="P207" i="205" s="1"/>
  <c r="Q207" i="205" s="1"/>
  <c r="R207" i="205" s="1"/>
  <c r="F209" i="205"/>
  <c r="G209" i="205" s="1"/>
  <c r="H209" i="205" s="1"/>
  <c r="I209" i="205" s="1"/>
  <c r="J209" i="205" s="1"/>
  <c r="AM209" i="205" s="1"/>
  <c r="E209" i="205"/>
  <c r="N209" i="205" s="1"/>
  <c r="O209" i="205" s="1"/>
  <c r="P209" i="205" s="1"/>
  <c r="Q209" i="205" s="1"/>
  <c r="R209" i="205" s="1"/>
  <c r="F211" i="205"/>
  <c r="G211" i="205" s="1"/>
  <c r="H211" i="205" s="1"/>
  <c r="I211" i="205" s="1"/>
  <c r="J211" i="205" s="1"/>
  <c r="AM211" i="205" s="1"/>
  <c r="E211" i="205"/>
  <c r="N211" i="205" s="1"/>
  <c r="O211" i="205" s="1"/>
  <c r="P211" i="205" s="1"/>
  <c r="Q211" i="205" s="1"/>
  <c r="R211" i="205" s="1"/>
  <c r="F213" i="205"/>
  <c r="G213" i="205" s="1"/>
  <c r="H213" i="205" s="1"/>
  <c r="I213" i="205" s="1"/>
  <c r="J213" i="205" s="1"/>
  <c r="AM213" i="205" s="1"/>
  <c r="E213" i="205"/>
  <c r="N213" i="205" s="1"/>
  <c r="O213" i="205" s="1"/>
  <c r="P213" i="205" s="1"/>
  <c r="Q213" i="205" s="1"/>
  <c r="R213" i="205" s="1"/>
  <c r="F215" i="205"/>
  <c r="G215" i="205" s="1"/>
  <c r="H215" i="205" s="1"/>
  <c r="I215" i="205" s="1"/>
  <c r="J215" i="205" s="1"/>
  <c r="AM215" i="205" s="1"/>
  <c r="E215" i="205"/>
  <c r="N215" i="205" s="1"/>
  <c r="O215" i="205" s="1"/>
  <c r="P215" i="205" s="1"/>
  <c r="Q215" i="205" s="1"/>
  <c r="R215" i="205" s="1"/>
  <c r="F217" i="205"/>
  <c r="G217" i="205" s="1"/>
  <c r="H217" i="205" s="1"/>
  <c r="I217" i="205" s="1"/>
  <c r="J217" i="205" s="1"/>
  <c r="AM217" i="205" s="1"/>
  <c r="E217" i="205"/>
  <c r="N217" i="205" s="1"/>
  <c r="O217" i="205" s="1"/>
  <c r="P217" i="205" s="1"/>
  <c r="Q217" i="205" s="1"/>
  <c r="R217" i="205" s="1"/>
  <c r="F117" i="205"/>
  <c r="E117" i="205"/>
  <c r="N117" i="205" s="1"/>
  <c r="O117" i="205" s="1"/>
  <c r="P117" i="205" s="1"/>
  <c r="Q117" i="205" s="1"/>
  <c r="R117" i="205" s="1"/>
  <c r="D128" i="205"/>
  <c r="F119" i="205"/>
  <c r="G119" i="205" s="1"/>
  <c r="H119" i="205" s="1"/>
  <c r="I119" i="205" s="1"/>
  <c r="J119" i="205" s="1"/>
  <c r="AM119" i="205" s="1"/>
  <c r="E119" i="205"/>
  <c r="N119" i="205" s="1"/>
  <c r="O119" i="205" s="1"/>
  <c r="P119" i="205" s="1"/>
  <c r="Q119" i="205" s="1"/>
  <c r="R119" i="205" s="1"/>
  <c r="F121" i="205"/>
  <c r="G121" i="205" s="1"/>
  <c r="H121" i="205" s="1"/>
  <c r="I121" i="205" s="1"/>
  <c r="J121" i="205" s="1"/>
  <c r="AM121" i="205" s="1"/>
  <c r="E121" i="205"/>
  <c r="N121" i="205" s="1"/>
  <c r="O121" i="205" s="1"/>
  <c r="P121" i="205" s="1"/>
  <c r="Q121" i="205" s="1"/>
  <c r="R121" i="205" s="1"/>
  <c r="F123" i="205"/>
  <c r="G123" i="205" s="1"/>
  <c r="H123" i="205" s="1"/>
  <c r="I123" i="205" s="1"/>
  <c r="J123" i="205" s="1"/>
  <c r="AM123" i="205" s="1"/>
  <c r="E123" i="205"/>
  <c r="N123" i="205" s="1"/>
  <c r="O123" i="205" s="1"/>
  <c r="P123" i="205" s="1"/>
  <c r="Q123" i="205" s="1"/>
  <c r="R123" i="205" s="1"/>
  <c r="F125" i="205"/>
  <c r="G125" i="205" s="1"/>
  <c r="H125" i="205" s="1"/>
  <c r="I125" i="205" s="1"/>
  <c r="J125" i="205" s="1"/>
  <c r="AM125" i="205" s="1"/>
  <c r="E125" i="205"/>
  <c r="N125" i="205" s="1"/>
  <c r="O125" i="205" s="1"/>
  <c r="P125" i="205" s="1"/>
  <c r="Q125" i="205" s="1"/>
  <c r="R125" i="205" s="1"/>
  <c r="F127" i="205"/>
  <c r="G127" i="205" s="1"/>
  <c r="H127" i="205" s="1"/>
  <c r="I127" i="205" s="1"/>
  <c r="J127" i="205" s="1"/>
  <c r="AM127" i="205" s="1"/>
  <c r="E127" i="205"/>
  <c r="N127" i="205" s="1"/>
  <c r="O127" i="205" s="1"/>
  <c r="P127" i="205" s="1"/>
  <c r="Q127" i="205" s="1"/>
  <c r="R127" i="205" s="1"/>
  <c r="F118" i="205"/>
  <c r="G118" i="205" s="1"/>
  <c r="H118" i="205" s="1"/>
  <c r="I118" i="205" s="1"/>
  <c r="J118" i="205" s="1"/>
  <c r="AM118" i="205" s="1"/>
  <c r="E118" i="205"/>
  <c r="N118" i="205" s="1"/>
  <c r="O118" i="205" s="1"/>
  <c r="P118" i="205" s="1"/>
  <c r="Q118" i="205" s="1"/>
  <c r="R118" i="205" s="1"/>
  <c r="F120" i="205"/>
  <c r="G120" i="205" s="1"/>
  <c r="H120" i="205" s="1"/>
  <c r="I120" i="205" s="1"/>
  <c r="J120" i="205" s="1"/>
  <c r="AM120" i="205" s="1"/>
  <c r="E120" i="205"/>
  <c r="N120" i="205" s="1"/>
  <c r="O120" i="205" s="1"/>
  <c r="P120" i="205" s="1"/>
  <c r="Q120" i="205" s="1"/>
  <c r="R120" i="205" s="1"/>
  <c r="F122" i="205"/>
  <c r="G122" i="205" s="1"/>
  <c r="H122" i="205" s="1"/>
  <c r="I122" i="205" s="1"/>
  <c r="J122" i="205" s="1"/>
  <c r="AM122" i="205" s="1"/>
  <c r="E122" i="205"/>
  <c r="N122" i="205" s="1"/>
  <c r="O122" i="205" s="1"/>
  <c r="P122" i="205" s="1"/>
  <c r="Q122" i="205" s="1"/>
  <c r="R122" i="205" s="1"/>
  <c r="F124" i="205"/>
  <c r="G124" i="205" s="1"/>
  <c r="H124" i="205" s="1"/>
  <c r="I124" i="205" s="1"/>
  <c r="J124" i="205" s="1"/>
  <c r="AM124" i="205" s="1"/>
  <c r="E124" i="205"/>
  <c r="N124" i="205" s="1"/>
  <c r="O124" i="205" s="1"/>
  <c r="P124" i="205" s="1"/>
  <c r="Q124" i="205" s="1"/>
  <c r="R124" i="205" s="1"/>
  <c r="F126" i="205"/>
  <c r="G126" i="205" s="1"/>
  <c r="H126" i="205" s="1"/>
  <c r="I126" i="205" s="1"/>
  <c r="J126" i="205" s="1"/>
  <c r="AM126" i="205" s="1"/>
  <c r="E126" i="205"/>
  <c r="N126" i="205" s="1"/>
  <c r="O126" i="205" s="1"/>
  <c r="P126" i="205" s="1"/>
  <c r="Q126" i="205" s="1"/>
  <c r="R126" i="205" s="1"/>
  <c r="C128" i="205"/>
  <c r="C17" i="205" s="1"/>
  <c r="F176" i="205"/>
  <c r="G176" i="205" s="1"/>
  <c r="H176" i="205" s="1"/>
  <c r="I176" i="205" s="1"/>
  <c r="J176" i="205" s="1"/>
  <c r="AM176" i="205" s="1"/>
  <c r="E176" i="205"/>
  <c r="N176" i="205" s="1"/>
  <c r="O176" i="205" s="1"/>
  <c r="P176" i="205" s="1"/>
  <c r="Q176" i="205" s="1"/>
  <c r="R176" i="205" s="1"/>
  <c r="F180" i="205"/>
  <c r="G180" i="205" s="1"/>
  <c r="H180" i="205" s="1"/>
  <c r="I180" i="205" s="1"/>
  <c r="J180" i="205" s="1"/>
  <c r="AM180" i="205" s="1"/>
  <c r="E180" i="205"/>
  <c r="N180" i="205" s="1"/>
  <c r="O180" i="205" s="1"/>
  <c r="P180" i="205" s="1"/>
  <c r="Q180" i="205" s="1"/>
  <c r="R180" i="205" s="1"/>
  <c r="F174" i="205"/>
  <c r="D181" i="205"/>
  <c r="F175" i="205"/>
  <c r="G175" i="205" s="1"/>
  <c r="H175" i="205" s="1"/>
  <c r="I175" i="205" s="1"/>
  <c r="J175" i="205" s="1"/>
  <c r="AM175" i="205" s="1"/>
  <c r="E175" i="205"/>
  <c r="N175" i="205" s="1"/>
  <c r="O175" i="205" s="1"/>
  <c r="P175" i="205" s="1"/>
  <c r="Q175" i="205" s="1"/>
  <c r="R175" i="205" s="1"/>
  <c r="F177" i="205"/>
  <c r="G177" i="205" s="1"/>
  <c r="H177" i="205" s="1"/>
  <c r="I177" i="205" s="1"/>
  <c r="J177" i="205" s="1"/>
  <c r="AM177" i="205" s="1"/>
  <c r="E177" i="205"/>
  <c r="N177" i="205" s="1"/>
  <c r="O177" i="205" s="1"/>
  <c r="P177" i="205" s="1"/>
  <c r="Q177" i="205" s="1"/>
  <c r="R177" i="205" s="1"/>
  <c r="F179" i="205"/>
  <c r="G179" i="205" s="1"/>
  <c r="H179" i="205" s="1"/>
  <c r="I179" i="205" s="1"/>
  <c r="J179" i="205" s="1"/>
  <c r="AM179" i="205" s="1"/>
  <c r="E179" i="205"/>
  <c r="N179" i="205" s="1"/>
  <c r="O179" i="205" s="1"/>
  <c r="P179" i="205" s="1"/>
  <c r="Q179" i="205" s="1"/>
  <c r="R179" i="205" s="1"/>
  <c r="E174" i="205"/>
  <c r="N174" i="205" s="1"/>
  <c r="O174" i="205" s="1"/>
  <c r="P174" i="205" s="1"/>
  <c r="Q174" i="205" s="1"/>
  <c r="R174" i="205" s="1"/>
  <c r="C181" i="205"/>
  <c r="E178" i="205"/>
  <c r="N178" i="205" s="1"/>
  <c r="O178" i="205" s="1"/>
  <c r="P178" i="205" s="1"/>
  <c r="Q178" i="205" s="1"/>
  <c r="R178" i="205" s="1"/>
  <c r="AK178" i="205"/>
  <c r="S93" i="203"/>
  <c r="S142" i="203"/>
  <c r="S118" i="203"/>
  <c r="J181" i="203"/>
  <c r="J254" i="203"/>
  <c r="J255" i="203"/>
  <c r="J257" i="203"/>
  <c r="J258" i="203"/>
  <c r="J261" i="203"/>
  <c r="J263" i="203"/>
  <c r="J264" i="203"/>
  <c r="J266" i="203"/>
  <c r="J270" i="203"/>
  <c r="J418" i="203"/>
  <c r="S418" i="203" s="1"/>
  <c r="J419" i="203"/>
  <c r="S419" i="203" s="1"/>
  <c r="J420" i="203"/>
  <c r="S420" i="203" s="1"/>
  <c r="S428" i="203"/>
  <c r="J406" i="203"/>
  <c r="S45" i="203"/>
  <c r="J173" i="203"/>
  <c r="F407" i="203"/>
  <c r="S407" i="203" s="1"/>
  <c r="S47" i="203"/>
  <c r="S58" i="203"/>
  <c r="S64" i="203"/>
  <c r="S86" i="203"/>
  <c r="S138" i="203"/>
  <c r="J178" i="203"/>
  <c r="J184" i="203"/>
  <c r="J185" i="203"/>
  <c r="J248" i="203"/>
  <c r="J182" i="203"/>
  <c r="F263" i="203"/>
  <c r="F272" i="203"/>
  <c r="F273" i="203"/>
  <c r="F274" i="203"/>
  <c r="F275" i="203"/>
  <c r="F276" i="203"/>
  <c r="F277" i="203"/>
  <c r="F278" i="203"/>
  <c r="F279" i="203"/>
  <c r="F280" i="203"/>
  <c r="F281" i="203"/>
  <c r="F285" i="203"/>
  <c r="F287" i="203"/>
  <c r="F288" i="203"/>
  <c r="F289" i="203"/>
  <c r="F290" i="203"/>
  <c r="F291" i="203"/>
  <c r="F292" i="203"/>
  <c r="F296" i="203"/>
  <c r="F297" i="203"/>
  <c r="F298" i="203"/>
  <c r="F299" i="203"/>
  <c r="F300" i="203"/>
  <c r="F301" i="203"/>
  <c r="F302" i="203"/>
  <c r="F303" i="203"/>
  <c r="F304" i="203"/>
  <c r="F308" i="203"/>
  <c r="F310" i="203"/>
  <c r="F311" i="203"/>
  <c r="F312" i="203"/>
  <c r="F313" i="203"/>
  <c r="F314" i="203"/>
  <c r="F386" i="203"/>
  <c r="F387" i="203"/>
  <c r="F389" i="203"/>
  <c r="F390" i="203"/>
  <c r="J405" i="203"/>
  <c r="S405" i="203" s="1"/>
  <c r="F178" i="203"/>
  <c r="J245" i="203"/>
  <c r="H425" i="203"/>
  <c r="H438" i="203" s="1"/>
  <c r="D94" i="203"/>
  <c r="F177" i="203"/>
  <c r="F180" i="203"/>
  <c r="F181" i="203"/>
  <c r="S380" i="203"/>
  <c r="J388" i="203"/>
  <c r="J390" i="203"/>
  <c r="J391" i="203"/>
  <c r="J398" i="203"/>
  <c r="F406" i="203"/>
  <c r="F221" i="203"/>
  <c r="F222" i="203"/>
  <c r="F224" i="203"/>
  <c r="F225" i="203"/>
  <c r="F227" i="203"/>
  <c r="F231" i="203"/>
  <c r="F235" i="203"/>
  <c r="F237" i="203"/>
  <c r="F238" i="203"/>
  <c r="F240" i="203"/>
  <c r="F241" i="203"/>
  <c r="J172" i="203"/>
  <c r="S172" i="203" s="1"/>
  <c r="J175" i="203"/>
  <c r="J176" i="203"/>
  <c r="F186" i="203"/>
  <c r="F266" i="203"/>
  <c r="I282" i="203"/>
  <c r="J343" i="203"/>
  <c r="F173" i="203"/>
  <c r="J177" i="203"/>
  <c r="F182" i="203"/>
  <c r="J186" i="203"/>
  <c r="E199" i="203"/>
  <c r="D169" i="203"/>
  <c r="D187" i="203" s="1"/>
  <c r="J170" i="203"/>
  <c r="F175" i="203"/>
  <c r="J179" i="203"/>
  <c r="F184" i="203"/>
  <c r="J190" i="203"/>
  <c r="S190" i="203" s="1"/>
  <c r="J192" i="203"/>
  <c r="J193" i="203"/>
  <c r="J194" i="203"/>
  <c r="J195" i="203"/>
  <c r="J196" i="203"/>
  <c r="J171" i="203"/>
  <c r="S171" i="203" s="1"/>
  <c r="F176" i="203"/>
  <c r="J180" i="203"/>
  <c r="F185" i="203"/>
  <c r="H191" i="203"/>
  <c r="H199" i="203" s="1"/>
  <c r="F170" i="203"/>
  <c r="J174" i="203"/>
  <c r="S174" i="203" s="1"/>
  <c r="F179" i="203"/>
  <c r="J183" i="203"/>
  <c r="S183" i="203" s="1"/>
  <c r="F192" i="203"/>
  <c r="F193" i="203"/>
  <c r="F194" i="203"/>
  <c r="F195" i="203"/>
  <c r="F196" i="203"/>
  <c r="F197" i="203"/>
  <c r="F198" i="203"/>
  <c r="F202" i="203"/>
  <c r="F204" i="203"/>
  <c r="F205" i="203"/>
  <c r="F206" i="203"/>
  <c r="F207" i="203"/>
  <c r="F208" i="203"/>
  <c r="F209" i="203"/>
  <c r="F210" i="203"/>
  <c r="F211" i="203"/>
  <c r="F212" i="203"/>
  <c r="F213" i="203"/>
  <c r="F214" i="203"/>
  <c r="F215" i="203"/>
  <c r="F216" i="203"/>
  <c r="F217" i="203"/>
  <c r="H445" i="203"/>
  <c r="D228" i="203"/>
  <c r="J386" i="203"/>
  <c r="F391" i="203"/>
  <c r="S412" i="203"/>
  <c r="S442" i="203"/>
  <c r="J197" i="203"/>
  <c r="J198" i="203"/>
  <c r="J202" i="203"/>
  <c r="J204" i="203"/>
  <c r="J205" i="203"/>
  <c r="J206" i="203"/>
  <c r="J207" i="203"/>
  <c r="J208" i="203"/>
  <c r="J209" i="203"/>
  <c r="J210" i="203"/>
  <c r="J211" i="203"/>
  <c r="J212" i="203"/>
  <c r="J213" i="203"/>
  <c r="J214" i="203"/>
  <c r="J215" i="203"/>
  <c r="J216" i="203"/>
  <c r="E228" i="203"/>
  <c r="F257" i="203"/>
  <c r="J274" i="203"/>
  <c r="J275" i="203"/>
  <c r="J276" i="203"/>
  <c r="J277" i="203"/>
  <c r="J278" i="203"/>
  <c r="J279" i="203"/>
  <c r="J280" i="203"/>
  <c r="J281" i="203"/>
  <c r="J285" i="203"/>
  <c r="J287" i="203"/>
  <c r="J288" i="203"/>
  <c r="J289" i="203"/>
  <c r="J290" i="203"/>
  <c r="J291" i="203"/>
  <c r="J292" i="203"/>
  <c r="J296" i="203"/>
  <c r="J297" i="203"/>
  <c r="J298" i="203"/>
  <c r="J299" i="203"/>
  <c r="J301" i="203"/>
  <c r="J302" i="203"/>
  <c r="J303" i="203"/>
  <c r="J304" i="203"/>
  <c r="J308" i="203"/>
  <c r="J310" i="203"/>
  <c r="J311" i="203"/>
  <c r="J312" i="203"/>
  <c r="J313" i="203"/>
  <c r="J314" i="203"/>
  <c r="S328" i="203"/>
  <c r="J339" i="203"/>
  <c r="J347" i="203"/>
  <c r="J387" i="203"/>
  <c r="F392" i="203"/>
  <c r="D445" i="203"/>
  <c r="J217" i="203"/>
  <c r="J222" i="203"/>
  <c r="J223" i="203"/>
  <c r="J226" i="203"/>
  <c r="J231" i="203"/>
  <c r="J233" i="203"/>
  <c r="J235" i="203"/>
  <c r="J236" i="203"/>
  <c r="J239" i="203"/>
  <c r="J241" i="203"/>
  <c r="J242" i="203"/>
  <c r="J244" i="203"/>
  <c r="S244" i="203" s="1"/>
  <c r="F259" i="203"/>
  <c r="F260" i="203"/>
  <c r="F262" i="203"/>
  <c r="F361" i="203"/>
  <c r="S370" i="203"/>
  <c r="J389" i="203"/>
  <c r="F339" i="203"/>
  <c r="F343" i="203"/>
  <c r="F347" i="203"/>
  <c r="S369" i="203"/>
  <c r="S373" i="203"/>
  <c r="F388" i="203"/>
  <c r="J392" i="203"/>
  <c r="S413" i="203"/>
  <c r="S435" i="203"/>
  <c r="S48" i="203"/>
  <c r="S52" i="203"/>
  <c r="S49" i="203"/>
  <c r="E445" i="203"/>
  <c r="H421" i="203"/>
  <c r="E408" i="203"/>
  <c r="J221" i="203"/>
  <c r="F226" i="203"/>
  <c r="J234" i="203"/>
  <c r="F239" i="203"/>
  <c r="J243" i="203"/>
  <c r="F248" i="203"/>
  <c r="J256" i="203"/>
  <c r="F261" i="203"/>
  <c r="J265" i="203"/>
  <c r="J224" i="203"/>
  <c r="F233" i="203"/>
  <c r="J237" i="203"/>
  <c r="F242" i="203"/>
  <c r="J246" i="203"/>
  <c r="S246" i="203" s="1"/>
  <c r="F255" i="203"/>
  <c r="J259" i="203"/>
  <c r="F264" i="203"/>
  <c r="J272" i="203"/>
  <c r="J273" i="203"/>
  <c r="J300" i="203"/>
  <c r="J225" i="203"/>
  <c r="F234" i="203"/>
  <c r="J238" i="203"/>
  <c r="F243" i="203"/>
  <c r="J247" i="203"/>
  <c r="S247" i="203" s="1"/>
  <c r="F256" i="203"/>
  <c r="J260" i="203"/>
  <c r="F265" i="203"/>
  <c r="C191" i="203"/>
  <c r="C199" i="203" s="1"/>
  <c r="F223" i="203"/>
  <c r="J227" i="203"/>
  <c r="F236" i="203"/>
  <c r="J240" i="203"/>
  <c r="F245" i="203"/>
  <c r="J252" i="203"/>
  <c r="S252" i="203" s="1"/>
  <c r="F258" i="203"/>
  <c r="J262" i="203"/>
  <c r="F270" i="203"/>
  <c r="H169" i="203"/>
  <c r="H187" i="203" s="1"/>
  <c r="E169" i="203"/>
  <c r="E187" i="203" s="1"/>
  <c r="I169" i="203"/>
  <c r="I187" i="203" s="1"/>
  <c r="G169" i="203"/>
  <c r="G187" i="203" s="1"/>
  <c r="C398" i="203"/>
  <c r="G232" i="203"/>
  <c r="G249" i="203" s="1"/>
  <c r="C253" i="203"/>
  <c r="C267" i="203" s="1"/>
  <c r="C282" i="203"/>
  <c r="G228" i="203"/>
  <c r="E309" i="203"/>
  <c r="E322" i="203" s="1"/>
  <c r="E357" i="203"/>
  <c r="I305" i="203"/>
  <c r="S329" i="203"/>
  <c r="H267" i="203"/>
  <c r="J361" i="203"/>
  <c r="D408" i="203"/>
  <c r="D421" i="203"/>
  <c r="J168" i="203"/>
  <c r="S51" i="203"/>
  <c r="S141" i="203"/>
  <c r="S144" i="203"/>
  <c r="C50" i="203"/>
  <c r="S54" i="203"/>
  <c r="D114" i="203"/>
  <c r="D122" i="203" s="1"/>
  <c r="D128" i="203"/>
  <c r="S136" i="203"/>
  <c r="S139" i="203"/>
  <c r="S155" i="203"/>
  <c r="S158" i="203"/>
  <c r="S43" i="203"/>
  <c r="C55" i="203"/>
  <c r="S62" i="203"/>
  <c r="S71" i="203"/>
  <c r="S74" i="203"/>
  <c r="S77" i="203"/>
  <c r="S140" i="203"/>
  <c r="S143" i="203"/>
  <c r="S146" i="203"/>
  <c r="S44" i="203"/>
  <c r="S53" i="203"/>
  <c r="S60" i="203"/>
  <c r="S66" i="203"/>
  <c r="S121" i="203"/>
  <c r="S127" i="203"/>
  <c r="S59" i="203"/>
  <c r="S65" i="203"/>
  <c r="S378" i="203"/>
  <c r="S110" i="203"/>
  <c r="S152" i="203"/>
  <c r="S35" i="203"/>
  <c r="S38" i="203"/>
  <c r="S46" i="203"/>
  <c r="D50" i="203"/>
  <c r="S57" i="203"/>
  <c r="S63" i="203"/>
  <c r="S91" i="203"/>
  <c r="S99" i="203"/>
  <c r="S102" i="203"/>
  <c r="S105" i="203"/>
  <c r="S108" i="203"/>
  <c r="S111" i="203"/>
  <c r="S115" i="203"/>
  <c r="S126" i="203"/>
  <c r="S156" i="203"/>
  <c r="S159" i="203"/>
  <c r="E393" i="203"/>
  <c r="S33" i="203"/>
  <c r="S36" i="203"/>
  <c r="S42" i="203"/>
  <c r="S61" i="203"/>
  <c r="S92" i="203"/>
  <c r="S100" i="203"/>
  <c r="S103" i="203"/>
  <c r="S106" i="203"/>
  <c r="S109" i="203"/>
  <c r="S112" i="203"/>
  <c r="S116" i="203"/>
  <c r="S119" i="203"/>
  <c r="G293" i="203"/>
  <c r="S354" i="203"/>
  <c r="G393" i="203"/>
  <c r="D80" i="203"/>
  <c r="D88" i="203" s="1"/>
  <c r="D160" i="203"/>
  <c r="S147" i="203"/>
  <c r="S151" i="203"/>
  <c r="S154" i="203"/>
  <c r="S150" i="203"/>
  <c r="S153" i="203"/>
  <c r="S157" i="203"/>
  <c r="C114" i="203"/>
  <c r="S70" i="203"/>
  <c r="S73" i="203"/>
  <c r="S76" i="203"/>
  <c r="S79" i="203"/>
  <c r="S82" i="203"/>
  <c r="S85" i="203"/>
  <c r="S113" i="203"/>
  <c r="S145" i="203"/>
  <c r="D282" i="203"/>
  <c r="D293" i="203"/>
  <c r="D393" i="203"/>
  <c r="S41" i="203"/>
  <c r="D55" i="203"/>
  <c r="H293" i="203"/>
  <c r="I438" i="203"/>
  <c r="E267" i="203"/>
  <c r="G438" i="203"/>
  <c r="S39" i="203"/>
  <c r="S72" i="203"/>
  <c r="S75" i="203"/>
  <c r="S78" i="203"/>
  <c r="S81" i="203"/>
  <c r="S84" i="203"/>
  <c r="S87" i="203"/>
  <c r="S117" i="203"/>
  <c r="C128" i="203"/>
  <c r="S137" i="203"/>
  <c r="S149" i="203"/>
  <c r="H218" i="203"/>
  <c r="H282" i="203"/>
  <c r="C80" i="203"/>
  <c r="C88" i="203" s="1"/>
  <c r="S34" i="203"/>
  <c r="S37" i="203"/>
  <c r="S40" i="203"/>
  <c r="S56" i="203"/>
  <c r="S98" i="203"/>
  <c r="S101" i="203"/>
  <c r="S104" i="203"/>
  <c r="S107" i="203"/>
  <c r="C160" i="203"/>
  <c r="D249" i="203"/>
  <c r="I267" i="203"/>
  <c r="I393" i="203"/>
  <c r="I421" i="203"/>
  <c r="S424" i="203"/>
  <c r="C94" i="203"/>
  <c r="I191" i="203"/>
  <c r="I199" i="203" s="1"/>
  <c r="G191" i="203"/>
  <c r="G199" i="203" s="1"/>
  <c r="E249" i="203"/>
  <c r="C30" i="203"/>
  <c r="F168" i="203"/>
  <c r="C169" i="203"/>
  <c r="I203" i="203"/>
  <c r="I218" i="203" s="1"/>
  <c r="E293" i="203"/>
  <c r="S125" i="203"/>
  <c r="S135" i="203"/>
  <c r="S97" i="203"/>
  <c r="I249" i="203"/>
  <c r="C203" i="203"/>
  <c r="C228" i="203"/>
  <c r="D322" i="203"/>
  <c r="C322" i="203"/>
  <c r="S330" i="203"/>
  <c r="D199" i="203"/>
  <c r="D267" i="203"/>
  <c r="G305" i="203"/>
  <c r="G322" i="203"/>
  <c r="S318" i="203"/>
  <c r="C232" i="203"/>
  <c r="C286" i="203"/>
  <c r="D305" i="203"/>
  <c r="H322" i="203"/>
  <c r="G335" i="203"/>
  <c r="H408" i="203"/>
  <c r="E421" i="203"/>
  <c r="G203" i="203"/>
  <c r="G218" i="203" s="1"/>
  <c r="G253" i="203"/>
  <c r="G267" i="203" s="1"/>
  <c r="G271" i="203"/>
  <c r="I322" i="203"/>
  <c r="C357" i="203"/>
  <c r="S320" i="203"/>
  <c r="I335" i="203"/>
  <c r="I293" i="203"/>
  <c r="C335" i="203"/>
  <c r="D438" i="203"/>
  <c r="G357" i="203"/>
  <c r="S396" i="203"/>
  <c r="S402" i="203"/>
  <c r="G421" i="203"/>
  <c r="G445" i="203"/>
  <c r="G449" i="203"/>
  <c r="G408" i="203"/>
  <c r="C421" i="203"/>
  <c r="C445" i="203"/>
  <c r="S353" i="203"/>
  <c r="S383" i="203"/>
  <c r="S403" i="203"/>
  <c r="S427" i="203"/>
  <c r="S429" i="203"/>
  <c r="S437" i="203"/>
  <c r="F398" i="203"/>
  <c r="AK165" i="205" l="1"/>
  <c r="S314" i="203"/>
  <c r="AK159" i="205"/>
  <c r="AK147" i="205"/>
  <c r="AK143" i="205"/>
  <c r="AK186" i="205"/>
  <c r="AK116" i="205"/>
  <c r="AK108" i="205"/>
  <c r="AK106" i="205"/>
  <c r="AK171" i="205"/>
  <c r="AK110" i="205"/>
  <c r="AK173" i="205"/>
  <c r="AK161" i="205"/>
  <c r="AK145" i="205"/>
  <c r="AK135" i="205"/>
  <c r="AK167" i="205"/>
  <c r="AK157" i="205"/>
  <c r="AK139" i="205"/>
  <c r="G64" i="205"/>
  <c r="AK114" i="205"/>
  <c r="AK102" i="205"/>
  <c r="S248" i="203"/>
  <c r="S207" i="203"/>
  <c r="AK163" i="205"/>
  <c r="AK152" i="205"/>
  <c r="AK141" i="205"/>
  <c r="AK133" i="205"/>
  <c r="AK100" i="205"/>
  <c r="AK101" i="205"/>
  <c r="AK169" i="205"/>
  <c r="AK98" i="205"/>
  <c r="AK112" i="205"/>
  <c r="AK104" i="205"/>
  <c r="AK96" i="205"/>
  <c r="S261" i="203"/>
  <c r="S386" i="203"/>
  <c r="S196" i="203"/>
  <c r="S178" i="203"/>
  <c r="S262" i="203"/>
  <c r="S242" i="203"/>
  <c r="S299" i="203"/>
  <c r="S209" i="203"/>
  <c r="S181" i="203"/>
  <c r="S312" i="203"/>
  <c r="S304" i="203"/>
  <c r="S215" i="203"/>
  <c r="S202" i="203"/>
  <c r="S204" i="203"/>
  <c r="S266" i="203"/>
  <c r="S302" i="203"/>
  <c r="H60" i="205"/>
  <c r="G468" i="205"/>
  <c r="AK125" i="205"/>
  <c r="AK214" i="205"/>
  <c r="S296" i="203"/>
  <c r="S281" i="203"/>
  <c r="S277" i="203"/>
  <c r="AK210" i="205"/>
  <c r="S235" i="203"/>
  <c r="S291" i="203"/>
  <c r="S287" i="203"/>
  <c r="S275" i="203"/>
  <c r="S216" i="203"/>
  <c r="J169" i="203"/>
  <c r="J187" i="203" s="1"/>
  <c r="S180" i="203"/>
  <c r="S303" i="203"/>
  <c r="S288" i="203"/>
  <c r="S276" i="203"/>
  <c r="F271" i="203"/>
  <c r="F282" i="203" s="1"/>
  <c r="S263" i="203"/>
  <c r="AK176" i="205"/>
  <c r="AK121" i="205"/>
  <c r="I783" i="205"/>
  <c r="H331" i="205"/>
  <c r="G356" i="205"/>
  <c r="I789" i="205"/>
  <c r="H333" i="205"/>
  <c r="I750" i="205"/>
  <c r="H318" i="205"/>
  <c r="I1101" i="205"/>
  <c r="H465" i="205"/>
  <c r="H1110" i="205"/>
  <c r="H50" i="205" s="1"/>
  <c r="G320" i="205"/>
  <c r="I615" i="205"/>
  <c r="H267" i="205"/>
  <c r="G303" i="205"/>
  <c r="I672" i="205"/>
  <c r="H290" i="205"/>
  <c r="I597" i="205"/>
  <c r="H261" i="205"/>
  <c r="I561" i="205"/>
  <c r="H585" i="205"/>
  <c r="H31" i="205" s="1"/>
  <c r="H247" i="205"/>
  <c r="I720" i="205"/>
  <c r="H308" i="205"/>
  <c r="I705" i="205"/>
  <c r="H301" i="205"/>
  <c r="I837" i="205"/>
  <c r="H353" i="205"/>
  <c r="I840" i="205"/>
  <c r="H354" i="205"/>
  <c r="I786" i="205"/>
  <c r="H332" i="205"/>
  <c r="I612" i="205"/>
  <c r="H266" i="205"/>
  <c r="I861" i="205"/>
  <c r="H363" i="205"/>
  <c r="I843" i="205"/>
  <c r="H355" i="205"/>
  <c r="I654" i="205"/>
  <c r="H282" i="205"/>
  <c r="I636" i="205"/>
  <c r="H276" i="205"/>
  <c r="H657" i="205"/>
  <c r="H33" i="205" s="1"/>
  <c r="I741" i="205"/>
  <c r="H315" i="205"/>
  <c r="I618" i="205"/>
  <c r="H268" i="205"/>
  <c r="I564" i="205"/>
  <c r="H248" i="205"/>
  <c r="I1044" i="205"/>
  <c r="H440" i="205"/>
  <c r="G442" i="205"/>
  <c r="I852" i="205"/>
  <c r="H360" i="205"/>
  <c r="I567" i="205"/>
  <c r="H249" i="205"/>
  <c r="AK168" i="205"/>
  <c r="AK160" i="205"/>
  <c r="AK146" i="205"/>
  <c r="AK138" i="205"/>
  <c r="AK115" i="205"/>
  <c r="AK107" i="205"/>
  <c r="AK99" i="205"/>
  <c r="I687" i="205"/>
  <c r="H295" i="205"/>
  <c r="I762" i="205"/>
  <c r="H324" i="205"/>
  <c r="I582" i="205"/>
  <c r="H254" i="205"/>
  <c r="I531" i="205"/>
  <c r="H235" i="205"/>
  <c r="G344" i="205"/>
  <c r="S259" i="203"/>
  <c r="S239" i="203"/>
  <c r="AK216" i="205"/>
  <c r="AK208" i="205"/>
  <c r="I624" i="205"/>
  <c r="H270" i="205"/>
  <c r="I822" i="205"/>
  <c r="H348" i="205"/>
  <c r="I819" i="205"/>
  <c r="H347" i="205"/>
  <c r="H846" i="205"/>
  <c r="H38" i="205" s="1"/>
  <c r="I669" i="205"/>
  <c r="H289" i="205"/>
  <c r="I1041" i="205"/>
  <c r="H439" i="205"/>
  <c r="I729" i="205"/>
  <c r="H311" i="205"/>
  <c r="I534" i="205"/>
  <c r="H236" i="205"/>
  <c r="I825" i="205"/>
  <c r="H349" i="205"/>
  <c r="F92" i="205"/>
  <c r="G92" i="205" s="1"/>
  <c r="H92" i="205" s="1"/>
  <c r="I92" i="205" s="1"/>
  <c r="J92" i="205" s="1"/>
  <c r="AM92" i="205" s="1"/>
  <c r="E92" i="205"/>
  <c r="N92" i="205" s="1"/>
  <c r="O92" i="205" s="1"/>
  <c r="P92" i="205" s="1"/>
  <c r="Q92" i="205" s="1"/>
  <c r="R92" i="205" s="1"/>
  <c r="I675" i="205"/>
  <c r="H291" i="205"/>
  <c r="I708" i="205"/>
  <c r="H302" i="205"/>
  <c r="I519" i="205"/>
  <c r="H231" i="205"/>
  <c r="I543" i="205"/>
  <c r="H239" i="205"/>
  <c r="G456" i="205"/>
  <c r="I831" i="205"/>
  <c r="H351" i="205"/>
  <c r="G372" i="205"/>
  <c r="I834" i="205"/>
  <c r="H352" i="205"/>
  <c r="I660" i="205"/>
  <c r="H286" i="205"/>
  <c r="H711" i="205"/>
  <c r="H34" i="205" s="1"/>
  <c r="I702" i="205"/>
  <c r="H300" i="205"/>
  <c r="I549" i="205"/>
  <c r="H241" i="205"/>
  <c r="G283" i="205"/>
  <c r="D19" i="205"/>
  <c r="E19" i="205" s="1"/>
  <c r="E154" i="205"/>
  <c r="I810" i="205"/>
  <c r="H342" i="205"/>
  <c r="I1102" i="205"/>
  <c r="H67" i="205"/>
  <c r="I603" i="205"/>
  <c r="H263" i="205"/>
  <c r="I522" i="205"/>
  <c r="H232" i="205"/>
  <c r="I726" i="205"/>
  <c r="H310" i="205"/>
  <c r="I1029" i="205"/>
  <c r="H435" i="205"/>
  <c r="H1050" i="205"/>
  <c r="H47" i="205" s="1"/>
  <c r="I579" i="205"/>
  <c r="H253" i="205"/>
  <c r="AK185" i="205"/>
  <c r="AK166" i="205"/>
  <c r="AK158" i="205"/>
  <c r="AK144" i="205"/>
  <c r="AK136" i="205"/>
  <c r="AK113" i="205"/>
  <c r="AK105" i="205"/>
  <c r="AK97" i="205"/>
  <c r="I771" i="205"/>
  <c r="H327" i="205"/>
  <c r="I627" i="205"/>
  <c r="H271" i="205"/>
  <c r="I1047" i="205"/>
  <c r="H441" i="205"/>
  <c r="G334" i="205"/>
  <c r="I795" i="205"/>
  <c r="H816" i="205"/>
  <c r="H37" i="205" s="1"/>
  <c r="H337" i="205"/>
  <c r="I690" i="205"/>
  <c r="H296" i="205"/>
  <c r="I630" i="205"/>
  <c r="H272" i="205"/>
  <c r="I813" i="205"/>
  <c r="H343" i="205"/>
  <c r="D21" i="205"/>
  <c r="E21" i="205" s="1"/>
  <c r="E187" i="205"/>
  <c r="G131" i="205"/>
  <c r="F148" i="205"/>
  <c r="F18" i="205" s="1"/>
  <c r="S238" i="203"/>
  <c r="I1072" i="205"/>
  <c r="H69" i="205"/>
  <c r="I552" i="205"/>
  <c r="H242" i="205"/>
  <c r="I1038" i="205"/>
  <c r="H438" i="205"/>
  <c r="I640" i="205"/>
  <c r="H63" i="205"/>
  <c r="I693" i="205"/>
  <c r="H297" i="205"/>
  <c r="I537" i="205"/>
  <c r="H237" i="205"/>
  <c r="I1032" i="205"/>
  <c r="H436" i="205"/>
  <c r="I828" i="205"/>
  <c r="H350" i="205"/>
  <c r="I798" i="205"/>
  <c r="H338" i="205"/>
  <c r="I714" i="205"/>
  <c r="H306" i="205"/>
  <c r="H756" i="205"/>
  <c r="H35" i="205" s="1"/>
  <c r="G255" i="205"/>
  <c r="I1071" i="205"/>
  <c r="H453" i="205"/>
  <c r="H1080" i="205"/>
  <c r="H49" i="205" s="1"/>
  <c r="I858" i="205"/>
  <c r="H362" i="205"/>
  <c r="I849" i="205"/>
  <c r="H359" i="205"/>
  <c r="H888" i="205"/>
  <c r="H39" i="205" s="1"/>
  <c r="I591" i="205"/>
  <c r="H259" i="205"/>
  <c r="I639" i="205"/>
  <c r="H277" i="205"/>
  <c r="I648" i="205"/>
  <c r="H280" i="205"/>
  <c r="I1035" i="205"/>
  <c r="H437" i="205"/>
  <c r="I684" i="205"/>
  <c r="H294" i="205"/>
  <c r="I528" i="205"/>
  <c r="H234" i="205"/>
  <c r="I637" i="205"/>
  <c r="H66" i="205"/>
  <c r="I681" i="205"/>
  <c r="H293" i="205"/>
  <c r="I768" i="205"/>
  <c r="H326" i="205"/>
  <c r="I717" i="205"/>
  <c r="H307" i="205"/>
  <c r="I594" i="205"/>
  <c r="H260" i="205"/>
  <c r="I546" i="205"/>
  <c r="H240" i="205"/>
  <c r="I777" i="205"/>
  <c r="H329" i="205"/>
  <c r="I855" i="205"/>
  <c r="H361" i="205"/>
  <c r="AK172" i="205"/>
  <c r="AK164" i="205"/>
  <c r="AK142" i="205"/>
  <c r="AK134" i="205"/>
  <c r="AK111" i="205"/>
  <c r="AK103" i="205"/>
  <c r="I696" i="205"/>
  <c r="H298" i="205"/>
  <c r="I555" i="205"/>
  <c r="H243" i="205"/>
  <c r="I744" i="205"/>
  <c r="H316" i="205"/>
  <c r="I807" i="205"/>
  <c r="H341" i="205"/>
  <c r="I765" i="205"/>
  <c r="H325" i="205"/>
  <c r="I651" i="205"/>
  <c r="H281" i="205"/>
  <c r="I738" i="205"/>
  <c r="H314" i="205"/>
  <c r="G184" i="205"/>
  <c r="F187" i="205"/>
  <c r="F21" i="205" s="1"/>
  <c r="S255" i="203"/>
  <c r="J253" i="203"/>
  <c r="J267" i="203" s="1"/>
  <c r="S224" i="203"/>
  <c r="S388" i="203"/>
  <c r="S179" i="203"/>
  <c r="S185" i="203"/>
  <c r="S175" i="203"/>
  <c r="AK212" i="205"/>
  <c r="I699" i="205"/>
  <c r="H299" i="205"/>
  <c r="I600" i="205"/>
  <c r="H262" i="205"/>
  <c r="I642" i="205"/>
  <c r="H278" i="205"/>
  <c r="I609" i="205"/>
  <c r="H265" i="205"/>
  <c r="I753" i="205"/>
  <c r="H319" i="205"/>
  <c r="I606" i="205"/>
  <c r="H264" i="205"/>
  <c r="I576" i="205"/>
  <c r="H252" i="205"/>
  <c r="I1077" i="205"/>
  <c r="H455" i="205"/>
  <c r="I774" i="205"/>
  <c r="H328" i="205"/>
  <c r="I645" i="205"/>
  <c r="H279" i="205"/>
  <c r="G273" i="205"/>
  <c r="I570" i="205"/>
  <c r="H250" i="205"/>
  <c r="I525" i="205"/>
  <c r="H233" i="205"/>
  <c r="I1074" i="205"/>
  <c r="H454" i="205"/>
  <c r="I573" i="205"/>
  <c r="H251" i="205"/>
  <c r="I678" i="205"/>
  <c r="H292" i="205"/>
  <c r="I747" i="205"/>
  <c r="H317" i="205"/>
  <c r="G151" i="205"/>
  <c r="F154" i="205"/>
  <c r="F19" i="205" s="1"/>
  <c r="I723" i="205"/>
  <c r="H309" i="205"/>
  <c r="I732" i="205"/>
  <c r="H312" i="205"/>
  <c r="I588" i="205"/>
  <c r="H633" i="205"/>
  <c r="H32" i="205" s="1"/>
  <c r="H258" i="205"/>
  <c r="I621" i="205"/>
  <c r="H269" i="205"/>
  <c r="I1104" i="205"/>
  <c r="H466" i="205"/>
  <c r="I801" i="205"/>
  <c r="H339" i="205"/>
  <c r="AK170" i="205"/>
  <c r="AK162" i="205"/>
  <c r="AK140" i="205"/>
  <c r="AK132" i="205"/>
  <c r="AK109" i="205"/>
  <c r="I663" i="205"/>
  <c r="H287" i="205"/>
  <c r="I1107" i="205"/>
  <c r="H467" i="205"/>
  <c r="I735" i="205"/>
  <c r="H313" i="205"/>
  <c r="I504" i="205"/>
  <c r="H226" i="205"/>
  <c r="I540" i="205"/>
  <c r="H238" i="205"/>
  <c r="I759" i="205"/>
  <c r="H323" i="205"/>
  <c r="H792" i="205"/>
  <c r="H36" i="205" s="1"/>
  <c r="I780" i="205"/>
  <c r="H330" i="205"/>
  <c r="I666" i="205"/>
  <c r="H288" i="205"/>
  <c r="I804" i="205"/>
  <c r="H340" i="205"/>
  <c r="E148" i="205"/>
  <c r="D18" i="205"/>
  <c r="E18" i="205" s="1"/>
  <c r="I516" i="205"/>
  <c r="H230" i="205"/>
  <c r="I513" i="205"/>
  <c r="H229" i="205"/>
  <c r="I507" i="205"/>
  <c r="H227" i="205"/>
  <c r="H558" i="205"/>
  <c r="I510" i="205"/>
  <c r="H228" i="205"/>
  <c r="G244" i="205"/>
  <c r="G30" i="205"/>
  <c r="AK215" i="205"/>
  <c r="D23" i="205"/>
  <c r="E23" i="205" s="1"/>
  <c r="E218" i="205"/>
  <c r="AK213" i="205"/>
  <c r="G207" i="205"/>
  <c r="F218" i="205"/>
  <c r="F23" i="205" s="1"/>
  <c r="AK211" i="205"/>
  <c r="AK217" i="205"/>
  <c r="AK209" i="205"/>
  <c r="AK180" i="205"/>
  <c r="AK123" i="205"/>
  <c r="AK127" i="205"/>
  <c r="AK119" i="205"/>
  <c r="AK122" i="205"/>
  <c r="AK120" i="205"/>
  <c r="D17" i="205"/>
  <c r="E17" i="205" s="1"/>
  <c r="E128" i="205"/>
  <c r="AK126" i="205"/>
  <c r="AK118" i="205"/>
  <c r="AK124" i="205"/>
  <c r="G117" i="205"/>
  <c r="F128" i="205"/>
  <c r="F17" i="205" s="1"/>
  <c r="AK179" i="205"/>
  <c r="C20" i="205"/>
  <c r="AK177" i="205"/>
  <c r="D20" i="205"/>
  <c r="E181" i="205"/>
  <c r="AK175" i="205"/>
  <c r="G174" i="205"/>
  <c r="F181" i="205"/>
  <c r="S148" i="203"/>
  <c r="S350" i="203"/>
  <c r="S195" i="203"/>
  <c r="S193" i="203"/>
  <c r="S389" i="203"/>
  <c r="J232" i="203"/>
  <c r="J249" i="203" s="1"/>
  <c r="S186" i="203"/>
  <c r="S379" i="203"/>
  <c r="S285" i="203"/>
  <c r="S182" i="203"/>
  <c r="S173" i="203"/>
  <c r="S217" i="203"/>
  <c r="S213" i="203"/>
  <c r="S205" i="203"/>
  <c r="S197" i="203"/>
  <c r="S414" i="203"/>
  <c r="S316" i="203"/>
  <c r="J271" i="203"/>
  <c r="F445" i="203"/>
  <c r="S194" i="203"/>
  <c r="S436" i="203"/>
  <c r="S222" i="203"/>
  <c r="S375" i="203"/>
  <c r="S390" i="203"/>
  <c r="S368" i="203"/>
  <c r="S292" i="203"/>
  <c r="S441" i="203"/>
  <c r="S198" i="203"/>
  <c r="S326" i="203"/>
  <c r="S360" i="203"/>
  <c r="S377" i="203"/>
  <c r="S211" i="203"/>
  <c r="S300" i="203"/>
  <c r="S177" i="203"/>
  <c r="S301" i="203"/>
  <c r="S243" i="203"/>
  <c r="S226" i="203"/>
  <c r="S434" i="203"/>
  <c r="S257" i="203"/>
  <c r="S176" i="203"/>
  <c r="J425" i="203"/>
  <c r="S227" i="203"/>
  <c r="S384" i="203"/>
  <c r="S432" i="203"/>
  <c r="S334" i="203"/>
  <c r="J191" i="203"/>
  <c r="J199" i="203" s="1"/>
  <c r="S214" i="203"/>
  <c r="S332" i="203"/>
  <c r="S338" i="203"/>
  <c r="S273" i="203"/>
  <c r="S208" i="203"/>
  <c r="S264" i="203"/>
  <c r="J445" i="203"/>
  <c r="S392" i="203"/>
  <c r="S355" i="203"/>
  <c r="J393" i="203"/>
  <c r="J357" i="203"/>
  <c r="S241" i="203"/>
  <c r="S382" i="203"/>
  <c r="S298" i="203"/>
  <c r="J286" i="203"/>
  <c r="J293" i="203" s="1"/>
  <c r="S279" i="203"/>
  <c r="J203" i="203"/>
  <c r="J218" i="203" s="1"/>
  <c r="S391" i="203"/>
  <c r="S415" i="203"/>
  <c r="S212" i="203"/>
  <c r="S206" i="203"/>
  <c r="S416" i="203"/>
  <c r="S433" i="203"/>
  <c r="F408" i="203"/>
  <c r="S372" i="203"/>
  <c r="S411" i="203"/>
  <c r="S387" i="203"/>
  <c r="S376" i="203"/>
  <c r="S356" i="203"/>
  <c r="S290" i="203"/>
  <c r="S280" i="203"/>
  <c r="S274" i="203"/>
  <c r="S234" i="203"/>
  <c r="S430" i="203"/>
  <c r="S260" i="203"/>
  <c r="S381" i="203"/>
  <c r="S210" i="203"/>
  <c r="S184" i="203"/>
  <c r="S444" i="203"/>
  <c r="S240" i="203"/>
  <c r="S225" i="203"/>
  <c r="S245" i="203"/>
  <c r="S371" i="203"/>
  <c r="S352" i="203"/>
  <c r="S278" i="203"/>
  <c r="S272" i="203"/>
  <c r="S443" i="203"/>
  <c r="S346" i="203"/>
  <c r="J421" i="203"/>
  <c r="F393" i="203"/>
  <c r="S237" i="203"/>
  <c r="F357" i="203"/>
  <c r="S406" i="203"/>
  <c r="S55" i="203"/>
  <c r="S289" i="203"/>
  <c r="S265" i="203"/>
  <c r="F425" i="203"/>
  <c r="F438" i="203" s="1"/>
  <c r="F421" i="203"/>
  <c r="S236" i="203"/>
  <c r="F253" i="203"/>
  <c r="F267" i="203" s="1"/>
  <c r="J228" i="203"/>
  <c r="S223" i="203"/>
  <c r="D67" i="203"/>
  <c r="S426" i="203"/>
  <c r="S256" i="203"/>
  <c r="F232" i="203"/>
  <c r="F249" i="203" s="1"/>
  <c r="C67" i="203"/>
  <c r="S270" i="203"/>
  <c r="S170" i="203"/>
  <c r="F228" i="203"/>
  <c r="F286" i="203"/>
  <c r="F293" i="203" s="1"/>
  <c r="S342" i="203"/>
  <c r="S374" i="203"/>
  <c r="S254" i="203"/>
  <c r="S317" i="203"/>
  <c r="S114" i="203"/>
  <c r="S168" i="203"/>
  <c r="C122" i="203"/>
  <c r="S50" i="203"/>
  <c r="S404" i="203"/>
  <c r="J408" i="203"/>
  <c r="S319" i="203"/>
  <c r="S321" i="203"/>
  <c r="S233" i="203"/>
  <c r="D451" i="203"/>
  <c r="H451" i="203"/>
  <c r="S431" i="203"/>
  <c r="S331" i="203"/>
  <c r="F203" i="203"/>
  <c r="F218" i="203" s="1"/>
  <c r="S311" i="203"/>
  <c r="S315" i="203"/>
  <c r="S80" i="203"/>
  <c r="C408" i="203"/>
  <c r="S327" i="203"/>
  <c r="F191" i="203"/>
  <c r="S313" i="203"/>
  <c r="S297" i="203"/>
  <c r="F335" i="203"/>
  <c r="S221" i="203"/>
  <c r="S351" i="203"/>
  <c r="S333" i="203"/>
  <c r="S401" i="203"/>
  <c r="F305" i="203"/>
  <c r="F309" i="203"/>
  <c r="S310" i="203"/>
  <c r="G282" i="203"/>
  <c r="G451" i="203" s="1"/>
  <c r="S417" i="203"/>
  <c r="C249" i="203"/>
  <c r="S397" i="203"/>
  <c r="S325" i="203"/>
  <c r="S192" i="203"/>
  <c r="S258" i="203"/>
  <c r="F169" i="203"/>
  <c r="F187" i="203" s="1"/>
  <c r="J335" i="203"/>
  <c r="C218" i="203"/>
  <c r="J309" i="203"/>
  <c r="J322" i="203" s="1"/>
  <c r="C293" i="203"/>
  <c r="S231" i="203"/>
  <c r="S308" i="203"/>
  <c r="C187" i="203"/>
  <c r="J305" i="203"/>
  <c r="H64" i="205" l="1"/>
  <c r="S271" i="203"/>
  <c r="J282" i="203"/>
  <c r="S425" i="203"/>
  <c r="J438" i="203"/>
  <c r="AK92" i="205"/>
  <c r="I888" i="205"/>
  <c r="I60" i="205"/>
  <c r="S191" i="203"/>
  <c r="S253" i="203"/>
  <c r="J780" i="205"/>
  <c r="I330" i="205"/>
  <c r="J801" i="205"/>
  <c r="AK801" i="205" s="1"/>
  <c r="I339" i="205"/>
  <c r="J1104" i="205"/>
  <c r="I466" i="205"/>
  <c r="H273" i="205"/>
  <c r="J732" i="205"/>
  <c r="AK732" i="205" s="1"/>
  <c r="I312" i="205"/>
  <c r="J747" i="205"/>
  <c r="I317" i="205"/>
  <c r="J678" i="205"/>
  <c r="I292" i="205"/>
  <c r="J606" i="205"/>
  <c r="I264" i="205"/>
  <c r="J666" i="205"/>
  <c r="AK666" i="205" s="1"/>
  <c r="I288" i="205"/>
  <c r="J540" i="205"/>
  <c r="AK540" i="205" s="1"/>
  <c r="I238" i="205"/>
  <c r="J663" i="205"/>
  <c r="AK663" i="205" s="1"/>
  <c r="I287" i="205"/>
  <c r="J621" i="205"/>
  <c r="AK621" i="205" s="1"/>
  <c r="I269" i="205"/>
  <c r="J573" i="205"/>
  <c r="I251" i="205"/>
  <c r="J570" i="205"/>
  <c r="AK570" i="205" s="1"/>
  <c r="I250" i="205"/>
  <c r="J645" i="205"/>
  <c r="AK645" i="205" s="1"/>
  <c r="I279" i="205"/>
  <c r="J774" i="205"/>
  <c r="I328" i="205"/>
  <c r="J609" i="205"/>
  <c r="AK609" i="205" s="1"/>
  <c r="I265" i="205"/>
  <c r="J600" i="205"/>
  <c r="I262" i="205"/>
  <c r="J699" i="205"/>
  <c r="I299" i="205"/>
  <c r="J807" i="205"/>
  <c r="AK807" i="205" s="1"/>
  <c r="I341" i="205"/>
  <c r="J696" i="205"/>
  <c r="AK696" i="205" s="1"/>
  <c r="I298" i="205"/>
  <c r="J546" i="205"/>
  <c r="I240" i="205"/>
  <c r="J594" i="205"/>
  <c r="I260" i="205"/>
  <c r="J768" i="205"/>
  <c r="AK768" i="205" s="1"/>
  <c r="I326" i="205"/>
  <c r="J528" i="205"/>
  <c r="AK528" i="205" s="1"/>
  <c r="I234" i="205"/>
  <c r="H283" i="205"/>
  <c r="H456" i="205"/>
  <c r="J714" i="205"/>
  <c r="AK714" i="205" s="1"/>
  <c r="I756" i="205"/>
  <c r="I35" i="205" s="1"/>
  <c r="I306" i="205"/>
  <c r="J1032" i="205"/>
  <c r="I436" i="205"/>
  <c r="J640" i="205"/>
  <c r="AK640" i="205" s="1"/>
  <c r="I63" i="205"/>
  <c r="J552" i="205"/>
  <c r="I242" i="205"/>
  <c r="J630" i="205"/>
  <c r="I272" i="205"/>
  <c r="J726" i="205"/>
  <c r="I310" i="205"/>
  <c r="J1102" i="205"/>
  <c r="I67" i="205"/>
  <c r="J660" i="205"/>
  <c r="I711" i="205"/>
  <c r="I34" i="205" s="1"/>
  <c r="I286" i="205"/>
  <c r="J822" i="205"/>
  <c r="I348" i="205"/>
  <c r="J624" i="205"/>
  <c r="I270" i="205"/>
  <c r="J564" i="205"/>
  <c r="I248" i="205"/>
  <c r="J741" i="205"/>
  <c r="AK741" i="205" s="1"/>
  <c r="I315" i="205"/>
  <c r="J843" i="205"/>
  <c r="AK843" i="205" s="1"/>
  <c r="I355" i="205"/>
  <c r="J840" i="205"/>
  <c r="I354" i="205"/>
  <c r="J1101" i="205"/>
  <c r="I465" i="205"/>
  <c r="I1110" i="205"/>
  <c r="I50" i="205" s="1"/>
  <c r="J576" i="205"/>
  <c r="AK576" i="205" s="1"/>
  <c r="I252" i="205"/>
  <c r="J738" i="205"/>
  <c r="AK738" i="205" s="1"/>
  <c r="I314" i="205"/>
  <c r="J777" i="205"/>
  <c r="AK777" i="205" s="1"/>
  <c r="I329" i="205"/>
  <c r="J1035" i="205"/>
  <c r="I437" i="205"/>
  <c r="J639" i="205"/>
  <c r="AK639" i="205" s="1"/>
  <c r="I277" i="205"/>
  <c r="J858" i="205"/>
  <c r="I362" i="205"/>
  <c r="J1071" i="205"/>
  <c r="AK1071" i="205" s="1"/>
  <c r="I453" i="205"/>
  <c r="I1080" i="205"/>
  <c r="I49" i="205" s="1"/>
  <c r="J828" i="205"/>
  <c r="AK828" i="205" s="1"/>
  <c r="I350" i="205"/>
  <c r="J693" i="205"/>
  <c r="I297" i="205"/>
  <c r="H344" i="205"/>
  <c r="J771" i="205"/>
  <c r="AK771" i="205" s="1"/>
  <c r="I327" i="205"/>
  <c r="H442" i="205"/>
  <c r="J603" i="205"/>
  <c r="I263" i="205"/>
  <c r="J702" i="205"/>
  <c r="I300" i="205"/>
  <c r="J708" i="205"/>
  <c r="AK708" i="205" s="1"/>
  <c r="I302" i="205"/>
  <c r="J825" i="205"/>
  <c r="I349" i="205"/>
  <c r="J1041" i="205"/>
  <c r="I439" i="205"/>
  <c r="H356" i="205"/>
  <c r="J582" i="205"/>
  <c r="AK582" i="205" s="1"/>
  <c r="I254" i="205"/>
  <c r="J567" i="205"/>
  <c r="AK567" i="205" s="1"/>
  <c r="I249" i="205"/>
  <c r="J720" i="205"/>
  <c r="I308" i="205"/>
  <c r="J561" i="205"/>
  <c r="AK561" i="205" s="1"/>
  <c r="I585" i="205"/>
  <c r="I31" i="205" s="1"/>
  <c r="I247" i="205"/>
  <c r="J783" i="205"/>
  <c r="I331" i="205"/>
  <c r="J759" i="205"/>
  <c r="AK759" i="205" s="1"/>
  <c r="I323" i="205"/>
  <c r="I792" i="205"/>
  <c r="I36" i="205" s="1"/>
  <c r="J504" i="205"/>
  <c r="I226" i="205"/>
  <c r="J735" i="205"/>
  <c r="AK735" i="205" s="1"/>
  <c r="I313" i="205"/>
  <c r="J1107" i="205"/>
  <c r="I467" i="205"/>
  <c r="J723" i="205"/>
  <c r="AK723" i="205" s="1"/>
  <c r="I309" i="205"/>
  <c r="J525" i="205"/>
  <c r="AK525" i="205" s="1"/>
  <c r="I233" i="205"/>
  <c r="J1077" i="205"/>
  <c r="I455" i="205"/>
  <c r="J753" i="205"/>
  <c r="AK753" i="205" s="1"/>
  <c r="I319" i="205"/>
  <c r="J642" i="205"/>
  <c r="I278" i="205"/>
  <c r="J765" i="205"/>
  <c r="AK765" i="205" s="1"/>
  <c r="I325" i="205"/>
  <c r="J744" i="205"/>
  <c r="AK744" i="205" s="1"/>
  <c r="I316" i="205"/>
  <c r="J555" i="205"/>
  <c r="I243" i="205"/>
  <c r="J717" i="205"/>
  <c r="AK717" i="205" s="1"/>
  <c r="I307" i="205"/>
  <c r="J681" i="205"/>
  <c r="AK681" i="205" s="1"/>
  <c r="I293" i="205"/>
  <c r="J637" i="205"/>
  <c r="I66" i="205"/>
  <c r="J684" i="205"/>
  <c r="AK684" i="205" s="1"/>
  <c r="I294" i="205"/>
  <c r="H372" i="205"/>
  <c r="J1038" i="205"/>
  <c r="I438" i="205"/>
  <c r="H131" i="205"/>
  <c r="G148" i="205"/>
  <c r="G18" i="205" s="1"/>
  <c r="J813" i="205"/>
  <c r="AK813" i="205" s="1"/>
  <c r="I343" i="205"/>
  <c r="J627" i="205"/>
  <c r="I271" i="205"/>
  <c r="J1029" i="205"/>
  <c r="AK1029" i="205" s="1"/>
  <c r="I435" i="205"/>
  <c r="I1050" i="205"/>
  <c r="I47" i="205" s="1"/>
  <c r="J810" i="205"/>
  <c r="I342" i="205"/>
  <c r="J834" i="205"/>
  <c r="I352" i="205"/>
  <c r="J831" i="205"/>
  <c r="I351" i="205"/>
  <c r="J519" i="205"/>
  <c r="AK519" i="205" s="1"/>
  <c r="I231" i="205"/>
  <c r="J729" i="205"/>
  <c r="I311" i="205"/>
  <c r="J819" i="205"/>
  <c r="I347" i="205"/>
  <c r="I846" i="205"/>
  <c r="I38" i="205" s="1"/>
  <c r="J531" i="205"/>
  <c r="I235" i="205"/>
  <c r="J1044" i="205"/>
  <c r="AK1044" i="205" s="1"/>
  <c r="I440" i="205"/>
  <c r="J618" i="205"/>
  <c r="I268" i="205"/>
  <c r="J654" i="205"/>
  <c r="AK654" i="205" s="1"/>
  <c r="I282" i="205"/>
  <c r="J786" i="205"/>
  <c r="I332" i="205"/>
  <c r="J837" i="205"/>
  <c r="AK837" i="205" s="1"/>
  <c r="I353" i="205"/>
  <c r="J705" i="205"/>
  <c r="I301" i="205"/>
  <c r="J672" i="205"/>
  <c r="I290" i="205"/>
  <c r="J615" i="205"/>
  <c r="I267" i="205"/>
  <c r="J750" i="205"/>
  <c r="I318" i="205"/>
  <c r="J789" i="205"/>
  <c r="I333" i="205"/>
  <c r="J804" i="205"/>
  <c r="I340" i="205"/>
  <c r="J588" i="205"/>
  <c r="AK588" i="205" s="1"/>
  <c r="I258" i="205"/>
  <c r="I633" i="205"/>
  <c r="I32" i="205" s="1"/>
  <c r="H151" i="205"/>
  <c r="G154" i="205"/>
  <c r="G19" i="205" s="1"/>
  <c r="J1074" i="205"/>
  <c r="I454" i="205"/>
  <c r="H184" i="205"/>
  <c r="G187" i="205"/>
  <c r="G21" i="205" s="1"/>
  <c r="J651" i="205"/>
  <c r="AK651" i="205" s="1"/>
  <c r="I281" i="205"/>
  <c r="J855" i="205"/>
  <c r="AK855" i="205" s="1"/>
  <c r="I361" i="205"/>
  <c r="H334" i="205"/>
  <c r="J648" i="205"/>
  <c r="AK648" i="205" s="1"/>
  <c r="I280" i="205"/>
  <c r="J591" i="205"/>
  <c r="AK591" i="205" s="1"/>
  <c r="I259" i="205"/>
  <c r="J849" i="205"/>
  <c r="AK849" i="205" s="1"/>
  <c r="I39" i="205"/>
  <c r="I359" i="205"/>
  <c r="H320" i="205"/>
  <c r="J798" i="205"/>
  <c r="I338" i="205"/>
  <c r="J537" i="205"/>
  <c r="I237" i="205"/>
  <c r="J1072" i="205"/>
  <c r="I69" i="205"/>
  <c r="J690" i="205"/>
  <c r="I296" i="205"/>
  <c r="J795" i="205"/>
  <c r="I337" i="205"/>
  <c r="I816" i="205"/>
  <c r="I37" i="205" s="1"/>
  <c r="J1047" i="205"/>
  <c r="I441" i="205"/>
  <c r="J579" i="205"/>
  <c r="I253" i="205"/>
  <c r="J522" i="205"/>
  <c r="I232" i="205"/>
  <c r="J549" i="205"/>
  <c r="I241" i="205"/>
  <c r="H303" i="205"/>
  <c r="J543" i="205"/>
  <c r="I239" i="205"/>
  <c r="J675" i="205"/>
  <c r="I291" i="205"/>
  <c r="J534" i="205"/>
  <c r="I236" i="205"/>
  <c r="AK1041" i="205"/>
  <c r="J669" i="205"/>
  <c r="I289" i="205"/>
  <c r="J762" i="205"/>
  <c r="AK762" i="205" s="1"/>
  <c r="I324" i="205"/>
  <c r="J687" i="205"/>
  <c r="I295" i="205"/>
  <c r="J852" i="205"/>
  <c r="AK852" i="205" s="1"/>
  <c r="I360" i="205"/>
  <c r="J636" i="205"/>
  <c r="AK636" i="205" s="1"/>
  <c r="I276" i="205"/>
  <c r="I657" i="205"/>
  <c r="I33" i="205" s="1"/>
  <c r="J861" i="205"/>
  <c r="I363" i="205"/>
  <c r="J612" i="205"/>
  <c r="I266" i="205"/>
  <c r="H255" i="205"/>
  <c r="J597" i="205"/>
  <c r="AK597" i="205" s="1"/>
  <c r="I261" i="205"/>
  <c r="H468" i="205"/>
  <c r="H30" i="205"/>
  <c r="J513" i="205"/>
  <c r="I229" i="205"/>
  <c r="J510" i="205"/>
  <c r="I228" i="205"/>
  <c r="H244" i="205"/>
  <c r="J507" i="205"/>
  <c r="I227" i="205"/>
  <c r="I558" i="205"/>
  <c r="J516" i="205"/>
  <c r="I230" i="205"/>
  <c r="H207" i="205"/>
  <c r="G218" i="205"/>
  <c r="G23" i="205" s="1"/>
  <c r="H117" i="205"/>
  <c r="G128" i="205"/>
  <c r="G17" i="205" s="1"/>
  <c r="F20" i="205"/>
  <c r="H174" i="205"/>
  <c r="G181" i="205"/>
  <c r="E20" i="205"/>
  <c r="S385" i="203"/>
  <c r="S203" i="203"/>
  <c r="S232" i="203"/>
  <c r="S286" i="203"/>
  <c r="F199" i="203"/>
  <c r="C451" i="203"/>
  <c r="S169" i="203"/>
  <c r="S309" i="203"/>
  <c r="F322" i="203"/>
  <c r="I64" i="205" l="1"/>
  <c r="AK504" i="205"/>
  <c r="J60" i="205"/>
  <c r="I344" i="205"/>
  <c r="AM762" i="205"/>
  <c r="J324" i="205"/>
  <c r="AM324" i="205" s="1"/>
  <c r="AM675" i="205"/>
  <c r="J291" i="205"/>
  <c r="AK675" i="205"/>
  <c r="AM549" i="205"/>
  <c r="J241" i="205"/>
  <c r="AK549" i="205"/>
  <c r="AM579" i="205"/>
  <c r="J253" i="205"/>
  <c r="AK579" i="205"/>
  <c r="AM537" i="205"/>
  <c r="J237" i="205"/>
  <c r="AM1074" i="205"/>
  <c r="J454" i="205"/>
  <c r="I273" i="205"/>
  <c r="AM804" i="205"/>
  <c r="J340" i="205"/>
  <c r="AM789" i="205"/>
  <c r="J333" i="205"/>
  <c r="AM333" i="205" s="1"/>
  <c r="AM672" i="205"/>
  <c r="J290" i="205"/>
  <c r="AM290" i="205" s="1"/>
  <c r="AM705" i="205"/>
  <c r="J301" i="205"/>
  <c r="AM301" i="205" s="1"/>
  <c r="AM1044" i="205"/>
  <c r="J440" i="205"/>
  <c r="I356" i="205"/>
  <c r="AM813" i="205"/>
  <c r="J343" i="205"/>
  <c r="J66" i="205"/>
  <c r="AM66" i="205" s="1"/>
  <c r="AM637" i="205"/>
  <c r="AM555" i="205"/>
  <c r="J243" i="205"/>
  <c r="AM642" i="205"/>
  <c r="J278" i="205"/>
  <c r="AK642" i="205"/>
  <c r="AM1077" i="205"/>
  <c r="J455" i="205"/>
  <c r="AK1077" i="205"/>
  <c r="AM1107" i="205"/>
  <c r="J467" i="205"/>
  <c r="I255" i="205"/>
  <c r="AM567" i="205"/>
  <c r="J249" i="205"/>
  <c r="AM825" i="205"/>
  <c r="J349" i="205"/>
  <c r="AK825" i="205"/>
  <c r="AM702" i="205"/>
  <c r="J300" i="205"/>
  <c r="AK702" i="205"/>
  <c r="AM693" i="205"/>
  <c r="J297" i="205"/>
  <c r="AK693" i="205"/>
  <c r="AM777" i="205"/>
  <c r="J329" i="205"/>
  <c r="AM843" i="205"/>
  <c r="J355" i="205"/>
  <c r="AM355" i="205" s="1"/>
  <c r="J711" i="205"/>
  <c r="J34" i="205" s="1"/>
  <c r="AM34" i="205" s="1"/>
  <c r="AM660" i="205"/>
  <c r="J286" i="205"/>
  <c r="AK660" i="205"/>
  <c r="AM726" i="205"/>
  <c r="J310" i="205"/>
  <c r="AK726" i="205"/>
  <c r="AM640" i="205"/>
  <c r="J63" i="205"/>
  <c r="AM63" i="205" s="1"/>
  <c r="I320" i="205"/>
  <c r="AM594" i="205"/>
  <c r="J260" i="205"/>
  <c r="AK594" i="205"/>
  <c r="AM696" i="205"/>
  <c r="J298" i="205"/>
  <c r="AM774" i="205"/>
  <c r="J328" i="205"/>
  <c r="AK774" i="205"/>
  <c r="AM573" i="205"/>
  <c r="J251" i="205"/>
  <c r="AK573" i="205"/>
  <c r="AM663" i="205"/>
  <c r="J287" i="205"/>
  <c r="AM606" i="205"/>
  <c r="J264" i="205"/>
  <c r="AK606" i="205"/>
  <c r="AM732" i="205"/>
  <c r="J312" i="205"/>
  <c r="AK637" i="205"/>
  <c r="AM687" i="205"/>
  <c r="J295" i="205"/>
  <c r="AM295" i="205" s="1"/>
  <c r="AM690" i="205"/>
  <c r="J296" i="205"/>
  <c r="AM1072" i="205"/>
  <c r="J69" i="205"/>
  <c r="AM69" i="205" s="1"/>
  <c r="I372" i="205"/>
  <c r="AM591" i="205"/>
  <c r="J259" i="205"/>
  <c r="I184" i="205"/>
  <c r="H187" i="205"/>
  <c r="H21" i="205" s="1"/>
  <c r="AM588" i="205"/>
  <c r="J258" i="205"/>
  <c r="J633" i="205"/>
  <c r="J32" i="205" s="1"/>
  <c r="AM32" i="205" s="1"/>
  <c r="AM615" i="205"/>
  <c r="J267" i="205"/>
  <c r="AM267" i="205" s="1"/>
  <c r="AM786" i="205"/>
  <c r="J332" i="205"/>
  <c r="AM332" i="205" s="1"/>
  <c r="AK786" i="205"/>
  <c r="AM618" i="205"/>
  <c r="J268" i="205"/>
  <c r="AM268" i="205" s="1"/>
  <c r="AK618" i="205"/>
  <c r="J846" i="205"/>
  <c r="J38" i="205" s="1"/>
  <c r="AM38" i="205" s="1"/>
  <c r="AM819" i="205"/>
  <c r="J347" i="205"/>
  <c r="AK819" i="205"/>
  <c r="AM519" i="205"/>
  <c r="J231" i="205"/>
  <c r="AM834" i="205"/>
  <c r="J352" i="205"/>
  <c r="AK834" i="205"/>
  <c r="AM627" i="205"/>
  <c r="J271" i="205"/>
  <c r="AM1038" i="205"/>
  <c r="J438" i="205"/>
  <c r="AK1038" i="205"/>
  <c r="I334" i="205"/>
  <c r="AM720" i="205"/>
  <c r="J308" i="205"/>
  <c r="AM771" i="205"/>
  <c r="J327" i="205"/>
  <c r="I456" i="205"/>
  <c r="AM858" i="205"/>
  <c r="J362" i="205"/>
  <c r="AM1035" i="205"/>
  <c r="J437" i="205"/>
  <c r="I468" i="205"/>
  <c r="AM840" i="205"/>
  <c r="J354" i="205"/>
  <c r="AM564" i="205"/>
  <c r="J248" i="205"/>
  <c r="AK564" i="205"/>
  <c r="AM822" i="205"/>
  <c r="J348" i="205"/>
  <c r="AK822" i="205"/>
  <c r="AM552" i="205"/>
  <c r="J242" i="205"/>
  <c r="AM699" i="205"/>
  <c r="J299" i="205"/>
  <c r="AK699" i="205"/>
  <c r="AM747" i="205"/>
  <c r="J317" i="205"/>
  <c r="AK1107" i="205"/>
  <c r="AK1035" i="205"/>
  <c r="AM612" i="205"/>
  <c r="J266" i="205"/>
  <c r="AM266" i="205" s="1"/>
  <c r="AK612" i="205"/>
  <c r="AM597" i="205"/>
  <c r="J261" i="205"/>
  <c r="AM261" i="205" s="1"/>
  <c r="AM852" i="205"/>
  <c r="J360" i="205"/>
  <c r="AM534" i="205"/>
  <c r="J236" i="205"/>
  <c r="AK534" i="205"/>
  <c r="AM522" i="205"/>
  <c r="J232" i="205"/>
  <c r="AK522" i="205"/>
  <c r="AM795" i="205"/>
  <c r="J816" i="205"/>
  <c r="J37" i="205" s="1"/>
  <c r="AM37" i="205" s="1"/>
  <c r="J337" i="205"/>
  <c r="AK537" i="205"/>
  <c r="AM798" i="205"/>
  <c r="J338" i="205"/>
  <c r="AK798" i="205"/>
  <c r="AM651" i="205"/>
  <c r="J281" i="205"/>
  <c r="AK1074" i="205"/>
  <c r="I151" i="205"/>
  <c r="H154" i="205"/>
  <c r="H19" i="205" s="1"/>
  <c r="AK804" i="205"/>
  <c r="AK789" i="205"/>
  <c r="AM750" i="205"/>
  <c r="J318" i="205"/>
  <c r="AM318" i="205" s="1"/>
  <c r="AK750" i="205"/>
  <c r="AK672" i="205"/>
  <c r="AK705" i="205"/>
  <c r="AM531" i="205"/>
  <c r="J235" i="205"/>
  <c r="AM235" i="205" s="1"/>
  <c r="I442" i="205"/>
  <c r="AM684" i="205"/>
  <c r="J294" i="205"/>
  <c r="AM717" i="205"/>
  <c r="J307" i="205"/>
  <c r="AM765" i="205"/>
  <c r="J325" i="205"/>
  <c r="AM753" i="205"/>
  <c r="J319" i="205"/>
  <c r="AM723" i="205"/>
  <c r="J309" i="205"/>
  <c r="J226" i="205"/>
  <c r="AM504" i="205"/>
  <c r="J792" i="205"/>
  <c r="J36" i="205" s="1"/>
  <c r="AM36" i="205" s="1"/>
  <c r="AM759" i="205"/>
  <c r="J323" i="205"/>
  <c r="J585" i="205"/>
  <c r="J31" i="205" s="1"/>
  <c r="AM31" i="205" s="1"/>
  <c r="J247" i="205"/>
  <c r="AK247" i="205" s="1"/>
  <c r="AM561" i="205"/>
  <c r="AM582" i="205"/>
  <c r="J254" i="205"/>
  <c r="AM254" i="205" s="1"/>
  <c r="AM1041" i="205"/>
  <c r="J439" i="205"/>
  <c r="AM708" i="205"/>
  <c r="J302" i="205"/>
  <c r="AM603" i="205"/>
  <c r="J263" i="205"/>
  <c r="AK603" i="205"/>
  <c r="AM1071" i="205"/>
  <c r="J453" i="205"/>
  <c r="J1080" i="205"/>
  <c r="J49" i="205" s="1"/>
  <c r="AM49" i="205" s="1"/>
  <c r="I283" i="205"/>
  <c r="AM576" i="205"/>
  <c r="J252" i="205"/>
  <c r="AM1101" i="205"/>
  <c r="J465" i="205"/>
  <c r="J1110" i="205"/>
  <c r="J50" i="205" s="1"/>
  <c r="AM50" i="205" s="1"/>
  <c r="I303" i="205"/>
  <c r="AM1102" i="205"/>
  <c r="J67" i="205"/>
  <c r="AM67" i="205" s="1"/>
  <c r="AK1102" i="205"/>
  <c r="AM630" i="205"/>
  <c r="J272" i="205"/>
  <c r="AK630" i="205"/>
  <c r="AM1032" i="205"/>
  <c r="J436" i="205"/>
  <c r="AK1032" i="205"/>
  <c r="J306" i="205"/>
  <c r="AM714" i="205"/>
  <c r="J756" i="205"/>
  <c r="J35" i="205" s="1"/>
  <c r="AM35" i="205" s="1"/>
  <c r="J326" i="205"/>
  <c r="AM768" i="205"/>
  <c r="AM546" i="205"/>
  <c r="J240" i="205"/>
  <c r="AK546" i="205"/>
  <c r="AM609" i="205"/>
  <c r="J265" i="205"/>
  <c r="AM570" i="205"/>
  <c r="J250" i="205"/>
  <c r="AM666" i="205"/>
  <c r="J288" i="205"/>
  <c r="AM678" i="205"/>
  <c r="J292" i="205"/>
  <c r="AK678" i="205"/>
  <c r="AM801" i="205"/>
  <c r="J339" i="205"/>
  <c r="AM780" i="205"/>
  <c r="J330" i="205"/>
  <c r="AK780" i="205"/>
  <c r="AK627" i="205"/>
  <c r="AM861" i="205"/>
  <c r="J363" i="205"/>
  <c r="AM363" i="205" s="1"/>
  <c r="AK861" i="205"/>
  <c r="AM636" i="205"/>
  <c r="J276" i="205"/>
  <c r="J657" i="205"/>
  <c r="J33" i="205" s="1"/>
  <c r="AM33" i="205" s="1"/>
  <c r="AK687" i="205"/>
  <c r="J289" i="205"/>
  <c r="AM669" i="205"/>
  <c r="AK669" i="205"/>
  <c r="AM543" i="205"/>
  <c r="J239" i="205"/>
  <c r="AK543" i="205"/>
  <c r="AM1047" i="205"/>
  <c r="J441" i="205"/>
  <c r="AK1047" i="205"/>
  <c r="AK690" i="205"/>
  <c r="AK1072" i="205"/>
  <c r="AM849" i="205"/>
  <c r="J359" i="205"/>
  <c r="J888" i="205"/>
  <c r="J39" i="205" s="1"/>
  <c r="AM39" i="205" s="1"/>
  <c r="AM648" i="205"/>
  <c r="J280" i="205"/>
  <c r="AM855" i="205"/>
  <c r="J361" i="205"/>
  <c r="AK615" i="205"/>
  <c r="AK290" i="205"/>
  <c r="AM837" i="205"/>
  <c r="J353" i="205"/>
  <c r="AM654" i="205"/>
  <c r="J282" i="205"/>
  <c r="AM729" i="205"/>
  <c r="J311" i="205"/>
  <c r="AM831" i="205"/>
  <c r="J351" i="205"/>
  <c r="AK831" i="205"/>
  <c r="AM810" i="205"/>
  <c r="J342" i="205"/>
  <c r="AK810" i="205"/>
  <c r="AM1029" i="205"/>
  <c r="J435" i="205"/>
  <c r="J1050" i="205"/>
  <c r="J47" i="205" s="1"/>
  <c r="AM47" i="205" s="1"/>
  <c r="I131" i="205"/>
  <c r="H148" i="205"/>
  <c r="H18" i="205" s="1"/>
  <c r="AM681" i="205"/>
  <c r="J293" i="205"/>
  <c r="AM744" i="205"/>
  <c r="J316" i="205"/>
  <c r="AM525" i="205"/>
  <c r="J233" i="205"/>
  <c r="AM735" i="205"/>
  <c r="J313" i="205"/>
  <c r="AM783" i="205"/>
  <c r="J331" i="205"/>
  <c r="AK783" i="205"/>
  <c r="AK720" i="205"/>
  <c r="AM828" i="205"/>
  <c r="J350" i="205"/>
  <c r="AK858" i="205"/>
  <c r="AM639" i="205"/>
  <c r="J277" i="205"/>
  <c r="AM738" i="205"/>
  <c r="J314" i="205"/>
  <c r="AK1101" i="205"/>
  <c r="AK840" i="205"/>
  <c r="AM741" i="205"/>
  <c r="J315" i="205"/>
  <c r="AM624" i="205"/>
  <c r="J270" i="205"/>
  <c r="AK624" i="205"/>
  <c r="AK552" i="205"/>
  <c r="AM528" i="205"/>
  <c r="J234" i="205"/>
  <c r="AM807" i="205"/>
  <c r="J341" i="205"/>
  <c r="AM600" i="205"/>
  <c r="J262" i="205"/>
  <c r="AK600" i="205"/>
  <c r="AM645" i="205"/>
  <c r="J279" i="205"/>
  <c r="AM621" i="205"/>
  <c r="J269" i="205"/>
  <c r="AM540" i="205"/>
  <c r="J238" i="205"/>
  <c r="AK747" i="205"/>
  <c r="AM1104" i="205"/>
  <c r="J466" i="205"/>
  <c r="AK1104" i="205"/>
  <c r="AK531" i="205"/>
  <c r="AK795" i="205"/>
  <c r="AK555" i="205"/>
  <c r="AK729" i="205"/>
  <c r="AM516" i="205"/>
  <c r="J230" i="205"/>
  <c r="AK516" i="205"/>
  <c r="AM507" i="205"/>
  <c r="J227" i="205"/>
  <c r="AK227" i="205" s="1"/>
  <c r="J558" i="205"/>
  <c r="AK507" i="205"/>
  <c r="AM510" i="205"/>
  <c r="J228" i="205"/>
  <c r="AK510" i="205"/>
  <c r="AM513" i="205"/>
  <c r="J229" i="205"/>
  <c r="I244" i="205"/>
  <c r="I30" i="205"/>
  <c r="AK513" i="205"/>
  <c r="I207" i="205"/>
  <c r="H218" i="205"/>
  <c r="H23" i="205" s="1"/>
  <c r="I117" i="205"/>
  <c r="H128" i="205"/>
  <c r="H17" i="205" s="1"/>
  <c r="G20" i="205"/>
  <c r="I174" i="205"/>
  <c r="H181" i="205"/>
  <c r="AK324" i="205" l="1"/>
  <c r="AK301" i="205"/>
  <c r="AK333" i="205"/>
  <c r="AK355" i="205"/>
  <c r="AK261" i="205"/>
  <c r="AM279" i="205"/>
  <c r="AK279" i="205"/>
  <c r="AM311" i="205"/>
  <c r="AK311" i="205"/>
  <c r="AM269" i="205"/>
  <c r="AK269" i="205"/>
  <c r="AM314" i="205"/>
  <c r="AK314" i="205"/>
  <c r="J131" i="205"/>
  <c r="AK131" i="205" s="1"/>
  <c r="I148" i="205"/>
  <c r="I18" i="205" s="1"/>
  <c r="AM351" i="205"/>
  <c r="AK351" i="205"/>
  <c r="AM282" i="205"/>
  <c r="AK282" i="205"/>
  <c r="AM361" i="205"/>
  <c r="AK361" i="205"/>
  <c r="AM288" i="205"/>
  <c r="AK288" i="205"/>
  <c r="AM265" i="205"/>
  <c r="AK265" i="205"/>
  <c r="AM302" i="205"/>
  <c r="AK302" i="205"/>
  <c r="AM319" i="205"/>
  <c r="AK319" i="205"/>
  <c r="AM307" i="205"/>
  <c r="AK307" i="205"/>
  <c r="AM338" i="205"/>
  <c r="AK338" i="205"/>
  <c r="AM360" i="205"/>
  <c r="AK360" i="205"/>
  <c r="AM317" i="205"/>
  <c r="AK317" i="205"/>
  <c r="AM362" i="205"/>
  <c r="AK362" i="205"/>
  <c r="AM271" i="205"/>
  <c r="AK271" i="205"/>
  <c r="AK347" i="205"/>
  <c r="AM347" i="205"/>
  <c r="J356" i="205"/>
  <c r="AK318" i="205"/>
  <c r="AM264" i="205"/>
  <c r="AK264" i="205"/>
  <c r="AM328" i="205"/>
  <c r="AK328" i="205"/>
  <c r="AM349" i="205"/>
  <c r="AK349" i="205"/>
  <c r="AM278" i="205"/>
  <c r="AK278" i="205"/>
  <c r="AK332" i="205"/>
  <c r="AM340" i="205"/>
  <c r="AK340" i="205"/>
  <c r="AM253" i="205"/>
  <c r="AK253" i="205"/>
  <c r="AM262" i="205"/>
  <c r="AK262" i="205"/>
  <c r="AM270" i="205"/>
  <c r="AK270" i="205"/>
  <c r="AM350" i="205"/>
  <c r="AK350" i="205"/>
  <c r="AM331" i="205"/>
  <c r="AK331" i="205"/>
  <c r="AM233" i="205"/>
  <c r="AK233" i="205"/>
  <c r="AM293" i="205"/>
  <c r="AK293" i="205"/>
  <c r="AM342" i="205"/>
  <c r="AK342" i="205"/>
  <c r="AM359" i="205"/>
  <c r="J372" i="205"/>
  <c r="AK359" i="205"/>
  <c r="AM239" i="205"/>
  <c r="AK239" i="205"/>
  <c r="AM289" i="205"/>
  <c r="AK289" i="205"/>
  <c r="AM276" i="205"/>
  <c r="J283" i="205"/>
  <c r="AM330" i="205"/>
  <c r="AK330" i="205"/>
  <c r="J320" i="205"/>
  <c r="AM306" i="205"/>
  <c r="AM465" i="205"/>
  <c r="J468" i="205"/>
  <c r="AK465" i="205"/>
  <c r="AM323" i="205"/>
  <c r="J334" i="205"/>
  <c r="AK323" i="205"/>
  <c r="AM226" i="205"/>
  <c r="AK226" i="205"/>
  <c r="AM281" i="205"/>
  <c r="AK281" i="205"/>
  <c r="AM299" i="205"/>
  <c r="AK299" i="205"/>
  <c r="AM248" i="205"/>
  <c r="AK248" i="205"/>
  <c r="AK254" i="205"/>
  <c r="AM231" i="205"/>
  <c r="AK231" i="205"/>
  <c r="J184" i="205"/>
  <c r="I187" i="205"/>
  <c r="I21" i="205" s="1"/>
  <c r="AM312" i="205"/>
  <c r="AK312" i="205"/>
  <c r="AM251" i="205"/>
  <c r="AK251" i="205"/>
  <c r="AM260" i="205"/>
  <c r="AK260" i="205"/>
  <c r="AM300" i="205"/>
  <c r="AK300" i="205"/>
  <c r="AM455" i="205"/>
  <c r="AK455" i="205"/>
  <c r="AM440" i="205"/>
  <c r="AK440" i="205"/>
  <c r="AK267" i="205"/>
  <c r="AM237" i="205"/>
  <c r="AK237" i="205"/>
  <c r="AM277" i="205"/>
  <c r="AK277" i="205"/>
  <c r="AM353" i="205"/>
  <c r="AK353" i="205"/>
  <c r="AM441" i="205"/>
  <c r="AK441" i="205"/>
  <c r="AM250" i="205"/>
  <c r="AK250" i="205"/>
  <c r="AM326" i="205"/>
  <c r="AK326" i="205"/>
  <c r="AM272" i="205"/>
  <c r="AK272" i="205"/>
  <c r="AM263" i="205"/>
  <c r="AK263" i="205"/>
  <c r="AM439" i="205"/>
  <c r="AK439" i="205"/>
  <c r="AM309" i="205"/>
  <c r="AK309" i="205"/>
  <c r="AM325" i="205"/>
  <c r="AK325" i="205"/>
  <c r="AM294" i="205"/>
  <c r="AK294" i="205"/>
  <c r="AM236" i="205"/>
  <c r="AK236" i="205"/>
  <c r="AK276" i="205"/>
  <c r="AM348" i="205"/>
  <c r="AK348" i="205"/>
  <c r="AM437" i="205"/>
  <c r="AK437" i="205"/>
  <c r="AM308" i="205"/>
  <c r="AK308" i="205"/>
  <c r="AM438" i="205"/>
  <c r="AK438" i="205"/>
  <c r="AK258" i="205"/>
  <c r="J273" i="205"/>
  <c r="AM258" i="205"/>
  <c r="AM259" i="205"/>
  <c r="AK259" i="205"/>
  <c r="AM287" i="205"/>
  <c r="AK287" i="205"/>
  <c r="AM298" i="205"/>
  <c r="AK298" i="205"/>
  <c r="AK286" i="205"/>
  <c r="J303" i="205"/>
  <c r="AM286" i="205"/>
  <c r="AM297" i="205"/>
  <c r="AK297" i="205"/>
  <c r="AM249" i="205"/>
  <c r="AK249" i="205"/>
  <c r="AM467" i="205"/>
  <c r="AK467" i="205"/>
  <c r="AM243" i="205"/>
  <c r="AK243" i="205"/>
  <c r="AM343" i="205"/>
  <c r="AK343" i="205"/>
  <c r="AM291" i="205"/>
  <c r="AK291" i="205"/>
  <c r="AK295" i="205"/>
  <c r="AM234" i="205"/>
  <c r="AK234" i="205"/>
  <c r="AM238" i="205"/>
  <c r="AK238" i="205"/>
  <c r="AM435" i="205"/>
  <c r="J442" i="205"/>
  <c r="AK435" i="205"/>
  <c r="AM280" i="205"/>
  <c r="AK280" i="205"/>
  <c r="AM292" i="205"/>
  <c r="AK292" i="205"/>
  <c r="AM466" i="205"/>
  <c r="AK466" i="205"/>
  <c r="AM341" i="205"/>
  <c r="AK341" i="205"/>
  <c r="AM315" i="205"/>
  <c r="AK315" i="205"/>
  <c r="AM313" i="205"/>
  <c r="AK313" i="205"/>
  <c r="AM316" i="205"/>
  <c r="AK316" i="205"/>
  <c r="AM339" i="205"/>
  <c r="AK339" i="205"/>
  <c r="AM240" i="205"/>
  <c r="AK240" i="205"/>
  <c r="AM436" i="205"/>
  <c r="AK436" i="205"/>
  <c r="AM252" i="205"/>
  <c r="AK252" i="205"/>
  <c r="AM453" i="205"/>
  <c r="J456" i="205"/>
  <c r="AK453" i="205"/>
  <c r="AM247" i="205"/>
  <c r="J255" i="205"/>
  <c r="J151" i="205"/>
  <c r="I154" i="205"/>
  <c r="I19" i="205" s="1"/>
  <c r="AM337" i="205"/>
  <c r="J344" i="205"/>
  <c r="AK337" i="205"/>
  <c r="AM232" i="205"/>
  <c r="AK232" i="205"/>
  <c r="AK363" i="205"/>
  <c r="AM242" i="205"/>
  <c r="AK242" i="205"/>
  <c r="AM354" i="205"/>
  <c r="AK354" i="205"/>
  <c r="AM327" i="205"/>
  <c r="AK327" i="205"/>
  <c r="AM352" i="205"/>
  <c r="AK352" i="205"/>
  <c r="AK235" i="205"/>
  <c r="AM296" i="205"/>
  <c r="AK296" i="205"/>
  <c r="AK306" i="205"/>
  <c r="AM310" i="205"/>
  <c r="AK310" i="205"/>
  <c r="AM329" i="205"/>
  <c r="AK329" i="205"/>
  <c r="AK268" i="205"/>
  <c r="AM454" i="205"/>
  <c r="AK454" i="205"/>
  <c r="AM241" i="205"/>
  <c r="AK241" i="205"/>
  <c r="AK266" i="205"/>
  <c r="AM228" i="205"/>
  <c r="AK228" i="205"/>
  <c r="J30" i="205"/>
  <c r="AM230" i="205"/>
  <c r="AK230" i="205"/>
  <c r="AM227" i="205"/>
  <c r="J244" i="205"/>
  <c r="AM229" i="205"/>
  <c r="AK229" i="205"/>
  <c r="J64" i="205"/>
  <c r="AM60" i="205"/>
  <c r="J207" i="205"/>
  <c r="I218" i="205"/>
  <c r="I23" i="205" s="1"/>
  <c r="J117" i="205"/>
  <c r="AK117" i="205" s="1"/>
  <c r="I128" i="205"/>
  <c r="I17" i="205" s="1"/>
  <c r="H20" i="205"/>
  <c r="J174" i="205"/>
  <c r="AK174" i="205" s="1"/>
  <c r="I181" i="205"/>
  <c r="M22" i="24"/>
  <c r="AM151" i="205" l="1"/>
  <c r="J154" i="205"/>
  <c r="J19" i="205" s="1"/>
  <c r="AM19" i="205" s="1"/>
  <c r="AK151" i="205"/>
  <c r="J187" i="205"/>
  <c r="J21" i="205" s="1"/>
  <c r="AM21" i="205" s="1"/>
  <c r="AM184" i="205"/>
  <c r="AK184" i="205"/>
  <c r="AM131" i="205"/>
  <c r="J148" i="205"/>
  <c r="J18" i="205" s="1"/>
  <c r="AM18" i="205" s="1"/>
  <c r="AM30" i="205"/>
  <c r="AM207" i="205"/>
  <c r="J218" i="205"/>
  <c r="J23" i="205" s="1"/>
  <c r="AM23" i="205" s="1"/>
  <c r="AK207" i="205"/>
  <c r="AM117" i="205"/>
  <c r="J128" i="205"/>
  <c r="J17" i="205" s="1"/>
  <c r="AM17" i="205" s="1"/>
  <c r="I20" i="205"/>
  <c r="AM174" i="205"/>
  <c r="J181" i="205"/>
  <c r="J20" i="205" l="1"/>
  <c r="AM20" i="205" l="1"/>
  <c r="E29" i="176"/>
  <c r="E29" i="175"/>
  <c r="E29" i="174"/>
  <c r="E29" i="173"/>
  <c r="E29" i="172"/>
  <c r="E29" i="171"/>
  <c r="E29" i="57"/>
  <c r="K29" i="171" l="1"/>
  <c r="J29" i="171"/>
  <c r="I29" i="171"/>
  <c r="H29" i="171"/>
  <c r="G29" i="171"/>
  <c r="F29" i="171"/>
  <c r="K29" i="172"/>
  <c r="J29" i="172"/>
  <c r="I29" i="172"/>
  <c r="H29" i="172"/>
  <c r="G29" i="172"/>
  <c r="F29" i="172"/>
  <c r="K29" i="173"/>
  <c r="J29" i="173"/>
  <c r="I29" i="173"/>
  <c r="H29" i="173"/>
  <c r="G29" i="173"/>
  <c r="F29" i="173"/>
  <c r="K29" i="174"/>
  <c r="J29" i="174"/>
  <c r="I29" i="174"/>
  <c r="H29" i="174"/>
  <c r="G29" i="174"/>
  <c r="F29" i="174"/>
  <c r="K29" i="175"/>
  <c r="J29" i="175"/>
  <c r="I29" i="175"/>
  <c r="H29" i="175"/>
  <c r="G29" i="175"/>
  <c r="F29" i="175"/>
  <c r="K29" i="176"/>
  <c r="J29" i="176"/>
  <c r="I29" i="176"/>
  <c r="H29" i="176"/>
  <c r="G29" i="176"/>
  <c r="F29" i="176"/>
  <c r="K29" i="57"/>
  <c r="J29" i="57"/>
  <c r="I29" i="57"/>
  <c r="H29" i="57"/>
  <c r="G29" i="57"/>
  <c r="F29" i="57"/>
  <c r="K29" i="58" l="1"/>
  <c r="J29" i="58"/>
  <c r="I29" i="58"/>
  <c r="H29" i="58"/>
  <c r="G29" i="58"/>
  <c r="F29" i="58"/>
  <c r="M30" i="34"/>
  <c r="L31" i="34"/>
  <c r="J30" i="34"/>
  <c r="J25" i="34"/>
  <c r="L25" i="34"/>
  <c r="K26" i="24"/>
  <c r="K31" i="34"/>
  <c r="K26" i="34"/>
  <c r="J26" i="24"/>
  <c r="N26" i="24"/>
  <c r="M25" i="34"/>
  <c r="O25" i="34"/>
  <c r="K25" i="34"/>
  <c r="K31" i="24"/>
  <c r="K30" i="34"/>
  <c r="N31" i="24"/>
  <c r="N25" i="34"/>
  <c r="N30" i="34"/>
  <c r="J31" i="24"/>
  <c r="L31" i="24"/>
  <c r="L26" i="34"/>
  <c r="J26" i="34"/>
  <c r="O30" i="34"/>
  <c r="L30" i="34"/>
  <c r="L26" i="24"/>
  <c r="J31" i="34"/>
  <c r="I27" i="55" l="1"/>
  <c r="F35" i="67"/>
  <c r="H33" i="48" l="1"/>
  <c r="H32" i="48"/>
  <c r="R29" i="48"/>
  <c r="R30" i="48"/>
  <c r="H30" i="48"/>
  <c r="E30" i="48"/>
  <c r="H27" i="48"/>
  <c r="H23" i="48"/>
  <c r="E24" i="48"/>
  <c r="E23" i="48"/>
  <c r="E22" i="48"/>
  <c r="G13" i="47"/>
  <c r="I24" i="92" l="1"/>
  <c r="K21" i="24" l="1"/>
  <c r="J21" i="34"/>
  <c r="R29" i="71"/>
  <c r="R21" i="71"/>
  <c r="D28" i="177"/>
  <c r="D27" i="177"/>
  <c r="D26" i="177"/>
  <c r="D25" i="177"/>
  <c r="D24" i="177"/>
  <c r="D23" i="177"/>
  <c r="D22" i="177"/>
  <c r="D21" i="177"/>
  <c r="D20" i="177"/>
  <c r="D19" i="177"/>
  <c r="D18" i="177"/>
  <c r="D17" i="177"/>
  <c r="D16" i="177"/>
  <c r="D15" i="177"/>
  <c r="D14" i="177"/>
  <c r="D13" i="177"/>
  <c r="D12" i="177"/>
  <c r="D11" i="177"/>
  <c r="D29" i="176"/>
  <c r="D28" i="176"/>
  <c r="D27" i="176"/>
  <c r="D26" i="176"/>
  <c r="D25" i="176"/>
  <c r="D24" i="176"/>
  <c r="D23" i="176"/>
  <c r="D22" i="176"/>
  <c r="D21" i="176"/>
  <c r="D20" i="176"/>
  <c r="D19" i="176"/>
  <c r="D18" i="176"/>
  <c r="D17" i="176"/>
  <c r="D16" i="176"/>
  <c r="D15" i="176"/>
  <c r="D14" i="176"/>
  <c r="D13" i="176"/>
  <c r="D12" i="176"/>
  <c r="D11" i="176"/>
  <c r="D29" i="175"/>
  <c r="D28" i="175"/>
  <c r="D27" i="175"/>
  <c r="D26" i="175"/>
  <c r="D25" i="175"/>
  <c r="D24" i="175"/>
  <c r="D23" i="175"/>
  <c r="D22" i="175"/>
  <c r="D21" i="175"/>
  <c r="D20" i="175"/>
  <c r="D19" i="175"/>
  <c r="D18" i="175"/>
  <c r="D17" i="175"/>
  <c r="D16" i="175"/>
  <c r="D15" i="175"/>
  <c r="D14" i="175"/>
  <c r="D13" i="175"/>
  <c r="D12" i="175"/>
  <c r="D11" i="175"/>
  <c r="D29" i="174"/>
  <c r="D28" i="174"/>
  <c r="D27" i="174"/>
  <c r="D26" i="174"/>
  <c r="D25" i="174"/>
  <c r="D24" i="174"/>
  <c r="D23" i="174"/>
  <c r="D22" i="174"/>
  <c r="D21" i="174"/>
  <c r="D20" i="174"/>
  <c r="D19" i="174"/>
  <c r="D18" i="174"/>
  <c r="D17" i="174"/>
  <c r="D16" i="174"/>
  <c r="D15" i="174"/>
  <c r="D14" i="174"/>
  <c r="D13" i="174"/>
  <c r="D12" i="174"/>
  <c r="D11" i="174"/>
  <c r="D29" i="173"/>
  <c r="D28" i="173"/>
  <c r="D27" i="173"/>
  <c r="D26" i="173"/>
  <c r="D25" i="173"/>
  <c r="D24" i="173"/>
  <c r="D23" i="173"/>
  <c r="D22" i="173"/>
  <c r="D21" i="173"/>
  <c r="D20" i="173"/>
  <c r="D19" i="173"/>
  <c r="D18" i="173"/>
  <c r="D17" i="173"/>
  <c r="D16" i="173"/>
  <c r="D15" i="173"/>
  <c r="D14" i="173"/>
  <c r="D13" i="173"/>
  <c r="D12" i="173"/>
  <c r="D11" i="173"/>
  <c r="D29" i="172"/>
  <c r="D28" i="172"/>
  <c r="D27" i="172"/>
  <c r="D26" i="172"/>
  <c r="D25" i="172"/>
  <c r="D24" i="172"/>
  <c r="D23" i="172"/>
  <c r="D22" i="172"/>
  <c r="D21" i="172"/>
  <c r="D20" i="172"/>
  <c r="D19" i="172"/>
  <c r="D18" i="172"/>
  <c r="D17" i="172"/>
  <c r="D16" i="172"/>
  <c r="D15" i="172"/>
  <c r="D14" i="172"/>
  <c r="D13" i="172"/>
  <c r="D12" i="172"/>
  <c r="D11" i="172"/>
  <c r="D29" i="171"/>
  <c r="D28" i="171"/>
  <c r="D27" i="171"/>
  <c r="D26" i="171"/>
  <c r="D25" i="171"/>
  <c r="D24" i="171"/>
  <c r="D23" i="171"/>
  <c r="D22" i="171"/>
  <c r="D21" i="171"/>
  <c r="D20" i="171"/>
  <c r="D19" i="171"/>
  <c r="D18" i="171"/>
  <c r="D17" i="171"/>
  <c r="D16" i="171"/>
  <c r="D15" i="171"/>
  <c r="D14" i="171"/>
  <c r="D13" i="171"/>
  <c r="D12" i="171"/>
  <c r="D11" i="171"/>
  <c r="D29" i="57"/>
  <c r="D28" i="57"/>
  <c r="D27" i="57"/>
  <c r="D26" i="57"/>
  <c r="D25" i="57"/>
  <c r="D24" i="57"/>
  <c r="D23" i="57"/>
  <c r="D22" i="57"/>
  <c r="D21" i="57"/>
  <c r="D20" i="57"/>
  <c r="D19" i="57"/>
  <c r="D18" i="57"/>
  <c r="D17" i="57"/>
  <c r="D16" i="57"/>
  <c r="D15" i="57"/>
  <c r="D14" i="57"/>
  <c r="D13" i="57"/>
  <c r="D12" i="57"/>
  <c r="D11" i="57"/>
  <c r="D12" i="203" l="1"/>
  <c r="I364" i="203"/>
  <c r="E22" i="47"/>
  <c r="K11" i="170"/>
  <c r="M11" i="170" s="1"/>
  <c r="K11" i="127"/>
  <c r="M11" i="127" s="1"/>
  <c r="K8" i="167"/>
  <c r="M8" i="167" s="1"/>
  <c r="K13" i="162"/>
  <c r="M13" i="162" s="1"/>
  <c r="D35" i="67"/>
  <c r="F12" i="67"/>
  <c r="P31" i="67"/>
  <c r="D28" i="135"/>
  <c r="D27" i="135"/>
  <c r="D26" i="135"/>
  <c r="D25" i="135"/>
  <c r="D24" i="135"/>
  <c r="D23" i="135"/>
  <c r="D22" i="135"/>
  <c r="D21" i="135"/>
  <c r="D20" i="135"/>
  <c r="D19" i="135"/>
  <c r="D18" i="135"/>
  <c r="F18" i="136" s="1"/>
  <c r="D17" i="135"/>
  <c r="D16" i="135"/>
  <c r="D15" i="135"/>
  <c r="D14" i="135"/>
  <c r="D13" i="135"/>
  <c r="D12" i="135"/>
  <c r="D11" i="135"/>
  <c r="M23" i="26"/>
  <c r="O23" i="26" s="1"/>
  <c r="M22" i="26"/>
  <c r="Q22" i="26" s="1"/>
  <c r="K29" i="22"/>
  <c r="J25" i="87"/>
  <c r="J32" i="87" s="1"/>
  <c r="L14" i="69"/>
  <c r="U23" i="69"/>
  <c r="J364" i="203" l="1"/>
  <c r="J365" i="203" s="1"/>
  <c r="D974" i="205"/>
  <c r="I365" i="203"/>
  <c r="E34" i="48"/>
  <c r="C11" i="158"/>
  <c r="F11" i="158" s="1"/>
  <c r="B11" i="158"/>
  <c r="D11" i="136"/>
  <c r="C11" i="136"/>
  <c r="B11" i="136"/>
  <c r="H116" i="51"/>
  <c r="H136" i="51"/>
  <c r="N151" i="51"/>
  <c r="L151" i="51"/>
  <c r="N142" i="51"/>
  <c r="L142" i="51"/>
  <c r="N138" i="51"/>
  <c r="L138" i="51"/>
  <c r="G136" i="51"/>
  <c r="N131" i="51"/>
  <c r="L131" i="51"/>
  <c r="L122" i="51"/>
  <c r="N122" i="51"/>
  <c r="N118" i="51"/>
  <c r="L118" i="51"/>
  <c r="G116" i="51"/>
  <c r="H96" i="51"/>
  <c r="N111" i="51"/>
  <c r="L111" i="51"/>
  <c r="N102" i="51"/>
  <c r="L102" i="51"/>
  <c r="N98" i="51"/>
  <c r="L98" i="51"/>
  <c r="G96" i="51"/>
  <c r="H173" i="51"/>
  <c r="H176" i="51"/>
  <c r="N168" i="51"/>
  <c r="L168" i="51"/>
  <c r="H168" i="51"/>
  <c r="H160" i="51"/>
  <c r="N165" i="51"/>
  <c r="L165" i="51"/>
  <c r="H165" i="51"/>
  <c r="L181" i="51"/>
  <c r="H185" i="51"/>
  <c r="R33" i="48"/>
  <c r="O22" i="24"/>
  <c r="H15" i="53"/>
  <c r="I15" i="53"/>
  <c r="G15" i="53"/>
  <c r="J15" i="52"/>
  <c r="K15" i="52"/>
  <c r="I15" i="52"/>
  <c r="J30" i="52"/>
  <c r="K30" i="52"/>
  <c r="I30" i="52"/>
  <c r="M15" i="26"/>
  <c r="O15" i="26" s="1"/>
  <c r="M16" i="26"/>
  <c r="O16" i="26" s="1"/>
  <c r="K23" i="24"/>
  <c r="L21" i="24"/>
  <c r="N21" i="24"/>
  <c r="N23" i="24" s="1"/>
  <c r="J21" i="24"/>
  <c r="J23" i="24" s="1"/>
  <c r="M9" i="198"/>
  <c r="O9" i="198" s="1"/>
  <c r="M10" i="198"/>
  <c r="O10" i="198" s="1"/>
  <c r="M11" i="198"/>
  <c r="O11" i="198" s="1"/>
  <c r="J30" i="198"/>
  <c r="M26" i="198"/>
  <c r="O26" i="198" s="1"/>
  <c r="M25" i="198"/>
  <c r="O25" i="198" s="1"/>
  <c r="M24" i="198"/>
  <c r="O24" i="198" s="1"/>
  <c r="M23" i="198"/>
  <c r="O23" i="198" s="1"/>
  <c r="M22" i="198"/>
  <c r="O22" i="198" s="1"/>
  <c r="M21" i="198"/>
  <c r="O21" i="198" s="1"/>
  <c r="M20" i="198"/>
  <c r="O20" i="198" s="1"/>
  <c r="M19" i="198"/>
  <c r="O19" i="198" s="1"/>
  <c r="M18" i="198"/>
  <c r="O18" i="198" s="1"/>
  <c r="M17" i="198"/>
  <c r="O17" i="198" s="1"/>
  <c r="M16" i="198"/>
  <c r="O16" i="198" s="1"/>
  <c r="M15" i="198"/>
  <c r="O15" i="198" s="1"/>
  <c r="M14" i="198"/>
  <c r="O14" i="198" s="1"/>
  <c r="M13" i="198"/>
  <c r="O13" i="198" s="1"/>
  <c r="M12" i="198"/>
  <c r="O12" i="198" s="1"/>
  <c r="K5" i="198"/>
  <c r="J5" i="198"/>
  <c r="M4" i="198"/>
  <c r="L4" i="198"/>
  <c r="N3" i="198"/>
  <c r="M8" i="35"/>
  <c r="O8" i="35" s="1"/>
  <c r="M7" i="27"/>
  <c r="O7" i="27" s="1"/>
  <c r="M7" i="1"/>
  <c r="O7" i="1"/>
  <c r="I26" i="19"/>
  <c r="I26" i="21"/>
  <c r="I17" i="22" s="1"/>
  <c r="I8" i="22"/>
  <c r="D23" i="203" s="1"/>
  <c r="I26" i="104"/>
  <c r="I11" i="22" s="1"/>
  <c r="F19" i="63"/>
  <c r="F17" i="63"/>
  <c r="F15" i="63"/>
  <c r="F21" i="63"/>
  <c r="F13" i="63"/>
  <c r="C23" i="63"/>
  <c r="C21" i="63"/>
  <c r="C19" i="63"/>
  <c r="C17" i="63"/>
  <c r="C15" i="63"/>
  <c r="K26" i="37"/>
  <c r="L26" i="37"/>
  <c r="N26" i="37"/>
  <c r="J26" i="37"/>
  <c r="J17" i="40" s="1"/>
  <c r="K26" i="28"/>
  <c r="L26" i="28"/>
  <c r="L10" i="40" s="1"/>
  <c r="N26" i="28"/>
  <c r="J26" i="28"/>
  <c r="J10" i="40" s="1"/>
  <c r="K26" i="21"/>
  <c r="K17" i="22" s="1"/>
  <c r="J26" i="21"/>
  <c r="J17" i="22" s="1"/>
  <c r="K26" i="104"/>
  <c r="K11" i="22" s="1"/>
  <c r="J26" i="104"/>
  <c r="J11" i="22" s="1"/>
  <c r="J19" i="39"/>
  <c r="K21" i="34"/>
  <c r="G22" i="47" s="1"/>
  <c r="I22" i="47" s="1"/>
  <c r="J22" i="47" s="1"/>
  <c r="L21" i="34"/>
  <c r="K26" i="30"/>
  <c r="K12" i="40" s="1"/>
  <c r="L26" i="30"/>
  <c r="L12" i="40" s="1"/>
  <c r="N26" i="30"/>
  <c r="J26" i="30"/>
  <c r="J12" i="40" s="1"/>
  <c r="M8" i="196"/>
  <c r="O8" i="196" s="1"/>
  <c r="K20" i="26"/>
  <c r="L20" i="26"/>
  <c r="N20" i="26"/>
  <c r="J20" i="26"/>
  <c r="J5" i="38"/>
  <c r="J19" i="38"/>
  <c r="J5" i="36"/>
  <c r="J26" i="36"/>
  <c r="J16" i="40" s="1"/>
  <c r="B3" i="60"/>
  <c r="R21" i="38"/>
  <c r="R23" i="38"/>
  <c r="J31" i="196"/>
  <c r="M26" i="196"/>
  <c r="O26" i="196" s="1"/>
  <c r="M25" i="196"/>
  <c r="O25" i="196" s="1"/>
  <c r="M24" i="196"/>
  <c r="O24" i="196" s="1"/>
  <c r="M23" i="196"/>
  <c r="O23" i="196" s="1"/>
  <c r="M22" i="196"/>
  <c r="O22" i="196" s="1"/>
  <c r="M21" i="196"/>
  <c r="O21" i="196" s="1"/>
  <c r="M20" i="196"/>
  <c r="O20" i="196" s="1"/>
  <c r="M19" i="196"/>
  <c r="O19" i="196" s="1"/>
  <c r="M18" i="196"/>
  <c r="O18" i="196" s="1"/>
  <c r="M17" i="196"/>
  <c r="O17" i="196" s="1"/>
  <c r="M16" i="196"/>
  <c r="O16" i="196" s="1"/>
  <c r="M15" i="196"/>
  <c r="O15" i="196" s="1"/>
  <c r="M14" i="196"/>
  <c r="O14" i="196" s="1"/>
  <c r="M13" i="196"/>
  <c r="O13" i="196" s="1"/>
  <c r="M12" i="196"/>
  <c r="O12" i="196" s="1"/>
  <c r="M11" i="196"/>
  <c r="O11" i="196"/>
  <c r="M10" i="196"/>
  <c r="O10" i="196" s="1"/>
  <c r="M9" i="196"/>
  <c r="O9" i="196" s="1"/>
  <c r="K5" i="196"/>
  <c r="J5" i="196"/>
  <c r="M4" i="196"/>
  <c r="L4" i="196"/>
  <c r="N3" i="196"/>
  <c r="M26" i="195"/>
  <c r="O26" i="195" s="1"/>
  <c r="M25" i="195"/>
  <c r="O25" i="195" s="1"/>
  <c r="M24" i="195"/>
  <c r="O24" i="195" s="1"/>
  <c r="M23" i="195"/>
  <c r="O23" i="195" s="1"/>
  <c r="M22" i="195"/>
  <c r="O22" i="195" s="1"/>
  <c r="M21" i="195"/>
  <c r="O21" i="195" s="1"/>
  <c r="M20" i="195"/>
  <c r="O20" i="195" s="1"/>
  <c r="M19" i="195"/>
  <c r="O19" i="195"/>
  <c r="M18" i="195"/>
  <c r="O18" i="195" s="1"/>
  <c r="M17" i="195"/>
  <c r="O17" i="195" s="1"/>
  <c r="M16" i="195"/>
  <c r="O16" i="195" s="1"/>
  <c r="M15" i="195"/>
  <c r="O15" i="195" s="1"/>
  <c r="M14" i="195"/>
  <c r="O14" i="195" s="1"/>
  <c r="M13" i="195"/>
  <c r="O13" i="195" s="1"/>
  <c r="M12" i="195"/>
  <c r="O12" i="195" s="1"/>
  <c r="M11" i="195"/>
  <c r="O11" i="195" s="1"/>
  <c r="M10" i="195"/>
  <c r="M9" i="195"/>
  <c r="O9" i="195" s="1"/>
  <c r="M8" i="195"/>
  <c r="O8" i="195" s="1"/>
  <c r="K5" i="195"/>
  <c r="J5" i="195"/>
  <c r="M4" i="195"/>
  <c r="L4" i="195"/>
  <c r="N3" i="195"/>
  <c r="J26" i="16"/>
  <c r="J14" i="22" s="1"/>
  <c r="K26" i="16"/>
  <c r="K14" i="22" s="1"/>
  <c r="I26" i="16"/>
  <c r="I14" i="22" s="1"/>
  <c r="I4" i="194"/>
  <c r="J4" i="194" s="1"/>
  <c r="K4" i="194" s="1"/>
  <c r="I4" i="193"/>
  <c r="J4" i="193" s="1"/>
  <c r="K4" i="193" s="1"/>
  <c r="M8" i="1"/>
  <c r="O8" i="1" s="1"/>
  <c r="M17" i="39"/>
  <c r="M18" i="39"/>
  <c r="Q18" i="39" s="1"/>
  <c r="M26" i="134"/>
  <c r="R26" i="134" s="1"/>
  <c r="D11" i="95"/>
  <c r="D32" i="95"/>
  <c r="D27" i="95"/>
  <c r="D25" i="95"/>
  <c r="D20" i="95"/>
  <c r="D18" i="95"/>
  <c r="C8" i="95"/>
  <c r="S25" i="87"/>
  <c r="T26" i="87" s="1"/>
  <c r="S24" i="87"/>
  <c r="N15" i="71"/>
  <c r="N14" i="71"/>
  <c r="H40" i="3"/>
  <c r="H41" i="3" s="1"/>
  <c r="O35" i="60"/>
  <c r="M7" i="76"/>
  <c r="J22" i="69"/>
  <c r="L157" i="51"/>
  <c r="N157" i="51"/>
  <c r="L160" i="51"/>
  <c r="N160" i="51"/>
  <c r="B13" i="192"/>
  <c r="B14" i="192"/>
  <c r="B15" i="192"/>
  <c r="B16" i="192"/>
  <c r="B17" i="192"/>
  <c r="B18" i="192"/>
  <c r="B19" i="192"/>
  <c r="B20" i="192"/>
  <c r="B21" i="192"/>
  <c r="B22" i="192"/>
  <c r="B23" i="192"/>
  <c r="B24" i="192"/>
  <c r="B25" i="192"/>
  <c r="B26" i="192"/>
  <c r="B27" i="192"/>
  <c r="B28" i="192"/>
  <c r="B12" i="192"/>
  <c r="B11" i="192"/>
  <c r="D10" i="192"/>
  <c r="B13" i="191"/>
  <c r="B14" i="191"/>
  <c r="B15" i="191"/>
  <c r="B16" i="191"/>
  <c r="B17" i="191"/>
  <c r="B18" i="191"/>
  <c r="B19" i="191"/>
  <c r="B20" i="191"/>
  <c r="B21" i="191"/>
  <c r="B22" i="191"/>
  <c r="B23" i="191"/>
  <c r="B24" i="191"/>
  <c r="B25" i="191"/>
  <c r="B26" i="191"/>
  <c r="B27" i="191"/>
  <c r="B28" i="191"/>
  <c r="B12" i="191"/>
  <c r="B11" i="191"/>
  <c r="L29" i="191"/>
  <c r="K29" i="191"/>
  <c r="J29" i="191"/>
  <c r="I29" i="191"/>
  <c r="H29" i="191"/>
  <c r="G29" i="191"/>
  <c r="E29" i="191"/>
  <c r="D29" i="191"/>
  <c r="B29" i="191"/>
  <c r="D10" i="191"/>
  <c r="B13" i="190"/>
  <c r="B14" i="190"/>
  <c r="B15" i="190"/>
  <c r="B16" i="190"/>
  <c r="B17" i="190"/>
  <c r="B18" i="190"/>
  <c r="B19" i="190"/>
  <c r="B20" i="190"/>
  <c r="B21" i="190"/>
  <c r="B22" i="190"/>
  <c r="B23" i="190"/>
  <c r="B24" i="190"/>
  <c r="B25" i="190"/>
  <c r="B26" i="190"/>
  <c r="B27" i="190"/>
  <c r="B28" i="190"/>
  <c r="B12" i="190"/>
  <c r="B11" i="190"/>
  <c r="L29" i="190"/>
  <c r="K29" i="190"/>
  <c r="J29" i="190"/>
  <c r="I29" i="190"/>
  <c r="H29" i="190"/>
  <c r="G29" i="190"/>
  <c r="E29" i="190"/>
  <c r="D29" i="190"/>
  <c r="B29" i="190"/>
  <c r="D10" i="190"/>
  <c r="B13" i="189"/>
  <c r="B14" i="189"/>
  <c r="B15" i="189"/>
  <c r="B16" i="189"/>
  <c r="B17" i="189"/>
  <c r="B18" i="189"/>
  <c r="B19" i="189"/>
  <c r="B20" i="189"/>
  <c r="B21" i="189"/>
  <c r="B22" i="189"/>
  <c r="B23" i="189"/>
  <c r="B24" i="189"/>
  <c r="B25" i="189"/>
  <c r="B26" i="189"/>
  <c r="B27" i="189"/>
  <c r="B28" i="189"/>
  <c r="B12" i="189"/>
  <c r="B11" i="189"/>
  <c r="L29" i="189"/>
  <c r="K29" i="189"/>
  <c r="J29" i="189"/>
  <c r="I29" i="189"/>
  <c r="H29" i="189"/>
  <c r="G29" i="189"/>
  <c r="E29" i="189"/>
  <c r="D29" i="189"/>
  <c r="B29" i="189"/>
  <c r="D10" i="189"/>
  <c r="B13" i="188"/>
  <c r="B14" i="188"/>
  <c r="B15" i="188"/>
  <c r="B16" i="188"/>
  <c r="B17" i="188"/>
  <c r="B18" i="188"/>
  <c r="B19" i="188"/>
  <c r="B20" i="188"/>
  <c r="B21" i="188"/>
  <c r="B22" i="188"/>
  <c r="B23" i="188"/>
  <c r="B24" i="188"/>
  <c r="B25" i="188"/>
  <c r="B26" i="188"/>
  <c r="B27" i="188"/>
  <c r="B28" i="188"/>
  <c r="B12" i="188"/>
  <c r="B11" i="188"/>
  <c r="L29" i="188"/>
  <c r="K29" i="188"/>
  <c r="J29" i="188"/>
  <c r="I29" i="188"/>
  <c r="H29" i="188"/>
  <c r="G29" i="188"/>
  <c r="E29" i="188"/>
  <c r="D29" i="188"/>
  <c r="B29" i="188"/>
  <c r="D10" i="188"/>
  <c r="B13" i="187"/>
  <c r="B14" i="187"/>
  <c r="B15" i="187"/>
  <c r="B16" i="187"/>
  <c r="B17" i="187"/>
  <c r="B18" i="187"/>
  <c r="B19" i="187"/>
  <c r="B20" i="187"/>
  <c r="B21" i="187"/>
  <c r="B22" i="187"/>
  <c r="B23" i="187"/>
  <c r="B24" i="187"/>
  <c r="B25" i="187"/>
  <c r="B26" i="187"/>
  <c r="B27" i="187"/>
  <c r="B28" i="187"/>
  <c r="B12" i="187"/>
  <c r="B11" i="187"/>
  <c r="L29" i="187"/>
  <c r="K29" i="187"/>
  <c r="J29" i="187"/>
  <c r="I29" i="187"/>
  <c r="H29" i="187"/>
  <c r="G29" i="187"/>
  <c r="E29" i="187"/>
  <c r="D29" i="187"/>
  <c r="B29" i="187"/>
  <c r="D10" i="187"/>
  <c r="B13" i="186"/>
  <c r="B14" i="186"/>
  <c r="B15" i="186"/>
  <c r="B16" i="186"/>
  <c r="B17" i="186"/>
  <c r="B18" i="186"/>
  <c r="B19" i="186"/>
  <c r="B20" i="186"/>
  <c r="B21" i="186"/>
  <c r="B22" i="186"/>
  <c r="B23" i="186"/>
  <c r="B24" i="186"/>
  <c r="B25" i="186"/>
  <c r="B26" i="186"/>
  <c r="B27" i="186"/>
  <c r="B28" i="186"/>
  <c r="B12" i="186"/>
  <c r="B11" i="186"/>
  <c r="L29" i="186"/>
  <c r="K29" i="186"/>
  <c r="J29" i="186"/>
  <c r="I29" i="186"/>
  <c r="H29" i="186"/>
  <c r="G29" i="186"/>
  <c r="E29" i="186"/>
  <c r="D29" i="186"/>
  <c r="B29" i="186"/>
  <c r="D10" i="186"/>
  <c r="E29" i="185"/>
  <c r="B13" i="185"/>
  <c r="B14" i="185"/>
  <c r="B15" i="185"/>
  <c r="B16" i="185"/>
  <c r="B17" i="185"/>
  <c r="B18" i="185"/>
  <c r="B19" i="185"/>
  <c r="B20" i="185"/>
  <c r="B21" i="185"/>
  <c r="B22" i="185"/>
  <c r="B23" i="185"/>
  <c r="B24" i="185"/>
  <c r="B25" i="185"/>
  <c r="B26" i="185"/>
  <c r="B27" i="185"/>
  <c r="B28" i="185"/>
  <c r="B12" i="185"/>
  <c r="B11" i="185"/>
  <c r="L29" i="185"/>
  <c r="K29" i="185"/>
  <c r="J29" i="185"/>
  <c r="I29" i="185"/>
  <c r="H29" i="185"/>
  <c r="G29" i="185"/>
  <c r="D29" i="185"/>
  <c r="B29" i="185"/>
  <c r="D10" i="185"/>
  <c r="D29" i="158"/>
  <c r="E29" i="158"/>
  <c r="E29" i="192" s="1"/>
  <c r="G29" i="158"/>
  <c r="H29" i="158"/>
  <c r="I29" i="158"/>
  <c r="J29" i="158"/>
  <c r="K29" i="158"/>
  <c r="L29" i="158"/>
  <c r="C13" i="184"/>
  <c r="C14" i="184"/>
  <c r="C15" i="184"/>
  <c r="C16" i="184"/>
  <c r="C17" i="184"/>
  <c r="C18" i="184"/>
  <c r="C19" i="184"/>
  <c r="C20" i="184"/>
  <c r="C21" i="184"/>
  <c r="C22" i="184"/>
  <c r="C23" i="184"/>
  <c r="C24" i="184"/>
  <c r="C25" i="184"/>
  <c r="C26" i="184"/>
  <c r="C27" i="184"/>
  <c r="C28" i="184"/>
  <c r="C12" i="184"/>
  <c r="C11" i="184"/>
  <c r="B13" i="184"/>
  <c r="B14" i="184"/>
  <c r="B15" i="184"/>
  <c r="B16" i="184"/>
  <c r="B17" i="184"/>
  <c r="B18" i="184"/>
  <c r="B19" i="184"/>
  <c r="B20" i="184"/>
  <c r="B21" i="184"/>
  <c r="B22" i="184"/>
  <c r="B23" i="184"/>
  <c r="B24" i="184"/>
  <c r="B25" i="184"/>
  <c r="B26" i="184"/>
  <c r="B27" i="184"/>
  <c r="B28" i="184"/>
  <c r="B12" i="184"/>
  <c r="B11" i="184"/>
  <c r="F9" i="184"/>
  <c r="G9" i="184" s="1"/>
  <c r="H9" i="184" s="1"/>
  <c r="I9" i="184" s="1"/>
  <c r="J9" i="184" s="1"/>
  <c r="K9" i="184" s="1"/>
  <c r="C13" i="183"/>
  <c r="C14" i="183"/>
  <c r="C15" i="183"/>
  <c r="C16" i="183"/>
  <c r="C17" i="183"/>
  <c r="C18" i="183"/>
  <c r="C19" i="183"/>
  <c r="C20" i="183"/>
  <c r="C21" i="183"/>
  <c r="C22" i="183"/>
  <c r="C23" i="183"/>
  <c r="C24" i="183"/>
  <c r="C25" i="183"/>
  <c r="C26" i="183"/>
  <c r="C27" i="183"/>
  <c r="C28" i="183"/>
  <c r="C12" i="183"/>
  <c r="C11" i="183"/>
  <c r="B13" i="183"/>
  <c r="B14" i="183"/>
  <c r="B15" i="183"/>
  <c r="B16" i="183"/>
  <c r="B17" i="183"/>
  <c r="B18" i="183"/>
  <c r="B19" i="183"/>
  <c r="B20" i="183"/>
  <c r="B21" i="183"/>
  <c r="B22" i="183"/>
  <c r="B23" i="183"/>
  <c r="B24" i="183"/>
  <c r="B25" i="183"/>
  <c r="B26" i="183"/>
  <c r="B27" i="183"/>
  <c r="B28" i="183"/>
  <c r="B12" i="183"/>
  <c r="B11" i="183"/>
  <c r="K29" i="183"/>
  <c r="J29" i="183"/>
  <c r="I29" i="183"/>
  <c r="H29" i="183"/>
  <c r="G29" i="183"/>
  <c r="F29" i="183"/>
  <c r="F9" i="183"/>
  <c r="G9" i="183" s="1"/>
  <c r="H9" i="183" s="1"/>
  <c r="I9" i="183" s="1"/>
  <c r="J9" i="183" s="1"/>
  <c r="K9" i="183" s="1"/>
  <c r="C13" i="182"/>
  <c r="C14" i="182"/>
  <c r="C15" i="182"/>
  <c r="C16" i="182"/>
  <c r="C17" i="182"/>
  <c r="C18" i="182"/>
  <c r="C19" i="182"/>
  <c r="C20" i="182"/>
  <c r="C21" i="182"/>
  <c r="C22" i="182"/>
  <c r="C23" i="182"/>
  <c r="C24" i="182"/>
  <c r="C25" i="182"/>
  <c r="C26" i="182"/>
  <c r="C27" i="182"/>
  <c r="C28" i="182"/>
  <c r="C12" i="182"/>
  <c r="C11" i="182"/>
  <c r="B13" i="182"/>
  <c r="B14" i="182"/>
  <c r="B15" i="182"/>
  <c r="B16" i="182"/>
  <c r="B17" i="182"/>
  <c r="B18" i="182"/>
  <c r="B19" i="182"/>
  <c r="B20" i="182"/>
  <c r="B21" i="182"/>
  <c r="B22" i="182"/>
  <c r="B23" i="182"/>
  <c r="B24" i="182"/>
  <c r="B25" i="182"/>
  <c r="B26" i="182"/>
  <c r="B27" i="182"/>
  <c r="B28" i="182"/>
  <c r="B12" i="182"/>
  <c r="B11" i="182"/>
  <c r="K29" i="182"/>
  <c r="J29" i="182"/>
  <c r="I29" i="182"/>
  <c r="H29" i="182"/>
  <c r="G29" i="182"/>
  <c r="F29" i="182"/>
  <c r="F9" i="182"/>
  <c r="G9" i="182" s="1"/>
  <c r="H9" i="182" s="1"/>
  <c r="I9" i="182" s="1"/>
  <c r="J9" i="182" s="1"/>
  <c r="K9" i="182" s="1"/>
  <c r="C13" i="181"/>
  <c r="C14" i="181"/>
  <c r="C15" i="181"/>
  <c r="C16" i="181"/>
  <c r="C17" i="181"/>
  <c r="C18" i="181"/>
  <c r="C19" i="181"/>
  <c r="C20" i="181"/>
  <c r="C21" i="181"/>
  <c r="C22" i="181"/>
  <c r="C23" i="181"/>
  <c r="C24" i="181"/>
  <c r="C25" i="181"/>
  <c r="C26" i="181"/>
  <c r="C27" i="181"/>
  <c r="C28" i="181"/>
  <c r="C12" i="181"/>
  <c r="C11" i="181"/>
  <c r="B13" i="181"/>
  <c r="B14" i="181"/>
  <c r="B15" i="181"/>
  <c r="B16" i="181"/>
  <c r="B17" i="181"/>
  <c r="B18" i="181"/>
  <c r="B19" i="181"/>
  <c r="B20" i="181"/>
  <c r="B21" i="181"/>
  <c r="B22" i="181"/>
  <c r="B23" i="181"/>
  <c r="B24" i="181"/>
  <c r="B25" i="181"/>
  <c r="B26" i="181"/>
  <c r="B27" i="181"/>
  <c r="B28" i="181"/>
  <c r="B12" i="181"/>
  <c r="B11" i="181"/>
  <c r="K29" i="181"/>
  <c r="J29" i="181"/>
  <c r="I29" i="181"/>
  <c r="H29" i="181"/>
  <c r="G29" i="181"/>
  <c r="F29" i="181"/>
  <c r="F9" i="181"/>
  <c r="G9" i="181" s="1"/>
  <c r="H9" i="181" s="1"/>
  <c r="I9" i="181" s="1"/>
  <c r="J9" i="181" s="1"/>
  <c r="K9" i="181" s="1"/>
  <c r="C13" i="180"/>
  <c r="C14" i="180"/>
  <c r="C15" i="180"/>
  <c r="C16" i="180"/>
  <c r="C17" i="180"/>
  <c r="C18" i="180"/>
  <c r="C19" i="180"/>
  <c r="C20" i="180"/>
  <c r="C21" i="180"/>
  <c r="C22" i="180"/>
  <c r="C23" i="180"/>
  <c r="C24" i="180"/>
  <c r="C25" i="180"/>
  <c r="C26" i="180"/>
  <c r="C27" i="180"/>
  <c r="C28" i="180"/>
  <c r="C12" i="180"/>
  <c r="C11" i="180"/>
  <c r="B13" i="180"/>
  <c r="B14" i="180"/>
  <c r="B15" i="180"/>
  <c r="B16" i="180"/>
  <c r="B17" i="180"/>
  <c r="B18" i="180"/>
  <c r="B19" i="180"/>
  <c r="B20" i="180"/>
  <c r="B21" i="180"/>
  <c r="B22" i="180"/>
  <c r="B23" i="180"/>
  <c r="B24" i="180"/>
  <c r="B25" i="180"/>
  <c r="B26" i="180"/>
  <c r="B27" i="180"/>
  <c r="B28" i="180"/>
  <c r="B12" i="180"/>
  <c r="B11" i="180"/>
  <c r="K29" i="180"/>
  <c r="J29" i="180"/>
  <c r="I29" i="180"/>
  <c r="H29" i="180"/>
  <c r="G29" i="180"/>
  <c r="F29" i="180"/>
  <c r="F9" i="180"/>
  <c r="G9" i="180" s="1"/>
  <c r="H9" i="180" s="1"/>
  <c r="I9" i="180" s="1"/>
  <c r="J9" i="180" s="1"/>
  <c r="K9" i="180" s="1"/>
  <c r="C13" i="179"/>
  <c r="C14" i="179"/>
  <c r="C15" i="179"/>
  <c r="C16" i="179"/>
  <c r="C17" i="179"/>
  <c r="C18" i="179"/>
  <c r="C19" i="179"/>
  <c r="C20" i="179"/>
  <c r="C21" i="179"/>
  <c r="C22" i="179"/>
  <c r="C23" i="179"/>
  <c r="C24" i="179"/>
  <c r="C25" i="179"/>
  <c r="C26" i="179"/>
  <c r="C27" i="179"/>
  <c r="C28" i="179"/>
  <c r="C12" i="179"/>
  <c r="C11" i="179"/>
  <c r="B13" i="179"/>
  <c r="B14" i="179"/>
  <c r="B15" i="179"/>
  <c r="B16" i="179"/>
  <c r="B17" i="179"/>
  <c r="B18" i="179"/>
  <c r="B19" i="179"/>
  <c r="B20" i="179"/>
  <c r="B21" i="179"/>
  <c r="B22" i="179"/>
  <c r="B23" i="179"/>
  <c r="B24" i="179"/>
  <c r="B25" i="179"/>
  <c r="B26" i="179"/>
  <c r="B27" i="179"/>
  <c r="B28" i="179"/>
  <c r="B12" i="179"/>
  <c r="B11" i="179"/>
  <c r="K29" i="179"/>
  <c r="J29" i="179"/>
  <c r="I29" i="179"/>
  <c r="H29" i="179"/>
  <c r="G29" i="179"/>
  <c r="F29" i="179"/>
  <c r="F9" i="179"/>
  <c r="G9" i="179" s="1"/>
  <c r="H9" i="179" s="1"/>
  <c r="I9" i="179" s="1"/>
  <c r="J9" i="179" s="1"/>
  <c r="K9" i="179" s="1"/>
  <c r="F29" i="178"/>
  <c r="G29" i="178"/>
  <c r="H29" i="178"/>
  <c r="I29" i="178"/>
  <c r="J29" i="178"/>
  <c r="K29" i="178"/>
  <c r="C13" i="178"/>
  <c r="C14" i="178"/>
  <c r="C15" i="178"/>
  <c r="C16" i="178"/>
  <c r="C17" i="178"/>
  <c r="C18" i="178"/>
  <c r="C19" i="178"/>
  <c r="C20" i="178"/>
  <c r="C21" i="178"/>
  <c r="C22" i="178"/>
  <c r="C23" i="178"/>
  <c r="C24" i="178"/>
  <c r="C25" i="178"/>
  <c r="C26" i="178"/>
  <c r="C27" i="178"/>
  <c r="C28" i="178"/>
  <c r="C12" i="178"/>
  <c r="C11" i="178"/>
  <c r="B13" i="178"/>
  <c r="B14" i="178"/>
  <c r="B15" i="178"/>
  <c r="B16" i="178"/>
  <c r="B17" i="178"/>
  <c r="B18" i="178"/>
  <c r="B19" i="178"/>
  <c r="B20" i="178"/>
  <c r="B21" i="178"/>
  <c r="B22" i="178"/>
  <c r="B23" i="178"/>
  <c r="B24" i="178"/>
  <c r="B25" i="178"/>
  <c r="B26" i="178"/>
  <c r="B27" i="178"/>
  <c r="B28" i="178"/>
  <c r="B12" i="178"/>
  <c r="B11" i="178"/>
  <c r="F9" i="178"/>
  <c r="G9" i="178" s="1"/>
  <c r="H9" i="178" s="1"/>
  <c r="I9" i="178" s="1"/>
  <c r="J9" i="178" s="1"/>
  <c r="K9" i="178" s="1"/>
  <c r="G29" i="136"/>
  <c r="H29" i="136"/>
  <c r="I29" i="136"/>
  <c r="J29" i="136"/>
  <c r="K29" i="136"/>
  <c r="K29" i="184" s="1"/>
  <c r="F29" i="135"/>
  <c r="G29" i="135"/>
  <c r="G29" i="177" s="1"/>
  <c r="H29" i="135"/>
  <c r="H29" i="177" s="1"/>
  <c r="I29" i="135"/>
  <c r="I29" i="177" s="1"/>
  <c r="J29" i="135"/>
  <c r="J29" i="177" s="1"/>
  <c r="K29" i="135"/>
  <c r="K29" i="177" s="1"/>
  <c r="E29" i="135"/>
  <c r="E29" i="177" s="1"/>
  <c r="C28" i="192"/>
  <c r="F28" i="192" s="1"/>
  <c r="C27" i="192"/>
  <c r="F27" i="192" s="1"/>
  <c r="D22" i="184"/>
  <c r="C18" i="192"/>
  <c r="F18" i="192" s="1"/>
  <c r="F9" i="177"/>
  <c r="F7" i="177"/>
  <c r="B3" i="177"/>
  <c r="D28" i="183"/>
  <c r="C27" i="191"/>
  <c r="F27" i="191" s="1"/>
  <c r="C22" i="191"/>
  <c r="F22" i="191" s="1"/>
  <c r="D20" i="183"/>
  <c r="F9" i="176"/>
  <c r="F7" i="176"/>
  <c r="B3" i="176"/>
  <c r="F9" i="175"/>
  <c r="F7" i="175"/>
  <c r="B3" i="175"/>
  <c r="F9" i="174"/>
  <c r="F7" i="174"/>
  <c r="B3" i="174"/>
  <c r="C28" i="188"/>
  <c r="F28" i="188" s="1"/>
  <c r="C25" i="188"/>
  <c r="F25" i="188" s="1"/>
  <c r="C23" i="188"/>
  <c r="F23" i="188" s="1"/>
  <c r="D12" i="180"/>
  <c r="C12" i="188"/>
  <c r="F12" i="188" s="1"/>
  <c r="F9" i="173"/>
  <c r="F7" i="173"/>
  <c r="B3" i="173"/>
  <c r="C28" i="187"/>
  <c r="F28" i="187" s="1"/>
  <c r="C27" i="187"/>
  <c r="F27" i="187" s="1"/>
  <c r="C24" i="187"/>
  <c r="F24" i="187" s="1"/>
  <c r="C22" i="187"/>
  <c r="F22" i="187" s="1"/>
  <c r="C21" i="187"/>
  <c r="F21" i="187" s="1"/>
  <c r="C18" i="187"/>
  <c r="F18" i="187" s="1"/>
  <c r="C16" i="187"/>
  <c r="F16" i="187" s="1"/>
  <c r="C15" i="187"/>
  <c r="F15" i="187" s="1"/>
  <c r="C11" i="187"/>
  <c r="F11" i="187" s="1"/>
  <c r="F9" i="172"/>
  <c r="F7" i="172"/>
  <c r="B3" i="172"/>
  <c r="C26" i="186"/>
  <c r="F26" i="186" s="1"/>
  <c r="C24" i="186"/>
  <c r="F24" i="186" s="1"/>
  <c r="C23" i="186"/>
  <c r="F23" i="186" s="1"/>
  <c r="C20" i="186"/>
  <c r="F20" i="186" s="1"/>
  <c r="C19" i="186"/>
  <c r="F19" i="186" s="1"/>
  <c r="C18" i="186"/>
  <c r="F18" i="186" s="1"/>
  <c r="C17" i="186"/>
  <c r="F17" i="186" s="1"/>
  <c r="C14" i="186"/>
  <c r="F14" i="186" s="1"/>
  <c r="C12" i="186"/>
  <c r="F12" i="186" s="1"/>
  <c r="C11" i="186"/>
  <c r="F9" i="171"/>
  <c r="F7" i="171"/>
  <c r="B3" i="171"/>
  <c r="I24" i="22"/>
  <c r="E13" i="47" s="1"/>
  <c r="I13" i="47" s="1"/>
  <c r="J13" i="47" s="1"/>
  <c r="I23" i="22"/>
  <c r="O36" i="60" s="1"/>
  <c r="Q37" i="60" s="1"/>
  <c r="D9" i="60" s="1"/>
  <c r="E37" i="49"/>
  <c r="C24" i="49"/>
  <c r="C26" i="49"/>
  <c r="C7" i="49"/>
  <c r="G6" i="49"/>
  <c r="F6" i="49"/>
  <c r="C5" i="49"/>
  <c r="B3" i="55"/>
  <c r="K15" i="131"/>
  <c r="M15" i="131" s="1"/>
  <c r="K15" i="128"/>
  <c r="M15" i="128" s="1"/>
  <c r="K15" i="125"/>
  <c r="M15" i="125" s="1"/>
  <c r="K15" i="103"/>
  <c r="M15" i="103" s="1"/>
  <c r="K15" i="100"/>
  <c r="M15" i="100" s="1"/>
  <c r="K10" i="160"/>
  <c r="M10" i="160" s="1"/>
  <c r="K11" i="160"/>
  <c r="M11" i="160" s="1"/>
  <c r="K12" i="160"/>
  <c r="M12" i="160" s="1"/>
  <c r="K13" i="160"/>
  <c r="M13" i="160" s="1"/>
  <c r="K14" i="160"/>
  <c r="M14" i="160" s="1"/>
  <c r="K15" i="160"/>
  <c r="M15" i="160" s="1"/>
  <c r="K16" i="160"/>
  <c r="M16" i="160" s="1"/>
  <c r="K17" i="160"/>
  <c r="M17" i="160" s="1"/>
  <c r="K18" i="160"/>
  <c r="M18" i="160" s="1"/>
  <c r="K19" i="160"/>
  <c r="M19" i="160" s="1"/>
  <c r="K8" i="160"/>
  <c r="M8" i="160" s="1"/>
  <c r="K17" i="43"/>
  <c r="M17" i="43" s="1"/>
  <c r="K15" i="43"/>
  <c r="M15" i="43" s="1"/>
  <c r="I25" i="131"/>
  <c r="N8" i="65" s="1"/>
  <c r="J25" i="131"/>
  <c r="N10" i="65" s="1"/>
  <c r="L25" i="131"/>
  <c r="H25" i="131"/>
  <c r="I25" i="128"/>
  <c r="M8" i="65" s="1"/>
  <c r="J25" i="128"/>
  <c r="M10" i="65" s="1"/>
  <c r="L25" i="128"/>
  <c r="H25" i="128"/>
  <c r="K26" i="170"/>
  <c r="M26" i="170" s="1"/>
  <c r="K25" i="170"/>
  <c r="M25" i="170" s="1"/>
  <c r="K24" i="170"/>
  <c r="M24" i="170" s="1"/>
  <c r="K23" i="170"/>
  <c r="M23" i="170" s="1"/>
  <c r="K22" i="170"/>
  <c r="M22" i="170" s="1"/>
  <c r="K21" i="170"/>
  <c r="M21" i="170" s="1"/>
  <c r="K20" i="170"/>
  <c r="M20" i="170" s="1"/>
  <c r="K19" i="170"/>
  <c r="M19" i="170" s="1"/>
  <c r="K18" i="170"/>
  <c r="M18" i="170" s="1"/>
  <c r="K17" i="170"/>
  <c r="M17" i="170" s="1"/>
  <c r="K16" i="170"/>
  <c r="M16" i="170" s="1"/>
  <c r="K15" i="170"/>
  <c r="M15" i="170" s="1"/>
  <c r="K14" i="170"/>
  <c r="M14" i="170" s="1"/>
  <c r="K13" i="170"/>
  <c r="M13" i="170" s="1"/>
  <c r="K12" i="170"/>
  <c r="M12" i="170" s="1"/>
  <c r="K10" i="170"/>
  <c r="M10" i="170" s="1"/>
  <c r="K9" i="170"/>
  <c r="M9" i="170" s="1"/>
  <c r="K8" i="170"/>
  <c r="M8" i="170" s="1"/>
  <c r="I5" i="170"/>
  <c r="H5" i="170"/>
  <c r="K4" i="170"/>
  <c r="J4" i="170"/>
  <c r="F4" i="170"/>
  <c r="L3" i="170"/>
  <c r="B2" i="170"/>
  <c r="K13" i="169"/>
  <c r="M13" i="169" s="1"/>
  <c r="K14" i="169"/>
  <c r="M14" i="169" s="1"/>
  <c r="K15" i="169"/>
  <c r="M15" i="169" s="1"/>
  <c r="K16" i="169"/>
  <c r="M16" i="169" s="1"/>
  <c r="K17" i="169"/>
  <c r="M17" i="169" s="1"/>
  <c r="K18" i="169"/>
  <c r="M18" i="169" s="1"/>
  <c r="K19" i="169"/>
  <c r="M19" i="169" s="1"/>
  <c r="K20" i="169"/>
  <c r="M20" i="169" s="1"/>
  <c r="K21" i="169"/>
  <c r="M21" i="169" s="1"/>
  <c r="K26" i="169"/>
  <c r="M26" i="169" s="1"/>
  <c r="K25" i="169"/>
  <c r="M25" i="169" s="1"/>
  <c r="K24" i="169"/>
  <c r="M24" i="169" s="1"/>
  <c r="K23" i="169"/>
  <c r="M23" i="169" s="1"/>
  <c r="K22" i="169"/>
  <c r="M22" i="169" s="1"/>
  <c r="K12" i="169"/>
  <c r="M12" i="169" s="1"/>
  <c r="K11" i="169"/>
  <c r="M11" i="169" s="1"/>
  <c r="K10" i="169"/>
  <c r="M10" i="169" s="1"/>
  <c r="K9" i="169"/>
  <c r="M9" i="169" s="1"/>
  <c r="K8" i="169"/>
  <c r="M8" i="169" s="1"/>
  <c r="I5" i="169"/>
  <c r="H5" i="169"/>
  <c r="K4" i="169"/>
  <c r="J4" i="169"/>
  <c r="F4" i="169"/>
  <c r="L3" i="169"/>
  <c r="B2" i="169"/>
  <c r="K26" i="168"/>
  <c r="M26" i="168" s="1"/>
  <c r="K25" i="168"/>
  <c r="M25" i="168" s="1"/>
  <c r="K24" i="168"/>
  <c r="M24" i="168" s="1"/>
  <c r="K23" i="168"/>
  <c r="M23" i="168" s="1"/>
  <c r="K22" i="168"/>
  <c r="M22" i="168" s="1"/>
  <c r="K21" i="168"/>
  <c r="M21" i="168" s="1"/>
  <c r="K20" i="168"/>
  <c r="M20" i="168" s="1"/>
  <c r="K19" i="168"/>
  <c r="M19" i="168" s="1"/>
  <c r="K18" i="168"/>
  <c r="M18" i="168" s="1"/>
  <c r="K17" i="168"/>
  <c r="M17" i="168" s="1"/>
  <c r="K16" i="168"/>
  <c r="M16" i="168" s="1"/>
  <c r="K15" i="168"/>
  <c r="M15" i="168" s="1"/>
  <c r="K14" i="168"/>
  <c r="M14" i="168" s="1"/>
  <c r="K13" i="168"/>
  <c r="M13" i="168" s="1"/>
  <c r="K12" i="168"/>
  <c r="M12" i="168" s="1"/>
  <c r="K11" i="168"/>
  <c r="M11" i="168" s="1"/>
  <c r="K10" i="168"/>
  <c r="M10" i="168" s="1"/>
  <c r="K9" i="168"/>
  <c r="M9" i="168" s="1"/>
  <c r="K8" i="168"/>
  <c r="M8" i="168" s="1"/>
  <c r="I5" i="168"/>
  <c r="H5" i="168"/>
  <c r="K4" i="168"/>
  <c r="J4" i="168"/>
  <c r="F4" i="168"/>
  <c r="L3" i="168"/>
  <c r="B2" i="168"/>
  <c r="K13" i="167"/>
  <c r="M13" i="167" s="1"/>
  <c r="K14" i="167"/>
  <c r="M14" i="167" s="1"/>
  <c r="K15" i="167"/>
  <c r="M15" i="167" s="1"/>
  <c r="K16" i="167"/>
  <c r="M16" i="167" s="1"/>
  <c r="K17" i="167"/>
  <c r="M17" i="167" s="1"/>
  <c r="K18" i="167"/>
  <c r="M18" i="167" s="1"/>
  <c r="K19" i="167"/>
  <c r="M19" i="167" s="1"/>
  <c r="K26" i="167"/>
  <c r="M26" i="167" s="1"/>
  <c r="K25" i="167"/>
  <c r="M25" i="167" s="1"/>
  <c r="K24" i="167"/>
  <c r="M24" i="167" s="1"/>
  <c r="K23" i="167"/>
  <c r="M23" i="167" s="1"/>
  <c r="K22" i="167"/>
  <c r="M22" i="167" s="1"/>
  <c r="K21" i="167"/>
  <c r="M21" i="167" s="1"/>
  <c r="K20" i="167"/>
  <c r="M20" i="167" s="1"/>
  <c r="K12" i="167"/>
  <c r="M12" i="167" s="1"/>
  <c r="K11" i="167"/>
  <c r="M11" i="167" s="1"/>
  <c r="K10" i="167"/>
  <c r="M10" i="167" s="1"/>
  <c r="K9" i="167"/>
  <c r="M9" i="167" s="1"/>
  <c r="I5" i="167"/>
  <c r="H5" i="167"/>
  <c r="K4" i="167"/>
  <c r="J4" i="167"/>
  <c r="F4" i="167"/>
  <c r="L3" i="167"/>
  <c r="B2" i="167"/>
  <c r="E17" i="52"/>
  <c r="I25" i="125"/>
  <c r="L8" i="65" s="1"/>
  <c r="J25" i="125"/>
  <c r="L10" i="65" s="1"/>
  <c r="L25" i="125"/>
  <c r="L14" i="65" s="1"/>
  <c r="H25" i="125"/>
  <c r="K26" i="166"/>
  <c r="M26" i="166" s="1"/>
  <c r="K25" i="166"/>
  <c r="M25" i="166" s="1"/>
  <c r="K24" i="166"/>
  <c r="M24" i="166" s="1"/>
  <c r="K23" i="166"/>
  <c r="M23" i="166" s="1"/>
  <c r="K22" i="166"/>
  <c r="M22" i="166" s="1"/>
  <c r="K21" i="166"/>
  <c r="M21" i="166" s="1"/>
  <c r="K20" i="166"/>
  <c r="M20" i="166" s="1"/>
  <c r="K19" i="166"/>
  <c r="M19" i="166" s="1"/>
  <c r="K18" i="166"/>
  <c r="M18" i="166" s="1"/>
  <c r="K17" i="166"/>
  <c r="M17" i="166" s="1"/>
  <c r="K16" i="166"/>
  <c r="M16" i="166" s="1"/>
  <c r="K15" i="166"/>
  <c r="M15" i="166" s="1"/>
  <c r="K14" i="166"/>
  <c r="M14" i="166" s="1"/>
  <c r="K13" i="166"/>
  <c r="M13" i="166" s="1"/>
  <c r="K12" i="166"/>
  <c r="M12" i="166" s="1"/>
  <c r="K11" i="166"/>
  <c r="M11" i="166" s="1"/>
  <c r="K10" i="166"/>
  <c r="M10" i="166" s="1"/>
  <c r="K9" i="166"/>
  <c r="M9" i="166" s="1"/>
  <c r="K8" i="166"/>
  <c r="M8" i="166" s="1"/>
  <c r="I5" i="166"/>
  <c r="H5" i="166"/>
  <c r="K4" i="166"/>
  <c r="J4" i="166"/>
  <c r="F4" i="166"/>
  <c r="L3" i="166"/>
  <c r="B2" i="166"/>
  <c r="K13" i="165"/>
  <c r="M13" i="165" s="1"/>
  <c r="K14" i="165"/>
  <c r="M14" i="165" s="1"/>
  <c r="K15" i="165"/>
  <c r="M15" i="165" s="1"/>
  <c r="K16" i="165"/>
  <c r="M16" i="165" s="1"/>
  <c r="K17" i="165"/>
  <c r="M17" i="165" s="1"/>
  <c r="K18" i="165"/>
  <c r="M18" i="165" s="1"/>
  <c r="K19" i="165"/>
  <c r="M19" i="165" s="1"/>
  <c r="K26" i="165"/>
  <c r="M26" i="165" s="1"/>
  <c r="K25" i="165"/>
  <c r="M25" i="165" s="1"/>
  <c r="K24" i="165"/>
  <c r="M24" i="165" s="1"/>
  <c r="K23" i="165"/>
  <c r="M23" i="165" s="1"/>
  <c r="K22" i="165"/>
  <c r="M22" i="165" s="1"/>
  <c r="K21" i="165"/>
  <c r="M21" i="165" s="1"/>
  <c r="K20" i="165"/>
  <c r="M20" i="165" s="1"/>
  <c r="K12" i="165"/>
  <c r="M12" i="165" s="1"/>
  <c r="K11" i="165"/>
  <c r="M11" i="165" s="1"/>
  <c r="K10" i="165"/>
  <c r="M10" i="165" s="1"/>
  <c r="K9" i="165"/>
  <c r="M9" i="165" s="1"/>
  <c r="K8" i="165"/>
  <c r="M8" i="165" s="1"/>
  <c r="I5" i="165"/>
  <c r="H5" i="165"/>
  <c r="K4" i="165"/>
  <c r="J4" i="165"/>
  <c r="F4" i="165"/>
  <c r="L3" i="165"/>
  <c r="B2" i="165"/>
  <c r="I25" i="103"/>
  <c r="K8" i="65" s="1"/>
  <c r="J25" i="103"/>
  <c r="K10" i="65" s="1"/>
  <c r="L25" i="103"/>
  <c r="H25" i="103"/>
  <c r="K26" i="164"/>
  <c r="M26" i="164" s="1"/>
  <c r="K25" i="164"/>
  <c r="M25" i="164" s="1"/>
  <c r="K24" i="164"/>
  <c r="M24" i="164" s="1"/>
  <c r="K23" i="164"/>
  <c r="M23" i="164" s="1"/>
  <c r="K22" i="164"/>
  <c r="M22" i="164" s="1"/>
  <c r="K21" i="164"/>
  <c r="M21" i="164" s="1"/>
  <c r="K20" i="164"/>
  <c r="M20" i="164" s="1"/>
  <c r="K19" i="164"/>
  <c r="M19" i="164" s="1"/>
  <c r="K18" i="164"/>
  <c r="M18" i="164" s="1"/>
  <c r="K17" i="164"/>
  <c r="M17" i="164" s="1"/>
  <c r="K16" i="164"/>
  <c r="M16" i="164" s="1"/>
  <c r="K15" i="164"/>
  <c r="M15" i="164" s="1"/>
  <c r="K14" i="164"/>
  <c r="M14" i="164" s="1"/>
  <c r="K13" i="164"/>
  <c r="M13" i="164" s="1"/>
  <c r="K12" i="164"/>
  <c r="M12" i="164" s="1"/>
  <c r="K11" i="164"/>
  <c r="M11" i="164" s="1"/>
  <c r="K10" i="164"/>
  <c r="M10" i="164" s="1"/>
  <c r="K9" i="164"/>
  <c r="M9" i="164" s="1"/>
  <c r="K8" i="164"/>
  <c r="M8" i="164" s="1"/>
  <c r="I5" i="164"/>
  <c r="H5" i="164"/>
  <c r="K4" i="164"/>
  <c r="J4" i="164"/>
  <c r="F4" i="164"/>
  <c r="L3" i="164"/>
  <c r="B2" i="164"/>
  <c r="K13" i="163"/>
  <c r="M13" i="163" s="1"/>
  <c r="K14" i="163"/>
  <c r="M14" i="163" s="1"/>
  <c r="K15" i="163"/>
  <c r="M15" i="163" s="1"/>
  <c r="K16" i="163"/>
  <c r="M16" i="163" s="1"/>
  <c r="K17" i="163"/>
  <c r="M17" i="163" s="1"/>
  <c r="K18" i="163"/>
  <c r="M18" i="163" s="1"/>
  <c r="K19" i="163"/>
  <c r="M19" i="163" s="1"/>
  <c r="K20" i="163"/>
  <c r="M20" i="163" s="1"/>
  <c r="K26" i="163"/>
  <c r="M26" i="163" s="1"/>
  <c r="K25" i="163"/>
  <c r="M25" i="163" s="1"/>
  <c r="K24" i="163"/>
  <c r="M24" i="163" s="1"/>
  <c r="K23" i="163"/>
  <c r="M23" i="163" s="1"/>
  <c r="K22" i="163"/>
  <c r="M22" i="163" s="1"/>
  <c r="K21" i="163"/>
  <c r="M21" i="163" s="1"/>
  <c r="K12" i="163"/>
  <c r="M12" i="163" s="1"/>
  <c r="K11" i="163"/>
  <c r="M11" i="163" s="1"/>
  <c r="K10" i="163"/>
  <c r="M10" i="163" s="1"/>
  <c r="K9" i="163"/>
  <c r="M9" i="163" s="1"/>
  <c r="K8" i="163"/>
  <c r="M8" i="163" s="1"/>
  <c r="I5" i="163"/>
  <c r="H5" i="163"/>
  <c r="K4" i="163"/>
  <c r="J4" i="163"/>
  <c r="F4" i="163"/>
  <c r="L3" i="163"/>
  <c r="B2" i="163"/>
  <c r="I25" i="100"/>
  <c r="J8" i="65" s="1"/>
  <c r="J25" i="100"/>
  <c r="J10" i="65" s="1"/>
  <c r="L25" i="100"/>
  <c r="J14" i="65" s="1"/>
  <c r="H25" i="100"/>
  <c r="K26" i="162"/>
  <c r="M26" i="162" s="1"/>
  <c r="K25" i="162"/>
  <c r="M25" i="162" s="1"/>
  <c r="K24" i="162"/>
  <c r="M24" i="162" s="1"/>
  <c r="K23" i="162"/>
  <c r="M23" i="162" s="1"/>
  <c r="K22" i="162"/>
  <c r="M22" i="162" s="1"/>
  <c r="K21" i="162"/>
  <c r="M21" i="162" s="1"/>
  <c r="K20" i="162"/>
  <c r="M20" i="162" s="1"/>
  <c r="K19" i="162"/>
  <c r="M19" i="162" s="1"/>
  <c r="K18" i="162"/>
  <c r="M18" i="162" s="1"/>
  <c r="K17" i="162"/>
  <c r="M17" i="162" s="1"/>
  <c r="K16" i="162"/>
  <c r="M16" i="162" s="1"/>
  <c r="K15" i="162"/>
  <c r="M15" i="162" s="1"/>
  <c r="K14" i="162"/>
  <c r="M14" i="162" s="1"/>
  <c r="K12" i="162"/>
  <c r="M12" i="162" s="1"/>
  <c r="K11" i="162"/>
  <c r="M11" i="162" s="1"/>
  <c r="K10" i="162"/>
  <c r="M10" i="162" s="1"/>
  <c r="K9" i="162"/>
  <c r="M9" i="162" s="1"/>
  <c r="K8" i="162"/>
  <c r="M8" i="162" s="1"/>
  <c r="I5" i="162"/>
  <c r="H5" i="162"/>
  <c r="K4" i="162"/>
  <c r="J4" i="162"/>
  <c r="F4" i="162"/>
  <c r="L3" i="162"/>
  <c r="B2" i="162"/>
  <c r="K13" i="161"/>
  <c r="M13" i="161" s="1"/>
  <c r="K14" i="161"/>
  <c r="M14" i="161" s="1"/>
  <c r="K15" i="161"/>
  <c r="M15" i="161" s="1"/>
  <c r="K16" i="161"/>
  <c r="M16" i="161" s="1"/>
  <c r="K17" i="161"/>
  <c r="M17" i="161" s="1"/>
  <c r="K18" i="161"/>
  <c r="M18" i="161" s="1"/>
  <c r="K19" i="161"/>
  <c r="M19" i="161" s="1"/>
  <c r="K26" i="161"/>
  <c r="M26" i="161" s="1"/>
  <c r="K25" i="161"/>
  <c r="M25" i="161" s="1"/>
  <c r="K24" i="161"/>
  <c r="M24" i="161" s="1"/>
  <c r="K23" i="161"/>
  <c r="M23" i="161" s="1"/>
  <c r="K22" i="161"/>
  <c r="M22" i="161" s="1"/>
  <c r="K21" i="161"/>
  <c r="M21" i="161" s="1"/>
  <c r="K20" i="161"/>
  <c r="M20" i="161" s="1"/>
  <c r="K12" i="161"/>
  <c r="M12" i="161" s="1"/>
  <c r="K11" i="161"/>
  <c r="M11" i="161" s="1"/>
  <c r="K10" i="161"/>
  <c r="M10" i="161" s="1"/>
  <c r="K9" i="161"/>
  <c r="M9" i="161" s="1"/>
  <c r="K8" i="161"/>
  <c r="M8" i="161" s="1"/>
  <c r="I5" i="161"/>
  <c r="H5" i="161"/>
  <c r="K4" i="161"/>
  <c r="J4" i="161"/>
  <c r="F4" i="161"/>
  <c r="L3" i="161"/>
  <c r="B2" i="161"/>
  <c r="H25" i="43"/>
  <c r="I25" i="43"/>
  <c r="I8" i="65" s="1"/>
  <c r="J25" i="43"/>
  <c r="I10" i="65" s="1"/>
  <c r="L25" i="43"/>
  <c r="I14" i="65" s="1"/>
  <c r="K13" i="159"/>
  <c r="M13" i="159" s="1"/>
  <c r="K14" i="159"/>
  <c r="M14" i="159" s="1"/>
  <c r="K15" i="159"/>
  <c r="M15" i="159" s="1"/>
  <c r="K16" i="159"/>
  <c r="M16" i="159" s="1"/>
  <c r="K17" i="159"/>
  <c r="M17" i="159" s="1"/>
  <c r="K18" i="159"/>
  <c r="M18" i="159" s="1"/>
  <c r="K19" i="159"/>
  <c r="M19" i="159" s="1"/>
  <c r="K26" i="160"/>
  <c r="M26" i="160" s="1"/>
  <c r="K25" i="160"/>
  <c r="M25" i="160" s="1"/>
  <c r="K24" i="160"/>
  <c r="M24" i="160" s="1"/>
  <c r="K23" i="160"/>
  <c r="M23" i="160" s="1"/>
  <c r="K22" i="160"/>
  <c r="M22" i="160" s="1"/>
  <c r="K21" i="160"/>
  <c r="M21" i="160" s="1"/>
  <c r="K20" i="160"/>
  <c r="M20" i="160" s="1"/>
  <c r="K9" i="160"/>
  <c r="M9" i="160" s="1"/>
  <c r="I5" i="160"/>
  <c r="H5" i="160"/>
  <c r="K4" i="160"/>
  <c r="J4" i="160"/>
  <c r="F4" i="160"/>
  <c r="L3" i="160"/>
  <c r="B2" i="160"/>
  <c r="K26" i="159"/>
  <c r="M26" i="159" s="1"/>
  <c r="K25" i="159"/>
  <c r="M25" i="159" s="1"/>
  <c r="K24" i="159"/>
  <c r="M24" i="159" s="1"/>
  <c r="K23" i="159"/>
  <c r="M23" i="159" s="1"/>
  <c r="K22" i="159"/>
  <c r="M22" i="159" s="1"/>
  <c r="K21" i="159"/>
  <c r="M21" i="159" s="1"/>
  <c r="K20" i="159"/>
  <c r="M20" i="159" s="1"/>
  <c r="K12" i="159"/>
  <c r="M12" i="159" s="1"/>
  <c r="K11" i="159"/>
  <c r="M11" i="159" s="1"/>
  <c r="K10" i="159"/>
  <c r="M10" i="159" s="1"/>
  <c r="K9" i="159"/>
  <c r="M9" i="159" s="1"/>
  <c r="K8" i="159"/>
  <c r="M8" i="159" s="1"/>
  <c r="I5" i="159"/>
  <c r="H5" i="159"/>
  <c r="K4" i="159"/>
  <c r="J4" i="159"/>
  <c r="F4" i="159"/>
  <c r="L3" i="159"/>
  <c r="B2" i="159"/>
  <c r="B13" i="158"/>
  <c r="B14" i="158"/>
  <c r="B15" i="158"/>
  <c r="B16" i="158"/>
  <c r="B17" i="158"/>
  <c r="B18" i="158"/>
  <c r="B19" i="158"/>
  <c r="B20" i="158"/>
  <c r="B21" i="158"/>
  <c r="B22" i="158"/>
  <c r="B23" i="158"/>
  <c r="B24" i="158"/>
  <c r="B25" i="158"/>
  <c r="B26" i="158"/>
  <c r="B27" i="158"/>
  <c r="B28" i="158"/>
  <c r="B29" i="158"/>
  <c r="B12" i="158"/>
  <c r="D10" i="158"/>
  <c r="J28" i="157"/>
  <c r="M24" i="157"/>
  <c r="M23" i="157"/>
  <c r="N23" i="157" s="1"/>
  <c r="O23" i="157" s="1"/>
  <c r="M22" i="157"/>
  <c r="M21" i="157"/>
  <c r="M20" i="157"/>
  <c r="M19" i="157"/>
  <c r="M18" i="157"/>
  <c r="N18" i="157" s="1"/>
  <c r="M17" i="157"/>
  <c r="N17" i="157" s="1"/>
  <c r="O17" i="157" s="1"/>
  <c r="M16" i="157"/>
  <c r="N16" i="157" s="1"/>
  <c r="M15" i="157"/>
  <c r="M14" i="157"/>
  <c r="M13" i="157"/>
  <c r="N13" i="157" s="1"/>
  <c r="M12" i="157"/>
  <c r="N12" i="157" s="1"/>
  <c r="O12" i="157" s="1"/>
  <c r="M11" i="157"/>
  <c r="N11" i="157" s="1"/>
  <c r="O11" i="157" s="1"/>
  <c r="M10" i="157"/>
  <c r="N10" i="157" s="1"/>
  <c r="O10" i="157" s="1"/>
  <c r="M9" i="157"/>
  <c r="M8" i="157"/>
  <c r="K5" i="157"/>
  <c r="J5" i="157"/>
  <c r="M4" i="157"/>
  <c r="L4" i="157"/>
  <c r="N3" i="157"/>
  <c r="J28" i="156"/>
  <c r="M24" i="156"/>
  <c r="N24" i="156" s="1"/>
  <c r="O24" i="156" s="1"/>
  <c r="M23" i="156"/>
  <c r="M22" i="156"/>
  <c r="M21" i="156"/>
  <c r="M20" i="156"/>
  <c r="N20" i="156" s="1"/>
  <c r="M19" i="156"/>
  <c r="M18" i="156"/>
  <c r="N18" i="156" s="1"/>
  <c r="O18" i="156" s="1"/>
  <c r="M17" i="156"/>
  <c r="N17" i="156" s="1"/>
  <c r="M16" i="156"/>
  <c r="M15" i="156"/>
  <c r="M14" i="156"/>
  <c r="N14" i="156" s="1"/>
  <c r="M13" i="156"/>
  <c r="M12" i="156"/>
  <c r="M11" i="156"/>
  <c r="N11" i="156" s="1"/>
  <c r="M10" i="156"/>
  <c r="M9" i="156"/>
  <c r="M8" i="156"/>
  <c r="K5" i="156"/>
  <c r="J5" i="156"/>
  <c r="M4" i="156"/>
  <c r="L4" i="156"/>
  <c r="N3" i="156"/>
  <c r="J28" i="155"/>
  <c r="M24" i="155"/>
  <c r="M23" i="155"/>
  <c r="M22" i="155"/>
  <c r="M21" i="155"/>
  <c r="N21" i="155" s="1"/>
  <c r="O21" i="155" s="1"/>
  <c r="M20" i="155"/>
  <c r="N20" i="155" s="1"/>
  <c r="O20" i="155" s="1"/>
  <c r="M19" i="155"/>
  <c r="M18" i="155"/>
  <c r="N18" i="155" s="1"/>
  <c r="O18" i="155" s="1"/>
  <c r="M17" i="155"/>
  <c r="N17" i="155" s="1"/>
  <c r="O17" i="155" s="1"/>
  <c r="M16" i="155"/>
  <c r="M15" i="155"/>
  <c r="M14" i="155"/>
  <c r="N14" i="155" s="1"/>
  <c r="O14" i="155" s="1"/>
  <c r="M13" i="155"/>
  <c r="M12" i="155"/>
  <c r="M11" i="155"/>
  <c r="N11" i="155" s="1"/>
  <c r="O11" i="155" s="1"/>
  <c r="M10" i="155"/>
  <c r="M9" i="155"/>
  <c r="M8" i="155"/>
  <c r="K5" i="155"/>
  <c r="J5" i="155"/>
  <c r="M4" i="155"/>
  <c r="L4" i="155"/>
  <c r="N3" i="155"/>
  <c r="J28" i="154"/>
  <c r="M24" i="154"/>
  <c r="N24" i="154" s="1"/>
  <c r="O24" i="154" s="1"/>
  <c r="M23" i="154"/>
  <c r="M22" i="154"/>
  <c r="N22" i="154" s="1"/>
  <c r="M21" i="154"/>
  <c r="N21" i="154"/>
  <c r="M20" i="154"/>
  <c r="N20" i="154" s="1"/>
  <c r="M19" i="154"/>
  <c r="N19" i="154" s="1"/>
  <c r="O19" i="154" s="1"/>
  <c r="M18" i="154"/>
  <c r="N18" i="154" s="1"/>
  <c r="M17" i="154"/>
  <c r="M16" i="154"/>
  <c r="N16" i="154" s="1"/>
  <c r="O16" i="154" s="1"/>
  <c r="M15" i="154"/>
  <c r="N15" i="154" s="1"/>
  <c r="O15" i="154" s="1"/>
  <c r="M14" i="154"/>
  <c r="N14" i="154" s="1"/>
  <c r="O14" i="154" s="1"/>
  <c r="M13" i="154"/>
  <c r="N13" i="154" s="1"/>
  <c r="O13" i="154" s="1"/>
  <c r="M12" i="154"/>
  <c r="N12" i="154" s="1"/>
  <c r="O12" i="154" s="1"/>
  <c r="M11" i="154"/>
  <c r="N11" i="154" s="1"/>
  <c r="O11" i="154" s="1"/>
  <c r="M10" i="154"/>
  <c r="N10" i="154" s="1"/>
  <c r="O10" i="154" s="1"/>
  <c r="M9" i="154"/>
  <c r="N9" i="154" s="1"/>
  <c r="O9" i="154" s="1"/>
  <c r="M8" i="154"/>
  <c r="N8" i="154" s="1"/>
  <c r="O8" i="154" s="1"/>
  <c r="K5" i="154"/>
  <c r="J5" i="154"/>
  <c r="M4" i="154"/>
  <c r="L4" i="154"/>
  <c r="N3" i="154"/>
  <c r="J28" i="153"/>
  <c r="M24" i="153"/>
  <c r="M23" i="153"/>
  <c r="M22" i="153"/>
  <c r="M21" i="153"/>
  <c r="N21" i="153" s="1"/>
  <c r="M20" i="153"/>
  <c r="N20" i="153"/>
  <c r="M19" i="153"/>
  <c r="N19" i="153" s="1"/>
  <c r="M18" i="153"/>
  <c r="M17" i="153"/>
  <c r="N17" i="153" s="1"/>
  <c r="O17" i="153" s="1"/>
  <c r="M16" i="153"/>
  <c r="N16" i="153" s="1"/>
  <c r="O16" i="153" s="1"/>
  <c r="M15" i="153"/>
  <c r="N15" i="153" s="1"/>
  <c r="O15" i="153" s="1"/>
  <c r="M14" i="153"/>
  <c r="N14" i="153" s="1"/>
  <c r="M13" i="153"/>
  <c r="N13" i="153" s="1"/>
  <c r="O13" i="153" s="1"/>
  <c r="M12" i="153"/>
  <c r="N12" i="153" s="1"/>
  <c r="M11" i="153"/>
  <c r="N11" i="153"/>
  <c r="M10" i="153"/>
  <c r="M9" i="153"/>
  <c r="N9" i="153" s="1"/>
  <c r="O9" i="153" s="1"/>
  <c r="M8" i="153"/>
  <c r="N8" i="153" s="1"/>
  <c r="O8" i="153" s="1"/>
  <c r="K5" i="153"/>
  <c r="J5" i="153"/>
  <c r="M4" i="153"/>
  <c r="L4" i="153"/>
  <c r="N3" i="153"/>
  <c r="J28" i="152"/>
  <c r="M24" i="152"/>
  <c r="M23" i="152"/>
  <c r="N23" i="152"/>
  <c r="M22" i="152"/>
  <c r="N22" i="152" s="1"/>
  <c r="M21" i="152"/>
  <c r="N21" i="152" s="1"/>
  <c r="O21" i="152" s="1"/>
  <c r="M20" i="152"/>
  <c r="M19" i="152"/>
  <c r="N19" i="152" s="1"/>
  <c r="O19" i="152" s="1"/>
  <c r="M18" i="152"/>
  <c r="M17" i="152"/>
  <c r="N17" i="152" s="1"/>
  <c r="O17" i="152" s="1"/>
  <c r="M16" i="152"/>
  <c r="M15" i="152"/>
  <c r="N15" i="152" s="1"/>
  <c r="O15" i="152" s="1"/>
  <c r="M14" i="152"/>
  <c r="M13" i="152"/>
  <c r="N13" i="152" s="1"/>
  <c r="M12" i="152"/>
  <c r="N12" i="152" s="1"/>
  <c r="O12" i="152" s="1"/>
  <c r="M11" i="152"/>
  <c r="N11" i="152" s="1"/>
  <c r="M10" i="152"/>
  <c r="N10" i="152" s="1"/>
  <c r="O10" i="152" s="1"/>
  <c r="M9" i="152"/>
  <c r="N9" i="152" s="1"/>
  <c r="O9" i="152" s="1"/>
  <c r="M8" i="152"/>
  <c r="K5" i="152"/>
  <c r="J5" i="152"/>
  <c r="M4" i="152"/>
  <c r="L4" i="152"/>
  <c r="N3" i="152"/>
  <c r="M26" i="151"/>
  <c r="Q26" i="151" s="1"/>
  <c r="M25" i="151"/>
  <c r="Q25" i="151" s="1"/>
  <c r="M24" i="151"/>
  <c r="Q24" i="151"/>
  <c r="M23" i="151"/>
  <c r="Q23" i="151" s="1"/>
  <c r="M22" i="151"/>
  <c r="Q22" i="151"/>
  <c r="M21" i="151"/>
  <c r="Q21" i="151" s="1"/>
  <c r="M20" i="151"/>
  <c r="Q20" i="151" s="1"/>
  <c r="M19" i="151"/>
  <c r="Q19" i="151" s="1"/>
  <c r="M18" i="151"/>
  <c r="Q18" i="151" s="1"/>
  <c r="M17" i="151"/>
  <c r="Q17" i="151" s="1"/>
  <c r="M16" i="151"/>
  <c r="Q16" i="151"/>
  <c r="M15" i="151"/>
  <c r="Q15" i="151" s="1"/>
  <c r="M14" i="151"/>
  <c r="Q14" i="151"/>
  <c r="M13" i="151"/>
  <c r="Q13" i="151" s="1"/>
  <c r="M12" i="151"/>
  <c r="Q12" i="151" s="1"/>
  <c r="M11" i="151"/>
  <c r="Q11" i="151" s="1"/>
  <c r="M10" i="151"/>
  <c r="Q10" i="151" s="1"/>
  <c r="M9" i="151"/>
  <c r="Q9" i="151" s="1"/>
  <c r="K5" i="151"/>
  <c r="J5" i="151"/>
  <c r="M4" i="151"/>
  <c r="L4" i="151"/>
  <c r="N3" i="151"/>
  <c r="M26" i="150"/>
  <c r="O26" i="150" s="1"/>
  <c r="M25" i="150"/>
  <c r="O25" i="150" s="1"/>
  <c r="M24" i="150"/>
  <c r="O24" i="150" s="1"/>
  <c r="M23" i="150"/>
  <c r="O23" i="150" s="1"/>
  <c r="M22" i="150"/>
  <c r="O22" i="150" s="1"/>
  <c r="M21" i="150"/>
  <c r="O21" i="150" s="1"/>
  <c r="M20" i="150"/>
  <c r="O20" i="150" s="1"/>
  <c r="M19" i="150"/>
  <c r="O19" i="150" s="1"/>
  <c r="M18" i="150"/>
  <c r="O18" i="150" s="1"/>
  <c r="M17" i="150"/>
  <c r="O17" i="150" s="1"/>
  <c r="M16" i="150"/>
  <c r="O16" i="150" s="1"/>
  <c r="M15" i="150"/>
  <c r="O15" i="150" s="1"/>
  <c r="M14" i="150"/>
  <c r="O14" i="150" s="1"/>
  <c r="M13" i="150"/>
  <c r="O13" i="150" s="1"/>
  <c r="M12" i="150"/>
  <c r="O12" i="150"/>
  <c r="M11" i="150"/>
  <c r="O11" i="150" s="1"/>
  <c r="M10" i="150"/>
  <c r="O10" i="150" s="1"/>
  <c r="M9" i="150"/>
  <c r="O9" i="150" s="1"/>
  <c r="M8" i="150"/>
  <c r="O8" i="150" s="1"/>
  <c r="M7" i="150"/>
  <c r="O7" i="150" s="1"/>
  <c r="K5" i="150"/>
  <c r="J5" i="150"/>
  <c r="M4" i="150"/>
  <c r="L4" i="150"/>
  <c r="N3" i="150"/>
  <c r="M26" i="149"/>
  <c r="O26" i="149" s="1"/>
  <c r="M25" i="149"/>
  <c r="O25" i="149" s="1"/>
  <c r="M24" i="149"/>
  <c r="O24" i="149" s="1"/>
  <c r="M23" i="149"/>
  <c r="O23" i="149" s="1"/>
  <c r="M22" i="149"/>
  <c r="O22" i="149" s="1"/>
  <c r="M21" i="149"/>
  <c r="O21" i="149" s="1"/>
  <c r="M20" i="149"/>
  <c r="O20" i="149" s="1"/>
  <c r="M19" i="149"/>
  <c r="O19" i="149" s="1"/>
  <c r="M18" i="149"/>
  <c r="O18" i="149" s="1"/>
  <c r="M17" i="149"/>
  <c r="O17" i="149" s="1"/>
  <c r="M16" i="149"/>
  <c r="O16" i="149" s="1"/>
  <c r="M15" i="149"/>
  <c r="O15" i="149" s="1"/>
  <c r="M14" i="149"/>
  <c r="O14" i="149" s="1"/>
  <c r="M13" i="149"/>
  <c r="O13" i="149" s="1"/>
  <c r="M12" i="149"/>
  <c r="O12" i="149" s="1"/>
  <c r="M11" i="149"/>
  <c r="O11" i="149" s="1"/>
  <c r="M10" i="149"/>
  <c r="O10" i="149" s="1"/>
  <c r="M9" i="149"/>
  <c r="O9" i="149" s="1"/>
  <c r="M8" i="149"/>
  <c r="O8" i="149" s="1"/>
  <c r="M7" i="149"/>
  <c r="O7" i="149" s="1"/>
  <c r="K5" i="149"/>
  <c r="J5" i="149"/>
  <c r="M4" i="149"/>
  <c r="L4" i="149"/>
  <c r="N3" i="149"/>
  <c r="J30" i="148"/>
  <c r="M26" i="148"/>
  <c r="O26" i="148" s="1"/>
  <c r="M25" i="148"/>
  <c r="O25" i="148" s="1"/>
  <c r="M24" i="148"/>
  <c r="O24" i="148" s="1"/>
  <c r="M23" i="148"/>
  <c r="O23" i="148" s="1"/>
  <c r="M22" i="148"/>
  <c r="O22" i="148" s="1"/>
  <c r="M21" i="148"/>
  <c r="O21" i="148" s="1"/>
  <c r="M20" i="148"/>
  <c r="O20" i="148" s="1"/>
  <c r="M19" i="148"/>
  <c r="O19" i="148" s="1"/>
  <c r="M18" i="148"/>
  <c r="O18" i="148" s="1"/>
  <c r="M17" i="148"/>
  <c r="O17" i="148" s="1"/>
  <c r="M16" i="148"/>
  <c r="O16" i="148" s="1"/>
  <c r="M15" i="148"/>
  <c r="O15" i="148"/>
  <c r="M14" i="148"/>
  <c r="O14" i="148" s="1"/>
  <c r="M13" i="148"/>
  <c r="O13" i="148" s="1"/>
  <c r="M12" i="148"/>
  <c r="O12" i="148"/>
  <c r="M11" i="148"/>
  <c r="O11" i="148" s="1"/>
  <c r="M10" i="148"/>
  <c r="O10" i="148" s="1"/>
  <c r="M9" i="148"/>
  <c r="O9" i="148" s="1"/>
  <c r="M8" i="148"/>
  <c r="O8" i="148"/>
  <c r="M7" i="148"/>
  <c r="O7" i="148" s="1"/>
  <c r="K5" i="148"/>
  <c r="J5" i="148"/>
  <c r="M4" i="148"/>
  <c r="L4" i="148"/>
  <c r="N3" i="148"/>
  <c r="M26" i="147"/>
  <c r="O26" i="147" s="1"/>
  <c r="M25" i="147"/>
  <c r="O25" i="147" s="1"/>
  <c r="M24" i="147"/>
  <c r="O24" i="147" s="1"/>
  <c r="M23" i="147"/>
  <c r="O23" i="147" s="1"/>
  <c r="M22" i="147"/>
  <c r="O22" i="147" s="1"/>
  <c r="M21" i="147"/>
  <c r="O21" i="147" s="1"/>
  <c r="M20" i="147"/>
  <c r="O20" i="147" s="1"/>
  <c r="M19" i="147"/>
  <c r="O19" i="147" s="1"/>
  <c r="M18" i="147"/>
  <c r="O18" i="147" s="1"/>
  <c r="M17" i="147"/>
  <c r="O17" i="147" s="1"/>
  <c r="M16" i="147"/>
  <c r="O16" i="147" s="1"/>
  <c r="M15" i="147"/>
  <c r="O15" i="147" s="1"/>
  <c r="M14" i="147"/>
  <c r="O14" i="147" s="1"/>
  <c r="M13" i="147"/>
  <c r="O13" i="147" s="1"/>
  <c r="M12" i="147"/>
  <c r="O12" i="147" s="1"/>
  <c r="M11" i="147"/>
  <c r="O11" i="147" s="1"/>
  <c r="M10" i="147"/>
  <c r="O10" i="147" s="1"/>
  <c r="M9" i="147"/>
  <c r="O9" i="147" s="1"/>
  <c r="M8" i="147"/>
  <c r="O8" i="147" s="1"/>
  <c r="M7" i="147"/>
  <c r="O7" i="147" s="1"/>
  <c r="K5" i="147"/>
  <c r="J5" i="147"/>
  <c r="M4" i="147"/>
  <c r="L4" i="147"/>
  <c r="N3" i="147"/>
  <c r="M26" i="146"/>
  <c r="O26" i="146"/>
  <c r="M25" i="146"/>
  <c r="O25" i="146" s="1"/>
  <c r="M24" i="146"/>
  <c r="O24" i="146" s="1"/>
  <c r="M23" i="146"/>
  <c r="O23" i="146" s="1"/>
  <c r="M22" i="146"/>
  <c r="O22" i="146"/>
  <c r="M21" i="146"/>
  <c r="O21" i="146" s="1"/>
  <c r="M20" i="146"/>
  <c r="O20" i="146" s="1"/>
  <c r="M19" i="146"/>
  <c r="O19" i="146"/>
  <c r="M18" i="146"/>
  <c r="O18" i="146" s="1"/>
  <c r="M17" i="146"/>
  <c r="O17" i="146"/>
  <c r="M16" i="146"/>
  <c r="O16" i="146" s="1"/>
  <c r="M15" i="146"/>
  <c r="O15" i="146" s="1"/>
  <c r="M14" i="146"/>
  <c r="O14" i="146"/>
  <c r="M13" i="146"/>
  <c r="O13" i="146" s="1"/>
  <c r="M12" i="146"/>
  <c r="O12" i="146" s="1"/>
  <c r="M11" i="146"/>
  <c r="O11" i="146" s="1"/>
  <c r="M10" i="146"/>
  <c r="O10" i="146"/>
  <c r="M9" i="146"/>
  <c r="O9" i="146" s="1"/>
  <c r="M8" i="146"/>
  <c r="O8" i="146" s="1"/>
  <c r="M7" i="146"/>
  <c r="O7" i="146"/>
  <c r="K5" i="146"/>
  <c r="J5" i="146"/>
  <c r="M4" i="146"/>
  <c r="L4" i="146"/>
  <c r="N3" i="146"/>
  <c r="I4" i="145"/>
  <c r="J4" i="145" s="1"/>
  <c r="K4" i="145" s="1"/>
  <c r="I4" i="144"/>
  <c r="J4" i="144" s="1"/>
  <c r="K4" i="144" s="1"/>
  <c r="I4" i="143"/>
  <c r="J4" i="143" s="1"/>
  <c r="K4" i="143" s="1"/>
  <c r="J26" i="19"/>
  <c r="J16" i="22" s="1"/>
  <c r="G10" i="47" s="1"/>
  <c r="K26" i="142"/>
  <c r="K25" i="142"/>
  <c r="K24" i="142"/>
  <c r="K23" i="142"/>
  <c r="K22" i="142"/>
  <c r="K21" i="142"/>
  <c r="K20" i="142"/>
  <c r="K19" i="142"/>
  <c r="K18" i="142"/>
  <c r="K17" i="142"/>
  <c r="K16" i="142"/>
  <c r="K15" i="142"/>
  <c r="K14" i="142"/>
  <c r="K13" i="142"/>
  <c r="K12" i="142"/>
  <c r="K11" i="142"/>
  <c r="K10" i="142"/>
  <c r="K9" i="142"/>
  <c r="K8" i="142"/>
  <c r="I4" i="142"/>
  <c r="J4" i="142" s="1"/>
  <c r="K4" i="142" s="1"/>
  <c r="K26" i="141"/>
  <c r="K25" i="141"/>
  <c r="K24" i="141"/>
  <c r="K23" i="141"/>
  <c r="K22" i="141"/>
  <c r="K21" i="141"/>
  <c r="K20" i="141"/>
  <c r="K19" i="141"/>
  <c r="K18" i="141"/>
  <c r="K17" i="141"/>
  <c r="K16" i="141"/>
  <c r="K15" i="141"/>
  <c r="K14" i="141"/>
  <c r="K13" i="141"/>
  <c r="K12" i="141"/>
  <c r="K11" i="141"/>
  <c r="K10" i="141"/>
  <c r="K9" i="141"/>
  <c r="K8" i="141"/>
  <c r="I4" i="141"/>
  <c r="J4" i="141" s="1"/>
  <c r="K4" i="141" s="1"/>
  <c r="K26" i="140"/>
  <c r="K25" i="140"/>
  <c r="K24" i="140"/>
  <c r="K23" i="140"/>
  <c r="K22" i="140"/>
  <c r="K21" i="140"/>
  <c r="K20" i="140"/>
  <c r="K19" i="140"/>
  <c r="K18" i="140"/>
  <c r="K17" i="140"/>
  <c r="K16" i="140"/>
  <c r="K15" i="140"/>
  <c r="K14" i="140"/>
  <c r="K13" i="140"/>
  <c r="K12" i="140"/>
  <c r="K11" i="140"/>
  <c r="K10" i="140"/>
  <c r="K9" i="140"/>
  <c r="K8" i="140"/>
  <c r="I4" i="140"/>
  <c r="J4" i="140" s="1"/>
  <c r="K4" i="140" s="1"/>
  <c r="K26" i="139"/>
  <c r="K25" i="139"/>
  <c r="K24" i="139"/>
  <c r="K23" i="139"/>
  <c r="K22" i="139"/>
  <c r="K21" i="139"/>
  <c r="K20" i="139"/>
  <c r="K19" i="139"/>
  <c r="K18" i="139"/>
  <c r="K17" i="139"/>
  <c r="K16" i="139"/>
  <c r="K15" i="139"/>
  <c r="K14" i="139"/>
  <c r="K13" i="139"/>
  <c r="K12" i="139"/>
  <c r="K11" i="139"/>
  <c r="K10" i="139"/>
  <c r="K9" i="139"/>
  <c r="K8" i="139"/>
  <c r="I4" i="139"/>
  <c r="J4" i="139" s="1"/>
  <c r="K4" i="139" s="1"/>
  <c r="K26" i="138"/>
  <c r="K25" i="138"/>
  <c r="K24" i="138"/>
  <c r="K23" i="138"/>
  <c r="K22" i="138"/>
  <c r="K21" i="138"/>
  <c r="K20" i="138"/>
  <c r="K19" i="138"/>
  <c r="K18" i="138"/>
  <c r="K17" i="138"/>
  <c r="K16" i="138"/>
  <c r="K15" i="138"/>
  <c r="K14" i="138"/>
  <c r="K13" i="138"/>
  <c r="K12" i="138"/>
  <c r="K11" i="138"/>
  <c r="K10" i="138"/>
  <c r="K9" i="138"/>
  <c r="K8" i="138"/>
  <c r="I4" i="138"/>
  <c r="J4" i="138" s="1"/>
  <c r="K4" i="138" s="1"/>
  <c r="I4" i="137"/>
  <c r="J4" i="137"/>
  <c r="K4" i="137" s="1"/>
  <c r="C13" i="58"/>
  <c r="C14" i="58"/>
  <c r="C15" i="58"/>
  <c r="C16" i="58"/>
  <c r="C17" i="58"/>
  <c r="C18" i="58"/>
  <c r="C19" i="58"/>
  <c r="C20" i="58"/>
  <c r="C21" i="58"/>
  <c r="C22" i="58"/>
  <c r="C23" i="58"/>
  <c r="C24" i="58"/>
  <c r="C25" i="58"/>
  <c r="C26" i="58"/>
  <c r="C27" i="58"/>
  <c r="C28" i="58"/>
  <c r="C12" i="58"/>
  <c r="C11" i="58"/>
  <c r="C11" i="185"/>
  <c r="F11" i="185" s="1"/>
  <c r="C12" i="136"/>
  <c r="C13" i="136"/>
  <c r="C14" i="136"/>
  <c r="C15" i="136"/>
  <c r="C16" i="136"/>
  <c r="C17" i="136"/>
  <c r="C18" i="136"/>
  <c r="C19" i="136"/>
  <c r="C20" i="136"/>
  <c r="C21" i="136"/>
  <c r="C22" i="136"/>
  <c r="C23" i="136"/>
  <c r="C24" i="136"/>
  <c r="C25" i="136"/>
  <c r="C26" i="136"/>
  <c r="C27" i="136"/>
  <c r="C28" i="136"/>
  <c r="D20" i="136"/>
  <c r="D21" i="136"/>
  <c r="C22" i="158"/>
  <c r="F22" i="158" s="1"/>
  <c r="D23" i="136"/>
  <c r="C25" i="158"/>
  <c r="C20" i="185"/>
  <c r="F20" i="185" s="1"/>
  <c r="C22" i="185"/>
  <c r="F22" i="185" s="1"/>
  <c r="C23" i="185"/>
  <c r="F23" i="185" s="1"/>
  <c r="C24" i="185"/>
  <c r="F24" i="185" s="1"/>
  <c r="C25" i="185"/>
  <c r="F25" i="185" s="1"/>
  <c r="B13" i="136"/>
  <c r="B14" i="136"/>
  <c r="B15" i="136"/>
  <c r="B16" i="136"/>
  <c r="B17" i="136"/>
  <c r="B18" i="136"/>
  <c r="B19" i="136"/>
  <c r="B20" i="136"/>
  <c r="B21" i="136"/>
  <c r="B22" i="136"/>
  <c r="B23" i="136"/>
  <c r="B24" i="136"/>
  <c r="B25" i="136"/>
  <c r="B26" i="136"/>
  <c r="B27" i="136"/>
  <c r="B28" i="136"/>
  <c r="B29" i="136"/>
  <c r="B12" i="136"/>
  <c r="F9" i="136"/>
  <c r="G9" i="136" s="1"/>
  <c r="H9" i="136" s="1"/>
  <c r="I9" i="136" s="1"/>
  <c r="J9" i="136" s="1"/>
  <c r="K9" i="136" s="1"/>
  <c r="C28" i="158"/>
  <c r="F28" i="158" s="1"/>
  <c r="C27" i="158"/>
  <c r="F27" i="158" s="1"/>
  <c r="C26" i="158"/>
  <c r="C19" i="158"/>
  <c r="F19" i="158" s="1"/>
  <c r="C18" i="158"/>
  <c r="D16" i="136"/>
  <c r="C15" i="158"/>
  <c r="D13" i="136"/>
  <c r="D12" i="136"/>
  <c r="F9" i="135"/>
  <c r="F7" i="135"/>
  <c r="B3" i="135"/>
  <c r="M11" i="37"/>
  <c r="R11" i="37" s="1"/>
  <c r="M25" i="134"/>
  <c r="R25" i="134" s="1"/>
  <c r="M24" i="134"/>
  <c r="R24" i="134"/>
  <c r="M23" i="134"/>
  <c r="R23" i="134" s="1"/>
  <c r="M22" i="134"/>
  <c r="R22" i="134" s="1"/>
  <c r="M21" i="134"/>
  <c r="R21" i="134" s="1"/>
  <c r="M20" i="134"/>
  <c r="R20" i="134" s="1"/>
  <c r="M19" i="134"/>
  <c r="R19" i="134" s="1"/>
  <c r="M18" i="134"/>
  <c r="R18" i="134"/>
  <c r="M17" i="134"/>
  <c r="R17" i="134" s="1"/>
  <c r="M16" i="134"/>
  <c r="R16" i="134" s="1"/>
  <c r="M15" i="134"/>
  <c r="R15" i="134" s="1"/>
  <c r="M14" i="134"/>
  <c r="R14" i="134" s="1"/>
  <c r="M13" i="134"/>
  <c r="R13" i="134" s="1"/>
  <c r="M12" i="134"/>
  <c r="R12" i="134" s="1"/>
  <c r="M10" i="134"/>
  <c r="R10" i="134" s="1"/>
  <c r="M9" i="134"/>
  <c r="R9" i="134" s="1"/>
  <c r="M8" i="134"/>
  <c r="R8" i="134" s="1"/>
  <c r="M7" i="134"/>
  <c r="N29" i="134"/>
  <c r="K5" i="134"/>
  <c r="J5" i="134"/>
  <c r="M4" i="134"/>
  <c r="L4" i="134"/>
  <c r="N3" i="134"/>
  <c r="L23" i="24"/>
  <c r="M26" i="132"/>
  <c r="O26" i="132" s="1"/>
  <c r="M9" i="132"/>
  <c r="O9" i="132" s="1"/>
  <c r="M10" i="132"/>
  <c r="O10" i="132" s="1"/>
  <c r="M11" i="132"/>
  <c r="O11" i="132" s="1"/>
  <c r="M12" i="132"/>
  <c r="O12" i="132" s="1"/>
  <c r="M13" i="132"/>
  <c r="O13" i="132" s="1"/>
  <c r="M14" i="132"/>
  <c r="O14" i="132" s="1"/>
  <c r="M15" i="132"/>
  <c r="O15" i="132" s="1"/>
  <c r="M16" i="132"/>
  <c r="O16" i="132" s="1"/>
  <c r="M17" i="132"/>
  <c r="O17" i="132" s="1"/>
  <c r="M18" i="132"/>
  <c r="O18" i="132" s="1"/>
  <c r="M19" i="132"/>
  <c r="O19" i="132" s="1"/>
  <c r="M20" i="132"/>
  <c r="O20" i="132" s="1"/>
  <c r="M21" i="132"/>
  <c r="O21" i="132" s="1"/>
  <c r="M22" i="132"/>
  <c r="O22" i="132" s="1"/>
  <c r="M23" i="132"/>
  <c r="O23" i="132" s="1"/>
  <c r="M24" i="132"/>
  <c r="O24" i="132" s="1"/>
  <c r="M25" i="132"/>
  <c r="O25" i="132" s="1"/>
  <c r="J30" i="132"/>
  <c r="M8" i="132"/>
  <c r="O8" i="132" s="1"/>
  <c r="K5" i="132"/>
  <c r="J5" i="132"/>
  <c r="M4" i="132"/>
  <c r="L4" i="132"/>
  <c r="N3" i="132"/>
  <c r="C15" i="53"/>
  <c r="C9" i="53"/>
  <c r="C8" i="53"/>
  <c r="C2" i="53"/>
  <c r="E30" i="52"/>
  <c r="E24" i="52"/>
  <c r="E23" i="52"/>
  <c r="D25" i="131"/>
  <c r="C4" i="131"/>
  <c r="B2" i="131"/>
  <c r="F4" i="130"/>
  <c r="B2" i="130"/>
  <c r="F26" i="129"/>
  <c r="C4" i="129"/>
  <c r="C2" i="129"/>
  <c r="D25" i="128"/>
  <c r="C4" i="128"/>
  <c r="B2" i="128"/>
  <c r="F4" i="127"/>
  <c r="B2" i="127"/>
  <c r="F26" i="126"/>
  <c r="C4" i="126"/>
  <c r="C2" i="126"/>
  <c r="D25" i="125"/>
  <c r="C4" i="125"/>
  <c r="B2" i="125"/>
  <c r="F4" i="124"/>
  <c r="B2" i="124"/>
  <c r="F26" i="123"/>
  <c r="C4" i="123"/>
  <c r="C2" i="123"/>
  <c r="D25" i="103"/>
  <c r="B2" i="103"/>
  <c r="C4" i="103"/>
  <c r="F4" i="102"/>
  <c r="B2" i="102"/>
  <c r="F26" i="101"/>
  <c r="C4" i="101"/>
  <c r="C2" i="101"/>
  <c r="K24" i="131"/>
  <c r="O24" i="131" s="1"/>
  <c r="K23" i="131"/>
  <c r="O23" i="131" s="1"/>
  <c r="K22" i="131"/>
  <c r="O22" i="131" s="1"/>
  <c r="K21" i="131"/>
  <c r="M21" i="131" s="1"/>
  <c r="K20" i="131"/>
  <c r="M20" i="131" s="1"/>
  <c r="K19" i="131"/>
  <c r="M19" i="131" s="1"/>
  <c r="K18" i="131"/>
  <c r="M18" i="131" s="1"/>
  <c r="K17" i="131"/>
  <c r="M17" i="131" s="1"/>
  <c r="K13" i="131"/>
  <c r="O13" i="131" s="1"/>
  <c r="K12" i="131"/>
  <c r="O12" i="131" s="1"/>
  <c r="K11" i="131"/>
  <c r="O11" i="131" s="1"/>
  <c r="K10" i="131"/>
  <c r="O10" i="131" s="1"/>
  <c r="K9" i="131"/>
  <c r="O9" i="131" s="1"/>
  <c r="I5" i="131"/>
  <c r="H5" i="131"/>
  <c r="K4" i="131"/>
  <c r="J4" i="131"/>
  <c r="L3" i="131"/>
  <c r="K26" i="130"/>
  <c r="O26" i="130" s="1"/>
  <c r="K25" i="130"/>
  <c r="O25" i="130" s="1"/>
  <c r="K24" i="130"/>
  <c r="O24" i="130" s="1"/>
  <c r="K23" i="130"/>
  <c r="O23" i="130" s="1"/>
  <c r="K22" i="130"/>
  <c r="O22" i="130"/>
  <c r="K21" i="130"/>
  <c r="O21" i="130" s="1"/>
  <c r="K20" i="130"/>
  <c r="O20" i="130" s="1"/>
  <c r="K18" i="130"/>
  <c r="M18" i="130" s="1"/>
  <c r="K17" i="130"/>
  <c r="M17" i="130" s="1"/>
  <c r="K16" i="130"/>
  <c r="M16" i="130" s="1"/>
  <c r="K15" i="130"/>
  <c r="M15" i="130" s="1"/>
  <c r="K14" i="130"/>
  <c r="M14" i="130" s="1"/>
  <c r="K12" i="130"/>
  <c r="M12" i="130" s="1"/>
  <c r="K11" i="130"/>
  <c r="M11" i="130" s="1"/>
  <c r="K10" i="130"/>
  <c r="M10" i="130" s="1"/>
  <c r="K9" i="130"/>
  <c r="M9" i="130" s="1"/>
  <c r="K8" i="130"/>
  <c r="M8" i="130" s="1"/>
  <c r="I5" i="130"/>
  <c r="H5" i="130"/>
  <c r="K4" i="130"/>
  <c r="J4" i="130"/>
  <c r="L3" i="130"/>
  <c r="L7" i="129"/>
  <c r="L26" i="129" s="1"/>
  <c r="K7" i="129"/>
  <c r="K26" i="129" s="1"/>
  <c r="J7" i="129"/>
  <c r="J26" i="129" s="1"/>
  <c r="J4" i="129"/>
  <c r="K4" i="129" s="1"/>
  <c r="L4" i="129" s="1"/>
  <c r="K24" i="128"/>
  <c r="O24" i="128" s="1"/>
  <c r="K23" i="128"/>
  <c r="O23" i="128" s="1"/>
  <c r="K22" i="128"/>
  <c r="O22" i="128" s="1"/>
  <c r="K21" i="128"/>
  <c r="M21" i="128" s="1"/>
  <c r="K20" i="128"/>
  <c r="M20" i="128" s="1"/>
  <c r="K19" i="128"/>
  <c r="M19" i="128" s="1"/>
  <c r="K18" i="128"/>
  <c r="M18" i="128" s="1"/>
  <c r="K17" i="128"/>
  <c r="M17" i="128" s="1"/>
  <c r="K13" i="128"/>
  <c r="O13" i="128" s="1"/>
  <c r="K12" i="128"/>
  <c r="O12" i="128" s="1"/>
  <c r="K11" i="128"/>
  <c r="O11" i="128" s="1"/>
  <c r="K10" i="128"/>
  <c r="O10" i="128" s="1"/>
  <c r="K9" i="128"/>
  <c r="O9" i="128" s="1"/>
  <c r="I5" i="128"/>
  <c r="H5" i="128"/>
  <c r="K4" i="128"/>
  <c r="J4" i="128"/>
  <c r="L3" i="128"/>
  <c r="K26" i="127"/>
  <c r="O26" i="127" s="1"/>
  <c r="K25" i="127"/>
  <c r="O25" i="127" s="1"/>
  <c r="K24" i="127"/>
  <c r="O24" i="127" s="1"/>
  <c r="K23" i="127"/>
  <c r="O23" i="127"/>
  <c r="K22" i="127"/>
  <c r="O22" i="127" s="1"/>
  <c r="K21" i="127"/>
  <c r="O21" i="127"/>
  <c r="K20" i="127"/>
  <c r="O20" i="127" s="1"/>
  <c r="K18" i="127"/>
  <c r="M18" i="127" s="1"/>
  <c r="K17" i="127"/>
  <c r="M17" i="127" s="1"/>
  <c r="K16" i="127"/>
  <c r="M16" i="127" s="1"/>
  <c r="K15" i="127"/>
  <c r="M15" i="127" s="1"/>
  <c r="K14" i="127"/>
  <c r="M14" i="127" s="1"/>
  <c r="K12" i="127"/>
  <c r="M12" i="127" s="1"/>
  <c r="K10" i="127"/>
  <c r="M10" i="127" s="1"/>
  <c r="K9" i="127"/>
  <c r="M9" i="127" s="1"/>
  <c r="K8" i="127"/>
  <c r="M8" i="127" s="1"/>
  <c r="I5" i="127"/>
  <c r="H5" i="127"/>
  <c r="K4" i="127"/>
  <c r="J4" i="127"/>
  <c r="L3" i="127"/>
  <c r="L7" i="126"/>
  <c r="L26" i="126" s="1"/>
  <c r="K7" i="126"/>
  <c r="K26" i="126" s="1"/>
  <c r="J7" i="126"/>
  <c r="J26" i="126" s="1"/>
  <c r="J4" i="126"/>
  <c r="K4" i="126" s="1"/>
  <c r="L4" i="126" s="1"/>
  <c r="K24" i="125"/>
  <c r="O24" i="125" s="1"/>
  <c r="K23" i="125"/>
  <c r="O23" i="125" s="1"/>
  <c r="K22" i="125"/>
  <c r="O22" i="125" s="1"/>
  <c r="K21" i="125"/>
  <c r="M21" i="125" s="1"/>
  <c r="K20" i="125"/>
  <c r="M20" i="125" s="1"/>
  <c r="K19" i="125"/>
  <c r="M19" i="125" s="1"/>
  <c r="K18" i="125"/>
  <c r="M18" i="125" s="1"/>
  <c r="K17" i="125"/>
  <c r="M17" i="125" s="1"/>
  <c r="K13" i="125"/>
  <c r="O13" i="125" s="1"/>
  <c r="K12" i="125"/>
  <c r="O12" i="125"/>
  <c r="K11" i="125"/>
  <c r="O11" i="125" s="1"/>
  <c r="K10" i="125"/>
  <c r="O10" i="125"/>
  <c r="K9" i="125"/>
  <c r="O9" i="125" s="1"/>
  <c r="I5" i="125"/>
  <c r="H5" i="125"/>
  <c r="K4" i="125"/>
  <c r="J4" i="125"/>
  <c r="L3" i="125"/>
  <c r="K26" i="124"/>
  <c r="O26" i="124" s="1"/>
  <c r="K25" i="124"/>
  <c r="O25" i="124"/>
  <c r="K24" i="124"/>
  <c r="O24" i="124" s="1"/>
  <c r="K23" i="124"/>
  <c r="O23" i="124"/>
  <c r="K22" i="124"/>
  <c r="O22" i="124" s="1"/>
  <c r="K21" i="124"/>
  <c r="O21" i="124" s="1"/>
  <c r="K20" i="124"/>
  <c r="O20" i="124" s="1"/>
  <c r="K18" i="124"/>
  <c r="M18" i="124" s="1"/>
  <c r="K17" i="124"/>
  <c r="M17" i="124" s="1"/>
  <c r="K16" i="124"/>
  <c r="M16" i="124" s="1"/>
  <c r="K15" i="124"/>
  <c r="M15" i="124" s="1"/>
  <c r="K14" i="124"/>
  <c r="M14" i="124" s="1"/>
  <c r="K12" i="124"/>
  <c r="M12" i="124" s="1"/>
  <c r="K11" i="124"/>
  <c r="M11" i="124" s="1"/>
  <c r="K10" i="124"/>
  <c r="M10" i="124" s="1"/>
  <c r="K9" i="124"/>
  <c r="M9" i="124" s="1"/>
  <c r="K8" i="124"/>
  <c r="M8" i="124" s="1"/>
  <c r="I5" i="124"/>
  <c r="H5" i="124"/>
  <c r="K4" i="124"/>
  <c r="J4" i="124"/>
  <c r="L3" i="124"/>
  <c r="L7" i="123"/>
  <c r="L26" i="123"/>
  <c r="K7" i="123"/>
  <c r="K26" i="123" s="1"/>
  <c r="J7" i="123"/>
  <c r="J26" i="123" s="1"/>
  <c r="J4" i="123"/>
  <c r="K4" i="123" s="1"/>
  <c r="L4" i="123" s="1"/>
  <c r="J28" i="122"/>
  <c r="M24" i="122"/>
  <c r="M23" i="122"/>
  <c r="M22" i="122"/>
  <c r="M21" i="122"/>
  <c r="M20" i="122"/>
  <c r="N20" i="122" s="1"/>
  <c r="M19" i="122"/>
  <c r="M18" i="122"/>
  <c r="N18" i="122" s="1"/>
  <c r="M17" i="122"/>
  <c r="M16" i="122"/>
  <c r="N16" i="122" s="1"/>
  <c r="O16" i="122" s="1"/>
  <c r="M15" i="122"/>
  <c r="N15" i="122" s="1"/>
  <c r="O15" i="122" s="1"/>
  <c r="M14" i="122"/>
  <c r="N14" i="122"/>
  <c r="M13" i="122"/>
  <c r="N13" i="122" s="1"/>
  <c r="O13" i="122" s="1"/>
  <c r="M12" i="122"/>
  <c r="N12" i="122" s="1"/>
  <c r="M11" i="122"/>
  <c r="M10" i="122"/>
  <c r="N10" i="122" s="1"/>
  <c r="O10" i="122" s="1"/>
  <c r="M9" i="122"/>
  <c r="N9" i="122" s="1"/>
  <c r="M8" i="122"/>
  <c r="K5" i="122"/>
  <c r="J5" i="122"/>
  <c r="M4" i="122"/>
  <c r="L4" i="122"/>
  <c r="N3" i="122"/>
  <c r="J28" i="121"/>
  <c r="M24" i="121"/>
  <c r="M23" i="121"/>
  <c r="M22" i="121"/>
  <c r="M21" i="121"/>
  <c r="N21" i="121" s="1"/>
  <c r="M20" i="121"/>
  <c r="N20" i="121" s="1"/>
  <c r="O20" i="121" s="1"/>
  <c r="M19" i="121"/>
  <c r="M18" i="121"/>
  <c r="N18" i="121" s="1"/>
  <c r="O18" i="121" s="1"/>
  <c r="M17" i="121"/>
  <c r="N17" i="121" s="1"/>
  <c r="O17" i="121" s="1"/>
  <c r="M16" i="121"/>
  <c r="M15" i="121"/>
  <c r="N15" i="121"/>
  <c r="M14" i="121"/>
  <c r="N14" i="121" s="1"/>
  <c r="O14" i="121" s="1"/>
  <c r="M13" i="121"/>
  <c r="N13" i="121" s="1"/>
  <c r="O13" i="121" s="1"/>
  <c r="M12" i="121"/>
  <c r="N12" i="121"/>
  <c r="M11" i="121"/>
  <c r="N11" i="121" s="1"/>
  <c r="O11" i="121" s="1"/>
  <c r="M10" i="121"/>
  <c r="M9" i="121"/>
  <c r="N9" i="121"/>
  <c r="O9" i="121" s="1"/>
  <c r="M8" i="121"/>
  <c r="K5" i="121"/>
  <c r="J5" i="121"/>
  <c r="M4" i="121"/>
  <c r="L4" i="121"/>
  <c r="N3" i="121"/>
  <c r="M26" i="120"/>
  <c r="O26" i="120"/>
  <c r="M25" i="120"/>
  <c r="O25" i="120" s="1"/>
  <c r="M24" i="120"/>
  <c r="O24" i="120" s="1"/>
  <c r="M23" i="120"/>
  <c r="O23" i="120" s="1"/>
  <c r="M22" i="120"/>
  <c r="O22" i="120" s="1"/>
  <c r="M21" i="120"/>
  <c r="O21" i="120" s="1"/>
  <c r="M20" i="120"/>
  <c r="O20" i="120" s="1"/>
  <c r="M19" i="120"/>
  <c r="O19" i="120" s="1"/>
  <c r="M18" i="120"/>
  <c r="O18" i="120" s="1"/>
  <c r="M17" i="120"/>
  <c r="O17" i="120" s="1"/>
  <c r="M16" i="120"/>
  <c r="O16" i="120"/>
  <c r="M15" i="120"/>
  <c r="O15" i="120" s="1"/>
  <c r="M14" i="120"/>
  <c r="O14" i="120" s="1"/>
  <c r="M13" i="120"/>
  <c r="O13" i="120" s="1"/>
  <c r="M12" i="120"/>
  <c r="O12" i="120" s="1"/>
  <c r="M11" i="120"/>
  <c r="O11" i="120" s="1"/>
  <c r="M10" i="120"/>
  <c r="O10" i="120"/>
  <c r="M9" i="120"/>
  <c r="O9" i="120"/>
  <c r="M8" i="120"/>
  <c r="O8" i="120" s="1"/>
  <c r="M7" i="120"/>
  <c r="O7" i="120" s="1"/>
  <c r="K5" i="120"/>
  <c r="J5" i="120"/>
  <c r="M4" i="120"/>
  <c r="L4" i="120"/>
  <c r="N3" i="120"/>
  <c r="M26" i="119"/>
  <c r="O26" i="119" s="1"/>
  <c r="M25" i="119"/>
  <c r="O25" i="119" s="1"/>
  <c r="M24" i="119"/>
  <c r="O24" i="119" s="1"/>
  <c r="M23" i="119"/>
  <c r="O23" i="119" s="1"/>
  <c r="M22" i="119"/>
  <c r="O22" i="119" s="1"/>
  <c r="M21" i="119"/>
  <c r="O21" i="119" s="1"/>
  <c r="M20" i="119"/>
  <c r="O20" i="119" s="1"/>
  <c r="M19" i="119"/>
  <c r="O19" i="119"/>
  <c r="M18" i="119"/>
  <c r="O18" i="119" s="1"/>
  <c r="M17" i="119"/>
  <c r="O17" i="119" s="1"/>
  <c r="M16" i="119"/>
  <c r="O16" i="119" s="1"/>
  <c r="M15" i="119"/>
  <c r="O15" i="119" s="1"/>
  <c r="M14" i="119"/>
  <c r="O14" i="119" s="1"/>
  <c r="M13" i="119"/>
  <c r="O13" i="119"/>
  <c r="M12" i="119"/>
  <c r="O12" i="119" s="1"/>
  <c r="M11" i="119"/>
  <c r="O11" i="119"/>
  <c r="M10" i="119"/>
  <c r="O10" i="119" s="1"/>
  <c r="M9" i="119"/>
  <c r="O9" i="119" s="1"/>
  <c r="M8" i="119"/>
  <c r="O8" i="119" s="1"/>
  <c r="M7" i="119"/>
  <c r="O7" i="119" s="1"/>
  <c r="K5" i="119"/>
  <c r="J5" i="119"/>
  <c r="M4" i="119"/>
  <c r="L4" i="119"/>
  <c r="N3" i="119"/>
  <c r="J30" i="118"/>
  <c r="M26" i="118"/>
  <c r="O26" i="118" s="1"/>
  <c r="M25" i="118"/>
  <c r="O25" i="118" s="1"/>
  <c r="M24" i="118"/>
  <c r="O24" i="118" s="1"/>
  <c r="M23" i="118"/>
  <c r="O23" i="118" s="1"/>
  <c r="M22" i="118"/>
  <c r="O22" i="118"/>
  <c r="M21" i="118"/>
  <c r="O21" i="118" s="1"/>
  <c r="M20" i="118"/>
  <c r="O20" i="118"/>
  <c r="M19" i="118"/>
  <c r="O19" i="118" s="1"/>
  <c r="M18" i="118"/>
  <c r="O18" i="118" s="1"/>
  <c r="M17" i="118"/>
  <c r="O17" i="118" s="1"/>
  <c r="M16" i="118"/>
  <c r="O16" i="118" s="1"/>
  <c r="M15" i="118"/>
  <c r="O15" i="118" s="1"/>
  <c r="M14" i="118"/>
  <c r="O14" i="118"/>
  <c r="M13" i="118"/>
  <c r="O13" i="118" s="1"/>
  <c r="M12" i="118"/>
  <c r="O12" i="118" s="1"/>
  <c r="M11" i="118"/>
  <c r="O11" i="118" s="1"/>
  <c r="M10" i="118"/>
  <c r="O10" i="118" s="1"/>
  <c r="M9" i="118"/>
  <c r="O9" i="118" s="1"/>
  <c r="M8" i="118"/>
  <c r="O8" i="118" s="1"/>
  <c r="M7" i="118"/>
  <c r="O7" i="118" s="1"/>
  <c r="K5" i="118"/>
  <c r="J5" i="118"/>
  <c r="M4" i="118"/>
  <c r="L4" i="118"/>
  <c r="N3" i="118"/>
  <c r="I4" i="117"/>
  <c r="J4" i="117" s="1"/>
  <c r="K4" i="117" s="1"/>
  <c r="I4" i="116"/>
  <c r="J4" i="116" s="1"/>
  <c r="K4" i="116" s="1"/>
  <c r="I4" i="115"/>
  <c r="J4" i="115" s="1"/>
  <c r="K4" i="115" s="1"/>
  <c r="I4" i="114"/>
  <c r="J4" i="114" s="1"/>
  <c r="K4" i="114" s="1"/>
  <c r="I4" i="113"/>
  <c r="J4" i="113" s="1"/>
  <c r="K4" i="113" s="1"/>
  <c r="I4" i="112"/>
  <c r="J4" i="112" s="1"/>
  <c r="K4" i="112" s="1"/>
  <c r="I4" i="111"/>
  <c r="J4" i="111" s="1"/>
  <c r="K4" i="111" s="1"/>
  <c r="I4" i="110"/>
  <c r="J4" i="110" s="1"/>
  <c r="K4" i="110" s="1"/>
  <c r="I4" i="109"/>
  <c r="J4" i="109" s="1"/>
  <c r="K4" i="109" s="1"/>
  <c r="I4" i="108"/>
  <c r="J4" i="108" s="1"/>
  <c r="K4" i="108" s="1"/>
  <c r="K26" i="107"/>
  <c r="K25" i="107"/>
  <c r="K24" i="107"/>
  <c r="K23" i="107"/>
  <c r="K22" i="107"/>
  <c r="K21" i="107"/>
  <c r="K20" i="107"/>
  <c r="K19" i="107"/>
  <c r="K18" i="107"/>
  <c r="K17" i="107"/>
  <c r="K16" i="107"/>
  <c r="K15" i="107"/>
  <c r="K14" i="107"/>
  <c r="K13" i="107"/>
  <c r="K12" i="107"/>
  <c r="K11" i="107"/>
  <c r="K10" i="107"/>
  <c r="K9" i="107"/>
  <c r="K8" i="107"/>
  <c r="I4" i="107"/>
  <c r="J4" i="107" s="1"/>
  <c r="K4" i="107" s="1"/>
  <c r="K26" i="106"/>
  <c r="K25" i="106"/>
  <c r="K24" i="106"/>
  <c r="K23" i="106"/>
  <c r="K22" i="106"/>
  <c r="K21" i="106"/>
  <c r="K20" i="106"/>
  <c r="K19" i="106"/>
  <c r="K18" i="106"/>
  <c r="K17" i="106"/>
  <c r="K16" i="106"/>
  <c r="K15" i="106"/>
  <c r="K14" i="106"/>
  <c r="K13" i="106"/>
  <c r="K12" i="106"/>
  <c r="K11" i="106"/>
  <c r="K10" i="106"/>
  <c r="K9" i="106"/>
  <c r="K8" i="106"/>
  <c r="I4" i="106"/>
  <c r="J4" i="106" s="1"/>
  <c r="K4" i="106" s="1"/>
  <c r="K26" i="105"/>
  <c r="K25" i="105"/>
  <c r="K24" i="105"/>
  <c r="K23" i="105"/>
  <c r="K22" i="105"/>
  <c r="K21" i="105"/>
  <c r="K20" i="105"/>
  <c r="K19" i="105"/>
  <c r="K18" i="105"/>
  <c r="K17" i="105"/>
  <c r="K16" i="105"/>
  <c r="K15" i="105"/>
  <c r="K14" i="105"/>
  <c r="K13" i="105"/>
  <c r="K12" i="105"/>
  <c r="K11" i="105"/>
  <c r="K10" i="105"/>
  <c r="K9" i="105"/>
  <c r="K8" i="105"/>
  <c r="I4" i="105"/>
  <c r="J4" i="105" s="1"/>
  <c r="K4" i="105" s="1"/>
  <c r="I4" i="104"/>
  <c r="J4" i="104" s="1"/>
  <c r="K4" i="104" s="1"/>
  <c r="K24" i="103"/>
  <c r="O24" i="103" s="1"/>
  <c r="K23" i="103"/>
  <c r="O23" i="103" s="1"/>
  <c r="K22" i="103"/>
  <c r="O22" i="103" s="1"/>
  <c r="K21" i="103"/>
  <c r="M21" i="103" s="1"/>
  <c r="K20" i="103"/>
  <c r="M20" i="103" s="1"/>
  <c r="K19" i="103"/>
  <c r="M19" i="103" s="1"/>
  <c r="K18" i="103"/>
  <c r="M18" i="103" s="1"/>
  <c r="K17" i="103"/>
  <c r="M17" i="103" s="1"/>
  <c r="K13" i="103"/>
  <c r="O13" i="103" s="1"/>
  <c r="K12" i="103"/>
  <c r="O12" i="103" s="1"/>
  <c r="K11" i="103"/>
  <c r="O11" i="103" s="1"/>
  <c r="K10" i="103"/>
  <c r="O10" i="103" s="1"/>
  <c r="K9" i="103"/>
  <c r="O9" i="103"/>
  <c r="I5" i="103"/>
  <c r="H5" i="103"/>
  <c r="K4" i="103"/>
  <c r="J4" i="103"/>
  <c r="L3" i="103"/>
  <c r="K26" i="102"/>
  <c r="O26" i="102" s="1"/>
  <c r="K25" i="102"/>
  <c r="O25" i="102" s="1"/>
  <c r="K24" i="102"/>
  <c r="O24" i="102" s="1"/>
  <c r="K23" i="102"/>
  <c r="O23" i="102" s="1"/>
  <c r="K22" i="102"/>
  <c r="O22" i="102" s="1"/>
  <c r="K21" i="102"/>
  <c r="O21" i="102" s="1"/>
  <c r="K20" i="102"/>
  <c r="O20" i="102" s="1"/>
  <c r="K18" i="102"/>
  <c r="M18" i="102" s="1"/>
  <c r="K17" i="102"/>
  <c r="M17" i="102" s="1"/>
  <c r="K16" i="102"/>
  <c r="M16" i="102" s="1"/>
  <c r="K15" i="102"/>
  <c r="M15" i="102" s="1"/>
  <c r="K14" i="102"/>
  <c r="M14" i="102" s="1"/>
  <c r="K12" i="102"/>
  <c r="M12" i="102" s="1"/>
  <c r="K11" i="102"/>
  <c r="M11" i="102" s="1"/>
  <c r="K10" i="102"/>
  <c r="M10" i="102" s="1"/>
  <c r="K9" i="102"/>
  <c r="M9" i="102" s="1"/>
  <c r="K8" i="102"/>
  <c r="M8" i="102" s="1"/>
  <c r="I5" i="102"/>
  <c r="H5" i="102"/>
  <c r="K4" i="102"/>
  <c r="J4" i="102"/>
  <c r="L3" i="102"/>
  <c r="L7" i="101"/>
  <c r="L26" i="101"/>
  <c r="K7" i="101"/>
  <c r="K26" i="101" s="1"/>
  <c r="J7" i="101"/>
  <c r="J26" i="101" s="1"/>
  <c r="J4" i="101"/>
  <c r="K4" i="101" s="1"/>
  <c r="L4" i="101" s="1"/>
  <c r="F4" i="99"/>
  <c r="F4" i="42"/>
  <c r="D25" i="100"/>
  <c r="B2" i="100"/>
  <c r="C4" i="100"/>
  <c r="B2" i="99"/>
  <c r="F26" i="98"/>
  <c r="C4" i="98"/>
  <c r="C2" i="98"/>
  <c r="K24" i="100"/>
  <c r="O24" i="100" s="1"/>
  <c r="K23" i="100"/>
  <c r="O23" i="100" s="1"/>
  <c r="K22" i="100"/>
  <c r="O22" i="100" s="1"/>
  <c r="K21" i="100"/>
  <c r="M21" i="100" s="1"/>
  <c r="K20" i="100"/>
  <c r="M20" i="100" s="1"/>
  <c r="K19" i="100"/>
  <c r="M19" i="100" s="1"/>
  <c r="K18" i="100"/>
  <c r="M18" i="100" s="1"/>
  <c r="K17" i="100"/>
  <c r="M17" i="100" s="1"/>
  <c r="K13" i="100"/>
  <c r="O13" i="100" s="1"/>
  <c r="K12" i="100"/>
  <c r="O12" i="100" s="1"/>
  <c r="K11" i="100"/>
  <c r="O11" i="100"/>
  <c r="K10" i="100"/>
  <c r="O10" i="100" s="1"/>
  <c r="K9" i="100"/>
  <c r="O9" i="100" s="1"/>
  <c r="I5" i="100"/>
  <c r="H5" i="100"/>
  <c r="K4" i="100"/>
  <c r="J4" i="100"/>
  <c r="L3" i="100"/>
  <c r="K26" i="99"/>
  <c r="O26" i="99" s="1"/>
  <c r="K25" i="99"/>
  <c r="O25" i="99" s="1"/>
  <c r="K24" i="99"/>
  <c r="O24" i="99" s="1"/>
  <c r="K23" i="99"/>
  <c r="O23" i="99" s="1"/>
  <c r="K22" i="99"/>
  <c r="O22" i="99" s="1"/>
  <c r="K21" i="99"/>
  <c r="O21" i="99" s="1"/>
  <c r="K20" i="99"/>
  <c r="O20" i="99" s="1"/>
  <c r="K18" i="99"/>
  <c r="M18" i="99" s="1"/>
  <c r="K17" i="99"/>
  <c r="M17" i="99" s="1"/>
  <c r="K16" i="99"/>
  <c r="M16" i="99" s="1"/>
  <c r="K15" i="99"/>
  <c r="M15" i="99" s="1"/>
  <c r="K14" i="99"/>
  <c r="M14" i="99" s="1"/>
  <c r="K12" i="99"/>
  <c r="M12" i="99" s="1"/>
  <c r="K11" i="99"/>
  <c r="M11" i="99" s="1"/>
  <c r="K10" i="99"/>
  <c r="M10" i="99" s="1"/>
  <c r="K9" i="99"/>
  <c r="M9" i="99" s="1"/>
  <c r="K8" i="99"/>
  <c r="M8" i="99" s="1"/>
  <c r="I5" i="99"/>
  <c r="H5" i="99"/>
  <c r="K4" i="99"/>
  <c r="J4" i="99"/>
  <c r="L3" i="99"/>
  <c r="L7" i="98"/>
  <c r="L26" i="98"/>
  <c r="K7" i="98"/>
  <c r="K26" i="98" s="1"/>
  <c r="J7" i="98"/>
  <c r="J26" i="98" s="1"/>
  <c r="J4" i="98"/>
  <c r="K4" i="98" s="1"/>
  <c r="L4" i="98" s="1"/>
  <c r="N6" i="65"/>
  <c r="M6" i="65"/>
  <c r="L6" i="65"/>
  <c r="K6" i="65"/>
  <c r="J6" i="65"/>
  <c r="I6" i="65"/>
  <c r="H76" i="51"/>
  <c r="H55" i="51"/>
  <c r="H34" i="51"/>
  <c r="D25" i="43"/>
  <c r="C4" i="43"/>
  <c r="B2" i="43"/>
  <c r="B2" i="42"/>
  <c r="F26" i="41"/>
  <c r="C4" i="41"/>
  <c r="C2" i="41"/>
  <c r="M8" i="34"/>
  <c r="M11" i="24"/>
  <c r="O11" i="24" s="1"/>
  <c r="N16" i="51"/>
  <c r="L51" i="85"/>
  <c r="H9" i="54"/>
  <c r="H9" i="53"/>
  <c r="I9" i="53"/>
  <c r="G9" i="53"/>
  <c r="J24" i="52"/>
  <c r="J9" i="52"/>
  <c r="K9" i="52"/>
  <c r="I9" i="52"/>
  <c r="Q33" i="77"/>
  <c r="P33" i="77"/>
  <c r="O33" i="77"/>
  <c r="R10" i="77"/>
  <c r="R11" i="77"/>
  <c r="R13" i="77"/>
  <c r="R14" i="77"/>
  <c r="R16" i="77"/>
  <c r="R17" i="77"/>
  <c r="R18" i="77"/>
  <c r="R19" i="77"/>
  <c r="R21" i="77"/>
  <c r="R22" i="77"/>
  <c r="R32" i="77"/>
  <c r="D22" i="58"/>
  <c r="D23" i="58"/>
  <c r="D25" i="58"/>
  <c r="D20" i="58"/>
  <c r="B13" i="58"/>
  <c r="B14" i="58"/>
  <c r="B15" i="58"/>
  <c r="B16" i="58"/>
  <c r="B17" i="58"/>
  <c r="B18" i="58"/>
  <c r="B19" i="58"/>
  <c r="B20" i="58"/>
  <c r="B21" i="58"/>
  <c r="B22" i="58"/>
  <c r="B23" i="58"/>
  <c r="B24" i="58"/>
  <c r="B25" i="58"/>
  <c r="B26" i="58"/>
  <c r="B27" i="58"/>
  <c r="B28" i="58"/>
  <c r="C28" i="185"/>
  <c r="F28" i="185" s="1"/>
  <c r="K18" i="43"/>
  <c r="M18" i="43" s="1"/>
  <c r="K19" i="43"/>
  <c r="M19" i="43" s="1"/>
  <c r="K20" i="43"/>
  <c r="M20" i="43" s="1"/>
  <c r="K21" i="43"/>
  <c r="M21" i="43" s="1"/>
  <c r="K22" i="43"/>
  <c r="O22" i="43" s="1"/>
  <c r="K23" i="43"/>
  <c r="O23" i="43" s="1"/>
  <c r="K24" i="43"/>
  <c r="O24" i="43" s="1"/>
  <c r="K10" i="43"/>
  <c r="O10" i="43" s="1"/>
  <c r="K11" i="43"/>
  <c r="O11" i="43"/>
  <c r="K12" i="43"/>
  <c r="O12" i="43" s="1"/>
  <c r="K13" i="43"/>
  <c r="O13" i="43" s="1"/>
  <c r="K9" i="43"/>
  <c r="O9" i="43" s="1"/>
  <c r="K9" i="42"/>
  <c r="M9" i="42" s="1"/>
  <c r="K10" i="42"/>
  <c r="M10" i="42" s="1"/>
  <c r="K11" i="42"/>
  <c r="M11" i="42" s="1"/>
  <c r="K12" i="42"/>
  <c r="M12" i="42" s="1"/>
  <c r="K14" i="42"/>
  <c r="M14" i="42" s="1"/>
  <c r="K15" i="42"/>
  <c r="M15" i="42" s="1"/>
  <c r="K16" i="42"/>
  <c r="M16" i="42" s="1"/>
  <c r="K17" i="42"/>
  <c r="M17" i="42" s="1"/>
  <c r="K18" i="42"/>
  <c r="M18" i="42" s="1"/>
  <c r="K20" i="42"/>
  <c r="O20" i="42" s="1"/>
  <c r="K21" i="42"/>
  <c r="O21" i="42" s="1"/>
  <c r="K22" i="42"/>
  <c r="O22" i="42"/>
  <c r="K23" i="42"/>
  <c r="O23" i="42" s="1"/>
  <c r="K24" i="42"/>
  <c r="O24" i="42"/>
  <c r="K25" i="42"/>
  <c r="O25" i="42" s="1"/>
  <c r="K26" i="42"/>
  <c r="O26" i="42"/>
  <c r="K8" i="42"/>
  <c r="M8" i="42" s="1"/>
  <c r="M10" i="39"/>
  <c r="Q10" i="39" s="1"/>
  <c r="M11" i="39"/>
  <c r="Q11" i="39" s="1"/>
  <c r="M12" i="39"/>
  <c r="Q12" i="39" s="1"/>
  <c r="M13" i="39"/>
  <c r="Q13" i="39" s="1"/>
  <c r="M14" i="39"/>
  <c r="Q14" i="39" s="1"/>
  <c r="M10" i="38"/>
  <c r="R10" i="38" s="1"/>
  <c r="M11" i="38"/>
  <c r="R11" i="38" s="1"/>
  <c r="M12" i="38"/>
  <c r="R12" i="38" s="1"/>
  <c r="M13" i="38"/>
  <c r="R13" i="38" s="1"/>
  <c r="M14" i="38"/>
  <c r="R14" i="38" s="1"/>
  <c r="M15" i="38"/>
  <c r="R15" i="38"/>
  <c r="M16" i="38"/>
  <c r="R16" i="38" s="1"/>
  <c r="M17" i="38"/>
  <c r="R17" i="38" s="1"/>
  <c r="M18" i="38"/>
  <c r="R18" i="38" s="1"/>
  <c r="M14" i="37"/>
  <c r="R14" i="37"/>
  <c r="M15" i="37"/>
  <c r="R15" i="37" s="1"/>
  <c r="M16" i="37"/>
  <c r="R16" i="37" s="1"/>
  <c r="M17" i="37"/>
  <c r="R17" i="37" s="1"/>
  <c r="M18" i="37"/>
  <c r="R18" i="37" s="1"/>
  <c r="M19" i="37"/>
  <c r="R19" i="37" s="1"/>
  <c r="M20" i="37"/>
  <c r="R20" i="37" s="1"/>
  <c r="M21" i="37"/>
  <c r="R21" i="37" s="1"/>
  <c r="M22" i="37"/>
  <c r="R22" i="37" s="1"/>
  <c r="M23" i="37"/>
  <c r="R23" i="37" s="1"/>
  <c r="M24" i="37"/>
  <c r="R24" i="37" s="1"/>
  <c r="M25" i="37"/>
  <c r="R25" i="37" s="1"/>
  <c r="M9" i="36"/>
  <c r="O9" i="36" s="1"/>
  <c r="M10" i="36"/>
  <c r="O10" i="36" s="1"/>
  <c r="M11" i="36"/>
  <c r="O11" i="36"/>
  <c r="M12" i="36"/>
  <c r="O12" i="36" s="1"/>
  <c r="M8" i="36"/>
  <c r="O8" i="36"/>
  <c r="M7" i="36"/>
  <c r="O7" i="36" s="1"/>
  <c r="M15" i="36"/>
  <c r="O15" i="36" s="1"/>
  <c r="M16" i="36"/>
  <c r="O16" i="36" s="1"/>
  <c r="M17" i="36"/>
  <c r="O17" i="36" s="1"/>
  <c r="M18" i="36"/>
  <c r="O18" i="36" s="1"/>
  <c r="M19" i="36"/>
  <c r="O19" i="36" s="1"/>
  <c r="M20" i="36"/>
  <c r="O20" i="36" s="1"/>
  <c r="M21" i="36"/>
  <c r="O21" i="36" s="1"/>
  <c r="M22" i="36"/>
  <c r="O22" i="36" s="1"/>
  <c r="M23" i="36"/>
  <c r="O23" i="36" s="1"/>
  <c r="M24" i="36"/>
  <c r="O24" i="36" s="1"/>
  <c r="M25" i="36"/>
  <c r="O25" i="36"/>
  <c r="M9" i="35"/>
  <c r="O9" i="35" s="1"/>
  <c r="M10" i="35"/>
  <c r="O10" i="35" s="1"/>
  <c r="M11" i="35"/>
  <c r="O11" i="35" s="1"/>
  <c r="M12" i="35"/>
  <c r="O12" i="35" s="1"/>
  <c r="M13" i="35"/>
  <c r="O13" i="35" s="1"/>
  <c r="M14" i="35"/>
  <c r="O14" i="35" s="1"/>
  <c r="M15" i="35"/>
  <c r="O15" i="35" s="1"/>
  <c r="M16" i="35"/>
  <c r="O16" i="35" s="1"/>
  <c r="M17" i="35"/>
  <c r="O17" i="35" s="1"/>
  <c r="M18" i="35"/>
  <c r="O18" i="35" s="1"/>
  <c r="M19" i="35"/>
  <c r="O19" i="35" s="1"/>
  <c r="M20" i="35"/>
  <c r="O20" i="35"/>
  <c r="M21" i="35"/>
  <c r="O21" i="35" s="1"/>
  <c r="M22" i="35"/>
  <c r="O22" i="35" s="1"/>
  <c r="M23" i="35"/>
  <c r="O23" i="35" s="1"/>
  <c r="M24" i="35"/>
  <c r="O24" i="35" s="1"/>
  <c r="M25" i="35"/>
  <c r="O25" i="35" s="1"/>
  <c r="M26" i="35"/>
  <c r="O26" i="35" s="1"/>
  <c r="M10" i="34"/>
  <c r="M11" i="34"/>
  <c r="M12" i="34"/>
  <c r="N12" i="34" s="1"/>
  <c r="O12" i="34" s="1"/>
  <c r="M13" i="34"/>
  <c r="N13" i="34" s="1"/>
  <c r="O13" i="34" s="1"/>
  <c r="M14" i="34"/>
  <c r="M15" i="34"/>
  <c r="M16" i="34"/>
  <c r="M17" i="34"/>
  <c r="M18" i="34"/>
  <c r="N18" i="34" s="1"/>
  <c r="O18" i="34" s="1"/>
  <c r="M19" i="34"/>
  <c r="N19" i="34" s="1"/>
  <c r="O19" i="34" s="1"/>
  <c r="M20" i="34"/>
  <c r="M10" i="33"/>
  <c r="N10" i="33" s="1"/>
  <c r="O10" i="33" s="1"/>
  <c r="M11" i="33"/>
  <c r="M12" i="33"/>
  <c r="N12" i="33" s="1"/>
  <c r="O12" i="33" s="1"/>
  <c r="M13" i="33"/>
  <c r="N13" i="33" s="1"/>
  <c r="O13" i="33" s="1"/>
  <c r="M14" i="33"/>
  <c r="M15" i="33"/>
  <c r="N15" i="33" s="1"/>
  <c r="O15" i="33" s="1"/>
  <c r="M16" i="33"/>
  <c r="M17" i="33"/>
  <c r="M18" i="33"/>
  <c r="N18" i="33" s="1"/>
  <c r="M19" i="33"/>
  <c r="M20" i="33"/>
  <c r="N20" i="33" s="1"/>
  <c r="O20" i="33" s="1"/>
  <c r="M21" i="33"/>
  <c r="N21" i="33" s="1"/>
  <c r="O21" i="33" s="1"/>
  <c r="M22" i="33"/>
  <c r="M23" i="33"/>
  <c r="M24" i="33"/>
  <c r="N24" i="33"/>
  <c r="M8" i="33"/>
  <c r="N8" i="33" s="1"/>
  <c r="O8" i="33" s="1"/>
  <c r="M10" i="32"/>
  <c r="N10" i="32" s="1"/>
  <c r="M11" i="32"/>
  <c r="N11" i="32" s="1"/>
  <c r="O11" i="32" s="1"/>
  <c r="M12" i="32"/>
  <c r="N12" i="32" s="1"/>
  <c r="O12" i="32" s="1"/>
  <c r="M13" i="32"/>
  <c r="N13" i="32" s="1"/>
  <c r="O13" i="32" s="1"/>
  <c r="M14" i="32"/>
  <c r="N14" i="32"/>
  <c r="M15" i="32"/>
  <c r="N15" i="32" s="1"/>
  <c r="O15" i="32" s="1"/>
  <c r="M16" i="32"/>
  <c r="N16" i="32" s="1"/>
  <c r="M17" i="32"/>
  <c r="N17" i="32" s="1"/>
  <c r="M18" i="32"/>
  <c r="N18" i="32" s="1"/>
  <c r="O18" i="32" s="1"/>
  <c r="M19" i="32"/>
  <c r="N19" i="32" s="1"/>
  <c r="O19" i="32" s="1"/>
  <c r="M20" i="32"/>
  <c r="N20" i="32" s="1"/>
  <c r="O20" i="32" s="1"/>
  <c r="M21" i="32"/>
  <c r="N21" i="32" s="1"/>
  <c r="O21" i="32" s="1"/>
  <c r="M22" i="32"/>
  <c r="N22" i="32" s="1"/>
  <c r="O22" i="32" s="1"/>
  <c r="M23" i="32"/>
  <c r="N23" i="32" s="1"/>
  <c r="O23" i="32" s="1"/>
  <c r="M24" i="32"/>
  <c r="N24" i="32" s="1"/>
  <c r="O24" i="32" s="1"/>
  <c r="M8" i="32"/>
  <c r="O8" i="32" s="1"/>
  <c r="M9" i="31"/>
  <c r="O9" i="31" s="1"/>
  <c r="M10" i="31"/>
  <c r="O10" i="31" s="1"/>
  <c r="M11" i="31"/>
  <c r="O11" i="31" s="1"/>
  <c r="M12" i="31"/>
  <c r="O12" i="31" s="1"/>
  <c r="M13" i="31"/>
  <c r="O13" i="31" s="1"/>
  <c r="M14" i="31"/>
  <c r="O14" i="31" s="1"/>
  <c r="M15" i="31"/>
  <c r="O15" i="31" s="1"/>
  <c r="M16" i="31"/>
  <c r="O16" i="31" s="1"/>
  <c r="M17" i="31"/>
  <c r="O17" i="31" s="1"/>
  <c r="M18" i="31"/>
  <c r="O18" i="31" s="1"/>
  <c r="M19" i="31"/>
  <c r="O19" i="31"/>
  <c r="M20" i="31"/>
  <c r="O20" i="31" s="1"/>
  <c r="M21" i="31"/>
  <c r="O21" i="31" s="1"/>
  <c r="M22" i="31"/>
  <c r="O22" i="31" s="1"/>
  <c r="M23" i="31"/>
  <c r="O23" i="31" s="1"/>
  <c r="M24" i="31"/>
  <c r="O24" i="31" s="1"/>
  <c r="M25" i="31"/>
  <c r="O25" i="31" s="1"/>
  <c r="M8" i="31"/>
  <c r="O8" i="31" s="1"/>
  <c r="M15" i="30"/>
  <c r="O15" i="30"/>
  <c r="M16" i="30"/>
  <c r="O16" i="30" s="1"/>
  <c r="M17" i="30"/>
  <c r="O17" i="30" s="1"/>
  <c r="M18" i="30"/>
  <c r="O18" i="30" s="1"/>
  <c r="M19" i="30"/>
  <c r="O19" i="30" s="1"/>
  <c r="M20" i="30"/>
  <c r="O20" i="30" s="1"/>
  <c r="M21" i="30"/>
  <c r="O21" i="30"/>
  <c r="M22" i="30"/>
  <c r="O22" i="30" s="1"/>
  <c r="M23" i="30"/>
  <c r="O23" i="30"/>
  <c r="M24" i="30"/>
  <c r="O24" i="30" s="1"/>
  <c r="M25" i="30"/>
  <c r="O25" i="30" s="1"/>
  <c r="M8" i="30"/>
  <c r="O8" i="30" s="1"/>
  <c r="M9" i="30"/>
  <c r="O9" i="30" s="1"/>
  <c r="M10" i="30"/>
  <c r="O10" i="30" s="1"/>
  <c r="M11" i="30"/>
  <c r="O11" i="30" s="1"/>
  <c r="M10" i="29"/>
  <c r="O10" i="29" s="1"/>
  <c r="M11" i="29"/>
  <c r="O11" i="29" s="1"/>
  <c r="M12" i="29"/>
  <c r="O12" i="29" s="1"/>
  <c r="M13" i="29"/>
  <c r="O13" i="29" s="1"/>
  <c r="M14" i="29"/>
  <c r="O14" i="29" s="1"/>
  <c r="M15" i="29"/>
  <c r="O15" i="29" s="1"/>
  <c r="M16" i="29"/>
  <c r="O16" i="29" s="1"/>
  <c r="M17" i="29"/>
  <c r="O17" i="29" s="1"/>
  <c r="M18" i="29"/>
  <c r="O18" i="29" s="1"/>
  <c r="M19" i="29"/>
  <c r="O19" i="29"/>
  <c r="M20" i="29"/>
  <c r="O20" i="29" s="1"/>
  <c r="M21" i="29"/>
  <c r="O21" i="29" s="1"/>
  <c r="M22" i="29"/>
  <c r="O22" i="29" s="1"/>
  <c r="M23" i="29"/>
  <c r="O23" i="29" s="1"/>
  <c r="M24" i="29"/>
  <c r="O24" i="29" s="1"/>
  <c r="M25" i="29"/>
  <c r="O25" i="29" s="1"/>
  <c r="M9" i="29"/>
  <c r="O9" i="29" s="1"/>
  <c r="M9" i="28"/>
  <c r="O9" i="28" s="1"/>
  <c r="M10" i="28"/>
  <c r="O10" i="28" s="1"/>
  <c r="M11" i="28"/>
  <c r="O11" i="28" s="1"/>
  <c r="M12" i="28"/>
  <c r="O12" i="28" s="1"/>
  <c r="M13" i="28"/>
  <c r="O13" i="28" s="1"/>
  <c r="M14" i="28"/>
  <c r="O14" i="28" s="1"/>
  <c r="M15" i="28"/>
  <c r="O15" i="28"/>
  <c r="M16" i="28"/>
  <c r="O16" i="28" s="1"/>
  <c r="M17" i="28"/>
  <c r="O17" i="28" s="1"/>
  <c r="M18" i="28"/>
  <c r="O18" i="28" s="1"/>
  <c r="M19" i="28"/>
  <c r="O19" i="28" s="1"/>
  <c r="M20" i="28"/>
  <c r="O20" i="28" s="1"/>
  <c r="M21" i="28"/>
  <c r="O21" i="28" s="1"/>
  <c r="M22" i="28"/>
  <c r="O22" i="28" s="1"/>
  <c r="M23" i="28"/>
  <c r="O23" i="28" s="1"/>
  <c r="M24" i="28"/>
  <c r="O24" i="28" s="1"/>
  <c r="M8" i="28"/>
  <c r="O8" i="28" s="1"/>
  <c r="M7" i="28"/>
  <c r="O7" i="28" s="1"/>
  <c r="M9" i="27"/>
  <c r="O9" i="27" s="1"/>
  <c r="M10" i="27"/>
  <c r="O10" i="27" s="1"/>
  <c r="M11" i="27"/>
  <c r="O11" i="27" s="1"/>
  <c r="M12" i="27"/>
  <c r="O12" i="27" s="1"/>
  <c r="M13" i="27"/>
  <c r="O13" i="27" s="1"/>
  <c r="M14" i="27"/>
  <c r="O14" i="27" s="1"/>
  <c r="M15" i="27"/>
  <c r="O15" i="27" s="1"/>
  <c r="M16" i="27"/>
  <c r="O16" i="27" s="1"/>
  <c r="M17" i="27"/>
  <c r="O17" i="27" s="1"/>
  <c r="M18" i="27"/>
  <c r="O18" i="27" s="1"/>
  <c r="M19" i="27"/>
  <c r="O19" i="27" s="1"/>
  <c r="M20" i="27"/>
  <c r="O20" i="27" s="1"/>
  <c r="M21" i="27"/>
  <c r="O21" i="27" s="1"/>
  <c r="M22" i="27"/>
  <c r="O22" i="27" s="1"/>
  <c r="M23" i="27"/>
  <c r="O23" i="27"/>
  <c r="M24" i="27"/>
  <c r="O24" i="27" s="1"/>
  <c r="M26" i="27"/>
  <c r="O26" i="27" s="1"/>
  <c r="M19" i="26"/>
  <c r="O19" i="26" s="1"/>
  <c r="M10" i="25"/>
  <c r="Q10" i="25" s="1"/>
  <c r="M11" i="25"/>
  <c r="Q11" i="25" s="1"/>
  <c r="M12" i="25"/>
  <c r="Q12" i="25" s="1"/>
  <c r="M13" i="25"/>
  <c r="Q13" i="25" s="1"/>
  <c r="M14" i="25"/>
  <c r="Q14" i="25" s="1"/>
  <c r="M15" i="25"/>
  <c r="Q15" i="25" s="1"/>
  <c r="M16" i="25"/>
  <c r="Q16" i="25" s="1"/>
  <c r="M17" i="25"/>
  <c r="Q17" i="25" s="1"/>
  <c r="M18" i="25"/>
  <c r="Q18" i="25" s="1"/>
  <c r="M19" i="25"/>
  <c r="Q19" i="25" s="1"/>
  <c r="M20" i="25"/>
  <c r="Q20" i="25" s="1"/>
  <c r="M21" i="25"/>
  <c r="Q21" i="25" s="1"/>
  <c r="M22" i="25"/>
  <c r="Q22" i="25" s="1"/>
  <c r="M23" i="25"/>
  <c r="Q23" i="25" s="1"/>
  <c r="M24" i="25"/>
  <c r="Q24" i="25" s="1"/>
  <c r="M25" i="25"/>
  <c r="Q25" i="25" s="1"/>
  <c r="M26" i="25"/>
  <c r="Q26" i="25" s="1"/>
  <c r="M13" i="24"/>
  <c r="O13" i="24" s="1"/>
  <c r="M14" i="24"/>
  <c r="O14" i="24" s="1"/>
  <c r="M15" i="24"/>
  <c r="O15" i="24" s="1"/>
  <c r="M16" i="24"/>
  <c r="O16" i="24" s="1"/>
  <c r="M17" i="24"/>
  <c r="O17" i="24" s="1"/>
  <c r="M18" i="24"/>
  <c r="O18" i="24" s="1"/>
  <c r="M19" i="24"/>
  <c r="O19" i="24" s="1"/>
  <c r="M20" i="24"/>
  <c r="O20" i="24" s="1"/>
  <c r="M10" i="24"/>
  <c r="O10" i="24" s="1"/>
  <c r="M8" i="24"/>
  <c r="O8" i="24" s="1"/>
  <c r="M14" i="23"/>
  <c r="O14" i="23" s="1"/>
  <c r="M15" i="23"/>
  <c r="O15" i="23" s="1"/>
  <c r="M16" i="23"/>
  <c r="O16" i="23"/>
  <c r="M17" i="23"/>
  <c r="O17" i="23" s="1"/>
  <c r="M18" i="23"/>
  <c r="O18" i="23" s="1"/>
  <c r="M19" i="23"/>
  <c r="O19" i="23" s="1"/>
  <c r="M20" i="23"/>
  <c r="O20" i="23" s="1"/>
  <c r="M21" i="23"/>
  <c r="O21" i="23" s="1"/>
  <c r="M22" i="23"/>
  <c r="O22" i="23" s="1"/>
  <c r="M23" i="23"/>
  <c r="O23" i="23" s="1"/>
  <c r="M24" i="23"/>
  <c r="O24" i="23" s="1"/>
  <c r="M25" i="23"/>
  <c r="O25" i="23" s="1"/>
  <c r="M26" i="23"/>
  <c r="O26" i="23" s="1"/>
  <c r="M9" i="12"/>
  <c r="O9" i="12" s="1"/>
  <c r="M10" i="12"/>
  <c r="O10" i="12" s="1"/>
  <c r="M11" i="12"/>
  <c r="O11" i="12" s="1"/>
  <c r="M12" i="12"/>
  <c r="O12" i="12"/>
  <c r="M13" i="12"/>
  <c r="O13" i="12" s="1"/>
  <c r="M14" i="12"/>
  <c r="O14" i="12" s="1"/>
  <c r="M15" i="12"/>
  <c r="O15" i="12" s="1"/>
  <c r="M16" i="12"/>
  <c r="O16" i="12" s="1"/>
  <c r="M17" i="12"/>
  <c r="O17" i="12" s="1"/>
  <c r="M18" i="12"/>
  <c r="O18" i="12"/>
  <c r="M19" i="12"/>
  <c r="O19" i="12" s="1"/>
  <c r="M20" i="12"/>
  <c r="O20" i="12" s="1"/>
  <c r="M21" i="12"/>
  <c r="O21" i="12" s="1"/>
  <c r="M22" i="12"/>
  <c r="O22" i="12"/>
  <c r="M23" i="12"/>
  <c r="O23" i="12" s="1"/>
  <c r="M24" i="12"/>
  <c r="O24" i="12" s="1"/>
  <c r="M25" i="12"/>
  <c r="O25" i="12" s="1"/>
  <c r="M26" i="12"/>
  <c r="O26" i="12" s="1"/>
  <c r="M8" i="12"/>
  <c r="O8" i="12" s="1"/>
  <c r="M7" i="12"/>
  <c r="O7" i="12" s="1"/>
  <c r="M9" i="11"/>
  <c r="O9" i="11" s="1"/>
  <c r="M10" i="11"/>
  <c r="O10" i="11" s="1"/>
  <c r="M11" i="11"/>
  <c r="O11" i="11" s="1"/>
  <c r="M12" i="11"/>
  <c r="O12" i="11"/>
  <c r="M13" i="11"/>
  <c r="O13" i="11" s="1"/>
  <c r="M14" i="11"/>
  <c r="O14" i="11" s="1"/>
  <c r="M15" i="11"/>
  <c r="O15" i="11" s="1"/>
  <c r="M16" i="11"/>
  <c r="O16" i="11" s="1"/>
  <c r="M17" i="11"/>
  <c r="O17" i="11" s="1"/>
  <c r="M18" i="11"/>
  <c r="O18" i="11" s="1"/>
  <c r="M19" i="11"/>
  <c r="O19" i="11" s="1"/>
  <c r="M20" i="11"/>
  <c r="O20" i="11"/>
  <c r="M21" i="11"/>
  <c r="O21" i="11" s="1"/>
  <c r="M22" i="11"/>
  <c r="O22" i="11" s="1"/>
  <c r="M23" i="11"/>
  <c r="O23" i="11" s="1"/>
  <c r="M24" i="11"/>
  <c r="O24" i="11" s="1"/>
  <c r="M25" i="11"/>
  <c r="O25" i="11" s="1"/>
  <c r="M26" i="11"/>
  <c r="O26" i="11" s="1"/>
  <c r="M8" i="11"/>
  <c r="O8" i="11" s="1"/>
  <c r="M7" i="11"/>
  <c r="O7" i="11"/>
  <c r="M10" i="10"/>
  <c r="O10" i="10" s="1"/>
  <c r="M11" i="10"/>
  <c r="O11" i="10" s="1"/>
  <c r="M12" i="10"/>
  <c r="O12" i="10" s="1"/>
  <c r="M13" i="10"/>
  <c r="O13" i="10" s="1"/>
  <c r="M14" i="10"/>
  <c r="O14" i="10" s="1"/>
  <c r="M15" i="10"/>
  <c r="O15" i="10" s="1"/>
  <c r="M16" i="10"/>
  <c r="O16" i="10" s="1"/>
  <c r="M17" i="10"/>
  <c r="O17" i="10" s="1"/>
  <c r="M18" i="10"/>
  <c r="O18" i="10" s="1"/>
  <c r="M19" i="10"/>
  <c r="O19" i="10" s="1"/>
  <c r="M20" i="10"/>
  <c r="O20" i="10" s="1"/>
  <c r="M21" i="10"/>
  <c r="O21" i="10" s="1"/>
  <c r="M22" i="10"/>
  <c r="O22" i="10" s="1"/>
  <c r="M23" i="10"/>
  <c r="O23" i="10" s="1"/>
  <c r="M24" i="10"/>
  <c r="O24" i="10" s="1"/>
  <c r="M25" i="10"/>
  <c r="O25" i="10"/>
  <c r="M26" i="10"/>
  <c r="O26" i="10" s="1"/>
  <c r="M7" i="10"/>
  <c r="O7" i="10" s="1"/>
  <c r="M8" i="10"/>
  <c r="O8" i="10" s="1"/>
  <c r="M10" i="9"/>
  <c r="O10" i="9" s="1"/>
  <c r="M11" i="9"/>
  <c r="O11" i="9" s="1"/>
  <c r="M12" i="9"/>
  <c r="O12" i="9" s="1"/>
  <c r="M13" i="9"/>
  <c r="O13" i="9" s="1"/>
  <c r="M14" i="9"/>
  <c r="O14" i="9"/>
  <c r="M15" i="9"/>
  <c r="O15" i="9" s="1"/>
  <c r="M16" i="9"/>
  <c r="O16" i="9" s="1"/>
  <c r="M17" i="9"/>
  <c r="O17" i="9" s="1"/>
  <c r="M18" i="9"/>
  <c r="O18" i="9" s="1"/>
  <c r="M19" i="9"/>
  <c r="O19" i="9" s="1"/>
  <c r="M20" i="9"/>
  <c r="O20" i="9" s="1"/>
  <c r="M21" i="9"/>
  <c r="O21" i="9" s="1"/>
  <c r="M22" i="9"/>
  <c r="O22" i="9"/>
  <c r="M23" i="9"/>
  <c r="O23" i="9" s="1"/>
  <c r="M24" i="9"/>
  <c r="O24" i="9" s="1"/>
  <c r="M25" i="9"/>
  <c r="O25" i="9" s="1"/>
  <c r="M26" i="9"/>
  <c r="O26" i="9" s="1"/>
  <c r="M7" i="9"/>
  <c r="O7" i="9" s="1"/>
  <c r="M8" i="9"/>
  <c r="O8" i="9" s="1"/>
  <c r="M10" i="8"/>
  <c r="O10" i="8" s="1"/>
  <c r="M11" i="8"/>
  <c r="O11" i="8" s="1"/>
  <c r="M12" i="8"/>
  <c r="O12" i="8" s="1"/>
  <c r="M13" i="8"/>
  <c r="O13" i="8" s="1"/>
  <c r="M14" i="8"/>
  <c r="O14" i="8" s="1"/>
  <c r="M15" i="8"/>
  <c r="O15" i="8" s="1"/>
  <c r="M16" i="8"/>
  <c r="O16" i="8" s="1"/>
  <c r="M17" i="8"/>
  <c r="O17" i="8" s="1"/>
  <c r="M18" i="8"/>
  <c r="O18" i="8" s="1"/>
  <c r="M19" i="8"/>
  <c r="O19" i="8" s="1"/>
  <c r="M20" i="8"/>
  <c r="O20" i="8" s="1"/>
  <c r="M21" i="8"/>
  <c r="O21" i="8"/>
  <c r="M22" i="8"/>
  <c r="O22" i="8" s="1"/>
  <c r="M23" i="8"/>
  <c r="O23" i="8" s="1"/>
  <c r="M24" i="8"/>
  <c r="O24" i="8" s="1"/>
  <c r="M25" i="8"/>
  <c r="O25" i="8" s="1"/>
  <c r="M26" i="8"/>
  <c r="O26" i="8" s="1"/>
  <c r="M7" i="8"/>
  <c r="O7" i="8" s="1"/>
  <c r="M8" i="8"/>
  <c r="O8" i="8" s="1"/>
  <c r="M10" i="7"/>
  <c r="O10" i="7" s="1"/>
  <c r="M11" i="7"/>
  <c r="O11" i="7" s="1"/>
  <c r="M12" i="7"/>
  <c r="O12" i="7" s="1"/>
  <c r="M13" i="7"/>
  <c r="O13" i="7" s="1"/>
  <c r="M14" i="7"/>
  <c r="O14" i="7"/>
  <c r="M15" i="7"/>
  <c r="O15" i="7" s="1"/>
  <c r="M16" i="7"/>
  <c r="O16" i="7" s="1"/>
  <c r="M17" i="7"/>
  <c r="O17" i="7" s="1"/>
  <c r="M18" i="7"/>
  <c r="O18" i="7" s="1"/>
  <c r="M19" i="7"/>
  <c r="O19" i="7" s="1"/>
  <c r="M20" i="7"/>
  <c r="O20" i="7" s="1"/>
  <c r="M21" i="7"/>
  <c r="O21" i="7" s="1"/>
  <c r="M22" i="7"/>
  <c r="O22" i="7" s="1"/>
  <c r="M23" i="7"/>
  <c r="O23" i="7" s="1"/>
  <c r="M24" i="7"/>
  <c r="O24" i="7" s="1"/>
  <c r="M25" i="7"/>
  <c r="O25" i="7" s="1"/>
  <c r="M26" i="7"/>
  <c r="O26" i="7" s="1"/>
  <c r="M7" i="7"/>
  <c r="O7" i="7" s="1"/>
  <c r="M8" i="7"/>
  <c r="O8" i="7" s="1"/>
  <c r="M10" i="75"/>
  <c r="O10" i="75" s="1"/>
  <c r="M11" i="75"/>
  <c r="O11" i="75"/>
  <c r="M12" i="75"/>
  <c r="O12" i="75" s="1"/>
  <c r="M13" i="75"/>
  <c r="O13" i="75" s="1"/>
  <c r="M14" i="75"/>
  <c r="O14" i="75" s="1"/>
  <c r="M15" i="75"/>
  <c r="O15" i="75" s="1"/>
  <c r="M16" i="75"/>
  <c r="O16" i="75" s="1"/>
  <c r="M17" i="75"/>
  <c r="O17" i="75" s="1"/>
  <c r="M18" i="75"/>
  <c r="O18" i="75" s="1"/>
  <c r="M19" i="75"/>
  <c r="O19" i="75"/>
  <c r="M20" i="75"/>
  <c r="O20" i="75" s="1"/>
  <c r="M21" i="75"/>
  <c r="O21" i="75" s="1"/>
  <c r="M22" i="75"/>
  <c r="O22" i="75" s="1"/>
  <c r="M23" i="75"/>
  <c r="O23" i="75" s="1"/>
  <c r="M24" i="75"/>
  <c r="O24" i="75" s="1"/>
  <c r="M25" i="75"/>
  <c r="O25" i="75" s="1"/>
  <c r="M26" i="75"/>
  <c r="O26" i="75" s="1"/>
  <c r="M7" i="75"/>
  <c r="O7" i="75"/>
  <c r="M8" i="75"/>
  <c r="O8" i="75" s="1"/>
  <c r="M10" i="5"/>
  <c r="O10" i="5" s="1"/>
  <c r="M11" i="5"/>
  <c r="O11" i="5" s="1"/>
  <c r="M12" i="5"/>
  <c r="O12" i="5" s="1"/>
  <c r="M13" i="5"/>
  <c r="O13" i="5" s="1"/>
  <c r="M14" i="5"/>
  <c r="O14" i="5" s="1"/>
  <c r="M15" i="5"/>
  <c r="O15" i="5" s="1"/>
  <c r="M16" i="5"/>
  <c r="O16" i="5" s="1"/>
  <c r="M17" i="5"/>
  <c r="O17" i="5" s="1"/>
  <c r="M18" i="5"/>
  <c r="M19" i="5"/>
  <c r="O19" i="5" s="1"/>
  <c r="M20" i="5"/>
  <c r="O20" i="5" s="1"/>
  <c r="M21" i="5"/>
  <c r="O21" i="5" s="1"/>
  <c r="M22" i="5"/>
  <c r="O22" i="5" s="1"/>
  <c r="M23" i="5"/>
  <c r="O23" i="5" s="1"/>
  <c r="M24" i="5"/>
  <c r="O24" i="5" s="1"/>
  <c r="M25" i="5"/>
  <c r="O25" i="5" s="1"/>
  <c r="M26" i="5"/>
  <c r="O26" i="5" s="1"/>
  <c r="M7" i="5"/>
  <c r="O7" i="5" s="1"/>
  <c r="M8" i="5"/>
  <c r="O8" i="5" s="1"/>
  <c r="M10" i="4"/>
  <c r="O10" i="4"/>
  <c r="M11" i="4"/>
  <c r="O11" i="4" s="1"/>
  <c r="M12" i="4"/>
  <c r="O12" i="4" s="1"/>
  <c r="M13" i="4"/>
  <c r="O13" i="4" s="1"/>
  <c r="M14" i="4"/>
  <c r="O14" i="4" s="1"/>
  <c r="M15" i="4"/>
  <c r="O15" i="4" s="1"/>
  <c r="M16" i="4"/>
  <c r="O16" i="4" s="1"/>
  <c r="M17" i="4"/>
  <c r="O17" i="4" s="1"/>
  <c r="M18" i="4"/>
  <c r="O18" i="4"/>
  <c r="M19" i="4"/>
  <c r="O19" i="4" s="1"/>
  <c r="M20" i="4"/>
  <c r="O20" i="4" s="1"/>
  <c r="M21" i="4"/>
  <c r="O21" i="4" s="1"/>
  <c r="M22" i="4"/>
  <c r="O22" i="4" s="1"/>
  <c r="M23" i="4"/>
  <c r="O23" i="4" s="1"/>
  <c r="M24" i="4"/>
  <c r="O24" i="4" s="1"/>
  <c r="M25" i="4"/>
  <c r="O25" i="4" s="1"/>
  <c r="M26" i="4"/>
  <c r="O26" i="4" s="1"/>
  <c r="M7" i="4"/>
  <c r="O7" i="4" s="1"/>
  <c r="M8" i="4"/>
  <c r="O8" i="4" s="1"/>
  <c r="M10" i="1"/>
  <c r="O10" i="1" s="1"/>
  <c r="M11" i="1"/>
  <c r="O11" i="1" s="1"/>
  <c r="M12" i="1"/>
  <c r="O12" i="1" s="1"/>
  <c r="M13" i="1"/>
  <c r="O13" i="1" s="1"/>
  <c r="M14" i="1"/>
  <c r="O14" i="1" s="1"/>
  <c r="M15" i="1"/>
  <c r="O15" i="1" s="1"/>
  <c r="M16" i="1"/>
  <c r="O16" i="1" s="1"/>
  <c r="M17" i="1"/>
  <c r="O17" i="1" s="1"/>
  <c r="M18" i="1"/>
  <c r="O18" i="1" s="1"/>
  <c r="M19" i="1"/>
  <c r="O19" i="1"/>
  <c r="M20" i="1"/>
  <c r="O20" i="1" s="1"/>
  <c r="M21" i="1"/>
  <c r="O21" i="1" s="1"/>
  <c r="M22" i="1"/>
  <c r="O22" i="1" s="1"/>
  <c r="M23" i="1"/>
  <c r="O23" i="1" s="1"/>
  <c r="M24" i="1"/>
  <c r="O24" i="1" s="1"/>
  <c r="M25" i="1"/>
  <c r="O25" i="1" s="1"/>
  <c r="M26" i="1"/>
  <c r="O26" i="1" s="1"/>
  <c r="K24" i="19"/>
  <c r="K23" i="19"/>
  <c r="K22" i="19"/>
  <c r="K21" i="19"/>
  <c r="K20" i="19"/>
  <c r="K19" i="19"/>
  <c r="K18" i="19"/>
  <c r="K17" i="19"/>
  <c r="K8" i="19"/>
  <c r="K26" i="18"/>
  <c r="K22" i="18"/>
  <c r="K17" i="18"/>
  <c r="K16" i="18"/>
  <c r="K15" i="18"/>
  <c r="K14" i="18"/>
  <c r="K8" i="18"/>
  <c r="M17" i="26"/>
  <c r="O17" i="26" s="1"/>
  <c r="M13" i="26"/>
  <c r="O13" i="26" s="1"/>
  <c r="M10" i="26"/>
  <c r="O10" i="26" s="1"/>
  <c r="M9" i="24"/>
  <c r="O9" i="24" s="1"/>
  <c r="M12" i="23"/>
  <c r="O12" i="23"/>
  <c r="K21" i="18"/>
  <c r="A3" i="97"/>
  <c r="A4" i="97" s="1"/>
  <c r="E5" i="97"/>
  <c r="E4" i="97"/>
  <c r="E42" i="69"/>
  <c r="F9" i="57"/>
  <c r="B16" i="54"/>
  <c r="B15" i="54"/>
  <c r="I5" i="43"/>
  <c r="H5" i="43"/>
  <c r="K4" i="43"/>
  <c r="J4" i="43"/>
  <c r="L3" i="43"/>
  <c r="I5" i="42"/>
  <c r="H5" i="42"/>
  <c r="K4" i="42"/>
  <c r="J4" i="42"/>
  <c r="L3" i="42"/>
  <c r="K5" i="40"/>
  <c r="J5" i="40"/>
  <c r="M4" i="40"/>
  <c r="L4" i="40"/>
  <c r="N3" i="40"/>
  <c r="K5" i="39"/>
  <c r="J5" i="39"/>
  <c r="M4" i="39"/>
  <c r="L4" i="39"/>
  <c r="N3" i="39"/>
  <c r="K5" i="38"/>
  <c r="M4" i="38"/>
  <c r="L4" i="38"/>
  <c r="N3" i="38"/>
  <c r="K5" i="37"/>
  <c r="J5" i="37"/>
  <c r="M4" i="37"/>
  <c r="L4" i="37"/>
  <c r="N3" i="37"/>
  <c r="K5" i="36"/>
  <c r="M4" i="36"/>
  <c r="L4" i="36"/>
  <c r="N3" i="36"/>
  <c r="K5" i="35"/>
  <c r="J5" i="35"/>
  <c r="M4" i="35"/>
  <c r="L4" i="35"/>
  <c r="N3" i="35"/>
  <c r="K5" i="34"/>
  <c r="J5" i="34"/>
  <c r="M4" i="34"/>
  <c r="L4" i="34"/>
  <c r="N3" i="34"/>
  <c r="K5" i="33"/>
  <c r="J5" i="33"/>
  <c r="M4" i="33"/>
  <c r="L4" i="33"/>
  <c r="N3" i="33"/>
  <c r="K5" i="32"/>
  <c r="J5" i="32"/>
  <c r="M4" i="32"/>
  <c r="L4" i="32"/>
  <c r="N3" i="32"/>
  <c r="K5" i="31"/>
  <c r="J5" i="31"/>
  <c r="M4" i="31"/>
  <c r="L4" i="31"/>
  <c r="N3" i="31"/>
  <c r="K5" i="30"/>
  <c r="J5" i="30"/>
  <c r="M4" i="30"/>
  <c r="L4" i="30"/>
  <c r="N3" i="30"/>
  <c r="K5" i="29"/>
  <c r="J5" i="29"/>
  <c r="M4" i="29"/>
  <c r="L4" i="29"/>
  <c r="N3" i="29"/>
  <c r="K5" i="28"/>
  <c r="J5" i="28"/>
  <c r="M4" i="28"/>
  <c r="L4" i="28"/>
  <c r="N3" i="28"/>
  <c r="K5" i="27"/>
  <c r="J5" i="27"/>
  <c r="M4" i="27"/>
  <c r="L4" i="27"/>
  <c r="N3" i="27"/>
  <c r="K5" i="26"/>
  <c r="J5" i="26"/>
  <c r="M4" i="26"/>
  <c r="L4" i="26"/>
  <c r="N3" i="26"/>
  <c r="K5" i="25"/>
  <c r="J5" i="25"/>
  <c r="M4" i="25"/>
  <c r="L4" i="25"/>
  <c r="N3" i="25"/>
  <c r="K5" i="24"/>
  <c r="J5" i="24"/>
  <c r="M4" i="24"/>
  <c r="L4" i="24"/>
  <c r="N3" i="24"/>
  <c r="K5" i="23"/>
  <c r="J5" i="23"/>
  <c r="M4" i="23"/>
  <c r="L4" i="23"/>
  <c r="N3" i="23"/>
  <c r="K5" i="12"/>
  <c r="J5" i="12"/>
  <c r="M4" i="12"/>
  <c r="L4" i="12"/>
  <c r="N3" i="12"/>
  <c r="K5" i="11"/>
  <c r="J5" i="11"/>
  <c r="M4" i="11"/>
  <c r="L4" i="11"/>
  <c r="N3" i="11"/>
  <c r="K5" i="10"/>
  <c r="J5" i="10"/>
  <c r="M4" i="10"/>
  <c r="L4" i="10"/>
  <c r="N3" i="10"/>
  <c r="K5" i="9"/>
  <c r="J5" i="9"/>
  <c r="M4" i="9"/>
  <c r="L4" i="9"/>
  <c r="N3" i="9"/>
  <c r="K5" i="8"/>
  <c r="J5" i="8"/>
  <c r="M4" i="8"/>
  <c r="L4" i="8"/>
  <c r="N3" i="8"/>
  <c r="K5" i="7"/>
  <c r="J5" i="7"/>
  <c r="M4" i="7"/>
  <c r="L4" i="7"/>
  <c r="N3" i="7"/>
  <c r="K5" i="75"/>
  <c r="J5" i="75"/>
  <c r="M4" i="75"/>
  <c r="L4" i="75"/>
  <c r="N3" i="75"/>
  <c r="K5" i="5"/>
  <c r="J5" i="5"/>
  <c r="M4" i="5"/>
  <c r="L4" i="5"/>
  <c r="N3" i="5"/>
  <c r="K5" i="4"/>
  <c r="J5" i="4"/>
  <c r="M4" i="4"/>
  <c r="L4" i="4"/>
  <c r="N3" i="4"/>
  <c r="M4" i="1"/>
  <c r="L4" i="1"/>
  <c r="N3" i="1"/>
  <c r="K5" i="1"/>
  <c r="J5" i="1"/>
  <c r="G24" i="61"/>
  <c r="E25" i="61"/>
  <c r="L27" i="61"/>
  <c r="B2" i="60"/>
  <c r="F9" i="58"/>
  <c r="G9" i="58" s="1"/>
  <c r="H9" i="58" s="1"/>
  <c r="I9" i="58" s="1"/>
  <c r="J9" i="58" s="1"/>
  <c r="K9" i="58" s="1"/>
  <c r="F7" i="57"/>
  <c r="B3" i="57"/>
  <c r="M6" i="54"/>
  <c r="L6" i="54"/>
  <c r="J26" i="54"/>
  <c r="J25" i="54"/>
  <c r="B5" i="54"/>
  <c r="J24" i="54"/>
  <c r="G11" i="53"/>
  <c r="H11" i="53" s="1"/>
  <c r="G5" i="53"/>
  <c r="H5" i="53" s="1"/>
  <c r="I10" i="53" s="1"/>
  <c r="I20" i="52"/>
  <c r="I24" i="52" s="1"/>
  <c r="I5" i="52"/>
  <c r="I11" i="52" s="1"/>
  <c r="J11" i="52" s="1"/>
  <c r="J4" i="41"/>
  <c r="K4" i="41" s="1"/>
  <c r="L4" i="41" s="1"/>
  <c r="I4" i="22"/>
  <c r="J4" i="22" s="1"/>
  <c r="K4" i="22" s="1"/>
  <c r="I4" i="21"/>
  <c r="J4" i="21" s="1"/>
  <c r="K4" i="21" s="1"/>
  <c r="I4" i="20"/>
  <c r="J4" i="20" s="1"/>
  <c r="K4" i="20" s="1"/>
  <c r="I4" i="19"/>
  <c r="J4" i="19" s="1"/>
  <c r="K4" i="19" s="1"/>
  <c r="I4" i="18"/>
  <c r="J4" i="18" s="1"/>
  <c r="K4" i="18" s="1"/>
  <c r="I4" i="17"/>
  <c r="J4" i="17" s="1"/>
  <c r="K4" i="17" s="1"/>
  <c r="I4" i="16"/>
  <c r="J4" i="16" s="1"/>
  <c r="K4" i="16" s="1"/>
  <c r="I4" i="14"/>
  <c r="J4" i="14" s="1"/>
  <c r="K4" i="14" s="1"/>
  <c r="I4" i="15"/>
  <c r="J4" i="15" s="1"/>
  <c r="K4" i="15" s="1"/>
  <c r="I4" i="13"/>
  <c r="J4" i="13" s="1"/>
  <c r="K4" i="13" s="1"/>
  <c r="I4" i="2"/>
  <c r="J4" i="2" s="1"/>
  <c r="K4" i="2" s="1"/>
  <c r="E26" i="95"/>
  <c r="E19" i="95"/>
  <c r="E12" i="95"/>
  <c r="C15" i="95"/>
  <c r="C22" i="95"/>
  <c r="C29" i="95"/>
  <c r="C27" i="92"/>
  <c r="C13" i="92"/>
  <c r="C8" i="71"/>
  <c r="I6" i="77"/>
  <c r="O6" i="77" s="1"/>
  <c r="B4" i="65"/>
  <c r="R5" i="66"/>
  <c r="O15" i="66"/>
  <c r="O14" i="66"/>
  <c r="O14" i="67"/>
  <c r="D8" i="67"/>
  <c r="T6" i="67"/>
  <c r="S33" i="67"/>
  <c r="Q31" i="67"/>
  <c r="I12" i="67"/>
  <c r="I11" i="69"/>
  <c r="S5" i="69"/>
  <c r="B2" i="69"/>
  <c r="E3" i="63"/>
  <c r="B2" i="63"/>
  <c r="E11" i="48"/>
  <c r="H11" i="48" s="1"/>
  <c r="G76" i="51"/>
  <c r="G55" i="51"/>
  <c r="G34" i="51"/>
  <c r="D186" i="51"/>
  <c r="L10" i="51"/>
  <c r="N10" i="51" s="1"/>
  <c r="H4" i="51"/>
  <c r="D1" i="51"/>
  <c r="K49" i="85"/>
  <c r="L49" i="85" s="1"/>
  <c r="M49" i="85" s="1"/>
  <c r="N49" i="85" s="1"/>
  <c r="O49" i="85" s="1"/>
  <c r="B48" i="85"/>
  <c r="L5" i="85"/>
  <c r="M5" i="85" s="1"/>
  <c r="N5" i="85" s="1"/>
  <c r="O5" i="85" s="1"/>
  <c r="B3" i="85"/>
  <c r="I42" i="92"/>
  <c r="J30" i="23"/>
  <c r="C17" i="185"/>
  <c r="D26" i="58"/>
  <c r="L19" i="54"/>
  <c r="L21" i="54" s="1"/>
  <c r="N14" i="33"/>
  <c r="O14" i="33" s="1"/>
  <c r="K16" i="19"/>
  <c r="K15" i="19"/>
  <c r="K13" i="19"/>
  <c r="H19" i="85"/>
  <c r="M12" i="24"/>
  <c r="O12" i="24" s="1"/>
  <c r="M13" i="23"/>
  <c r="O13" i="23" s="1"/>
  <c r="K34" i="5"/>
  <c r="M51" i="85"/>
  <c r="N51" i="85" s="1"/>
  <c r="O51" i="85" s="1"/>
  <c r="K18" i="18"/>
  <c r="K14" i="19"/>
  <c r="K12" i="19"/>
  <c r="K19" i="18"/>
  <c r="N17" i="33"/>
  <c r="O17" i="33" s="1"/>
  <c r="J20" i="95"/>
  <c r="J13" i="95"/>
  <c r="K23" i="18"/>
  <c r="H59" i="85"/>
  <c r="K59" i="85" s="1"/>
  <c r="L59" i="85" s="1"/>
  <c r="M59" i="85" s="1"/>
  <c r="N59" i="85" s="1"/>
  <c r="O59" i="85" s="1"/>
  <c r="M7" i="35"/>
  <c r="O7" i="35" s="1"/>
  <c r="J31" i="30"/>
  <c r="M9" i="8"/>
  <c r="O9" i="8" s="1"/>
  <c r="M9" i="1"/>
  <c r="O9" i="1" s="1"/>
  <c r="L52" i="85"/>
  <c r="M52" i="85" s="1"/>
  <c r="N52" i="85" s="1"/>
  <c r="O52" i="85" s="1"/>
  <c r="H55" i="85"/>
  <c r="I43" i="92"/>
  <c r="M13" i="37"/>
  <c r="R13" i="37" s="1"/>
  <c r="M9" i="33"/>
  <c r="K25" i="18"/>
  <c r="K24" i="18"/>
  <c r="K13" i="18"/>
  <c r="K9" i="19"/>
  <c r="L91" i="51"/>
  <c r="N91" i="51"/>
  <c r="K10" i="19"/>
  <c r="K20" i="18"/>
  <c r="K12" i="18"/>
  <c r="K11" i="18"/>
  <c r="K10" i="18"/>
  <c r="J30" i="9"/>
  <c r="L82" i="51"/>
  <c r="M9" i="4"/>
  <c r="O9" i="4" s="1"/>
  <c r="J33" i="87"/>
  <c r="F17" i="54"/>
  <c r="N70" i="51"/>
  <c r="M20" i="38"/>
  <c r="R20" i="38" s="1"/>
  <c r="M11" i="26"/>
  <c r="O11" i="26" s="1"/>
  <c r="M14" i="26"/>
  <c r="O14" i="26" s="1"/>
  <c r="M9" i="75"/>
  <c r="O9" i="75" s="1"/>
  <c r="L70" i="51"/>
  <c r="H17" i="85"/>
  <c r="K17" i="85" s="1"/>
  <c r="L17" i="85" s="1"/>
  <c r="M17" i="85" s="1"/>
  <c r="N17" i="85" s="1"/>
  <c r="O17" i="85" s="1"/>
  <c r="H28" i="85"/>
  <c r="H39" i="48"/>
  <c r="I19" i="48"/>
  <c r="I36" i="48" s="1"/>
  <c r="Q35" i="48" s="1"/>
  <c r="M12" i="26"/>
  <c r="O12" i="26" s="1"/>
  <c r="N49" i="51"/>
  <c r="N40" i="51"/>
  <c r="I28" i="14"/>
  <c r="I13" i="22" s="1"/>
  <c r="I9" i="22"/>
  <c r="D24" i="203" s="1"/>
  <c r="D87" i="205" s="1"/>
  <c r="E33" i="49"/>
  <c r="E19" i="48"/>
  <c r="J19" i="40"/>
  <c r="P14" i="61" s="1"/>
  <c r="J20" i="40"/>
  <c r="P16" i="61" s="1"/>
  <c r="J22" i="40"/>
  <c r="P15" i="61" s="1"/>
  <c r="G10" i="85"/>
  <c r="K10" i="85" s="1"/>
  <c r="L10" i="85" s="1"/>
  <c r="M10" i="85" s="1"/>
  <c r="N10" i="85" s="1"/>
  <c r="O10" i="85" s="1"/>
  <c r="K10" i="40"/>
  <c r="K19" i="40"/>
  <c r="K20" i="40"/>
  <c r="K22" i="40"/>
  <c r="I10" i="71"/>
  <c r="M18" i="26"/>
  <c r="O18" i="26" s="1"/>
  <c r="M9" i="9"/>
  <c r="O9" i="9" s="1"/>
  <c r="Q37" i="47"/>
  <c r="S35" i="47"/>
  <c r="M7" i="37"/>
  <c r="R7" i="37" s="1"/>
  <c r="M8" i="37"/>
  <c r="R8" i="37" s="1"/>
  <c r="M9" i="37"/>
  <c r="R9" i="37" s="1"/>
  <c r="M10" i="37"/>
  <c r="R10" i="37" s="1"/>
  <c r="M12" i="37"/>
  <c r="R12" i="37" s="1"/>
  <c r="I26" i="15"/>
  <c r="I12" i="22" s="1"/>
  <c r="M9" i="32"/>
  <c r="M12" i="30"/>
  <c r="O12" i="30"/>
  <c r="M13" i="30"/>
  <c r="O13" i="30" s="1"/>
  <c r="M14" i="30"/>
  <c r="O14" i="30"/>
  <c r="M24" i="39"/>
  <c r="N24" i="39" s="1"/>
  <c r="E448" i="203" s="1"/>
  <c r="M14" i="36"/>
  <c r="O14" i="36" s="1"/>
  <c r="N26" i="36"/>
  <c r="N16" i="40" s="1"/>
  <c r="C14" i="203" s="1"/>
  <c r="M9" i="5"/>
  <c r="O9" i="5" s="1"/>
  <c r="H19" i="48"/>
  <c r="H36" i="48" s="1"/>
  <c r="B12" i="58"/>
  <c r="B11" i="58"/>
  <c r="P8" i="61"/>
  <c r="J26" i="31"/>
  <c r="J13" i="40" s="1"/>
  <c r="K26" i="31"/>
  <c r="K13" i="40" s="1"/>
  <c r="M9" i="34"/>
  <c r="N9" i="34" s="1"/>
  <c r="M8" i="27"/>
  <c r="O8" i="27" s="1"/>
  <c r="M8" i="38"/>
  <c r="R8" i="38" s="1"/>
  <c r="M9" i="38"/>
  <c r="R9" i="38" s="1"/>
  <c r="N26" i="31"/>
  <c r="N13" i="40" s="1"/>
  <c r="N19" i="38"/>
  <c r="N18" i="40" s="1"/>
  <c r="H21" i="85"/>
  <c r="K21" i="85" s="1"/>
  <c r="L21" i="85" s="1"/>
  <c r="M21" i="85" s="1"/>
  <c r="N21" i="85" s="1"/>
  <c r="O21" i="85" s="1"/>
  <c r="L26" i="31"/>
  <c r="L13" i="40" s="1"/>
  <c r="X12" i="71"/>
  <c r="X14" i="71" s="1"/>
  <c r="S13" i="71" s="1"/>
  <c r="S19" i="71" s="1"/>
  <c r="H14" i="85"/>
  <c r="K14" i="85" s="1"/>
  <c r="L14" i="85" s="1"/>
  <c r="M14" i="85" s="1"/>
  <c r="N14" i="85" s="1"/>
  <c r="O14" i="85" s="1"/>
  <c r="H18" i="85"/>
  <c r="M9" i="7"/>
  <c r="O9" i="7" s="1"/>
  <c r="E39" i="48"/>
  <c r="Q12" i="69"/>
  <c r="Q10" i="69"/>
  <c r="Q14" i="69"/>
  <c r="S23" i="69"/>
  <c r="P23" i="69"/>
  <c r="H22" i="69"/>
  <c r="E22" i="69"/>
  <c r="J14" i="69"/>
  <c r="H14" i="69"/>
  <c r="F11" i="69"/>
  <c r="C11" i="69"/>
  <c r="J26" i="17"/>
  <c r="J15" i="22" s="1"/>
  <c r="I26" i="17"/>
  <c r="I15" i="22" s="1"/>
  <c r="J15" i="39"/>
  <c r="J8" i="22"/>
  <c r="J9" i="22"/>
  <c r="K9" i="22"/>
  <c r="C24" i="203" s="1"/>
  <c r="K26" i="15"/>
  <c r="K12" i="22" s="1"/>
  <c r="K28" i="14"/>
  <c r="K13" i="22" s="1"/>
  <c r="K26" i="17"/>
  <c r="K15" i="22" s="1"/>
  <c r="J26" i="15"/>
  <c r="J12" i="22" s="1"/>
  <c r="G9" i="47" s="1"/>
  <c r="J28" i="14"/>
  <c r="J13" i="22" s="1"/>
  <c r="J26" i="29"/>
  <c r="K19" i="39"/>
  <c r="K15" i="39"/>
  <c r="G25" i="47" s="1"/>
  <c r="K19" i="38"/>
  <c r="K18" i="40" s="1"/>
  <c r="K17" i="40"/>
  <c r="G24" i="47" s="1"/>
  <c r="K26" i="36"/>
  <c r="K16" i="40" s="1"/>
  <c r="K26" i="29"/>
  <c r="K11" i="40" s="1"/>
  <c r="J30" i="1"/>
  <c r="J30" i="4"/>
  <c r="J30" i="75"/>
  <c r="J30" i="7"/>
  <c r="J30" i="8"/>
  <c r="M9" i="10"/>
  <c r="O9" i="10" s="1"/>
  <c r="J30" i="10"/>
  <c r="M9" i="25"/>
  <c r="B35" i="67"/>
  <c r="R33" i="67"/>
  <c r="P33" i="67"/>
  <c r="K33" i="67"/>
  <c r="N31" i="67"/>
  <c r="L10" i="67"/>
  <c r="N26" i="29"/>
  <c r="N11" i="40" s="1"/>
  <c r="L26" i="29"/>
  <c r="L11" i="40"/>
  <c r="J28" i="33"/>
  <c r="L26" i="36"/>
  <c r="L16" i="40" s="1"/>
  <c r="L17" i="40"/>
  <c r="M9" i="39"/>
  <c r="Q9" i="39" s="1"/>
  <c r="N15" i="39"/>
  <c r="N19" i="39"/>
  <c r="N20" i="39" s="1"/>
  <c r="N21" i="40" s="1"/>
  <c r="L19" i="39"/>
  <c r="L15" i="39"/>
  <c r="O23" i="40"/>
  <c r="N19" i="40"/>
  <c r="N20" i="40"/>
  <c r="N22" i="40"/>
  <c r="M20" i="40"/>
  <c r="M22" i="40"/>
  <c r="L19" i="40"/>
  <c r="L23" i="40"/>
  <c r="K23" i="40"/>
  <c r="L7" i="41"/>
  <c r="L26" i="41" s="1"/>
  <c r="K7" i="41"/>
  <c r="N58" i="51" s="1"/>
  <c r="N61" i="51" s="1"/>
  <c r="J7" i="41"/>
  <c r="L58" i="51" s="1"/>
  <c r="L61" i="51" s="1"/>
  <c r="M19" i="54"/>
  <c r="M21" i="54" s="1"/>
  <c r="M12" i="54"/>
  <c r="F27" i="54"/>
  <c r="I7" i="2"/>
  <c r="L11" i="51" s="1"/>
  <c r="I26" i="71"/>
  <c r="J7" i="2"/>
  <c r="G36" i="47" s="1"/>
  <c r="D13" i="60"/>
  <c r="Q32" i="60"/>
  <c r="D10" i="60"/>
  <c r="K21" i="77"/>
  <c r="J21" i="77"/>
  <c r="I21" i="77"/>
  <c r="R9" i="77"/>
  <c r="L49" i="51"/>
  <c r="L40" i="51"/>
  <c r="N28" i="51"/>
  <c r="N14" i="51"/>
  <c r="N15" i="51"/>
  <c r="N13" i="51"/>
  <c r="L13" i="51"/>
  <c r="G11" i="47"/>
  <c r="G12" i="47"/>
  <c r="G14" i="47"/>
  <c r="E11" i="47"/>
  <c r="Q11" i="47"/>
  <c r="Q7" i="47"/>
  <c r="G26" i="47"/>
  <c r="O11" i="47"/>
  <c r="F33" i="3"/>
  <c r="E36" i="49"/>
  <c r="E34" i="49"/>
  <c r="C33" i="63"/>
  <c r="C32" i="63"/>
  <c r="C31" i="63"/>
  <c r="D35" i="63"/>
  <c r="Q9" i="47"/>
  <c r="R26" i="48"/>
  <c r="R31" i="48"/>
  <c r="R21" i="48"/>
  <c r="R15" i="48"/>
  <c r="R19" i="48"/>
  <c r="R23" i="48"/>
  <c r="R27" i="48"/>
  <c r="R34" i="48"/>
  <c r="R16" i="48"/>
  <c r="R20" i="48"/>
  <c r="R24" i="48"/>
  <c r="R28" i="48"/>
  <c r="J30" i="5"/>
  <c r="H25" i="85"/>
  <c r="R17" i="48"/>
  <c r="R25" i="48"/>
  <c r="R36" i="48"/>
  <c r="R22" i="48"/>
  <c r="R32" i="48"/>
  <c r="H16" i="85"/>
  <c r="K16" i="85" s="1"/>
  <c r="L16" i="85" s="1"/>
  <c r="M16" i="85" s="1"/>
  <c r="N16" i="85" s="1"/>
  <c r="O16" i="85" s="1"/>
  <c r="R18" i="48"/>
  <c r="J25" i="95"/>
  <c r="J27" i="95" s="1"/>
  <c r="K8" i="22"/>
  <c r="C23" i="203" s="1"/>
  <c r="K7" i="2"/>
  <c r="T18" i="87"/>
  <c r="N19" i="33"/>
  <c r="O19" i="33" s="1"/>
  <c r="N11" i="33"/>
  <c r="N16" i="33"/>
  <c r="H37" i="85"/>
  <c r="J18" i="40"/>
  <c r="P13" i="61" s="1"/>
  <c r="K11" i="19"/>
  <c r="D11" i="58"/>
  <c r="J6" i="77"/>
  <c r="C33" i="77" s="1"/>
  <c r="N82" i="51"/>
  <c r="N11" i="122"/>
  <c r="O11" i="122" s="1"/>
  <c r="N17" i="122"/>
  <c r="N19" i="122"/>
  <c r="N21" i="122"/>
  <c r="O21" i="122" s="1"/>
  <c r="I26" i="52"/>
  <c r="J26" i="52" s="1"/>
  <c r="D14" i="136"/>
  <c r="D17" i="136"/>
  <c r="D24" i="58"/>
  <c r="D28" i="58"/>
  <c r="R7" i="134"/>
  <c r="R19" i="66"/>
  <c r="E14" i="47"/>
  <c r="L15" i="51"/>
  <c r="E27" i="48"/>
  <c r="K35" i="174"/>
  <c r="N14" i="34"/>
  <c r="O14" i="34" s="1"/>
  <c r="C26" i="185"/>
  <c r="F26" i="185" s="1"/>
  <c r="C19" i="185"/>
  <c r="F19" i="185" s="1"/>
  <c r="D19" i="58"/>
  <c r="C27" i="185"/>
  <c r="F27" i="185" s="1"/>
  <c r="D27" i="58"/>
  <c r="C12" i="185"/>
  <c r="F12" i="185" s="1"/>
  <c r="D12" i="58"/>
  <c r="C14" i="185"/>
  <c r="F14" i="185" s="1"/>
  <c r="D14" i="58"/>
  <c r="C15" i="185"/>
  <c r="F15" i="185" s="1"/>
  <c r="D15" i="58"/>
  <c r="C16" i="185"/>
  <c r="F16" i="185" s="1"/>
  <c r="D16" i="58"/>
  <c r="C18" i="185"/>
  <c r="F18" i="185" s="1"/>
  <c r="D18" i="58"/>
  <c r="F17" i="185"/>
  <c r="D17" i="58"/>
  <c r="N15" i="34"/>
  <c r="M26" i="31"/>
  <c r="M13" i="40" s="1"/>
  <c r="N24" i="121"/>
  <c r="D18" i="136"/>
  <c r="D26" i="136"/>
  <c r="D27" i="136"/>
  <c r="D15" i="136"/>
  <c r="D22" i="136"/>
  <c r="N8" i="155"/>
  <c r="N8" i="156"/>
  <c r="O8" i="156" s="1"/>
  <c r="N8" i="157"/>
  <c r="O8" i="157" s="1"/>
  <c r="C14" i="158"/>
  <c r="F14" i="158" s="1"/>
  <c r="R20" i="66"/>
  <c r="C15" i="188"/>
  <c r="F15" i="188" s="1"/>
  <c r="D15" i="180"/>
  <c r="C18" i="188"/>
  <c r="F18" i="188" s="1"/>
  <c r="D18" i="180"/>
  <c r="C11" i="189"/>
  <c r="F11" i="189" s="1"/>
  <c r="D11" i="181"/>
  <c r="D14" i="181"/>
  <c r="C14" i="189"/>
  <c r="F14" i="189" s="1"/>
  <c r="C17" i="189"/>
  <c r="F17" i="189" s="1"/>
  <c r="D17" i="181"/>
  <c r="C21" i="189"/>
  <c r="F21" i="189" s="1"/>
  <c r="D21" i="181"/>
  <c r="C26" i="189"/>
  <c r="F26" i="189" s="1"/>
  <c r="D26" i="181"/>
  <c r="D22" i="182"/>
  <c r="C22" i="190"/>
  <c r="F22" i="190" s="1"/>
  <c r="D27" i="182"/>
  <c r="C27" i="190"/>
  <c r="F27" i="190" s="1"/>
  <c r="C18" i="191"/>
  <c r="F18" i="191" s="1"/>
  <c r="D18" i="183"/>
  <c r="C23" i="191"/>
  <c r="F23" i="191" s="1"/>
  <c r="D23" i="183"/>
  <c r="D21" i="184"/>
  <c r="C21" i="192"/>
  <c r="F21" i="192" s="1"/>
  <c r="D26" i="184"/>
  <c r="C26" i="192"/>
  <c r="F26" i="192" s="1"/>
  <c r="D11" i="178"/>
  <c r="D20" i="178"/>
  <c r="D23" i="180"/>
  <c r="N8" i="121"/>
  <c r="O8" i="121" s="1"/>
  <c r="N8" i="122"/>
  <c r="D25" i="136"/>
  <c r="C21" i="186"/>
  <c r="F21" i="186" s="1"/>
  <c r="D21" i="178"/>
  <c r="C13" i="188"/>
  <c r="D13" i="180"/>
  <c r="D16" i="180"/>
  <c r="C16" i="188"/>
  <c r="F16" i="188" s="1"/>
  <c r="C19" i="188"/>
  <c r="F19" i="188" s="1"/>
  <c r="D19" i="180"/>
  <c r="D24" i="180"/>
  <c r="C24" i="188"/>
  <c r="F24" i="188" s="1"/>
  <c r="C22" i="189"/>
  <c r="F22" i="189" s="1"/>
  <c r="D22" i="181"/>
  <c r="C27" i="189"/>
  <c r="F27" i="189" s="1"/>
  <c r="D27" i="181"/>
  <c r="C28" i="190"/>
  <c r="F28" i="190" s="1"/>
  <c r="D28" i="182"/>
  <c r="C19" i="191"/>
  <c r="F19" i="191" s="1"/>
  <c r="D19" i="183"/>
  <c r="C24" i="191"/>
  <c r="F24" i="191" s="1"/>
  <c r="D24" i="183"/>
  <c r="D11" i="184"/>
  <c r="C11" i="192"/>
  <c r="F11" i="192" s="1"/>
  <c r="D17" i="184"/>
  <c r="C17" i="192"/>
  <c r="F17" i="192" s="1"/>
  <c r="D12" i="178"/>
  <c r="D19" i="178"/>
  <c r="D21" i="179"/>
  <c r="N18" i="153"/>
  <c r="O18" i="153" s="1"/>
  <c r="N9" i="155"/>
  <c r="O9" i="155" s="1"/>
  <c r="N12" i="155"/>
  <c r="O12" i="155" s="1"/>
  <c r="N15" i="155"/>
  <c r="N9" i="156"/>
  <c r="O9" i="156" s="1"/>
  <c r="N12" i="156"/>
  <c r="O12" i="156" s="1"/>
  <c r="N15" i="156"/>
  <c r="O15" i="156" s="1"/>
  <c r="N21" i="156"/>
  <c r="N9" i="157"/>
  <c r="O9" i="157" s="1"/>
  <c r="N15" i="157"/>
  <c r="N21" i="157"/>
  <c r="O21" i="157" s="1"/>
  <c r="C12" i="158"/>
  <c r="F12" i="158" s="1"/>
  <c r="C21" i="158"/>
  <c r="F21" i="158" s="1"/>
  <c r="C17" i="158"/>
  <c r="F17" i="158" s="1"/>
  <c r="F11" i="186"/>
  <c r="C22" i="186"/>
  <c r="F22" i="186" s="1"/>
  <c r="D22" i="178"/>
  <c r="C27" i="186"/>
  <c r="F27" i="186" s="1"/>
  <c r="D27" i="178"/>
  <c r="C12" i="187"/>
  <c r="D12" i="179"/>
  <c r="C23" i="187"/>
  <c r="F23" i="187" s="1"/>
  <c r="D23" i="179"/>
  <c r="C20" i="188"/>
  <c r="F20" i="188" s="1"/>
  <c r="D20" i="180"/>
  <c r="C28" i="189"/>
  <c r="F28" i="189" s="1"/>
  <c r="D28" i="181"/>
  <c r="C12" i="190"/>
  <c r="F12" i="190" s="1"/>
  <c r="D12" i="182"/>
  <c r="C15" i="190"/>
  <c r="F15" i="190" s="1"/>
  <c r="D15" i="182"/>
  <c r="C18" i="190"/>
  <c r="F18" i="190" s="1"/>
  <c r="D18" i="182"/>
  <c r="C23" i="190"/>
  <c r="F23" i="190" s="1"/>
  <c r="D23" i="182"/>
  <c r="D11" i="183"/>
  <c r="C11" i="191"/>
  <c r="F11" i="191" s="1"/>
  <c r="D15" i="183"/>
  <c r="C15" i="191"/>
  <c r="F15" i="191" s="1"/>
  <c r="C20" i="191"/>
  <c r="F20" i="191" s="1"/>
  <c r="C25" i="191"/>
  <c r="F25" i="191" s="1"/>
  <c r="D25" i="183"/>
  <c r="C14" i="192"/>
  <c r="F14" i="192" s="1"/>
  <c r="D14" i="184"/>
  <c r="D26" i="178"/>
  <c r="D18" i="178"/>
  <c r="D11" i="179"/>
  <c r="D18" i="179"/>
  <c r="N22" i="122"/>
  <c r="O22" i="122" s="1"/>
  <c r="N8" i="152"/>
  <c r="O8" i="152" s="1"/>
  <c r="N14" i="152"/>
  <c r="N20" i="152"/>
  <c r="O20" i="152" s="1"/>
  <c r="N22" i="153"/>
  <c r="O22" i="153" s="1"/>
  <c r="N22" i="155"/>
  <c r="O22" i="155" s="1"/>
  <c r="N22" i="156"/>
  <c r="N22" i="157"/>
  <c r="O22" i="157" s="1"/>
  <c r="C20" i="158"/>
  <c r="F20" i="158" s="1"/>
  <c r="D28" i="178"/>
  <c r="C28" i="186"/>
  <c r="F28" i="186" s="1"/>
  <c r="C13" i="187"/>
  <c r="F13" i="187" s="1"/>
  <c r="D13" i="179"/>
  <c r="C19" i="187"/>
  <c r="F19" i="187" s="1"/>
  <c r="D19" i="179"/>
  <c r="C11" i="188"/>
  <c r="F11" i="188" s="1"/>
  <c r="D11" i="180"/>
  <c r="C14" i="188"/>
  <c r="F14" i="188" s="1"/>
  <c r="D14" i="180"/>
  <c r="C17" i="188"/>
  <c r="F17" i="188" s="1"/>
  <c r="D17" i="180"/>
  <c r="D21" i="180"/>
  <c r="C21" i="188"/>
  <c r="F21" i="188" s="1"/>
  <c r="C26" i="188"/>
  <c r="F26" i="188" s="1"/>
  <c r="D26" i="180"/>
  <c r="C12" i="189"/>
  <c r="F12" i="189" s="1"/>
  <c r="D12" i="181"/>
  <c r="D15" i="181"/>
  <c r="C15" i="189"/>
  <c r="F15" i="189" s="1"/>
  <c r="D18" i="181"/>
  <c r="C18" i="189"/>
  <c r="F18" i="189" s="1"/>
  <c r="C23" i="189"/>
  <c r="F23" i="189" s="1"/>
  <c r="D23" i="181"/>
  <c r="C19" i="190"/>
  <c r="F19" i="190" s="1"/>
  <c r="D19" i="182"/>
  <c r="C24" i="190"/>
  <c r="F24" i="190" s="1"/>
  <c r="D24" i="182"/>
  <c r="D16" i="183"/>
  <c r="C16" i="191"/>
  <c r="F16" i="191" s="1"/>
  <c r="D21" i="183"/>
  <c r="C21" i="191"/>
  <c r="F21" i="191" s="1"/>
  <c r="D26" i="183"/>
  <c r="C26" i="191"/>
  <c r="F26" i="191" s="1"/>
  <c r="C12" i="192"/>
  <c r="F12" i="192" s="1"/>
  <c r="D12" i="184"/>
  <c r="C23" i="192"/>
  <c r="F23" i="192" s="1"/>
  <c r="D23" i="184"/>
  <c r="D17" i="178"/>
  <c r="D28" i="179"/>
  <c r="D16" i="179"/>
  <c r="N22" i="121"/>
  <c r="O22" i="121" s="1"/>
  <c r="N23" i="122"/>
  <c r="O23" i="122" s="1"/>
  <c r="N10" i="153"/>
  <c r="N23" i="153"/>
  <c r="O23" i="153" s="1"/>
  <c r="N10" i="155"/>
  <c r="O10" i="155" s="1"/>
  <c r="N13" i="155"/>
  <c r="N16" i="155"/>
  <c r="O16" i="155" s="1"/>
  <c r="N19" i="155"/>
  <c r="N10" i="156"/>
  <c r="O10" i="156" s="1"/>
  <c r="N13" i="156"/>
  <c r="O13" i="156" s="1"/>
  <c r="N16" i="156"/>
  <c r="O16" i="156" s="1"/>
  <c r="N19" i="156"/>
  <c r="O19" i="156" s="1"/>
  <c r="N23" i="156"/>
  <c r="O23" i="156" s="1"/>
  <c r="N19" i="157"/>
  <c r="C16" i="158"/>
  <c r="F16" i="158" s="1"/>
  <c r="C15" i="186"/>
  <c r="F15" i="186" s="1"/>
  <c r="D15" i="178"/>
  <c r="D20" i="179"/>
  <c r="C20" i="187"/>
  <c r="F20" i="187" s="1"/>
  <c r="C25" i="187"/>
  <c r="F25" i="187" s="1"/>
  <c r="D25" i="179"/>
  <c r="D22" i="180"/>
  <c r="C22" i="188"/>
  <c r="F22" i="188" s="1"/>
  <c r="D27" i="180"/>
  <c r="C27" i="188"/>
  <c r="F27" i="188" s="1"/>
  <c r="D19" i="181"/>
  <c r="C19" i="189"/>
  <c r="F19" i="189" s="1"/>
  <c r="D24" i="181"/>
  <c r="C24" i="189"/>
  <c r="F24" i="189" s="1"/>
  <c r="C13" i="190"/>
  <c r="F13" i="190" s="1"/>
  <c r="D13" i="182"/>
  <c r="D16" i="182"/>
  <c r="C16" i="190"/>
  <c r="F16" i="190" s="1"/>
  <c r="C20" i="190"/>
  <c r="F20" i="190" s="1"/>
  <c r="D20" i="182"/>
  <c r="C25" i="190"/>
  <c r="F25" i="190" s="1"/>
  <c r="D25" i="182"/>
  <c r="D12" i="183"/>
  <c r="C12" i="191"/>
  <c r="F12" i="191" s="1"/>
  <c r="C19" i="192"/>
  <c r="F19" i="192" s="1"/>
  <c r="D19" i="184"/>
  <c r="D24" i="184"/>
  <c r="C24" i="192"/>
  <c r="F24" i="192" s="1"/>
  <c r="D24" i="178"/>
  <c r="D14" i="178"/>
  <c r="D15" i="179"/>
  <c r="D28" i="180"/>
  <c r="N23" i="121"/>
  <c r="N24" i="122"/>
  <c r="O24" i="122" s="1"/>
  <c r="N24" i="153"/>
  <c r="O24" i="153" s="1"/>
  <c r="N24" i="155"/>
  <c r="O24" i="155" s="1"/>
  <c r="N14" i="157"/>
  <c r="O14" i="157" s="1"/>
  <c r="N20" i="157"/>
  <c r="O20" i="157" s="1"/>
  <c r="N24" i="157"/>
  <c r="D16" i="178"/>
  <c r="C16" i="186"/>
  <c r="D14" i="179"/>
  <c r="C14" i="187"/>
  <c r="F14" i="187" s="1"/>
  <c r="C17" i="187"/>
  <c r="F17" i="187" s="1"/>
  <c r="D17" i="179"/>
  <c r="D26" i="179"/>
  <c r="C26" i="187"/>
  <c r="F26" i="187" s="1"/>
  <c r="D13" i="181"/>
  <c r="C13" i="189"/>
  <c r="F13" i="189" s="1"/>
  <c r="C16" i="189"/>
  <c r="F16" i="189" s="1"/>
  <c r="D16" i="181"/>
  <c r="D20" i="181"/>
  <c r="C20" i="189"/>
  <c r="F20" i="189" s="1"/>
  <c r="C25" i="189"/>
  <c r="F25" i="189" s="1"/>
  <c r="D25" i="181"/>
  <c r="D11" i="182"/>
  <c r="C11" i="190"/>
  <c r="F11" i="190" s="1"/>
  <c r="C14" i="190"/>
  <c r="F14" i="190" s="1"/>
  <c r="D14" i="182"/>
  <c r="D17" i="182"/>
  <c r="C17" i="190"/>
  <c r="F17" i="190" s="1"/>
  <c r="D21" i="182"/>
  <c r="C21" i="190"/>
  <c r="F21" i="190" s="1"/>
  <c r="C26" i="190"/>
  <c r="F26" i="190" s="1"/>
  <c r="D26" i="182"/>
  <c r="C13" i="191"/>
  <c r="F13" i="191" s="1"/>
  <c r="D13" i="183"/>
  <c r="C17" i="191"/>
  <c r="F17" i="191" s="1"/>
  <c r="D17" i="183"/>
  <c r="D16" i="184"/>
  <c r="C16" i="192"/>
  <c r="F16" i="192" s="1"/>
  <c r="D20" i="184"/>
  <c r="C20" i="192"/>
  <c r="F20" i="192" s="1"/>
  <c r="C25" i="192"/>
  <c r="F25" i="192" s="1"/>
  <c r="D25" i="184"/>
  <c r="I29" i="184"/>
  <c r="D23" i="178"/>
  <c r="D13" i="178"/>
  <c r="D24" i="179"/>
  <c r="D25" i="180"/>
  <c r="D13" i="184"/>
  <c r="G29" i="192"/>
  <c r="D18" i="184"/>
  <c r="C22" i="192"/>
  <c r="F22" i="192" s="1"/>
  <c r="C28" i="191"/>
  <c r="F28" i="191" s="1"/>
  <c r="C15" i="192"/>
  <c r="F15" i="192" s="1"/>
  <c r="D22" i="183"/>
  <c r="D28" i="184"/>
  <c r="D27" i="183"/>
  <c r="D27" i="184"/>
  <c r="K14" i="65"/>
  <c r="N17" i="40"/>
  <c r="C16" i="203" s="1"/>
  <c r="N20" i="34"/>
  <c r="O20" i="34" s="1"/>
  <c r="N17" i="34"/>
  <c r="N11" i="34"/>
  <c r="N16" i="34"/>
  <c r="O16" i="34" s="1"/>
  <c r="N8" i="34"/>
  <c r="O8" i="34" s="1"/>
  <c r="N17" i="154"/>
  <c r="O17" i="154" s="1"/>
  <c r="N23" i="154"/>
  <c r="O23" i="154" s="1"/>
  <c r="K14" i="40"/>
  <c r="N23" i="33"/>
  <c r="O23" i="33" s="1"/>
  <c r="L14" i="40"/>
  <c r="N10" i="40"/>
  <c r="M30" i="132"/>
  <c r="F12" i="187"/>
  <c r="J14" i="40"/>
  <c r="N12" i="40"/>
  <c r="I16" i="22"/>
  <c r="H40" i="85"/>
  <c r="C14" i="191"/>
  <c r="F14" i="191" s="1"/>
  <c r="O18" i="5"/>
  <c r="K33" i="5"/>
  <c r="K35" i="5" s="1"/>
  <c r="M25" i="128"/>
  <c r="M15" i="65" s="1"/>
  <c r="M19" i="39"/>
  <c r="Q19" i="39" s="1"/>
  <c r="Q17" i="39"/>
  <c r="D14" i="183"/>
  <c r="C24" i="158"/>
  <c r="F24" i="158" s="1"/>
  <c r="D24" i="136"/>
  <c r="C13" i="186"/>
  <c r="D22" i="179"/>
  <c r="K25" i="43"/>
  <c r="C21" i="185"/>
  <c r="F21" i="185" s="1"/>
  <c r="D21" i="58"/>
  <c r="D25" i="178"/>
  <c r="C25" i="186"/>
  <c r="F25" i="186" s="1"/>
  <c r="J29" i="192"/>
  <c r="J29" i="184"/>
  <c r="O17" i="32"/>
  <c r="D19" i="136"/>
  <c r="F19" i="136" s="1"/>
  <c r="F29" i="136" s="1"/>
  <c r="D28" i="136"/>
  <c r="J11" i="40"/>
  <c r="I28" i="71"/>
  <c r="Q21" i="47" s="1"/>
  <c r="Q23" i="47" s="1"/>
  <c r="N9" i="33"/>
  <c r="O9" i="33" s="1"/>
  <c r="D13" i="58"/>
  <c r="C13" i="185"/>
  <c r="F13" i="185" s="1"/>
  <c r="N9" i="32"/>
  <c r="O9" i="32"/>
  <c r="O10" i="34"/>
  <c r="N10" i="121"/>
  <c r="O10" i="121" s="1"/>
  <c r="O16" i="33"/>
  <c r="O14" i="32"/>
  <c r="O24" i="33"/>
  <c r="O11" i="33"/>
  <c r="O17" i="34"/>
  <c r="O10" i="32"/>
  <c r="O11" i="34"/>
  <c r="O12" i="121"/>
  <c r="N16" i="121"/>
  <c r="O16" i="121" s="1"/>
  <c r="O8" i="122"/>
  <c r="O12" i="122"/>
  <c r="C13" i="158"/>
  <c r="F13" i="158" s="1"/>
  <c r="O13" i="152"/>
  <c r="O23" i="152"/>
  <c r="O10" i="153"/>
  <c r="O15" i="157"/>
  <c r="O18" i="157"/>
  <c r="O24" i="157"/>
  <c r="O9" i="122"/>
  <c r="O17" i="122"/>
  <c r="O14" i="152"/>
  <c r="O14" i="153"/>
  <c r="O18" i="154"/>
  <c r="O21" i="154"/>
  <c r="O8" i="155"/>
  <c r="O13" i="155"/>
  <c r="O14" i="156"/>
  <c r="O15" i="121"/>
  <c r="O11" i="152"/>
  <c r="N24" i="152"/>
  <c r="O24" i="152" s="1"/>
  <c r="O11" i="153"/>
  <c r="O16" i="157"/>
  <c r="N19" i="121"/>
  <c r="O19" i="121" s="1"/>
  <c r="O14" i="122"/>
  <c r="O18" i="122"/>
  <c r="C23" i="158"/>
  <c r="N18" i="152"/>
  <c r="O18" i="152" s="1"/>
  <c r="O22" i="152"/>
  <c r="O19" i="153"/>
  <c r="O22" i="154"/>
  <c r="O19" i="155"/>
  <c r="O11" i="156"/>
  <c r="O20" i="156"/>
  <c r="O23" i="121"/>
  <c r="O19" i="122"/>
  <c r="O15" i="155"/>
  <c r="O21" i="156"/>
  <c r="O24" i="121"/>
  <c r="N16" i="152"/>
  <c r="O16" i="152" s="1"/>
  <c r="O20" i="153"/>
  <c r="O20" i="154"/>
  <c r="O17" i="156"/>
  <c r="O22" i="156"/>
  <c r="D15" i="184"/>
  <c r="Q40" i="60"/>
  <c r="D15" i="60" s="1"/>
  <c r="C13" i="192"/>
  <c r="F13" i="192" s="1"/>
  <c r="D27" i="179"/>
  <c r="L104" i="51"/>
  <c r="L36" i="51"/>
  <c r="L57" i="51" s="1"/>
  <c r="L78" i="51" s="1"/>
  <c r="L63" i="51"/>
  <c r="L84" i="51"/>
  <c r="F13" i="186"/>
  <c r="S25" i="71"/>
  <c r="E25" i="47"/>
  <c r="M26" i="24"/>
  <c r="N26" i="34"/>
  <c r="N31" i="34"/>
  <c r="O31" i="24"/>
  <c r="M31" i="34"/>
  <c r="M31" i="24"/>
  <c r="O26" i="24"/>
  <c r="M26" i="34"/>
  <c r="L26" i="54" l="1"/>
  <c r="L22" i="51"/>
  <c r="L124" i="51"/>
  <c r="J5" i="52"/>
  <c r="K10" i="52" s="1"/>
  <c r="M25" i="103"/>
  <c r="K15" i="65" s="1"/>
  <c r="M25" i="125"/>
  <c r="O19" i="157"/>
  <c r="H29" i="184"/>
  <c r="M25" i="131"/>
  <c r="N15" i="65" s="1"/>
  <c r="M23" i="40"/>
  <c r="I29" i="71"/>
  <c r="I32" i="71" s="1"/>
  <c r="S9" i="71" s="1"/>
  <c r="L42" i="51"/>
  <c r="L144" i="51"/>
  <c r="M19" i="40"/>
  <c r="R33" i="77"/>
  <c r="G29" i="184"/>
  <c r="I29" i="192"/>
  <c r="E36" i="47"/>
  <c r="O13" i="157"/>
  <c r="O21" i="153"/>
  <c r="O18" i="33"/>
  <c r="Q30" i="60"/>
  <c r="N22" i="33"/>
  <c r="O22" i="33" s="1"/>
  <c r="N23" i="155"/>
  <c r="O23" i="155" s="1"/>
  <c r="L20" i="39"/>
  <c r="L21" i="40" s="1"/>
  <c r="J20" i="39"/>
  <c r="J21" i="40" s="1"/>
  <c r="P17" i="61" s="1"/>
  <c r="K29" i="192"/>
  <c r="O21" i="121"/>
  <c r="O16" i="32"/>
  <c r="K25" i="131"/>
  <c r="R29" i="134"/>
  <c r="O20" i="122"/>
  <c r="M19" i="38"/>
  <c r="M18" i="40" s="1"/>
  <c r="K25" i="128"/>
  <c r="K25" i="103"/>
  <c r="O12" i="153"/>
  <c r="K25" i="100"/>
  <c r="K25" i="125"/>
  <c r="M26" i="29"/>
  <c r="M11" i="40" s="1"/>
  <c r="F17" i="48"/>
  <c r="K17" i="48" s="1"/>
  <c r="L17" i="48" s="1"/>
  <c r="F35" i="48"/>
  <c r="K35" i="48" s="1"/>
  <c r="L35" i="48" s="1"/>
  <c r="H29" i="192"/>
  <c r="M26" i="30"/>
  <c r="O10" i="195"/>
  <c r="N17" i="51"/>
  <c r="K26" i="19"/>
  <c r="K16" i="22" s="1"/>
  <c r="C131" i="203" s="1"/>
  <c r="C190" i="205" s="1"/>
  <c r="C191" i="205" s="1"/>
  <c r="S47" i="71"/>
  <c r="I14" i="47"/>
  <c r="J14" i="47" s="1"/>
  <c r="B2" i="184"/>
  <c r="B2" i="179"/>
  <c r="B2" i="58"/>
  <c r="B2" i="136"/>
  <c r="B2" i="182"/>
  <c r="B2" i="187"/>
  <c r="B2" i="178"/>
  <c r="B2" i="186"/>
  <c r="B2" i="190"/>
  <c r="B2" i="188"/>
  <c r="B2" i="192"/>
  <c r="B2" i="189"/>
  <c r="B2" i="191"/>
  <c r="B2" i="181"/>
  <c r="C31" i="77"/>
  <c r="Q4" i="77"/>
  <c r="E35" i="49"/>
  <c r="E33" i="48"/>
  <c r="H51" i="85"/>
  <c r="E7" i="47"/>
  <c r="D29" i="180"/>
  <c r="M26" i="37"/>
  <c r="O21" i="47"/>
  <c r="O23" i="47" s="1"/>
  <c r="O11" i="48"/>
  <c r="Q11" i="48" s="1"/>
  <c r="M26" i="28"/>
  <c r="M10" i="40" s="1"/>
  <c r="S11" i="47"/>
  <c r="T11" i="47" s="1"/>
  <c r="I11" i="47"/>
  <c r="J11" i="47" s="1"/>
  <c r="M20" i="26"/>
  <c r="G7" i="47"/>
  <c r="N27" i="51"/>
  <c r="M26" i="36"/>
  <c r="M16" i="40" s="1"/>
  <c r="D29" i="178"/>
  <c r="J26" i="41"/>
  <c r="L29" i="192"/>
  <c r="D29" i="192"/>
  <c r="B2" i="185"/>
  <c r="M25" i="43"/>
  <c r="I15" i="65" s="1"/>
  <c r="M25" i="100"/>
  <c r="J15" i="65" s="1"/>
  <c r="D29" i="179"/>
  <c r="I36" i="47"/>
  <c r="M22" i="54"/>
  <c r="O20" i="26"/>
  <c r="O26" i="29"/>
  <c r="O11" i="40" s="1"/>
  <c r="H53" i="85"/>
  <c r="E9" i="47"/>
  <c r="I9" i="47" s="1"/>
  <c r="J9" i="47" s="1"/>
  <c r="A5" i="97"/>
  <c r="A6" i="97" s="1"/>
  <c r="A7" i="97" s="1"/>
  <c r="A8" i="97" s="1"/>
  <c r="A9" i="97" s="1"/>
  <c r="A10" i="97" s="1"/>
  <c r="A11" i="97" s="1"/>
  <c r="A12" i="97" s="1"/>
  <c r="A13" i="97" s="1"/>
  <c r="A14" i="97" s="1"/>
  <c r="A15" i="97" s="1"/>
  <c r="A16" i="97" s="1"/>
  <c r="A17" i="97" s="1"/>
  <c r="A18" i="97" s="1"/>
  <c r="A19" i="97" s="1"/>
  <c r="A20" i="97" s="1"/>
  <c r="A21" i="97" s="1"/>
  <c r="A22" i="97" s="1"/>
  <c r="A23" i="97" s="1"/>
  <c r="A24" i="97" s="1"/>
  <c r="A25" i="97" s="1"/>
  <c r="A26" i="97" s="1"/>
  <c r="A27" i="97" s="1"/>
  <c r="A28" i="97" s="1"/>
  <c r="A29" i="97" s="1"/>
  <c r="A30" i="97" s="1"/>
  <c r="A31" i="97" s="1"/>
  <c r="A32" i="97" s="1"/>
  <c r="A33" i="97" s="1"/>
  <c r="A34" i="97" s="1"/>
  <c r="A35" i="97" s="1"/>
  <c r="A36" i="97" s="1"/>
  <c r="A37" i="97" s="1"/>
  <c r="A38" i="97" s="1"/>
  <c r="A39" i="97" s="1"/>
  <c r="A40" i="97" s="1"/>
  <c r="A41" i="97" s="1"/>
  <c r="A42" i="97" s="1"/>
  <c r="A43" i="97" s="1"/>
  <c r="A44" i="97" s="1"/>
  <c r="A45" i="97" s="1"/>
  <c r="A46" i="97" s="1"/>
  <c r="A47" i="97" s="1"/>
  <c r="A48" i="97" s="1"/>
  <c r="A49" i="97" s="1"/>
  <c r="A50" i="97" s="1"/>
  <c r="A51" i="97" s="1"/>
  <c r="A52" i="97" s="1"/>
  <c r="A53" i="97" s="1"/>
  <c r="A54" i="97" s="1"/>
  <c r="A55" i="97" s="1"/>
  <c r="A56" i="97" s="1"/>
  <c r="A57" i="97" s="1"/>
  <c r="A58" i="97" s="1"/>
  <c r="A59" i="97" s="1"/>
  <c r="A60" i="97" s="1"/>
  <c r="A61" i="97" s="1"/>
  <c r="A62" i="97" s="1"/>
  <c r="A63" i="97" s="1"/>
  <c r="A64" i="97" s="1"/>
  <c r="A65" i="97" s="1"/>
  <c r="A66" i="97" s="1"/>
  <c r="A67" i="97" s="1"/>
  <c r="A68" i="97" s="1"/>
  <c r="A69" i="97" s="1"/>
  <c r="A70" i="97" s="1"/>
  <c r="A71" i="97" s="1"/>
  <c r="A72" i="97" s="1"/>
  <c r="A73" i="97" s="1"/>
  <c r="A74" i="97" s="1"/>
  <c r="A75" i="97" s="1"/>
  <c r="A76" i="97" s="1"/>
  <c r="A77" i="97" s="1"/>
  <c r="A78" i="97" s="1"/>
  <c r="A79" i="97" s="1"/>
  <c r="A80" i="97" s="1"/>
  <c r="A81" i="97" s="1"/>
  <c r="A82" i="97" s="1"/>
  <c r="A83" i="97" s="1"/>
  <c r="A84" i="97" s="1"/>
  <c r="A85" i="97" s="1"/>
  <c r="A86" i="97" s="1"/>
  <c r="A87" i="97" s="1"/>
  <c r="A88" i="97" s="1"/>
  <c r="A89" i="97" s="1"/>
  <c r="A90" i="97" s="1"/>
  <c r="A91" i="97" s="1"/>
  <c r="A92" i="97" s="1"/>
  <c r="A93" i="97" s="1"/>
  <c r="A94" i="97" s="1"/>
  <c r="A95" i="97" s="1"/>
  <c r="A96" i="97" s="1"/>
  <c r="A97" i="97" s="1"/>
  <c r="A98" i="97" s="1"/>
  <c r="A99" i="97" s="1"/>
  <c r="A100" i="97" s="1"/>
  <c r="A101" i="97" s="1"/>
  <c r="A102" i="97" s="1"/>
  <c r="A103" i="97" s="1"/>
  <c r="A104" i="97" s="1"/>
  <c r="A105" i="97" s="1"/>
  <c r="A106" i="97" s="1"/>
  <c r="A107" i="97" s="1"/>
  <c r="A108" i="97" s="1"/>
  <c r="A109" i="97" s="1"/>
  <c r="A110" i="97" s="1"/>
  <c r="A111" i="97" s="1"/>
  <c r="A112" i="97" s="1"/>
  <c r="A113" i="97" s="1"/>
  <c r="A114" i="97" s="1"/>
  <c r="A115" i="97" s="1"/>
  <c r="A116" i="97" s="1"/>
  <c r="A117" i="97" s="1"/>
  <c r="A118" i="97" s="1"/>
  <c r="A119" i="97" s="1"/>
  <c r="A120" i="97" s="1"/>
  <c r="A121" i="97" s="1"/>
  <c r="A122" i="97" s="1"/>
  <c r="A123" i="97" s="1"/>
  <c r="A124" i="97" s="1"/>
  <c r="A125" i="97" s="1"/>
  <c r="A126" i="97" s="1"/>
  <c r="A127" i="97" s="1"/>
  <c r="A128" i="97" s="1"/>
  <c r="A129" i="97" s="1"/>
  <c r="A130" i="97" s="1"/>
  <c r="A131" i="97" s="1"/>
  <c r="A132" i="97" s="1"/>
  <c r="A133" i="97" s="1"/>
  <c r="A134" i="97" s="1"/>
  <c r="A135" i="97" s="1"/>
  <c r="A136" i="97" s="1"/>
  <c r="A137" i="97" s="1"/>
  <c r="A138" i="97" s="1"/>
  <c r="A139" i="97" s="1"/>
  <c r="A140" i="97" s="1"/>
  <c r="A141" i="97" s="1"/>
  <c r="A142" i="97" s="1"/>
  <c r="A143" i="97" s="1"/>
  <c r="A144" i="97" s="1"/>
  <c r="A145" i="97" s="1"/>
  <c r="A146" i="97" s="1"/>
  <c r="A147" i="97" s="1"/>
  <c r="A148" i="97" s="1"/>
  <c r="A149" i="97" s="1"/>
  <c r="A150" i="97" s="1"/>
  <c r="A151" i="97" s="1"/>
  <c r="A152" i="97" s="1"/>
  <c r="A153" i="97" s="1"/>
  <c r="A154" i="97" s="1"/>
  <c r="A155" i="97" s="1"/>
  <c r="A156" i="97" s="1"/>
  <c r="A157" i="97" s="1"/>
  <c r="A158" i="97" s="1"/>
  <c r="A159" i="97" s="1"/>
  <c r="A160" i="97" s="1"/>
  <c r="A161" i="97" s="1"/>
  <c r="A162" i="97" s="1"/>
  <c r="A163" i="97" s="1"/>
  <c r="A164" i="97" s="1"/>
  <c r="A165" i="97" s="1"/>
  <c r="A166" i="97" s="1"/>
  <c r="A167" i="97" s="1"/>
  <c r="A168" i="97" s="1"/>
  <c r="A169" i="97" s="1"/>
  <c r="A170" i="97" s="1"/>
  <c r="A171" i="97" s="1"/>
  <c r="A172" i="97" s="1"/>
  <c r="A173" i="97" s="1"/>
  <c r="A174" i="97" s="1"/>
  <c r="A175" i="97" s="1"/>
  <c r="A176" i="97" s="1"/>
  <c r="A177" i="97" s="1"/>
  <c r="A178" i="97" s="1"/>
  <c r="A179" i="97" s="1"/>
  <c r="A180" i="97" s="1"/>
  <c r="A181" i="97" s="1"/>
  <c r="A182" i="97" s="1"/>
  <c r="A183" i="97" s="1"/>
  <c r="A184" i="97" s="1"/>
  <c r="A185" i="97" s="1"/>
  <c r="A186" i="97" s="1"/>
  <c r="A187" i="97" s="1"/>
  <c r="A188" i="97" s="1"/>
  <c r="A189" i="97" s="1"/>
  <c r="A190" i="97" s="1"/>
  <c r="A191" i="97" s="1"/>
  <c r="A192" i="97" s="1"/>
  <c r="A193" i="97" s="1"/>
  <c r="A194" i="97" s="1"/>
  <c r="A195" i="97" s="1"/>
  <c r="A196" i="97" s="1"/>
  <c r="A197" i="97" s="1"/>
  <c r="A198" i="97" s="1"/>
  <c r="A199" i="97" s="1"/>
  <c r="A200" i="97" s="1"/>
  <c r="A201" i="97" s="1"/>
  <c r="A202" i="97" s="1"/>
  <c r="A203" i="97" s="1"/>
  <c r="A204" i="97" s="1"/>
  <c r="A205" i="97" s="1"/>
  <c r="A206" i="97" s="1"/>
  <c r="A207" i="97" s="1"/>
  <c r="A208" i="97" s="1"/>
  <c r="A209" i="97" s="1"/>
  <c r="A210" i="97" s="1"/>
  <c r="A211" i="97" s="1"/>
  <c r="A212" i="97" s="1"/>
  <c r="A213" i="97" s="1"/>
  <c r="A214" i="97" s="1"/>
  <c r="A215" i="97" s="1"/>
  <c r="A216" i="97" s="1"/>
  <c r="A217" i="97" s="1"/>
  <c r="A218" i="97" s="1"/>
  <c r="A219" i="97" s="1"/>
  <c r="A220" i="97" s="1"/>
  <c r="A221" i="97" s="1"/>
  <c r="A222" i="97" s="1"/>
  <c r="A223" i="97" s="1"/>
  <c r="A224" i="97" s="1"/>
  <c r="A225" i="97" s="1"/>
  <c r="A226" i="97" s="1"/>
  <c r="A227" i="97" s="1"/>
  <c r="A228" i="97" s="1"/>
  <c r="A229" i="97" s="1"/>
  <c r="A230" i="97" s="1"/>
  <c r="A231" i="97" s="1"/>
  <c r="A232" i="97" s="1"/>
  <c r="A233" i="97" s="1"/>
  <c r="A234" i="97" s="1"/>
  <c r="A235" i="97" s="1"/>
  <c r="A236" i="97" s="1"/>
  <c r="A237" i="97" s="1"/>
  <c r="A238" i="97" s="1"/>
  <c r="A239" i="97" s="1"/>
  <c r="A240" i="97" s="1"/>
  <c r="A241" i="97" s="1"/>
  <c r="A242" i="97" s="1"/>
  <c r="A243" i="97" s="1"/>
  <c r="A244" i="97" s="1"/>
  <c r="A245" i="97" s="1"/>
  <c r="A246" i="97" s="1"/>
  <c r="A247" i="97" s="1"/>
  <c r="A248" i="97" s="1"/>
  <c r="A249" i="97" s="1"/>
  <c r="A250" i="97" s="1"/>
  <c r="A251" i="97" s="1"/>
  <c r="A252" i="97" s="1"/>
  <c r="A253" i="97" s="1"/>
  <c r="A254" i="97" s="1"/>
  <c r="A255" i="97" s="1"/>
  <c r="A256" i="97" s="1"/>
  <c r="A257" i="97" s="1"/>
  <c r="A258" i="97" s="1"/>
  <c r="A259" i="97" s="1"/>
  <c r="A260" i="97" s="1"/>
  <c r="A261" i="97" s="1"/>
  <c r="A262" i="97" s="1"/>
  <c r="A263" i="97" s="1"/>
  <c r="A264" i="97" s="1"/>
  <c r="A265" i="97" s="1"/>
  <c r="A266" i="97" s="1"/>
  <c r="A267" i="97" s="1"/>
  <c r="A268" i="97" s="1"/>
  <c r="A269" i="97" s="1"/>
  <c r="A270" i="97" s="1"/>
  <c r="A271" i="97" s="1"/>
  <c r="A272" i="97" s="1"/>
  <c r="A273" i="97" s="1"/>
  <c r="A274" i="97" s="1"/>
  <c r="A275" i="97" s="1"/>
  <c r="A276" i="97" s="1"/>
  <c r="A277" i="97" s="1"/>
  <c r="A278" i="97" s="1"/>
  <c r="A279" i="97" s="1"/>
  <c r="A280" i="97" s="1"/>
  <c r="A281" i="97" s="1"/>
  <c r="A282" i="97" s="1"/>
  <c r="A283" i="97" s="1"/>
  <c r="A284" i="97" s="1"/>
  <c r="A285" i="97" s="1"/>
  <c r="A286" i="97" s="1"/>
  <c r="A287" i="97" s="1"/>
  <c r="A288" i="97" s="1"/>
  <c r="A289" i="97" s="1"/>
  <c r="A290" i="97" s="1"/>
  <c r="A291" i="97" s="1"/>
  <c r="A292" i="97" s="1"/>
  <c r="A293" i="97" s="1"/>
  <c r="A294" i="97" s="1"/>
  <c r="A295" i="97" s="1"/>
  <c r="A296" i="97" s="1"/>
  <c r="A297" i="97" s="1"/>
  <c r="A298" i="97" s="1"/>
  <c r="A299" i="97" s="1"/>
  <c r="A300" i="97" s="1"/>
  <c r="A301" i="97" s="1"/>
  <c r="A302" i="97" s="1"/>
  <c r="A303" i="97" s="1"/>
  <c r="A304" i="97" s="1"/>
  <c r="A305" i="97" s="1"/>
  <c r="A306" i="97" s="1"/>
  <c r="A307" i="97" s="1"/>
  <c r="A308" i="97" s="1"/>
  <c r="A309" i="97" s="1"/>
  <c r="A310" i="97" s="1"/>
  <c r="A311" i="97" s="1"/>
  <c r="A312" i="97" s="1"/>
  <c r="A313" i="97" s="1"/>
  <c r="A314" i="97" s="1"/>
  <c r="A315" i="97" s="1"/>
  <c r="A316" i="97" s="1"/>
  <c r="A317" i="97" s="1"/>
  <c r="A318" i="97" s="1"/>
  <c r="A319" i="97" s="1"/>
  <c r="A320" i="97" s="1"/>
  <c r="A321" i="97" s="1"/>
  <c r="A322" i="97" s="1"/>
  <c r="A323" i="97" s="1"/>
  <c r="A324" i="97" s="1"/>
  <c r="A325" i="97" s="1"/>
  <c r="A326" i="97" s="1"/>
  <c r="A327" i="97" s="1"/>
  <c r="A328" i="97" s="1"/>
  <c r="A329" i="97" s="1"/>
  <c r="A330" i="97" s="1"/>
  <c r="A331" i="97" s="1"/>
  <c r="A332" i="97" s="1"/>
  <c r="A333" i="97" s="1"/>
  <c r="A334" i="97" s="1"/>
  <c r="A335" i="97" s="1"/>
  <c r="A336" i="97" s="1"/>
  <c r="A337" i="97" s="1"/>
  <c r="A338" i="97" s="1"/>
  <c r="A339" i="97" s="1"/>
  <c r="A340" i="97" s="1"/>
  <c r="A341" i="97" s="1"/>
  <c r="A342" i="97" s="1"/>
  <c r="A343" i="97" s="1"/>
  <c r="A344" i="97" s="1"/>
  <c r="A345" i="97" s="1"/>
  <c r="A346" i="97" s="1"/>
  <c r="A347" i="97" s="1"/>
  <c r="A348" i="97" s="1"/>
  <c r="A349" i="97" s="1"/>
  <c r="A350" i="97" s="1"/>
  <c r="A351" i="97" s="1"/>
  <c r="A352" i="97" s="1"/>
  <c r="A353" i="97" s="1"/>
  <c r="A354" i="97" s="1"/>
  <c r="A355" i="97" s="1"/>
  <c r="A356" i="97" s="1"/>
  <c r="A357" i="97" s="1"/>
  <c r="A358" i="97" s="1"/>
  <c r="A359" i="97" s="1"/>
  <c r="A360" i="97" s="1"/>
  <c r="A361" i="97" s="1"/>
  <c r="A362" i="97" s="1"/>
  <c r="A363" i="97" s="1"/>
  <c r="A364" i="97" s="1"/>
  <c r="A365" i="97" s="1"/>
  <c r="A366" i="97" s="1"/>
  <c r="A367" i="97" s="1"/>
  <c r="A368" i="97" s="1"/>
  <c r="A369" i="97" s="1"/>
  <c r="A370" i="97" s="1"/>
  <c r="A371" i="97" s="1"/>
  <c r="A372" i="97" s="1"/>
  <c r="A373" i="97" s="1"/>
  <c r="A374" i="97" s="1"/>
  <c r="A375" i="97" s="1"/>
  <c r="A376" i="97" s="1"/>
  <c r="A377" i="97" s="1"/>
  <c r="A378" i="97" s="1"/>
  <c r="A379" i="97" s="1"/>
  <c r="A380" i="97" s="1"/>
  <c r="A381" i="97" s="1"/>
  <c r="A382" i="97" s="1"/>
  <c r="A383" i="97" s="1"/>
  <c r="A384" i="97" s="1"/>
  <c r="A385" i="97" s="1"/>
  <c r="A386" i="97" s="1"/>
  <c r="A387" i="97" s="1"/>
  <c r="A388" i="97" s="1"/>
  <c r="A389" i="97" s="1"/>
  <c r="A390" i="97" s="1"/>
  <c r="A391" i="97" s="1"/>
  <c r="A392" i="97" s="1"/>
  <c r="A393" i="97" s="1"/>
  <c r="A394" i="97" s="1"/>
  <c r="A395" i="97" s="1"/>
  <c r="A396" i="97" s="1"/>
  <c r="A397" i="97" s="1"/>
  <c r="A398" i="97" s="1"/>
  <c r="A399" i="97" s="1"/>
  <c r="A400" i="97" s="1"/>
  <c r="A401" i="97" s="1"/>
  <c r="A402" i="97" s="1"/>
  <c r="A403" i="97" s="1"/>
  <c r="A404" i="97" s="1"/>
  <c r="A405" i="97" s="1"/>
  <c r="A406" i="97" s="1"/>
  <c r="A407" i="97" s="1"/>
  <c r="A408" i="97" s="1"/>
  <c r="A409" i="97" s="1"/>
  <c r="A410" i="97" s="1"/>
  <c r="A411" i="97" s="1"/>
  <c r="A412" i="97" s="1"/>
  <c r="A413" i="97" s="1"/>
  <c r="A414" i="97" s="1"/>
  <c r="A415" i="97" s="1"/>
  <c r="A416" i="97" s="1"/>
  <c r="A417" i="97" s="1"/>
  <c r="A418" i="97" s="1"/>
  <c r="A419" i="97" s="1"/>
  <c r="A420" i="97" s="1"/>
  <c r="A421" i="97" s="1"/>
  <c r="A422" i="97" s="1"/>
  <c r="A423" i="97" s="1"/>
  <c r="A424" i="97" s="1"/>
  <c r="A425" i="97" s="1"/>
  <c r="A426" i="97" s="1"/>
  <c r="A427" i="97" s="1"/>
  <c r="A428" i="97" s="1"/>
  <c r="A429" i="97" s="1"/>
  <c r="A430" i="97" s="1"/>
  <c r="A431" i="97" s="1"/>
  <c r="A432" i="97" s="1"/>
  <c r="A433" i="97" s="1"/>
  <c r="A434" i="97" s="1"/>
  <c r="A435" i="97" s="1"/>
  <c r="A436" i="97" s="1"/>
  <c r="A437" i="97" s="1"/>
  <c r="A438" i="97" s="1"/>
  <c r="A439" i="97" s="1"/>
  <c r="A440" i="97" s="1"/>
  <c r="A441" i="97" s="1"/>
  <c r="A442" i="97" s="1"/>
  <c r="A443" i="97" s="1"/>
  <c r="A444" i="97" s="1"/>
  <c r="A445" i="97" s="1"/>
  <c r="A446" i="97" s="1"/>
  <c r="A447" i="97" s="1"/>
  <c r="A448" i="97" s="1"/>
  <c r="A449" i="97" s="1"/>
  <c r="A450" i="97" s="1"/>
  <c r="A451" i="97" s="1"/>
  <c r="A452" i="97" s="1"/>
  <c r="A453" i="97" s="1"/>
  <c r="A454" i="97" s="1"/>
  <c r="A455" i="97" s="1"/>
  <c r="A456" i="97" s="1"/>
  <c r="A457" i="97" s="1"/>
  <c r="A458" i="97" s="1"/>
  <c r="A459" i="97" s="1"/>
  <c r="A460" i="97" s="1"/>
  <c r="A461" i="97" s="1"/>
  <c r="A462" i="97" s="1"/>
  <c r="A463" i="97" s="1"/>
  <c r="A464" i="97" s="1"/>
  <c r="A465" i="97" s="1"/>
  <c r="A466" i="97" s="1"/>
  <c r="A467" i="97" s="1"/>
  <c r="A468" i="97" s="1"/>
  <c r="A469" i="97" s="1"/>
  <c r="A470" i="97" s="1"/>
  <c r="A471" i="97" s="1"/>
  <c r="A472" i="97" s="1"/>
  <c r="A473" i="97" s="1"/>
  <c r="A474" i="97" s="1"/>
  <c r="A475" i="97" s="1"/>
  <c r="A476" i="97" s="1"/>
  <c r="A477" i="97" s="1"/>
  <c r="A478" i="97" s="1"/>
  <c r="A479" i="97" s="1"/>
  <c r="A480" i="97" s="1"/>
  <c r="A481" i="97" s="1"/>
  <c r="A482" i="97" s="1"/>
  <c r="A483" i="97" s="1"/>
  <c r="A484" i="97" s="1"/>
  <c r="A485" i="97" s="1"/>
  <c r="A486" i="97" s="1"/>
  <c r="A487" i="97" s="1"/>
  <c r="A488" i="97" s="1"/>
  <c r="A489" i="97" s="1"/>
  <c r="A490" i="97" s="1"/>
  <c r="A491" i="97" s="1"/>
  <c r="A492" i="97" s="1"/>
  <c r="A493" i="97" s="1"/>
  <c r="A494" i="97" s="1"/>
  <c r="A495" i="97" s="1"/>
  <c r="A496" i="97" s="1"/>
  <c r="A497" i="97" s="1"/>
  <c r="A498" i="97" s="1"/>
  <c r="A499" i="97" s="1"/>
  <c r="A500" i="97" s="1"/>
  <c r="A501" i="97" s="1"/>
  <c r="A502" i="97" s="1"/>
  <c r="A503" i="97" s="1"/>
  <c r="A504" i="97" s="1"/>
  <c r="A505" i="97" s="1"/>
  <c r="A506" i="97" s="1"/>
  <c r="A507" i="97" s="1"/>
  <c r="A508" i="97" s="1"/>
  <c r="A509" i="97" s="1"/>
  <c r="A510" i="97" s="1"/>
  <c r="A511" i="97" s="1"/>
  <c r="A512" i="97" s="1"/>
  <c r="A513" i="97" s="1"/>
  <c r="A514" i="97" s="1"/>
  <c r="A515" i="97" s="1"/>
  <c r="A516" i="97" s="1"/>
  <c r="A517" i="97" s="1"/>
  <c r="A518" i="97" s="1"/>
  <c r="A519" i="97" s="1"/>
  <c r="A520" i="97" s="1"/>
  <c r="A521" i="97" s="1"/>
  <c r="A522" i="97" s="1"/>
  <c r="A523" i="97" s="1"/>
  <c r="A524" i="97" s="1"/>
  <c r="A525" i="97" s="1"/>
  <c r="A526" i="97" s="1"/>
  <c r="A527" i="97" s="1"/>
  <c r="A528" i="97" s="1"/>
  <c r="A529" i="97" s="1"/>
  <c r="A530" i="97" s="1"/>
  <c r="A531" i="97" s="1"/>
  <c r="A532" i="97" s="1"/>
  <c r="A533" i="97" s="1"/>
  <c r="A534" i="97" s="1"/>
  <c r="A535" i="97" s="1"/>
  <c r="A536" i="97" s="1"/>
  <c r="A537" i="97" s="1"/>
  <c r="A538" i="97" s="1"/>
  <c r="A539" i="97" s="1"/>
  <c r="A540" i="97" s="1"/>
  <c r="A541" i="97" s="1"/>
  <c r="A542" i="97" s="1"/>
  <c r="A543" i="97" s="1"/>
  <c r="A544" i="97" s="1"/>
  <c r="A545" i="97" s="1"/>
  <c r="A546" i="97" s="1"/>
  <c r="A547" i="97" s="1"/>
  <c r="A548" i="97" s="1"/>
  <c r="A549" i="97" s="1"/>
  <c r="A550" i="97" s="1"/>
  <c r="A551" i="97" s="1"/>
  <c r="A552" i="97" s="1"/>
  <c r="A553" i="97" s="1"/>
  <c r="A554" i="97" s="1"/>
  <c r="A555" i="97" s="1"/>
  <c r="A556" i="97" s="1"/>
  <c r="A557" i="97" s="1"/>
  <c r="A558" i="97" s="1"/>
  <c r="A559" i="97" s="1"/>
  <c r="A560" i="97" s="1"/>
  <c r="A561" i="97" s="1"/>
  <c r="A562" i="97" s="1"/>
  <c r="A563" i="97" s="1"/>
  <c r="A564" i="97" s="1"/>
  <c r="A565" i="97" s="1"/>
  <c r="A566" i="97" s="1"/>
  <c r="E5" i="3"/>
  <c r="C2" i="209" s="1"/>
  <c r="G23" i="47"/>
  <c r="N26" i="51"/>
  <c r="O25" i="47"/>
  <c r="Q25" i="47"/>
  <c r="Q27" i="47" s="1"/>
  <c r="S21" i="71"/>
  <c r="S29" i="71" s="1"/>
  <c r="R29" i="37"/>
  <c r="C29" i="189"/>
  <c r="M15" i="39"/>
  <c r="M20" i="39" s="1"/>
  <c r="K20" i="39"/>
  <c r="K21" i="40" s="1"/>
  <c r="K36" i="5"/>
  <c r="K37" i="5" s="1"/>
  <c r="C86" i="205"/>
  <c r="S23" i="203"/>
  <c r="C25" i="203"/>
  <c r="N11" i="51"/>
  <c r="K26" i="41"/>
  <c r="Q9" i="25"/>
  <c r="N23" i="40"/>
  <c r="F448" i="203"/>
  <c r="F449" i="203" s="1"/>
  <c r="C1172" i="205"/>
  <c r="E449" i="203"/>
  <c r="G21" i="47"/>
  <c r="P6" i="77"/>
  <c r="K6" i="77"/>
  <c r="D29" i="181"/>
  <c r="C29" i="188"/>
  <c r="D14" i="203"/>
  <c r="E23" i="47"/>
  <c r="F974" i="205"/>
  <c r="D71" i="205"/>
  <c r="D975" i="205"/>
  <c r="D414" i="205"/>
  <c r="I25" i="47"/>
  <c r="J25" i="47" s="1"/>
  <c r="O9" i="34"/>
  <c r="C29" i="186"/>
  <c r="C87" i="205"/>
  <c r="E87" i="205" s="1"/>
  <c r="S24" i="203"/>
  <c r="F87" i="205"/>
  <c r="G87" i="205" s="1"/>
  <c r="H87" i="205" s="1"/>
  <c r="I87" i="205" s="1"/>
  <c r="J87" i="205" s="1"/>
  <c r="AM87" i="205" s="1"/>
  <c r="D16" i="203"/>
  <c r="E24" i="47"/>
  <c r="D86" i="205"/>
  <c r="D25" i="203"/>
  <c r="N25" i="51"/>
  <c r="H54" i="85"/>
  <c r="D131" i="203"/>
  <c r="L23" i="34"/>
  <c r="L25" i="38" s="1"/>
  <c r="L21" i="39" s="1"/>
  <c r="L25" i="26"/>
  <c r="O25" i="125"/>
  <c r="L16" i="65" s="1"/>
  <c r="D29" i="135"/>
  <c r="F29" i="184"/>
  <c r="O26" i="36"/>
  <c r="O16" i="40" s="1"/>
  <c r="O26" i="31"/>
  <c r="O13" i="40" s="1"/>
  <c r="O26" i="30"/>
  <c r="O12" i="40" s="1"/>
  <c r="O26" i="28"/>
  <c r="N63" i="51"/>
  <c r="N36" i="51"/>
  <c r="N57" i="51" s="1"/>
  <c r="N78" i="51" s="1"/>
  <c r="N124" i="51"/>
  <c r="N84" i="51"/>
  <c r="N22" i="51"/>
  <c r="N104" i="51"/>
  <c r="N42" i="51"/>
  <c r="N144" i="51"/>
  <c r="J20" i="52"/>
  <c r="K20" i="52" s="1"/>
  <c r="K24" i="52" s="1"/>
  <c r="I5" i="53"/>
  <c r="K25" i="52"/>
  <c r="K5" i="52"/>
  <c r="O25" i="103"/>
  <c r="K16" i="65" s="1"/>
  <c r="K18" i="65" s="1"/>
  <c r="J25" i="26"/>
  <c r="J7" i="40" s="1"/>
  <c r="P7" i="61"/>
  <c r="E21" i="47"/>
  <c r="F23" i="48"/>
  <c r="K23" i="48" s="1"/>
  <c r="L23" i="48" s="1"/>
  <c r="K30" i="48"/>
  <c r="L30" i="48" s="1"/>
  <c r="Q29" i="48"/>
  <c r="Q30" i="48"/>
  <c r="M21" i="34"/>
  <c r="M14" i="40" s="1"/>
  <c r="N21" i="34"/>
  <c r="O15" i="34"/>
  <c r="M21" i="24"/>
  <c r="M23" i="24" s="1"/>
  <c r="M25" i="26" s="1"/>
  <c r="M12" i="40"/>
  <c r="H52" i="85"/>
  <c r="L15" i="40"/>
  <c r="O25" i="128"/>
  <c r="M16" i="65" s="1"/>
  <c r="O25" i="131"/>
  <c r="N16" i="65" s="1"/>
  <c r="K23" i="34"/>
  <c r="K25" i="38" s="1"/>
  <c r="K21" i="39" s="1"/>
  <c r="N25" i="26"/>
  <c r="N7" i="40" s="1"/>
  <c r="K25" i="26"/>
  <c r="K7" i="40" s="1"/>
  <c r="O21" i="24"/>
  <c r="O23" i="24" s="1"/>
  <c r="D29" i="183"/>
  <c r="C29" i="191"/>
  <c r="F29" i="191"/>
  <c r="F29" i="190"/>
  <c r="D29" i="182"/>
  <c r="C29" i="190"/>
  <c r="F29" i="189"/>
  <c r="F13" i="188"/>
  <c r="F29" i="188" s="1"/>
  <c r="C29" i="187"/>
  <c r="F29" i="187"/>
  <c r="F16" i="186"/>
  <c r="F29" i="186" s="1"/>
  <c r="F29" i="185"/>
  <c r="C29" i="185"/>
  <c r="D29" i="58"/>
  <c r="D29" i="136"/>
  <c r="F29" i="158"/>
  <c r="B2" i="158"/>
  <c r="B2" i="183"/>
  <c r="B2" i="180"/>
  <c r="L7" i="40"/>
  <c r="J34" i="87"/>
  <c r="J36" i="87" s="1"/>
  <c r="T7" i="87" s="1"/>
  <c r="T22" i="87" s="1"/>
  <c r="T30" i="87" s="1"/>
  <c r="C29" i="158"/>
  <c r="F29" i="177"/>
  <c r="K35" i="177" s="1"/>
  <c r="R11" i="66"/>
  <c r="Q17" i="48"/>
  <c r="Q15" i="48"/>
  <c r="Q26" i="48"/>
  <c r="Q20" i="48"/>
  <c r="Q28" i="48"/>
  <c r="Q33" i="48"/>
  <c r="Q36" i="48"/>
  <c r="Q16" i="48"/>
  <c r="Q32" i="48"/>
  <c r="Q22" i="48"/>
  <c r="Q34" i="48"/>
  <c r="Q21" i="48"/>
  <c r="Q31" i="48"/>
  <c r="Q23" i="48"/>
  <c r="Q19" i="48"/>
  <c r="Q18" i="48"/>
  <c r="Q27" i="48"/>
  <c r="Q25" i="48"/>
  <c r="Q24" i="48"/>
  <c r="F18" i="48"/>
  <c r="K18" i="48" s="1"/>
  <c r="L18" i="48" s="1"/>
  <c r="F16" i="48"/>
  <c r="K16" i="48" s="1"/>
  <c r="L16" i="48" s="1"/>
  <c r="F15" i="48"/>
  <c r="F24" i="48"/>
  <c r="K24" i="48" s="1"/>
  <c r="L24" i="48" s="1"/>
  <c r="F33" i="48"/>
  <c r="K33" i="48" s="1"/>
  <c r="L33" i="48" s="1"/>
  <c r="F27" i="48"/>
  <c r="K27" i="48" s="1"/>
  <c r="L27" i="48" s="1"/>
  <c r="F34" i="48"/>
  <c r="K34" i="48" s="1"/>
  <c r="L34" i="48" s="1"/>
  <c r="P12" i="61"/>
  <c r="L27" i="51"/>
  <c r="I24" i="47"/>
  <c r="J24" i="47" s="1"/>
  <c r="P11" i="61"/>
  <c r="L26" i="51"/>
  <c r="H34" i="85"/>
  <c r="L16" i="51"/>
  <c r="J15" i="40"/>
  <c r="P10" i="61" s="1"/>
  <c r="L25" i="51"/>
  <c r="K15" i="40"/>
  <c r="E10" i="47"/>
  <c r="I10" i="47" s="1"/>
  <c r="J10" i="47" s="1"/>
  <c r="J23" i="34"/>
  <c r="J25" i="38" s="1"/>
  <c r="M14" i="65"/>
  <c r="N14" i="65"/>
  <c r="L11" i="65"/>
  <c r="I11" i="65"/>
  <c r="K11" i="65"/>
  <c r="J11" i="65"/>
  <c r="I18" i="22"/>
  <c r="I20" i="22" s="1"/>
  <c r="F25" i="49" s="1"/>
  <c r="F47" i="49" s="1"/>
  <c r="E8" i="47"/>
  <c r="M11" i="65"/>
  <c r="N11" i="65"/>
  <c r="J18" i="22"/>
  <c r="G8" i="47"/>
  <c r="L15" i="65"/>
  <c r="O26" i="34"/>
  <c r="O31" i="34"/>
  <c r="I7" i="47" l="1"/>
  <c r="J7" i="47" s="1"/>
  <c r="O21" i="34"/>
  <c r="O23" i="34" s="1"/>
  <c r="I23" i="47"/>
  <c r="J23" i="47" s="1"/>
  <c r="K18" i="22"/>
  <c r="K20" i="22" s="1"/>
  <c r="C132" i="203"/>
  <c r="C162" i="203" s="1"/>
  <c r="O27" i="47"/>
  <c r="J4" i="57"/>
  <c r="C2" i="208"/>
  <c r="O25" i="100"/>
  <c r="J16" i="65" s="1"/>
  <c r="J18" i="65" s="1"/>
  <c r="J19" i="65" s="1"/>
  <c r="O25" i="43"/>
  <c r="I16" i="65" s="1"/>
  <c r="I18" i="65" s="1"/>
  <c r="I19" i="65" s="1"/>
  <c r="G16" i="47"/>
  <c r="I21" i="47"/>
  <c r="J21" i="47" s="1"/>
  <c r="M17" i="40"/>
  <c r="N29" i="37"/>
  <c r="K4" i="190"/>
  <c r="F7" i="76"/>
  <c r="J4" i="181"/>
  <c r="J4" i="182"/>
  <c r="J4" i="172"/>
  <c r="J4" i="174"/>
  <c r="J4" i="184"/>
  <c r="K4" i="191"/>
  <c r="K4" i="186"/>
  <c r="C2" i="77"/>
  <c r="K4" i="185"/>
  <c r="J4" i="171"/>
  <c r="K4" i="187"/>
  <c r="M21" i="40"/>
  <c r="Q20" i="39"/>
  <c r="J4" i="135"/>
  <c r="A1" i="205"/>
  <c r="B2" i="203"/>
  <c r="C68" i="205"/>
  <c r="C1173" i="205"/>
  <c r="C494" i="205"/>
  <c r="C495" i="205" s="1"/>
  <c r="C88" i="205"/>
  <c r="C15" i="205" s="1"/>
  <c r="J4" i="178"/>
  <c r="J4" i="183"/>
  <c r="E5" i="63"/>
  <c r="J4" i="177"/>
  <c r="B3" i="56"/>
  <c r="J4" i="176"/>
  <c r="J4" i="180"/>
  <c r="B2" i="85"/>
  <c r="C4" i="48"/>
  <c r="J4" i="175"/>
  <c r="J4" i="58"/>
  <c r="AK87" i="205"/>
  <c r="E8" i="3"/>
  <c r="E36" i="3"/>
  <c r="D2" i="203" s="1"/>
  <c r="D415" i="205"/>
  <c r="G974" i="205"/>
  <c r="F71" i="205"/>
  <c r="F975" i="205"/>
  <c r="F46" i="205" s="1"/>
  <c r="F414" i="205"/>
  <c r="F415" i="205" s="1"/>
  <c r="E6" i="3"/>
  <c r="E9" i="3"/>
  <c r="D29" i="184"/>
  <c r="C12" i="203"/>
  <c r="E364" i="203"/>
  <c r="J4" i="173"/>
  <c r="K4" i="158"/>
  <c r="B47" i="85"/>
  <c r="J4" i="179"/>
  <c r="K4" i="192"/>
  <c r="K4" i="188"/>
  <c r="K4" i="189"/>
  <c r="J4" i="136"/>
  <c r="F86" i="205"/>
  <c r="D88" i="205"/>
  <c r="E86" i="205"/>
  <c r="D46" i="205"/>
  <c r="E7" i="3"/>
  <c r="G35" i="47"/>
  <c r="G37" i="47" s="1"/>
  <c r="L7" i="54"/>
  <c r="L12" i="54" s="1"/>
  <c r="L22" i="54" s="1"/>
  <c r="D132" i="203"/>
  <c r="D190" i="205"/>
  <c r="C22" i="205"/>
  <c r="S131" i="203"/>
  <c r="M15" i="40"/>
  <c r="L18" i="65"/>
  <c r="L19" i="65" s="1"/>
  <c r="N23" i="34"/>
  <c r="N25" i="38" s="1"/>
  <c r="N21" i="39" s="1"/>
  <c r="N23" i="39" s="1"/>
  <c r="N25" i="39" s="1"/>
  <c r="H14" i="65" s="1"/>
  <c r="Q31" i="60"/>
  <c r="K19" i="65"/>
  <c r="L24" i="40"/>
  <c r="O10" i="40"/>
  <c r="N18" i="65"/>
  <c r="N19" i="65" s="1"/>
  <c r="M18" i="65"/>
  <c r="M19" i="65" s="1"/>
  <c r="P6" i="61"/>
  <c r="L12" i="51"/>
  <c r="D29" i="177"/>
  <c r="O25" i="26"/>
  <c r="O7" i="40" s="1"/>
  <c r="M23" i="34"/>
  <c r="M25" i="38" s="1"/>
  <c r="M21" i="39" s="1"/>
  <c r="M23" i="39" s="1"/>
  <c r="M25" i="39" s="1"/>
  <c r="O14" i="40"/>
  <c r="N14" i="40"/>
  <c r="N15" i="40" s="1"/>
  <c r="N24" i="40" s="1"/>
  <c r="C10" i="203" s="1"/>
  <c r="I8" i="47"/>
  <c r="J8" i="47" s="1"/>
  <c r="K24" i="40"/>
  <c r="K23" i="39"/>
  <c r="K25" i="39" s="1"/>
  <c r="H8" i="65" s="1"/>
  <c r="C29" i="192"/>
  <c r="F29" i="192"/>
  <c r="L23" i="39"/>
  <c r="L25" i="39" s="1"/>
  <c r="H10" i="65" s="1"/>
  <c r="S19" i="47"/>
  <c r="J30" i="95"/>
  <c r="K15" i="48"/>
  <c r="L15" i="48" s="1"/>
  <c r="F19" i="48"/>
  <c r="R16" i="66"/>
  <c r="I41" i="22"/>
  <c r="I43" i="22" s="1"/>
  <c r="O28" i="47"/>
  <c r="Q28" i="47"/>
  <c r="Q29" i="47" s="1"/>
  <c r="R8" i="66"/>
  <c r="M7" i="40"/>
  <c r="J20" i="22"/>
  <c r="J26" i="22" s="1"/>
  <c r="N12" i="51"/>
  <c r="N18" i="51" s="1"/>
  <c r="O29" i="47" l="1"/>
  <c r="K26" i="22"/>
  <c r="C8" i="203" s="1"/>
  <c r="C220" i="205"/>
  <c r="C25" i="205"/>
  <c r="K19" i="48"/>
  <c r="L19" i="48" s="1"/>
  <c r="M24" i="40"/>
  <c r="E35" i="47"/>
  <c r="F22" i="54"/>
  <c r="F23" i="54" s="1"/>
  <c r="L25" i="54"/>
  <c r="G86" i="205"/>
  <c r="F88" i="205"/>
  <c r="F15" i="205" s="1"/>
  <c r="M29" i="67"/>
  <c r="F4" i="60"/>
  <c r="C53" i="205"/>
  <c r="F364" i="203"/>
  <c r="F365" i="203" s="1"/>
  <c r="F451" i="203" s="1"/>
  <c r="C974" i="205"/>
  <c r="E365" i="203"/>
  <c r="E451" i="203" s="1"/>
  <c r="J5" i="60"/>
  <c r="C2" i="203"/>
  <c r="Q6" i="67"/>
  <c r="M9" i="68"/>
  <c r="D181" i="51"/>
  <c r="P5" i="69"/>
  <c r="K31" i="67"/>
  <c r="L5" i="63"/>
  <c r="E4" i="51"/>
  <c r="L3" i="51"/>
  <c r="K14" i="67"/>
  <c r="K6" i="67"/>
  <c r="I9" i="68"/>
  <c r="C5" i="60"/>
  <c r="C31" i="67"/>
  <c r="J5" i="69"/>
  <c r="L180" i="51"/>
  <c r="H974" i="205"/>
  <c r="G975" i="205"/>
  <c r="G46" i="205" s="1"/>
  <c r="G414" i="205"/>
  <c r="G415" i="205" s="1"/>
  <c r="G71" i="205"/>
  <c r="R29" i="67"/>
  <c r="F3" i="51"/>
  <c r="G14" i="67"/>
  <c r="F180" i="51"/>
  <c r="L4" i="60"/>
  <c r="E5" i="69"/>
  <c r="G6" i="67"/>
  <c r="F9" i="68"/>
  <c r="D15" i="205"/>
  <c r="E15" i="205" s="1"/>
  <c r="E88" i="205"/>
  <c r="F190" i="205"/>
  <c r="D191" i="205"/>
  <c r="E190" i="205"/>
  <c r="O15" i="40"/>
  <c r="O24" i="40" s="1"/>
  <c r="R25" i="26"/>
  <c r="O25" i="38"/>
  <c r="H11" i="65"/>
  <c r="J29" i="22"/>
  <c r="J31" i="22" s="1"/>
  <c r="J21" i="39"/>
  <c r="J23" i="39" s="1"/>
  <c r="F8" i="49" s="1"/>
  <c r="R10" i="66"/>
  <c r="R12" i="66" s="1"/>
  <c r="J32" i="22"/>
  <c r="F44" i="49" l="1"/>
  <c r="F23" i="49"/>
  <c r="F27" i="49" s="1"/>
  <c r="I974" i="205"/>
  <c r="H975" i="205"/>
  <c r="H46" i="205" s="1"/>
  <c r="H71" i="205"/>
  <c r="H414" i="205"/>
  <c r="H415" i="205" s="1"/>
  <c r="S364" i="203"/>
  <c r="L37" i="54"/>
  <c r="L27" i="54"/>
  <c r="G88" i="205"/>
  <c r="G15" i="205" s="1"/>
  <c r="H86" i="205"/>
  <c r="C975" i="205"/>
  <c r="C71" i="205"/>
  <c r="E71" i="205" s="1"/>
  <c r="C414" i="205"/>
  <c r="E974" i="205"/>
  <c r="C80" i="205"/>
  <c r="AL6" i="205" s="1"/>
  <c r="E37" i="47"/>
  <c r="I37" i="47" s="1"/>
  <c r="I35" i="47"/>
  <c r="E191" i="205"/>
  <c r="D22" i="205"/>
  <c r="E22" i="205" s="1"/>
  <c r="G190" i="205"/>
  <c r="F191" i="205"/>
  <c r="R23" i="34"/>
  <c r="O21" i="39"/>
  <c r="O23" i="39" s="1"/>
  <c r="O25" i="39" s="1"/>
  <c r="I44" i="49" l="1"/>
  <c r="F30" i="49"/>
  <c r="F41" i="49" s="1"/>
  <c r="F45" i="49" s="1"/>
  <c r="F46" i="49" s="1"/>
  <c r="F48" i="49" s="1"/>
  <c r="C46" i="205"/>
  <c r="E975" i="205"/>
  <c r="C1175" i="205"/>
  <c r="C415" i="205"/>
  <c r="E414" i="205"/>
  <c r="I86" i="205"/>
  <c r="H88" i="205"/>
  <c r="H15" i="205" s="1"/>
  <c r="J974" i="205"/>
  <c r="I71" i="205"/>
  <c r="I414" i="205"/>
  <c r="I415" i="205" s="1"/>
  <c r="I975" i="205"/>
  <c r="I46" i="205" s="1"/>
  <c r="H190" i="205"/>
  <c r="G191" i="205"/>
  <c r="F22" i="205"/>
  <c r="H15" i="65"/>
  <c r="R25" i="39"/>
  <c r="H16" i="65" s="1"/>
  <c r="I46" i="49" l="1"/>
  <c r="E50" i="49"/>
  <c r="E39" i="49"/>
  <c r="E40" i="49" s="1"/>
  <c r="C497" i="205"/>
  <c r="E415" i="205"/>
  <c r="AM974" i="205"/>
  <c r="J71" i="205"/>
  <c r="AM71" i="205" s="1"/>
  <c r="J975" i="205"/>
  <c r="J46" i="205" s="1"/>
  <c r="J414" i="205"/>
  <c r="AK974" i="205"/>
  <c r="J86" i="205"/>
  <c r="I88" i="205"/>
  <c r="I15" i="205" s="1"/>
  <c r="C55" i="205"/>
  <c r="E46" i="205"/>
  <c r="G22" i="205"/>
  <c r="I190" i="205"/>
  <c r="H191" i="205"/>
  <c r="H18" i="65"/>
  <c r="H19" i="65" s="1"/>
  <c r="J13" i="66"/>
  <c r="F22" i="48"/>
  <c r="J24" i="39" l="1"/>
  <c r="I448" i="203" s="1"/>
  <c r="AM86" i="205"/>
  <c r="J88" i="205"/>
  <c r="J15" i="205" s="1"/>
  <c r="AM15" i="205" s="1"/>
  <c r="C72" i="205"/>
  <c r="C73" i="205" s="1"/>
  <c r="C75" i="205" s="1"/>
  <c r="C78" i="205"/>
  <c r="AL5" i="205" s="1"/>
  <c r="AK414" i="205"/>
  <c r="AM414" i="205"/>
  <c r="J415" i="205"/>
  <c r="AM46" i="205"/>
  <c r="AK86" i="205"/>
  <c r="H22" i="205"/>
  <c r="J190" i="205"/>
  <c r="I191" i="205"/>
  <c r="O36" i="47"/>
  <c r="K22" i="48"/>
  <c r="L22" i="48" s="1"/>
  <c r="J33" i="49" l="1"/>
  <c r="J448" i="203"/>
  <c r="J449" i="203" s="1"/>
  <c r="J451" i="203" s="1"/>
  <c r="E10" i="203" s="1"/>
  <c r="D1172" i="205"/>
  <c r="I449" i="203"/>
  <c r="I451" i="203" s="1"/>
  <c r="I22" i="205"/>
  <c r="J191" i="205"/>
  <c r="AM190" i="205"/>
  <c r="AK190" i="205"/>
  <c r="S36" i="47"/>
  <c r="O37" i="47"/>
  <c r="S37" i="47" s="1"/>
  <c r="I22" i="22"/>
  <c r="I25" i="22" s="1"/>
  <c r="I26" i="22" s="1"/>
  <c r="R13" i="66"/>
  <c r="J25" i="39"/>
  <c r="J23" i="40"/>
  <c r="H31" i="85"/>
  <c r="E26" i="47"/>
  <c r="S448" i="203" l="1"/>
  <c r="F1172" i="205"/>
  <c r="D68" i="205"/>
  <c r="D1173" i="205"/>
  <c r="E1172" i="205"/>
  <c r="N1172" i="205" s="1"/>
  <c r="O1172" i="205" s="1"/>
  <c r="P1172" i="205" s="1"/>
  <c r="Q1172" i="205" s="1"/>
  <c r="R1172" i="205" s="1"/>
  <c r="D494" i="205"/>
  <c r="J22" i="205"/>
  <c r="AM22" i="205" s="1"/>
  <c r="R15" i="66"/>
  <c r="I29" i="22"/>
  <c r="L14" i="51"/>
  <c r="L17" i="51" s="1"/>
  <c r="L18" i="51" s="1"/>
  <c r="J31" i="95"/>
  <c r="J32" i="95" s="1"/>
  <c r="J35" i="95" s="1"/>
  <c r="D28" i="203"/>
  <c r="D91" i="205" s="1"/>
  <c r="S20" i="47"/>
  <c r="S21" i="47" s="1"/>
  <c r="R18" i="66"/>
  <c r="E12" i="47"/>
  <c r="E16" i="47" s="1"/>
  <c r="Q33" i="60"/>
  <c r="Q41" i="60" s="1"/>
  <c r="O7" i="47"/>
  <c r="S7" i="47" s="1"/>
  <c r="T7" i="47" s="1"/>
  <c r="T32" i="87"/>
  <c r="T34" i="87" s="1"/>
  <c r="E32" i="48"/>
  <c r="E36" i="48" s="1"/>
  <c r="I26" i="47"/>
  <c r="L28" i="51"/>
  <c r="P18" i="61"/>
  <c r="P20" i="61" s="1"/>
  <c r="J24" i="40"/>
  <c r="D10" i="203" s="1"/>
  <c r="D53" i="205" l="1"/>
  <c r="D1175" i="205"/>
  <c r="E1173" i="205"/>
  <c r="E68" i="205"/>
  <c r="D495" i="205"/>
  <c r="E494" i="205"/>
  <c r="G1172" i="205"/>
  <c r="F1173" i="205"/>
  <c r="F68" i="205"/>
  <c r="F494" i="205"/>
  <c r="F495" i="205" s="1"/>
  <c r="F497" i="205" s="1"/>
  <c r="F91" i="205"/>
  <c r="D93" i="205"/>
  <c r="E91" i="205"/>
  <c r="N91" i="205" s="1"/>
  <c r="O91" i="205" s="1"/>
  <c r="P91" i="205" s="1"/>
  <c r="Q91" i="205" s="1"/>
  <c r="R91" i="205" s="1"/>
  <c r="H10" i="203"/>
  <c r="I10" i="203"/>
  <c r="D30" i="203"/>
  <c r="D162" i="203" s="1"/>
  <c r="E8" i="203" s="1"/>
  <c r="S28" i="203"/>
  <c r="D8" i="60"/>
  <c r="Q51" i="60"/>
  <c r="J26" i="47"/>
  <c r="I12" i="47"/>
  <c r="F32" i="48"/>
  <c r="F36" i="48" s="1"/>
  <c r="D8" i="203"/>
  <c r="H56" i="85"/>
  <c r="O32" i="48" l="1"/>
  <c r="O35" i="48"/>
  <c r="S35" i="48" s="1"/>
  <c r="K36" i="48"/>
  <c r="L36" i="48" s="1"/>
  <c r="O34" i="48"/>
  <c r="P32" i="48"/>
  <c r="T32" i="48" s="1"/>
  <c r="P35" i="48"/>
  <c r="T35" i="48" s="1"/>
  <c r="P34" i="48"/>
  <c r="T34" i="48" s="1"/>
  <c r="H1172" i="205"/>
  <c r="G494" i="205"/>
  <c r="G495" i="205" s="1"/>
  <c r="G497" i="205" s="1"/>
  <c r="G498" i="205" s="1"/>
  <c r="G68" i="205"/>
  <c r="G1173" i="205"/>
  <c r="E495" i="205"/>
  <c r="D497" i="205"/>
  <c r="F498" i="205" s="1"/>
  <c r="D1176" i="205"/>
  <c r="E1175" i="205"/>
  <c r="F53" i="205"/>
  <c r="F55" i="205" s="1"/>
  <c r="F1175" i="205"/>
  <c r="F1176" i="205" s="1"/>
  <c r="D55" i="205"/>
  <c r="E53" i="205"/>
  <c r="E93" i="205"/>
  <c r="D16" i="205"/>
  <c r="D220" i="205"/>
  <c r="E220" i="205" s="1"/>
  <c r="G91" i="205"/>
  <c r="F93" i="205"/>
  <c r="H8" i="203"/>
  <c r="I8" i="203"/>
  <c r="P29" i="48"/>
  <c r="T29" i="48" s="1"/>
  <c r="P30" i="48"/>
  <c r="T30" i="48" s="1"/>
  <c r="K64" i="85"/>
  <c r="H57" i="85"/>
  <c r="P20" i="48"/>
  <c r="T20" i="48" s="1"/>
  <c r="K32" i="48"/>
  <c r="L32" i="48" s="1"/>
  <c r="P17" i="48"/>
  <c r="T17" i="48" s="1"/>
  <c r="P24" i="48"/>
  <c r="T24" i="48" s="1"/>
  <c r="O9" i="47"/>
  <c r="S9" i="47" s="1"/>
  <c r="T9" i="47" s="1"/>
  <c r="P18" i="48"/>
  <c r="T18" i="48" s="1"/>
  <c r="P21" i="48"/>
  <c r="T21" i="48" s="1"/>
  <c r="P27" i="48"/>
  <c r="T27" i="48" s="1"/>
  <c r="P36" i="48"/>
  <c r="T36" i="48" s="1"/>
  <c r="P15" i="48"/>
  <c r="T15" i="48" s="1"/>
  <c r="P31" i="48"/>
  <c r="T31" i="48" s="1"/>
  <c r="P22" i="48"/>
  <c r="T22" i="48" s="1"/>
  <c r="H60" i="85"/>
  <c r="H61" i="85" s="1"/>
  <c r="P23" i="48"/>
  <c r="T23" i="48" s="1"/>
  <c r="P25" i="48"/>
  <c r="T25" i="48" s="1"/>
  <c r="P26" i="48"/>
  <c r="T26" i="48" s="1"/>
  <c r="P33" i="48"/>
  <c r="T33" i="48" s="1"/>
  <c r="P28" i="48"/>
  <c r="T28" i="48" s="1"/>
  <c r="P16" i="48"/>
  <c r="T16" i="48" s="1"/>
  <c r="P19" i="48"/>
  <c r="T19" i="48" s="1"/>
  <c r="I16" i="47"/>
  <c r="J16" i="47" s="1"/>
  <c r="J12" i="47"/>
  <c r="I31" i="22"/>
  <c r="H5" i="85"/>
  <c r="I32" i="22"/>
  <c r="E497" i="205" l="1"/>
  <c r="D498" i="205"/>
  <c r="G53" i="205"/>
  <c r="G55" i="205" s="1"/>
  <c r="G1175" i="205"/>
  <c r="G1176" i="205" s="1"/>
  <c r="F56" i="205"/>
  <c r="F72" i="205"/>
  <c r="F73" i="205" s="1"/>
  <c r="F75" i="205" s="1"/>
  <c r="D56" i="205"/>
  <c r="D72" i="205"/>
  <c r="E55" i="205"/>
  <c r="I1172" i="205"/>
  <c r="H68" i="205"/>
  <c r="H494" i="205"/>
  <c r="H495" i="205" s="1"/>
  <c r="H497" i="205" s="1"/>
  <c r="H498" i="205" s="1"/>
  <c r="H1173" i="205"/>
  <c r="H91" i="205"/>
  <c r="G93" i="205"/>
  <c r="E16" i="205"/>
  <c r="D25" i="205"/>
  <c r="F16" i="205"/>
  <c r="F25" i="205" s="1"/>
  <c r="F220" i="205"/>
  <c r="O33" i="48"/>
  <c r="S33" i="48" s="1"/>
  <c r="O31" i="48"/>
  <c r="S31" i="48" s="1"/>
  <c r="O28" i="48"/>
  <c r="S28" i="48" s="1"/>
  <c r="O29" i="48"/>
  <c r="S29" i="48" s="1"/>
  <c r="O19" i="48"/>
  <c r="S19" i="48" s="1"/>
  <c r="S34" i="48"/>
  <c r="O30" i="48"/>
  <c r="S30" i="48" s="1"/>
  <c r="O25" i="48"/>
  <c r="S25" i="48" s="1"/>
  <c r="O26" i="48"/>
  <c r="S26" i="48" s="1"/>
  <c r="S32" i="48"/>
  <c r="O16" i="48"/>
  <c r="S16" i="48" s="1"/>
  <c r="O20" i="48"/>
  <c r="S20" i="48" s="1"/>
  <c r="O18" i="48"/>
  <c r="S18" i="48" s="1"/>
  <c r="O36" i="48"/>
  <c r="S36" i="48" s="1"/>
  <c r="O22" i="48"/>
  <c r="S22" i="48" s="1"/>
  <c r="O17" i="48"/>
  <c r="S17" i="48" s="1"/>
  <c r="O27" i="48"/>
  <c r="S27" i="48" s="1"/>
  <c r="O15" i="48"/>
  <c r="S15" i="48" s="1"/>
  <c r="O23" i="48"/>
  <c r="S23" i="48" s="1"/>
  <c r="O24" i="48"/>
  <c r="S24" i="48" s="1"/>
  <c r="O21" i="48"/>
  <c r="S21" i="48" s="1"/>
  <c r="I37" i="85"/>
  <c r="I34" i="85"/>
  <c r="I28" i="85"/>
  <c r="I25" i="85"/>
  <c r="I40" i="85"/>
  <c r="I31" i="85"/>
  <c r="K65" i="85"/>
  <c r="K68" i="85" s="1"/>
  <c r="E72" i="205" l="1"/>
  <c r="D73" i="205"/>
  <c r="G72" i="205"/>
  <c r="G73" i="205" s="1"/>
  <c r="G75" i="205" s="1"/>
  <c r="G76" i="205" s="1"/>
  <c r="G56" i="205"/>
  <c r="J1172" i="205"/>
  <c r="AK1172" i="205" s="1"/>
  <c r="I1173" i="205"/>
  <c r="I68" i="205"/>
  <c r="I494" i="205"/>
  <c r="I495" i="205" s="1"/>
  <c r="I497" i="205" s="1"/>
  <c r="I498" i="205" s="1"/>
  <c r="H53" i="205"/>
  <c r="H55" i="205" s="1"/>
  <c r="H1175" i="205"/>
  <c r="H1176" i="205" s="1"/>
  <c r="F26" i="205"/>
  <c r="F78" i="205"/>
  <c r="AN5" i="205" s="1"/>
  <c r="G16" i="205"/>
  <c r="G25" i="205" s="1"/>
  <c r="G220" i="205"/>
  <c r="D26" i="205"/>
  <c r="E25" i="205"/>
  <c r="D78" i="205"/>
  <c r="I91" i="205"/>
  <c r="H93" i="205"/>
  <c r="G20" i="47"/>
  <c r="N30" i="24"/>
  <c r="M25" i="24"/>
  <c r="L25" i="24"/>
  <c r="O25" i="24"/>
  <c r="N25" i="24"/>
  <c r="M30" i="24"/>
  <c r="L30" i="24"/>
  <c r="O30" i="24"/>
  <c r="H56" i="205" l="1"/>
  <c r="H72" i="205"/>
  <c r="H73" i="205" s="1"/>
  <c r="H75" i="205" s="1"/>
  <c r="H76" i="205" s="1"/>
  <c r="I53" i="205"/>
  <c r="I55" i="205" s="1"/>
  <c r="I1175" i="205"/>
  <c r="I1176" i="205" s="1"/>
  <c r="E73" i="205"/>
  <c r="D75" i="205"/>
  <c r="AM1172" i="205"/>
  <c r="J494" i="205"/>
  <c r="J1173" i="205"/>
  <c r="J68" i="205"/>
  <c r="J91" i="205"/>
  <c r="AK91" i="205" s="1"/>
  <c r="I93" i="205"/>
  <c r="H16" i="205"/>
  <c r="H25" i="205" s="1"/>
  <c r="H220" i="205"/>
  <c r="G26" i="205"/>
  <c r="G78" i="205"/>
  <c r="AO5" i="205" s="1"/>
  <c r="AM5" i="205"/>
  <c r="D80" i="205"/>
  <c r="E78" i="205"/>
  <c r="G19" i="47"/>
  <c r="G27" i="47" s="1"/>
  <c r="G28" i="47" s="1"/>
  <c r="E20" i="47"/>
  <c r="I20" i="47" s="1"/>
  <c r="J20" i="47" s="1"/>
  <c r="L24" i="51"/>
  <c r="J25" i="24"/>
  <c r="J30" i="24"/>
  <c r="K25" i="24"/>
  <c r="K30" i="24"/>
  <c r="AL1172" i="205" l="1"/>
  <c r="AL516" i="205"/>
  <c r="AL689" i="205"/>
  <c r="AL619" i="205"/>
  <c r="AL912" i="205"/>
  <c r="AL815" i="205"/>
  <c r="AL1141" i="205"/>
  <c r="AL1049" i="205"/>
  <c r="AL550" i="205"/>
  <c r="AL650" i="205"/>
  <c r="AL994" i="205"/>
  <c r="AL663" i="205"/>
  <c r="AL620" i="205"/>
  <c r="AL1155" i="205"/>
  <c r="AL1094" i="205"/>
  <c r="AL911" i="205"/>
  <c r="AL839" i="205"/>
  <c r="AL564" i="205"/>
  <c r="AL631" i="205"/>
  <c r="AL1133" i="205"/>
  <c r="AL982" i="205"/>
  <c r="AL599" i="205"/>
  <c r="AL1057" i="205"/>
  <c r="AL698" i="205"/>
  <c r="AL770" i="205"/>
  <c r="AL899" i="205"/>
  <c r="AL1120" i="205"/>
  <c r="AL754" i="205"/>
  <c r="AL694" i="205"/>
  <c r="AL811" i="205"/>
  <c r="AL882" i="205"/>
  <c r="AL1078" i="205"/>
  <c r="AL885" i="205"/>
  <c r="AL536" i="205"/>
  <c r="AL553" i="205"/>
  <c r="AL569" i="205"/>
  <c r="AL775" i="205"/>
  <c r="AL1037" i="205"/>
  <c r="AL517" i="205"/>
  <c r="AL799" i="205"/>
  <c r="AL887" i="205"/>
  <c r="AL824" i="205"/>
  <c r="AL910" i="205"/>
  <c r="AL949" i="205"/>
  <c r="AL580" i="205"/>
  <c r="AL1058" i="205"/>
  <c r="AL1031" i="205"/>
  <c r="AL944" i="205"/>
  <c r="AL855" i="205"/>
  <c r="AL667" i="205"/>
  <c r="AL869" i="205"/>
  <c r="AL616" i="205"/>
  <c r="AL1055" i="205"/>
  <c r="AL1140" i="205"/>
  <c r="AL796" i="205"/>
  <c r="AL640" i="205"/>
  <c r="AL739" i="205"/>
  <c r="AL973" i="205"/>
  <c r="AL688" i="205"/>
  <c r="AL520" i="205"/>
  <c r="AL644" i="205"/>
  <c r="AL591" i="205"/>
  <c r="AL1085" i="205"/>
  <c r="AL1136" i="205"/>
  <c r="AL602" i="205"/>
  <c r="AL538" i="205"/>
  <c r="AL639" i="205"/>
  <c r="AL1048" i="205"/>
  <c r="AL629" i="205"/>
  <c r="AL1034" i="205"/>
  <c r="AL785" i="205"/>
  <c r="AL621" i="205"/>
  <c r="AL1018" i="205"/>
  <c r="AL746" i="205"/>
  <c r="AL645" i="205"/>
  <c r="AL1084" i="205"/>
  <c r="AL511" i="205"/>
  <c r="AL1046" i="205"/>
  <c r="AL832" i="205"/>
  <c r="AL1067" i="205"/>
  <c r="AL1062" i="205"/>
  <c r="AL1121" i="205"/>
  <c r="AL852" i="205"/>
  <c r="AL685" i="205"/>
  <c r="AL723" i="205"/>
  <c r="AL750" i="205"/>
  <c r="AL871" i="205"/>
  <c r="AL901" i="205"/>
  <c r="AL1039" i="205"/>
  <c r="AL686" i="205"/>
  <c r="AL851" i="205"/>
  <c r="AL1097" i="205"/>
  <c r="AL1075" i="205"/>
  <c r="AL822" i="205"/>
  <c r="AL983" i="205"/>
  <c r="AL874" i="205"/>
  <c r="AL992" i="205"/>
  <c r="AL1025" i="205"/>
  <c r="AL682" i="205"/>
  <c r="AL1027" i="205"/>
  <c r="AL671" i="205"/>
  <c r="AL1105" i="205"/>
  <c r="AL710" i="205"/>
  <c r="AL721" i="205"/>
  <c r="AL909" i="205"/>
  <c r="AL942" i="205"/>
  <c r="AL960" i="205"/>
  <c r="AL907" i="205"/>
  <c r="AL556" i="205"/>
  <c r="AL532" i="205"/>
  <c r="AL834" i="205"/>
  <c r="AL1089" i="205"/>
  <c r="AL613" i="205"/>
  <c r="AL1083" i="205"/>
  <c r="AL1093" i="205"/>
  <c r="AL524" i="205"/>
  <c r="AL1006" i="205"/>
  <c r="AL931" i="205"/>
  <c r="AL1007" i="205"/>
  <c r="AL895" i="205"/>
  <c r="AL842" i="205"/>
  <c r="AL916" i="205"/>
  <c r="AL1100" i="205"/>
  <c r="AL781" i="205"/>
  <c r="AL741" i="205"/>
  <c r="AL826" i="205"/>
  <c r="AL695" i="205"/>
  <c r="AL638" i="205"/>
  <c r="AL951" i="205"/>
  <c r="AL1102" i="205"/>
  <c r="AL687" i="205"/>
  <c r="AL763" i="205"/>
  <c r="AL761" i="205"/>
  <c r="AL864" i="205"/>
  <c r="AL551" i="205"/>
  <c r="AL905" i="205"/>
  <c r="AL521" i="205"/>
  <c r="AL954" i="205"/>
  <c r="AL699" i="205"/>
  <c r="AL962" i="205"/>
  <c r="AL652" i="205"/>
  <c r="AL853" i="205"/>
  <c r="AL978" i="205"/>
  <c r="AL850" i="205"/>
  <c r="AL617" i="205"/>
  <c r="AL863" i="205"/>
  <c r="AL981" i="205"/>
  <c r="AL1008" i="205"/>
  <c r="AL527" i="205"/>
  <c r="AL946" i="205"/>
  <c r="AL561" i="205"/>
  <c r="AL684" i="205"/>
  <c r="AL632" i="205"/>
  <c r="AL1064" i="205"/>
  <c r="AL647" i="205"/>
  <c r="AL1071" i="205"/>
  <c r="AL967" i="205"/>
  <c r="AL730" i="205"/>
  <c r="AL1159" i="205"/>
  <c r="AL604" i="205"/>
  <c r="AL1000" i="205"/>
  <c r="AL535" i="205"/>
  <c r="AL1079" i="205"/>
  <c r="AL904" i="205"/>
  <c r="AL577" i="205"/>
  <c r="AL593" i="205"/>
  <c r="AL519" i="205"/>
  <c r="AL1165" i="205"/>
  <c r="AL600" i="205"/>
  <c r="AL773" i="205"/>
  <c r="AL691" i="205"/>
  <c r="AL1142" i="205"/>
  <c r="AL547" i="205"/>
  <c r="AL797" i="205"/>
  <c r="AL1145" i="205"/>
  <c r="AL1166" i="205"/>
  <c r="AL581" i="205"/>
  <c r="AL776" i="205"/>
  <c r="AL955" i="205"/>
  <c r="AL1148" i="205"/>
  <c r="AL966" i="205"/>
  <c r="AL729" i="205"/>
  <c r="AL868" i="205"/>
  <c r="AL760" i="205"/>
  <c r="AL1114" i="205"/>
  <c r="AL914" i="205"/>
  <c r="AL673" i="205"/>
  <c r="AL731" i="205"/>
  <c r="AL513" i="205"/>
  <c r="AL831" i="205"/>
  <c r="AL665" i="205"/>
  <c r="AL789" i="205"/>
  <c r="AL675" i="205"/>
  <c r="AL880" i="205"/>
  <c r="AL860" i="205"/>
  <c r="AL1020" i="205"/>
  <c r="AL666" i="205"/>
  <c r="AL676" i="205"/>
  <c r="AL886" i="205"/>
  <c r="AL705" i="205"/>
  <c r="AL1090" i="205"/>
  <c r="AL1150" i="205"/>
  <c r="AL823" i="205"/>
  <c r="AL845" i="205"/>
  <c r="AL917" i="205"/>
  <c r="AL1011" i="205"/>
  <c r="AL611" i="205"/>
  <c r="AL696" i="205"/>
  <c r="AL1139" i="205"/>
  <c r="AL1003" i="205"/>
  <c r="AL1016" i="205"/>
  <c r="AL1160" i="205"/>
  <c r="AL1157" i="205"/>
  <c r="AL1092" i="205"/>
  <c r="AL821" i="205"/>
  <c r="AL1002" i="205"/>
  <c r="AL719" i="205"/>
  <c r="AL766" i="205"/>
  <c r="AL803" i="205"/>
  <c r="AL1126" i="205"/>
  <c r="AL829" i="205"/>
  <c r="AL526" i="205"/>
  <c r="AL986" i="205"/>
  <c r="AL1116" i="205"/>
  <c r="AL1098" i="205"/>
  <c r="AL509" i="205"/>
  <c r="AL510" i="205"/>
  <c r="AL625" i="205"/>
  <c r="AL801" i="205"/>
  <c r="AL736" i="205"/>
  <c r="AL1024" i="205"/>
  <c r="AL614" i="205"/>
  <c r="AL743" i="205"/>
  <c r="AL707" i="205"/>
  <c r="AL678" i="205"/>
  <c r="AL1014" i="205"/>
  <c r="AL820" i="205"/>
  <c r="AL956" i="205"/>
  <c r="AL595" i="205"/>
  <c r="AL749" i="205"/>
  <c r="AL843" i="205"/>
  <c r="AL1065" i="205"/>
  <c r="AL1130" i="205"/>
  <c r="AL732" i="205"/>
  <c r="AL1144" i="205"/>
  <c r="AL959" i="205"/>
  <c r="AL1096" i="205"/>
  <c r="AL788" i="205"/>
  <c r="AL571" i="205"/>
  <c r="AL873" i="205"/>
  <c r="AL1033" i="205"/>
  <c r="AL804" i="205"/>
  <c r="AL1091" i="205"/>
  <c r="AL979" i="205"/>
  <c r="AL1043" i="205"/>
  <c r="AL1101" i="205"/>
  <c r="AL718" i="205"/>
  <c r="AL881" i="205"/>
  <c r="AL708" i="205"/>
  <c r="AL1138" i="205"/>
  <c r="AL844" i="205"/>
  <c r="AL702" i="205"/>
  <c r="AL677" i="205"/>
  <c r="AL936" i="205"/>
  <c r="AL504" i="205"/>
  <c r="AL1171" i="205"/>
  <c r="AL915" i="205"/>
  <c r="AL930" i="205"/>
  <c r="AL957" i="205"/>
  <c r="AL762" i="205"/>
  <c r="AL989" i="205"/>
  <c r="AL1076" i="205"/>
  <c r="AL1032" i="205"/>
  <c r="AL726" i="205"/>
  <c r="AL1088" i="205"/>
  <c r="AL980" i="205"/>
  <c r="AL836" i="205"/>
  <c r="AL607" i="205"/>
  <c r="AL879" i="205"/>
  <c r="AL812" i="205"/>
  <c r="AL664" i="205"/>
  <c r="AL1045" i="205"/>
  <c r="AL747" i="205"/>
  <c r="AL918" i="205"/>
  <c r="AL1134" i="205"/>
  <c r="AL660" i="205"/>
  <c r="AL528" i="205"/>
  <c r="AL1072" i="205"/>
  <c r="AL709" i="205"/>
  <c r="AL1106" i="205"/>
  <c r="AL894" i="205"/>
  <c r="AL767" i="205"/>
  <c r="AL654" i="205"/>
  <c r="AL506" i="205"/>
  <c r="AL703" i="205"/>
  <c r="AL919" i="205"/>
  <c r="AL1005" i="205"/>
  <c r="AL700" i="205"/>
  <c r="AL952" i="205"/>
  <c r="AL830" i="205"/>
  <c r="AL518" i="205"/>
  <c r="AL806" i="205"/>
  <c r="AL565" i="205"/>
  <c r="AL1128" i="205"/>
  <c r="AL507" i="205"/>
  <c r="AL790" i="205"/>
  <c r="AL727" i="205"/>
  <c r="AL943" i="205"/>
  <c r="AL768" i="205"/>
  <c r="AL1053" i="205"/>
  <c r="AL735" i="205"/>
  <c r="AL725" i="205"/>
  <c r="AL728" i="205"/>
  <c r="AL897" i="205"/>
  <c r="AL1054" i="205"/>
  <c r="AL661" i="205"/>
  <c r="AL1124" i="205"/>
  <c r="AL1038" i="205"/>
  <c r="AL810" i="205"/>
  <c r="AL1137" i="205"/>
  <c r="AL641" i="205"/>
  <c r="AL706" i="205"/>
  <c r="AL1035" i="205"/>
  <c r="AL578" i="205"/>
  <c r="AL579" i="205"/>
  <c r="AL642" i="205"/>
  <c r="AL724" i="205"/>
  <c r="AL690" i="205"/>
  <c r="AL583" i="205"/>
  <c r="AL827" i="205"/>
  <c r="AL584" i="205"/>
  <c r="AL777" i="205"/>
  <c r="AL1161" i="205"/>
  <c r="AL683" i="205"/>
  <c r="AL878" i="205"/>
  <c r="AL572" i="205"/>
  <c r="AL825" i="205"/>
  <c r="AL1115" i="205"/>
  <c r="AL807" i="205"/>
  <c r="AL1021" i="205"/>
  <c r="AL655" i="205"/>
  <c r="AL1029" i="205"/>
  <c r="AL605" i="205"/>
  <c r="AL1163" i="205"/>
  <c r="AL701" i="205"/>
  <c r="AL841" i="205"/>
  <c r="AL782" i="205"/>
  <c r="AL1010" i="205"/>
  <c r="AL742" i="205"/>
  <c r="AL567" i="205"/>
  <c r="AL505" i="205"/>
  <c r="AL649" i="205"/>
  <c r="AL615" i="205"/>
  <c r="AL988" i="205"/>
  <c r="AL568" i="205"/>
  <c r="AL809" i="205"/>
  <c r="AL552" i="205"/>
  <c r="AL548" i="205"/>
  <c r="AL1147" i="205"/>
  <c r="AL771" i="205"/>
  <c r="AL1004" i="205"/>
  <c r="AL546" i="205"/>
  <c r="AL588" i="205"/>
  <c r="AL680" i="205"/>
  <c r="AL1009" i="205"/>
  <c r="AL787" i="205"/>
  <c r="AL968" i="205"/>
  <c r="AL626" i="205"/>
  <c r="AL1056" i="205"/>
  <c r="AL573" i="205"/>
  <c r="AL1022" i="205"/>
  <c r="AL950" i="205"/>
  <c r="AL858" i="205"/>
  <c r="AL544" i="205"/>
  <c r="AL609" i="205"/>
  <c r="AL514" i="205"/>
  <c r="AL898" i="205"/>
  <c r="AL748" i="205"/>
  <c r="AL525" i="205"/>
  <c r="AL720" i="205"/>
  <c r="AL772" i="205"/>
  <c r="AL1162" i="205"/>
  <c r="AL883" i="205"/>
  <c r="AL1063" i="205"/>
  <c r="AL674" i="205"/>
  <c r="AL769" i="205"/>
  <c r="AL1107" i="205"/>
  <c r="AL903" i="205"/>
  <c r="AL893" i="205"/>
  <c r="AL1028" i="205"/>
  <c r="AL539" i="205"/>
  <c r="AL814" i="205"/>
  <c r="AL833" i="205"/>
  <c r="AL555" i="205"/>
  <c r="AL1087" i="205"/>
  <c r="AL1108" i="205"/>
  <c r="AL961" i="205"/>
  <c r="AL872" i="205"/>
  <c r="AL722" i="205"/>
  <c r="AL938" i="205"/>
  <c r="AL648" i="205"/>
  <c r="AL1131" i="205"/>
  <c r="AL679" i="205"/>
  <c r="AL1012" i="205"/>
  <c r="AL1023" i="205"/>
  <c r="AL784" i="205"/>
  <c r="AL542" i="205"/>
  <c r="AL1149" i="205"/>
  <c r="AL1041" i="205"/>
  <c r="AL752" i="205"/>
  <c r="AL1170" i="205"/>
  <c r="AL835" i="205"/>
  <c r="AL861" i="205"/>
  <c r="AL512" i="205"/>
  <c r="AL570" i="205"/>
  <c r="AL751" i="205"/>
  <c r="AL1070" i="205"/>
  <c r="AL530" i="205"/>
  <c r="AL681" i="205"/>
  <c r="AL997" i="205"/>
  <c r="AL603" i="205"/>
  <c r="AL643" i="205"/>
  <c r="AL937" i="205"/>
  <c r="AL622" i="205"/>
  <c r="AL1073" i="205"/>
  <c r="AL805" i="205"/>
  <c r="AL1118" i="205"/>
  <c r="AL606" i="205"/>
  <c r="AL1030" i="205"/>
  <c r="AL990" i="205"/>
  <c r="AL637" i="205"/>
  <c r="AL744" i="205"/>
  <c r="AL892" i="205"/>
  <c r="AL589" i="205"/>
  <c r="AL857" i="205"/>
  <c r="AL1086" i="205"/>
  <c r="AL653" i="205"/>
  <c r="AL566" i="205"/>
  <c r="AL906" i="205"/>
  <c r="AL866" i="205"/>
  <c r="AL715" i="205"/>
  <c r="AL1044" i="205"/>
  <c r="AL745" i="205"/>
  <c r="AL670" i="205"/>
  <c r="AL1164" i="205"/>
  <c r="AL545" i="205"/>
  <c r="AL1015" i="205"/>
  <c r="AL636" i="205"/>
  <c r="AL582" i="205"/>
  <c r="AL840" i="205"/>
  <c r="AL515" i="205"/>
  <c r="AL859" i="205"/>
  <c r="AL597" i="205"/>
  <c r="AL624" i="205"/>
  <c r="AL1001" i="205"/>
  <c r="AL753" i="205"/>
  <c r="AL958" i="205"/>
  <c r="AL813" i="205"/>
  <c r="AL1040" i="205"/>
  <c r="AL533" i="205"/>
  <c r="AL995" i="205"/>
  <c r="AL522" i="205"/>
  <c r="AL737" i="205"/>
  <c r="AL783" i="205"/>
  <c r="AL953" i="205"/>
  <c r="AL791" i="205"/>
  <c r="AL692" i="205"/>
  <c r="AL716" i="205"/>
  <c r="AL1026" i="205"/>
  <c r="AL1151" i="205"/>
  <c r="AL1109" i="205"/>
  <c r="AL1099" i="205"/>
  <c r="AL778" i="205"/>
  <c r="AL993" i="205"/>
  <c r="AL891" i="205"/>
  <c r="AL575" i="205"/>
  <c r="AL926" i="205"/>
  <c r="AL534" i="205"/>
  <c r="AL549" i="205"/>
  <c r="AL557" i="205"/>
  <c r="AL1146" i="205"/>
  <c r="AL740" i="205"/>
  <c r="AL765" i="205"/>
  <c r="AL902" i="205"/>
  <c r="AL945" i="205"/>
  <c r="AL862" i="205"/>
  <c r="AL668" i="205"/>
  <c r="AL876" i="205"/>
  <c r="AL529" i="205"/>
  <c r="AL592" i="205"/>
  <c r="AL780" i="205"/>
  <c r="AL877" i="205"/>
  <c r="AL576" i="205"/>
  <c r="AL932" i="205"/>
  <c r="AL755" i="205"/>
  <c r="AL947" i="205"/>
  <c r="AL1119" i="205"/>
  <c r="AL554" i="205"/>
  <c r="AL628" i="205"/>
  <c r="AL1077" i="205"/>
  <c r="AL562" i="205"/>
  <c r="AL1047" i="205"/>
  <c r="AL594" i="205"/>
  <c r="AL867" i="205"/>
  <c r="AL563" i="205"/>
  <c r="AL870" i="205"/>
  <c r="AL800" i="205"/>
  <c r="AL598" i="205"/>
  <c r="AL1122" i="205"/>
  <c r="AL531" i="205"/>
  <c r="AL925" i="205"/>
  <c r="AL704" i="205"/>
  <c r="AL798" i="205"/>
  <c r="AL1125" i="205"/>
  <c r="AL662" i="205"/>
  <c r="AL884" i="205"/>
  <c r="AL795" i="205"/>
  <c r="AL1127" i="205"/>
  <c r="AL1069" i="205"/>
  <c r="AL608" i="205"/>
  <c r="AL1095" i="205"/>
  <c r="AL819" i="205"/>
  <c r="AL837" i="205"/>
  <c r="AL537" i="205"/>
  <c r="AL924" i="205"/>
  <c r="AL508" i="205"/>
  <c r="AL717" i="205"/>
  <c r="AL854" i="205"/>
  <c r="AL1042" i="205"/>
  <c r="AL913" i="205"/>
  <c r="AL996" i="205"/>
  <c r="AL991" i="205"/>
  <c r="AL802" i="205"/>
  <c r="AL574" i="205"/>
  <c r="AL875" i="205"/>
  <c r="AL786" i="205"/>
  <c r="AL669" i="205"/>
  <c r="AL1036" i="205"/>
  <c r="AL1017" i="205"/>
  <c r="AL972" i="205"/>
  <c r="AL733" i="205"/>
  <c r="AL984" i="205"/>
  <c r="AL998" i="205"/>
  <c r="AL1117" i="205"/>
  <c r="AL697" i="205"/>
  <c r="AL759" i="205"/>
  <c r="AL900" i="205"/>
  <c r="AL1068" i="205"/>
  <c r="AL1103" i="205"/>
  <c r="AL646" i="205"/>
  <c r="AL1135" i="205"/>
  <c r="AL1156" i="205"/>
  <c r="AL779" i="205"/>
  <c r="AL610" i="205"/>
  <c r="AL1074" i="205"/>
  <c r="AL1123" i="205"/>
  <c r="AL838" i="205"/>
  <c r="AL612" i="205"/>
  <c r="AL1158" i="205"/>
  <c r="AL656" i="205"/>
  <c r="AL734" i="205"/>
  <c r="AL764" i="205"/>
  <c r="AL1113" i="205"/>
  <c r="AL920" i="205"/>
  <c r="AL738" i="205"/>
  <c r="AL601" i="205"/>
  <c r="AL523" i="205"/>
  <c r="AL1019" i="205"/>
  <c r="AL948" i="205"/>
  <c r="AL627" i="205"/>
  <c r="AL774" i="205"/>
  <c r="AL985" i="205"/>
  <c r="AL693" i="205"/>
  <c r="AL987" i="205"/>
  <c r="AL856" i="205"/>
  <c r="AL1013" i="205"/>
  <c r="AL1132" i="205"/>
  <c r="AL1143" i="205"/>
  <c r="AL672" i="205"/>
  <c r="AL808" i="205"/>
  <c r="AL849" i="205"/>
  <c r="AL896" i="205"/>
  <c r="AL1066" i="205"/>
  <c r="AL908" i="205"/>
  <c r="AL541" i="205"/>
  <c r="AL1129" i="205"/>
  <c r="AL590" i="205"/>
  <c r="AL865" i="205"/>
  <c r="AL828" i="205"/>
  <c r="AL974" i="205"/>
  <c r="AL999" i="205"/>
  <c r="AL540" i="205"/>
  <c r="AL630" i="205"/>
  <c r="AL623" i="205"/>
  <c r="AL1104" i="205"/>
  <c r="AL651" i="205"/>
  <c r="AL543" i="205"/>
  <c r="AL618" i="205"/>
  <c r="AL596" i="205"/>
  <c r="AL714" i="205"/>
  <c r="I56" i="205"/>
  <c r="I72" i="205"/>
  <c r="I73" i="205" s="1"/>
  <c r="I75" i="205" s="1"/>
  <c r="I76" i="205" s="1"/>
  <c r="AK494" i="205"/>
  <c r="AM494" i="205"/>
  <c r="J495" i="205"/>
  <c r="J497" i="205" s="1"/>
  <c r="J498" i="205" s="1"/>
  <c r="AM68" i="205"/>
  <c r="D76" i="205"/>
  <c r="E75" i="205"/>
  <c r="F76" i="205"/>
  <c r="J53" i="205"/>
  <c r="J1175" i="205"/>
  <c r="J1176" i="205" s="1"/>
  <c r="H78" i="205"/>
  <c r="AP5" i="205" s="1"/>
  <c r="H26" i="205"/>
  <c r="I16" i="205"/>
  <c r="I25" i="205" s="1"/>
  <c r="I220" i="205"/>
  <c r="E80" i="205"/>
  <c r="AM6" i="205"/>
  <c r="F80" i="205"/>
  <c r="J93" i="205"/>
  <c r="AM91" i="205"/>
  <c r="G9" i="85"/>
  <c r="L23" i="51"/>
  <c r="L29" i="51" s="1"/>
  <c r="E19" i="47"/>
  <c r="N23" i="51"/>
  <c r="N24" i="51"/>
  <c r="AM53" i="205" l="1"/>
  <c r="J55" i="205"/>
  <c r="AL494" i="205"/>
  <c r="AL286" i="205"/>
  <c r="AL266" i="205"/>
  <c r="AL460" i="205"/>
  <c r="AL418" i="205"/>
  <c r="AL312" i="205"/>
  <c r="AL293" i="205"/>
  <c r="AL384" i="205"/>
  <c r="AL354" i="205"/>
  <c r="AL272" i="205"/>
  <c r="AL382" i="205"/>
  <c r="AL364" i="205"/>
  <c r="AL483" i="205"/>
  <c r="AL317" i="205"/>
  <c r="AL232" i="205"/>
  <c r="AL400" i="205"/>
  <c r="AL280" i="205"/>
  <c r="AL434" i="205"/>
  <c r="AL425" i="205"/>
  <c r="AL292" i="205"/>
  <c r="AL353" i="205"/>
  <c r="AL319" i="205"/>
  <c r="AL402" i="205"/>
  <c r="AL350" i="205"/>
  <c r="AL472" i="205"/>
  <c r="AL281" i="205"/>
  <c r="AL228" i="205"/>
  <c r="AL299" i="205"/>
  <c r="AL462" i="205"/>
  <c r="AL351" i="205"/>
  <c r="AL482" i="205"/>
  <c r="AL365" i="205"/>
  <c r="AL363" i="205"/>
  <c r="AL371" i="205"/>
  <c r="AL368" i="205"/>
  <c r="AL268" i="205"/>
  <c r="AL315" i="205"/>
  <c r="AL445" i="205"/>
  <c r="AL476" i="205"/>
  <c r="AL438" i="205"/>
  <c r="AL481" i="205"/>
  <c r="AL490" i="205"/>
  <c r="AL328" i="205"/>
  <c r="AL308" i="205"/>
  <c r="AL337" i="205"/>
  <c r="AL290" i="205"/>
  <c r="AL314" i="205"/>
  <c r="AL404" i="205"/>
  <c r="AL396" i="205"/>
  <c r="AL439" i="205"/>
  <c r="AL433" i="205"/>
  <c r="AL448" i="205"/>
  <c r="AL258" i="205"/>
  <c r="AL370" i="205"/>
  <c r="AL310" i="205"/>
  <c r="AL437" i="205"/>
  <c r="AL263" i="205"/>
  <c r="AL259" i="205"/>
  <c r="AL277" i="205"/>
  <c r="AL288" i="205"/>
  <c r="AL302" i="205"/>
  <c r="AL461" i="205"/>
  <c r="AL331" i="205"/>
  <c r="AL410" i="205"/>
  <c r="AL428" i="205"/>
  <c r="AL477" i="205"/>
  <c r="AL440" i="205"/>
  <c r="AL367" i="205"/>
  <c r="AL311" i="205"/>
  <c r="AL362" i="205"/>
  <c r="AL349" i="205"/>
  <c r="AL271" i="205"/>
  <c r="AL325" i="205"/>
  <c r="AL230" i="205"/>
  <c r="AL243" i="205"/>
  <c r="AL480" i="205"/>
  <c r="AL420" i="205"/>
  <c r="AL307" i="205"/>
  <c r="AL253" i="205"/>
  <c r="AL361" i="205"/>
  <c r="AL455" i="205"/>
  <c r="AL449" i="205"/>
  <c r="AL227" i="205"/>
  <c r="AL260" i="205"/>
  <c r="AL241" i="205"/>
  <c r="AL313" i="205"/>
  <c r="AL231" i="205"/>
  <c r="AL287" i="205"/>
  <c r="AL301" i="205"/>
  <c r="AL306" i="205"/>
  <c r="AL289" i="205"/>
  <c r="AL236" i="205"/>
  <c r="AL233" i="205"/>
  <c r="AL471" i="205"/>
  <c r="AL291" i="205"/>
  <c r="AL452" i="205"/>
  <c r="AL441" i="205"/>
  <c r="AL459" i="205"/>
  <c r="AL282" i="205"/>
  <c r="AL278" i="205"/>
  <c r="AL330" i="205"/>
  <c r="AL352" i="205"/>
  <c r="AL431" i="205"/>
  <c r="AL487" i="205"/>
  <c r="AL392" i="205"/>
  <c r="AL342" i="205"/>
  <c r="AL453" i="205"/>
  <c r="AL276" i="205"/>
  <c r="AL309" i="205"/>
  <c r="AL239" i="205"/>
  <c r="AL432" i="205"/>
  <c r="AL447" i="205"/>
  <c r="AL318" i="205"/>
  <c r="AL295" i="205"/>
  <c r="AL446" i="205"/>
  <c r="AL403" i="205"/>
  <c r="AL251" i="205"/>
  <c r="AL466" i="205"/>
  <c r="AL269" i="205"/>
  <c r="AL324" i="205"/>
  <c r="AL249" i="205"/>
  <c r="AL464" i="205"/>
  <c r="AL406" i="205"/>
  <c r="AL388" i="205"/>
  <c r="AL294" i="205"/>
  <c r="AL467" i="205"/>
  <c r="AL377" i="205"/>
  <c r="AL426" i="205"/>
  <c r="AL238" i="205"/>
  <c r="AL261" i="205"/>
  <c r="AL465" i="205"/>
  <c r="AL429" i="205"/>
  <c r="AL379" i="205"/>
  <c r="AL450" i="205"/>
  <c r="AL298" i="205"/>
  <c r="AL248" i="205"/>
  <c r="AL376" i="205"/>
  <c r="AL264" i="205"/>
  <c r="AL454" i="205"/>
  <c r="AL488" i="205"/>
  <c r="AL359" i="205"/>
  <c r="AL339" i="205"/>
  <c r="AL489" i="205"/>
  <c r="AL381" i="205"/>
  <c r="AL229" i="205"/>
  <c r="AL347" i="205"/>
  <c r="AL262" i="205"/>
  <c r="AL279" i="205"/>
  <c r="AL234" i="205"/>
  <c r="AL478" i="205"/>
  <c r="AL270" i="205"/>
  <c r="AL250" i="205"/>
  <c r="AL348" i="205"/>
  <c r="AL383" i="205"/>
  <c r="AL463" i="205"/>
  <c r="AL340" i="205"/>
  <c r="AL341" i="205"/>
  <c r="AL479" i="205"/>
  <c r="AL380" i="205"/>
  <c r="AL316" i="205"/>
  <c r="AL421" i="205"/>
  <c r="AL378" i="205"/>
  <c r="AL474" i="205"/>
  <c r="AL414" i="205"/>
  <c r="AL296" i="205"/>
  <c r="AL267" i="205"/>
  <c r="AL329" i="205"/>
  <c r="AL401" i="205"/>
  <c r="AL326" i="205"/>
  <c r="AL430" i="205"/>
  <c r="AL451" i="205"/>
  <c r="AL332" i="205"/>
  <c r="AL235" i="205"/>
  <c r="AL366" i="205"/>
  <c r="AL300" i="205"/>
  <c r="AL424" i="205"/>
  <c r="AL297" i="205"/>
  <c r="AL237" i="205"/>
  <c r="AL405" i="205"/>
  <c r="AL436" i="205"/>
  <c r="AL360" i="205"/>
  <c r="AL423" i="205"/>
  <c r="AL254" i="205"/>
  <c r="AL473" i="205"/>
  <c r="AL226" i="205"/>
  <c r="AL323" i="205"/>
  <c r="AL427" i="205"/>
  <c r="AL333" i="205"/>
  <c r="AL265" i="205"/>
  <c r="AL355" i="205"/>
  <c r="AL435" i="205"/>
  <c r="AL343" i="205"/>
  <c r="AL375" i="205"/>
  <c r="AL369" i="205"/>
  <c r="AL242" i="205"/>
  <c r="AL419" i="205"/>
  <c r="AL475" i="205"/>
  <c r="AL240" i="205"/>
  <c r="AL327" i="205"/>
  <c r="AL252" i="205"/>
  <c r="AL422" i="205"/>
  <c r="AL338" i="205"/>
  <c r="AL247" i="205"/>
  <c r="N8" i="205"/>
  <c r="M8" i="205"/>
  <c r="G80" i="205"/>
  <c r="AN6" i="205"/>
  <c r="I26" i="205"/>
  <c r="I78" i="205"/>
  <c r="AQ5" i="205" s="1"/>
  <c r="AL107" i="205"/>
  <c r="AL123" i="205"/>
  <c r="AL133" i="205"/>
  <c r="AL211" i="205"/>
  <c r="AL120" i="205"/>
  <c r="AL98" i="205"/>
  <c r="AL87" i="205"/>
  <c r="AL165" i="205"/>
  <c r="AL208" i="205"/>
  <c r="AL186" i="205"/>
  <c r="AL143" i="205"/>
  <c r="AL112" i="205"/>
  <c r="AL134" i="205"/>
  <c r="AL196" i="205"/>
  <c r="AL145" i="205"/>
  <c r="AL164" i="205"/>
  <c r="AL114" i="205"/>
  <c r="AL110" i="205"/>
  <c r="AL194" i="205"/>
  <c r="AL159" i="205"/>
  <c r="AL160" i="205"/>
  <c r="AL174" i="205"/>
  <c r="AL132" i="205"/>
  <c r="AL125" i="205"/>
  <c r="AL209" i="205"/>
  <c r="AL178" i="205"/>
  <c r="AL175" i="205"/>
  <c r="AL86" i="205"/>
  <c r="AL162" i="205"/>
  <c r="AL118" i="205"/>
  <c r="AL163" i="205"/>
  <c r="AL102" i="205"/>
  <c r="AL201" i="205"/>
  <c r="AL126" i="205"/>
  <c r="AL103" i="205"/>
  <c r="AL147" i="205"/>
  <c r="AL140" i="205"/>
  <c r="AL172" i="205"/>
  <c r="AL200" i="205"/>
  <c r="AL197" i="205"/>
  <c r="AL213" i="205"/>
  <c r="AL151" i="205"/>
  <c r="AL158" i="205"/>
  <c r="AL144" i="205"/>
  <c r="AL166" i="205"/>
  <c r="AL185" i="205"/>
  <c r="AL97" i="205"/>
  <c r="AL121" i="205"/>
  <c r="AL204" i="205"/>
  <c r="AL119" i="205"/>
  <c r="AL136" i="205"/>
  <c r="AL207" i="205"/>
  <c r="AL104" i="205"/>
  <c r="AL214" i="205"/>
  <c r="AL96" i="205"/>
  <c r="AL99" i="205"/>
  <c r="AL141" i="205"/>
  <c r="AL92" i="205"/>
  <c r="AL105" i="205"/>
  <c r="AL113" i="205"/>
  <c r="AL124" i="205"/>
  <c r="AL177" i="205"/>
  <c r="AL176" i="205"/>
  <c r="AL142" i="205"/>
  <c r="AL139" i="205"/>
  <c r="AL169" i="205"/>
  <c r="AL122" i="205"/>
  <c r="AL127" i="205"/>
  <c r="AL101" i="205"/>
  <c r="AL138" i="205"/>
  <c r="AL153" i="205"/>
  <c r="AL157" i="205"/>
  <c r="AL131" i="205"/>
  <c r="AL202" i="205"/>
  <c r="AL216" i="205"/>
  <c r="AL111" i="205"/>
  <c r="AL210" i="205"/>
  <c r="AL117" i="205"/>
  <c r="AL91" i="205"/>
  <c r="AL171" i="205"/>
  <c r="AL115" i="205"/>
  <c r="AL168" i="205"/>
  <c r="AL205" i="205"/>
  <c r="AL109" i="205"/>
  <c r="AL146" i="205"/>
  <c r="AL206" i="205"/>
  <c r="AL212" i="205"/>
  <c r="AL137" i="205"/>
  <c r="AL217" i="205"/>
  <c r="AL108" i="205"/>
  <c r="AL199" i="205"/>
  <c r="AL203" i="205"/>
  <c r="AL152" i="205"/>
  <c r="AL167" i="205"/>
  <c r="AL173" i="205"/>
  <c r="AL100" i="205"/>
  <c r="AL215" i="205"/>
  <c r="AL135" i="205"/>
  <c r="AL179" i="205"/>
  <c r="AL198" i="205"/>
  <c r="AL184" i="205"/>
  <c r="AL161" i="205"/>
  <c r="AL116" i="205"/>
  <c r="AL195" i="205"/>
  <c r="AL170" i="205"/>
  <c r="AL106" i="205"/>
  <c r="AL180" i="205"/>
  <c r="AL190" i="205"/>
  <c r="J16" i="205"/>
  <c r="J220" i="205"/>
  <c r="N29" i="51"/>
  <c r="I19" i="47"/>
  <c r="E27" i="47"/>
  <c r="H11" i="85"/>
  <c r="H22" i="85" s="1"/>
  <c r="K9" i="85"/>
  <c r="M7" i="205" l="1"/>
  <c r="N7" i="205"/>
  <c r="J56" i="205"/>
  <c r="J72" i="205"/>
  <c r="AL53" i="205"/>
  <c r="AL37" i="205"/>
  <c r="AL50" i="205"/>
  <c r="AL39" i="205"/>
  <c r="AL33" i="205"/>
  <c r="AL40" i="205"/>
  <c r="AL49" i="205"/>
  <c r="AL32" i="205"/>
  <c r="AL47" i="205"/>
  <c r="AL35" i="205"/>
  <c r="AL36" i="205"/>
  <c r="AL52" i="205"/>
  <c r="AL45" i="205"/>
  <c r="AL31" i="205"/>
  <c r="AL34" i="205"/>
  <c r="AL42" i="205"/>
  <c r="AL46" i="205"/>
  <c r="AL48" i="205"/>
  <c r="AL44" i="205"/>
  <c r="AL41" i="205"/>
  <c r="AL51" i="205"/>
  <c r="AL38" i="205"/>
  <c r="AL30" i="205"/>
  <c r="AL43" i="205"/>
  <c r="AM16" i="205"/>
  <c r="J25" i="205"/>
  <c r="M4" i="205"/>
  <c r="N4" i="205"/>
  <c r="H80" i="205"/>
  <c r="AO6" i="205"/>
  <c r="L9" i="85"/>
  <c r="K11" i="85"/>
  <c r="I22" i="85"/>
  <c r="H43" i="85"/>
  <c r="J19" i="47"/>
  <c r="I27" i="47"/>
  <c r="J27" i="47" s="1"/>
  <c r="N5" i="205" l="1"/>
  <c r="M5" i="205"/>
  <c r="AM72" i="205"/>
  <c r="J73" i="205"/>
  <c r="J75" i="205" s="1"/>
  <c r="J76" i="205" s="1"/>
  <c r="J26" i="205"/>
  <c r="J78" i="205"/>
  <c r="AR5" i="205" s="1"/>
  <c r="I80" i="205"/>
  <c r="AP6" i="205"/>
  <c r="AL19" i="205"/>
  <c r="AL17" i="205"/>
  <c r="AL18" i="205"/>
  <c r="AL23" i="205"/>
  <c r="AL21" i="205"/>
  <c r="AL15" i="205"/>
  <c r="AL16" i="205"/>
  <c r="AL20" i="205"/>
  <c r="AL22" i="205"/>
  <c r="K43" i="85"/>
  <c r="L43" i="85" s="1"/>
  <c r="M43" i="85" s="1"/>
  <c r="N43" i="85" s="1"/>
  <c r="O43" i="85" s="1"/>
  <c r="I43" i="85"/>
  <c r="I5" i="85" s="1"/>
  <c r="L11" i="85"/>
  <c r="M9" i="85"/>
  <c r="AL72" i="205" l="1"/>
  <c r="AL69" i="205"/>
  <c r="AL60" i="205"/>
  <c r="AL63" i="205"/>
  <c r="AL61" i="205"/>
  <c r="AL67" i="205"/>
  <c r="AL66" i="205"/>
  <c r="AL70" i="205"/>
  <c r="AL62" i="205"/>
  <c r="AL71" i="205"/>
  <c r="AL68" i="205"/>
  <c r="J80" i="205"/>
  <c r="AR6" i="205" s="1"/>
  <c r="AQ6" i="205"/>
  <c r="M3" i="205"/>
  <c r="N3" i="205"/>
  <c r="O3" i="205" s="1"/>
  <c r="O4" i="205"/>
  <c r="O5" i="205"/>
  <c r="O7" i="205"/>
  <c r="O8" i="205"/>
  <c r="L45" i="85"/>
  <c r="L56" i="85" s="1"/>
  <c r="M64" i="85" s="1"/>
  <c r="K45" i="85"/>
  <c r="K56" i="85" s="1"/>
  <c r="N9" i="85"/>
  <c r="M11" i="85"/>
  <c r="M45" i="85" s="1"/>
  <c r="M56" i="85" s="1"/>
  <c r="M6" i="205" l="1"/>
  <c r="N6" i="205"/>
  <c r="O6" i="205" s="1"/>
  <c r="L57" i="85"/>
  <c r="L60" i="85"/>
  <c r="K60" i="85"/>
  <c r="K61" i="85" s="1"/>
  <c r="L64" i="85"/>
  <c r="K57" i="85"/>
  <c r="K70" i="85"/>
  <c r="O9" i="85"/>
  <c r="O11" i="85" s="1"/>
  <c r="O45" i="85" s="1"/>
  <c r="O56" i="85" s="1"/>
  <c r="N11" i="85"/>
  <c r="N45" i="85" s="1"/>
  <c r="N56" i="85" s="1"/>
  <c r="N64" i="85"/>
  <c r="M57" i="85"/>
  <c r="M60" i="85"/>
  <c r="M65" i="85"/>
  <c r="M68" i="85" s="1"/>
  <c r="M70" i="85" s="1"/>
  <c r="M61" i="85" l="1"/>
  <c r="L65" i="85"/>
  <c r="L68" i="85" s="1"/>
  <c r="L70" i="85" s="1"/>
  <c r="L61" i="85"/>
  <c r="N65" i="85"/>
  <c r="N68" i="85" s="1"/>
  <c r="N70" i="85" s="1"/>
  <c r="N60" i="85"/>
  <c r="N61" i="85" s="1"/>
  <c r="O64" i="85"/>
  <c r="N57" i="85"/>
  <c r="O57" i="85"/>
  <c r="O60" i="85"/>
  <c r="O61" i="85" l="1"/>
  <c r="O65" i="85"/>
  <c r="O68" i="85" s="1"/>
  <c r="O70" i="8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A00-000001000000}">
      <text>
        <r>
          <rPr>
            <b/>
            <sz val="9"/>
            <color indexed="81"/>
            <rFont val="Tahoma"/>
            <family val="2"/>
          </rPr>
          <t>Clayton, Spencer:</t>
        </r>
        <r>
          <rPr>
            <sz val="9"/>
            <color indexed="81"/>
            <rFont val="Tahoma"/>
            <family val="2"/>
          </rPr>
          <t xml:space="preserve">
Follow Up!!!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B00-000001000000}">
      <text>
        <r>
          <rPr>
            <b/>
            <sz val="9"/>
            <color indexed="81"/>
            <rFont val="Tahoma"/>
            <family val="2"/>
          </rPr>
          <t>Clayton, Spencer:</t>
        </r>
        <r>
          <rPr>
            <sz val="9"/>
            <color indexed="81"/>
            <rFont val="Tahoma"/>
            <family val="2"/>
          </rPr>
          <t xml:space="preserve">
Follow Up!!!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Clayton, Spencer</author>
  </authors>
  <commentList>
    <comment ref="Q6" authorId="0" shapeId="0" xr:uid="{00000000-0006-0000-1C00-000001000000}">
      <text>
        <r>
          <rPr>
            <b/>
            <sz val="9"/>
            <color indexed="81"/>
            <rFont val="Tahoma"/>
            <family val="2"/>
          </rPr>
          <t>Clayton, Spencer:</t>
        </r>
        <r>
          <rPr>
            <sz val="9"/>
            <color indexed="81"/>
            <rFont val="Tahoma"/>
            <family val="2"/>
          </rPr>
          <t xml:space="preserve">
Follow Up!!!
</t>
        </r>
      </text>
    </comment>
  </commentList>
</comments>
</file>

<file path=xl/sharedStrings.xml><?xml version="1.0" encoding="utf-8"?>
<sst xmlns="http://schemas.openxmlformats.org/spreadsheetml/2006/main" count="14940" uniqueCount="6368">
  <si>
    <t>General Appropriations For: (Reference to item and sheet number should be omitted in advertised budget)</t>
  </si>
  <si>
    <t>1.  Appropriations within "CAPS" -</t>
  </si>
  <si>
    <t>2.  Appropriations excluded from "CAPS" -</t>
  </si>
  <si>
    <t>(b) Local District School Purposes in Municipal Budget (Item K, Sheet 29)</t>
  </si>
  <si>
    <t>Total General Appropriations excluded from "CAPS" (Item O, Sheet 29)</t>
  </si>
  <si>
    <t>4.  Total General Appropriations (Item 9, Sheet 29)</t>
  </si>
  <si>
    <t>Building Aid Allowance</t>
  </si>
  <si>
    <t>(a) Local Tax for Municipal Purposes Including Reserve for Uncollected Taxes (Item 6(a), Sheet 11)</t>
  </si>
  <si>
    <t>(b) Addition to Local District School Tax (Item 6(b), Sheet 11)</t>
  </si>
  <si>
    <t>Sheet  3</t>
  </si>
  <si>
    <t>XXXXXXXXXXXX</t>
  </si>
  <si>
    <t>3.  Reserve for Uncollected  Taxes (Item M, Sheet 29)  Based on  Estimated</t>
  </si>
  <si>
    <t>COMMENTS  OR  CHANGES  REQUIRED  AS  A  CONDITION  OF  CERTIFICATION  OF  DIRECTOR  OF  LOCAL  GOVERNMENT  SERVICES</t>
  </si>
  <si>
    <t>Cap Base Adjustment:</t>
  </si>
  <si>
    <t>The changes or comments which follow must be considered in connection with further action on this budget.</t>
  </si>
  <si>
    <t>Sheet  1a</t>
  </si>
  <si>
    <t>8.  GENERAL  APPROPRIATIONS</t>
  </si>
  <si>
    <t>(A)  Operations  -  within "CAPS"</t>
  </si>
  <si>
    <t>Appropriation</t>
  </si>
  <si>
    <t>Emergency</t>
  </si>
  <si>
    <t>Paid or</t>
  </si>
  <si>
    <t>Charged</t>
  </si>
  <si>
    <t>Reserved</t>
  </si>
  <si>
    <t>Appropriated</t>
  </si>
  <si>
    <t>As Modified By</t>
  </si>
  <si>
    <t>All Transfers</t>
  </si>
  <si>
    <t>CURRENT  FUND  -  ANTICIPATED  REVENUES</t>
  </si>
  <si>
    <t>Anticipated</t>
  </si>
  <si>
    <t>Realized in</t>
  </si>
  <si>
    <t>GENERAL  REVENUES</t>
  </si>
  <si>
    <t>1.</t>
  </si>
  <si>
    <t>Surplus  Anticipated</t>
  </si>
  <si>
    <t>2.</t>
  </si>
  <si>
    <t>Surplus  Anticipated with Prior Written Consent of Director of Local Government Services</t>
  </si>
  <si>
    <t>Total Surplus Anticipated</t>
  </si>
  <si>
    <t>3.</t>
  </si>
  <si>
    <t>Licenses:</t>
  </si>
  <si>
    <t>Alcoholic Beverages</t>
  </si>
  <si>
    <t>51-101</t>
  </si>
  <si>
    <t>51-885</t>
  </si>
  <si>
    <t>51-899</t>
  </si>
  <si>
    <t>51-920</t>
  </si>
  <si>
    <t>51-925</t>
  </si>
  <si>
    <t>51-999</t>
  </si>
  <si>
    <t>52-101</t>
  </si>
  <si>
    <t>52-885</t>
  </si>
  <si>
    <t>52-899</t>
  </si>
  <si>
    <t>52-920</t>
  </si>
  <si>
    <t>52-925</t>
  </si>
  <si>
    <t>52-999</t>
  </si>
  <si>
    <t>53-101</t>
  </si>
  <si>
    <t>53-885</t>
  </si>
  <si>
    <t>53-899</t>
  </si>
  <si>
    <t>53-920</t>
  </si>
  <si>
    <t>53-925</t>
  </si>
  <si>
    <t>53-999</t>
  </si>
  <si>
    <t>described in this section must be granted elsewhere, by a separate bond ordinance, by inclusion of a line item in the Capital Improvement Section of this</t>
  </si>
  <si>
    <t>Project Title</t>
  </si>
  <si>
    <t>Total Costs</t>
  </si>
  <si>
    <t>(d) $</t>
  </si>
  <si>
    <t xml:space="preserve">  (Sheet 43) Open Space, Recreation, Farmland and Historic Preservation Trust Fund Levy</t>
  </si>
  <si>
    <t>13-099</t>
  </si>
  <si>
    <t>13-299</t>
  </si>
  <si>
    <r>
      <t xml:space="preserve">Pursuant to </t>
    </r>
    <r>
      <rPr>
        <b/>
        <u/>
        <sz val="11"/>
        <rFont val="Arial"/>
        <family val="2"/>
      </rPr>
      <t>N.J.A.C.</t>
    </r>
    <r>
      <rPr>
        <b/>
        <sz val="11"/>
        <rFont val="Arial"/>
        <family val="2"/>
      </rPr>
      <t xml:space="preserve"> 5:30-11</t>
    </r>
  </si>
  <si>
    <r>
      <t xml:space="preserve">please consult </t>
    </r>
    <r>
      <rPr>
        <u/>
        <sz val="10"/>
        <rFont val="Arial"/>
        <family val="2"/>
      </rPr>
      <t>N.J.A.C.</t>
    </r>
    <r>
      <rPr>
        <sz val="10"/>
        <rFont val="Arial"/>
        <family val="2"/>
      </rPr>
      <t xml:space="preserve"> 5:30-11.1 et seq.  Please identify each change order by name of the project.</t>
    </r>
  </si>
  <si>
    <t>54-190</t>
  </si>
  <si>
    <t>54-113</t>
  </si>
  <si>
    <t>54-299</t>
  </si>
  <si>
    <t>54-385-1</t>
  </si>
  <si>
    <t>54-385-2</t>
  </si>
  <si>
    <t>54-375-1</t>
  </si>
  <si>
    <t>54-372-2</t>
  </si>
  <si>
    <t>54-176-1</t>
  </si>
  <si>
    <t>54-176-2</t>
  </si>
  <si>
    <t>54-915-2</t>
  </si>
  <si>
    <t>54-916-2</t>
  </si>
  <si>
    <t>54-902-2</t>
  </si>
  <si>
    <t>54-920-2</t>
  </si>
  <si>
    <t>54-925-2</t>
  </si>
  <si>
    <t>54-930-2</t>
  </si>
  <si>
    <t>54-935-2</t>
  </si>
  <si>
    <t>54-950-2</t>
  </si>
  <si>
    <t>54-499</t>
  </si>
  <si>
    <t>OPEN SPACE, RECREATION, FARMLAND AND HISTORIC PRESERVATION TRUST FUND</t>
  </si>
  <si>
    <t>13-199</t>
  </si>
  <si>
    <t>XXXXX</t>
  </si>
  <si>
    <t>07-199</t>
  </si>
  <si>
    <t>Other</t>
  </si>
  <si>
    <t>Fees and Permits</t>
  </si>
  <si>
    <t>Fines and Costs:</t>
  </si>
  <si>
    <t>Municipal Court</t>
  </si>
  <si>
    <t>Interest and Costs on Taxes</t>
  </si>
  <si>
    <t>Interest and Costs on Assessments</t>
  </si>
  <si>
    <t>Parking Meters</t>
  </si>
  <si>
    <r>
      <t xml:space="preserve">CERTIFICATION  OF  </t>
    </r>
    <r>
      <rPr>
        <b/>
        <u val="double"/>
        <sz val="11"/>
        <rFont val="Arial"/>
        <family val="2"/>
      </rPr>
      <t>ADOPTED</t>
    </r>
    <r>
      <rPr>
        <b/>
        <sz val="11"/>
        <rFont val="Arial"/>
        <family val="2"/>
      </rPr>
      <t xml:space="preserve">  BUDGET</t>
    </r>
  </si>
  <si>
    <t>Interest on Investments and Deposits</t>
  </si>
  <si>
    <t>Anticipated Utility Operating Surplus</t>
  </si>
  <si>
    <t>XXXXXXX</t>
  </si>
  <si>
    <t>XXXXXXXXXXX</t>
  </si>
  <si>
    <t>Total Section  A:  Local  Revenue</t>
  </si>
  <si>
    <t xml:space="preserve">Miscellaneous Revenues  -  Section B:  State Aid Without Offsetting Appropriations </t>
  </si>
  <si>
    <t>Consolidated Municipal Property Tax Relief Aid</t>
  </si>
  <si>
    <t>Miscellaneous Revenues  -  Section C:  Dedicated Uniform Construction Code Fees</t>
  </si>
  <si>
    <t>Uniform Construction Code Fees</t>
  </si>
  <si>
    <t>Consent of Director of Local Government Services:</t>
  </si>
  <si>
    <t>Special Item of General Revenue Anticipated with Prior Written</t>
  </si>
  <si>
    <t>Additional  Dedicated Uniform Construction Code Fees Offset with Appropriations</t>
  </si>
  <si>
    <t>Total Section  C:  Dedicated Uniform Construction Code Fees Offset with Appropriations</t>
  </si>
  <si>
    <t xml:space="preserve">Miscellaneous Revenues  -  Section D:  Special Items of General Revenue Anticipated </t>
  </si>
  <si>
    <t>CURRENT  FUND  -  ANTICIPATED  REVENUES  -  (Continued)</t>
  </si>
  <si>
    <t>With Prior Written Consent of the Director of Local Government Services  -  Additional</t>
  </si>
  <si>
    <t>Total Section  E:  Special Item of General Revenue Anticipated with Prior Written</t>
  </si>
  <si>
    <t>Sheet  9</t>
  </si>
  <si>
    <t>Sheet  8</t>
  </si>
  <si>
    <t>Sheet  7</t>
  </si>
  <si>
    <t>Sheet  6</t>
  </si>
  <si>
    <t>Sheet  5</t>
  </si>
  <si>
    <t>Sheet  4a</t>
  </si>
  <si>
    <t>Sheet  4</t>
  </si>
  <si>
    <t xml:space="preserve">Miscellaneous Revenues  -  Section F:  Special Items of General Revenue Anticipated </t>
  </si>
  <si>
    <t>Sheet  9a</t>
  </si>
  <si>
    <t>Total Section  F:  Special Item of General Revenue Anticipated with Prior Written</t>
  </si>
  <si>
    <t xml:space="preserve">Miscellaneous Revenues  -  Section E:  Special Items of General Revenue Anticipated </t>
  </si>
  <si>
    <t xml:space="preserve">Miscellaneous Revenues  -  Section G:  Special Items of General Revenue Anticipated </t>
  </si>
  <si>
    <t>23-225</t>
  </si>
  <si>
    <t>Sheet  10</t>
  </si>
  <si>
    <t>Consent of Director of Local Government Services  -  Other Special Items</t>
  </si>
  <si>
    <t>Sheet  10a</t>
  </si>
  <si>
    <t>Sheet  11</t>
  </si>
  <si>
    <t>Summary  of  Revenues</t>
  </si>
  <si>
    <t>Miscellaneous Revenues:</t>
  </si>
  <si>
    <t>Surplus Anticipated  (Sheet 4, #1)</t>
  </si>
  <si>
    <t>Annual List of Change Orders Approved</t>
  </si>
  <si>
    <t>Contracting Unit:</t>
  </si>
  <si>
    <t>Year Ending:</t>
  </si>
  <si>
    <t>The following is a complete list of all change orders which caused the originally awarded contract price to be exceeded by more than 20 percent.  For regulatory details</t>
  </si>
  <si>
    <t>For each change order listed above, submit with introduced budget a copy of the governing body resolution authorizing the change order and an Affidavit of Publication for</t>
  </si>
  <si>
    <t xml:space="preserve">If you have not had a change order exceeding the 20 percent threshold for the year indicated above, please check here </t>
  </si>
  <si>
    <t xml:space="preserve">    and certify below.</t>
  </si>
  <si>
    <t>Date</t>
  </si>
  <si>
    <t>Clerk of the Governing Body</t>
  </si>
  <si>
    <t>Sheet  44</t>
  </si>
  <si>
    <r>
      <t xml:space="preserve">the newspaper notice required by </t>
    </r>
    <r>
      <rPr>
        <u/>
        <sz val="10"/>
        <rFont val="Arial"/>
        <family val="2"/>
      </rPr>
      <t>N.J.A.C.</t>
    </r>
    <r>
      <rPr>
        <sz val="10"/>
        <rFont val="Arial"/>
        <family val="2"/>
      </rPr>
      <t xml:space="preserve"> 5:30-11.9(d).  (Affidavit must include a copy of the newspaper notice.)</t>
    </r>
  </si>
  <si>
    <t>ADJUSTED TAX LEVY PRIOR TO EXCLUSIONS</t>
  </si>
  <si>
    <t>Exclusions:</t>
  </si>
  <si>
    <t>Recycling Tax appropriation</t>
  </si>
  <si>
    <t>LEVY CAP CALCULATION</t>
  </si>
  <si>
    <t>Deferred Charge to Future Taxation Unfunded</t>
  </si>
  <si>
    <t>Add Total Exclusions</t>
  </si>
  <si>
    <t>Less Cancelled or Unexpended Waivers</t>
  </si>
  <si>
    <t xml:space="preserve">Prior Year Amount to be Raised by Taxation </t>
  </si>
  <si>
    <t>Less Cancelled or Unexpended Exclusions</t>
  </si>
  <si>
    <t>Less:</t>
  </si>
  <si>
    <t>ADJUSTED TAX LEVY</t>
  </si>
  <si>
    <t>New Ratables - Increase for new construction</t>
  </si>
  <si>
    <t>New Ratable Adjustment to Levy</t>
  </si>
  <si>
    <t>Amounts approved by Referendum</t>
  </si>
  <si>
    <t>MAXIMUM ALLOWABLE AMOUNT TO BE RAISED BY TAXATION</t>
  </si>
  <si>
    <t>(must be equal or under for Introduction)</t>
  </si>
  <si>
    <t>Sheet  3 - Levy CAP</t>
  </si>
  <si>
    <t>Surplus Anticipated with Prior Written Consent of Director of Local Government Services (Sheet 4, #2)</t>
  </si>
  <si>
    <t>36-477</t>
  </si>
  <si>
    <t xml:space="preserve">Total Section A: </t>
  </si>
  <si>
    <t>Local Revenues</t>
  </si>
  <si>
    <t xml:space="preserve">Total Section B: </t>
  </si>
  <si>
    <t>State Aid Without Offsetting Appropriations</t>
  </si>
  <si>
    <t xml:space="preserve">Total Section C: </t>
  </si>
  <si>
    <t>Dedicated Uniform Construction Code Fees Offset with Appropriations</t>
  </si>
  <si>
    <t xml:space="preserve">Total Section D: </t>
  </si>
  <si>
    <t xml:space="preserve">Total Section E: </t>
  </si>
  <si>
    <t>Special Items of General Revenue Anticipated with Prior Written Consent of Director of Local Government Services - Additional Revenues</t>
  </si>
  <si>
    <t xml:space="preserve">Total Section F: </t>
  </si>
  <si>
    <t xml:space="preserve">Total Section G: </t>
  </si>
  <si>
    <t>Total Miscellaneous Revenues</t>
  </si>
  <si>
    <t>4.</t>
  </si>
  <si>
    <t>5.</t>
  </si>
  <si>
    <t>Subtotal General Revenues (Items  1,  2,  3  and  4)</t>
  </si>
  <si>
    <t>6.</t>
  </si>
  <si>
    <t>a)</t>
  </si>
  <si>
    <t>b)</t>
  </si>
  <si>
    <t>Local Tax for Municipal Purposes Including Reserve for Uncollected Taxes</t>
  </si>
  <si>
    <t>Addition to Local District School Tax</t>
  </si>
  <si>
    <t>7.</t>
  </si>
  <si>
    <t>Total General Revenues</t>
  </si>
  <si>
    <t>Special Items of General Revenue Anticipated with Prior Written Consent of Director of Local Government Services - Public and Private Revenues</t>
  </si>
  <si>
    <t>Special Items of General Revenue Anticipated with Prior Written Consent of Director of Local Government Services - Other Special Items</t>
  </si>
  <si>
    <t>(A)  Operations  -  within "CAPS"  - (continued)</t>
  </si>
  <si>
    <t>Sheet  16</t>
  </si>
  <si>
    <t>Sheet  15f</t>
  </si>
  <si>
    <t>Sheet  15e</t>
  </si>
  <si>
    <t>Sheet  15d</t>
  </si>
  <si>
    <t>Sheet  15c</t>
  </si>
  <si>
    <t>Sheet  15b</t>
  </si>
  <si>
    <t>Sheet  15a</t>
  </si>
  <si>
    <t>Sheet  15</t>
  </si>
  <si>
    <t>Sheet  14</t>
  </si>
  <si>
    <t>Sheet  13</t>
  </si>
  <si>
    <t>Sheet  12</t>
  </si>
  <si>
    <t>Uniform Construction Code - Appropriations</t>
  </si>
  <si>
    <t>Offset by Dedicated Revenues (N.J.A.C. 5:23-4.17)</t>
  </si>
  <si>
    <t>XXXXXX</t>
  </si>
  <si>
    <t>XXXXXXXXXX</t>
  </si>
  <si>
    <t>Sheet  17</t>
  </si>
  <si>
    <t>UNCLASSIFIED:</t>
  </si>
  <si>
    <t>Other Expenses  (Including Contingent)</t>
  </si>
  <si>
    <t>Salaries &amp; Wages</t>
  </si>
  <si>
    <t>Detail:</t>
  </si>
  <si>
    <t>B.</t>
  </si>
  <si>
    <t>Contingent</t>
  </si>
  <si>
    <t>Total Operations Including Contingent - within  "CAPS"</t>
  </si>
  <si>
    <t>Total Operations {Item 8(A)} within  "CAPS"</t>
  </si>
  <si>
    <t>Sheet  18</t>
  </si>
  <si>
    <t>(1)  DEFERRED  CHARGES</t>
  </si>
  <si>
    <t>Emergency Authorizations</t>
  </si>
  <si>
    <t>(2) STATUTORY  EXPENDITURES:</t>
  </si>
  <si>
    <t>(H-1)</t>
  </si>
  <si>
    <t>Total General Appropriations for Municipal Purposes within  "CAPS"</t>
  </si>
  <si>
    <t>Total Deferred Charges and Statutory Expenditures - Municipal within  "CAPS"</t>
  </si>
  <si>
    <t>Sheet  19</t>
  </si>
  <si>
    <t>Contribution to:</t>
  </si>
  <si>
    <t>Public Employees' Retirement System</t>
  </si>
  <si>
    <t>Social Security System  (O.A.S.I.)</t>
  </si>
  <si>
    <t>Consolidated Police &amp; Fireman's Pension Fund</t>
  </si>
  <si>
    <t>Police and Firemen's Retirement System of NJ</t>
  </si>
  <si>
    <t xml:space="preserve">(A)  Operations  -  Excluded from "CAPS" </t>
  </si>
  <si>
    <t>Sheet  20</t>
  </si>
  <si>
    <t>Sheet  20a</t>
  </si>
  <si>
    <t>Total Other Operations  -  Excluded from  "CAPS"</t>
  </si>
  <si>
    <t>Sheet  21</t>
  </si>
  <si>
    <t>Total Uniform Construction Code Appropriations</t>
  </si>
  <si>
    <t>Sheet  22</t>
  </si>
  <si>
    <t>Total Interlocal Municipal Service Agreements</t>
  </si>
  <si>
    <t>Sheet  23</t>
  </si>
  <si>
    <t>Public and Private Programs Offset by Revenues</t>
  </si>
  <si>
    <t>Sheet  24</t>
  </si>
  <si>
    <t>Sheet  24a</t>
  </si>
  <si>
    <t>Public and Private Programs Offset by Revenues (cont)</t>
  </si>
  <si>
    <t xml:space="preserve">Other Expenses </t>
  </si>
  <si>
    <t>Sheet  25</t>
  </si>
  <si>
    <t>Total Operations -  Excluded from  "CAPS"</t>
  </si>
  <si>
    <t>Total Public and Private Programs Offset by Revenues</t>
  </si>
  <si>
    <t>(A)  Operations  -  Excluded from "CAPS"  (continued)</t>
  </si>
  <si>
    <t xml:space="preserve">(C)  Capital Improvements  -  Excluded from "CAPS" </t>
  </si>
  <si>
    <t>Down Payments on Improvements</t>
  </si>
  <si>
    <t>Capital Improvement Fund</t>
  </si>
  <si>
    <t>Sheet  26</t>
  </si>
  <si>
    <t>Public and Private Programs Offset by Revenues:</t>
  </si>
  <si>
    <t>New Jersey Transportation Trust Fund Authority Act</t>
  </si>
  <si>
    <t>Total Capital Improvements Excluded from  "CAPS"</t>
  </si>
  <si>
    <t>Sheet  26a</t>
  </si>
  <si>
    <t xml:space="preserve">(D)  Municipal Debt Service  -  Excluded from "CAPS" </t>
  </si>
  <si>
    <t>Green Trust Loan Program:</t>
  </si>
  <si>
    <t>Total Municipal Debt Service Excluded from  "CAPS"</t>
  </si>
  <si>
    <t>Sheet  27</t>
  </si>
  <si>
    <t>Payment of Bond Principal</t>
  </si>
  <si>
    <t>Payment of Bond Anticipation Notes and Capital Notes</t>
  </si>
  <si>
    <t>Interest on Bonds</t>
  </si>
  <si>
    <t>Interest on Notes</t>
  </si>
  <si>
    <t>Sheet  28</t>
  </si>
  <si>
    <t xml:space="preserve">(E)  Deferred Charges - Municipal -  Excluded from "CAPS" </t>
  </si>
  <si>
    <t>(H-2)</t>
  </si>
  <si>
    <t>Total General Appropriations for Municipal Purposes Excluded from   "CAPS"</t>
  </si>
  <si>
    <t>(G)</t>
  </si>
  <si>
    <t>(N)</t>
  </si>
  <si>
    <t>Transferred  to  Board  of  Education  for  Use  of  Local Schools (N.J.S.A. 40:48-17.1  &amp;  17.3)</t>
  </si>
  <si>
    <t>(F)</t>
  </si>
  <si>
    <t>Total   Deferred   Charges  -  Municipal  -   Excluded   from  "CAPS"</t>
  </si>
  <si>
    <t>(1) DEFERRED  CHARGES:</t>
  </si>
  <si>
    <t>(E)</t>
  </si>
  <si>
    <t>Deferred Charges and Statutory Expenditures - Municipal within  "CAPS"</t>
  </si>
  <si>
    <t>Deferred Charges and Statutory Expenditures - Municipal within  "CAPS"  - (continued)</t>
  </si>
  <si>
    <t>For    Local    District   School   Purposes  -   Excluded    from  "CAPS"</t>
  </si>
  <si>
    <t>Payment of Bond Anticipation Notes</t>
  </si>
  <si>
    <t>Sheet  29</t>
  </si>
  <si>
    <t>Total of Type 1 District School Debt Service  -  Excluded from  "CAPS"</t>
  </si>
  <si>
    <t>Type 1 District School Debt Service</t>
  </si>
  <si>
    <t xml:space="preserve">( I ) </t>
  </si>
  <si>
    <t xml:space="preserve">(J) </t>
  </si>
  <si>
    <t>Deferred  Charges  and  Statutory  Expenditures  -  Local School  -  Excluded  from  "CAPS"</t>
  </si>
  <si>
    <t>Emergency Authorizations - Schools</t>
  </si>
  <si>
    <t>Total Deferred Charges and Statutory Expenditures - Local School - Excluded from "CAPS"</t>
  </si>
  <si>
    <t xml:space="preserve">(K) </t>
  </si>
  <si>
    <t xml:space="preserve">(O) </t>
  </si>
  <si>
    <t xml:space="preserve">(L) </t>
  </si>
  <si>
    <t xml:space="preserve">(M) </t>
  </si>
  <si>
    <t>9.</t>
  </si>
  <si>
    <t>Total  General  Appropriations</t>
  </si>
  <si>
    <t>Reserve  for  Uncollected  Taxes</t>
  </si>
  <si>
    <t>Subtotal General Appropriations {Items (H-1) and (O)}</t>
  </si>
  <si>
    <t>Total General Appropriations - Excluded from "CAPS"</t>
  </si>
  <si>
    <t>Total Municipal Appropriations for Local District School Purposes {Items (I) and (J) - Excluded from "CAPS"</t>
  </si>
  <si>
    <t>Summary  of  Appropriations</t>
  </si>
  <si>
    <t>Operations  -  Excluded  from  "CAPS"</t>
  </si>
  <si>
    <t>Other Operations</t>
  </si>
  <si>
    <t>Uniform Construction Code</t>
  </si>
  <si>
    <t>Sheet  30</t>
  </si>
  <si>
    <t>Public &amp; Private Programs Offset by Revenues</t>
  </si>
  <si>
    <t>(C)</t>
  </si>
  <si>
    <t>(D)</t>
  </si>
  <si>
    <t>(K)</t>
  </si>
  <si>
    <t>(M)</t>
  </si>
  <si>
    <t>Operating  Surplus  Anticipated</t>
  </si>
  <si>
    <t>Operating  Surplus  Anticipated with Prior Written Consent of Director of Local Government Services</t>
  </si>
  <si>
    <t>CAP</t>
  </si>
  <si>
    <t>COLA</t>
  </si>
  <si>
    <t>Additional Increase to COLA rate.</t>
  </si>
  <si>
    <t>Amount of Increase allowable.</t>
  </si>
  <si>
    <t>Total Operating Surplus Anticipated</t>
  </si>
  <si>
    <t>Rents</t>
  </si>
  <si>
    <t>Miscellaneous</t>
  </si>
  <si>
    <t>Special Items of General Revenues Anticipated with Prior Written Consent of Director of Local Governement Services</t>
  </si>
  <si>
    <t>Deficit  (General Budget)</t>
  </si>
  <si>
    <t>Sheet  31</t>
  </si>
  <si>
    <t>Operating:</t>
  </si>
  <si>
    <t>Other Expenses</t>
  </si>
  <si>
    <t>Capital Improvements:</t>
  </si>
  <si>
    <t>Capital Improvements</t>
  </si>
  <si>
    <t>Capital Outlay</t>
  </si>
  <si>
    <t>Debt Service:</t>
  </si>
  <si>
    <t>Sheet  32</t>
  </si>
  <si>
    <t>Sheet  33</t>
  </si>
  <si>
    <t>Deferred Charges and Statutory Expenditures:</t>
  </si>
  <si>
    <t>DEFERRED CHARGES:</t>
  </si>
  <si>
    <t>STATUTORY  EXPENDITURES:</t>
  </si>
  <si>
    <t>Contribution To:</t>
  </si>
  <si>
    <t>Unemployment   Compensation   Insurance        (N.J.S.A.  43:21-3  et. Seq.)</t>
  </si>
  <si>
    <t>Judgements</t>
  </si>
  <si>
    <t>Deficit in Operations in Prior Years</t>
  </si>
  <si>
    <t>Surplus  (General  Budget )</t>
  </si>
  <si>
    <t>REVENUES</t>
  </si>
  <si>
    <t>CHANGE</t>
  </si>
  <si>
    <t>%</t>
  </si>
  <si>
    <t>Surplus</t>
  </si>
  <si>
    <t>Local</t>
  </si>
  <si>
    <t>State Aid</t>
  </si>
  <si>
    <t>State &amp; Federal Grants</t>
  </si>
  <si>
    <t>Delinquent Tax</t>
  </si>
  <si>
    <t>Local Purpose Tax</t>
  </si>
  <si>
    <r>
      <t xml:space="preserve">School Tax </t>
    </r>
    <r>
      <rPr>
        <sz val="8"/>
        <rFont val="Arial"/>
        <family val="2"/>
      </rPr>
      <t>(Debt Service)</t>
    </r>
  </si>
  <si>
    <t>TOTAL  REVENUE</t>
  </si>
  <si>
    <t>APPROPRIATIONS</t>
  </si>
  <si>
    <t>Statutory &amp; Deferred Charges</t>
  </si>
  <si>
    <t>Capital</t>
  </si>
  <si>
    <t>Debt Service</t>
  </si>
  <si>
    <t>School Debt Service</t>
  </si>
  <si>
    <t>Reserve for Uncollected Taxes</t>
  </si>
  <si>
    <t>BUDGET</t>
  </si>
  <si>
    <t xml:space="preserve"> YEAR</t>
  </si>
  <si>
    <t>PRIOR</t>
  </si>
  <si>
    <t>YEAR</t>
  </si>
  <si>
    <t>TOTAL  APPROPRIATIONS</t>
  </si>
  <si>
    <t>Adopted Emergencies</t>
  </si>
  <si>
    <t>COMPARISON  OF  REVENUES  &amp;  APPROPRIATIONS</t>
  </si>
  <si>
    <t>Available</t>
  </si>
  <si>
    <t>Used to Fund Budget</t>
  </si>
  <si>
    <t>Remaining Balance</t>
  </si>
  <si>
    <t xml:space="preserve"> LOCAL  TAX  LEVY  AND  ASSESSED  VALUES</t>
  </si>
  <si>
    <t>Local Purpose Tax Levy (only)</t>
  </si>
  <si>
    <t>Assessed  Valuation</t>
  </si>
  <si>
    <t>CONDITION  OF  SURPLUS</t>
  </si>
  <si>
    <t>Official Mailing Address of Municipality</t>
  </si>
  <si>
    <t>for Schools-State Aid</t>
  </si>
  <si>
    <t>6.  Difference: Amount to be Raised by Taxes for Support of Municipal Budget (as follows)</t>
  </si>
  <si>
    <r>
      <t xml:space="preserve">5.  Less: Anticipated Revenues Other Than Current Property Tax (Item 5, Sheet 11) </t>
    </r>
    <r>
      <rPr>
        <b/>
        <sz val="8"/>
        <rFont val="Arial"/>
        <family val="2"/>
      </rPr>
      <t>(i.e. Surplus, Miscellaneous Revenues and Receipts from Delinquent Taxes)</t>
    </r>
  </si>
  <si>
    <r>
      <t xml:space="preserve">MANDATORY MINIMUM BUDGET MESSAGE </t>
    </r>
    <r>
      <rPr>
        <b/>
        <u/>
        <sz val="10"/>
        <rFont val="Arial"/>
        <family val="2"/>
      </rPr>
      <t>MUST</t>
    </r>
    <r>
      <rPr>
        <b/>
        <sz val="10"/>
        <rFont val="Arial"/>
        <family val="2"/>
      </rPr>
      <t xml:space="preserve"> INCLUDE A SUMMARY OF:</t>
    </r>
  </si>
  <si>
    <t>Miscellaneous Revenues  -  Section A:  Local Revenues (continued)</t>
  </si>
  <si>
    <t>08-001</t>
  </si>
  <si>
    <t>09-001</t>
  </si>
  <si>
    <t>Total Section  B:  State Aid Without Offsetting Appropriations</t>
  </si>
  <si>
    <t>08-002</t>
  </si>
  <si>
    <t>11-001</t>
  </si>
  <si>
    <t>08-003</t>
  </si>
  <si>
    <t>With Prior Written Consent of Director of Local Government Services  -  Public and</t>
  </si>
  <si>
    <t>With Prior Written Consent of Director of Local Government Services  -  Public  and</t>
  </si>
  <si>
    <t>10-001</t>
  </si>
  <si>
    <t>With Prior Written Consent of Director of Local Government Services  -  Other Special</t>
  </si>
  <si>
    <t>08-004</t>
  </si>
  <si>
    <t>CURRENT  FUND  -  APPROPRIATIONS</t>
  </si>
  <si>
    <t>34-199</t>
  </si>
  <si>
    <t>34-201</t>
  </si>
  <si>
    <t>34-209</t>
  </si>
  <si>
    <t>34-299</t>
  </si>
  <si>
    <t>34-300</t>
  </si>
  <si>
    <t>22-999</t>
  </si>
  <si>
    <t>42-999</t>
  </si>
  <si>
    <t>34-303</t>
  </si>
  <si>
    <t>40-999</t>
  </si>
  <si>
    <t>34-305</t>
  </si>
  <si>
    <t>44-999</t>
  </si>
  <si>
    <t>45-999</t>
  </si>
  <si>
    <t>46-999</t>
  </si>
  <si>
    <t>34-309</t>
  </si>
  <si>
    <t>48-999</t>
  </si>
  <si>
    <t>29-409</t>
  </si>
  <si>
    <t>29-410</t>
  </si>
  <si>
    <t>34-399</t>
  </si>
  <si>
    <t>34-400</t>
  </si>
  <si>
    <t>34-499</t>
  </si>
  <si>
    <t>Cash Deficit - With Prior Consent of LFB</t>
  </si>
  <si>
    <t>08-599</t>
  </si>
  <si>
    <t>55-599</t>
  </si>
  <si>
    <t>Local Tax Rate</t>
  </si>
  <si>
    <t>CAP Base from Prior Year</t>
  </si>
  <si>
    <t>Rate Applied</t>
  </si>
  <si>
    <t>Allowable CAP</t>
  </si>
  <si>
    <t>Additions:</t>
  </si>
  <si>
    <t>Total CAP Allowable</t>
  </si>
  <si>
    <t>Budget Expenditures Sheet 19</t>
  </si>
  <si>
    <t>%  OF  TAX  COLLECTION</t>
  </si>
  <si>
    <t>CURRENT</t>
  </si>
  <si>
    <t>Used for Reserve for Taxes</t>
  </si>
  <si>
    <t>Total Operations Excluded from "CAPS"</t>
  </si>
  <si>
    <t>Municipal Debt Service</t>
  </si>
  <si>
    <t>Cash Deficit</t>
  </si>
  <si>
    <t>Local District School Purposes</t>
  </si>
  <si>
    <t>Transferred to Board of Education</t>
  </si>
  <si>
    <t>of the</t>
  </si>
  <si>
    <t>of</t>
  </si>
  <si>
    <t>County of</t>
  </si>
  <si>
    <t>Revenue and Appropriations Summaries</t>
  </si>
  <si>
    <t>Summary of Revenues</t>
  </si>
  <si>
    <t xml:space="preserve"> </t>
  </si>
  <si>
    <t>Receipts from Delinquent Taxes</t>
  </si>
  <si>
    <t>a) Local Tax for Municipal Purposes</t>
  </si>
  <si>
    <t>b) Addition to Local School District Tax</t>
  </si>
  <si>
    <t xml:space="preserve">             Tot Amt to be Rsd by Taxes for Sup of Muni Bnd</t>
  </si>
  <si>
    <t xml:space="preserve">                 </t>
  </si>
  <si>
    <t xml:space="preserve">                           Total General Revenues</t>
  </si>
  <si>
    <t>Summary of Appropriations</t>
  </si>
  <si>
    <t xml:space="preserve">Operating Expenses: </t>
  </si>
  <si>
    <t>Deferred Charges &amp; Other Appropriations</t>
  </si>
  <si>
    <t xml:space="preserve">4. </t>
  </si>
  <si>
    <t>Debt Service (Include for School Purposes)</t>
  </si>
  <si>
    <t xml:space="preserve">                       Total General Appropriations</t>
  </si>
  <si>
    <t>Total Number of Employees</t>
  </si>
  <si>
    <t>Utility Budget</t>
  </si>
  <si>
    <t>Miscellaneous Revenues</t>
  </si>
  <si>
    <t xml:space="preserve">                     Total Revenues</t>
  </si>
  <si>
    <t>Operating Expenses:</t>
  </si>
  <si>
    <t>Surplus  (General Budget)</t>
  </si>
  <si>
    <t xml:space="preserve">                               Total Appropriations</t>
  </si>
  <si>
    <t>Balance of Outstanding Debt</t>
  </si>
  <si>
    <t>General</t>
  </si>
  <si>
    <t xml:space="preserve">Interest </t>
  </si>
  <si>
    <t>Principal</t>
  </si>
  <si>
    <t>Outstanding Balance</t>
  </si>
  <si>
    <t>Notice is hereby given that the budget and tax resolution was approved by the</t>
  </si>
  <si>
    <t>, County of</t>
  </si>
  <si>
    <t>on</t>
  </si>
  <si>
    <t>A hearing on the budget and tax resolution will be held at</t>
  </si>
  <si>
    <t>, on</t>
  </si>
  <si>
    <t>o'clock PM at which time and place</t>
  </si>
  <si>
    <t>other interested parties.</t>
  </si>
  <si>
    <t>Insurance</t>
  </si>
  <si>
    <t>Full Name of Municipality</t>
  </si>
  <si>
    <t>County of Municipality</t>
  </si>
  <si>
    <t>Name of Municipality</t>
  </si>
  <si>
    <t xml:space="preserve">Type </t>
  </si>
  <si>
    <t>Governing Body Type</t>
  </si>
  <si>
    <t>Address</t>
  </si>
  <si>
    <t xml:space="preserve">Phone </t>
  </si>
  <si>
    <t>Fax</t>
  </si>
  <si>
    <t>Location</t>
  </si>
  <si>
    <t>Clerk</t>
  </si>
  <si>
    <t>Chief Financial Officer</t>
  </si>
  <si>
    <t>Tax Collector</t>
  </si>
  <si>
    <t>Registered Municipal Accountant</t>
  </si>
  <si>
    <t>Municipal Attorney</t>
  </si>
  <si>
    <t>Cert  #</t>
  </si>
  <si>
    <t>Newspaper</t>
  </si>
  <si>
    <t>Date of Introduction</t>
  </si>
  <si>
    <t>Date of Advertisement</t>
  </si>
  <si>
    <t>Net Valuation Taxable Current</t>
  </si>
  <si>
    <t>Net Valuation Taxable Prior</t>
  </si>
  <si>
    <t>Day</t>
  </si>
  <si>
    <t>Month</t>
  </si>
  <si>
    <t>SUMMARY  OF  TAX  RATES</t>
  </si>
  <si>
    <t>Estimated</t>
  </si>
  <si>
    <t>Salaries and Wages</t>
  </si>
  <si>
    <t>State Uniform Construction Code</t>
  </si>
  <si>
    <t>Construction Official</t>
  </si>
  <si>
    <t>Unemployment Compensation Insurance (N.J.S.A. 43:21-3 et seq.)</t>
  </si>
  <si>
    <t>Levy Amount</t>
  </si>
  <si>
    <t>Rate</t>
  </si>
  <si>
    <t>County Tax (General)</t>
  </si>
  <si>
    <t>County Library</t>
  </si>
  <si>
    <t>County Health</t>
  </si>
  <si>
    <t>County Open Space</t>
  </si>
  <si>
    <t>Total All County Levies</t>
  </si>
  <si>
    <t>COUNTY:</t>
  </si>
  <si>
    <t>SCHOOLS:</t>
  </si>
  <si>
    <t>Local School</t>
  </si>
  <si>
    <t>Regional School</t>
  </si>
  <si>
    <t>Regional High School</t>
  </si>
  <si>
    <t>Additional Local School</t>
  </si>
  <si>
    <t xml:space="preserve">  School Debt Service</t>
  </si>
  <si>
    <t>LOCAL PURPOSE TAX</t>
  </si>
  <si>
    <t>Change</t>
  </si>
  <si>
    <t>Actual</t>
  </si>
  <si>
    <t xml:space="preserve">Property </t>
  </si>
  <si>
    <t>Assessment</t>
  </si>
  <si>
    <t>Total</t>
  </si>
  <si>
    <t>Tax</t>
  </si>
  <si>
    <t>LEVY  CHANGE  PER  VARIOUS  ASSESSED  VALUES</t>
  </si>
  <si>
    <t>TOTAL  ALL  LEVIES</t>
  </si>
  <si>
    <t>NET VALUATION TAXABLE</t>
  </si>
  <si>
    <t>(G)  Cash Deficit of Preceding Year</t>
  </si>
  <si>
    <t>Judgments  (N.J.S.A.  40A:4-45.3cc)</t>
  </si>
  <si>
    <t>Additional Appropriations Offset by Revenues</t>
  </si>
  <si>
    <t>TOTAL</t>
  </si>
  <si>
    <t>Budget Year</t>
  </si>
  <si>
    <t>Prior Year</t>
  </si>
  <si>
    <t>Information Required for</t>
  </si>
  <si>
    <t>Municipal Budget Document</t>
  </si>
  <si>
    <t>Responses and Data</t>
  </si>
  <si>
    <t>08-101</t>
  </si>
  <si>
    <t>08-102</t>
  </si>
  <si>
    <t>08-100</t>
  </si>
  <si>
    <t>08-103</t>
  </si>
  <si>
    <t>08-104</t>
  </si>
  <si>
    <t>08-105</t>
  </si>
  <si>
    <t>08-110</t>
  </si>
  <si>
    <t>08-109</t>
  </si>
  <si>
    <t>08-112</t>
  </si>
  <si>
    <t>08-115</t>
  </si>
  <si>
    <t>08-111</t>
  </si>
  <si>
    <t>08-113</t>
  </si>
  <si>
    <t>08-114</t>
  </si>
  <si>
    <t>09-200</t>
  </si>
  <si>
    <t>09-202</t>
  </si>
  <si>
    <t>08-160</t>
  </si>
  <si>
    <t>15-499</t>
  </si>
  <si>
    <t>07-190</t>
  </si>
  <si>
    <t>07-191</t>
  </si>
  <si>
    <t>35-470</t>
  </si>
  <si>
    <t>46-870</t>
  </si>
  <si>
    <t>36-471</t>
  </si>
  <si>
    <t>36-472</t>
  </si>
  <si>
    <t>36-474</t>
  </si>
  <si>
    <t>36-475</t>
  </si>
  <si>
    <t>46-855</t>
  </si>
  <si>
    <t>44-902</t>
  </si>
  <si>
    <t>44-901</t>
  </si>
  <si>
    <t>41-865</t>
  </si>
  <si>
    <t>45-920</t>
  </si>
  <si>
    <t>45-925</t>
  </si>
  <si>
    <t>45-930</t>
  </si>
  <si>
    <t>45-935</t>
  </si>
  <si>
    <t>46-875</t>
  </si>
  <si>
    <t>46-871</t>
  </si>
  <si>
    <t>29-405</t>
  </si>
  <si>
    <t>46-885</t>
  </si>
  <si>
    <t>48-920</t>
  </si>
  <si>
    <t>48-925</t>
  </si>
  <si>
    <t>48-930</t>
  </si>
  <si>
    <t>48-935</t>
  </si>
  <si>
    <t>29-406</t>
  </si>
  <si>
    <t>29-407</t>
  </si>
  <si>
    <t>50-899</t>
  </si>
  <si>
    <t>37-480</t>
  </si>
  <si>
    <t>08-501</t>
  </si>
  <si>
    <t>08-502</t>
  </si>
  <si>
    <t>08-500</t>
  </si>
  <si>
    <t>08-503</t>
  </si>
  <si>
    <t>08-505</t>
  </si>
  <si>
    <t>08-549</t>
  </si>
  <si>
    <t>55-501</t>
  </si>
  <si>
    <t>55-502</t>
  </si>
  <si>
    <t>55-510</t>
  </si>
  <si>
    <t>55-511</t>
  </si>
  <si>
    <t>55-512</t>
  </si>
  <si>
    <t>55-520</t>
  </si>
  <si>
    <t>55-521</t>
  </si>
  <si>
    <t>55-522</t>
  </si>
  <si>
    <t>55-523</t>
  </si>
  <si>
    <t>55-530</t>
  </si>
  <si>
    <t>55-540</t>
  </si>
  <si>
    <t>55-541</t>
  </si>
  <si>
    <t>55-542</t>
  </si>
  <si>
    <t>55-531</t>
  </si>
  <si>
    <t>55-532</t>
  </si>
  <si>
    <t>55-545</t>
  </si>
  <si>
    <t>14.  DEDICATED  REVENUES  FROM</t>
  </si>
  <si>
    <t>Assessment  Cash</t>
  </si>
  <si>
    <t>Deficit (General Budget)</t>
  </si>
  <si>
    <t>Total Assessment Revenues</t>
  </si>
  <si>
    <t>Paid or Charged</t>
  </si>
  <si>
    <t>15.  APPROPRIATIONS  FOR  ASSESSMENT  DEBT</t>
  </si>
  <si>
    <t>Total  Assessment  Appropriations</t>
  </si>
  <si>
    <t>Sheet  37</t>
  </si>
  <si>
    <t xml:space="preserve">DEDICATED  ASSESSMENT  BUDGET </t>
  </si>
  <si>
    <t>Bequest, Escheat; Construction Code Fees Due Hackensak Meadowlands Development Commission; Outside Employment of Off-Duty Municipal Police</t>
  </si>
  <si>
    <t>Payment on Bond Principal</t>
  </si>
  <si>
    <t>Payment on Bond Anticipation Notes &amp; Capital Notes</t>
  </si>
  <si>
    <t>Public Employee's Retirement System</t>
  </si>
  <si>
    <t>are hereby anticipated as revenue and are hereby appropriated for the purpose to which said revenue is dedicated by statute or other legal requirement."</t>
  </si>
  <si>
    <t>Less: Expenditures to be Raised by Future Taxes</t>
  </si>
  <si>
    <t>budget, by an ordinance taking the money from the Capital Improvement Fund, or other lawful means.</t>
  </si>
  <si>
    <t>Completion</t>
  </si>
  <si>
    <t>Time</t>
  </si>
  <si>
    <r>
      <t xml:space="preserve">FUNDING  AMOUNTS  PER  </t>
    </r>
    <r>
      <rPr>
        <b/>
        <u/>
        <sz val="12"/>
        <rFont val="Arial"/>
        <family val="2"/>
      </rPr>
      <t xml:space="preserve">BUDGET </t>
    </r>
    <r>
      <rPr>
        <b/>
        <sz val="12"/>
        <rFont val="Arial"/>
        <family val="2"/>
      </rPr>
      <t xml:space="preserve"> YEAR</t>
    </r>
  </si>
  <si>
    <t>adopted and shall constitute an appropriation for the purposes stated of the sums therein set forth as appropriations, and authorization of the amount of:</t>
  </si>
  <si>
    <r>
      <t xml:space="preserve">AMOUNT  TO  BE  RAISED  BY  TAXATION  FOR  </t>
    </r>
    <r>
      <rPr>
        <u/>
        <sz val="10"/>
        <rFont val="Arial"/>
        <family val="2"/>
      </rPr>
      <t xml:space="preserve">SCHOOLS  IN  TYPE  I </t>
    </r>
    <r>
      <rPr>
        <sz val="10"/>
        <rFont val="Arial"/>
        <family val="2"/>
      </rPr>
      <t xml:space="preserve"> SCHOOL  DISTRICTS  ONLY:</t>
    </r>
  </si>
  <si>
    <t>TOTAL AMOUNT  TO  BE  RAISED  BY  TAXATION  FOR  SCHOOLS  IN  TYPE  I  SCHOOL  DISTRICTS  ONLY</t>
  </si>
  <si>
    <t>(f) Judgments</t>
  </si>
  <si>
    <t>FCOA</t>
  </si>
  <si>
    <t>Sheet  38</t>
  </si>
  <si>
    <t>APPENDIX  TO  BUDGET  STATEMENT</t>
  </si>
  <si>
    <t>ASSETS</t>
  </si>
  <si>
    <t>Cash and Investments</t>
  </si>
  <si>
    <t>It is hereby certified that the Budget and Capital Budget annexed hereto and hereby made a part</t>
  </si>
  <si>
    <t>,County of</t>
  </si>
  <si>
    <t>Unexpended Balances Canceled</t>
  </si>
  <si>
    <t>Balances Canceled</t>
  </si>
  <si>
    <t>Miscellaneous Revenues  -  Section A:  Local Revenues</t>
  </si>
  <si>
    <t>Energy Receipts Tax (P.L.  1997, Chapters 162 &amp; 167)</t>
  </si>
  <si>
    <t>Total Section  G:  Special Items of General Revenue Anticipated with Prior Written</t>
  </si>
  <si>
    <t>*Balance Included in Above "Cash Liabilities"</t>
  </si>
  <si>
    <t>Due from State of N.J.(c. 20, P.L. 1961)</t>
  </si>
  <si>
    <t>Federal and State Grants Receivable</t>
  </si>
  <si>
    <t>Receivables with Offsetting Reserves:</t>
  </si>
  <si>
    <t>Taxes Receivable</t>
  </si>
  <si>
    <t>Tax Title Lien Receivable</t>
  </si>
  <si>
    <t>LIABILITIES,  RESERVES  AND  SURPLUS</t>
  </si>
  <si>
    <t>*Cash Liabilities</t>
  </si>
  <si>
    <t>Reserves for Receivables</t>
  </si>
  <si>
    <t>Total Liabilities, Reserves and Surplus</t>
  </si>
  <si>
    <t>Other Receivables</t>
  </si>
  <si>
    <t>Total Assets</t>
  </si>
  <si>
    <t>Property Acquired by Tax Title Lien Liquidation</t>
  </si>
  <si>
    <t>School Tax Levy Unpaid</t>
  </si>
  <si>
    <t>Less: School Tax Deferred</t>
  </si>
  <si>
    <t>(Important: This appendix must be Included in advertisement of Budget.)</t>
  </si>
  <si>
    <t>Sheet  39</t>
  </si>
  <si>
    <t>Surplus Balance, January 1st</t>
  </si>
  <si>
    <t>CURRENT REVENUE ON A CASH BASIS:</t>
  </si>
  <si>
    <t>Delinquent Taxes</t>
  </si>
  <si>
    <t>Other Revenues and Additions to Income</t>
  </si>
  <si>
    <t>Total Funds</t>
  </si>
  <si>
    <t>EXPENDITURES  AND  TAX  REQUIREMENTS:</t>
  </si>
  <si>
    <t>CHANGE  IN  CURRENT  SURPLUS</t>
  </si>
  <si>
    <t>COMPARATIVE  STATEMENT  OF  CURRENT  FUND  OPERATIONS  AND</t>
  </si>
  <si>
    <t>Municipal Appropriations</t>
  </si>
  <si>
    <t>School Taxes (Including Local and Regional)</t>
  </si>
  <si>
    <t>County Taxes (Including Added Tax Amounts)</t>
  </si>
  <si>
    <t>Special District Taxes</t>
  </si>
  <si>
    <t>Other Expenditures and Deductions from Income</t>
  </si>
  <si>
    <t>Total Expenditures and Tax Requirements</t>
  </si>
  <si>
    <t>Total Adjusted Expenditures and Tax Requirements</t>
  </si>
  <si>
    <t>Surplus Balance - December 31st</t>
  </si>
  <si>
    <t>Surplus Balance Remaining</t>
  </si>
  <si>
    <t>*Nearest even percentage may be used</t>
  </si>
  <si>
    <t>Sheet  40</t>
  </si>
  <si>
    <t>CAPITAL  BUDGET  AND  CAPITAL  IMPROVEMENT  PROGRAM</t>
  </si>
  <si>
    <t>This section is included with the Annual Budget pursuant to N.J.A.C. 5:30-4.  It does not in itself confer any authorization to raise or expend</t>
  </si>
  <si>
    <t>Sheet 14</t>
  </si>
  <si>
    <t>funds.  Rather it is a document used as part of the local unit's planning and management program.  Specific authorization to expend funds for purposes</t>
  </si>
  <si>
    <t>CAPITAL  BUDGET</t>
  </si>
  <si>
    <t xml:space="preserve">  -  A plan for all capital expenditures for the current fiscal year.</t>
  </si>
  <si>
    <t xml:space="preserve">    If no Capital Budget is included, check the reason why:</t>
  </si>
  <si>
    <t xml:space="preserve">CAPITAL  IMPROVEMENT  PROGRAM </t>
  </si>
  <si>
    <t xml:space="preserve">  -  A multi-year list of planned capital projects, including the current year.</t>
  </si>
  <si>
    <t xml:space="preserve">    Check appropriate box for number of years covered, including current year:</t>
  </si>
  <si>
    <t xml:space="preserve">   3 years. (Population under 10,000)</t>
  </si>
  <si>
    <t>additions are correct, all statements contained herein are in proof, the total of anticipated</t>
  </si>
  <si>
    <t>additions are correct, all statements contained herein are in proof, and the total of anticipated</t>
  </si>
  <si>
    <t>Be it Further Resolved, that said Budget be published in the</t>
  </si>
  <si>
    <t>Percent of Tax Collections</t>
  </si>
  <si>
    <t>(e.g. if Police  S &amp; W appears in the regular section and also under "Operation Excluded from "CAPS" section, combine the</t>
  </si>
  <si>
    <t>Consent of Director of Local Government Services  -  Additional Revenues</t>
  </si>
  <si>
    <t>Private  Revenues Offset with Appropriations:</t>
  </si>
  <si>
    <t>Private  Revenues Offset with Appropriations (Continued):</t>
  </si>
  <si>
    <t>Consent of Director of Local Government Services  -  Public and Private Revenues</t>
  </si>
  <si>
    <t>Items:</t>
  </si>
  <si>
    <t>Amount to be Raised by Taxes for Support of Municipal Budget:</t>
  </si>
  <si>
    <t>Total Amount to be Raised by Taxes for Support of Municipal Budget</t>
  </si>
  <si>
    <t>Capital (without grants)</t>
  </si>
  <si>
    <t xml:space="preserve">   See Sheet 3b</t>
  </si>
  <si>
    <t xml:space="preserve">   Other</t>
  </si>
  <si>
    <t xml:space="preserve">   Remaining or (Excess)</t>
  </si>
  <si>
    <t xml:space="preserve">   Remaining</t>
  </si>
  <si>
    <t xml:space="preserve">   6 years. (Over 10,000 and all county governments)</t>
  </si>
  <si>
    <t xml:space="preserve">  Check if municipality is under 10,000, has not expended more than $25,000 annually for capital purposes in immediately</t>
  </si>
  <si>
    <t>C - 1</t>
  </si>
  <si>
    <t>Sheet  40a</t>
  </si>
  <si>
    <t>C - 2</t>
  </si>
  <si>
    <t>NARRATIVE  FOR  CAPITAL  IMPROVEMENT  PROGRAM</t>
  </si>
  <si>
    <t>CAPITAL  BUDGET  (Current Year Action)</t>
  </si>
  <si>
    <t>Local Unit</t>
  </si>
  <si>
    <t>PROJECT TITLE</t>
  </si>
  <si>
    <t>PROJECT</t>
  </si>
  <si>
    <t>NUMBER</t>
  </si>
  <si>
    <t>ESTIMATED</t>
  </si>
  <si>
    <t>COST</t>
  </si>
  <si>
    <t>AMOUNTS</t>
  </si>
  <si>
    <t>RESERVED</t>
  </si>
  <si>
    <t>IN PRIOR</t>
  </si>
  <si>
    <t>YEARS</t>
  </si>
  <si>
    <t>5a</t>
  </si>
  <si>
    <t>5b</t>
  </si>
  <si>
    <t>5c</t>
  </si>
  <si>
    <t>5d</t>
  </si>
  <si>
    <t>5e</t>
  </si>
  <si>
    <t>TOTAL  -  ALL  PROJECTS</t>
  </si>
  <si>
    <t>Sheet  40b</t>
  </si>
  <si>
    <t>C - 3</t>
  </si>
  <si>
    <t>TO  BE</t>
  </si>
  <si>
    <t>FUNDED  IN</t>
  </si>
  <si>
    <t>FUTURE</t>
  </si>
  <si>
    <t>Appropriations</t>
  </si>
  <si>
    <t>Improvement Fund</t>
  </si>
  <si>
    <t>Grants in Aid and</t>
  </si>
  <si>
    <t>Other Funds</t>
  </si>
  <si>
    <t>Debt</t>
  </si>
  <si>
    <t>Authorized</t>
  </si>
  <si>
    <t>5f</t>
  </si>
  <si>
    <t>C - 4</t>
  </si>
  <si>
    <t>SUMMARY  OF  ANTICIPATED  FUNDING  SOURCES  AND  AMOUNTS</t>
  </si>
  <si>
    <t>TOTAL COST</t>
  </si>
  <si>
    <t>BUDGET  APPROPRIATIONS</t>
  </si>
  <si>
    <t>3a</t>
  </si>
  <si>
    <t>Current Year</t>
  </si>
  <si>
    <t>3b</t>
  </si>
  <si>
    <t>Future Years</t>
  </si>
  <si>
    <t>BONDS  AND  NOTES</t>
  </si>
  <si>
    <t>7a</t>
  </si>
  <si>
    <t>7b</t>
  </si>
  <si>
    <t>7c</t>
  </si>
  <si>
    <t>7d</t>
  </si>
  <si>
    <t>Self</t>
  </si>
  <si>
    <t>Liquidating</t>
  </si>
  <si>
    <t>School</t>
  </si>
  <si>
    <t>Improvement</t>
  </si>
  <si>
    <t>Fund</t>
  </si>
  <si>
    <t>Grants - in - Aid</t>
  </si>
  <si>
    <t>and Other</t>
  </si>
  <si>
    <t>Funds</t>
  </si>
  <si>
    <t>C - 5</t>
  </si>
  <si>
    <t>Sheet  40d</t>
  </si>
  <si>
    <t>Sheet  40c</t>
  </si>
  <si>
    <t xml:space="preserve"> ANTICIPATED  PROJECT  SCHEDULE  AND  FUNDING  REQUIREMENTS</t>
  </si>
  <si>
    <t>General  Revenues</t>
  </si>
  <si>
    <t>Surplus Anticipated</t>
  </si>
  <si>
    <t>Miscellaneous Revenues Anticipated</t>
  </si>
  <si>
    <t>AMOUNT  TO  BE  RAISED  BY  TAXATION  FOR  MUNICIPAL  PURPOSED (Item 6(a), Sheet 11)</t>
  </si>
  <si>
    <t>Item  6,  Sheet  42</t>
  </si>
  <si>
    <t>SUMMARY  OF  REVENUES</t>
  </si>
  <si>
    <t>07-195</t>
  </si>
  <si>
    <t>Sheet  41</t>
  </si>
  <si>
    <t xml:space="preserve">Be it Resolved by the </t>
  </si>
  <si>
    <t>that the budget hereinbefore set forth is hereby</t>
  </si>
  <si>
    <t>(a) $</t>
  </si>
  <si>
    <t>(b) $</t>
  </si>
  <si>
    <t>(c) $</t>
  </si>
  <si>
    <t xml:space="preserve">  (Item 2 below) for municipal purposes, and</t>
  </si>
  <si>
    <t xml:space="preserve">  (Item 4 below) to be added to the certificate of amount to be raised by taxation for local school purposes in</t>
  </si>
  <si>
    <t xml:space="preserve">                      the following summary of general revenues and appropriations.</t>
  </si>
  <si>
    <t>RECORDED  VOTE</t>
  </si>
  <si>
    <t>(Insert last name)</t>
  </si>
  <si>
    <t>Ayes</t>
  </si>
  <si>
    <t>Nays</t>
  </si>
  <si>
    <t>Abstained</t>
  </si>
  <si>
    <t>Absent</t>
  </si>
  <si>
    <t>{</t>
  </si>
  <si>
    <t>Total Revenues</t>
  </si>
  <si>
    <t>SUMMARY  OF  APPROPRIATIONS</t>
  </si>
  <si>
    <t>5.  GENERAL  APPROPRIATIONS:</t>
  </si>
  <si>
    <t>Within  "CAPS"</t>
  </si>
  <si>
    <t>(a &amp; b) Operations Including Contingent</t>
  </si>
  <si>
    <t>(e) Deferred Charges and Statutory Expenditures - Municipal</t>
  </si>
  <si>
    <t>(g) Cash Deficit</t>
  </si>
  <si>
    <t>XXXXXXXXXXXXX</t>
  </si>
  <si>
    <t>Excluded from  "CAPS"</t>
  </si>
  <si>
    <t>Total  Appropriations</t>
  </si>
  <si>
    <t>Sheet  42</t>
  </si>
  <si>
    <t>(a) Operations - Total Operations Excluded from "CAPS"</t>
  </si>
  <si>
    <t>(d) Municipal Debt Service</t>
  </si>
  <si>
    <t>(e) Deferred Charges - Municipal</t>
  </si>
  <si>
    <t>(k) For Local District School Purposes</t>
  </si>
  <si>
    <t>(m) Reserve for Uncollected Taxes</t>
  </si>
  <si>
    <t>day of</t>
  </si>
  <si>
    <t>Certified by me this</t>
  </si>
  <si>
    <t>, Clerk</t>
  </si>
  <si>
    <t>Signature</t>
  </si>
  <si>
    <t xml:space="preserve">It is hereby  certified  that the within  budget is a true copy of the budget  finally  adopted by resolution of the  Governing Body on the </t>
  </si>
  <si>
    <t>EXPLANATORY  STATEMENT  -  (Continued)</t>
  </si>
  <si>
    <t>BUDGET  MESSAGE</t>
  </si>
  <si>
    <t>Sheet  3b</t>
  </si>
  <si>
    <t>NOTE:</t>
  </si>
  <si>
    <r>
      <t xml:space="preserve">To Be Added TO THE CERTIFICATE FOR THE AMOUNT TO BE RAISED BY TAXATION FOR </t>
    </r>
    <r>
      <rPr>
        <u/>
        <sz val="10"/>
        <rFont val="Arial"/>
        <family val="2"/>
      </rPr>
      <t>SCHOOLS IN TYPE II</t>
    </r>
    <r>
      <rPr>
        <sz val="10"/>
        <rFont val="Arial"/>
        <family val="2"/>
      </rPr>
      <t xml:space="preserve"> SCHOOL DISTRICTS ONLY:</t>
    </r>
  </si>
  <si>
    <t>1. HOW THE "CAP" WAS CALCULATED. (Explain in words what the "CAPS" mean and show the figures.)</t>
  </si>
  <si>
    <t>figures for purposes of citizen understanding.)</t>
  </si>
  <si>
    <t>Sheet  3d</t>
  </si>
  <si>
    <t>CAP  CALCULATION</t>
  </si>
  <si>
    <t>Subtotal</t>
  </si>
  <si>
    <t>Exceptions Less:</t>
  </si>
  <si>
    <t>STATUS  OF  "CAPS"</t>
  </si>
  <si>
    <t>SPENDING CAP</t>
  </si>
  <si>
    <t>MAX</t>
  </si>
  <si>
    <t>ACTUAL</t>
  </si>
  <si>
    <t>+ OR ( )</t>
  </si>
  <si>
    <t>Must be zero or ( ) to</t>
  </si>
  <si>
    <t>Introduce Budget</t>
  </si>
  <si>
    <t>Total Uniform Construction Code</t>
  </si>
  <si>
    <t>Total Interlocal Service Agreement</t>
  </si>
  <si>
    <t>Total Additional Appropriations</t>
  </si>
  <si>
    <t>Total Capital Improvements</t>
  </si>
  <si>
    <t>Total Debt Service</t>
  </si>
  <si>
    <t>Type I School Debt</t>
  </si>
  <si>
    <t>Total Public &amp; Private Programs</t>
  </si>
  <si>
    <t>Total Deferred Charges</t>
  </si>
  <si>
    <t>Total Exceptions</t>
  </si>
  <si>
    <t>Amount on Which CAP is Applied</t>
  </si>
  <si>
    <t xml:space="preserve"> CAP</t>
  </si>
  <si>
    <t>Allowable Operating Appropriations before</t>
  </si>
  <si>
    <t>Additional Exceptions per (N.J.S.A. 40A:4-45.3)</t>
  </si>
  <si>
    <t>New Construction (Assessor Certification)</t>
  </si>
  <si>
    <t>Total Additions</t>
  </si>
  <si>
    <t>2. A SUMMARY BY FUNCTION OF THE APPROPRIATIONS THAT ARE SPREAD AMONG MORE THAN ONE OFFICIAL LINE ITEM</t>
  </si>
  <si>
    <t>Total Other Operations</t>
  </si>
  <si>
    <t>Budget Appropriations  -  Adopted  Budget</t>
  </si>
  <si>
    <t>Emergency Appropriations</t>
  </si>
  <si>
    <t>Total Appropriations</t>
  </si>
  <si>
    <t>Expenditures:</t>
  </si>
  <si>
    <t>Paid or Charged (Including Reserve for</t>
  </si>
  <si>
    <t>Uncollected Taxes)</t>
  </si>
  <si>
    <t>Total Expenditures and Unexpended</t>
  </si>
  <si>
    <t>Overexpenditures *</t>
  </si>
  <si>
    <t>Budget</t>
  </si>
  <si>
    <t>Utility</t>
  </si>
  <si>
    <t>22-195</t>
  </si>
  <si>
    <t>MUNICIPAL  BUDGET  NOTICE</t>
  </si>
  <si>
    <t>Section  1.</t>
  </si>
  <si>
    <t>MUNICIPALITY:</t>
  </si>
  <si>
    <t>Governing  Body  Members</t>
  </si>
  <si>
    <t>Name</t>
  </si>
  <si>
    <t>Term Expires</t>
  </si>
  <si>
    <t>Mayor's Name</t>
  </si>
  <si>
    <t>Municipal  Officials</t>
  </si>
  <si>
    <t>Municipal Clerk</t>
  </si>
  <si>
    <t>Lic. No.</t>
  </si>
  <si>
    <t>Cert. No.</t>
  </si>
  <si>
    <t>Date of Orig. Appt.</t>
  </si>
  <si>
    <t>Department of Community Affairs</t>
  </si>
  <si>
    <t>Fax #:</t>
  </si>
  <si>
    <t>Sheet  A</t>
  </si>
  <si>
    <t>MUNICIPAL  BUDGET</t>
  </si>
  <si>
    <t>Municipal Budget of the</t>
  </si>
  <si>
    <t>hereof is a true copy of the Budget and Capital Budget approved by resolution of the Governing Body on the</t>
  </si>
  <si>
    <t>N.J.A.C. 5:30-4.4(d).</t>
  </si>
  <si>
    <t xml:space="preserve">Certified by me, this </t>
  </si>
  <si>
    <t>It is hereby certified that the approved Budget annexed hereto and hereby made</t>
  </si>
  <si>
    <t>a part is an exact copy of the original on file with the Clerk of the Governing Body, that all</t>
  </si>
  <si>
    <t>revenues equals the total of appropriations.</t>
  </si>
  <si>
    <t>Phone Number</t>
  </si>
  <si>
    <t>STATE OF NEW JERSEY</t>
  </si>
  <si>
    <t>Dated:</t>
  </si>
  <si>
    <t>By:</t>
  </si>
  <si>
    <t>DO  NOT  USE  THESE  SPACES</t>
  </si>
  <si>
    <t>revenues equals the total of appropriations and the budget is in full compliance with the</t>
  </si>
  <si>
    <t>Certified by me, this</t>
  </si>
  <si>
    <t>Sheet  1</t>
  </si>
  <si>
    <t>(Do not advertise this Certification form)</t>
  </si>
  <si>
    <t>Director of the Division of Local Government Services</t>
  </si>
  <si>
    <t>The Governing Body of the</t>
  </si>
  <si>
    <t>Notice is hereby given that the Budget and Tax Resolution was approved by the</t>
  </si>
  <si>
    <t>A Hearing on the Budget and Tax Resolution will be held at</t>
  </si>
  <si>
    <t>interested persons.</t>
  </si>
  <si>
    <t>Sheet  2</t>
  </si>
  <si>
    <t>Municipal  Budget  of  the</t>
  </si>
  <si>
    <t xml:space="preserve">in  the  issue of </t>
  </si>
  <si>
    <t>of  the</t>
  </si>
  <si>
    <t>,  County  of</t>
  </si>
  <si>
    <t>DEDICATED REVENUES</t>
  </si>
  <si>
    <t>FROM TRUST FUND</t>
  </si>
  <si>
    <t>Amount to be Raised</t>
  </si>
  <si>
    <t>Development of Lands for</t>
  </si>
  <si>
    <t>By Taxation</t>
  </si>
  <si>
    <t>Recreation and Conservation:</t>
  </si>
  <si>
    <t>xxxxxxxxxx</t>
  </si>
  <si>
    <t>Interest Income</t>
  </si>
  <si>
    <t>Maintenance of Lands for</t>
  </si>
  <si>
    <t>Reserve Funds:</t>
  </si>
  <si>
    <t>Historic Preservation:</t>
  </si>
  <si>
    <t>Acquisition of Lands for</t>
  </si>
  <si>
    <t>Recreation and Conservation</t>
  </si>
  <si>
    <t>Total Trust Fund Revenues:</t>
  </si>
  <si>
    <t>Acquisition of Farmland</t>
  </si>
  <si>
    <t>Summary of Program</t>
  </si>
  <si>
    <t>Year Referendum Passed/Implemented:</t>
  </si>
  <si>
    <t>(Date)</t>
  </si>
  <si>
    <t>Rate Assessed:</t>
  </si>
  <si>
    <t>$</t>
  </si>
  <si>
    <t>Payment of Bond Anticipation</t>
  </si>
  <si>
    <t>Total Tax Collected to date:</t>
  </si>
  <si>
    <t>Notes and Capital Notes</t>
  </si>
  <si>
    <t>Total Expended to date:</t>
  </si>
  <si>
    <t>Total Acreage Preserved to date:</t>
  </si>
  <si>
    <t>(Acres)</t>
  </si>
  <si>
    <t>Reserve for Future Use</t>
  </si>
  <si>
    <t>Total Trust Fund Appropriations:</t>
  </si>
  <si>
    <t>Sheet  43</t>
  </si>
  <si>
    <t>Total Budget</t>
  </si>
  <si>
    <t>Employee Costs:</t>
  </si>
  <si>
    <t>Sheet 17</t>
  </si>
  <si>
    <t>Social Security</t>
  </si>
  <si>
    <t>Sheet 19</t>
  </si>
  <si>
    <t>Pensions etc.</t>
  </si>
  <si>
    <t>Sheet 20</t>
  </si>
  <si>
    <t>Direct Employee Costs</t>
  </si>
  <si>
    <t>General Liability Insurance</t>
  </si>
  <si>
    <t>Sheet 27</t>
  </si>
  <si>
    <t>Reserve for Uncollected Taxes:</t>
  </si>
  <si>
    <t>Sheet 29</t>
  </si>
  <si>
    <t>Capital Funds:</t>
  </si>
  <si>
    <t>Sheet 26a</t>
  </si>
  <si>
    <t>Deferred Charges:</t>
  </si>
  <si>
    <t>Sheet 28</t>
  </si>
  <si>
    <t>Grants:</t>
  </si>
  <si>
    <t>Sheet 25 (less Salaries &amp; Wages above)</t>
  </si>
  <si>
    <t>All Other Departmental OE's:</t>
  </si>
  <si>
    <t>Various Line Items</t>
  </si>
  <si>
    <t>Sheet 25</t>
  </si>
  <si>
    <t>EXPLANATORY  STATEMENT</t>
  </si>
  <si>
    <t>SUMMARY  OF  CURRENT  FUND  SECTION  OF  APPROVED  BUDGET</t>
  </si>
  <si>
    <t>Plus 2% CAP Increase</t>
  </si>
  <si>
    <t>2% LEVY CAP</t>
  </si>
  <si>
    <t>OVER OR (UNDER) 2% LEVY CAP</t>
  </si>
  <si>
    <t>Allowable Shared Service Agreements Increase</t>
  </si>
  <si>
    <t>Allowable Health Insurance Costs Increase</t>
  </si>
  <si>
    <t>Allowable Pension Obligations Increases</t>
  </si>
  <si>
    <t>Allowable LOSAP Increase</t>
  </si>
  <si>
    <t>Allowable Capital Improvements Increase</t>
  </si>
  <si>
    <t>The last amendment reduces the 4% to 2% and modifies some of the exceptions and</t>
  </si>
  <si>
    <t>Allowable Debt Service and Capital Leases Inc.</t>
  </si>
  <si>
    <t>exclusions. It also removes the LFB waiver. The voter referendum now requires a vote in</t>
  </si>
  <si>
    <t>excess of only 50% which is reduced from the original 60% in P.L. 2007, c. 62.</t>
  </si>
  <si>
    <t>Current Year Deferred Charges: Emergencies</t>
  </si>
  <si>
    <t>SUMMARY LEVY CAP CALCULATION</t>
  </si>
  <si>
    <t>Prior Year Deferred Charges to Future Taxation Unfunded</t>
  </si>
  <si>
    <t>Prior Year Deferred Charges: Emergencies</t>
  </si>
  <si>
    <t>Prior Year Recycling Tax</t>
  </si>
  <si>
    <t>Net Prior Year Tax Levy for Municipal Purpose Tax for CAP Calculation</t>
  </si>
  <si>
    <t>AMOUNT TO BE RAISED BY TAXATION  FOR MUNICIPAL PURPOSES</t>
  </si>
  <si>
    <t>Plus: Assumption of Service/Function</t>
  </si>
  <si>
    <t>RECAP OF GROUP INSURANCE APPROPRIATION</t>
  </si>
  <si>
    <t>Estimated Amounts to be Contributed by Employees:</t>
  </si>
  <si>
    <t>Health Benefits Waiver</t>
  </si>
  <si>
    <t>Contribution from all eligible emp.</t>
  </si>
  <si>
    <t>Transitional Aid</t>
  </si>
  <si>
    <t>09-212</t>
  </si>
  <si>
    <t>P.L. 2007, c. 62, was amended by P.L. 2008 c. 6 and P.L. 2010 c. 44 (S-29 R1).</t>
  </si>
  <si>
    <t>Sheet  3b (2)</t>
  </si>
  <si>
    <t>"2010" LEVY CAP BANKS:</t>
  </si>
  <si>
    <t>Maximum Allowable Amount to be Raised by Taxation</t>
  </si>
  <si>
    <t>Amount to be Raised by Taxation for Municipal Purpose</t>
  </si>
  <si>
    <t>NEW JERSEY 2010 LOCAL UNIT LEVY CAP LAW</t>
  </si>
  <si>
    <t>Total Levy CAP Bank</t>
  </si>
  <si>
    <t>Future Budget Projections</t>
  </si>
  <si>
    <t>Projected Budget Totals</t>
  </si>
  <si>
    <t>Project Tax Results</t>
  </si>
  <si>
    <t>LEVY CAP CAL</t>
  </si>
  <si>
    <t>Debt Service &amp; Health</t>
  </si>
  <si>
    <t>Ratables Added</t>
  </si>
  <si>
    <t>CAP Max</t>
  </si>
  <si>
    <t>Over / (Under) CAP</t>
  </si>
  <si>
    <t>Budget Funding:</t>
  </si>
  <si>
    <t>Fund Balance</t>
  </si>
  <si>
    <t>Grants</t>
  </si>
  <si>
    <t>Ratables</t>
  </si>
  <si>
    <t>Tax Rate</t>
  </si>
  <si>
    <t>Increase</t>
  </si>
  <si>
    <t>Levy CAP Bank Applied</t>
  </si>
  <si>
    <t>Balance to Expire</t>
  </si>
  <si>
    <t>@ 0.5%</t>
  </si>
  <si>
    <t>2020</t>
  </si>
  <si>
    <t>Name and County of Municipality</t>
  </si>
  <si>
    <t>Muncode</t>
  </si>
  <si>
    <t>Town</t>
  </si>
  <si>
    <t>County</t>
  </si>
  <si>
    <t>Town Name</t>
  </si>
  <si>
    <t>Muniname</t>
  </si>
  <si>
    <t>Type of Government</t>
  </si>
  <si>
    <t>Governing Body Members</t>
  </si>
  <si>
    <t>2010 Census Population</t>
  </si>
  <si>
    <t>1330</t>
  </si>
  <si>
    <t>Aberdeen Township</t>
  </si>
  <si>
    <t>Monmouth</t>
  </si>
  <si>
    <t>Aberdeen Township, Monmouth County</t>
  </si>
  <si>
    <t>Aberdeen</t>
  </si>
  <si>
    <t>Township</t>
  </si>
  <si>
    <t>Council Members</t>
  </si>
  <si>
    <t>Mayor-6 Council Members</t>
  </si>
  <si>
    <t>0101</t>
  </si>
  <si>
    <t>Absecon City</t>
  </si>
  <si>
    <t>Atlantic</t>
  </si>
  <si>
    <t>Absecon City, Atlantic County</t>
  </si>
  <si>
    <t>Absecon</t>
  </si>
  <si>
    <t>City</t>
  </si>
  <si>
    <t>Mayor-7 Council Members</t>
  </si>
  <si>
    <t>1001</t>
  </si>
  <si>
    <t>Alexandria Township</t>
  </si>
  <si>
    <t>Hunterdon</t>
  </si>
  <si>
    <t>Alexandria</t>
  </si>
  <si>
    <t>Committeepersons</t>
  </si>
  <si>
    <t>3 Committee Members</t>
  </si>
  <si>
    <t>2101</t>
  </si>
  <si>
    <t>Allamuchy Township</t>
  </si>
  <si>
    <t>Warren</t>
  </si>
  <si>
    <t>Allamuchy</t>
  </si>
  <si>
    <t>Mayor-4 Council Members</t>
  </si>
  <si>
    <t>0201</t>
  </si>
  <si>
    <t>Allendale Borough</t>
  </si>
  <si>
    <t>Bergen</t>
  </si>
  <si>
    <t>Allendale Borough, Bergen County</t>
  </si>
  <si>
    <t>Allendale</t>
  </si>
  <si>
    <t>Borough</t>
  </si>
  <si>
    <t>1301</t>
  </si>
  <si>
    <t>Allenhurst Borough</t>
  </si>
  <si>
    <t>Allenhurst Borough, Monmouth County</t>
  </si>
  <si>
    <t>Allenhurst</t>
  </si>
  <si>
    <t>Commissioners</t>
  </si>
  <si>
    <t>3 Commissioners</t>
  </si>
  <si>
    <t>1302</t>
  </si>
  <si>
    <t>Allentown Borough</t>
  </si>
  <si>
    <t>Allentown Borough, Monmouth County</t>
  </si>
  <si>
    <t>Allentown</t>
  </si>
  <si>
    <t>1701</t>
  </si>
  <si>
    <t>Alloway Township</t>
  </si>
  <si>
    <t>Salem</t>
  </si>
  <si>
    <t>Alloway Township, Salem County</t>
  </si>
  <si>
    <t>Alloway</t>
  </si>
  <si>
    <t>2102</t>
  </si>
  <si>
    <t>Alpha Borough</t>
  </si>
  <si>
    <t>Alpha Borough, Warren County</t>
  </si>
  <si>
    <t>Alpha</t>
  </si>
  <si>
    <t>0202</t>
  </si>
  <si>
    <t>Alpine Borough</t>
  </si>
  <si>
    <t>Alpine Borough, Bergen County</t>
  </si>
  <si>
    <t>Alpine</t>
  </si>
  <si>
    <t>1901</t>
  </si>
  <si>
    <t>Andover Borough</t>
  </si>
  <si>
    <t>Sussex</t>
  </si>
  <si>
    <t>Andover Borough, Sussex County</t>
  </si>
  <si>
    <t>Andover</t>
  </si>
  <si>
    <t>1902</t>
  </si>
  <si>
    <t>Andover Township</t>
  </si>
  <si>
    <t>Andover Township, Sussex County</t>
  </si>
  <si>
    <t>5 Committee Members</t>
  </si>
  <si>
    <t>1303</t>
  </si>
  <si>
    <t>Asbury Park City</t>
  </si>
  <si>
    <t>Asbury Park City, Monmouth County</t>
  </si>
  <si>
    <t>Asbury Park</t>
  </si>
  <si>
    <t>5 Council Members</t>
  </si>
  <si>
    <t>0102</t>
  </si>
  <si>
    <t>Atlantic City City</t>
  </si>
  <si>
    <t>Atlantic City City, Atlantic County</t>
  </si>
  <si>
    <t>Atlantic City</t>
  </si>
  <si>
    <t>Mayor-9 Council Members</t>
  </si>
  <si>
    <t>1304</t>
  </si>
  <si>
    <t>Atlantic Highlands Borough</t>
  </si>
  <si>
    <t>Atlantic Highlands Borough, Monmouth County</t>
  </si>
  <si>
    <t>Atlantic Highlands</t>
  </si>
  <si>
    <t>0401</t>
  </si>
  <si>
    <t>Audubon Borough</t>
  </si>
  <si>
    <t>Camden</t>
  </si>
  <si>
    <t>Audubon Borough, Camden County</t>
  </si>
  <si>
    <t>Audubon</t>
  </si>
  <si>
    <t>0402</t>
  </si>
  <si>
    <t>Audubon Park Borough</t>
  </si>
  <si>
    <t>Audubon Park Borough, Camden County</t>
  </si>
  <si>
    <t>Audubon Park</t>
  </si>
  <si>
    <t>0501</t>
  </si>
  <si>
    <t>Avalon Borough</t>
  </si>
  <si>
    <t>Cape May</t>
  </si>
  <si>
    <t>Avalon Borough, Cape May County</t>
  </si>
  <si>
    <t>Avalon</t>
  </si>
  <si>
    <t>Mayor-5 Council Members</t>
  </si>
  <si>
    <t>1305</t>
  </si>
  <si>
    <t>Avon-by-the-Sea Borough</t>
  </si>
  <si>
    <t>Avon-by-the-Sea Borough, Monmouth County</t>
  </si>
  <si>
    <t>Avon-by-the-Sea</t>
  </si>
  <si>
    <t>1501</t>
  </si>
  <si>
    <t>Barnegat Light Borough</t>
  </si>
  <si>
    <t>Ocean</t>
  </si>
  <si>
    <t>Barnegat Light Borough, Ocean County</t>
  </si>
  <si>
    <t>Barnegat Light</t>
  </si>
  <si>
    <t>1533</t>
  </si>
  <si>
    <t>Barnegat Township</t>
  </si>
  <si>
    <t>Barnegat Township, Ocean County</t>
  </si>
  <si>
    <t>Barnegat</t>
  </si>
  <si>
    <t>0403</t>
  </si>
  <si>
    <t>Barrington Borough</t>
  </si>
  <si>
    <t>Barrington Borough, Camden County</t>
  </si>
  <si>
    <t>Barrington</t>
  </si>
  <si>
    <t>0301</t>
  </si>
  <si>
    <t>Bass River Township</t>
  </si>
  <si>
    <t>Burlington</t>
  </si>
  <si>
    <t>Bass River Township, Burlington County</t>
  </si>
  <si>
    <t>Bass River</t>
  </si>
  <si>
    <t>1502</t>
  </si>
  <si>
    <t>Bay Head Borough</t>
  </si>
  <si>
    <t>Bay Head Borough, Ocean County</t>
  </si>
  <si>
    <t>Bay Head</t>
  </si>
  <si>
    <t>0901</t>
  </si>
  <si>
    <t>Bayonne City</t>
  </si>
  <si>
    <t>Hudson</t>
  </si>
  <si>
    <t>Bayonne City, Hudson County</t>
  </si>
  <si>
    <t>Bayonne</t>
  </si>
  <si>
    <t>1503</t>
  </si>
  <si>
    <t>Beach Haven Borough</t>
  </si>
  <si>
    <t>Beach Haven Borough, Ocean County</t>
  </si>
  <si>
    <t>Beach Haven</t>
  </si>
  <si>
    <t>1504</t>
  </si>
  <si>
    <t>Beachwood Borough</t>
  </si>
  <si>
    <t>Beachwood Borough, Ocean County</t>
  </si>
  <si>
    <t>Beachwood</t>
  </si>
  <si>
    <t>1801</t>
  </si>
  <si>
    <t>Bedminster Township</t>
  </si>
  <si>
    <t>Somerset</t>
  </si>
  <si>
    <t>Bedminster Township, Somerset County</t>
  </si>
  <si>
    <t>Bedminster</t>
  </si>
  <si>
    <t>0701</t>
  </si>
  <si>
    <t>Belleville Township</t>
  </si>
  <si>
    <t>Essex</t>
  </si>
  <si>
    <t>Belleville Township, Essex County</t>
  </si>
  <si>
    <t>Belleville</t>
  </si>
  <si>
    <t>7 Council Members</t>
  </si>
  <si>
    <t>0404</t>
  </si>
  <si>
    <t>Bellmawr Borough</t>
  </si>
  <si>
    <t>Bellmawr Borough, Camden County</t>
  </si>
  <si>
    <t>Bellmawr</t>
  </si>
  <si>
    <t>1306</t>
  </si>
  <si>
    <t>Belmar Borough</t>
  </si>
  <si>
    <t>Belmar Borough, Monmouth County</t>
  </si>
  <si>
    <t>Belmar</t>
  </si>
  <si>
    <t>2103</t>
  </si>
  <si>
    <t>Belvidere Town</t>
  </si>
  <si>
    <t>Belvidere Town, Warren County</t>
  </si>
  <si>
    <t>Belvidere</t>
  </si>
  <si>
    <t>0203</t>
  </si>
  <si>
    <t>Bergenfield Borough</t>
  </si>
  <si>
    <t>Bergenfield Borough, Bergen County</t>
  </si>
  <si>
    <t>Bergenfield</t>
  </si>
  <si>
    <t>2001</t>
  </si>
  <si>
    <t>Berkeley Heights Township</t>
  </si>
  <si>
    <t>Union</t>
  </si>
  <si>
    <t>Berkeley Heights Township, Union County</t>
  </si>
  <si>
    <t>Berkeley Heights</t>
  </si>
  <si>
    <t>1505</t>
  </si>
  <si>
    <t>Berkeley Township</t>
  </si>
  <si>
    <t>Berkeley Township, Ocean County</t>
  </si>
  <si>
    <t>Berkeley</t>
  </si>
  <si>
    <t>0405</t>
  </si>
  <si>
    <t>Berlin Borough</t>
  </si>
  <si>
    <t>Berlin Borough, Camden County</t>
  </si>
  <si>
    <t>Berlin</t>
  </si>
  <si>
    <t>0406</t>
  </si>
  <si>
    <t>Berlin Township</t>
  </si>
  <si>
    <t>Berlin Township, Camden County</t>
  </si>
  <si>
    <t>1802</t>
  </si>
  <si>
    <t>Bernards Township</t>
  </si>
  <si>
    <t>Bernards Township, Somerset County</t>
  </si>
  <si>
    <t>Bernards</t>
  </si>
  <si>
    <t>1803</t>
  </si>
  <si>
    <t>Bernardsville Borough</t>
  </si>
  <si>
    <t>Bernardsville Borough, Somerset County</t>
  </si>
  <si>
    <t>Bernardsville</t>
  </si>
  <si>
    <t>1002</t>
  </si>
  <si>
    <t>Bethlehem Township</t>
  </si>
  <si>
    <t>Bethlehem Township, Hunterdon County</t>
  </si>
  <si>
    <t>Bethlehem</t>
  </si>
  <si>
    <t>0302</t>
  </si>
  <si>
    <t>Beverly City</t>
  </si>
  <si>
    <t>Beverly City, Burlington County</t>
  </si>
  <si>
    <t>Beverly</t>
  </si>
  <si>
    <t>2104</t>
  </si>
  <si>
    <t>Blairstown Township</t>
  </si>
  <si>
    <t>Blairstown Township, Warren County</t>
  </si>
  <si>
    <t>Blairstown</t>
  </si>
  <si>
    <t>0702</t>
  </si>
  <si>
    <t>Bloomfield Township</t>
  </si>
  <si>
    <t>Bloomfield Township, Essex County</t>
  </si>
  <si>
    <t>Bloomfield</t>
  </si>
  <si>
    <t>1601</t>
  </si>
  <si>
    <t>Bloomingdale Borough</t>
  </si>
  <si>
    <t>Passaic</t>
  </si>
  <si>
    <t>Bloomingdale Borough, Passaic County</t>
  </si>
  <si>
    <t>Bloomingdale</t>
  </si>
  <si>
    <t>1003</t>
  </si>
  <si>
    <t>Bloomsbury Borough</t>
  </si>
  <si>
    <t>Bloomsbury Borough, Hunterdon County</t>
  </si>
  <si>
    <t>Bloomsbury</t>
  </si>
  <si>
    <t>0204</t>
  </si>
  <si>
    <t>Bogota Borough</t>
  </si>
  <si>
    <t>Bogota Borough, Bergen County</t>
  </si>
  <si>
    <t>Bogota</t>
  </si>
  <si>
    <t>1401</t>
  </si>
  <si>
    <t>Boonton Town</t>
  </si>
  <si>
    <t>Morris</t>
  </si>
  <si>
    <t>Boonton Town, Morris County</t>
  </si>
  <si>
    <t>Boonton</t>
  </si>
  <si>
    <t>Alderpersons</t>
  </si>
  <si>
    <t>Mayor-8 Alder Persons</t>
  </si>
  <si>
    <t>1402</t>
  </si>
  <si>
    <t>Boonton Township</t>
  </si>
  <si>
    <t>Boonton Township, Morris County</t>
  </si>
  <si>
    <t>0303</t>
  </si>
  <si>
    <t>Bordentown City</t>
  </si>
  <si>
    <t>Bordentown City, Burlington County</t>
  </si>
  <si>
    <t>Bordentown</t>
  </si>
  <si>
    <t>0304</t>
  </si>
  <si>
    <t>Bordentown Township</t>
  </si>
  <si>
    <t>Bordentown Township, Burlington County</t>
  </si>
  <si>
    <t>1804</t>
  </si>
  <si>
    <t>Bound Brook Borough</t>
  </si>
  <si>
    <t>Bound Brook Borough, Somerset County</t>
  </si>
  <si>
    <t>Bound Brook</t>
  </si>
  <si>
    <t>1307</t>
  </si>
  <si>
    <t>Bradley Beach Borough</t>
  </si>
  <si>
    <t>Bradley Beach Borough, Monmouth County</t>
  </si>
  <si>
    <t>Bradley Beach</t>
  </si>
  <si>
    <t>1805</t>
  </si>
  <si>
    <t>Branchburg Township</t>
  </si>
  <si>
    <t>Branchburg Township, Somerset County</t>
  </si>
  <si>
    <t>Branchburg</t>
  </si>
  <si>
    <t>1903</t>
  </si>
  <si>
    <t>Branchville Borough</t>
  </si>
  <si>
    <t>Branchville Borough, Sussex County</t>
  </si>
  <si>
    <t>Branchville</t>
  </si>
  <si>
    <t>1506</t>
  </si>
  <si>
    <t>Brick Township</t>
  </si>
  <si>
    <t>Brick Township, Ocean County</t>
  </si>
  <si>
    <t>Brick</t>
  </si>
  <si>
    <t>0601</t>
  </si>
  <si>
    <t>Bridgeton City</t>
  </si>
  <si>
    <t>Cumberland</t>
  </si>
  <si>
    <t>Bridgeton City, Cumberland County</t>
  </si>
  <si>
    <t>Bridgeton</t>
  </si>
  <si>
    <t>1806</t>
  </si>
  <si>
    <t>Bridgewater Township</t>
  </si>
  <si>
    <t>Bridgewater Township, Somerset County</t>
  </si>
  <si>
    <t>Bridgewater</t>
  </si>
  <si>
    <t>1308</t>
  </si>
  <si>
    <t>Brielle Borough</t>
  </si>
  <si>
    <t>Brielle Borough, Monmouth County</t>
  </si>
  <si>
    <t>Brielle</t>
  </si>
  <si>
    <t>0103</t>
  </si>
  <si>
    <t>Brigantine City</t>
  </si>
  <si>
    <t>Brigantine City, Atlantic County</t>
  </si>
  <si>
    <t>Brigantine</t>
  </si>
  <si>
    <t>0407</t>
  </si>
  <si>
    <t>Brooklawn Borough</t>
  </si>
  <si>
    <t>Brooklawn Borough, Camden County</t>
  </si>
  <si>
    <t>Brooklawn</t>
  </si>
  <si>
    <t>0104</t>
  </si>
  <si>
    <t>Buena Borough</t>
  </si>
  <si>
    <t>Buena Borough, Atlantic County</t>
  </si>
  <si>
    <t>Buena</t>
  </si>
  <si>
    <t>0105</t>
  </si>
  <si>
    <t>Buena Vista Township</t>
  </si>
  <si>
    <t>Buena Vista Township, Atlantic County</t>
  </si>
  <si>
    <t>Buena Vista</t>
  </si>
  <si>
    <t>0305</t>
  </si>
  <si>
    <t>Burlington City</t>
  </si>
  <si>
    <t>Burlington City, Burlington County</t>
  </si>
  <si>
    <t>0306</t>
  </si>
  <si>
    <t>Burlington Township</t>
  </si>
  <si>
    <t>Burlington Township, Burlington County</t>
  </si>
  <si>
    <t>1403</t>
  </si>
  <si>
    <t>Butler Borough</t>
  </si>
  <si>
    <t>Butler Borough, Morris County</t>
  </si>
  <si>
    <t>Butler</t>
  </si>
  <si>
    <t>1904</t>
  </si>
  <si>
    <t>Byram Township</t>
  </si>
  <si>
    <t>Byram Township, Sussex County</t>
  </si>
  <si>
    <t>Byram</t>
  </si>
  <si>
    <t>0703</t>
  </si>
  <si>
    <t>Caldwell Township</t>
  </si>
  <si>
    <t>Caldwell Township, Essex County</t>
  </si>
  <si>
    <t>Caldwell</t>
  </si>
  <si>
    <t>1004</t>
  </si>
  <si>
    <t>Califon Borough</t>
  </si>
  <si>
    <t>Califon Borough, Hunterdon County</t>
  </si>
  <si>
    <t>Califon</t>
  </si>
  <si>
    <t>0408</t>
  </si>
  <si>
    <t>Camden City</t>
  </si>
  <si>
    <t>Camden City, Camden County</t>
  </si>
  <si>
    <t>0502</t>
  </si>
  <si>
    <t>Cape May City</t>
  </si>
  <si>
    <t>Cape May City, Cape May County</t>
  </si>
  <si>
    <t>0503</t>
  </si>
  <si>
    <t>Cape May Point Borough</t>
  </si>
  <si>
    <t>Cape May Point Borough, Cape May County</t>
  </si>
  <si>
    <t>Cape May Point</t>
  </si>
  <si>
    <t>0205</t>
  </si>
  <si>
    <t>Carlstadt Borough</t>
  </si>
  <si>
    <t>Carlstadt Borough, Bergen County</t>
  </si>
  <si>
    <t>Carlstadt</t>
  </si>
  <si>
    <t>1713</t>
  </si>
  <si>
    <t>Carneys Point Township</t>
  </si>
  <si>
    <t>Carneys Point Township, Salem County</t>
  </si>
  <si>
    <t>Carneys Point</t>
  </si>
  <si>
    <t>1201</t>
  </si>
  <si>
    <t>Carteret Borough</t>
  </si>
  <si>
    <t>Middlesex</t>
  </si>
  <si>
    <t>Carteret Borough, Middlesex County</t>
  </si>
  <si>
    <t>Carteret</t>
  </si>
  <si>
    <t>0704</t>
  </si>
  <si>
    <t>Cedar Grove Township</t>
  </si>
  <si>
    <t>Cedar Grove Township, Essex County</t>
  </si>
  <si>
    <t>Cedar Grove</t>
  </si>
  <si>
    <t>1404</t>
  </si>
  <si>
    <t>Chatham Borough</t>
  </si>
  <si>
    <t>Chatham Borough, Morris County</t>
  </si>
  <si>
    <t>Chatham</t>
  </si>
  <si>
    <t>1405</t>
  </si>
  <si>
    <t>Chatham Township</t>
  </si>
  <si>
    <t>Chatham Township, Morris County</t>
  </si>
  <si>
    <t>0409</t>
  </si>
  <si>
    <t>Cherry Hill Township</t>
  </si>
  <si>
    <t>Cherry Hill Township, Camden County</t>
  </si>
  <si>
    <t>Cherry Hill</t>
  </si>
  <si>
    <t>0410</t>
  </si>
  <si>
    <t>Chesilhurst Borough</t>
  </si>
  <si>
    <t>Chesilhurst Borough, Camden County</t>
  </si>
  <si>
    <t>Chesilhurst</t>
  </si>
  <si>
    <t>1406</t>
  </si>
  <si>
    <t>Chester Borough</t>
  </si>
  <si>
    <t>Chester Borough, Morris County</t>
  </si>
  <si>
    <t>Chester</t>
  </si>
  <si>
    <t>1407</t>
  </si>
  <si>
    <t>Chester Township</t>
  </si>
  <si>
    <t>Chester Township, Morris County</t>
  </si>
  <si>
    <t>0307</t>
  </si>
  <si>
    <t>Chesterfield Township</t>
  </si>
  <si>
    <t>Chesterfield Township, Burlington County</t>
  </si>
  <si>
    <t>Chesterfield</t>
  </si>
  <si>
    <t>0308</t>
  </si>
  <si>
    <t>Cinnaminson Township</t>
  </si>
  <si>
    <t>Cinnaminson Township, Burlington County</t>
  </si>
  <si>
    <t>Cinnaminson</t>
  </si>
  <si>
    <t>2002</t>
  </si>
  <si>
    <t>Clark Township</t>
  </si>
  <si>
    <t>Clark Township, Union County</t>
  </si>
  <si>
    <t>Clark</t>
  </si>
  <si>
    <t>0801</t>
  </si>
  <si>
    <t>Clayton Borough</t>
  </si>
  <si>
    <t>Gloucester</t>
  </si>
  <si>
    <t>Clayton Borough, Gloucester County</t>
  </si>
  <si>
    <t>Clayton</t>
  </si>
  <si>
    <t>0411</t>
  </si>
  <si>
    <t>Clementon Borough</t>
  </si>
  <si>
    <t>Clementon Borough, Camden County</t>
  </si>
  <si>
    <t>Clementon</t>
  </si>
  <si>
    <t>0206</t>
  </si>
  <si>
    <t>Cliffside Park Borough</t>
  </si>
  <si>
    <t>Cliffside Park Borough, Bergen County</t>
  </si>
  <si>
    <t>Cliffside Park</t>
  </si>
  <si>
    <t>1602</t>
  </si>
  <si>
    <t>Clifton City</t>
  </si>
  <si>
    <t>Clifton City, Passaic County</t>
  </si>
  <si>
    <t>Clifton</t>
  </si>
  <si>
    <t>1005</t>
  </si>
  <si>
    <t>Clinton Town</t>
  </si>
  <si>
    <t>Clinton Town, Hunterdon County</t>
  </si>
  <si>
    <t>Clinton</t>
  </si>
  <si>
    <t>1006</t>
  </si>
  <si>
    <t>Clinton Township</t>
  </si>
  <si>
    <t>Clinton Township, Hunterdon County</t>
  </si>
  <si>
    <t>0207</t>
  </si>
  <si>
    <t>Closter Borough</t>
  </si>
  <si>
    <t>Closter Borough, Bergen County</t>
  </si>
  <si>
    <t>Closter</t>
  </si>
  <si>
    <t>0412</t>
  </si>
  <si>
    <t>Collingswood Borough</t>
  </si>
  <si>
    <t>Collingswood Borough, Camden County</t>
  </si>
  <si>
    <t>Collingswood</t>
  </si>
  <si>
    <t>1309</t>
  </si>
  <si>
    <t>Colts Neck Township</t>
  </si>
  <si>
    <t>Colts Neck Township, Monmouth County</t>
  </si>
  <si>
    <t>Colts Neck</t>
  </si>
  <si>
    <t>0602</t>
  </si>
  <si>
    <t>Commercial Township</t>
  </si>
  <si>
    <t>Commercial Township, Cumberland County</t>
  </si>
  <si>
    <t>Commercial</t>
  </si>
  <si>
    <t>0106</t>
  </si>
  <si>
    <t>Corbin City</t>
  </si>
  <si>
    <t>Corbin City, Atlantic County</t>
  </si>
  <si>
    <t>Mayor-3 Council Members</t>
  </si>
  <si>
    <t>1202</t>
  </si>
  <si>
    <t>Cranbury Township</t>
  </si>
  <si>
    <t>Cranbury Township, Middlesex County</t>
  </si>
  <si>
    <t>Cranbury</t>
  </si>
  <si>
    <t>2003</t>
  </si>
  <si>
    <t>Cranford Township</t>
  </si>
  <si>
    <t>Cranford Township, Union County</t>
  </si>
  <si>
    <t>Cranford</t>
  </si>
  <si>
    <t>0208</t>
  </si>
  <si>
    <t>Cresskill Borough</t>
  </si>
  <si>
    <t>Cresskill Borough, Bergen County</t>
  </si>
  <si>
    <t>Cresskill</t>
  </si>
  <si>
    <t>1310</t>
  </si>
  <si>
    <t>Deal Borough</t>
  </si>
  <si>
    <t>Deal Borough, Monmouth County</t>
  </si>
  <si>
    <t>Deal</t>
  </si>
  <si>
    <t>0603</t>
  </si>
  <si>
    <t>Deerfield Township</t>
  </si>
  <si>
    <t>Deerfield Township, Cumberland County</t>
  </si>
  <si>
    <t>Deerfield</t>
  </si>
  <si>
    <t>0309</t>
  </si>
  <si>
    <t>Delanco Township</t>
  </si>
  <si>
    <t>Delanco Township, Burlington County</t>
  </si>
  <si>
    <t>Delanco</t>
  </si>
  <si>
    <t>1007</t>
  </si>
  <si>
    <t>Delaware Township</t>
  </si>
  <si>
    <t>Delaware Township, Hunterdon County</t>
  </si>
  <si>
    <t>Delaware</t>
  </si>
  <si>
    <t>0310</t>
  </si>
  <si>
    <t>Delran Township</t>
  </si>
  <si>
    <t>Delran Township, Burlington County</t>
  </si>
  <si>
    <t>Delran</t>
  </si>
  <si>
    <t>0209</t>
  </si>
  <si>
    <t>Demarest Borough</t>
  </si>
  <si>
    <t>Demarest Borough, Bergen County</t>
  </si>
  <si>
    <t>Demarest</t>
  </si>
  <si>
    <t>0504</t>
  </si>
  <si>
    <t>Dennis Township</t>
  </si>
  <si>
    <t>Dennis Township, Cape May County</t>
  </si>
  <si>
    <t>Dennis</t>
  </si>
  <si>
    <t>1408</t>
  </si>
  <si>
    <t>Denville Township</t>
  </si>
  <si>
    <t>Denville Township, Morris County</t>
  </si>
  <si>
    <t>Denville</t>
  </si>
  <si>
    <t>0802</t>
  </si>
  <si>
    <t>Deptford Township</t>
  </si>
  <si>
    <t>Deptford Township, Gloucester County</t>
  </si>
  <si>
    <t>Deptford</t>
  </si>
  <si>
    <t>1409</t>
  </si>
  <si>
    <t>Dover Town</t>
  </si>
  <si>
    <t>Dover Town, Morris County</t>
  </si>
  <si>
    <t>Dover</t>
  </si>
  <si>
    <t>0604</t>
  </si>
  <si>
    <t>Downe Township</t>
  </si>
  <si>
    <t>Downe Township, Cumberland County</t>
  </si>
  <si>
    <t>Downe</t>
  </si>
  <si>
    <t>0210</t>
  </si>
  <si>
    <t>Dumont Borough</t>
  </si>
  <si>
    <t>Dumont Borough, Bergen County</t>
  </si>
  <si>
    <t>Dumont</t>
  </si>
  <si>
    <t>1203</t>
  </si>
  <si>
    <t>Dunellen Borough</t>
  </si>
  <si>
    <t>Dunellen Borough, Middlesex County</t>
  </si>
  <si>
    <t>Dunellen</t>
  </si>
  <si>
    <t>1508</t>
  </si>
  <si>
    <t>Eagleswood Township</t>
  </si>
  <si>
    <t>Eagleswood Township, Ocean County</t>
  </si>
  <si>
    <t>Eagleswood</t>
  </si>
  <si>
    <t>1008</t>
  </si>
  <si>
    <t>East Amwell Township</t>
  </si>
  <si>
    <t>East Amwell Township, Hunterdon County</t>
  </si>
  <si>
    <t>East Amwell</t>
  </si>
  <si>
    <t>1204</t>
  </si>
  <si>
    <t>East Brunswick Township</t>
  </si>
  <si>
    <t>East Brunswick Township, Middlesex County</t>
  </si>
  <si>
    <t>East Brunswick</t>
  </si>
  <si>
    <t>0803</t>
  </si>
  <si>
    <t>East Greenwich Township</t>
  </si>
  <si>
    <t>East Greenwich Township, Gloucester County</t>
  </si>
  <si>
    <t>East Greenwich</t>
  </si>
  <si>
    <t>1410</t>
  </si>
  <si>
    <t>East Hanover Township</t>
  </si>
  <si>
    <t>East Hanover Township, Morris County</t>
  </si>
  <si>
    <t>East Hanover</t>
  </si>
  <si>
    <t>0902</t>
  </si>
  <si>
    <t>East Newark Borough</t>
  </si>
  <si>
    <t>East Newark Borough, Hudson County</t>
  </si>
  <si>
    <t>East Newark</t>
  </si>
  <si>
    <t>0705</t>
  </si>
  <si>
    <t>East Orange City</t>
  </si>
  <si>
    <t>East Orange City, Essex County</t>
  </si>
  <si>
    <t>East Orange</t>
  </si>
  <si>
    <t>Mayor-10 Council Members</t>
  </si>
  <si>
    <t>0212</t>
  </si>
  <si>
    <t>East Rutherford Borough</t>
  </si>
  <si>
    <t>East Rutherford Borough, Bergen County</t>
  </si>
  <si>
    <t>East Rutherford</t>
  </si>
  <si>
    <t>1101</t>
  </si>
  <si>
    <t>East Windsor Township</t>
  </si>
  <si>
    <t>Mercer</t>
  </si>
  <si>
    <t>East Windsor Township, Mercer County</t>
  </si>
  <si>
    <t>East Windsor</t>
  </si>
  <si>
    <t>0311</t>
  </si>
  <si>
    <t>Eastampton Township</t>
  </si>
  <si>
    <t>Eastampton Township, Burlington County</t>
  </si>
  <si>
    <t>Eastampton</t>
  </si>
  <si>
    <t>1311</t>
  </si>
  <si>
    <t>Eatontown Borough</t>
  </si>
  <si>
    <t>Eatontown Borough, Monmouth County</t>
  </si>
  <si>
    <t>Eatontown</t>
  </si>
  <si>
    <t>0213</t>
  </si>
  <si>
    <t>Edgewater Borough</t>
  </si>
  <si>
    <t>Edgewater Borough, Bergen County</t>
  </si>
  <si>
    <t>Edgewater</t>
  </si>
  <si>
    <t>0312</t>
  </si>
  <si>
    <t>Edgewater Park Township</t>
  </si>
  <si>
    <t>Edgewater Park Township, Burlington County</t>
  </si>
  <si>
    <t>Edgewater Park</t>
  </si>
  <si>
    <t>1205</t>
  </si>
  <si>
    <t>Edison Township</t>
  </si>
  <si>
    <t>Edison Township, Middlesex County</t>
  </si>
  <si>
    <t>Edison</t>
  </si>
  <si>
    <t>0107</t>
  </si>
  <si>
    <t>Egg Harbor City</t>
  </si>
  <si>
    <t>Egg Harbor City, Atlantic County</t>
  </si>
  <si>
    <t>0108</t>
  </si>
  <si>
    <t>Egg Harbor Township</t>
  </si>
  <si>
    <t>Egg Harbor Township, Atlantic County</t>
  </si>
  <si>
    <t>Egg Harbor</t>
  </si>
  <si>
    <t>2004</t>
  </si>
  <si>
    <t>Elizabeth City</t>
  </si>
  <si>
    <t>Elizabeth City, Union County</t>
  </si>
  <si>
    <t>Elizabeth</t>
  </si>
  <si>
    <t>0804</t>
  </si>
  <si>
    <t>Elk Township</t>
  </si>
  <si>
    <t>Elk Township, Gloucester County</t>
  </si>
  <si>
    <t>Elk</t>
  </si>
  <si>
    <t>1702</t>
  </si>
  <si>
    <t>Elmer Borough</t>
  </si>
  <si>
    <t>Elmer Borough, Salem County</t>
  </si>
  <si>
    <t>Elmer</t>
  </si>
  <si>
    <t>0211</t>
  </si>
  <si>
    <t>Elmwood Park Borough</t>
  </si>
  <si>
    <t>Elmwood Park Borough, Bergen County</t>
  </si>
  <si>
    <t>Elmwood Park</t>
  </si>
  <si>
    <t>1703</t>
  </si>
  <si>
    <t>Elsinboro Township</t>
  </si>
  <si>
    <t>Elsinboro Township, Salem County</t>
  </si>
  <si>
    <t>Elsinboro</t>
  </si>
  <si>
    <t>0214</t>
  </si>
  <si>
    <t>Emerson Borough</t>
  </si>
  <si>
    <t>Emerson Borough, Bergen County</t>
  </si>
  <si>
    <t>Emerson</t>
  </si>
  <si>
    <t>0215</t>
  </si>
  <si>
    <t>Englewood City</t>
  </si>
  <si>
    <t>Englewood City, Bergen County</t>
  </si>
  <si>
    <t>Englewood</t>
  </si>
  <si>
    <t>0216</t>
  </si>
  <si>
    <t>Englewood Cliffs Borough</t>
  </si>
  <si>
    <t>Englewood Cliffs Borough, Bergen County</t>
  </si>
  <si>
    <t>Englewood Cliffs</t>
  </si>
  <si>
    <t>1312</t>
  </si>
  <si>
    <t>Englishtown Borough</t>
  </si>
  <si>
    <t>Englishtown Borough, Monmouth County</t>
  </si>
  <si>
    <t>Englishtown</t>
  </si>
  <si>
    <t>0706</t>
  </si>
  <si>
    <t>Essex Fells Township</t>
  </si>
  <si>
    <t>Essex Fells Township, Essex County</t>
  </si>
  <si>
    <t>Essex Fells</t>
  </si>
  <si>
    <t>0109</t>
  </si>
  <si>
    <t>Estell Manor City</t>
  </si>
  <si>
    <t>Estell Manor City, Atlantic County</t>
  </si>
  <si>
    <t>Estell Manor</t>
  </si>
  <si>
    <t>0313</t>
  </si>
  <si>
    <t>Evesham Township</t>
  </si>
  <si>
    <t>Evesham Township, Burlington County</t>
  </si>
  <si>
    <t>Evesham</t>
  </si>
  <si>
    <t>1102</t>
  </si>
  <si>
    <t>Ewing Township</t>
  </si>
  <si>
    <t>Ewing Township, Mercer County</t>
  </si>
  <si>
    <t>Ewing</t>
  </si>
  <si>
    <t>1313</t>
  </si>
  <si>
    <t>Fair Haven Borough</t>
  </si>
  <si>
    <t>Fair Haven Borough, Monmouth County</t>
  </si>
  <si>
    <t>Fair Haven</t>
  </si>
  <si>
    <t>0217</t>
  </si>
  <si>
    <t>Fair Lawn Borough</t>
  </si>
  <si>
    <t>Fair Lawn Borough, Bergen County</t>
  </si>
  <si>
    <t>Fair Lawn</t>
  </si>
  <si>
    <t>0605</t>
  </si>
  <si>
    <t>Fairfield Township</t>
  </si>
  <si>
    <t>Fairfield Township, Cumberland County</t>
  </si>
  <si>
    <t>Fairfield</t>
  </si>
  <si>
    <t>0707</t>
  </si>
  <si>
    <t>Fairfield Township, Essex County</t>
  </si>
  <si>
    <t>0218</t>
  </si>
  <si>
    <t>Fairview Borough</t>
  </si>
  <si>
    <t>Fairview Borough, Bergen County</t>
  </si>
  <si>
    <t>Fairview</t>
  </si>
  <si>
    <t>2005</t>
  </si>
  <si>
    <t>Fanwood Borough</t>
  </si>
  <si>
    <t>Fanwood Borough, Union County</t>
  </si>
  <si>
    <t>Fanwood</t>
  </si>
  <si>
    <t>1807</t>
  </si>
  <si>
    <t>Far Hills Borough</t>
  </si>
  <si>
    <t>Far Hills Borough, Somerset County</t>
  </si>
  <si>
    <t>Far Hills</t>
  </si>
  <si>
    <t>1314</t>
  </si>
  <si>
    <t>Farmingdale Borough</t>
  </si>
  <si>
    <t>Farmingdale Borough, Monmouth County</t>
  </si>
  <si>
    <t>Farmingdale</t>
  </si>
  <si>
    <t>0314</t>
  </si>
  <si>
    <t>Fieldsboro Borough</t>
  </si>
  <si>
    <t>Fieldsboro Borough, Burlington County</t>
  </si>
  <si>
    <t>Fieldsboro</t>
  </si>
  <si>
    <t>1009</t>
  </si>
  <si>
    <t>Flemington Borough</t>
  </si>
  <si>
    <t>Flemington Borough, Hunterdon County</t>
  </si>
  <si>
    <t>Flemington</t>
  </si>
  <si>
    <t>0315</t>
  </si>
  <si>
    <t>Florence Township</t>
  </si>
  <si>
    <t>Florence Township, Burlington County</t>
  </si>
  <si>
    <t>Florence</t>
  </si>
  <si>
    <t>1411</t>
  </si>
  <si>
    <t>Florham Park Borough</t>
  </si>
  <si>
    <t>Florham Park Borough, Morris County</t>
  </si>
  <si>
    <t>Florham Park</t>
  </si>
  <si>
    <t>0110</t>
  </si>
  <si>
    <t>Folsom Borough</t>
  </si>
  <si>
    <t>Folsom Borough, Atlantic County</t>
  </si>
  <si>
    <t>Folsom</t>
  </si>
  <si>
    <t>0219</t>
  </si>
  <si>
    <t>Fort Lee Borough</t>
  </si>
  <si>
    <t>Fort Lee Borough, Bergen County</t>
  </si>
  <si>
    <t>Fort Lee</t>
  </si>
  <si>
    <t>1905</t>
  </si>
  <si>
    <t>Frankford Township</t>
  </si>
  <si>
    <t>Frankford Township, Sussex County</t>
  </si>
  <si>
    <t>Frankford</t>
  </si>
  <si>
    <t>1906</t>
  </si>
  <si>
    <t>Franklin Borough</t>
  </si>
  <si>
    <t>Franklin Borough, Sussex County</t>
  </si>
  <si>
    <t>Franklin</t>
  </si>
  <si>
    <t>0220</t>
  </si>
  <si>
    <t>Franklin Lakes Borough</t>
  </si>
  <si>
    <t>Franklin Lakes Borough, Bergen County</t>
  </si>
  <si>
    <t>Franklin Lakes</t>
  </si>
  <si>
    <t>0805</t>
  </si>
  <si>
    <t>Franklin Township</t>
  </si>
  <si>
    <t>Franklin Township, Gloucester County</t>
  </si>
  <si>
    <t>1010</t>
  </si>
  <si>
    <t>Franklin Township, Hunterdon County</t>
  </si>
  <si>
    <t>1808</t>
  </si>
  <si>
    <t>Franklin Township, Somerset County</t>
  </si>
  <si>
    <t>Mayor-8 Council Members</t>
  </si>
  <si>
    <t>2105</t>
  </si>
  <si>
    <t>Franklin Township, Warren County</t>
  </si>
  <si>
    <t>1907</t>
  </si>
  <si>
    <t>Fredon Township</t>
  </si>
  <si>
    <t>Fredon Township, Sussex County</t>
  </si>
  <si>
    <t>Fredon</t>
  </si>
  <si>
    <t>1315</t>
  </si>
  <si>
    <t>Freehold Borough</t>
  </si>
  <si>
    <t>Freehold Borough, Monmouth County</t>
  </si>
  <si>
    <t>Freehold</t>
  </si>
  <si>
    <t>1316</t>
  </si>
  <si>
    <t>Freehold Township</t>
  </si>
  <si>
    <t>Freehold Township, Monmouth County</t>
  </si>
  <si>
    <t>2106</t>
  </si>
  <si>
    <t>Frelinghuysen Township</t>
  </si>
  <si>
    <t>Frelinghuysen Township, Warren County</t>
  </si>
  <si>
    <t>Frelinghuysen</t>
  </si>
  <si>
    <t>1011</t>
  </si>
  <si>
    <t>Frenchtown Borough</t>
  </si>
  <si>
    <t>Frenchtown Borough, Hunterdon County</t>
  </si>
  <si>
    <t>Frenchtown</t>
  </si>
  <si>
    <t>0111</t>
  </si>
  <si>
    <t>Galloway Township</t>
  </si>
  <si>
    <t>Galloway Township, Atlantic County</t>
  </si>
  <si>
    <t>Galloway</t>
  </si>
  <si>
    <t>0221</t>
  </si>
  <si>
    <t>Garfield City</t>
  </si>
  <si>
    <t>Garfield City, Bergen County</t>
  </si>
  <si>
    <t>Garfield</t>
  </si>
  <si>
    <t>2006</t>
  </si>
  <si>
    <t>Garwood Borough</t>
  </si>
  <si>
    <t>Garwood Borough, Union County</t>
  </si>
  <si>
    <t>Garwood</t>
  </si>
  <si>
    <t>0413</t>
  </si>
  <si>
    <t>Gibbsboro Borough</t>
  </si>
  <si>
    <t>Gibbsboro Borough, Camden County</t>
  </si>
  <si>
    <t>Gibbsboro</t>
  </si>
  <si>
    <t>0806</t>
  </si>
  <si>
    <t>Glassboro Borough</t>
  </si>
  <si>
    <t>Glassboro Borough, Gloucester County</t>
  </si>
  <si>
    <t>Glassboro</t>
  </si>
  <si>
    <t>1012</t>
  </si>
  <si>
    <t>Glen Gardner Borough</t>
  </si>
  <si>
    <t>Glen Gardner Borough, Hunterdon County</t>
  </si>
  <si>
    <t>Glen Gardner</t>
  </si>
  <si>
    <t>0708</t>
  </si>
  <si>
    <t>Glen Ridge Borough</t>
  </si>
  <si>
    <t>Glen Ridge Borough, Essex County</t>
  </si>
  <si>
    <t>Glen Ridge</t>
  </si>
  <si>
    <t>0222</t>
  </si>
  <si>
    <t>Glen Rock Borough</t>
  </si>
  <si>
    <t>Glen Rock Borough, Bergen County</t>
  </si>
  <si>
    <t>Glen Rock</t>
  </si>
  <si>
    <t>0414</t>
  </si>
  <si>
    <t>Gloucester City City</t>
  </si>
  <si>
    <t>Gloucester City City, Camden County</t>
  </si>
  <si>
    <t>Gloucester City</t>
  </si>
  <si>
    <t>0415</t>
  </si>
  <si>
    <t>Gloucester Township</t>
  </si>
  <si>
    <t>Gloucester Township, Camden County</t>
  </si>
  <si>
    <t>1809</t>
  </si>
  <si>
    <t>Green Brook Township</t>
  </si>
  <si>
    <t>Green Brook Township, Somerset County</t>
  </si>
  <si>
    <t>Green Brook</t>
  </si>
  <si>
    <t>1908</t>
  </si>
  <si>
    <t>Green Township</t>
  </si>
  <si>
    <t>Green Township, Sussex County</t>
  </si>
  <si>
    <t>Green</t>
  </si>
  <si>
    <t>0606</t>
  </si>
  <si>
    <t>Greenwich Township</t>
  </si>
  <si>
    <t>Greenwich Township, Cumberland County</t>
  </si>
  <si>
    <t>Greenwich</t>
  </si>
  <si>
    <t>0807</t>
  </si>
  <si>
    <t>Greenwich Township, Gloucester County</t>
  </si>
  <si>
    <t>2107</t>
  </si>
  <si>
    <t>Greenwich Township, Warren County</t>
  </si>
  <si>
    <t>0903</t>
  </si>
  <si>
    <t>Guttenberg Town</t>
  </si>
  <si>
    <t>Guttenberg Town, Hudson County</t>
  </si>
  <si>
    <t>Guttenberg</t>
  </si>
  <si>
    <t>0223</t>
  </si>
  <si>
    <t>Hackensack City</t>
  </si>
  <si>
    <t>Hackensack City, Bergen County</t>
  </si>
  <si>
    <t>Hackensack</t>
  </si>
  <si>
    <t>2108</t>
  </si>
  <si>
    <t>Hackettstown Town</t>
  </si>
  <si>
    <t>Hackettstown Town, Warren County</t>
  </si>
  <si>
    <t>Hackettstown</t>
  </si>
  <si>
    <t>0418</t>
  </si>
  <si>
    <t>Haddon Heights Borough</t>
  </si>
  <si>
    <t>Haddon Heights Borough, Camden County</t>
  </si>
  <si>
    <t>Haddon Heights</t>
  </si>
  <si>
    <t>0416</t>
  </si>
  <si>
    <t>Haddon Township</t>
  </si>
  <si>
    <t>Haddon Township, Camden County</t>
  </si>
  <si>
    <t>Haddon</t>
  </si>
  <si>
    <t>0417</t>
  </si>
  <si>
    <t>Haddonfield Borough</t>
  </si>
  <si>
    <t>Haddonfield Borough, Camden County</t>
  </si>
  <si>
    <t>Haddonfield</t>
  </si>
  <si>
    <t>0316</t>
  </si>
  <si>
    <t>Hainesport Township</t>
  </si>
  <si>
    <t>Hainesport Township, Burlington County</t>
  </si>
  <si>
    <t>Hainesport</t>
  </si>
  <si>
    <t>1603</t>
  </si>
  <si>
    <t>Haledon Borough</t>
  </si>
  <si>
    <t>Haledon Borough, Passaic County</t>
  </si>
  <si>
    <t>Haledon</t>
  </si>
  <si>
    <t>1909</t>
  </si>
  <si>
    <t>Hamburg Borough</t>
  </si>
  <si>
    <t>Hamburg Borough, Sussex County</t>
  </si>
  <si>
    <t>Hamburg</t>
  </si>
  <si>
    <t>0112</t>
  </si>
  <si>
    <t>Hamilton Township</t>
  </si>
  <si>
    <t>Hamilton Township, Atlantic County</t>
  </si>
  <si>
    <t>Hamilton</t>
  </si>
  <si>
    <t>1103</t>
  </si>
  <si>
    <t>Hamilton Township, Mercer County</t>
  </si>
  <si>
    <t>0113</t>
  </si>
  <si>
    <t>Hammonton Township</t>
  </si>
  <si>
    <t>Hammonton Township, Atlantic County</t>
  </si>
  <si>
    <t>Hammonton</t>
  </si>
  <si>
    <t>1013</t>
  </si>
  <si>
    <t>Hampton Borough</t>
  </si>
  <si>
    <t>Hampton Borough, Hunterdon County</t>
  </si>
  <si>
    <t>Hampton</t>
  </si>
  <si>
    <t>1910</t>
  </si>
  <si>
    <t>Hampton Township</t>
  </si>
  <si>
    <t>Hampton Township, Sussex County</t>
  </si>
  <si>
    <t>1412</t>
  </si>
  <si>
    <t>Hanover Township</t>
  </si>
  <si>
    <t>Hanover Township, Morris County</t>
  </si>
  <si>
    <t>Hanover</t>
  </si>
  <si>
    <t>1413</t>
  </si>
  <si>
    <t>Harding Township</t>
  </si>
  <si>
    <t>Harding Township, Morris County</t>
  </si>
  <si>
    <t>Harding</t>
  </si>
  <si>
    <t>2109</t>
  </si>
  <si>
    <t>Hardwick Township</t>
  </si>
  <si>
    <t>Hardwick Township, Warren County</t>
  </si>
  <si>
    <t>Hardwick</t>
  </si>
  <si>
    <t>1911</t>
  </si>
  <si>
    <t>Hardyston Township</t>
  </si>
  <si>
    <t>Hardyston Township, Sussex County</t>
  </si>
  <si>
    <t>Hardyston</t>
  </si>
  <si>
    <t>2110</t>
  </si>
  <si>
    <t>Harmony Township</t>
  </si>
  <si>
    <t>Harmony Township, Warren County</t>
  </si>
  <si>
    <t>Harmony</t>
  </si>
  <si>
    <t>0224</t>
  </si>
  <si>
    <t>Harrington Park Borough</t>
  </si>
  <si>
    <t>Harrington Park Borough, Bergen County</t>
  </si>
  <si>
    <t>Harrington Park</t>
  </si>
  <si>
    <t>0904</t>
  </si>
  <si>
    <t>Harrison Town</t>
  </si>
  <si>
    <t>Harrison Town, Hudson County</t>
  </si>
  <si>
    <t>Harrison</t>
  </si>
  <si>
    <t>0808</t>
  </si>
  <si>
    <t>Harrison Township</t>
  </si>
  <si>
    <t>Harrison Township, Gloucester County</t>
  </si>
  <si>
    <t>1509</t>
  </si>
  <si>
    <t>Harvey Cedars Borough</t>
  </si>
  <si>
    <t>Harvey Cedars Borough, Ocean County</t>
  </si>
  <si>
    <t>Harvey Cedars</t>
  </si>
  <si>
    <t>0225</t>
  </si>
  <si>
    <t>Hasbrouck Heights Borough</t>
  </si>
  <si>
    <t>Hasbrouck Heights Borough, Bergen County</t>
  </si>
  <si>
    <t>Hasbrouck Heights</t>
  </si>
  <si>
    <t>0226</t>
  </si>
  <si>
    <t>Haworth Borough</t>
  </si>
  <si>
    <t>Haworth Borough, Bergen County</t>
  </si>
  <si>
    <t>Haworth</t>
  </si>
  <si>
    <t>1604</t>
  </si>
  <si>
    <t>Hawthorne Borough</t>
  </si>
  <si>
    <t>Hawthorne Borough, Passaic County</t>
  </si>
  <si>
    <t>Hawthorne</t>
  </si>
  <si>
    <t>1339</t>
  </si>
  <si>
    <t>Hazlet Township</t>
  </si>
  <si>
    <t>Hazlet Township, Monmouth County</t>
  </si>
  <si>
    <t>Hazlet</t>
  </si>
  <si>
    <t>1206</t>
  </si>
  <si>
    <t>Helmetta Borough</t>
  </si>
  <si>
    <t>Helmetta Borough, Middlesex County</t>
  </si>
  <si>
    <t>Helmetta</t>
  </si>
  <si>
    <t>1014</t>
  </si>
  <si>
    <t>High Bridge Borough</t>
  </si>
  <si>
    <t>High Bridge Borough, Hunterdon County</t>
  </si>
  <si>
    <t>High Bridge</t>
  </si>
  <si>
    <t>1207</t>
  </si>
  <si>
    <t>Highland Park Borough</t>
  </si>
  <si>
    <t>Highland Park Borough, Middlesex County</t>
  </si>
  <si>
    <t>Highland Park</t>
  </si>
  <si>
    <t>1317</t>
  </si>
  <si>
    <t>Highlands Borough</t>
  </si>
  <si>
    <t>Highlands Borough, Monmouth County</t>
  </si>
  <si>
    <t>Highlands</t>
  </si>
  <si>
    <t>1104</t>
  </si>
  <si>
    <t>Hightstown Borough</t>
  </si>
  <si>
    <t>Hightstown Borough, Mercer County</t>
  </si>
  <si>
    <t>Hightstown</t>
  </si>
  <si>
    <t>1810</t>
  </si>
  <si>
    <t>Hillsborough Township</t>
  </si>
  <si>
    <t>Hillsborough Township, Somerset County</t>
  </si>
  <si>
    <t>Hillsborough</t>
  </si>
  <si>
    <t>0227</t>
  </si>
  <si>
    <t>Hillsdale Borough</t>
  </si>
  <si>
    <t>Hillsdale Borough, Bergen County</t>
  </si>
  <si>
    <t>Hillsdale</t>
  </si>
  <si>
    <t>2007</t>
  </si>
  <si>
    <t>Hillside Township</t>
  </si>
  <si>
    <t>Hillside Township, Union County</t>
  </si>
  <si>
    <t>Hillside</t>
  </si>
  <si>
    <t>0419</t>
  </si>
  <si>
    <t>Hi-nella Borough</t>
  </si>
  <si>
    <t>Hi-nella Borough, Camden County</t>
  </si>
  <si>
    <t>Hi-nella</t>
  </si>
  <si>
    <t>0905</t>
  </si>
  <si>
    <t>Hoboken City</t>
  </si>
  <si>
    <t>Hoboken City, Hudson County</t>
  </si>
  <si>
    <t>Hoboken</t>
  </si>
  <si>
    <t>0228</t>
  </si>
  <si>
    <t>Ho-Ho-Kus Borough</t>
  </si>
  <si>
    <t>Ho-Ho-Kus Borough, Bergen County</t>
  </si>
  <si>
    <t>Ho-Ho-Kus</t>
  </si>
  <si>
    <t>1015</t>
  </si>
  <si>
    <t>Holland Township</t>
  </si>
  <si>
    <t>Holland Township, Hunterdon County</t>
  </si>
  <si>
    <t>Holland</t>
  </si>
  <si>
    <t>1318</t>
  </si>
  <si>
    <t>Holmdel Township</t>
  </si>
  <si>
    <t>Holmdel Township, Monmouth County</t>
  </si>
  <si>
    <t>Holmdel</t>
  </si>
  <si>
    <t>1912</t>
  </si>
  <si>
    <t>Hopatcong Borough</t>
  </si>
  <si>
    <t>Hopatcong Borough, Sussex County</t>
  </si>
  <si>
    <t>Hopatcong</t>
  </si>
  <si>
    <t>2111</t>
  </si>
  <si>
    <t>Hope Township</t>
  </si>
  <si>
    <t>Hope Township, Warren County</t>
  </si>
  <si>
    <t>Hope</t>
  </si>
  <si>
    <t>1105</t>
  </si>
  <si>
    <t>Hopewell Borough</t>
  </si>
  <si>
    <t>Hopewell Borough, Mercer County</t>
  </si>
  <si>
    <t>Hopewell</t>
  </si>
  <si>
    <t>0607</t>
  </si>
  <si>
    <t>Hopewell Township</t>
  </si>
  <si>
    <t>Hopewell Township, Cumberland County</t>
  </si>
  <si>
    <t>1106</t>
  </si>
  <si>
    <t>Hopewell Township, Mercer County</t>
  </si>
  <si>
    <t>1319</t>
  </si>
  <si>
    <t>Howell Township</t>
  </si>
  <si>
    <t>Howell Township, Monmouth County</t>
  </si>
  <si>
    <t>Howell</t>
  </si>
  <si>
    <t>2112</t>
  </si>
  <si>
    <t>Independence Township</t>
  </si>
  <si>
    <t>Independence Township, Warren County</t>
  </si>
  <si>
    <t>Independence</t>
  </si>
  <si>
    <t>1320</t>
  </si>
  <si>
    <t>Interlaken Borough</t>
  </si>
  <si>
    <t>Interlaken Borough, Monmouth County</t>
  </si>
  <si>
    <t>Interlaken</t>
  </si>
  <si>
    <t>0709</t>
  </si>
  <si>
    <t>Irvington Township</t>
  </si>
  <si>
    <t>Irvington Township, Essex County</t>
  </si>
  <si>
    <t>Irvington</t>
  </si>
  <si>
    <t>1510</t>
  </si>
  <si>
    <t>Island Heights Borough</t>
  </si>
  <si>
    <t>Island Heights Borough, Ocean County</t>
  </si>
  <si>
    <t>Island Heights</t>
  </si>
  <si>
    <t>1511</t>
  </si>
  <si>
    <t>Jackson Township</t>
  </si>
  <si>
    <t>Jackson Township, Ocean County</t>
  </si>
  <si>
    <t>Jackson</t>
  </si>
  <si>
    <t>1208</t>
  </si>
  <si>
    <t>Jamesburg Borough</t>
  </si>
  <si>
    <t>Jamesburg Borough, Middlesex County</t>
  </si>
  <si>
    <t>Jamesburg</t>
  </si>
  <si>
    <t>1414</t>
  </si>
  <si>
    <t>Jefferson Township</t>
  </si>
  <si>
    <t>Jefferson Township, Morris County</t>
  </si>
  <si>
    <t>Jefferson</t>
  </si>
  <si>
    <t>0906</t>
  </si>
  <si>
    <t>Jersey City City</t>
  </si>
  <si>
    <t>Jersey City City, Hudson County</t>
  </si>
  <si>
    <t>Jersey City</t>
  </si>
  <si>
    <t>1321</t>
  </si>
  <si>
    <t>Keansburg Borough</t>
  </si>
  <si>
    <t>Keansburg Borough, Monmouth County</t>
  </si>
  <si>
    <t>Keansburg</t>
  </si>
  <si>
    <t>0907</t>
  </si>
  <si>
    <t>Kearny Town</t>
  </si>
  <si>
    <t>Kearny Town, Hudson County</t>
  </si>
  <si>
    <t>Kearny</t>
  </si>
  <si>
    <t>2008</t>
  </si>
  <si>
    <t>Kenilworth Borough</t>
  </si>
  <si>
    <t>Kenilworth Borough, Union County</t>
  </si>
  <si>
    <t>Kenilworth</t>
  </si>
  <si>
    <t>1322</t>
  </si>
  <si>
    <t>Keyport Borough</t>
  </si>
  <si>
    <t>Keyport Borough, Monmouth County</t>
  </si>
  <si>
    <t>Keyport</t>
  </si>
  <si>
    <t>1016</t>
  </si>
  <si>
    <t>Kingwood Township</t>
  </si>
  <si>
    <t>Kingwood Township, Hunterdon County</t>
  </si>
  <si>
    <t>Kingwood</t>
  </si>
  <si>
    <t>1415</t>
  </si>
  <si>
    <t>Kinnelon Borough</t>
  </si>
  <si>
    <t>Kinnelon Borough, Morris County</t>
  </si>
  <si>
    <t>Kinnelon</t>
  </si>
  <si>
    <t>2113</t>
  </si>
  <si>
    <t>Knowlton Township</t>
  </si>
  <si>
    <t>Knowlton Township, Warren County</t>
  </si>
  <si>
    <t>Knowlton</t>
  </si>
  <si>
    <t>1512</t>
  </si>
  <si>
    <t>Lacey Township</t>
  </si>
  <si>
    <t>Lacey Township, Ocean County</t>
  </si>
  <si>
    <t>Lacey</t>
  </si>
  <si>
    <t>1913</t>
  </si>
  <si>
    <t>Lafayette Township</t>
  </si>
  <si>
    <t>Lafayette Township, Sussex County</t>
  </si>
  <si>
    <t>Lafayette</t>
  </si>
  <si>
    <t>1347</t>
  </si>
  <si>
    <t>Lake Como Borough</t>
  </si>
  <si>
    <t>Lake Como Borough, Monmouth County</t>
  </si>
  <si>
    <t>Lake Como</t>
  </si>
  <si>
    <t>1513</t>
  </si>
  <si>
    <t>Lakehurst Borough</t>
  </si>
  <si>
    <t>Lakehurst Borough, Ocean County</t>
  </si>
  <si>
    <t>Lakehurst</t>
  </si>
  <si>
    <t>1514</t>
  </si>
  <si>
    <t>Lakewood Township</t>
  </si>
  <si>
    <t>Lakewood Township, Ocean County</t>
  </si>
  <si>
    <t>Lakewood</t>
  </si>
  <si>
    <t>1017</t>
  </si>
  <si>
    <t>Lambertville City</t>
  </si>
  <si>
    <t>Lambertville City, Hunterdon County</t>
  </si>
  <si>
    <t>Lambertville</t>
  </si>
  <si>
    <t>0420</t>
  </si>
  <si>
    <t>Laurel Springs Borough</t>
  </si>
  <si>
    <t>Laurel Springs Borough, Camden County</t>
  </si>
  <si>
    <t>Laurel Springs</t>
  </si>
  <si>
    <t>1515</t>
  </si>
  <si>
    <t>Lavallette Borough</t>
  </si>
  <si>
    <t>Lavallette Borough, Ocean County</t>
  </si>
  <si>
    <t>Lavallette</t>
  </si>
  <si>
    <t>0421</t>
  </si>
  <si>
    <t>Lawnside Borough</t>
  </si>
  <si>
    <t>Lawnside Borough, Camden County</t>
  </si>
  <si>
    <t>Lawnside</t>
  </si>
  <si>
    <t>0608</t>
  </si>
  <si>
    <t>Lawrence Township</t>
  </si>
  <si>
    <t>Lawrence Township, Cumberland County</t>
  </si>
  <si>
    <t>Lawrence</t>
  </si>
  <si>
    <t>1107</t>
  </si>
  <si>
    <t>Lawrence Township, Mercer County</t>
  </si>
  <si>
    <t>1018</t>
  </si>
  <si>
    <t>Lebanon Borough</t>
  </si>
  <si>
    <t>Lebanon Borough, Hunterdon County</t>
  </si>
  <si>
    <t>Lebanon</t>
  </si>
  <si>
    <t>1019</t>
  </si>
  <si>
    <t>Lebanon Township</t>
  </si>
  <si>
    <t>Lebanon Township, Hunterdon County</t>
  </si>
  <si>
    <t>0229</t>
  </si>
  <si>
    <t>Leonia Borough</t>
  </si>
  <si>
    <t>Leonia Borough, Bergen County</t>
  </si>
  <si>
    <t>Leonia</t>
  </si>
  <si>
    <t>2114</t>
  </si>
  <si>
    <t>Liberty Township</t>
  </si>
  <si>
    <t>Liberty Township, Warren County</t>
  </si>
  <si>
    <t>Liberty</t>
  </si>
  <si>
    <t>1416</t>
  </si>
  <si>
    <t>Lincoln Park Borough</t>
  </si>
  <si>
    <t>Lincoln Park Borough, Morris County</t>
  </si>
  <si>
    <t>Lincoln Park</t>
  </si>
  <si>
    <t>2009</t>
  </si>
  <si>
    <t>Linden City</t>
  </si>
  <si>
    <t>Linden City, Union County</t>
  </si>
  <si>
    <t>Linden</t>
  </si>
  <si>
    <t>Mayor-11 Council Members</t>
  </si>
  <si>
    <t>0422</t>
  </si>
  <si>
    <t>Lindenwold Borough</t>
  </si>
  <si>
    <t>Lindenwold Borough, Camden County</t>
  </si>
  <si>
    <t>Lindenwold</t>
  </si>
  <si>
    <t>0114</t>
  </si>
  <si>
    <t>Linwood City</t>
  </si>
  <si>
    <t>Linwood City, Atlantic County</t>
  </si>
  <si>
    <t>Linwood</t>
  </si>
  <si>
    <t>1516</t>
  </si>
  <si>
    <t>Little Egg Harbor Township</t>
  </si>
  <si>
    <t>Little Egg Harbor Township, Ocean County</t>
  </si>
  <si>
    <t>Little Egg Harbor</t>
  </si>
  <si>
    <t>1605</t>
  </si>
  <si>
    <t>Little Falls Township</t>
  </si>
  <si>
    <t>Little Falls Township, Passaic County</t>
  </si>
  <si>
    <t>Little Falls</t>
  </si>
  <si>
    <t>0230</t>
  </si>
  <si>
    <t>Little Ferry Borough</t>
  </si>
  <si>
    <t>Little Ferry Borough, Bergen County</t>
  </si>
  <si>
    <t>Little Ferry</t>
  </si>
  <si>
    <t>1323</t>
  </si>
  <si>
    <t>Little Silver Borough</t>
  </si>
  <si>
    <t>Little Silver Borough, Monmouth County</t>
  </si>
  <si>
    <t>Little Silver</t>
  </si>
  <si>
    <t>0710</t>
  </si>
  <si>
    <t>Livingston Township</t>
  </si>
  <si>
    <t>Livingston Township, Essex County</t>
  </si>
  <si>
    <t>Livingston</t>
  </si>
  <si>
    <t>1324</t>
  </si>
  <si>
    <t>Loch Arbour Village</t>
  </si>
  <si>
    <t>Loch Arbour Village, Monmouth County</t>
  </si>
  <si>
    <t>Loch Arbour</t>
  </si>
  <si>
    <t>Village</t>
  </si>
  <si>
    <t>0231</t>
  </si>
  <si>
    <t>Lodi Borough</t>
  </si>
  <si>
    <t>Lodi Borough, Bergen County</t>
  </si>
  <si>
    <t>Lodi</t>
  </si>
  <si>
    <t>0809</t>
  </si>
  <si>
    <t>Logan Township</t>
  </si>
  <si>
    <t>Logan Township, Gloucester County</t>
  </si>
  <si>
    <t>Logan</t>
  </si>
  <si>
    <t>1517</t>
  </si>
  <si>
    <t>Long Beach Township</t>
  </si>
  <si>
    <t>Long Beach Township, Ocean County</t>
  </si>
  <si>
    <t>Long Beach</t>
  </si>
  <si>
    <t>1325</t>
  </si>
  <si>
    <t>Long Branch City</t>
  </si>
  <si>
    <t>Long Branch City, Monmouth County</t>
  </si>
  <si>
    <t>Long Branch</t>
  </si>
  <si>
    <t>1430</t>
  </si>
  <si>
    <t>Long Hill Township</t>
  </si>
  <si>
    <t>Long Hill Township, Morris County</t>
  </si>
  <si>
    <t>Long Hill</t>
  </si>
  <si>
    <t>0115</t>
  </si>
  <si>
    <t>Longport Borough</t>
  </si>
  <si>
    <t>Longport Borough, Atlantic County</t>
  </si>
  <si>
    <t>Longport</t>
  </si>
  <si>
    <t>2115</t>
  </si>
  <si>
    <t>Lopatcong Township</t>
  </si>
  <si>
    <t>Lopatcong Township, Warren County</t>
  </si>
  <si>
    <t>Lopatcong</t>
  </si>
  <si>
    <t>1704</t>
  </si>
  <si>
    <t>Lower Alloways Creek Township</t>
  </si>
  <si>
    <t>Lower Alloways Creek Township, Salem County</t>
  </si>
  <si>
    <t>Lower Alloways Creek</t>
  </si>
  <si>
    <t>0505</t>
  </si>
  <si>
    <t>Lower Township</t>
  </si>
  <si>
    <t>Lower Township, Cape May County</t>
  </si>
  <si>
    <t>Lower</t>
  </si>
  <si>
    <t>0317</t>
  </si>
  <si>
    <t>Lumberton Township</t>
  </si>
  <si>
    <t>Lumberton Township, Burlington County</t>
  </si>
  <si>
    <t>Lumberton</t>
  </si>
  <si>
    <t>0232</t>
  </si>
  <si>
    <t>Lyndhurst Township</t>
  </si>
  <si>
    <t>Lyndhurst Township, Bergen County</t>
  </si>
  <si>
    <t>Lyndhurst</t>
  </si>
  <si>
    <t>5 Commissioners</t>
  </si>
  <si>
    <t>1417</t>
  </si>
  <si>
    <t>Madison Borough</t>
  </si>
  <si>
    <t>Madison Borough, Morris County</t>
  </si>
  <si>
    <t>Madison</t>
  </si>
  <si>
    <t>0423</t>
  </si>
  <si>
    <t>Magnolia Borough</t>
  </si>
  <si>
    <t>Magnolia Borough, Camden County</t>
  </si>
  <si>
    <t>Magnolia</t>
  </si>
  <si>
    <t>0233</t>
  </si>
  <si>
    <t>Mahwah Township</t>
  </si>
  <si>
    <t>Mahwah Township, Bergen County</t>
  </si>
  <si>
    <t>Mahwah</t>
  </si>
  <si>
    <t>1326</t>
  </si>
  <si>
    <t>Manalapan Township</t>
  </si>
  <si>
    <t>Manalapan Township, Monmouth County</t>
  </si>
  <si>
    <t>Manalapan</t>
  </si>
  <si>
    <t>1327</t>
  </si>
  <si>
    <t>Manasquan Borough</t>
  </si>
  <si>
    <t>Manasquan Borough, Monmouth County</t>
  </si>
  <si>
    <t>Manasquan</t>
  </si>
  <si>
    <t>1518</t>
  </si>
  <si>
    <t>Manchester Township</t>
  </si>
  <si>
    <t>Manchester Township, Ocean County</t>
  </si>
  <si>
    <t>Manchester</t>
  </si>
  <si>
    <t>1705</t>
  </si>
  <si>
    <t>Mannington Township</t>
  </si>
  <si>
    <t>Mannington Township, Salem County</t>
  </si>
  <si>
    <t>Mannington</t>
  </si>
  <si>
    <t>0318</t>
  </si>
  <si>
    <t>Mansfield Township</t>
  </si>
  <si>
    <t>Mansfield Township, Burlington County</t>
  </si>
  <si>
    <t>Mansfield</t>
  </si>
  <si>
    <t>2116</t>
  </si>
  <si>
    <t>Mansfield Township, Warren County</t>
  </si>
  <si>
    <t>1519</t>
  </si>
  <si>
    <t>Mantoloking Borough</t>
  </si>
  <si>
    <t>Mantoloking Borough, Ocean County</t>
  </si>
  <si>
    <t>Mantoloking</t>
  </si>
  <si>
    <t>0810</t>
  </si>
  <si>
    <t>Mantua Township</t>
  </si>
  <si>
    <t>Mantua Township, Gloucester County</t>
  </si>
  <si>
    <t>Mantua</t>
  </si>
  <si>
    <t>1811</t>
  </si>
  <si>
    <t>Manville Borough</t>
  </si>
  <si>
    <t>Manville Borough, Somerset County</t>
  </si>
  <si>
    <t>Manville</t>
  </si>
  <si>
    <t>0319</t>
  </si>
  <si>
    <t>Maple Shade Township</t>
  </si>
  <si>
    <t>Maple Shade Township, Burlington County</t>
  </si>
  <si>
    <t>Maple Shade</t>
  </si>
  <si>
    <t>0711</t>
  </si>
  <si>
    <t>Maplewood Township</t>
  </si>
  <si>
    <t>Maplewood Township, Essex County</t>
  </si>
  <si>
    <t>Maplewood</t>
  </si>
  <si>
    <t>0116</t>
  </si>
  <si>
    <t>Margate City</t>
  </si>
  <si>
    <t>Margate City, Atlantic County</t>
  </si>
  <si>
    <t>1328</t>
  </si>
  <si>
    <t>Marlboro Township</t>
  </si>
  <si>
    <t>Marlboro Township, Monmouth County</t>
  </si>
  <si>
    <t>Marlboro</t>
  </si>
  <si>
    <t>1329</t>
  </si>
  <si>
    <t>Matawan Borough</t>
  </si>
  <si>
    <t>Matawan Borough, Monmouth County</t>
  </si>
  <si>
    <t>Matawan</t>
  </si>
  <si>
    <t>0609</t>
  </si>
  <si>
    <t>Maurice River Township</t>
  </si>
  <si>
    <t>Maurice River Township, Cumberland County</t>
  </si>
  <si>
    <t>Maurice River</t>
  </si>
  <si>
    <t>0234</t>
  </si>
  <si>
    <t>Maywood Borough</t>
  </si>
  <si>
    <t>Maywood Borough, Bergen County</t>
  </si>
  <si>
    <t>Maywood</t>
  </si>
  <si>
    <t>0321</t>
  </si>
  <si>
    <t>Medford Lakes Borough</t>
  </si>
  <si>
    <t>Medford Lakes Borough, Burlington County</t>
  </si>
  <si>
    <t>Medford Lakes</t>
  </si>
  <si>
    <t>3 Council Members</t>
  </si>
  <si>
    <t>0320</t>
  </si>
  <si>
    <t>Medford Township</t>
  </si>
  <si>
    <t>Medford Township, Burlington County</t>
  </si>
  <si>
    <t>Medford</t>
  </si>
  <si>
    <t>1418</t>
  </si>
  <si>
    <t>Mendham Borough</t>
  </si>
  <si>
    <t>Mendham Borough, Morris County</t>
  </si>
  <si>
    <t>Mendham</t>
  </si>
  <si>
    <t>1419</t>
  </si>
  <si>
    <t>Mendham Township</t>
  </si>
  <si>
    <t>Mendham Township, Morris County</t>
  </si>
  <si>
    <t>0424</t>
  </si>
  <si>
    <t>Merchantville Borough</t>
  </si>
  <si>
    <t>Merchantville Borough, Camden County</t>
  </si>
  <si>
    <t>Merchantville</t>
  </si>
  <si>
    <t>1210</t>
  </si>
  <si>
    <t>Metuchen Borough</t>
  </si>
  <si>
    <t>Metuchen Borough, Middlesex County</t>
  </si>
  <si>
    <t>Metuchen</t>
  </si>
  <si>
    <t>0506</t>
  </si>
  <si>
    <t>Middle Township</t>
  </si>
  <si>
    <t>Middle Township, Cape May County</t>
  </si>
  <si>
    <t>Middle</t>
  </si>
  <si>
    <t>1211</t>
  </si>
  <si>
    <t>Middlesex Borough</t>
  </si>
  <si>
    <t>Middlesex Borough, Middlesex County</t>
  </si>
  <si>
    <t>1331</t>
  </si>
  <si>
    <t>Middletown Township</t>
  </si>
  <si>
    <t>Middletown Township, Monmouth County</t>
  </si>
  <si>
    <t>Middletown</t>
  </si>
  <si>
    <t>0235</t>
  </si>
  <si>
    <t>Midland Park Borough</t>
  </si>
  <si>
    <t>Midland Park Borough, Bergen County</t>
  </si>
  <si>
    <t>Midland Park</t>
  </si>
  <si>
    <t>1020</t>
  </si>
  <si>
    <t>Milford Borough</t>
  </si>
  <si>
    <t>Milford Borough, Hunterdon County</t>
  </si>
  <si>
    <t>Milford</t>
  </si>
  <si>
    <t>0712</t>
  </si>
  <si>
    <t>Millburn Township</t>
  </si>
  <si>
    <t>Millburn Township, Essex County</t>
  </si>
  <si>
    <t>Millburn</t>
  </si>
  <si>
    <t>1812</t>
  </si>
  <si>
    <t>Millstone Borough</t>
  </si>
  <si>
    <t>Millstone Borough, Somerset County</t>
  </si>
  <si>
    <t>Millstone</t>
  </si>
  <si>
    <t>1332</t>
  </si>
  <si>
    <t>Millstone Township</t>
  </si>
  <si>
    <t>Millstone Township, Monmouth County</t>
  </si>
  <si>
    <t>1212</t>
  </si>
  <si>
    <t>Milltown Borough</t>
  </si>
  <si>
    <t>Milltown Borough, Middlesex County</t>
  </si>
  <si>
    <t>Milltown</t>
  </si>
  <si>
    <t>0610</t>
  </si>
  <si>
    <t>Millville City</t>
  </si>
  <si>
    <t>Millville City, Cumberland County</t>
  </si>
  <si>
    <t>Millville</t>
  </si>
  <si>
    <t>1420</t>
  </si>
  <si>
    <t>Mine Hill Township</t>
  </si>
  <si>
    <t>Mine Hill Township, Morris County</t>
  </si>
  <si>
    <t>Mine Hill</t>
  </si>
  <si>
    <t>1333</t>
  </si>
  <si>
    <t>Monmouth Beach Borough</t>
  </si>
  <si>
    <t>Monmouth Beach Borough, Monmouth County</t>
  </si>
  <si>
    <t>Monmouth Beach</t>
  </si>
  <si>
    <t>0811</t>
  </si>
  <si>
    <t>Monroe Township</t>
  </si>
  <si>
    <t>Monroe Township, Gloucester County</t>
  </si>
  <si>
    <t>Monroe</t>
  </si>
  <si>
    <t>1213</t>
  </si>
  <si>
    <t>Monroe Township, Middlesex County</t>
  </si>
  <si>
    <t>1914</t>
  </si>
  <si>
    <t>Montague Township</t>
  </si>
  <si>
    <t>Montague Township, Sussex County</t>
  </si>
  <si>
    <t>Montague</t>
  </si>
  <si>
    <t>0713</t>
  </si>
  <si>
    <t>Montclair Township</t>
  </si>
  <si>
    <t>Montclair Township, Essex County</t>
  </si>
  <si>
    <t>Montclair</t>
  </si>
  <si>
    <t>1813</t>
  </si>
  <si>
    <t>Montgomery Township</t>
  </si>
  <si>
    <t>Montgomery Township, Somerset County</t>
  </si>
  <si>
    <t>Montgomery</t>
  </si>
  <si>
    <t>0236</t>
  </si>
  <si>
    <t>Montvale Borough</t>
  </si>
  <si>
    <t>Montvale Borough, Bergen County</t>
  </si>
  <si>
    <t>Montvale</t>
  </si>
  <si>
    <t>1421</t>
  </si>
  <si>
    <t>Montville Township</t>
  </si>
  <si>
    <t>Montville Township, Morris County</t>
  </si>
  <si>
    <t>Montville</t>
  </si>
  <si>
    <t>0237</t>
  </si>
  <si>
    <t>Moonachie Borough</t>
  </si>
  <si>
    <t>Moonachie Borough, Bergen County</t>
  </si>
  <si>
    <t>Moonachie</t>
  </si>
  <si>
    <t>0322</t>
  </si>
  <si>
    <t>Moorestown Township</t>
  </si>
  <si>
    <t>Moorestown Township, Burlington County</t>
  </si>
  <si>
    <t>Moorestown</t>
  </si>
  <si>
    <t>1423</t>
  </si>
  <si>
    <t>Morris Plains Borough</t>
  </si>
  <si>
    <t>Morris Plains Borough, Morris County</t>
  </si>
  <si>
    <t>Morris Plains</t>
  </si>
  <si>
    <t>1422</t>
  </si>
  <si>
    <t>Morris Township</t>
  </si>
  <si>
    <t>Morris Township, Morris County</t>
  </si>
  <si>
    <t>1424</t>
  </si>
  <si>
    <t>Morristown Town</t>
  </si>
  <si>
    <t>Morristown Town, Morris County</t>
  </si>
  <si>
    <t>Morristown</t>
  </si>
  <si>
    <t>1426</t>
  </si>
  <si>
    <t>Mount Arlington Borough</t>
  </si>
  <si>
    <t>Mount Arlington Borough, Morris County</t>
  </si>
  <si>
    <t>Mount Arlington</t>
  </si>
  <si>
    <t>0425</t>
  </si>
  <si>
    <t>Mount Ephraim Borough</t>
  </si>
  <si>
    <t>Mount Ephraim Borough, Camden County</t>
  </si>
  <si>
    <t>Mount Ephraim</t>
  </si>
  <si>
    <t>0323</t>
  </si>
  <si>
    <t>Mount Holly Township</t>
  </si>
  <si>
    <t>Mount Holly Township, Burlington County</t>
  </si>
  <si>
    <t>Mount Holly</t>
  </si>
  <si>
    <t>0324</t>
  </si>
  <si>
    <t>Mount Laurel Township</t>
  </si>
  <si>
    <t>Mount Laurel Township, Burlington County</t>
  </si>
  <si>
    <t>Mount Laurel</t>
  </si>
  <si>
    <t>1427</t>
  </si>
  <si>
    <t>Mount Olive Township</t>
  </si>
  <si>
    <t>Mount Olive Township, Morris County</t>
  </si>
  <si>
    <t>Mount Olive</t>
  </si>
  <si>
    <t>1425</t>
  </si>
  <si>
    <t>Mountain Lakes Borough</t>
  </si>
  <si>
    <t>Mountain Lakes Borough, Morris County</t>
  </si>
  <si>
    <t>Mountain Lakes</t>
  </si>
  <si>
    <t>2010</t>
  </si>
  <si>
    <t>Mountainside Borough</t>
  </si>
  <si>
    <t>Mountainside Borough, Union County</t>
  </si>
  <si>
    <t>Mountainside</t>
  </si>
  <si>
    <t>0117</t>
  </si>
  <si>
    <t>Mullica Township</t>
  </si>
  <si>
    <t>Mullica Township, Atlantic County</t>
  </si>
  <si>
    <t>Mullica</t>
  </si>
  <si>
    <t>0812</t>
  </si>
  <si>
    <t>National Park Borough</t>
  </si>
  <si>
    <t>National Park Borough, Gloucester County</t>
  </si>
  <si>
    <t>National Park</t>
  </si>
  <si>
    <t>1335</t>
  </si>
  <si>
    <t>Neptune City Borough</t>
  </si>
  <si>
    <t>Neptune City Borough, Monmouth County</t>
  </si>
  <si>
    <t>Neptune City</t>
  </si>
  <si>
    <t>Neptune</t>
  </si>
  <si>
    <t>1334</t>
  </si>
  <si>
    <t>Neptune Township</t>
  </si>
  <si>
    <t>Neptune Township, Monmouth County</t>
  </si>
  <si>
    <t>1428</t>
  </si>
  <si>
    <t>Netcong Borough</t>
  </si>
  <si>
    <t>Netcong Borough, Morris County</t>
  </si>
  <si>
    <t>Netcong</t>
  </si>
  <si>
    <t>1214</t>
  </si>
  <si>
    <t>New Brunswick City</t>
  </si>
  <si>
    <t>New Brunswick City, Middlesex County</t>
  </si>
  <si>
    <t>New Brunswick</t>
  </si>
  <si>
    <t>0325</t>
  </si>
  <si>
    <t>New Hanover Township</t>
  </si>
  <si>
    <t>New Hanover Township, Burlington County</t>
  </si>
  <si>
    <t>New Hanover</t>
  </si>
  <si>
    <t>0238</t>
  </si>
  <si>
    <t>New Milford Borough</t>
  </si>
  <si>
    <t>New Milford Borough, Bergen County</t>
  </si>
  <si>
    <t>New Milford</t>
  </si>
  <si>
    <t>2011</t>
  </si>
  <si>
    <t>New Providence Borough</t>
  </si>
  <si>
    <t>New Providence Borough, Union County</t>
  </si>
  <si>
    <t>New Providence</t>
  </si>
  <si>
    <t>0714</t>
  </si>
  <si>
    <t>Newark City</t>
  </si>
  <si>
    <t>Newark City, Essex County</t>
  </si>
  <si>
    <t>Newark</t>
  </si>
  <si>
    <t>0813</t>
  </si>
  <si>
    <t>Newfield Borough</t>
  </si>
  <si>
    <t>Newfield Borough, Gloucester County</t>
  </si>
  <si>
    <t>Newfield</t>
  </si>
  <si>
    <t>1915</t>
  </si>
  <si>
    <t>Newton Town</t>
  </si>
  <si>
    <t>Newton Town, Sussex County</t>
  </si>
  <si>
    <t>Newton</t>
  </si>
  <si>
    <t>0239</t>
  </si>
  <si>
    <t>North Arlington Borough</t>
  </si>
  <si>
    <t>North Arlington Borough, Bergen County</t>
  </si>
  <si>
    <t>North Arlington</t>
  </si>
  <si>
    <t>0908</t>
  </si>
  <si>
    <t>North Bergen Township</t>
  </si>
  <si>
    <t>North Bergen Township, Hudson County</t>
  </si>
  <si>
    <t>North Bergen</t>
  </si>
  <si>
    <t>1215</t>
  </si>
  <si>
    <t>North Brunswick Township</t>
  </si>
  <si>
    <t>North Brunswick Township, Middlesex County</t>
  </si>
  <si>
    <t>North Brunswick</t>
  </si>
  <si>
    <t>0715</t>
  </si>
  <si>
    <t>North Caldwell Borough</t>
  </si>
  <si>
    <t>North Caldwell Borough, Essex County</t>
  </si>
  <si>
    <t>North Caldwell</t>
  </si>
  <si>
    <t>1606</t>
  </si>
  <si>
    <t>North Haledon Borough</t>
  </si>
  <si>
    <t>North Haledon Borough, Passaic County</t>
  </si>
  <si>
    <t>North Haledon</t>
  </si>
  <si>
    <t>0326</t>
  </si>
  <si>
    <t>North Hanover Township</t>
  </si>
  <si>
    <t>North Hanover Township, Burlington County</t>
  </si>
  <si>
    <t>North Hanover</t>
  </si>
  <si>
    <t>1814</t>
  </si>
  <si>
    <t>North Plainfield Borough</t>
  </si>
  <si>
    <t>North Plainfield Borough, Somerset County</t>
  </si>
  <si>
    <t>North Plainfield</t>
  </si>
  <si>
    <t>0507</t>
  </si>
  <si>
    <t>North Wildwood City</t>
  </si>
  <si>
    <t>North Wildwood City, Cape May County</t>
  </si>
  <si>
    <t>North Wildwood</t>
  </si>
  <si>
    <t>0118</t>
  </si>
  <si>
    <t>Northfield City</t>
  </si>
  <si>
    <t>Northfield City, Atlantic County</t>
  </si>
  <si>
    <t>Northfield</t>
  </si>
  <si>
    <t>0240</t>
  </si>
  <si>
    <t>Northvale Borough</t>
  </si>
  <si>
    <t>Northvale Borough, Bergen County</t>
  </si>
  <si>
    <t>Northvale</t>
  </si>
  <si>
    <t>0241</t>
  </si>
  <si>
    <t>Norwood Borough</t>
  </si>
  <si>
    <t>Norwood Borough, Bergen County</t>
  </si>
  <si>
    <t>Norwood</t>
  </si>
  <si>
    <t>0716</t>
  </si>
  <si>
    <t>Nutley Township</t>
  </si>
  <si>
    <t>Nutley Township, Essex County</t>
  </si>
  <si>
    <t>Nutley</t>
  </si>
  <si>
    <t>0242</t>
  </si>
  <si>
    <t>Oakland Borough</t>
  </si>
  <si>
    <t>Oakland Borough, Bergen County</t>
  </si>
  <si>
    <t>Oakland</t>
  </si>
  <si>
    <t>0426</t>
  </si>
  <si>
    <t>Oaklyn Borough</t>
  </si>
  <si>
    <t>Oaklyn Borough, Camden County</t>
  </si>
  <si>
    <t>Oaklyn</t>
  </si>
  <si>
    <t>0508</t>
  </si>
  <si>
    <t>Ocean City City</t>
  </si>
  <si>
    <t>Ocean City City, Cape May County</t>
  </si>
  <si>
    <t>Ocean City</t>
  </si>
  <si>
    <t>1521</t>
  </si>
  <si>
    <t>Ocean Gate Borough</t>
  </si>
  <si>
    <t>Ocean Gate Borough, Ocean County</t>
  </si>
  <si>
    <t>Ocean Gate</t>
  </si>
  <si>
    <t>1337</t>
  </si>
  <si>
    <t>Ocean Township</t>
  </si>
  <si>
    <t>Ocean Township, Monmouth County</t>
  </si>
  <si>
    <t>1520</t>
  </si>
  <si>
    <t>Ocean Township, Ocean County</t>
  </si>
  <si>
    <t>1338</t>
  </si>
  <si>
    <t>Oceanport Borough</t>
  </si>
  <si>
    <t>Oceanport Borough, Monmouth County</t>
  </si>
  <si>
    <t>Oceanport</t>
  </si>
  <si>
    <t>1916</t>
  </si>
  <si>
    <t>Ogdensburg Borough</t>
  </si>
  <si>
    <t>Ogdensburg Borough, Sussex County</t>
  </si>
  <si>
    <t>Ogdensburg</t>
  </si>
  <si>
    <t>1209</t>
  </si>
  <si>
    <t>Old Bridge Township</t>
  </si>
  <si>
    <t>Old Bridge Township, Middlesex County</t>
  </si>
  <si>
    <t>Old Bridge</t>
  </si>
  <si>
    <t>0243</t>
  </si>
  <si>
    <t>Old Tappan Borough</t>
  </si>
  <si>
    <t>Old Tappan Borough, Bergen County</t>
  </si>
  <si>
    <t>Old Tappan</t>
  </si>
  <si>
    <t>1706</t>
  </si>
  <si>
    <t>Oldmans Township</t>
  </si>
  <si>
    <t>Oldmans Township, Salem County</t>
  </si>
  <si>
    <t>Oldmans</t>
  </si>
  <si>
    <t>0244</t>
  </si>
  <si>
    <t>Oradell Borough</t>
  </si>
  <si>
    <t>Oradell Borough, Bergen County</t>
  </si>
  <si>
    <t>Oradell</t>
  </si>
  <si>
    <t>0717</t>
  </si>
  <si>
    <t>Orange City</t>
  </si>
  <si>
    <t>Orange City, Essex County</t>
  </si>
  <si>
    <t>Orange</t>
  </si>
  <si>
    <t>City of Orange</t>
  </si>
  <si>
    <t>2117</t>
  </si>
  <si>
    <t>Oxford Township</t>
  </si>
  <si>
    <t>Oxford Township, Warren County</t>
  </si>
  <si>
    <t>Oxford</t>
  </si>
  <si>
    <t>0245</t>
  </si>
  <si>
    <t>Palisades Park Borough</t>
  </si>
  <si>
    <t>Palisades Park Borough, Bergen County</t>
  </si>
  <si>
    <t>Palisades Park</t>
  </si>
  <si>
    <t>0327</t>
  </si>
  <si>
    <t>Palmyra Borough</t>
  </si>
  <si>
    <t>Palmyra Borough, Burlington County</t>
  </si>
  <si>
    <t>Palmyra</t>
  </si>
  <si>
    <t>0246</t>
  </si>
  <si>
    <t>Paramus Borough</t>
  </si>
  <si>
    <t>Paramus Borough, Bergen County</t>
  </si>
  <si>
    <t>Paramus</t>
  </si>
  <si>
    <t>0247</t>
  </si>
  <si>
    <t>Park Ridge Borough</t>
  </si>
  <si>
    <t>Park Ridge Borough, Bergen County</t>
  </si>
  <si>
    <t>Park Ridge</t>
  </si>
  <si>
    <t>1429</t>
  </si>
  <si>
    <t>Parsippany-Troy Hills Township</t>
  </si>
  <si>
    <t>Parsippany-Troy Hills Township, Morris County</t>
  </si>
  <si>
    <t>Parsippany-Troy Hills</t>
  </si>
  <si>
    <t>1607</t>
  </si>
  <si>
    <t>Passaic City</t>
  </si>
  <si>
    <t>Passaic City, Passaic County</t>
  </si>
  <si>
    <t>1608</t>
  </si>
  <si>
    <t>Paterson City</t>
  </si>
  <si>
    <t>Paterson City, Passaic County</t>
  </si>
  <si>
    <t>Paterson</t>
  </si>
  <si>
    <t>0814</t>
  </si>
  <si>
    <t>Paulsboro Borough</t>
  </si>
  <si>
    <t>Paulsboro Borough, Gloucester County</t>
  </si>
  <si>
    <t>Paulsboro</t>
  </si>
  <si>
    <t>1815</t>
  </si>
  <si>
    <t>Peapack-Gladstone Borough</t>
  </si>
  <si>
    <t>Peapack-Gladstone Borough, Somerset County</t>
  </si>
  <si>
    <t>Peapack-Gladstone</t>
  </si>
  <si>
    <t>0328</t>
  </si>
  <si>
    <t>Pemberton Borough</t>
  </si>
  <si>
    <t>Pemberton Borough, Burlington County</t>
  </si>
  <si>
    <t>Pemberton</t>
  </si>
  <si>
    <t>0329</t>
  </si>
  <si>
    <t>Pemberton Township</t>
  </si>
  <si>
    <t>Pemberton Township, Burlington County</t>
  </si>
  <si>
    <t>1108</t>
  </si>
  <si>
    <t>Pennington Borough</t>
  </si>
  <si>
    <t>Pennington Borough, Mercer County</t>
  </si>
  <si>
    <t>Pennington</t>
  </si>
  <si>
    <t>1707</t>
  </si>
  <si>
    <t>Penns Grove Borough</t>
  </si>
  <si>
    <t>Penns Grove Borough, Salem County</t>
  </si>
  <si>
    <t>Penns Grove</t>
  </si>
  <si>
    <t>0427</t>
  </si>
  <si>
    <t>Pennsauken Township</t>
  </si>
  <si>
    <t>Pennsauken Township, Camden County</t>
  </si>
  <si>
    <t>Pennsauken</t>
  </si>
  <si>
    <t>1708</t>
  </si>
  <si>
    <t>Pennsville Township</t>
  </si>
  <si>
    <t>Pennsville Township, Salem County</t>
  </si>
  <si>
    <t>Pennsville</t>
  </si>
  <si>
    <t>1431</t>
  </si>
  <si>
    <t>Pequannock Township</t>
  </si>
  <si>
    <t>Pequannock Township, Morris County</t>
  </si>
  <si>
    <t>Pequannock</t>
  </si>
  <si>
    <t>1216</t>
  </si>
  <si>
    <t>Perth Amboy City</t>
  </si>
  <si>
    <t>Perth Amboy City, Middlesex County</t>
  </si>
  <si>
    <t>Perth Amboy</t>
  </si>
  <si>
    <t>2119</t>
  </si>
  <si>
    <t>Phillipsburg Town</t>
  </si>
  <si>
    <t>Phillipsburg Town, Warren County</t>
  </si>
  <si>
    <t>Phillipsburg</t>
  </si>
  <si>
    <t>1709</t>
  </si>
  <si>
    <t>Pilesgrove Township</t>
  </si>
  <si>
    <t>Pilesgrove Township, Salem County</t>
  </si>
  <si>
    <t>Pilesgrove</t>
  </si>
  <si>
    <t>1522</t>
  </si>
  <si>
    <t>Pine Beach Borough</t>
  </si>
  <si>
    <t>Pine Beach Borough, Ocean County</t>
  </si>
  <si>
    <t>Pine Beach</t>
  </si>
  <si>
    <t>0428</t>
  </si>
  <si>
    <t>Pine Hill Borough</t>
  </si>
  <si>
    <t>Pine Hill Borough, Camden County</t>
  </si>
  <si>
    <t>Pine Hill</t>
  </si>
  <si>
    <t>0429</t>
  </si>
  <si>
    <t>Pine Valley Borough</t>
  </si>
  <si>
    <t>Pine Valley Borough, Camden County</t>
  </si>
  <si>
    <t>Pine Valley</t>
  </si>
  <si>
    <t>1217</t>
  </si>
  <si>
    <t>Piscataway Township</t>
  </si>
  <si>
    <t>Piscataway Township, Middlesex County</t>
  </si>
  <si>
    <t>Piscataway</t>
  </si>
  <si>
    <t>0815</t>
  </si>
  <si>
    <t>Pitman Borough</t>
  </si>
  <si>
    <t>Pitman Borough, Gloucester County</t>
  </si>
  <si>
    <t>Pitman</t>
  </si>
  <si>
    <t>1710</t>
  </si>
  <si>
    <t>Pittsgrove Township</t>
  </si>
  <si>
    <t>Pittsgrove Township, Salem County</t>
  </si>
  <si>
    <t>Pittsgrove</t>
  </si>
  <si>
    <t>2012</t>
  </si>
  <si>
    <t>Plainfield City</t>
  </si>
  <si>
    <t>Plainfield City, Union County</t>
  </si>
  <si>
    <t>Plainfield</t>
  </si>
  <si>
    <t>1218</t>
  </si>
  <si>
    <t>Plainsboro Township</t>
  </si>
  <si>
    <t>Plainsboro Township, Middlesex County</t>
  </si>
  <si>
    <t>Plainsboro</t>
  </si>
  <si>
    <t>0119</t>
  </si>
  <si>
    <t>Pleasantville City</t>
  </si>
  <si>
    <t>Pleasantville City, Atlantic County</t>
  </si>
  <si>
    <t>Pleasantville</t>
  </si>
  <si>
    <t>1523</t>
  </si>
  <si>
    <t>Plumsted Township</t>
  </si>
  <si>
    <t>Plumsted Township, Ocean County</t>
  </si>
  <si>
    <t>Plumsted</t>
  </si>
  <si>
    <t>2120</t>
  </si>
  <si>
    <t>Pohatcong Township</t>
  </si>
  <si>
    <t>Pohatcong Township, Warren County</t>
  </si>
  <si>
    <t>Pohatcong</t>
  </si>
  <si>
    <t>1525</t>
  </si>
  <si>
    <t>Point Pleasant Beach Borough</t>
  </si>
  <si>
    <t>Point Pleasant Beach Borough, Ocean County</t>
  </si>
  <si>
    <t>Point Pleasant Beach</t>
  </si>
  <si>
    <t>1524</t>
  </si>
  <si>
    <t>Point Pleasant Borough</t>
  </si>
  <si>
    <t>Point Pleasant Borough, Ocean County</t>
  </si>
  <si>
    <t>Point Pleasant</t>
  </si>
  <si>
    <t>1609</t>
  </si>
  <si>
    <t>Pompton Lakes Borough</t>
  </si>
  <si>
    <t>Pompton Lakes Borough, Passaic County</t>
  </si>
  <si>
    <t>Pompton Lakes</t>
  </si>
  <si>
    <t>0120</t>
  </si>
  <si>
    <t>Port Republic City</t>
  </si>
  <si>
    <t>Port Republic City, Atlantic County</t>
  </si>
  <si>
    <t>Port Republic</t>
  </si>
  <si>
    <t>1114</t>
  </si>
  <si>
    <t>Princeton</t>
  </si>
  <si>
    <t>Princeton, Mercer County</t>
  </si>
  <si>
    <t>1610</t>
  </si>
  <si>
    <t>Prospect Park Borough</t>
  </si>
  <si>
    <t>Prospect Park Borough, Passaic County</t>
  </si>
  <si>
    <t>Prospect Park</t>
  </si>
  <si>
    <t>1711</t>
  </si>
  <si>
    <t>Quinton Township</t>
  </si>
  <si>
    <t>Quinton Township, Salem County</t>
  </si>
  <si>
    <t>Quinton</t>
  </si>
  <si>
    <t>2013</t>
  </si>
  <si>
    <t>Rahway City</t>
  </si>
  <si>
    <t>Rahway City, Union County</t>
  </si>
  <si>
    <t>Rahway</t>
  </si>
  <si>
    <t>0248</t>
  </si>
  <si>
    <t>Ramsey Borough</t>
  </si>
  <si>
    <t>Ramsey Borough, Bergen County</t>
  </si>
  <si>
    <t>Ramsey</t>
  </si>
  <si>
    <t>1432</t>
  </si>
  <si>
    <t>Randolph Township</t>
  </si>
  <si>
    <t>Randolph Township, Morris County</t>
  </si>
  <si>
    <t>Randolph</t>
  </si>
  <si>
    <t>1816</t>
  </si>
  <si>
    <t>Raritan Borough</t>
  </si>
  <si>
    <t>Raritan Borough, Somerset County</t>
  </si>
  <si>
    <t>Raritan</t>
  </si>
  <si>
    <t>1021</t>
  </si>
  <si>
    <t>Raritan Township</t>
  </si>
  <si>
    <t>Raritan Township, Hunterdon County</t>
  </si>
  <si>
    <t>1022</t>
  </si>
  <si>
    <t>Readington Township</t>
  </si>
  <si>
    <t>Readington Township, Hunterdon County</t>
  </si>
  <si>
    <t>Readington</t>
  </si>
  <si>
    <t>1340</t>
  </si>
  <si>
    <t>Red Bank Borough</t>
  </si>
  <si>
    <t>Red Bank Borough, Monmouth County</t>
  </si>
  <si>
    <t>Red Bank</t>
  </si>
  <si>
    <t>0249</t>
  </si>
  <si>
    <t>Ridgefield Borough</t>
  </si>
  <si>
    <t>Ridgefield Borough, Bergen County</t>
  </si>
  <si>
    <t>Ridgefield</t>
  </si>
  <si>
    <t>0250</t>
  </si>
  <si>
    <t>Ridgefield Park Village</t>
  </si>
  <si>
    <t>Ridgefield Park Village, Bergen County</t>
  </si>
  <si>
    <t>Ridgefield Park</t>
  </si>
  <si>
    <t>0251</t>
  </si>
  <si>
    <t>Ridgewood Village</t>
  </si>
  <si>
    <t>Ridgewood Village, Bergen County</t>
  </si>
  <si>
    <t>Ridgewood</t>
  </si>
  <si>
    <t>1611</t>
  </si>
  <si>
    <t>Ringwood Borough</t>
  </si>
  <si>
    <t>Ringwood Borough, Passaic County</t>
  </si>
  <si>
    <t>Ringwood</t>
  </si>
  <si>
    <t>0252</t>
  </si>
  <si>
    <t>River Edge Borough</t>
  </si>
  <si>
    <t>River Edge Borough, Bergen County</t>
  </si>
  <si>
    <t>River Edge</t>
  </si>
  <si>
    <t>0253</t>
  </si>
  <si>
    <t>River Vale Township</t>
  </si>
  <si>
    <t>River Vale Township, Bergen County</t>
  </si>
  <si>
    <t>River Vale</t>
  </si>
  <si>
    <t>1433</t>
  </si>
  <si>
    <t>Riverdale Borough</t>
  </si>
  <si>
    <t>Riverdale Borough, Morris County</t>
  </si>
  <si>
    <t>Riverdale</t>
  </si>
  <si>
    <t>0330</t>
  </si>
  <si>
    <t>Riverside Township</t>
  </si>
  <si>
    <t>Riverside Township, Burlington County</t>
  </si>
  <si>
    <t>Riverside</t>
  </si>
  <si>
    <t>0331</t>
  </si>
  <si>
    <t>Riverton Borough</t>
  </si>
  <si>
    <t>Riverton Borough, Burlington County</t>
  </si>
  <si>
    <t>Riverton</t>
  </si>
  <si>
    <t>1112</t>
  </si>
  <si>
    <t>Robbinsville Township</t>
  </si>
  <si>
    <t>Robbinsville Township, Mercer County</t>
  </si>
  <si>
    <t>Robbinsville</t>
  </si>
  <si>
    <t>0254</t>
  </si>
  <si>
    <t>Rochelle Park Township</t>
  </si>
  <si>
    <t>Rochelle Park Township, Bergen County</t>
  </si>
  <si>
    <t>Rochelle Park</t>
  </si>
  <si>
    <t>1434</t>
  </si>
  <si>
    <t>Rockaway Borough</t>
  </si>
  <si>
    <t>Rockaway Borough, Morris County</t>
  </si>
  <si>
    <t>Rockaway</t>
  </si>
  <si>
    <t>1435</t>
  </si>
  <si>
    <t>Rockaway Township</t>
  </si>
  <si>
    <t>Rockaway Township, Morris County</t>
  </si>
  <si>
    <t>0255</t>
  </si>
  <si>
    <t>Rockleigh Borough</t>
  </si>
  <si>
    <t>Rockleigh Borough, Bergen County</t>
  </si>
  <si>
    <t>Rockleigh</t>
  </si>
  <si>
    <t>1817</t>
  </si>
  <si>
    <t>Rocky Hill Borough</t>
  </si>
  <si>
    <t>Rocky Hill Borough, Somerset County</t>
  </si>
  <si>
    <t>Rocky Hill</t>
  </si>
  <si>
    <t>1341</t>
  </si>
  <si>
    <t>Roosevelt Borough</t>
  </si>
  <si>
    <t>Roosevelt Borough, Monmouth County</t>
  </si>
  <si>
    <t>Roosevelt</t>
  </si>
  <si>
    <t>0718</t>
  </si>
  <si>
    <t>Roseland Borough</t>
  </si>
  <si>
    <t>Roseland Borough, Essex County</t>
  </si>
  <si>
    <t>Roseland</t>
  </si>
  <si>
    <t>2014</t>
  </si>
  <si>
    <t>Roselle Borough</t>
  </si>
  <si>
    <t>Roselle Borough, Union County</t>
  </si>
  <si>
    <t>Roselle</t>
  </si>
  <si>
    <t>2015</t>
  </si>
  <si>
    <t>Roselle Park Borough</t>
  </si>
  <si>
    <t>Roselle Park Borough, Union County</t>
  </si>
  <si>
    <t>Roselle Park</t>
  </si>
  <si>
    <t>1436</t>
  </si>
  <si>
    <t>Roxbury Township</t>
  </si>
  <si>
    <t>Roxbury Township, Morris County</t>
  </si>
  <si>
    <t>Roxbury</t>
  </si>
  <si>
    <t>1342</t>
  </si>
  <si>
    <t>Rumson Borough</t>
  </si>
  <si>
    <t>Rumson Borough, Monmouth County</t>
  </si>
  <si>
    <t>Rumson</t>
  </si>
  <si>
    <t>0430</t>
  </si>
  <si>
    <t>Runnemede Borough</t>
  </si>
  <si>
    <t>Runnemede Borough, Camden County</t>
  </si>
  <si>
    <t>Runnemede</t>
  </si>
  <si>
    <t>0256</t>
  </si>
  <si>
    <t>Rutherford Borough</t>
  </si>
  <si>
    <t>Rutherford Borough, Bergen County</t>
  </si>
  <si>
    <t>Rutherford</t>
  </si>
  <si>
    <t>0257</t>
  </si>
  <si>
    <t>Saddle Brook Township</t>
  </si>
  <si>
    <t>Saddle Brook Township, Bergen County</t>
  </si>
  <si>
    <t>Saddle Brook</t>
  </si>
  <si>
    <t>0258</t>
  </si>
  <si>
    <t>Saddle River Borough</t>
  </si>
  <si>
    <t>Saddle River Borough, Bergen County</t>
  </si>
  <si>
    <t>Saddle River</t>
  </si>
  <si>
    <t>1712</t>
  </si>
  <si>
    <t>Salem City</t>
  </si>
  <si>
    <t>Salem City, Salem County</t>
  </si>
  <si>
    <t>1917</t>
  </si>
  <si>
    <t>Sandyston Township</t>
  </si>
  <si>
    <t>Sandyston Township, Sussex County</t>
  </si>
  <si>
    <t>Sandyston</t>
  </si>
  <si>
    <t>1219</t>
  </si>
  <si>
    <t>Sayreville Borough</t>
  </si>
  <si>
    <t>Sayreville Borough, Middlesex County</t>
  </si>
  <si>
    <t>Sayreville</t>
  </si>
  <si>
    <t>2016</t>
  </si>
  <si>
    <t>Scotch Plains Township</t>
  </si>
  <si>
    <t>Scotch Plains Township, Union County</t>
  </si>
  <si>
    <t>Scotch Plains</t>
  </si>
  <si>
    <t>1343</t>
  </si>
  <si>
    <t>Sea Bright Borough</t>
  </si>
  <si>
    <t>Sea Bright Borough, Monmouth County</t>
  </si>
  <si>
    <t>Sea Bright</t>
  </si>
  <si>
    <t>1344</t>
  </si>
  <si>
    <t>Sea Girt Borough</t>
  </si>
  <si>
    <t>Sea Girt Borough, Monmouth County</t>
  </si>
  <si>
    <t>Sea Girt</t>
  </si>
  <si>
    <t>0509</t>
  </si>
  <si>
    <t>Sea Isle City</t>
  </si>
  <si>
    <t>Sea Isle City, Cape May County</t>
  </si>
  <si>
    <t>1526</t>
  </si>
  <si>
    <t>Seaside Heights Borough</t>
  </si>
  <si>
    <t>Seaside Heights Borough, Ocean County</t>
  </si>
  <si>
    <t>Seaside Heights</t>
  </si>
  <si>
    <t>1527</t>
  </si>
  <si>
    <t>Seaside Park Borough</t>
  </si>
  <si>
    <t>Seaside Park Borough, Ocean County</t>
  </si>
  <si>
    <t>Seaside Park</t>
  </si>
  <si>
    <t>0909</t>
  </si>
  <si>
    <t>Secaucus Town</t>
  </si>
  <si>
    <t>Secaucus Town, Hudson County</t>
  </si>
  <si>
    <t>Secaucus</t>
  </si>
  <si>
    <t>0332</t>
  </si>
  <si>
    <t>Shamong Township</t>
  </si>
  <si>
    <t>Shamong Township, Burlington County</t>
  </si>
  <si>
    <t>Shamong</t>
  </si>
  <si>
    <t>0611</t>
  </si>
  <si>
    <t>Shiloh Borough</t>
  </si>
  <si>
    <t>Shiloh Borough, Cumberland County</t>
  </si>
  <si>
    <t>Shiloh</t>
  </si>
  <si>
    <t>1528</t>
  </si>
  <si>
    <t>Ship Bottom Borough</t>
  </si>
  <si>
    <t>Ship Bottom Borough, Ocean County</t>
  </si>
  <si>
    <t>Ship Bottom</t>
  </si>
  <si>
    <t>1345</t>
  </si>
  <si>
    <t>Shrewsbury Borough</t>
  </si>
  <si>
    <t>Shrewsbury Borough, Monmouth County</t>
  </si>
  <si>
    <t>Shrewsbury</t>
  </si>
  <si>
    <t>1346</t>
  </si>
  <si>
    <t>Shrewsbury Township</t>
  </si>
  <si>
    <t>Shrewsbury Township, Monmouth County</t>
  </si>
  <si>
    <t>0431</t>
  </si>
  <si>
    <t>Somerdale Borough</t>
  </si>
  <si>
    <t>Somerdale Borough, Camden County</t>
  </si>
  <si>
    <t>Somerdale</t>
  </si>
  <si>
    <t>0121</t>
  </si>
  <si>
    <t>Somers Point City</t>
  </si>
  <si>
    <t>Somers Point City, Atlantic County</t>
  </si>
  <si>
    <t>Somers Point</t>
  </si>
  <si>
    <t>1818</t>
  </si>
  <si>
    <t>Somerville Borough</t>
  </si>
  <si>
    <t>Somerville Borough, Somerset County</t>
  </si>
  <si>
    <t>Somerville</t>
  </si>
  <si>
    <t>1220</t>
  </si>
  <si>
    <t>South Amboy City</t>
  </si>
  <si>
    <t>South Amboy City, Middlesex County</t>
  </si>
  <si>
    <t>South Amboy</t>
  </si>
  <si>
    <t>1819</t>
  </si>
  <si>
    <t>South Bound Brook Borough</t>
  </si>
  <si>
    <t>South Bound Brook Borough, Somerset County</t>
  </si>
  <si>
    <t>South Bound Brook</t>
  </si>
  <si>
    <t>1221</t>
  </si>
  <si>
    <t>South Brunswick Township</t>
  </si>
  <si>
    <t>South Brunswick Township, Middlesex County</t>
  </si>
  <si>
    <t>South Brunswick</t>
  </si>
  <si>
    <t>0259</t>
  </si>
  <si>
    <t>South Hackensack Township</t>
  </si>
  <si>
    <t>South Hackensack Township, Bergen County</t>
  </si>
  <si>
    <t>South Hackensack</t>
  </si>
  <si>
    <t>0816</t>
  </si>
  <si>
    <t>South Harrison Township</t>
  </si>
  <si>
    <t>South Harrison Township, Gloucester County</t>
  </si>
  <si>
    <t>South Harrison</t>
  </si>
  <si>
    <t>0719</t>
  </si>
  <si>
    <t>South Orange Village</t>
  </si>
  <si>
    <t>South Orange Village, Essex County</t>
  </si>
  <si>
    <t>Trustees</t>
  </si>
  <si>
    <t>President -6 Trustees</t>
  </si>
  <si>
    <t>1222</t>
  </si>
  <si>
    <t>South Plainfield Borough</t>
  </si>
  <si>
    <t>South Plainfield Borough, Middlesex County</t>
  </si>
  <si>
    <t>South Plainfield</t>
  </si>
  <si>
    <t>1223</t>
  </si>
  <si>
    <t>South River Borough</t>
  </si>
  <si>
    <t>South River Borough, Middlesex County</t>
  </si>
  <si>
    <t>South River</t>
  </si>
  <si>
    <t>1529</t>
  </si>
  <si>
    <t>South Toms River Borough</t>
  </si>
  <si>
    <t>South Toms River Borough, Ocean County</t>
  </si>
  <si>
    <t>South Toms River</t>
  </si>
  <si>
    <t>0333</t>
  </si>
  <si>
    <t>Southampton Township</t>
  </si>
  <si>
    <t>Southampton Township, Burlington County</t>
  </si>
  <si>
    <t>Southampton</t>
  </si>
  <si>
    <t>1918</t>
  </si>
  <si>
    <t>Sparta Township</t>
  </si>
  <si>
    <t>Sparta Township, Sussex County</t>
  </si>
  <si>
    <t>Sparta</t>
  </si>
  <si>
    <t>1224</t>
  </si>
  <si>
    <t>Spotswood Borough</t>
  </si>
  <si>
    <t>Spotswood Borough, Middlesex County</t>
  </si>
  <si>
    <t>Spotswood</t>
  </si>
  <si>
    <t>1348</t>
  </si>
  <si>
    <t>Spring Lake Borough</t>
  </si>
  <si>
    <t>Spring Lake Borough, Monmouth County</t>
  </si>
  <si>
    <t>Spring Lake</t>
  </si>
  <si>
    <t>1349</t>
  </si>
  <si>
    <t>Spring Lake Heights Borough</t>
  </si>
  <si>
    <t>Spring Lake Heights Borough, Monmouth County</t>
  </si>
  <si>
    <t>Spring Lake Heights</t>
  </si>
  <si>
    <t>0334</t>
  </si>
  <si>
    <t>Springfield Township</t>
  </si>
  <si>
    <t>Springfield Township, Burlington County</t>
  </si>
  <si>
    <t>Springfield</t>
  </si>
  <si>
    <t>2017</t>
  </si>
  <si>
    <t>Springfield Township, Union County</t>
  </si>
  <si>
    <t>1530</t>
  </si>
  <si>
    <t>Stafford Township</t>
  </si>
  <si>
    <t>Stafford Township, Ocean County</t>
  </si>
  <si>
    <t>Stafford</t>
  </si>
  <si>
    <t>1919</t>
  </si>
  <si>
    <t>Stanhope Borough</t>
  </si>
  <si>
    <t>Stanhope Borough, Sussex County</t>
  </si>
  <si>
    <t>Stanhope</t>
  </si>
  <si>
    <t>1920</t>
  </si>
  <si>
    <t>Stillwater Township</t>
  </si>
  <si>
    <t>Stillwater Township, Sussex County</t>
  </si>
  <si>
    <t>Stillwater</t>
  </si>
  <si>
    <t>1023</t>
  </si>
  <si>
    <t>Stockton Borough</t>
  </si>
  <si>
    <t>Stockton Borough, Hunterdon County</t>
  </si>
  <si>
    <t>Stockton</t>
  </si>
  <si>
    <t>0510</t>
  </si>
  <si>
    <t>Stone Harbor Borough</t>
  </si>
  <si>
    <t>Stone Harbor Borough, Cape May County</t>
  </si>
  <si>
    <t>Stone Harbor</t>
  </si>
  <si>
    <t>0612</t>
  </si>
  <si>
    <t>Stow Creek Township</t>
  </si>
  <si>
    <t>Stow Creek Township, Cumberland County</t>
  </si>
  <si>
    <t>Stow Creek</t>
  </si>
  <si>
    <t>0432</t>
  </si>
  <si>
    <t>Stratford Borough</t>
  </si>
  <si>
    <t>Stratford Borough, Camden County</t>
  </si>
  <si>
    <t>Stratford</t>
  </si>
  <si>
    <t>2018</t>
  </si>
  <si>
    <t>Summit City</t>
  </si>
  <si>
    <t>Summit City, Union County</t>
  </si>
  <si>
    <t>Summit</t>
  </si>
  <si>
    <t>1531</t>
  </si>
  <si>
    <t>Surf City Borough</t>
  </si>
  <si>
    <t>Surf City Borough, Ocean County</t>
  </si>
  <si>
    <t>Surf City</t>
  </si>
  <si>
    <t>Surf</t>
  </si>
  <si>
    <t>1921</t>
  </si>
  <si>
    <t>Sussex Borough</t>
  </si>
  <si>
    <t>Sussex Borough, Sussex County</t>
  </si>
  <si>
    <t>0817</t>
  </si>
  <si>
    <t>Swedesboro Borough</t>
  </si>
  <si>
    <t>Swedesboro Borough, Gloucester County</t>
  </si>
  <si>
    <t>Swedesboro</t>
  </si>
  <si>
    <t>0335</t>
  </si>
  <si>
    <t>Tabernacle Township</t>
  </si>
  <si>
    <t>Tabernacle Township, Burlington County</t>
  </si>
  <si>
    <t>Tabernacle</t>
  </si>
  <si>
    <t>0433</t>
  </si>
  <si>
    <t>Tavistock Borough</t>
  </si>
  <si>
    <t>Tavistock Borough, Camden County</t>
  </si>
  <si>
    <t>Tavistock</t>
  </si>
  <si>
    <t>0260</t>
  </si>
  <si>
    <t>Teaneck Township</t>
  </si>
  <si>
    <t>Teaneck Township, Bergen County</t>
  </si>
  <si>
    <t>Teaneck</t>
  </si>
  <si>
    <t>0261</t>
  </si>
  <si>
    <t>Tenafly Borough</t>
  </si>
  <si>
    <t>Tenafly Borough, Bergen County</t>
  </si>
  <si>
    <t>Tenafly</t>
  </si>
  <si>
    <t>0262</t>
  </si>
  <si>
    <t>Teterboro Borough</t>
  </si>
  <si>
    <t>Teterboro Borough, Bergen County</t>
  </si>
  <si>
    <t>Teterboro</t>
  </si>
  <si>
    <t>1024</t>
  </si>
  <si>
    <t>Tewksbury Township</t>
  </si>
  <si>
    <t>Tewksbury Township, Hunterdon County</t>
  </si>
  <si>
    <t>Tewksbury</t>
  </si>
  <si>
    <t>1336</t>
  </si>
  <si>
    <t>Tinton Falls Borough</t>
  </si>
  <si>
    <t>Tinton Falls Borough, Monmouth County</t>
  </si>
  <si>
    <t>Tinton Falls</t>
  </si>
  <si>
    <t>1507</t>
  </si>
  <si>
    <t>Toms River Township</t>
  </si>
  <si>
    <t>Toms River Township, Ocean County</t>
  </si>
  <si>
    <t>Toms River</t>
  </si>
  <si>
    <t>1612</t>
  </si>
  <si>
    <t>Totowa Borough</t>
  </si>
  <si>
    <t>Totowa Borough, Passaic County</t>
  </si>
  <si>
    <t>Totowa</t>
  </si>
  <si>
    <t>1111</t>
  </si>
  <si>
    <t>Trenton City</t>
  </si>
  <si>
    <t>Trenton City, Mercer County</t>
  </si>
  <si>
    <t>Trenton</t>
  </si>
  <si>
    <t>1532</t>
  </si>
  <si>
    <t>Tuckerton Borough</t>
  </si>
  <si>
    <t>Tuckerton Borough, Ocean County</t>
  </si>
  <si>
    <t>Tuckerton</t>
  </si>
  <si>
    <t>1350</t>
  </si>
  <si>
    <t>Union Beach Borough</t>
  </si>
  <si>
    <t>Union Beach Borough, Monmouth County</t>
  </si>
  <si>
    <t>Union Beach</t>
  </si>
  <si>
    <t>0910</t>
  </si>
  <si>
    <t>Union City City</t>
  </si>
  <si>
    <t>Union City City, Hudson County</t>
  </si>
  <si>
    <t>Union City</t>
  </si>
  <si>
    <t>1025</t>
  </si>
  <si>
    <t>Union Township</t>
  </si>
  <si>
    <t>Union Township, Hunterdon County</t>
  </si>
  <si>
    <t>2019</t>
  </si>
  <si>
    <t>Union Township, Union County</t>
  </si>
  <si>
    <t>0613</t>
  </si>
  <si>
    <t>Upper Deerfield Township</t>
  </si>
  <si>
    <t>Upper Deerfield Township, Cumberland County</t>
  </si>
  <si>
    <t>Upper Deerfield</t>
  </si>
  <si>
    <t>1351</t>
  </si>
  <si>
    <t>Upper Freehold Township</t>
  </si>
  <si>
    <t>Upper Freehold Township, Monmouth County</t>
  </si>
  <si>
    <t>Upper Freehold</t>
  </si>
  <si>
    <t>1714</t>
  </si>
  <si>
    <t>Upper Pittsgrove Township</t>
  </si>
  <si>
    <t>Upper Pittsgrove Township, Salem County</t>
  </si>
  <si>
    <t>Upper Pittsgrove</t>
  </si>
  <si>
    <t>0263</t>
  </si>
  <si>
    <t>Upper Saddle River Borough</t>
  </si>
  <si>
    <t>Upper Saddle River Borough, Bergen County</t>
  </si>
  <si>
    <t>Upper Saddle River</t>
  </si>
  <si>
    <t>0511</t>
  </si>
  <si>
    <t>Upper Township</t>
  </si>
  <si>
    <t>Upper Township, Cape May County</t>
  </si>
  <si>
    <t>Upper</t>
  </si>
  <si>
    <t>0122</t>
  </si>
  <si>
    <t>Ventnor City</t>
  </si>
  <si>
    <t>Ventnor City, Atlantic County</t>
  </si>
  <si>
    <t>1922</t>
  </si>
  <si>
    <t>Vernon Township</t>
  </si>
  <si>
    <t>Vernon Township, Sussex County</t>
  </si>
  <si>
    <t>Vernon</t>
  </si>
  <si>
    <t>0720</t>
  </si>
  <si>
    <t>Verona Township</t>
  </si>
  <si>
    <t>Verona Township, Essex County</t>
  </si>
  <si>
    <t>Verona</t>
  </si>
  <si>
    <t>1437</t>
  </si>
  <si>
    <t>Victory Gardens Borough</t>
  </si>
  <si>
    <t>Victory Gardens Borough, Morris County</t>
  </si>
  <si>
    <t>Victory Gardens</t>
  </si>
  <si>
    <t>0614</t>
  </si>
  <si>
    <t>Vineland City</t>
  </si>
  <si>
    <t>Vineland City, Cumberland County</t>
  </si>
  <si>
    <t>Vineland</t>
  </si>
  <si>
    <t>0434</t>
  </si>
  <si>
    <t>Voorhees Township</t>
  </si>
  <si>
    <t>Voorhees Township, Camden County</t>
  </si>
  <si>
    <t>Voorhees</t>
  </si>
  <si>
    <t>0264</t>
  </si>
  <si>
    <t>Waldwick Borough</t>
  </si>
  <si>
    <t>Waldwick Borough, Bergen County</t>
  </si>
  <si>
    <t>Waldwick</t>
  </si>
  <si>
    <t>1352</t>
  </si>
  <si>
    <t>Wall Township</t>
  </si>
  <si>
    <t>Wall Township, Monmouth County</t>
  </si>
  <si>
    <t>Wall</t>
  </si>
  <si>
    <t>0265</t>
  </si>
  <si>
    <t>Wallington Borough</t>
  </si>
  <si>
    <t>Wallington Borough, Bergen County</t>
  </si>
  <si>
    <t>Wallington</t>
  </si>
  <si>
    <t>1923</t>
  </si>
  <si>
    <t>Walpack Township</t>
  </si>
  <si>
    <t>Walpack Township, Sussex County</t>
  </si>
  <si>
    <t>Walpack</t>
  </si>
  <si>
    <t>1613</t>
  </si>
  <si>
    <t>Wanaque Borough</t>
  </si>
  <si>
    <t>Wanaque Borough, Passaic County</t>
  </si>
  <si>
    <t>Wanaque</t>
  </si>
  <si>
    <t>1924</t>
  </si>
  <si>
    <t>Wantage Township</t>
  </si>
  <si>
    <t>Wantage Township, Sussex County</t>
  </si>
  <si>
    <t>Wantage</t>
  </si>
  <si>
    <t>1820</t>
  </si>
  <si>
    <t>Warren Township</t>
  </si>
  <si>
    <t>Warren Township, Somerset County</t>
  </si>
  <si>
    <t>2121</t>
  </si>
  <si>
    <t>Washington Borough</t>
  </si>
  <si>
    <t>Washington Borough, Warren County</t>
  </si>
  <si>
    <t>Washington</t>
  </si>
  <si>
    <t>0266</t>
  </si>
  <si>
    <t>Washington Township</t>
  </si>
  <si>
    <t>Washington Township, Bergen County</t>
  </si>
  <si>
    <t>0336</t>
  </si>
  <si>
    <t>Washington Township, Burlington County</t>
  </si>
  <si>
    <t>0818</t>
  </si>
  <si>
    <t>Washington Township, Gloucester County</t>
  </si>
  <si>
    <t>1438</t>
  </si>
  <si>
    <t>Washington Township, Morris County</t>
  </si>
  <si>
    <t>2122</t>
  </si>
  <si>
    <t>Washington Township, Warren County</t>
  </si>
  <si>
    <t>1821</t>
  </si>
  <si>
    <t>Watchung Borough</t>
  </si>
  <si>
    <t>Watchung Borough, Somerset County</t>
  </si>
  <si>
    <t>Watchung</t>
  </si>
  <si>
    <t>0435</t>
  </si>
  <si>
    <t>Waterford Township</t>
  </si>
  <si>
    <t>Waterford Township, Camden County</t>
  </si>
  <si>
    <t>Waterford</t>
  </si>
  <si>
    <t>1614</t>
  </si>
  <si>
    <t>Wayne Township</t>
  </si>
  <si>
    <t>Wayne Township, Passaic County</t>
  </si>
  <si>
    <t>Wayne</t>
  </si>
  <si>
    <t>0911</t>
  </si>
  <si>
    <t>Weehawken Township</t>
  </si>
  <si>
    <t>Weehawken Township, Hudson County</t>
  </si>
  <si>
    <t>Weehawken</t>
  </si>
  <si>
    <t>0819</t>
  </si>
  <si>
    <t>Wenonah Borough</t>
  </si>
  <si>
    <t>Wenonah Borough, Gloucester County</t>
  </si>
  <si>
    <t>Wenonah</t>
  </si>
  <si>
    <t>1026</t>
  </si>
  <si>
    <t>West Amwell Township</t>
  </si>
  <si>
    <t>West Amwell Township, Hunterdon County</t>
  </si>
  <si>
    <t>West Amwell</t>
  </si>
  <si>
    <t>0721</t>
  </si>
  <si>
    <t>West Caldwell Township</t>
  </si>
  <si>
    <t>West Caldwell Township, Essex County</t>
  </si>
  <si>
    <t>West Caldwell</t>
  </si>
  <si>
    <t>0512</t>
  </si>
  <si>
    <t>West Cape May Borough</t>
  </si>
  <si>
    <t>West Cape May Borough, Cape May County</t>
  </si>
  <si>
    <t>West Cape May</t>
  </si>
  <si>
    <t>0820</t>
  </si>
  <si>
    <t>West Deptford Township</t>
  </si>
  <si>
    <t>West Deptford Township, Gloucester County</t>
  </si>
  <si>
    <t>West Deptford</t>
  </si>
  <si>
    <t>1353</t>
  </si>
  <si>
    <t>West Long Branch Borough</t>
  </si>
  <si>
    <t>West Long Branch Borough, Monmouth County</t>
  </si>
  <si>
    <t>West Long Branch</t>
  </si>
  <si>
    <t>1615</t>
  </si>
  <si>
    <t>West Milford Township</t>
  </si>
  <si>
    <t>West Milford Township, Passaic County</t>
  </si>
  <si>
    <t>West Milford</t>
  </si>
  <si>
    <t>0912</t>
  </si>
  <si>
    <t>West New York Town</t>
  </si>
  <si>
    <t>West New York Town, Hudson County</t>
  </si>
  <si>
    <t>West New York</t>
  </si>
  <si>
    <t>0722</t>
  </si>
  <si>
    <t>West Orange Township</t>
  </si>
  <si>
    <t>West Orange Township, Essex County</t>
  </si>
  <si>
    <t>West Orange</t>
  </si>
  <si>
    <t>0513</t>
  </si>
  <si>
    <t>West Wildwood Borough</t>
  </si>
  <si>
    <t>West Wildwood Borough, Cape May County</t>
  </si>
  <si>
    <t>West Wildwood</t>
  </si>
  <si>
    <t>1113</t>
  </si>
  <si>
    <t>West Windsor Township</t>
  </si>
  <si>
    <t>West Windsor Township, Mercer County</t>
  </si>
  <si>
    <t>West Windsor</t>
  </si>
  <si>
    <t>0337</t>
  </si>
  <si>
    <t>Westampton Township</t>
  </si>
  <si>
    <t>Westampton Township, Burlington County</t>
  </si>
  <si>
    <t>Westampton</t>
  </si>
  <si>
    <t>Westfield Town</t>
  </si>
  <si>
    <t>Westfield Town, Union County</t>
  </si>
  <si>
    <t>Westfield</t>
  </si>
  <si>
    <t>0821</t>
  </si>
  <si>
    <t>Westville Borough</t>
  </si>
  <si>
    <t>Westville Borough, Gloucester County</t>
  </si>
  <si>
    <t>Westville</t>
  </si>
  <si>
    <t>0267</t>
  </si>
  <si>
    <t>Westwood Borough</t>
  </si>
  <si>
    <t>Westwood Borough, Bergen County</t>
  </si>
  <si>
    <t>Westwood</t>
  </si>
  <si>
    <t>0123</t>
  </si>
  <si>
    <t>Weymouth Township</t>
  </si>
  <si>
    <t>Weymouth Township, Atlantic County</t>
  </si>
  <si>
    <t>Weymouth</t>
  </si>
  <si>
    <t>1439</t>
  </si>
  <si>
    <t>Wharton Borough</t>
  </si>
  <si>
    <t>Wharton Borough, Morris County</t>
  </si>
  <si>
    <t>Wharton</t>
  </si>
  <si>
    <t>2123</t>
  </si>
  <si>
    <t>White Township</t>
  </si>
  <si>
    <t>White Township, Warren County</t>
  </si>
  <si>
    <t>White</t>
  </si>
  <si>
    <t>0514</t>
  </si>
  <si>
    <t>Wildwood City</t>
  </si>
  <si>
    <t>Wildwood City, Cape May County</t>
  </si>
  <si>
    <t>Wildwood</t>
  </si>
  <si>
    <t>0515</t>
  </si>
  <si>
    <t>Wildwood Crest Borough</t>
  </si>
  <si>
    <t>Wildwood Crest Borough, Cape May County</t>
  </si>
  <si>
    <t>Wildwood Crest</t>
  </si>
  <si>
    <t>0338</t>
  </si>
  <si>
    <t>Willingboro Township</t>
  </si>
  <si>
    <t>Willingboro Township, Burlington County</t>
  </si>
  <si>
    <t>Willingboro</t>
  </si>
  <si>
    <t>2021</t>
  </si>
  <si>
    <t>Winfield Township</t>
  </si>
  <si>
    <t>Winfield Township, Union County</t>
  </si>
  <si>
    <t>Winfield</t>
  </si>
  <si>
    <t>0436</t>
  </si>
  <si>
    <t>Winslow Township</t>
  </si>
  <si>
    <t>Winslow Township, Camden County</t>
  </si>
  <si>
    <t>Winslow</t>
  </si>
  <si>
    <t>Mayor-8 Committee Members</t>
  </si>
  <si>
    <t>0516</t>
  </si>
  <si>
    <t>Woodbine Borough</t>
  </si>
  <si>
    <t>Woodbine Borough, Cape May County</t>
  </si>
  <si>
    <t>Woodbine</t>
  </si>
  <si>
    <t>1225</t>
  </si>
  <si>
    <t>Woodbridge Township</t>
  </si>
  <si>
    <t>Woodbridge Township, Middlesex County</t>
  </si>
  <si>
    <t>Woodbridge</t>
  </si>
  <si>
    <t>0822</t>
  </si>
  <si>
    <t>Woodbury City</t>
  </si>
  <si>
    <t>Woodbury City, Gloucester County</t>
  </si>
  <si>
    <t>Woodbury</t>
  </si>
  <si>
    <t>0823</t>
  </si>
  <si>
    <t>Woodbury Heights Borough</t>
  </si>
  <si>
    <t>Woodbury Heights Borough, Gloucester County</t>
  </si>
  <si>
    <t>Woodbury Heights</t>
  </si>
  <si>
    <t>0268</t>
  </si>
  <si>
    <t>Woodcliff Lake Borough</t>
  </si>
  <si>
    <t>Woodcliff Lake Borough, Bergen County</t>
  </si>
  <si>
    <t>Woodcliff Lake</t>
  </si>
  <si>
    <t>1616</t>
  </si>
  <si>
    <t>Woodland Park Borough</t>
  </si>
  <si>
    <t>Woodland Park Borough, Passaic County</t>
  </si>
  <si>
    <t>Woodland Park</t>
  </si>
  <si>
    <t>0339</t>
  </si>
  <si>
    <t>Woodland Township</t>
  </si>
  <si>
    <t>Woodland Township, Burlington County</t>
  </si>
  <si>
    <t>Woodland</t>
  </si>
  <si>
    <t>0437</t>
  </si>
  <si>
    <t>Woodlynne Borough</t>
  </si>
  <si>
    <t>Woodlynne Borough, Camden County</t>
  </si>
  <si>
    <t>Woodlynne</t>
  </si>
  <si>
    <t>0269</t>
  </si>
  <si>
    <t>Wood-Ridge Borough</t>
  </si>
  <si>
    <t>Wood-Ridge Borough, Bergen County</t>
  </si>
  <si>
    <t>Wood-Ridge</t>
  </si>
  <si>
    <t>1715</t>
  </si>
  <si>
    <t>Woodstown Borough</t>
  </si>
  <si>
    <t>Woodstown Borough, Salem County</t>
  </si>
  <si>
    <t>Woodstown</t>
  </si>
  <si>
    <t>0824</t>
  </si>
  <si>
    <t>Woolwich Township</t>
  </si>
  <si>
    <t>Woolwich Township, Gloucester County</t>
  </si>
  <si>
    <t>Woolwich</t>
  </si>
  <si>
    <t>0340</t>
  </si>
  <si>
    <t>Wrightstown Borough</t>
  </si>
  <si>
    <t>Wrightstown Borough, Burlington County</t>
  </si>
  <si>
    <t>Wrightstown</t>
  </si>
  <si>
    <t>0270</t>
  </si>
  <si>
    <t>Wyckoff Township</t>
  </si>
  <si>
    <t>Wyckoff Township, Bergen County</t>
  </si>
  <si>
    <t>Wyckoff</t>
  </si>
  <si>
    <t>Municipal Code</t>
  </si>
  <si>
    <t xml:space="preserve">c) </t>
  </si>
  <si>
    <t>Minimum Library Tax</t>
  </si>
  <si>
    <t>07-192</t>
  </si>
  <si>
    <t>New Construction</t>
  </si>
  <si>
    <t>Divided by 100</t>
  </si>
  <si>
    <t>Addition Amount</t>
  </si>
  <si>
    <t>c) Minimum Library Tax</t>
  </si>
  <si>
    <t>(c) Minimum Library Tax</t>
  </si>
  <si>
    <t>Appropriations Offset by Increased Fee Revenues        (N.J.A.C. 5:23-4.17)</t>
  </si>
  <si>
    <t xml:space="preserve">Date of Original Appt. </t>
  </si>
  <si>
    <t>Utility #</t>
  </si>
  <si>
    <t>Utility Type</t>
  </si>
  <si>
    <t>Utility 1</t>
  </si>
  <si>
    <t>Utility 2</t>
  </si>
  <si>
    <t>Utility 3</t>
  </si>
  <si>
    <t>Utility 4</t>
  </si>
  <si>
    <t>Utility 5</t>
  </si>
  <si>
    <t>Utility 6</t>
  </si>
  <si>
    <t>Municipal Open Space</t>
  </si>
  <si>
    <t>Date of Public Hearing</t>
  </si>
  <si>
    <t>Time of Public Hearing</t>
  </si>
  <si>
    <t>Sheet  4b</t>
  </si>
  <si>
    <t>Sheet  9d</t>
  </si>
  <si>
    <t>Sheet  9c</t>
  </si>
  <si>
    <t>Sheet  9b</t>
  </si>
  <si>
    <t>Sheet  10b</t>
  </si>
  <si>
    <t>Sheet  10c</t>
  </si>
  <si>
    <t>Sheet  10d</t>
  </si>
  <si>
    <t>Sheet  10e</t>
  </si>
  <si>
    <t>Sheet  10f</t>
  </si>
  <si>
    <t>Sheet  10g</t>
  </si>
  <si>
    <t>Sheet  10h</t>
  </si>
  <si>
    <t>Sheet  10i</t>
  </si>
  <si>
    <t>Sheet  10j</t>
  </si>
  <si>
    <t>Utility Assessment (Tab 38)</t>
  </si>
  <si>
    <t>Utility Assessment (Tab 37)</t>
  </si>
  <si>
    <t>Sheet  17a</t>
  </si>
  <si>
    <t>(D)  Municipal Debt Service  -  Excluded from "CAPS" (cont.)</t>
  </si>
  <si>
    <t>Sheet  40b1</t>
  </si>
  <si>
    <t>Sheet  40c1</t>
  </si>
  <si>
    <t>Sheet  4c</t>
  </si>
  <si>
    <t>Sheet  9e</t>
  </si>
  <si>
    <t>Sheet  9f</t>
  </si>
  <si>
    <t>Sheet  9g</t>
  </si>
  <si>
    <t>Sheet  9h</t>
  </si>
  <si>
    <t>Sheet  9i</t>
  </si>
  <si>
    <t>Sheet  40d1</t>
  </si>
  <si>
    <t>Sheet  10l</t>
  </si>
  <si>
    <t>Sheet  10m</t>
  </si>
  <si>
    <t>Sheet  10n</t>
  </si>
  <si>
    <t>Sheet  15g</t>
  </si>
  <si>
    <t>Sheet  15h</t>
  </si>
  <si>
    <t>Sheet  15i</t>
  </si>
  <si>
    <t>Sheet  15j</t>
  </si>
  <si>
    <t>Sheet  15k</t>
  </si>
  <si>
    <t>Sheet  15l</t>
  </si>
  <si>
    <t>Sheet  15m</t>
  </si>
  <si>
    <t>Sheet  15n</t>
  </si>
  <si>
    <t>Sheet  18a</t>
  </si>
  <si>
    <t>Sheet  24b</t>
  </si>
  <si>
    <t>Sheet  24c</t>
  </si>
  <si>
    <t>Sheet  24d</t>
  </si>
  <si>
    <t>Sheet  24e</t>
  </si>
  <si>
    <t>Sheet  24f</t>
  </si>
  <si>
    <t>Sheet  24g</t>
  </si>
  <si>
    <t>Sheet  24h</t>
  </si>
  <si>
    <t>Sheet  24i</t>
  </si>
  <si>
    <t>Years Exceeding Max:</t>
  </si>
  <si>
    <t>Sheet  32a</t>
  </si>
  <si>
    <t>Sheet  32b</t>
  </si>
  <si>
    <t>COMPUTATION OF APPROPRIATION:</t>
  </si>
  <si>
    <t>RESERVE FOR UNCOLLECTED TAXES AND</t>
  </si>
  <si>
    <t>AMOUNT TO BE RAISED BY TAXATION</t>
  </si>
  <si>
    <t>Local District School Tax</t>
  </si>
  <si>
    <t>Regional School District Tax</t>
  </si>
  <si>
    <t>Regional High School Tax</t>
  </si>
  <si>
    <t>County Tax</t>
  </si>
  <si>
    <t>Special District Tax</t>
  </si>
  <si>
    <t>Estimate</t>
  </si>
  <si>
    <t>Total General Appropriations &amp; Other Taxes</t>
  </si>
  <si>
    <t xml:space="preserve">         Municipal Budget (Item 5)</t>
  </si>
  <si>
    <t>equals Amount to be Raised by Taxation (Percentage used must not exceed the applicable percentage shown by Item 13, Sheet 22)</t>
  </si>
  <si>
    <t>Local School District Tax (Line 2 Above)</t>
  </si>
  <si>
    <t>Regional School District Tax (Line 3 Above)</t>
  </si>
  <si>
    <t>Regional High School Tax (Line 4 Above)</t>
  </si>
  <si>
    <t>County Tax (Line 5 Above)</t>
  </si>
  <si>
    <t>Special District Tax (Line 6 Above)</t>
  </si>
  <si>
    <t>Municipal Open Space Tax (Line 7 Above)</t>
  </si>
  <si>
    <t>Tax in Local Municipal Budget</t>
  </si>
  <si>
    <t xml:space="preserve">Appropriation: Reserve for Uncollected Taxes (Budget </t>
  </si>
  <si>
    <t>Computation of "Tax in Local Municipal Budget"</t>
  </si>
  <si>
    <t>Item 1 - Total General Appropriations</t>
  </si>
  <si>
    <t>Amount to Be Raised by Taxation in Municipal Budget</t>
  </si>
  <si>
    <t>Sheet  40b2</t>
  </si>
  <si>
    <t>Sheet  40b3</t>
  </si>
  <si>
    <t>Sheet  40b4</t>
  </si>
  <si>
    <t>Sheet  40b5</t>
  </si>
  <si>
    <t>Sheet  40b6</t>
  </si>
  <si>
    <t>Sheet  40b7</t>
  </si>
  <si>
    <t>TOTAL  -  THIS  PAGE</t>
  </si>
  <si>
    <t>Sheet  40c2</t>
  </si>
  <si>
    <t>Capital Improvement Program</t>
  </si>
  <si>
    <t># of Years</t>
  </si>
  <si>
    <t>Beginning Year</t>
  </si>
  <si>
    <t>Ending Year</t>
  </si>
  <si>
    <t>Sheet  40c3</t>
  </si>
  <si>
    <t>Sheet  40c4</t>
  </si>
  <si>
    <t>Sheet  40c5</t>
  </si>
  <si>
    <t>Sheet  40c6</t>
  </si>
  <si>
    <t>Sheet  40c7</t>
  </si>
  <si>
    <t>Sheet  40d2</t>
  </si>
  <si>
    <t>Sheet  40d3</t>
  </si>
  <si>
    <t>Sheet  40d4</t>
  </si>
  <si>
    <t>Sheet  40d5</t>
  </si>
  <si>
    <t>Sheet  40d6</t>
  </si>
  <si>
    <t>Sheet  40d7</t>
  </si>
  <si>
    <t>XXXXXXXX</t>
  </si>
  <si>
    <t>It is hereby certified that the amounts to be raised by taxation for local purposes has been</t>
  </si>
  <si>
    <t>compared with the approved Budget previously certified by me and any changes required as a</t>
  </si>
  <si>
    <t xml:space="preserve">foregoing only. </t>
  </si>
  <si>
    <t>condition to such approval have been made. The adopted budget is certified with respect to the</t>
  </si>
  <si>
    <t>Prior Year's Local Purpose Tax Rate (per $100)</t>
  </si>
  <si>
    <t>Older Americans Act - Program Contributions; Municipal Alliance on Alcoholism and Drug Abuse - Program  Income:</t>
  </si>
  <si>
    <t xml:space="preserve">Officers; Unemployment Compensation Insurance; Reimbursement of Sale of Gasoline to State Automobiles; State Training Fees - Uniform Construction Code Act; </t>
  </si>
  <si>
    <t xml:space="preserve">Local Tax for Municipal Purpose </t>
  </si>
  <si>
    <t>Sheet 3a</t>
  </si>
  <si>
    <t>Budget Appropriations  Added by N.J.S.A. 40A:4-87</t>
  </si>
  <si>
    <t>is budgeted separately.</t>
  </si>
  <si>
    <t>Do not remove formula</t>
  </si>
  <si>
    <t>Defined Contribution Retirement Program (DCRP)</t>
  </si>
  <si>
    <t>Sheet  27a</t>
  </si>
  <si>
    <t>Resolution #</t>
  </si>
  <si>
    <t>(e) $</t>
  </si>
  <si>
    <t xml:space="preserve">  (Item 5 Below) Minimum Library Tax</t>
  </si>
  <si>
    <t>AMOUNT TO BE RAISED BY TAXATION MINIMUM LIBRARY TAX</t>
  </si>
  <si>
    <t xml:space="preserve">                     Type II School Districts only (N.J.S.A. 18A:9-3) and certification to the County Board of Taxation of</t>
  </si>
  <si>
    <t>(n) Transferred to Board of Education for Use of Local Schools  (N.J.S.A. 40:48-17.1 &amp; 17.3)</t>
  </si>
  <si>
    <t>and that public advertisement will be made in accordance with the provisions of N.J.S.A. 40A:4-6 and</t>
  </si>
  <si>
    <t>Local Budget Law, N.J.S.A. 40A:4-1 et seq.</t>
  </si>
  <si>
    <t>(a) Municipal Purposes {(Item  H-1, Sheet 19)(N.J.S.A. 40A:4-45.2)}</t>
  </si>
  <si>
    <t>(a) Municipal Purposes {(Item  H-2, Sheet 28)(N.J.S.A. 40A:4-53.3 as amended)}</t>
  </si>
  <si>
    <t>Offset with Appropriations  (N.J.S.A. 40A:4-36  and  N.J.A.C.  5:23-4.17)</t>
  </si>
  <si>
    <t>(N.J.S.A. 40A:4-45.3h and N.J.A.C. 5:23-4.17)</t>
  </si>
  <si>
    <t>Revenues Offset with Appropriations (N.J.S.A. 40A:4-45.3h):</t>
  </si>
  <si>
    <t>Additional Appropriations Offset by                                    Revenues  (N.J.S.A. 40A:4-45.3h)</t>
  </si>
  <si>
    <t>Total Additional Appropriations Offset by Revenues (N.J.S.A. 40A:4-45.3h)</t>
  </si>
  <si>
    <t>Special   Emergency   Authorization  -  5 Years (N.J.S.A.  40A:4-55)</t>
  </si>
  <si>
    <t>Special   Emergency   Authorization  -  3 Years (N.J.S.A.  40A:4-55.1 &amp; 40A:4-55.13)</t>
  </si>
  <si>
    <t>Capital Project for Land, Building or Equipment  N.J.S.A.  18A:22-20</t>
  </si>
  <si>
    <t>Dedication by Rider - (N.J.S.A. 40A: 4-39) dedicated revenues anticipated during the year 2020 from Animal Control State or Federal Aid for Maintenance of Libraries</t>
  </si>
  <si>
    <t xml:space="preserve">  (Item 3 below) for school purposes in Type I School Districts only (N.J.S.A. 18A:9-2) to be raised by taxation and,</t>
  </si>
  <si>
    <t>Item  6(b),  Sheet 11 (N.J.S.A. 40A:4-14)</t>
  </si>
  <si>
    <t>6. SCHOOL  APPROPRIATIONS  -  TYPE I  SCHOOL  DISTRICT  ONLY  (N.J.S.A. 40A:4-13)</t>
  </si>
  <si>
    <t>Sheet  7a</t>
  </si>
  <si>
    <t>Sheet  7b</t>
  </si>
  <si>
    <t>Sheet  22b</t>
  </si>
  <si>
    <t>Sheet  22a</t>
  </si>
  <si>
    <t>Canceled</t>
  </si>
  <si>
    <t>Total Cancelled</t>
  </si>
  <si>
    <t>Working Area</t>
  </si>
  <si>
    <t>54-101</t>
  </si>
  <si>
    <t>Tabs 4, 4a, 4b, 4c</t>
  </si>
  <si>
    <t>Tab 8</t>
  </si>
  <si>
    <t>Tab 5</t>
  </si>
  <si>
    <t>Tab 6</t>
  </si>
  <si>
    <t>Tabs 10 through 10n</t>
  </si>
  <si>
    <t>09-203</t>
  </si>
  <si>
    <t>11-102</t>
  </si>
  <si>
    <t>08-107</t>
  </si>
  <si>
    <t>09-204</t>
  </si>
  <si>
    <t>08-161</t>
  </si>
  <si>
    <t>11-103</t>
  </si>
  <si>
    <t>08-108</t>
  </si>
  <si>
    <t>09-206</t>
  </si>
  <si>
    <t>11-104</t>
  </si>
  <si>
    <t>08-118</t>
  </si>
  <si>
    <t>08-116</t>
  </si>
  <si>
    <t>09-207</t>
  </si>
  <si>
    <t>11-105</t>
  </si>
  <si>
    <t>08-120</t>
  </si>
  <si>
    <t>08-117</t>
  </si>
  <si>
    <t>09-208</t>
  </si>
  <si>
    <t>11-106</t>
  </si>
  <si>
    <t>08-123</t>
  </si>
  <si>
    <t>09-209</t>
  </si>
  <si>
    <t>11-107</t>
  </si>
  <si>
    <t>08-125</t>
  </si>
  <si>
    <t>09-210</t>
  </si>
  <si>
    <t>11-108</t>
  </si>
  <si>
    <t>08-129</t>
  </si>
  <si>
    <t>08-122</t>
  </si>
  <si>
    <t>09-213</t>
  </si>
  <si>
    <t>11-109</t>
  </si>
  <si>
    <t>08-134</t>
  </si>
  <si>
    <t>09-214</t>
  </si>
  <si>
    <t>11-110</t>
  </si>
  <si>
    <t>08-135</t>
  </si>
  <si>
    <t>08-124</t>
  </si>
  <si>
    <t>09-215</t>
  </si>
  <si>
    <t>11-111</t>
  </si>
  <si>
    <t>08-146</t>
  </si>
  <si>
    <t>09-221</t>
  </si>
  <si>
    <t>11-112</t>
  </si>
  <si>
    <t>08-210</t>
  </si>
  <si>
    <t>08-126</t>
  </si>
  <si>
    <t>11-113</t>
  </si>
  <si>
    <t>11-114</t>
  </si>
  <si>
    <t>08-130</t>
  </si>
  <si>
    <t>11-115</t>
  </si>
  <si>
    <t>08-132</t>
  </si>
  <si>
    <t>11-116</t>
  </si>
  <si>
    <t>08-133</t>
  </si>
  <si>
    <t>11-117</t>
  </si>
  <si>
    <t>11-118</t>
  </si>
  <si>
    <t>11-119</t>
  </si>
  <si>
    <t>11-120</t>
  </si>
  <si>
    <t>11-121</t>
  </si>
  <si>
    <t>08-225</t>
  </si>
  <si>
    <t>11-122</t>
  </si>
  <si>
    <t>08-227</t>
  </si>
  <si>
    <t>11-123</t>
  </si>
  <si>
    <t>08-228</t>
  </si>
  <si>
    <t>11-124</t>
  </si>
  <si>
    <t>08-229</t>
  </si>
  <si>
    <t>11-125</t>
  </si>
  <si>
    <t>08-240</t>
  </si>
  <si>
    <t>08-230</t>
  </si>
  <si>
    <t>08-241</t>
  </si>
  <si>
    <t>08-231</t>
  </si>
  <si>
    <t>08-242</t>
  </si>
  <si>
    <t>08-232</t>
  </si>
  <si>
    <t>08-243</t>
  </si>
  <si>
    <t>08-233</t>
  </si>
  <si>
    <t>08-244</t>
  </si>
  <si>
    <t>08-234</t>
  </si>
  <si>
    <t>08-245</t>
  </si>
  <si>
    <t>08-235</t>
  </si>
  <si>
    <t>08-246</t>
  </si>
  <si>
    <t>08-236</t>
  </si>
  <si>
    <t>08-247</t>
  </si>
  <si>
    <t>08-237</t>
  </si>
  <si>
    <t>08-248</t>
  </si>
  <si>
    <t>08-238</t>
  </si>
  <si>
    <t>08-249</t>
  </si>
  <si>
    <t>08-239</t>
  </si>
  <si>
    <t>08-250</t>
  </si>
  <si>
    <t>Municipal Library</t>
  </si>
  <si>
    <t>Sheet  16a</t>
  </si>
  <si>
    <t>Interest</t>
  </si>
  <si>
    <t>% of Tax Levy to Total Budget</t>
  </si>
  <si>
    <t>All 9</t>
  </si>
  <si>
    <t>all 24,25</t>
  </si>
  <si>
    <t>10-501</t>
  </si>
  <si>
    <t>41-501</t>
  </si>
  <si>
    <t>10-502</t>
  </si>
  <si>
    <t>41-502</t>
  </si>
  <si>
    <t>10-503</t>
  </si>
  <si>
    <t>41-503</t>
  </si>
  <si>
    <t>10-504</t>
  </si>
  <si>
    <t>41-504</t>
  </si>
  <si>
    <t>10-505</t>
  </si>
  <si>
    <t>41-505</t>
  </si>
  <si>
    <t>10-506</t>
  </si>
  <si>
    <t>41-506</t>
  </si>
  <si>
    <t>10-507</t>
  </si>
  <si>
    <t>41-507</t>
  </si>
  <si>
    <t>10-508</t>
  </si>
  <si>
    <t>41-508</t>
  </si>
  <si>
    <t>10-509</t>
  </si>
  <si>
    <t>41-509</t>
  </si>
  <si>
    <t>10-510</t>
  </si>
  <si>
    <t>41-510</t>
  </si>
  <si>
    <t>10-511</t>
  </si>
  <si>
    <t>41-511</t>
  </si>
  <si>
    <t>10-512</t>
  </si>
  <si>
    <t>41-512</t>
  </si>
  <si>
    <t>10-513</t>
  </si>
  <si>
    <t>41-513</t>
  </si>
  <si>
    <t>10-514</t>
  </si>
  <si>
    <t>41-514</t>
  </si>
  <si>
    <t>10-515</t>
  </si>
  <si>
    <t>41-515</t>
  </si>
  <si>
    <t>10-516</t>
  </si>
  <si>
    <t>41-516</t>
  </si>
  <si>
    <t>10-517</t>
  </si>
  <si>
    <t>41-517</t>
  </si>
  <si>
    <t>10-518</t>
  </si>
  <si>
    <t>41-518</t>
  </si>
  <si>
    <t>10-519</t>
  </si>
  <si>
    <t>41-519</t>
  </si>
  <si>
    <t>10-520</t>
  </si>
  <si>
    <t>41-520</t>
  </si>
  <si>
    <t>10-521</t>
  </si>
  <si>
    <t>41-521</t>
  </si>
  <si>
    <t>10-522</t>
  </si>
  <si>
    <t>41-522</t>
  </si>
  <si>
    <t>10-523</t>
  </si>
  <si>
    <t>41-523</t>
  </si>
  <si>
    <t>10-524</t>
  </si>
  <si>
    <t>41-524</t>
  </si>
  <si>
    <t>10-525</t>
  </si>
  <si>
    <t>41-525</t>
  </si>
  <si>
    <t>10-526</t>
  </si>
  <si>
    <t>41-526</t>
  </si>
  <si>
    <t>10-527</t>
  </si>
  <si>
    <t>41-527</t>
  </si>
  <si>
    <t>10-528</t>
  </si>
  <si>
    <t>41-528</t>
  </si>
  <si>
    <t>10-529</t>
  </si>
  <si>
    <t>41-529</t>
  </si>
  <si>
    <t>10-530</t>
  </si>
  <si>
    <t>41-530</t>
  </si>
  <si>
    <t>10-531</t>
  </si>
  <si>
    <t>41-531</t>
  </si>
  <si>
    <t>10-532</t>
  </si>
  <si>
    <t>41-532</t>
  </si>
  <si>
    <t>10-533</t>
  </si>
  <si>
    <t>41-533</t>
  </si>
  <si>
    <t>10-534</t>
  </si>
  <si>
    <t>41-534</t>
  </si>
  <si>
    <t>10-535</t>
  </si>
  <si>
    <t>41-535</t>
  </si>
  <si>
    <t>10-536</t>
  </si>
  <si>
    <t>41-536</t>
  </si>
  <si>
    <t>10-537</t>
  </si>
  <si>
    <t>41-537</t>
  </si>
  <si>
    <t>10-538</t>
  </si>
  <si>
    <t>41-538</t>
  </si>
  <si>
    <t>10-539</t>
  </si>
  <si>
    <t>41-539</t>
  </si>
  <si>
    <t>10-540</t>
  </si>
  <si>
    <t>41-540</t>
  </si>
  <si>
    <t>10-541</t>
  </si>
  <si>
    <t>41-541</t>
  </si>
  <si>
    <t>10-542</t>
  </si>
  <si>
    <t>41-542</t>
  </si>
  <si>
    <t>10-543</t>
  </si>
  <si>
    <t>41-543</t>
  </si>
  <si>
    <t>10-544</t>
  </si>
  <si>
    <t>41-544</t>
  </si>
  <si>
    <t>10-545</t>
  </si>
  <si>
    <t>41-545</t>
  </si>
  <si>
    <t>10-546</t>
  </si>
  <si>
    <t>41-546</t>
  </si>
  <si>
    <t>10-547</t>
  </si>
  <si>
    <t>41-547</t>
  </si>
  <si>
    <t>10-548</t>
  </si>
  <si>
    <t>41-548</t>
  </si>
  <si>
    <t>10-549</t>
  </si>
  <si>
    <t>41-549</t>
  </si>
  <si>
    <t>10-550</t>
  </si>
  <si>
    <t>41-550</t>
  </si>
  <si>
    <t>10-551</t>
  </si>
  <si>
    <t>41-551</t>
  </si>
  <si>
    <t>10-552</t>
  </si>
  <si>
    <t>41-552</t>
  </si>
  <si>
    <t>10-553</t>
  </si>
  <si>
    <t>41-553</t>
  </si>
  <si>
    <t>10-554</t>
  </si>
  <si>
    <t>41-554</t>
  </si>
  <si>
    <t>10-555</t>
  </si>
  <si>
    <t>41-555</t>
  </si>
  <si>
    <t>10-556</t>
  </si>
  <si>
    <t>41-556</t>
  </si>
  <si>
    <t>10-557</t>
  </si>
  <si>
    <t>41-557</t>
  </si>
  <si>
    <t>10-558</t>
  </si>
  <si>
    <t>41-558</t>
  </si>
  <si>
    <t>10-559</t>
  </si>
  <si>
    <t>41-559</t>
  </si>
  <si>
    <t>10-560</t>
  </si>
  <si>
    <t>41-560</t>
  </si>
  <si>
    <t>10-561</t>
  </si>
  <si>
    <t>41-561</t>
  </si>
  <si>
    <t>10-562</t>
  </si>
  <si>
    <t>41-562</t>
  </si>
  <si>
    <t>10-563</t>
  </si>
  <si>
    <t>41-563</t>
  </si>
  <si>
    <t>10-564</t>
  </si>
  <si>
    <t>41-564</t>
  </si>
  <si>
    <t>10-565</t>
  </si>
  <si>
    <t>41-565</t>
  </si>
  <si>
    <t>10-566</t>
  </si>
  <si>
    <t>41-566</t>
  </si>
  <si>
    <t>10-567</t>
  </si>
  <si>
    <t>41-567</t>
  </si>
  <si>
    <t>10-568</t>
  </si>
  <si>
    <t>41-568</t>
  </si>
  <si>
    <t>10-569</t>
  </si>
  <si>
    <t>41-569</t>
  </si>
  <si>
    <t>10-570</t>
  </si>
  <si>
    <t>41-570</t>
  </si>
  <si>
    <t>10-571</t>
  </si>
  <si>
    <t>41-571</t>
  </si>
  <si>
    <t>10-572</t>
  </si>
  <si>
    <t>41-572</t>
  </si>
  <si>
    <t>10-573</t>
  </si>
  <si>
    <t>41-573</t>
  </si>
  <si>
    <t>10-574</t>
  </si>
  <si>
    <t>41-574</t>
  </si>
  <si>
    <t>10-575</t>
  </si>
  <si>
    <t>41-575</t>
  </si>
  <si>
    <t>10-576</t>
  </si>
  <si>
    <t>41-576</t>
  </si>
  <si>
    <t>10-577</t>
  </si>
  <si>
    <t>41-577</t>
  </si>
  <si>
    <t>10-578</t>
  </si>
  <si>
    <t>41-578</t>
  </si>
  <si>
    <t>10-579</t>
  </si>
  <si>
    <t>41-579</t>
  </si>
  <si>
    <t>10-580</t>
  </si>
  <si>
    <t>41-580</t>
  </si>
  <si>
    <t>10-581</t>
  </si>
  <si>
    <t>41-581</t>
  </si>
  <si>
    <t>10-582</t>
  </si>
  <si>
    <t>41-582</t>
  </si>
  <si>
    <t>10-583</t>
  </si>
  <si>
    <t>41-583</t>
  </si>
  <si>
    <t>10-584</t>
  </si>
  <si>
    <t>41-584</t>
  </si>
  <si>
    <t>10-585</t>
  </si>
  <si>
    <t>41-585</t>
  </si>
  <si>
    <t>10-586</t>
  </si>
  <si>
    <t>41-586</t>
  </si>
  <si>
    <t>10-587</t>
  </si>
  <si>
    <t>41-587</t>
  </si>
  <si>
    <t>10-588</t>
  </si>
  <si>
    <t>41-588</t>
  </si>
  <si>
    <t>10-589</t>
  </si>
  <si>
    <t>41-589</t>
  </si>
  <si>
    <t>10-590</t>
  </si>
  <si>
    <t>41-590</t>
  </si>
  <si>
    <t>10-591</t>
  </si>
  <si>
    <t>41-591</t>
  </si>
  <si>
    <t>10-592</t>
  </si>
  <si>
    <t>41-592</t>
  </si>
  <si>
    <t>10-593</t>
  </si>
  <si>
    <t>41-593</t>
  </si>
  <si>
    <t>10-594</t>
  </si>
  <si>
    <t>41-594</t>
  </si>
  <si>
    <t>10-595</t>
  </si>
  <si>
    <t>41-595</t>
  </si>
  <si>
    <t>10-596</t>
  </si>
  <si>
    <t>41-596</t>
  </si>
  <si>
    <t>10-597</t>
  </si>
  <si>
    <t>41-597</t>
  </si>
  <si>
    <t>10-598</t>
  </si>
  <si>
    <t>41-598</t>
  </si>
  <si>
    <t>10-599</t>
  </si>
  <si>
    <t>41-599</t>
  </si>
  <si>
    <t>10-600</t>
  </si>
  <si>
    <t>41-600</t>
  </si>
  <si>
    <t>10-601</t>
  </si>
  <si>
    <t>41-601</t>
  </si>
  <si>
    <t>10-602</t>
  </si>
  <si>
    <t>41-602</t>
  </si>
  <si>
    <t>10-603</t>
  </si>
  <si>
    <t>41-603</t>
  </si>
  <si>
    <t>10-604</t>
  </si>
  <si>
    <t>41-604</t>
  </si>
  <si>
    <t>10-605</t>
  </si>
  <si>
    <t>41-605</t>
  </si>
  <si>
    <t>10-606</t>
  </si>
  <si>
    <t>41-606</t>
  </si>
  <si>
    <t>10-607</t>
  </si>
  <si>
    <t>41-607</t>
  </si>
  <si>
    <t>10-608</t>
  </si>
  <si>
    <t>41-608</t>
  </si>
  <si>
    <t>10-609</t>
  </si>
  <si>
    <t>41-609</t>
  </si>
  <si>
    <t>10-610</t>
  </si>
  <si>
    <t>41-610</t>
  </si>
  <si>
    <t>10-611</t>
  </si>
  <si>
    <t>41-611</t>
  </si>
  <si>
    <t>10-612</t>
  </si>
  <si>
    <t>41-612</t>
  </si>
  <si>
    <t>10-613</t>
  </si>
  <si>
    <t>41-613</t>
  </si>
  <si>
    <t>10-614</t>
  </si>
  <si>
    <t>41-614</t>
  </si>
  <si>
    <t>10-615</t>
  </si>
  <si>
    <t>41-615</t>
  </si>
  <si>
    <t>10-616</t>
  </si>
  <si>
    <t>41-616</t>
  </si>
  <si>
    <t>10-617</t>
  </si>
  <si>
    <t>41-617</t>
  </si>
  <si>
    <t>10-618</t>
  </si>
  <si>
    <t>41-618</t>
  </si>
  <si>
    <t>10-619</t>
  </si>
  <si>
    <t>41-619</t>
  </si>
  <si>
    <t>10-620</t>
  </si>
  <si>
    <t>41-620</t>
  </si>
  <si>
    <t>10-621</t>
  </si>
  <si>
    <t>41-621</t>
  </si>
  <si>
    <t>10-622</t>
  </si>
  <si>
    <t>41-622</t>
  </si>
  <si>
    <t>10-623</t>
  </si>
  <si>
    <t>41-623</t>
  </si>
  <si>
    <t>10-624</t>
  </si>
  <si>
    <t>41-624</t>
  </si>
  <si>
    <t>10-625</t>
  </si>
  <si>
    <t>41-625</t>
  </si>
  <si>
    <t>10-626</t>
  </si>
  <si>
    <t>41-626</t>
  </si>
  <si>
    <t>10-627</t>
  </si>
  <si>
    <t>41-627</t>
  </si>
  <si>
    <t>10-628</t>
  </si>
  <si>
    <t>41-628</t>
  </si>
  <si>
    <t>10-629</t>
  </si>
  <si>
    <t>41-629</t>
  </si>
  <si>
    <t>10-630</t>
  </si>
  <si>
    <t>41-630</t>
  </si>
  <si>
    <t>10-631</t>
  </si>
  <si>
    <t>41-631</t>
  </si>
  <si>
    <t>10-632</t>
  </si>
  <si>
    <t>41-632</t>
  </si>
  <si>
    <t>10-633</t>
  </si>
  <si>
    <t>41-633</t>
  </si>
  <si>
    <t>10-634</t>
  </si>
  <si>
    <t>41-634</t>
  </si>
  <si>
    <t>10-635</t>
  </si>
  <si>
    <t>41-635</t>
  </si>
  <si>
    <t>10-636</t>
  </si>
  <si>
    <t>41-636</t>
  </si>
  <si>
    <t>10-637</t>
  </si>
  <si>
    <t>41-637</t>
  </si>
  <si>
    <t>10-638</t>
  </si>
  <si>
    <t>41-638</t>
  </si>
  <si>
    <t>10-639</t>
  </si>
  <si>
    <t>41-639</t>
  </si>
  <si>
    <t>10-640</t>
  </si>
  <si>
    <t>41-640</t>
  </si>
  <si>
    <t>10-641</t>
  </si>
  <si>
    <t>41-641</t>
  </si>
  <si>
    <t>10-642</t>
  </si>
  <si>
    <t>41-642</t>
  </si>
  <si>
    <t>10-643</t>
  </si>
  <si>
    <t>41-643</t>
  </si>
  <si>
    <t>10-644</t>
  </si>
  <si>
    <t>41-644</t>
  </si>
  <si>
    <t>10-645</t>
  </si>
  <si>
    <t>41-645</t>
  </si>
  <si>
    <t>10-646</t>
  </si>
  <si>
    <t>41-646</t>
  </si>
  <si>
    <t>10-647</t>
  </si>
  <si>
    <t>41-647</t>
  </si>
  <si>
    <t>10-648</t>
  </si>
  <si>
    <t>41-648</t>
  </si>
  <si>
    <t>10-649</t>
  </si>
  <si>
    <t>41-649</t>
  </si>
  <si>
    <t>10-650</t>
  </si>
  <si>
    <t>41-650</t>
  </si>
  <si>
    <t>10-651</t>
  </si>
  <si>
    <t>41-651</t>
  </si>
  <si>
    <t>10-652</t>
  </si>
  <si>
    <t>41-652</t>
  </si>
  <si>
    <t>10-653</t>
  </si>
  <si>
    <t>41-653</t>
  </si>
  <si>
    <t>10-654</t>
  </si>
  <si>
    <t>41-654</t>
  </si>
  <si>
    <t>10-655</t>
  </si>
  <si>
    <t>41-655</t>
  </si>
  <si>
    <t>10-656</t>
  </si>
  <si>
    <t>41-656</t>
  </si>
  <si>
    <t>10-657</t>
  </si>
  <si>
    <t>41-657</t>
  </si>
  <si>
    <t>10-658</t>
  </si>
  <si>
    <t>41-658</t>
  </si>
  <si>
    <t>10-659</t>
  </si>
  <si>
    <t>41-659</t>
  </si>
  <si>
    <t>10-660</t>
  </si>
  <si>
    <t>41-660</t>
  </si>
  <si>
    <t>10-661</t>
  </si>
  <si>
    <t>41-661</t>
  </si>
  <si>
    <t>10-662</t>
  </si>
  <si>
    <t>41-662</t>
  </si>
  <si>
    <t>10-663</t>
  </si>
  <si>
    <t>41-663</t>
  </si>
  <si>
    <t>10-664</t>
  </si>
  <si>
    <t>41-664</t>
  </si>
  <si>
    <t>10-665</t>
  </si>
  <si>
    <t>41-665</t>
  </si>
  <si>
    <t>10-666</t>
  </si>
  <si>
    <t>41-666</t>
  </si>
  <si>
    <t>10-667</t>
  </si>
  <si>
    <t>41-667</t>
  </si>
  <si>
    <t>10-668</t>
  </si>
  <si>
    <t>41-668</t>
  </si>
  <si>
    <t>10-669</t>
  </si>
  <si>
    <t>41-669</t>
  </si>
  <si>
    <t>10-670</t>
  </si>
  <si>
    <t>41-670</t>
  </si>
  <si>
    <t>10-671</t>
  </si>
  <si>
    <t>41-671</t>
  </si>
  <si>
    <t>10-672</t>
  </si>
  <si>
    <t>41-672</t>
  </si>
  <si>
    <t>10-673</t>
  </si>
  <si>
    <t>41-673</t>
  </si>
  <si>
    <t>10-674</t>
  </si>
  <si>
    <t>41-674</t>
  </si>
  <si>
    <t>10-675</t>
  </si>
  <si>
    <t>41-675</t>
  </si>
  <si>
    <t>10-676</t>
  </si>
  <si>
    <t>41-676</t>
  </si>
  <si>
    <t>10-677</t>
  </si>
  <si>
    <t>41-677</t>
  </si>
  <si>
    <t>10-678</t>
  </si>
  <si>
    <t>41-678</t>
  </si>
  <si>
    <t>10-679</t>
  </si>
  <si>
    <t>41-679</t>
  </si>
  <si>
    <t>10-680</t>
  </si>
  <si>
    <t>41-680</t>
  </si>
  <si>
    <t>10-681</t>
  </si>
  <si>
    <t>41-681</t>
  </si>
  <si>
    <t>10-682</t>
  </si>
  <si>
    <t>41-682</t>
  </si>
  <si>
    <t>10-683</t>
  </si>
  <si>
    <t>41-683</t>
  </si>
  <si>
    <t>10-684</t>
  </si>
  <si>
    <t>41-684</t>
  </si>
  <si>
    <t>10-685</t>
  </si>
  <si>
    <t>41-685</t>
  </si>
  <si>
    <t>10-686</t>
  </si>
  <si>
    <t>41-686</t>
  </si>
  <si>
    <t>10-687</t>
  </si>
  <si>
    <t>41-687</t>
  </si>
  <si>
    <t>10-688</t>
  </si>
  <si>
    <t>41-688</t>
  </si>
  <si>
    <t>10-689</t>
  </si>
  <si>
    <t>41-689</t>
  </si>
  <si>
    <t>10-690</t>
  </si>
  <si>
    <t>41-690</t>
  </si>
  <si>
    <t>10-691</t>
  </si>
  <si>
    <t>41-691</t>
  </si>
  <si>
    <t>10-692</t>
  </si>
  <si>
    <t>41-692</t>
  </si>
  <si>
    <t>10-693</t>
  </si>
  <si>
    <t>41-693</t>
  </si>
  <si>
    <t>10-694</t>
  </si>
  <si>
    <t>41-694</t>
  </si>
  <si>
    <t>10-695</t>
  </si>
  <si>
    <t>41-695</t>
  </si>
  <si>
    <t>10-696</t>
  </si>
  <si>
    <t>41-696</t>
  </si>
  <si>
    <t>10-697</t>
  </si>
  <si>
    <t>41-697</t>
  </si>
  <si>
    <t>10-698</t>
  </si>
  <si>
    <t>41-698</t>
  </si>
  <si>
    <t>10-699</t>
  </si>
  <si>
    <t>41-699</t>
  </si>
  <si>
    <t>10-700</t>
  </si>
  <si>
    <t>41-700</t>
  </si>
  <si>
    <t>10-701</t>
  </si>
  <si>
    <t>41-701</t>
  </si>
  <si>
    <t>10-702</t>
  </si>
  <si>
    <t>41-702</t>
  </si>
  <si>
    <t>10-703</t>
  </si>
  <si>
    <t>41-703</t>
  </si>
  <si>
    <t>10-704</t>
  </si>
  <si>
    <t>41-704</t>
  </si>
  <si>
    <t>10-705</t>
  </si>
  <si>
    <t>41-705</t>
  </si>
  <si>
    <t>10-706</t>
  </si>
  <si>
    <t>41-706</t>
  </si>
  <si>
    <t>10-707</t>
  </si>
  <si>
    <t>41-707</t>
  </si>
  <si>
    <t>10-708</t>
  </si>
  <si>
    <t>41-708</t>
  </si>
  <si>
    <t>10-709</t>
  </si>
  <si>
    <t>41-709</t>
  </si>
  <si>
    <t>10-710</t>
  </si>
  <si>
    <t>41-710</t>
  </si>
  <si>
    <t>10-711</t>
  </si>
  <si>
    <t>41-711</t>
  </si>
  <si>
    <t>10-712</t>
  </si>
  <si>
    <t>41-712</t>
  </si>
  <si>
    <t>10-713</t>
  </si>
  <si>
    <t>41-713</t>
  </si>
  <si>
    <t>10-714</t>
  </si>
  <si>
    <t>41-714</t>
  </si>
  <si>
    <t>10-715</t>
  </si>
  <si>
    <t>41-715</t>
  </si>
  <si>
    <t>10-716</t>
  </si>
  <si>
    <t>41-716</t>
  </si>
  <si>
    <t>10-717</t>
  </si>
  <si>
    <t>41-717</t>
  </si>
  <si>
    <t>10-718</t>
  </si>
  <si>
    <t>41-718</t>
  </si>
  <si>
    <t>10-719</t>
  </si>
  <si>
    <t>41-719</t>
  </si>
  <si>
    <t>10-720</t>
  </si>
  <si>
    <t>41-720</t>
  </si>
  <si>
    <t>10-721</t>
  </si>
  <si>
    <t>41-721</t>
  </si>
  <si>
    <t>10-722</t>
  </si>
  <si>
    <t>41-722</t>
  </si>
  <si>
    <t>10-723</t>
  </si>
  <si>
    <t>41-723</t>
  </si>
  <si>
    <t>10-724</t>
  </si>
  <si>
    <t>41-724</t>
  </si>
  <si>
    <t>10-725</t>
  </si>
  <si>
    <t>41-725</t>
  </si>
  <si>
    <t>10-726</t>
  </si>
  <si>
    <t>41-726</t>
  </si>
  <si>
    <t>10-727</t>
  </si>
  <si>
    <t>41-727</t>
  </si>
  <si>
    <t>10-728</t>
  </si>
  <si>
    <t>41-728</t>
  </si>
  <si>
    <t>10-729</t>
  </si>
  <si>
    <t>41-729</t>
  </si>
  <si>
    <t>10-730</t>
  </si>
  <si>
    <t>41-730</t>
  </si>
  <si>
    <t>10-731</t>
  </si>
  <si>
    <t>41-731</t>
  </si>
  <si>
    <t>10-732</t>
  </si>
  <si>
    <t>41-732</t>
  </si>
  <si>
    <t>10-733</t>
  </si>
  <si>
    <t>41-733</t>
  </si>
  <si>
    <t>10-734</t>
  </si>
  <si>
    <t>41-734</t>
  </si>
  <si>
    <t>10-735</t>
  </si>
  <si>
    <t>41-735</t>
  </si>
  <si>
    <t>10-736</t>
  </si>
  <si>
    <t>41-736</t>
  </si>
  <si>
    <t>10-737</t>
  </si>
  <si>
    <t>41-737</t>
  </si>
  <si>
    <t>10-738</t>
  </si>
  <si>
    <t>41-738</t>
  </si>
  <si>
    <t>10-739</t>
  </si>
  <si>
    <t>41-739</t>
  </si>
  <si>
    <t>10-740</t>
  </si>
  <si>
    <t>41-740</t>
  </si>
  <si>
    <t>10-741</t>
  </si>
  <si>
    <t>41-741</t>
  </si>
  <si>
    <t>10-742</t>
  </si>
  <si>
    <t>41-742</t>
  </si>
  <si>
    <t>10-743</t>
  </si>
  <si>
    <t>41-743</t>
  </si>
  <si>
    <t>10-744</t>
  </si>
  <si>
    <t>41-744</t>
  </si>
  <si>
    <t>10-745</t>
  </si>
  <si>
    <t>41-745</t>
  </si>
  <si>
    <t>10-746</t>
  </si>
  <si>
    <t>41-746</t>
  </si>
  <si>
    <t>10-747</t>
  </si>
  <si>
    <t>41-747</t>
  </si>
  <si>
    <t>10-748</t>
  </si>
  <si>
    <t>41-748</t>
  </si>
  <si>
    <t>10-749</t>
  </si>
  <si>
    <t>41-749</t>
  </si>
  <si>
    <t>10-750</t>
  </si>
  <si>
    <t>41-750</t>
  </si>
  <si>
    <t>10-751</t>
  </si>
  <si>
    <t>41-751</t>
  </si>
  <si>
    <t>10-752</t>
  </si>
  <si>
    <t>41-752</t>
  </si>
  <si>
    <t>10-753</t>
  </si>
  <si>
    <t>41-753</t>
  </si>
  <si>
    <t>10-754</t>
  </si>
  <si>
    <t>41-754</t>
  </si>
  <si>
    <t>10-755</t>
  </si>
  <si>
    <t>41-755</t>
  </si>
  <si>
    <t>10-756</t>
  </si>
  <si>
    <t>41-756</t>
  </si>
  <si>
    <t>10-757</t>
  </si>
  <si>
    <t>41-757</t>
  </si>
  <si>
    <t>10-758</t>
  </si>
  <si>
    <t>41-758</t>
  </si>
  <si>
    <t>10-759</t>
  </si>
  <si>
    <t>41-759</t>
  </si>
  <si>
    <t>10-760</t>
  </si>
  <si>
    <t>41-760</t>
  </si>
  <si>
    <t>10-761</t>
  </si>
  <si>
    <t>41-761</t>
  </si>
  <si>
    <t>10-762</t>
  </si>
  <si>
    <t>41-762</t>
  </si>
  <si>
    <t>10-763</t>
  </si>
  <si>
    <t>41-763</t>
  </si>
  <si>
    <t>10-764</t>
  </si>
  <si>
    <t>41-764</t>
  </si>
  <si>
    <t>10-765</t>
  </si>
  <si>
    <t>41-765</t>
  </si>
  <si>
    <t>10-766</t>
  </si>
  <si>
    <t>41-766</t>
  </si>
  <si>
    <t>10-767</t>
  </si>
  <si>
    <t>41-767</t>
  </si>
  <si>
    <t>10-768</t>
  </si>
  <si>
    <t>41-768</t>
  </si>
  <si>
    <t>10-769</t>
  </si>
  <si>
    <t>41-769</t>
  </si>
  <si>
    <t>10-770</t>
  </si>
  <si>
    <t>41-770</t>
  </si>
  <si>
    <t>10-771</t>
  </si>
  <si>
    <t>41-771</t>
  </si>
  <si>
    <t>10-772</t>
  </si>
  <si>
    <t>41-772</t>
  </si>
  <si>
    <t>10-773</t>
  </si>
  <si>
    <t>41-773</t>
  </si>
  <si>
    <t>10-774</t>
  </si>
  <si>
    <t>41-774</t>
  </si>
  <si>
    <t>10-775</t>
  </si>
  <si>
    <t>41-775</t>
  </si>
  <si>
    <t>10-776</t>
  </si>
  <si>
    <t>41-776</t>
  </si>
  <si>
    <t>10-777</t>
  </si>
  <si>
    <t>41-777</t>
  </si>
  <si>
    <t>10-778</t>
  </si>
  <si>
    <t>41-778</t>
  </si>
  <si>
    <t>10-779</t>
  </si>
  <si>
    <t>41-779</t>
  </si>
  <si>
    <t>10-780</t>
  </si>
  <si>
    <t>41-780</t>
  </si>
  <si>
    <t>10-781</t>
  </si>
  <si>
    <t>41-781</t>
  </si>
  <si>
    <t>10-782</t>
  </si>
  <si>
    <t>41-782</t>
  </si>
  <si>
    <t>10-783</t>
  </si>
  <si>
    <t>41-783</t>
  </si>
  <si>
    <t>10-784</t>
  </si>
  <si>
    <t>41-784</t>
  </si>
  <si>
    <t>10-785</t>
  </si>
  <si>
    <t>41-785</t>
  </si>
  <si>
    <t>10-786</t>
  </si>
  <si>
    <t>41-786</t>
  </si>
  <si>
    <t>10-787</t>
  </si>
  <si>
    <t>41-787</t>
  </si>
  <si>
    <t>10-788</t>
  </si>
  <si>
    <t>41-788</t>
  </si>
  <si>
    <t>10-789</t>
  </si>
  <si>
    <t>41-789</t>
  </si>
  <si>
    <t>10-790</t>
  </si>
  <si>
    <t>41-790</t>
  </si>
  <si>
    <t>10-791</t>
  </si>
  <si>
    <t>41-791</t>
  </si>
  <si>
    <t>10-792</t>
  </si>
  <si>
    <t>41-792</t>
  </si>
  <si>
    <t>10-793</t>
  </si>
  <si>
    <t>41-793</t>
  </si>
  <si>
    <t>10-794</t>
  </si>
  <si>
    <t>41-794</t>
  </si>
  <si>
    <t>10-795</t>
  </si>
  <si>
    <t>41-795</t>
  </si>
  <si>
    <t>10-796</t>
  </si>
  <si>
    <t>41-796</t>
  </si>
  <si>
    <t>10-797</t>
  </si>
  <si>
    <t>41-797</t>
  </si>
  <si>
    <t>10-798</t>
  </si>
  <si>
    <t>41-798</t>
  </si>
  <si>
    <t>10-799</t>
  </si>
  <si>
    <t>41-799</t>
  </si>
  <si>
    <t>10-800</t>
  </si>
  <si>
    <t>41-800</t>
  </si>
  <si>
    <t>10-801</t>
  </si>
  <si>
    <t>41-801</t>
  </si>
  <si>
    <t>10-802</t>
  </si>
  <si>
    <t>41-802</t>
  </si>
  <si>
    <t>10-803</t>
  </si>
  <si>
    <t>41-803</t>
  </si>
  <si>
    <t>10-804</t>
  </si>
  <si>
    <t>41-804</t>
  </si>
  <si>
    <t>10-805</t>
  </si>
  <si>
    <t>41-805</t>
  </si>
  <si>
    <t>10-806</t>
  </si>
  <si>
    <t>41-806</t>
  </si>
  <si>
    <t>10-807</t>
  </si>
  <si>
    <t>41-807</t>
  </si>
  <si>
    <t>10-808</t>
  </si>
  <si>
    <t>41-808</t>
  </si>
  <si>
    <t>10-809</t>
  </si>
  <si>
    <t>41-809</t>
  </si>
  <si>
    <t>10-810</t>
  </si>
  <si>
    <t>41-810</t>
  </si>
  <si>
    <t>10-811</t>
  </si>
  <si>
    <t>41-811</t>
  </si>
  <si>
    <t>10-812</t>
  </si>
  <si>
    <t>41-812</t>
  </si>
  <si>
    <t>10-813</t>
  </si>
  <si>
    <t>41-813</t>
  </si>
  <si>
    <t>10-814</t>
  </si>
  <si>
    <t>41-814</t>
  </si>
  <si>
    <t>10-815</t>
  </si>
  <si>
    <t>41-815</t>
  </si>
  <si>
    <t>10-816</t>
  </si>
  <si>
    <t>41-816</t>
  </si>
  <si>
    <t>10-817</t>
  </si>
  <si>
    <t>41-817</t>
  </si>
  <si>
    <t>10-818</t>
  </si>
  <si>
    <t>41-818</t>
  </si>
  <si>
    <t>10-819</t>
  </si>
  <si>
    <t>41-819</t>
  </si>
  <si>
    <t>10-820</t>
  </si>
  <si>
    <t>41-820</t>
  </si>
  <si>
    <t>10-821</t>
  </si>
  <si>
    <t>41-821</t>
  </si>
  <si>
    <t>10-822</t>
  </si>
  <si>
    <t>41-822</t>
  </si>
  <si>
    <t>10-823</t>
  </si>
  <si>
    <t>41-823</t>
  </si>
  <si>
    <t>10-824</t>
  </si>
  <si>
    <t>41-824</t>
  </si>
  <si>
    <t>10-825</t>
  </si>
  <si>
    <t>41-825</t>
  </si>
  <si>
    <t>10-826</t>
  </si>
  <si>
    <t>41-826</t>
  </si>
  <si>
    <t>10-827</t>
  </si>
  <si>
    <t>41-827</t>
  </si>
  <si>
    <t>10-828</t>
  </si>
  <si>
    <t>41-828</t>
  </si>
  <si>
    <t>10-829</t>
  </si>
  <si>
    <t>41-829</t>
  </si>
  <si>
    <t>10-830</t>
  </si>
  <si>
    <t>41-830</t>
  </si>
  <si>
    <t>10-831</t>
  </si>
  <si>
    <t>41-831</t>
  </si>
  <si>
    <t>10-832</t>
  </si>
  <si>
    <t>41-832</t>
  </si>
  <si>
    <t>10-833</t>
  </si>
  <si>
    <t>41-833</t>
  </si>
  <si>
    <t>10-834</t>
  </si>
  <si>
    <t>41-834</t>
  </si>
  <si>
    <t>10-835</t>
  </si>
  <si>
    <t>41-835</t>
  </si>
  <si>
    <t>10-836</t>
  </si>
  <si>
    <t>41-836</t>
  </si>
  <si>
    <t>10-837</t>
  </si>
  <si>
    <t>41-837</t>
  </si>
  <si>
    <t>10-838</t>
  </si>
  <si>
    <t>41-838</t>
  </si>
  <si>
    <t>10-839</t>
  </si>
  <si>
    <t>41-839</t>
  </si>
  <si>
    <t>10-840</t>
  </si>
  <si>
    <t>41-840</t>
  </si>
  <si>
    <t>10-841</t>
  </si>
  <si>
    <t>41-841</t>
  </si>
  <si>
    <t>10-842</t>
  </si>
  <si>
    <t>41-842</t>
  </si>
  <si>
    <t>10-843</t>
  </si>
  <si>
    <t>41-843</t>
  </si>
  <si>
    <t>10-844</t>
  </si>
  <si>
    <t>41-844</t>
  </si>
  <si>
    <t>10-845</t>
  </si>
  <si>
    <t>41-845</t>
  </si>
  <si>
    <t>10-846</t>
  </si>
  <si>
    <t>41-846</t>
  </si>
  <si>
    <t>10-847</t>
  </si>
  <si>
    <t>41-847</t>
  </si>
  <si>
    <t>10-848</t>
  </si>
  <si>
    <t>41-848</t>
  </si>
  <si>
    <t>10-849</t>
  </si>
  <si>
    <t>41-849</t>
  </si>
  <si>
    <t>10-850</t>
  </si>
  <si>
    <t>41-850</t>
  </si>
  <si>
    <t>10-851</t>
  </si>
  <si>
    <t>41-851</t>
  </si>
  <si>
    <t>10-852</t>
  </si>
  <si>
    <t>41-852</t>
  </si>
  <si>
    <t>10-853</t>
  </si>
  <si>
    <t>41-853</t>
  </si>
  <si>
    <t>10-854</t>
  </si>
  <si>
    <t>41-854</t>
  </si>
  <si>
    <t>10-855</t>
  </si>
  <si>
    <t>41-855</t>
  </si>
  <si>
    <t>10-856</t>
  </si>
  <si>
    <t>41-856</t>
  </si>
  <si>
    <t>10-857</t>
  </si>
  <si>
    <t>41-857</t>
  </si>
  <si>
    <t>10-858</t>
  </si>
  <si>
    <t>41-858</t>
  </si>
  <si>
    <t>10-859</t>
  </si>
  <si>
    <t>41-859</t>
  </si>
  <si>
    <t>10-860</t>
  </si>
  <si>
    <t>41-860</t>
  </si>
  <si>
    <t>10-861</t>
  </si>
  <si>
    <t>41-861</t>
  </si>
  <si>
    <t>10-862</t>
  </si>
  <si>
    <t>41-862</t>
  </si>
  <si>
    <t>10-863</t>
  </si>
  <si>
    <t>41-863</t>
  </si>
  <si>
    <t>10-864</t>
  </si>
  <si>
    <t>41-864</t>
  </si>
  <si>
    <t>10-865</t>
  </si>
  <si>
    <t>10-866</t>
  </si>
  <si>
    <t>41-866</t>
  </si>
  <si>
    <t>10-867</t>
  </si>
  <si>
    <t>41-867</t>
  </si>
  <si>
    <t>10-868</t>
  </si>
  <si>
    <t>41-868</t>
  </si>
  <si>
    <t>10-869</t>
  </si>
  <si>
    <t>41-869</t>
  </si>
  <si>
    <t>10-870</t>
  </si>
  <si>
    <t>41-870</t>
  </si>
  <si>
    <t>10-871</t>
  </si>
  <si>
    <t>41-871</t>
  </si>
  <si>
    <t>10-872</t>
  </si>
  <si>
    <t>41-872</t>
  </si>
  <si>
    <t>10-873</t>
  </si>
  <si>
    <t>41-873</t>
  </si>
  <si>
    <t>10-874</t>
  </si>
  <si>
    <t>41-874</t>
  </si>
  <si>
    <t>10-875</t>
  </si>
  <si>
    <t>41-875</t>
  </si>
  <si>
    <t>10-876</t>
  </si>
  <si>
    <t>41-876</t>
  </si>
  <si>
    <t>10-877</t>
  </si>
  <si>
    <t>41-877</t>
  </si>
  <si>
    <t>10-878</t>
  </si>
  <si>
    <t>41-878</t>
  </si>
  <si>
    <t>10-879</t>
  </si>
  <si>
    <t>41-879</t>
  </si>
  <si>
    <t>10-880</t>
  </si>
  <si>
    <t>41-880</t>
  </si>
  <si>
    <t>10-881</t>
  </si>
  <si>
    <t>41-881</t>
  </si>
  <si>
    <t>10-882</t>
  </si>
  <si>
    <t>41-882</t>
  </si>
  <si>
    <t>10-883</t>
  </si>
  <si>
    <t>41-883</t>
  </si>
  <si>
    <t>10-884</t>
  </si>
  <si>
    <t>41-884</t>
  </si>
  <si>
    <t>10-885</t>
  </si>
  <si>
    <t>41-885</t>
  </si>
  <si>
    <t>10-886</t>
  </si>
  <si>
    <t>41-886</t>
  </si>
  <si>
    <t>10-887</t>
  </si>
  <si>
    <t>41-887</t>
  </si>
  <si>
    <t>10-888</t>
  </si>
  <si>
    <t>41-888</t>
  </si>
  <si>
    <t>10-889</t>
  </si>
  <si>
    <t>41-889</t>
  </si>
  <si>
    <t>10-890</t>
  </si>
  <si>
    <t>41-890</t>
  </si>
  <si>
    <t>12-501</t>
  </si>
  <si>
    <t>40-501</t>
  </si>
  <si>
    <t>12-502</t>
  </si>
  <si>
    <t>40-502</t>
  </si>
  <si>
    <t>12-503</t>
  </si>
  <si>
    <t>40-503</t>
  </si>
  <si>
    <t>12-504</t>
  </si>
  <si>
    <t>40-504</t>
  </si>
  <si>
    <t>12-505</t>
  </si>
  <si>
    <t>40-505</t>
  </si>
  <si>
    <t>12-506</t>
  </si>
  <si>
    <t>40-506</t>
  </si>
  <si>
    <t>12-507</t>
  </si>
  <si>
    <t>40-507</t>
  </si>
  <si>
    <t>12-508</t>
  </si>
  <si>
    <t>40-508</t>
  </si>
  <si>
    <t>12-509</t>
  </si>
  <si>
    <t>40-509</t>
  </si>
  <si>
    <t>12-510</t>
  </si>
  <si>
    <t>40-510</t>
  </si>
  <si>
    <t>12-511</t>
  </si>
  <si>
    <t>40-511</t>
  </si>
  <si>
    <t>12-512</t>
  </si>
  <si>
    <t>40-512</t>
  </si>
  <si>
    <t>12-513</t>
  </si>
  <si>
    <t>40-513</t>
  </si>
  <si>
    <t>12-514</t>
  </si>
  <si>
    <t>40-514</t>
  </si>
  <si>
    <t>12-515</t>
  </si>
  <si>
    <t>40-515</t>
  </si>
  <si>
    <t>12-516</t>
  </si>
  <si>
    <t>40-516</t>
  </si>
  <si>
    <t>12-517</t>
  </si>
  <si>
    <t>40-517</t>
  </si>
  <si>
    <t>12-518</t>
  </si>
  <si>
    <t>40-518</t>
  </si>
  <si>
    <t>12-519</t>
  </si>
  <si>
    <t>40-519</t>
  </si>
  <si>
    <t>12-520</t>
  </si>
  <si>
    <t>40-520</t>
  </si>
  <si>
    <t>12-521</t>
  </si>
  <si>
    <t>40-521</t>
  </si>
  <si>
    <t>12-522</t>
  </si>
  <si>
    <t>40-522</t>
  </si>
  <si>
    <t>12-523</t>
  </si>
  <si>
    <t>40-523</t>
  </si>
  <si>
    <t>12-524</t>
  </si>
  <si>
    <t>40-524</t>
  </si>
  <si>
    <t>12-525</t>
  </si>
  <si>
    <t>40-525</t>
  </si>
  <si>
    <t>12-526</t>
  </si>
  <si>
    <t>40-526</t>
  </si>
  <si>
    <t>12-527</t>
  </si>
  <si>
    <t>40-527</t>
  </si>
  <si>
    <t>12-528</t>
  </si>
  <si>
    <t>40-528</t>
  </si>
  <si>
    <t>12-529</t>
  </si>
  <si>
    <t>40-529</t>
  </si>
  <si>
    <t>12-530</t>
  </si>
  <si>
    <t>40-530</t>
  </si>
  <si>
    <t>12-531</t>
  </si>
  <si>
    <t>40-531</t>
  </si>
  <si>
    <t>12-532</t>
  </si>
  <si>
    <t>40-532</t>
  </si>
  <si>
    <t>12-533</t>
  </si>
  <si>
    <t>40-533</t>
  </si>
  <si>
    <t>12-534</t>
  </si>
  <si>
    <t>40-534</t>
  </si>
  <si>
    <t>12-535</t>
  </si>
  <si>
    <t>40-535</t>
  </si>
  <si>
    <t>12-536</t>
  </si>
  <si>
    <t>40-536</t>
  </si>
  <si>
    <t>12-537</t>
  </si>
  <si>
    <t>40-537</t>
  </si>
  <si>
    <t>12-538</t>
  </si>
  <si>
    <t>40-538</t>
  </si>
  <si>
    <t>12-539</t>
  </si>
  <si>
    <t>40-539</t>
  </si>
  <si>
    <t>12-540</t>
  </si>
  <si>
    <t>40-540</t>
  </si>
  <si>
    <t>12-541</t>
  </si>
  <si>
    <t>40-541</t>
  </si>
  <si>
    <t>12-542</t>
  </si>
  <si>
    <t>40-542</t>
  </si>
  <si>
    <t>12-543</t>
  </si>
  <si>
    <t>40-543</t>
  </si>
  <si>
    <t>12-544</t>
  </si>
  <si>
    <t>40-544</t>
  </si>
  <si>
    <t>12-545</t>
  </si>
  <si>
    <t>40-545</t>
  </si>
  <si>
    <t>12-546</t>
  </si>
  <si>
    <t>40-546</t>
  </si>
  <si>
    <t>12-547</t>
  </si>
  <si>
    <t>40-547</t>
  </si>
  <si>
    <t>12-548</t>
  </si>
  <si>
    <t>40-548</t>
  </si>
  <si>
    <t>12-549</t>
  </si>
  <si>
    <t>40-549</t>
  </si>
  <si>
    <t>12-550</t>
  </si>
  <si>
    <t>40-550</t>
  </si>
  <si>
    <t>12-551</t>
  </si>
  <si>
    <t>40-551</t>
  </si>
  <si>
    <t>12-552</t>
  </si>
  <si>
    <t>40-552</t>
  </si>
  <si>
    <t>12-553</t>
  </si>
  <si>
    <t>40-553</t>
  </si>
  <si>
    <t>12-554</t>
  </si>
  <si>
    <t>40-554</t>
  </si>
  <si>
    <t>12-555</t>
  </si>
  <si>
    <t>40-555</t>
  </si>
  <si>
    <t>12-556</t>
  </si>
  <si>
    <t>40-556</t>
  </si>
  <si>
    <t>12-557</t>
  </si>
  <si>
    <t>40-557</t>
  </si>
  <si>
    <t>12-558</t>
  </si>
  <si>
    <t>40-558</t>
  </si>
  <si>
    <t>12-559</t>
  </si>
  <si>
    <t>40-559</t>
  </si>
  <si>
    <t>12-560</t>
  </si>
  <si>
    <t>40-560</t>
  </si>
  <si>
    <t>12-561</t>
  </si>
  <si>
    <t>40-561</t>
  </si>
  <si>
    <t>12-562</t>
  </si>
  <si>
    <t>40-562</t>
  </si>
  <si>
    <t>12-563</t>
  </si>
  <si>
    <t>40-563</t>
  </si>
  <si>
    <t>12-564</t>
  </si>
  <si>
    <t>40-564</t>
  </si>
  <si>
    <t>12-565</t>
  </si>
  <si>
    <t>40-565</t>
  </si>
  <si>
    <t>12-566</t>
  </si>
  <si>
    <t>40-566</t>
  </si>
  <si>
    <t>12-567</t>
  </si>
  <si>
    <t>40-567</t>
  </si>
  <si>
    <t>12-568</t>
  </si>
  <si>
    <t>40-568</t>
  </si>
  <si>
    <t>12-569</t>
  </si>
  <si>
    <t>40-569</t>
  </si>
  <si>
    <t>12-570</t>
  </si>
  <si>
    <t>40-570</t>
  </si>
  <si>
    <t>12-571</t>
  </si>
  <si>
    <t>40-571</t>
  </si>
  <si>
    <t>12-572</t>
  </si>
  <si>
    <t>40-572</t>
  </si>
  <si>
    <t>12-573</t>
  </si>
  <si>
    <t>40-573</t>
  </si>
  <si>
    <t>12-574</t>
  </si>
  <si>
    <t>40-574</t>
  </si>
  <si>
    <t>12-575</t>
  </si>
  <si>
    <t>40-575</t>
  </si>
  <si>
    <t>12-576</t>
  </si>
  <si>
    <t>40-576</t>
  </si>
  <si>
    <t>12-577</t>
  </si>
  <si>
    <t>40-577</t>
  </si>
  <si>
    <t>12-578</t>
  </si>
  <si>
    <t>40-578</t>
  </si>
  <si>
    <t>12-579</t>
  </si>
  <si>
    <t>40-579</t>
  </si>
  <si>
    <t>12-580</t>
  </si>
  <si>
    <t>40-580</t>
  </si>
  <si>
    <t>12-581</t>
  </si>
  <si>
    <t>40-581</t>
  </si>
  <si>
    <t>12-582</t>
  </si>
  <si>
    <t>40-582</t>
  </si>
  <si>
    <t>12-583</t>
  </si>
  <si>
    <t>40-583</t>
  </si>
  <si>
    <t>12-584</t>
  </si>
  <si>
    <t>40-584</t>
  </si>
  <si>
    <t>12-585</t>
  </si>
  <si>
    <t>40-585</t>
  </si>
  <si>
    <t>12-586</t>
  </si>
  <si>
    <t>40-586</t>
  </si>
  <si>
    <t>12-587</t>
  </si>
  <si>
    <t>40-587</t>
  </si>
  <si>
    <t>12-588</t>
  </si>
  <si>
    <t>40-588</t>
  </si>
  <si>
    <t>12-589</t>
  </si>
  <si>
    <t>40-589</t>
  </si>
  <si>
    <t>12-590</t>
  </si>
  <si>
    <t>40-590</t>
  </si>
  <si>
    <t>12-591</t>
  </si>
  <si>
    <t>40-591</t>
  </si>
  <si>
    <t>12-592</t>
  </si>
  <si>
    <t>40-592</t>
  </si>
  <si>
    <t>12-593</t>
  </si>
  <si>
    <t>40-593</t>
  </si>
  <si>
    <t>12-594</t>
  </si>
  <si>
    <t>40-594</t>
  </si>
  <si>
    <t>12-595</t>
  </si>
  <si>
    <t>40-595</t>
  </si>
  <si>
    <t>12-596</t>
  </si>
  <si>
    <t>40-596</t>
  </si>
  <si>
    <t>12-597</t>
  </si>
  <si>
    <t>40-597</t>
  </si>
  <si>
    <t>12-598</t>
  </si>
  <si>
    <t>40-598</t>
  </si>
  <si>
    <t>12-599</t>
  </si>
  <si>
    <t>40-599</t>
  </si>
  <si>
    <t>12-600</t>
  </si>
  <si>
    <t>40-600</t>
  </si>
  <si>
    <t>12-601</t>
  </si>
  <si>
    <t>40-601</t>
  </si>
  <si>
    <t>12-602</t>
  </si>
  <si>
    <t>40-602</t>
  </si>
  <si>
    <t>12-603</t>
  </si>
  <si>
    <t>40-603</t>
  </si>
  <si>
    <t>12-604</t>
  </si>
  <si>
    <t>40-604</t>
  </si>
  <si>
    <t>12-605</t>
  </si>
  <si>
    <t>40-605</t>
  </si>
  <si>
    <t>12-606</t>
  </si>
  <si>
    <t>40-606</t>
  </si>
  <si>
    <t>12-607</t>
  </si>
  <si>
    <t>40-607</t>
  </si>
  <si>
    <t>12-608</t>
  </si>
  <si>
    <t>40-608</t>
  </si>
  <si>
    <t>12-609</t>
  </si>
  <si>
    <t>40-609</t>
  </si>
  <si>
    <t>12-610</t>
  </si>
  <si>
    <t>40-610</t>
  </si>
  <si>
    <t>12-611</t>
  </si>
  <si>
    <t>40-611</t>
  </si>
  <si>
    <t>12-612</t>
  </si>
  <si>
    <t>40-612</t>
  </si>
  <si>
    <t>12-613</t>
  </si>
  <si>
    <t>40-613</t>
  </si>
  <si>
    <t>12-614</t>
  </si>
  <si>
    <t>40-614</t>
  </si>
  <si>
    <t>12-615</t>
  </si>
  <si>
    <t>40-615</t>
  </si>
  <si>
    <t>12-616</t>
  </si>
  <si>
    <t>40-616</t>
  </si>
  <si>
    <t>12-617</t>
  </si>
  <si>
    <t>40-617</t>
  </si>
  <si>
    <t>12-618</t>
  </si>
  <si>
    <t>40-618</t>
  </si>
  <si>
    <t>12-619</t>
  </si>
  <si>
    <t>40-619</t>
  </si>
  <si>
    <t>12-620</t>
  </si>
  <si>
    <t>40-620</t>
  </si>
  <si>
    <t>12-621</t>
  </si>
  <si>
    <t>40-621</t>
  </si>
  <si>
    <t>12-622</t>
  </si>
  <si>
    <t>40-622</t>
  </si>
  <si>
    <t>12-623</t>
  </si>
  <si>
    <t>40-623</t>
  </si>
  <si>
    <t>12-624</t>
  </si>
  <si>
    <t>40-624</t>
  </si>
  <si>
    <t>12-625</t>
  </si>
  <si>
    <t>40-625</t>
  </si>
  <si>
    <t>12-626</t>
  </si>
  <si>
    <t>40-626</t>
  </si>
  <si>
    <t>12-627</t>
  </si>
  <si>
    <t>40-627</t>
  </si>
  <si>
    <t>12-628</t>
  </si>
  <si>
    <t>40-628</t>
  </si>
  <si>
    <t>12-629</t>
  </si>
  <si>
    <t>40-629</t>
  </si>
  <si>
    <t>12-630</t>
  </si>
  <si>
    <t>40-630</t>
  </si>
  <si>
    <t>12-631</t>
  </si>
  <si>
    <t>40-631</t>
  </si>
  <si>
    <t>12-632</t>
  </si>
  <si>
    <t>40-632</t>
  </si>
  <si>
    <t>12-633</t>
  </si>
  <si>
    <t>40-633</t>
  </si>
  <si>
    <t>12-634</t>
  </si>
  <si>
    <t>40-634</t>
  </si>
  <si>
    <t>12-635</t>
  </si>
  <si>
    <t>40-635</t>
  </si>
  <si>
    <t>12-636</t>
  </si>
  <si>
    <t>40-636</t>
  </si>
  <si>
    <t>12-637</t>
  </si>
  <si>
    <t>40-637</t>
  </si>
  <si>
    <t>12-638</t>
  </si>
  <si>
    <t>40-638</t>
  </si>
  <si>
    <t>12-639</t>
  </si>
  <si>
    <t>40-639</t>
  </si>
  <si>
    <t>12-640</t>
  </si>
  <si>
    <t>40-640</t>
  </si>
  <si>
    <t>12-641</t>
  </si>
  <si>
    <t>40-641</t>
  </si>
  <si>
    <t>12-642</t>
  </si>
  <si>
    <t>40-642</t>
  </si>
  <si>
    <t>12-643</t>
  </si>
  <si>
    <t>40-643</t>
  </si>
  <si>
    <t>12-644</t>
  </si>
  <si>
    <t>40-644</t>
  </si>
  <si>
    <t>12-645</t>
  </si>
  <si>
    <t>40-645</t>
  </si>
  <si>
    <t>12-646</t>
  </si>
  <si>
    <t>40-646</t>
  </si>
  <si>
    <t>12-647</t>
  </si>
  <si>
    <t>40-647</t>
  </si>
  <si>
    <t>12-648</t>
  </si>
  <si>
    <t>40-648</t>
  </si>
  <si>
    <t>12-649</t>
  </si>
  <si>
    <t>40-649</t>
  </si>
  <si>
    <t>12-650</t>
  </si>
  <si>
    <t>40-650</t>
  </si>
  <si>
    <t>12-651</t>
  </si>
  <si>
    <t>40-651</t>
  </si>
  <si>
    <t>12-652</t>
  </si>
  <si>
    <t>40-652</t>
  </si>
  <si>
    <t>12-653</t>
  </si>
  <si>
    <t>40-653</t>
  </si>
  <si>
    <t>12-654</t>
  </si>
  <si>
    <t>40-654</t>
  </si>
  <si>
    <t>12-655</t>
  </si>
  <si>
    <t>40-655</t>
  </si>
  <si>
    <t>12-656</t>
  </si>
  <si>
    <t>40-656</t>
  </si>
  <si>
    <t>12-657</t>
  </si>
  <si>
    <t>40-657</t>
  </si>
  <si>
    <t>12-658</t>
  </si>
  <si>
    <t>40-658</t>
  </si>
  <si>
    <t>12-659</t>
  </si>
  <si>
    <t>40-659</t>
  </si>
  <si>
    <t>12-660</t>
  </si>
  <si>
    <t>40-660</t>
  </si>
  <si>
    <t>12-661</t>
  </si>
  <si>
    <t>40-661</t>
  </si>
  <si>
    <t>12-662</t>
  </si>
  <si>
    <t>40-662</t>
  </si>
  <si>
    <t>12-663</t>
  </si>
  <si>
    <t>40-663</t>
  </si>
  <si>
    <t>12-664</t>
  </si>
  <si>
    <t>40-664</t>
  </si>
  <si>
    <t>12-665</t>
  </si>
  <si>
    <t>40-665</t>
  </si>
  <si>
    <t>12-666</t>
  </si>
  <si>
    <t>40-666</t>
  </si>
  <si>
    <t>12-667</t>
  </si>
  <si>
    <t>40-667</t>
  </si>
  <si>
    <t>12-668</t>
  </si>
  <si>
    <t>40-668</t>
  </si>
  <si>
    <t>12-669</t>
  </si>
  <si>
    <t>40-669</t>
  </si>
  <si>
    <t>12-670</t>
  </si>
  <si>
    <t>40-670</t>
  </si>
  <si>
    <t>12-671</t>
  </si>
  <si>
    <t>40-671</t>
  </si>
  <si>
    <t>12-672</t>
  </si>
  <si>
    <t>40-672</t>
  </si>
  <si>
    <t>12-673</t>
  </si>
  <si>
    <t>40-673</t>
  </si>
  <si>
    <t>12-674</t>
  </si>
  <si>
    <t>40-674</t>
  </si>
  <si>
    <t>12-675</t>
  </si>
  <si>
    <t>40-675</t>
  </si>
  <si>
    <t>12-676</t>
  </si>
  <si>
    <t>40-676</t>
  </si>
  <si>
    <t>12-677</t>
  </si>
  <si>
    <t>40-677</t>
  </si>
  <si>
    <t>12-678</t>
  </si>
  <si>
    <t>40-678</t>
  </si>
  <si>
    <t>12-679</t>
  </si>
  <si>
    <t>40-679</t>
  </si>
  <si>
    <t>12-680</t>
  </si>
  <si>
    <t>40-680</t>
  </si>
  <si>
    <t>12-681</t>
  </si>
  <si>
    <t>40-681</t>
  </si>
  <si>
    <t>12-682</t>
  </si>
  <si>
    <t>40-682</t>
  </si>
  <si>
    <t>12-683</t>
  </si>
  <si>
    <t>40-683</t>
  </si>
  <si>
    <t>12-684</t>
  </si>
  <si>
    <t>40-684</t>
  </si>
  <si>
    <t>12-685</t>
  </si>
  <si>
    <t>40-685</t>
  </si>
  <si>
    <t>12-686</t>
  </si>
  <si>
    <t>40-686</t>
  </si>
  <si>
    <t>12-687</t>
  </si>
  <si>
    <t>40-687</t>
  </si>
  <si>
    <t>12-688</t>
  </si>
  <si>
    <t>40-688</t>
  </si>
  <si>
    <t>12-689</t>
  </si>
  <si>
    <t>40-689</t>
  </si>
  <si>
    <t>12-690</t>
  </si>
  <si>
    <t>40-690</t>
  </si>
  <si>
    <t>12-691</t>
  </si>
  <si>
    <t>40-691</t>
  </si>
  <si>
    <t>12-692</t>
  </si>
  <si>
    <t>40-692</t>
  </si>
  <si>
    <t>12-693</t>
  </si>
  <si>
    <t>40-693</t>
  </si>
  <si>
    <t>12-694</t>
  </si>
  <si>
    <t>40-694</t>
  </si>
  <si>
    <t>12-695</t>
  </si>
  <si>
    <t>40-695</t>
  </si>
  <si>
    <t>12-696</t>
  </si>
  <si>
    <t>40-696</t>
  </si>
  <si>
    <t>12-697</t>
  </si>
  <si>
    <t>40-697</t>
  </si>
  <si>
    <t>12-698</t>
  </si>
  <si>
    <t>40-698</t>
  </si>
  <si>
    <t>12-699</t>
  </si>
  <si>
    <t>40-699</t>
  </si>
  <si>
    <t>12-700</t>
  </si>
  <si>
    <t>40-700</t>
  </si>
  <si>
    <t>12-701</t>
  </si>
  <si>
    <t>40-701</t>
  </si>
  <si>
    <t>12-702</t>
  </si>
  <si>
    <t>40-702</t>
  </si>
  <si>
    <t>12-703</t>
  </si>
  <si>
    <t>40-703</t>
  </si>
  <si>
    <t>12-704</t>
  </si>
  <si>
    <t>40-704</t>
  </si>
  <si>
    <t>12-705</t>
  </si>
  <si>
    <t>40-705</t>
  </si>
  <si>
    <t>12-706</t>
  </si>
  <si>
    <t>40-706</t>
  </si>
  <si>
    <t>12-707</t>
  </si>
  <si>
    <t>40-707</t>
  </si>
  <si>
    <t>12-708</t>
  </si>
  <si>
    <t>40-708</t>
  </si>
  <si>
    <t>12-709</t>
  </si>
  <si>
    <t>40-709</t>
  </si>
  <si>
    <t>12-710</t>
  </si>
  <si>
    <t>40-710</t>
  </si>
  <si>
    <t>12-711</t>
  </si>
  <si>
    <t>40-711</t>
  </si>
  <si>
    <t>12-712</t>
  </si>
  <si>
    <t>40-712</t>
  </si>
  <si>
    <t>12-713</t>
  </si>
  <si>
    <t>40-713</t>
  </si>
  <si>
    <t>12-714</t>
  </si>
  <si>
    <t>40-714</t>
  </si>
  <si>
    <t>12-715</t>
  </si>
  <si>
    <t>40-715</t>
  </si>
  <si>
    <t>12-716</t>
  </si>
  <si>
    <t>40-716</t>
  </si>
  <si>
    <t>12-717</t>
  </si>
  <si>
    <t>40-717</t>
  </si>
  <si>
    <t>12-718</t>
  </si>
  <si>
    <t>40-718</t>
  </si>
  <si>
    <t>12-719</t>
  </si>
  <si>
    <t>40-719</t>
  </si>
  <si>
    <t>12-720</t>
  </si>
  <si>
    <t>40-720</t>
  </si>
  <si>
    <t>12-721</t>
  </si>
  <si>
    <t>40-721</t>
  </si>
  <si>
    <t>12-722</t>
  </si>
  <si>
    <t>40-722</t>
  </si>
  <si>
    <t>12-723</t>
  </si>
  <si>
    <t>40-723</t>
  </si>
  <si>
    <t>12-724</t>
  </si>
  <si>
    <t>40-724</t>
  </si>
  <si>
    <t>12-725</t>
  </si>
  <si>
    <t>40-725</t>
  </si>
  <si>
    <t>12-726</t>
  </si>
  <si>
    <t>40-726</t>
  </si>
  <si>
    <t>12-727</t>
  </si>
  <si>
    <t>40-727</t>
  </si>
  <si>
    <t>12-728</t>
  </si>
  <si>
    <t>40-728</t>
  </si>
  <si>
    <t>12-729</t>
  </si>
  <si>
    <t>40-729</t>
  </si>
  <si>
    <t>12-730</t>
  </si>
  <si>
    <t>40-730</t>
  </si>
  <si>
    <t>12-731</t>
  </si>
  <si>
    <t>40-731</t>
  </si>
  <si>
    <t>12-732</t>
  </si>
  <si>
    <t>40-732</t>
  </si>
  <si>
    <t>12-733</t>
  </si>
  <si>
    <t>40-733</t>
  </si>
  <si>
    <t>12-734</t>
  </si>
  <si>
    <t>40-734</t>
  </si>
  <si>
    <t>12-735</t>
  </si>
  <si>
    <t>40-735</t>
  </si>
  <si>
    <t>12-736</t>
  </si>
  <si>
    <t>40-736</t>
  </si>
  <si>
    <t>12-737</t>
  </si>
  <si>
    <t>40-737</t>
  </si>
  <si>
    <t>12-738</t>
  </si>
  <si>
    <t>40-738</t>
  </si>
  <si>
    <t>12-739</t>
  </si>
  <si>
    <t>40-739</t>
  </si>
  <si>
    <t>12-740</t>
  </si>
  <si>
    <t>40-740</t>
  </si>
  <si>
    <t>12-741</t>
  </si>
  <si>
    <t>40-741</t>
  </si>
  <si>
    <t>12-742</t>
  </si>
  <si>
    <t>40-742</t>
  </si>
  <si>
    <t>12-743</t>
  </si>
  <si>
    <t>40-743</t>
  </si>
  <si>
    <t>12-744</t>
  </si>
  <si>
    <t>40-744</t>
  </si>
  <si>
    <t>12-745</t>
  </si>
  <si>
    <t>40-745</t>
  </si>
  <si>
    <t>12-746</t>
  </si>
  <si>
    <t>40-746</t>
  </si>
  <si>
    <t>12-747</t>
  </si>
  <si>
    <t>40-747</t>
  </si>
  <si>
    <t>12-748</t>
  </si>
  <si>
    <t>40-748</t>
  </si>
  <si>
    <t>12-749</t>
  </si>
  <si>
    <t>40-749</t>
  </si>
  <si>
    <t>12-750</t>
  </si>
  <si>
    <t>40-750</t>
  </si>
  <si>
    <t>12-751</t>
  </si>
  <si>
    <t>40-751</t>
  </si>
  <si>
    <t>12-752</t>
  </si>
  <si>
    <t>40-752</t>
  </si>
  <si>
    <t>12-753</t>
  </si>
  <si>
    <t>40-753</t>
  </si>
  <si>
    <t>12-754</t>
  </si>
  <si>
    <t>40-754</t>
  </si>
  <si>
    <t>12-755</t>
  </si>
  <si>
    <t>40-755</t>
  </si>
  <si>
    <t>12-756</t>
  </si>
  <si>
    <t>40-756</t>
  </si>
  <si>
    <t>12-757</t>
  </si>
  <si>
    <t>40-757</t>
  </si>
  <si>
    <t>12-758</t>
  </si>
  <si>
    <t>40-758</t>
  </si>
  <si>
    <t>12-759</t>
  </si>
  <si>
    <t>40-759</t>
  </si>
  <si>
    <t>12-760</t>
  </si>
  <si>
    <t>40-760</t>
  </si>
  <si>
    <t>12-761</t>
  </si>
  <si>
    <t>40-761</t>
  </si>
  <si>
    <t>12-762</t>
  </si>
  <si>
    <t>40-762</t>
  </si>
  <si>
    <t>12-763</t>
  </si>
  <si>
    <t>40-763</t>
  </si>
  <si>
    <t>12-764</t>
  </si>
  <si>
    <t>40-764</t>
  </si>
  <si>
    <t>12-765</t>
  </si>
  <si>
    <t>40-765</t>
  </si>
  <si>
    <t>12-766</t>
  </si>
  <si>
    <t>40-766</t>
  </si>
  <si>
    <t>12-767</t>
  </si>
  <si>
    <t>40-767</t>
  </si>
  <si>
    <t>12-768</t>
  </si>
  <si>
    <t>40-768</t>
  </si>
  <si>
    <t>12-769</t>
  </si>
  <si>
    <t>40-769</t>
  </si>
  <si>
    <t>12-770</t>
  </si>
  <si>
    <t>40-770</t>
  </si>
  <si>
    <t>12-771</t>
  </si>
  <si>
    <t>40-771</t>
  </si>
  <si>
    <t>12-772</t>
  </si>
  <si>
    <t>40-772</t>
  </si>
  <si>
    <t>12-773</t>
  </si>
  <si>
    <t>40-773</t>
  </si>
  <si>
    <t>12-774</t>
  </si>
  <si>
    <t>40-774</t>
  </si>
  <si>
    <t>12-775</t>
  </si>
  <si>
    <t>40-775</t>
  </si>
  <si>
    <t>12-776</t>
  </si>
  <si>
    <t>40-776</t>
  </si>
  <si>
    <t>12-777</t>
  </si>
  <si>
    <t>40-777</t>
  </si>
  <si>
    <t>12-778</t>
  </si>
  <si>
    <t>40-778</t>
  </si>
  <si>
    <t>12-779</t>
  </si>
  <si>
    <t>40-779</t>
  </si>
  <si>
    <t>12-780</t>
  </si>
  <si>
    <t>40-780</t>
  </si>
  <si>
    <t>12-781</t>
  </si>
  <si>
    <t>40-781</t>
  </si>
  <si>
    <t>12-782</t>
  </si>
  <si>
    <t>40-782</t>
  </si>
  <si>
    <t>12-783</t>
  </si>
  <si>
    <t>40-783</t>
  </si>
  <si>
    <t>12-784</t>
  </si>
  <si>
    <t>40-784</t>
  </si>
  <si>
    <t>12-785</t>
  </si>
  <si>
    <t>40-785</t>
  </si>
  <si>
    <t>12-786</t>
  </si>
  <si>
    <t>40-786</t>
  </si>
  <si>
    <t>12-787</t>
  </si>
  <si>
    <t>40-787</t>
  </si>
  <si>
    <t>12-788</t>
  </si>
  <si>
    <t>40-788</t>
  </si>
  <si>
    <t>12-789</t>
  </si>
  <si>
    <t>40-789</t>
  </si>
  <si>
    <t>12-790</t>
  </si>
  <si>
    <t>40-790</t>
  </si>
  <si>
    <t>12-791</t>
  </si>
  <si>
    <t>40-791</t>
  </si>
  <si>
    <t>12-792</t>
  </si>
  <si>
    <t>40-792</t>
  </si>
  <si>
    <t>12-793</t>
  </si>
  <si>
    <t>40-793</t>
  </si>
  <si>
    <t>12-794</t>
  </si>
  <si>
    <t>40-794</t>
  </si>
  <si>
    <t>12-795</t>
  </si>
  <si>
    <t>40-795</t>
  </si>
  <si>
    <t>12-796</t>
  </si>
  <si>
    <t>40-796</t>
  </si>
  <si>
    <t>12-797</t>
  </si>
  <si>
    <t>40-797</t>
  </si>
  <si>
    <t>12-798</t>
  </si>
  <si>
    <t>40-798</t>
  </si>
  <si>
    <t>12-799</t>
  </si>
  <si>
    <t>40-799</t>
  </si>
  <si>
    <t>12-800</t>
  </si>
  <si>
    <t>40-800</t>
  </si>
  <si>
    <t>12-801</t>
  </si>
  <si>
    <t>40-801</t>
  </si>
  <si>
    <t>12-802</t>
  </si>
  <si>
    <t>40-802</t>
  </si>
  <si>
    <t>12-803</t>
  </si>
  <si>
    <t>40-803</t>
  </si>
  <si>
    <t>12-804</t>
  </si>
  <si>
    <t>40-804</t>
  </si>
  <si>
    <t>12-805</t>
  </si>
  <si>
    <t>40-805</t>
  </si>
  <si>
    <t>12-806</t>
  </si>
  <si>
    <t>40-806</t>
  </si>
  <si>
    <t>12-807</t>
  </si>
  <si>
    <t>40-807</t>
  </si>
  <si>
    <t>12-808</t>
  </si>
  <si>
    <t>40-808</t>
  </si>
  <si>
    <t>12-809</t>
  </si>
  <si>
    <t>40-809</t>
  </si>
  <si>
    <t>12-810</t>
  </si>
  <si>
    <t>40-810</t>
  </si>
  <si>
    <t>12-811</t>
  </si>
  <si>
    <t>40-811</t>
  </si>
  <si>
    <t>12-812</t>
  </si>
  <si>
    <t>40-812</t>
  </si>
  <si>
    <t>12-813</t>
  </si>
  <si>
    <t>40-813</t>
  </si>
  <si>
    <t>12-814</t>
  </si>
  <si>
    <t>40-814</t>
  </si>
  <si>
    <t>12-815</t>
  </si>
  <si>
    <t>40-815</t>
  </si>
  <si>
    <t>12-816</t>
  </si>
  <si>
    <t>40-816</t>
  </si>
  <si>
    <t>12-817</t>
  </si>
  <si>
    <t>40-817</t>
  </si>
  <si>
    <t>12-818</t>
  </si>
  <si>
    <t>40-818</t>
  </si>
  <si>
    <t>12-819</t>
  </si>
  <si>
    <t>40-819</t>
  </si>
  <si>
    <t>12-820</t>
  </si>
  <si>
    <t>40-820</t>
  </si>
  <si>
    <t>12-821</t>
  </si>
  <si>
    <t>40-821</t>
  </si>
  <si>
    <t>12-822</t>
  </si>
  <si>
    <t>40-822</t>
  </si>
  <si>
    <t>12-823</t>
  </si>
  <si>
    <t>40-823</t>
  </si>
  <si>
    <t>12-824</t>
  </si>
  <si>
    <t>40-824</t>
  </si>
  <si>
    <t>12-825</t>
  </si>
  <si>
    <t>40-825</t>
  </si>
  <si>
    <t>12-826</t>
  </si>
  <si>
    <t>40-826</t>
  </si>
  <si>
    <t>12-827</t>
  </si>
  <si>
    <t>40-827</t>
  </si>
  <si>
    <t>12-828</t>
  </si>
  <si>
    <t>40-828</t>
  </si>
  <si>
    <t>12-829</t>
  </si>
  <si>
    <t>40-829</t>
  </si>
  <si>
    <t>12-830</t>
  </si>
  <si>
    <t>40-830</t>
  </si>
  <si>
    <t>12-831</t>
  </si>
  <si>
    <t>40-831</t>
  </si>
  <si>
    <t>12-832</t>
  </si>
  <si>
    <t>40-832</t>
  </si>
  <si>
    <t>12-833</t>
  </si>
  <si>
    <t>40-833</t>
  </si>
  <si>
    <t>12-834</t>
  </si>
  <si>
    <t>40-834</t>
  </si>
  <si>
    <t>12-835</t>
  </si>
  <si>
    <t>40-835</t>
  </si>
  <si>
    <t>12-836</t>
  </si>
  <si>
    <t>40-836</t>
  </si>
  <si>
    <t>12-837</t>
  </si>
  <si>
    <t>40-837</t>
  </si>
  <si>
    <t>12-838</t>
  </si>
  <si>
    <t>40-838</t>
  </si>
  <si>
    <t>12-839</t>
  </si>
  <si>
    <t>40-839</t>
  </si>
  <si>
    <t>12-840</t>
  </si>
  <si>
    <t>40-840</t>
  </si>
  <si>
    <t>12-841</t>
  </si>
  <si>
    <t>40-841</t>
  </si>
  <si>
    <t>12-842</t>
  </si>
  <si>
    <t>40-842</t>
  </si>
  <si>
    <t>12-843</t>
  </si>
  <si>
    <t>40-843</t>
  </si>
  <si>
    <t>12-844</t>
  </si>
  <si>
    <t>40-844</t>
  </si>
  <si>
    <t>12-845</t>
  </si>
  <si>
    <t>40-845</t>
  </si>
  <si>
    <t>12-846</t>
  </si>
  <si>
    <t>40-846</t>
  </si>
  <si>
    <t>12-847</t>
  </si>
  <si>
    <t>40-847</t>
  </si>
  <si>
    <t>12-848</t>
  </si>
  <si>
    <t>40-848</t>
  </si>
  <si>
    <t>12-849</t>
  </si>
  <si>
    <t>40-849</t>
  </si>
  <si>
    <t>12-850</t>
  </si>
  <si>
    <t>40-850</t>
  </si>
  <si>
    <t>12-851</t>
  </si>
  <si>
    <t>40-851</t>
  </si>
  <si>
    <t>12-852</t>
  </si>
  <si>
    <t>40-852</t>
  </si>
  <si>
    <t>12-853</t>
  </si>
  <si>
    <t>40-853</t>
  </si>
  <si>
    <t>12-854</t>
  </si>
  <si>
    <t>40-854</t>
  </si>
  <si>
    <t>12-855</t>
  </si>
  <si>
    <t>40-855</t>
  </si>
  <si>
    <t>12-856</t>
  </si>
  <si>
    <t>40-856</t>
  </si>
  <si>
    <t>12-857</t>
  </si>
  <si>
    <t>40-857</t>
  </si>
  <si>
    <t>12-858</t>
  </si>
  <si>
    <t>40-858</t>
  </si>
  <si>
    <t>12-859</t>
  </si>
  <si>
    <t>40-859</t>
  </si>
  <si>
    <t>12-860</t>
  </si>
  <si>
    <t>40-860</t>
  </si>
  <si>
    <t>12-861</t>
  </si>
  <si>
    <t>40-861</t>
  </si>
  <si>
    <t>12-862</t>
  </si>
  <si>
    <t>40-862</t>
  </si>
  <si>
    <t>12-863</t>
  </si>
  <si>
    <t>40-863</t>
  </si>
  <si>
    <t>12-864</t>
  </si>
  <si>
    <t>40-864</t>
  </si>
  <si>
    <t>12-865</t>
  </si>
  <si>
    <t>40-865</t>
  </si>
  <si>
    <t>12-866</t>
  </si>
  <si>
    <t>40-866</t>
  </si>
  <si>
    <t>12-867</t>
  </si>
  <si>
    <t>40-867</t>
  </si>
  <si>
    <t>12-868</t>
  </si>
  <si>
    <t>40-868</t>
  </si>
  <si>
    <t>12-869</t>
  </si>
  <si>
    <t>40-869</t>
  </si>
  <si>
    <t>12-870</t>
  </si>
  <si>
    <t>40-870</t>
  </si>
  <si>
    <t>12-871</t>
  </si>
  <si>
    <t>40-871</t>
  </si>
  <si>
    <t>12-872</t>
  </si>
  <si>
    <t>40-872</t>
  </si>
  <si>
    <t>12-873</t>
  </si>
  <si>
    <t>40-873</t>
  </si>
  <si>
    <t>12-874</t>
  </si>
  <si>
    <t>40-874</t>
  </si>
  <si>
    <t>12-875</t>
  </si>
  <si>
    <t>40-875</t>
  </si>
  <si>
    <t>12-876</t>
  </si>
  <si>
    <t>40-876</t>
  </si>
  <si>
    <t>12-877</t>
  </si>
  <si>
    <t>40-877</t>
  </si>
  <si>
    <t>12-878</t>
  </si>
  <si>
    <t>40-878</t>
  </si>
  <si>
    <t>12-879</t>
  </si>
  <si>
    <t>40-879</t>
  </si>
  <si>
    <t>12-880</t>
  </si>
  <si>
    <t>40-880</t>
  </si>
  <si>
    <t>12-881</t>
  </si>
  <si>
    <t>40-881</t>
  </si>
  <si>
    <t>12-882</t>
  </si>
  <si>
    <t>40-882</t>
  </si>
  <si>
    <t>12-883</t>
  </si>
  <si>
    <t>40-883</t>
  </si>
  <si>
    <t>12-884</t>
  </si>
  <si>
    <t>40-884</t>
  </si>
  <si>
    <t>12-885</t>
  </si>
  <si>
    <t>40-885</t>
  </si>
  <si>
    <t>12-886</t>
  </si>
  <si>
    <t>40-886</t>
  </si>
  <si>
    <t>12-887</t>
  </si>
  <si>
    <t>40-887</t>
  </si>
  <si>
    <t>12-888</t>
  </si>
  <si>
    <t>40-888</t>
  </si>
  <si>
    <t>12-889</t>
  </si>
  <si>
    <t>40-889</t>
  </si>
  <si>
    <t>12-890</t>
  </si>
  <si>
    <t>40-890</t>
  </si>
  <si>
    <t>32, 32a</t>
  </si>
  <si>
    <t>32b</t>
  </si>
  <si>
    <t>Revenues</t>
  </si>
  <si>
    <t>31 (20-24)</t>
  </si>
  <si>
    <t>08-504</t>
  </si>
  <si>
    <t>08-506</t>
  </si>
  <si>
    <t>08-507</t>
  </si>
  <si>
    <t>08-508</t>
  </si>
  <si>
    <t>08-509</t>
  </si>
  <si>
    <t>08-510</t>
  </si>
  <si>
    <t>08-511</t>
  </si>
  <si>
    <t>08-515</t>
  </si>
  <si>
    <t>08-740</t>
  </si>
  <si>
    <t>08-520</t>
  </si>
  <si>
    <t>55-503</t>
  </si>
  <si>
    <t>55-504</t>
  </si>
  <si>
    <t>55-505</t>
  </si>
  <si>
    <t>55-513</t>
  </si>
  <si>
    <t>55-514</t>
  </si>
  <si>
    <t>55-515</t>
  </si>
  <si>
    <t>55-524</t>
  </si>
  <si>
    <t>55-525</t>
  </si>
  <si>
    <t>55-543</t>
  </si>
  <si>
    <t>55-544</t>
  </si>
  <si>
    <t>55-550</t>
  </si>
  <si>
    <t>08-512</t>
  </si>
  <si>
    <t>Tabs 12 through 15n</t>
  </si>
  <si>
    <t>Tabs 20 and 20a</t>
  </si>
  <si>
    <t>Tab 21</t>
  </si>
  <si>
    <t>Tabs 18 and 18a</t>
  </si>
  <si>
    <t>Tab 28</t>
  </si>
  <si>
    <t>Tabs 26 and 26a</t>
  </si>
  <si>
    <t>Tabs 27 and 27a</t>
  </si>
  <si>
    <t>Tabs 22, 22a, 22b</t>
  </si>
  <si>
    <t>Tab 19</t>
  </si>
  <si>
    <t>Tabs 17 and 17a</t>
  </si>
  <si>
    <t>20-100</t>
  </si>
  <si>
    <t>20-150</t>
  </si>
  <si>
    <t>22-900</t>
  </si>
  <si>
    <t>30-410</t>
  </si>
  <si>
    <t>44-903</t>
  </si>
  <si>
    <t>45-940</t>
  </si>
  <si>
    <t>42-102</t>
  </si>
  <si>
    <t>36-473</t>
  </si>
  <si>
    <t>30-415</t>
  </si>
  <si>
    <t>20-101</t>
  </si>
  <si>
    <t>21-191</t>
  </si>
  <si>
    <t>44-904</t>
  </si>
  <si>
    <t>45-941</t>
  </si>
  <si>
    <t>42-103</t>
  </si>
  <si>
    <t>36-476</t>
  </si>
  <si>
    <t>30-420</t>
  </si>
  <si>
    <t>20-102</t>
  </si>
  <si>
    <t>23-221</t>
  </si>
  <si>
    <t>46-860</t>
  </si>
  <si>
    <t>44-905</t>
  </si>
  <si>
    <t>45-942</t>
  </si>
  <si>
    <t>42-104</t>
  </si>
  <si>
    <t>30-425</t>
  </si>
  <si>
    <t>20-103</t>
  </si>
  <si>
    <t>25-251</t>
  </si>
  <si>
    <t>46-880</t>
  </si>
  <si>
    <t>45-943</t>
  </si>
  <si>
    <t>42-105</t>
  </si>
  <si>
    <t>30-429</t>
  </si>
  <si>
    <t>20-104</t>
  </si>
  <si>
    <t>25-286</t>
  </si>
  <si>
    <t>46-894</t>
  </si>
  <si>
    <t>46-892</t>
  </si>
  <si>
    <t>45-944</t>
  </si>
  <si>
    <t>42-106</t>
  </si>
  <si>
    <t>20-105</t>
  </si>
  <si>
    <t>26-298</t>
  </si>
  <si>
    <t>46-895</t>
  </si>
  <si>
    <t>46-896</t>
  </si>
  <si>
    <t>42-107</t>
  </si>
  <si>
    <t>20-110</t>
  </si>
  <si>
    <t>29-390</t>
  </si>
  <si>
    <t>42-108</t>
  </si>
  <si>
    <t>20-120</t>
  </si>
  <si>
    <t>30-426</t>
  </si>
  <si>
    <t>42-109</t>
  </si>
  <si>
    <t>20-130</t>
  </si>
  <si>
    <t>30-427</t>
  </si>
  <si>
    <t>42-110</t>
  </si>
  <si>
    <t>20-135</t>
  </si>
  <si>
    <t>30-428</t>
  </si>
  <si>
    <t>42-111</t>
  </si>
  <si>
    <t>20-140</t>
  </si>
  <si>
    <t>30-430</t>
  </si>
  <si>
    <t>42-112</t>
  </si>
  <si>
    <t>20-145</t>
  </si>
  <si>
    <t>31-456</t>
  </si>
  <si>
    <t>42-113</t>
  </si>
  <si>
    <t>32-465</t>
  </si>
  <si>
    <t>42-114</t>
  </si>
  <si>
    <t>20-155</t>
  </si>
  <si>
    <t>43-490</t>
  </si>
  <si>
    <t>42-115</t>
  </si>
  <si>
    <t>20-160</t>
  </si>
  <si>
    <t>42-116</t>
  </si>
  <si>
    <t>20-165</t>
  </si>
  <si>
    <t>42-117</t>
  </si>
  <si>
    <t>20-170</t>
  </si>
  <si>
    <t>42-118</t>
  </si>
  <si>
    <t>20-175</t>
  </si>
  <si>
    <t>42-119</t>
  </si>
  <si>
    <t>21-180</t>
  </si>
  <si>
    <t>42-120</t>
  </si>
  <si>
    <t>21-181</t>
  </si>
  <si>
    <t>42-121</t>
  </si>
  <si>
    <t>21-182</t>
  </si>
  <si>
    <t>42-122</t>
  </si>
  <si>
    <t>21-183</t>
  </si>
  <si>
    <t>42-123</t>
  </si>
  <si>
    <t>21-184</t>
  </si>
  <si>
    <t>42-124</t>
  </si>
  <si>
    <t>21-185</t>
  </si>
  <si>
    <t>42-125</t>
  </si>
  <si>
    <t>21-190</t>
  </si>
  <si>
    <t>23-210</t>
  </si>
  <si>
    <t>23-211</t>
  </si>
  <si>
    <t>23-215</t>
  </si>
  <si>
    <t>23-220</t>
  </si>
  <si>
    <t>23-222</t>
  </si>
  <si>
    <t>25-240</t>
  </si>
  <si>
    <t>25-241</t>
  </si>
  <si>
    <t>25-242</t>
  </si>
  <si>
    <t>25-243</t>
  </si>
  <si>
    <t>25-244</t>
  </si>
  <si>
    <t>25-245</t>
  </si>
  <si>
    <t>25-250</t>
  </si>
  <si>
    <t>25-252</t>
  </si>
  <si>
    <t>25-255</t>
  </si>
  <si>
    <t>25-260</t>
  </si>
  <si>
    <t>25-261</t>
  </si>
  <si>
    <t>25-265</t>
  </si>
  <si>
    <t>25-275</t>
  </si>
  <si>
    <t>25-280</t>
  </si>
  <si>
    <t>26-290</t>
  </si>
  <si>
    <t>26-291</t>
  </si>
  <si>
    <t>26-292</t>
  </si>
  <si>
    <t>26-293</t>
  </si>
  <si>
    <t>26-294</t>
  </si>
  <si>
    <t>26-295</t>
  </si>
  <si>
    <t>26-297</t>
  </si>
  <si>
    <t>26-300</t>
  </si>
  <si>
    <t>26-305</t>
  </si>
  <si>
    <t>26-310</t>
  </si>
  <si>
    <t>26-315</t>
  </si>
  <si>
    <t>26-320</t>
  </si>
  <si>
    <t>26-325</t>
  </si>
  <si>
    <t>27-330</t>
  </si>
  <si>
    <t>27-331</t>
  </si>
  <si>
    <t>27-332</t>
  </si>
  <si>
    <t>27-333</t>
  </si>
  <si>
    <t>27-334</t>
  </si>
  <si>
    <t>27-335</t>
  </si>
  <si>
    <t>27-340</t>
  </si>
  <si>
    <t>27-365</t>
  </si>
  <si>
    <t>28-370</t>
  </si>
  <si>
    <t>28-371</t>
  </si>
  <si>
    <t>28-372</t>
  </si>
  <si>
    <t>28-373</t>
  </si>
  <si>
    <t>28-374</t>
  </si>
  <si>
    <t>28-375</t>
  </si>
  <si>
    <t>28-380</t>
  </si>
  <si>
    <t>29-391</t>
  </si>
  <si>
    <t>29-392</t>
  </si>
  <si>
    <t>31-430</t>
  </si>
  <si>
    <t>31-435</t>
  </si>
  <si>
    <t>31-440</t>
  </si>
  <si>
    <t>31-445</t>
  </si>
  <si>
    <t>31-447</t>
  </si>
  <si>
    <t>31-455</t>
  </si>
  <si>
    <t>31-460</t>
  </si>
  <si>
    <t>43-495</t>
  </si>
  <si>
    <t>Open Space</t>
  </si>
  <si>
    <t>43 (Rev)</t>
  </si>
  <si>
    <t>43 (App)</t>
  </si>
  <si>
    <t>54-114</t>
  </si>
  <si>
    <t>54-124</t>
  </si>
  <si>
    <t>54-176</t>
  </si>
  <si>
    <t>54-211</t>
  </si>
  <si>
    <t>54-940</t>
  </si>
  <si>
    <t>54-945</t>
  </si>
  <si>
    <t>Option 1 - RUT Calculated by Percentage (default)</t>
  </si>
  <si>
    <t>Insert RUT Percentage</t>
  </si>
  <si>
    <t>Option 2 - RUT Based on Fixed Amount</t>
  </si>
  <si>
    <t>Insert "x" Here</t>
  </si>
  <si>
    <t>Insert RUT Amount</t>
  </si>
  <si>
    <t>Calculated Percentage</t>
  </si>
  <si>
    <t>* Cannot Exceed Percentage of Collection in AFS (sheet 22)</t>
  </si>
  <si>
    <t>Percentage of Collection from AFS (sheet 22)</t>
  </si>
  <si>
    <t>Total Tax Requirements/Percentage</t>
  </si>
  <si>
    <t>*</t>
  </si>
  <si>
    <t xml:space="preserve">With Prior Written Consent of the Director of Local Government Services </t>
  </si>
  <si>
    <t>Shared Service Agreements Offset With Appropriations:</t>
  </si>
  <si>
    <t>With Prior Written Consent of the Director of Local Government Services</t>
  </si>
  <si>
    <t>Utility Operating Surplus of Prior Year</t>
  </si>
  <si>
    <t>(F) Judgments</t>
  </si>
  <si>
    <t>Shared Service Agreements</t>
  </si>
  <si>
    <t>Special Items of General Revenue Anticipated with Prior Written Consent of Director of Local Government Services - Shared Service Agreements</t>
  </si>
  <si>
    <t xml:space="preserve">Maximum Appropriations within  "CAPS" Sheet 19 @ </t>
  </si>
  <si>
    <t>Maximum Appropriations within  "CAPS" Sheet 19 @</t>
  </si>
  <si>
    <t>Twenty-Five</t>
  </si>
  <si>
    <t>15a</t>
  </si>
  <si>
    <t>15b</t>
  </si>
  <si>
    <t>15c</t>
  </si>
  <si>
    <t>15d</t>
  </si>
  <si>
    <t>15e</t>
  </si>
  <si>
    <t>15f</t>
  </si>
  <si>
    <t>15g</t>
  </si>
  <si>
    <t>15h</t>
  </si>
  <si>
    <t>15i</t>
  </si>
  <si>
    <t>15j</t>
  </si>
  <si>
    <t>15k</t>
  </si>
  <si>
    <t>15l</t>
  </si>
  <si>
    <t>15m</t>
  </si>
  <si>
    <t>15n</t>
  </si>
  <si>
    <t>16a</t>
  </si>
  <si>
    <t>24a</t>
  </si>
  <si>
    <t>24b</t>
  </si>
  <si>
    <t>24c</t>
  </si>
  <si>
    <t>24d</t>
  </si>
  <si>
    <t>24e</t>
  </si>
  <si>
    <t>24f</t>
  </si>
  <si>
    <t>24g</t>
  </si>
  <si>
    <t>24h</t>
  </si>
  <si>
    <t>24i</t>
  </si>
  <si>
    <t>SeventeenA</t>
  </si>
  <si>
    <r>
      <t>Instead of receiving Health Benefits,</t>
    </r>
    <r>
      <rPr>
        <u/>
        <sz val="9.5"/>
        <rFont val="Arial"/>
        <family val="2"/>
      </rPr>
      <t xml:space="preserve">     </t>
    </r>
    <r>
      <rPr>
        <sz val="9.5"/>
        <rFont val="Arial"/>
        <family val="2"/>
      </rPr>
      <t xml:space="preserve"> </t>
    </r>
  </si>
  <si>
    <t>Budgeted Group Insurance - Utilities</t>
  </si>
  <si>
    <t>Budgeted Group Insurance - Inside CAP</t>
  </si>
  <si>
    <t>Budgeted Group Insurance - Outside CAP</t>
  </si>
  <si>
    <t>08-106</t>
  </si>
  <si>
    <t>Tab 7, 7a, 7b</t>
  </si>
  <si>
    <t>08-162</t>
  </si>
  <si>
    <t>Tab 23</t>
  </si>
  <si>
    <t>22-196</t>
  </si>
  <si>
    <t>22-197</t>
  </si>
  <si>
    <t>22-198</t>
  </si>
  <si>
    <t>22-199</t>
  </si>
  <si>
    <t>22-200</t>
  </si>
  <si>
    <t>22-201</t>
  </si>
  <si>
    <t>22-202</t>
  </si>
  <si>
    <t>22-203</t>
  </si>
  <si>
    <t>22-204</t>
  </si>
  <si>
    <t>22-205</t>
  </si>
  <si>
    <t>22-206</t>
  </si>
  <si>
    <t>22-207</t>
  </si>
  <si>
    <t>22-208</t>
  </si>
  <si>
    <t>22-209</t>
  </si>
  <si>
    <t>31-446</t>
  </si>
  <si>
    <t>31-450</t>
  </si>
  <si>
    <t>29-393</t>
  </si>
  <si>
    <t>30-411</t>
  </si>
  <si>
    <t>30-412</t>
  </si>
  <si>
    <t>30-413</t>
  </si>
  <si>
    <t>30-414</t>
  </si>
  <si>
    <t>Tabs 16, 16a</t>
  </si>
  <si>
    <t>46-861</t>
  </si>
  <si>
    <t>46-862</t>
  </si>
  <si>
    <t>46-863</t>
  </si>
  <si>
    <t>46-864</t>
  </si>
  <si>
    <t>Other Expenses (Including Contingent) - Backup</t>
  </si>
  <si>
    <t>Salaries and Wages - Backup</t>
  </si>
  <si>
    <t>Salaries &amp; Wages - Backup</t>
  </si>
  <si>
    <t>Other Expenses -Backup</t>
  </si>
  <si>
    <t>SPECIAL DISTRICTS:</t>
  </si>
  <si>
    <t xml:space="preserve">The Advertisement tab is not locked, allowing for users to edit formulas and/or the template. </t>
  </si>
  <si>
    <t>General Instructions to Complete the Municipal Budget Workbook</t>
  </si>
  <si>
    <t>This workbook shall be used for completing the Municipal Introduced and Adopted Budgets.</t>
  </si>
  <si>
    <t xml:space="preserve">It is designed to automatically calculate amounts linked from various data entry points. </t>
  </si>
  <si>
    <t>c)</t>
  </si>
  <si>
    <t xml:space="preserve">The individual tabs containing formulas are locked to protect the formulas. </t>
  </si>
  <si>
    <t>d)</t>
  </si>
  <si>
    <t>e)</t>
  </si>
  <si>
    <t>Begin by navigating to the "Key Inputs" tab.</t>
  </si>
  <si>
    <t>f)</t>
  </si>
  <si>
    <t xml:space="preserve">Select the municipality (and county)  by clicking  on the arrow on the right side. This will populate the entity name and county.  Continue to complete each of the fields in order to populate standard information throughout the workbook. If a utility(s) exists, enter the type of utility into the fields listed. </t>
  </si>
  <si>
    <t>g)</t>
  </si>
  <si>
    <t xml:space="preserve">In all applicable signature lines, insert the email address of the applicable official. </t>
  </si>
  <si>
    <t>h)</t>
  </si>
  <si>
    <t>i)</t>
  </si>
  <si>
    <t>j)</t>
  </si>
  <si>
    <t>Only the Chief Financial Officer has access to the "Submit for Review" tab within the FAST portal.</t>
  </si>
  <si>
    <t>Total Section  D:  Shared Service Agreements Offset With Appropriations</t>
  </si>
  <si>
    <t>Total General Appropriations for</t>
  </si>
  <si>
    <t>Municipal Purposes within "CAPS"</t>
  </si>
  <si>
    <t>(A)</t>
  </si>
  <si>
    <t>Total Deferred Charges (Sheet 28)</t>
  </si>
  <si>
    <t>Judgments (Sheet 28)</t>
  </si>
  <si>
    <t xml:space="preserve">   Total capital expenditures this year do not exceed $25,000,  including appropriations for  Capital Improvement Fund,</t>
  </si>
  <si>
    <t xml:space="preserve">   No bond ordinances are planned this year.</t>
  </si>
  <si>
    <t xml:space="preserve">   Capital Line items and Down Payments on Improvements.</t>
  </si>
  <si>
    <t xml:space="preserve">  previous three years, and is not adopting CIP.</t>
  </si>
  <si>
    <t>Sheet  40b - Totals</t>
  </si>
  <si>
    <t>Sheet  40c - Totals</t>
  </si>
  <si>
    <t>Sheet  40d - Totals</t>
  </si>
  <si>
    <t>https://www.nj.gov/dca/divisions/dlgs/pdf/Budget_Document_Instructions.pdf</t>
  </si>
  <si>
    <t>DLGS</t>
  </si>
  <si>
    <t>Version</t>
  </si>
  <si>
    <t>20</t>
  </si>
  <si>
    <t>20a</t>
  </si>
  <si>
    <t>21</t>
  </si>
  <si>
    <t>22</t>
  </si>
  <si>
    <t>22a</t>
  </si>
  <si>
    <t>22b</t>
  </si>
  <si>
    <t>23</t>
  </si>
  <si>
    <t>24</t>
  </si>
  <si>
    <t>41-899</t>
  </si>
  <si>
    <t>Matching Funds for Grants</t>
  </si>
  <si>
    <t>Actual Percentage of Collection</t>
  </si>
  <si>
    <t xml:space="preserve">Please review the additional instructions "Quick Guide for completing the Municipal Budget" link below: </t>
  </si>
  <si>
    <r>
      <t>Fill in only the gray sections of the</t>
    </r>
    <r>
      <rPr>
        <sz val="12"/>
        <rFont val="Cambria"/>
        <family val="1"/>
      </rPr>
      <t xml:space="preserve"> </t>
    </r>
    <r>
      <rPr>
        <sz val="12"/>
        <rFont val="Calibri Light"/>
        <family val="2"/>
      </rPr>
      <t xml:space="preserve">worksheet. </t>
    </r>
  </si>
  <si>
    <r>
      <t xml:space="preserve">Once approved by the Governing Body, the completed Introduced Budget must be submitted to the Division via the FAST "Introduced Budget" record portal </t>
    </r>
    <r>
      <rPr>
        <sz val="12"/>
        <rFont val="Cambria"/>
        <family val="1"/>
      </rPr>
      <t>and it must be precisely named as:</t>
    </r>
    <r>
      <rPr>
        <b/>
        <sz val="12"/>
        <rFont val="Cambria"/>
        <family val="1"/>
      </rPr>
      <t xml:space="preserve"> &lt;municode&gt;_introbudget_20xx (all 4 digits municode must be included)</t>
    </r>
    <r>
      <rPr>
        <sz val="12"/>
        <rFont val="Cambria"/>
        <family val="1"/>
      </rPr>
      <t xml:space="preserve">. </t>
    </r>
  </si>
  <si>
    <r>
      <t xml:space="preserve">Once approved by the Governing Body, the completed Adopted Budget must be submitted to the Division via the FAST "Adopted Budget" record portal </t>
    </r>
    <r>
      <rPr>
        <sz val="12"/>
        <rFont val="Cambria"/>
        <family val="1"/>
      </rPr>
      <t xml:space="preserve">and it must be precisely named as: </t>
    </r>
    <r>
      <rPr>
        <b/>
        <sz val="12"/>
        <rFont val="Cambria"/>
        <family val="1"/>
      </rPr>
      <t>&lt;municode&gt;_adoptbudget_20xx (all 4 digits municode must be included)</t>
    </r>
    <r>
      <rPr>
        <sz val="12"/>
        <rFont val="Cambria"/>
        <family val="1"/>
      </rPr>
      <t xml:space="preserve">. </t>
    </r>
  </si>
  <si>
    <t>employees</t>
  </si>
  <si>
    <t xml:space="preserve">Total General Budget Revenues  </t>
  </si>
  <si>
    <t xml:space="preserve">Total General Appropriations </t>
  </si>
  <si>
    <t xml:space="preserve">Capital Improvements </t>
  </si>
  <si>
    <t xml:space="preserve">Municipal Debt Service </t>
  </si>
  <si>
    <t>Utility Surplus (General Budget)</t>
  </si>
  <si>
    <t xml:space="preserve">Public and Private Programs Offset by Revenues </t>
  </si>
  <si>
    <t>Municipality</t>
  </si>
  <si>
    <t>Municode</t>
  </si>
  <si>
    <t>09-222</t>
  </si>
  <si>
    <t>09-224</t>
  </si>
  <si>
    <t>09-230</t>
  </si>
  <si>
    <t>09-235</t>
  </si>
  <si>
    <t>09-240</t>
  </si>
  <si>
    <t>09-245</t>
  </si>
  <si>
    <t>Licenses: Alcoholic Beverages</t>
  </si>
  <si>
    <t>Licenses: Other</t>
  </si>
  <si>
    <t>Beach Fees</t>
  </si>
  <si>
    <t>Other Fines and Costs</t>
  </si>
  <si>
    <t>Municipal/County Court Fines and Costs</t>
  </si>
  <si>
    <t>Parking Meter Revenue</t>
  </si>
  <si>
    <t>Interest on Investments</t>
  </si>
  <si>
    <t>Rental of Municipally Owned Property</t>
  </si>
  <si>
    <t>Rental Registration Fees</t>
  </si>
  <si>
    <t>Sewer Service Fees (No Sewer Utility)</t>
  </si>
  <si>
    <t>Board of Health Fees</t>
  </si>
  <si>
    <t>Foreclosed Property Registration Fees</t>
  </si>
  <si>
    <t>"User Defined" Fees</t>
  </si>
  <si>
    <t>Planning &amp; Zoning Fees</t>
  </si>
  <si>
    <t>Payments in Lieu of Taxes (PILOT) (Local Revenues)</t>
  </si>
  <si>
    <t>"User Defined" Local Revenue</t>
  </si>
  <si>
    <t>Consolidated Municipal Property Tax Relief Aid (CMPTRA)</t>
  </si>
  <si>
    <t>Energy Tax Receipts</t>
  </si>
  <si>
    <t>Supplemental Energy Tax Receipts</t>
  </si>
  <si>
    <t>Extraordinary Aid</t>
  </si>
  <si>
    <t>Garden State Trust</t>
  </si>
  <si>
    <t>Watershed Aid</t>
  </si>
  <si>
    <t>Pinelands Aid</t>
  </si>
  <si>
    <t>School Building Aid Allowance</t>
  </si>
  <si>
    <t>Other PILOT (State Aid)</t>
  </si>
  <si>
    <t>"User Defined" State Aid Program</t>
  </si>
  <si>
    <t>State Aid - County College Bonds</t>
  </si>
  <si>
    <t>Permanent Disability - Patients in County Institutions</t>
  </si>
  <si>
    <t>State Aid - County Vocational School Debt Service</t>
  </si>
  <si>
    <t>Additional Uniform Construction Code Fees</t>
  </si>
  <si>
    <t>Shared Services - Tax Assessor</t>
  </si>
  <si>
    <t>Shared Services - Tax Collector</t>
  </si>
  <si>
    <t>Shared Services - Chief Financial Officer</t>
  </si>
  <si>
    <t>Shared Services - Public Works Department</t>
  </si>
  <si>
    <t>Shared Services - Police Department</t>
  </si>
  <si>
    <t>Shared Services - Trash and Recycling Collection</t>
  </si>
  <si>
    <t>Shared Services - Municipal Court</t>
  </si>
  <si>
    <t>Shared Services - Fire Department/District</t>
  </si>
  <si>
    <t>Shared Services - Board of Education</t>
  </si>
  <si>
    <t>Shared Services - Social Service Functions</t>
  </si>
  <si>
    <t>Shared Services - Purchasing</t>
  </si>
  <si>
    <t>Shared Services - Animal Control Services</t>
  </si>
  <si>
    <t>Shared Services - Health Services</t>
  </si>
  <si>
    <t>Shared Services - Dispatch / 911</t>
  </si>
  <si>
    <t>Shared Services - County</t>
  </si>
  <si>
    <t>Shared Services - Transportation Services</t>
  </si>
  <si>
    <t>Shared Services - Construction Office</t>
  </si>
  <si>
    <t>"User Defined" Shared Services</t>
  </si>
  <si>
    <t>Supplemental Social Security Income</t>
  </si>
  <si>
    <t>Division of Developmental Disabilities (DDD) Assessment Program</t>
  </si>
  <si>
    <t>Other Special Items</t>
  </si>
  <si>
    <t>Uniform Fire Safety Act</t>
  </si>
  <si>
    <t>Cable TV Franchise Fee</t>
  </si>
  <si>
    <t>Water &amp; Sewer Utility Operating Fund - Management Fee</t>
  </si>
  <si>
    <t>Reserve for Sale of Municipal Assets</t>
  </si>
  <si>
    <t>School Resource Officer Revenue</t>
  </si>
  <si>
    <t>Payments in Lieu of Taxes (PILOT) (Section G)</t>
  </si>
  <si>
    <t>Host Benefit Fee</t>
  </si>
  <si>
    <t>Off-Duty Police Administrative Fees</t>
  </si>
  <si>
    <t>Open Space Trust Fund - Debt Service</t>
  </si>
  <si>
    <t>Reserve for Payment of Debt</t>
  </si>
  <si>
    <t>General Capital Fund Balance</t>
  </si>
  <si>
    <t>"User Defined" Other Special Item</t>
  </si>
  <si>
    <t>Other Local Revenue</t>
  </si>
  <si>
    <t>Other Special Revenue</t>
  </si>
  <si>
    <t>Other Shared Services</t>
  </si>
  <si>
    <t>Other State Aid</t>
  </si>
  <si>
    <t>Other Uniform Construction Code Revenue</t>
  </si>
  <si>
    <t>Other Fees</t>
  </si>
  <si>
    <t>Line Item Revenues</t>
  </si>
  <si>
    <t>Uniform Construction Code Revenue</t>
  </si>
  <si>
    <t>Shared Services Revenue</t>
  </si>
  <si>
    <t>Additional Revenues Offset by Appropriations</t>
  </si>
  <si>
    <t>Other Special Items of Revenue</t>
  </si>
  <si>
    <t>TOTAL - LINE ITEM REVENUES</t>
  </si>
  <si>
    <t>State Assumption of Costs of County Social &amp; Welfare Services &amp; Psychiatric Facilities - Other</t>
  </si>
  <si>
    <t>Line Item Expenditures</t>
  </si>
  <si>
    <t>General Government</t>
  </si>
  <si>
    <t>Land Use Administration</t>
  </si>
  <si>
    <t>Uniform Construction Code/Code Enforcement</t>
  </si>
  <si>
    <t>Public Safety</t>
  </si>
  <si>
    <t>Public Works</t>
  </si>
  <si>
    <t>Health and Human Services</t>
  </si>
  <si>
    <t>Recreation</t>
  </si>
  <si>
    <t>Education (Including Library)</t>
  </si>
  <si>
    <t>Unclassified</t>
  </si>
  <si>
    <t>Utilities and Bulk Purchases</t>
  </si>
  <si>
    <t>Recycling and Landfill</t>
  </si>
  <si>
    <t>Statutory Expenditures</t>
  </si>
  <si>
    <t>Shared Services</t>
  </si>
  <si>
    <t>Court and Public Defender</t>
  </si>
  <si>
    <t>Deferred Charges and Emergencies</t>
  </si>
  <si>
    <t>Type I School District</t>
  </si>
  <si>
    <t>25-270</t>
  </si>
  <si>
    <t>27-345</t>
  </si>
  <si>
    <t>27-350</t>
  </si>
  <si>
    <t>27-360</t>
  </si>
  <si>
    <t>29-395</t>
  </si>
  <si>
    <t>29-400</t>
  </si>
  <si>
    <t>34-302</t>
  </si>
  <si>
    <t>"User Defined" Deferred Charge (In CAP)</t>
  </si>
  <si>
    <t>"User Defined" Unclassified</t>
  </si>
  <si>
    <t>General Administration</t>
  </si>
  <si>
    <t>"User Defined" General Government</t>
  </si>
  <si>
    <t>Human Resources (Personnel)</t>
  </si>
  <si>
    <t>Financial Administration (Treasury)</t>
  </si>
  <si>
    <t>Audit Services</t>
  </si>
  <si>
    <t>Computerized Data Processing</t>
  </si>
  <si>
    <t>Revenue Administration (Tax Collection)</t>
  </si>
  <si>
    <t>Legal Services (Legal Dept.)</t>
  </si>
  <si>
    <t>County Surrogate's Office</t>
  </si>
  <si>
    <t>Engineering Services</t>
  </si>
  <si>
    <t>Economic Development Agencies</t>
  </si>
  <si>
    <t>Historical Sites Office</t>
  </si>
  <si>
    <t/>
  </si>
  <si>
    <t>Planning Board</t>
  </si>
  <si>
    <t>"User Defined" Land Use</t>
  </si>
  <si>
    <t>Zoning Board of Adjustment</t>
  </si>
  <si>
    <t>Council on Affordable Housing (COAH) (Inside CAPS)</t>
  </si>
  <si>
    <t>Council on Affordable Housing (COAH) (Outside CAPS)</t>
  </si>
  <si>
    <t>"User Defined" Other Code Enforcement</t>
  </si>
  <si>
    <t>Liability Insurance</t>
  </si>
  <si>
    <t>Workers Compensation Insurance</t>
  </si>
  <si>
    <t>Employee Group Insurance (Inside CAPS)</t>
  </si>
  <si>
    <t>Employee Group Insurance (Outside CAPS)</t>
  </si>
  <si>
    <t>Police Department</t>
  </si>
  <si>
    <t>"User Defined" Public Safety</t>
  </si>
  <si>
    <t>Police Dispatch/911 (Inside CAP)</t>
  </si>
  <si>
    <t>Police Dispatch/911 (Outside CAP)</t>
  </si>
  <si>
    <t>Office of Emergency Management (OEM)</t>
  </si>
  <si>
    <t>Aid to Volunteer Fire Companies (Inside CAP)</t>
  </si>
  <si>
    <t>Aid to Volunteer Ambulance Companies</t>
  </si>
  <si>
    <t>Emergency Medical Services (EMS)</t>
  </si>
  <si>
    <t>Fire Department (Fire Prevention, Uniform Fire Code) (Inside CAP)</t>
  </si>
  <si>
    <t>County Sheriff's Department</t>
  </si>
  <si>
    <t>Length of Service Awards Program (LOSAP) (Outside CAP)</t>
  </si>
  <si>
    <t>Streets and Road Maintenance</t>
  </si>
  <si>
    <t>"User Defined" Public Works</t>
  </si>
  <si>
    <t>Sewer Maintenance</t>
  </si>
  <si>
    <t>Stormwater Maintenance</t>
  </si>
  <si>
    <t>Stormwater Maintenance (Outside CAPS)</t>
  </si>
  <si>
    <t>Other Public Works Functions (Inside CAP)</t>
  </si>
  <si>
    <t>Solid Waste Collection</t>
  </si>
  <si>
    <t>Buildings and Grounds</t>
  </si>
  <si>
    <t>Vehicle Maintenance (includes Police Vehicles)</t>
  </si>
  <si>
    <t>Mosquito Control</t>
  </si>
  <si>
    <t>Community Services Act (Condominium Community Costs)</t>
  </si>
  <si>
    <t>Public Health Services (Board of Health)</t>
  </si>
  <si>
    <t>"User Defined" Health &amp; Human Services</t>
  </si>
  <si>
    <t>Environmental Health Services</t>
  </si>
  <si>
    <t>Animal Control Services</t>
  </si>
  <si>
    <t>Welfare/Administration of Public Service</t>
  </si>
  <si>
    <t>Operation of a Health Facility (County)</t>
  </si>
  <si>
    <t>Contributions to Social Service Agencies</t>
  </si>
  <si>
    <t>Senior Citizen Services and Programs</t>
  </si>
  <si>
    <t>Recreation Services and Programs</t>
  </si>
  <si>
    <t>"User Defined" Recreation</t>
  </si>
  <si>
    <t>Maintenance of Parks</t>
  </si>
  <si>
    <t>Beach and Boardwalk Operations</t>
  </si>
  <si>
    <t>Maintenance of Free Public Library (Outside CAP)</t>
  </si>
  <si>
    <t>Additional Aid to Municipal Library (Outside CAP)</t>
  </si>
  <si>
    <t>County Library (Inside CAP)</t>
  </si>
  <si>
    <t>Aid to Private Library</t>
  </si>
  <si>
    <t>Contribution to County College</t>
  </si>
  <si>
    <t>Contribution to County Technical School</t>
  </si>
  <si>
    <t>Contribution to Local School Board</t>
  </si>
  <si>
    <t>Capital Projects - Schools</t>
  </si>
  <si>
    <t>Prior Year's Bills</t>
  </si>
  <si>
    <t>Accumulated Leave Compensation</t>
  </si>
  <si>
    <t>Celebration of Public Events</t>
  </si>
  <si>
    <t>Salary and Wage Adjustments</t>
  </si>
  <si>
    <t>Tax Appeal Refunds (Outside CAP)</t>
  </si>
  <si>
    <t>County Pass-Through</t>
  </si>
  <si>
    <t>School District Pass-Through</t>
  </si>
  <si>
    <t>Declared State of Emergency - Snow Removal (Outside CAP)</t>
  </si>
  <si>
    <t>Electricity</t>
  </si>
  <si>
    <t>Street Lighting</t>
  </si>
  <si>
    <t>Telephone</t>
  </si>
  <si>
    <t>Water</t>
  </si>
  <si>
    <t>Natural Gas</t>
  </si>
  <si>
    <t>Petroleum Products</t>
  </si>
  <si>
    <t>Telecommunications (Cell Phone)</t>
  </si>
  <si>
    <t>Sewerage Processing and Disposal</t>
  </si>
  <si>
    <t>Authority Share of Cost (Outside CAP)</t>
  </si>
  <si>
    <t>Public Employees Retirement System (PERS)</t>
  </si>
  <si>
    <t>Consolidated Police and Fire Retirement System</t>
  </si>
  <si>
    <t>Police and Firemen's Retirement System</t>
  </si>
  <si>
    <t>Other Pension</t>
  </si>
  <si>
    <t>Shared Services - Dispatch/911</t>
  </si>
  <si>
    <t>Public Defender</t>
  </si>
  <si>
    <t>"User Defined" Capital Improvement</t>
  </si>
  <si>
    <t>Payment of Note Principal</t>
  </si>
  <si>
    <t>Bond Interest</t>
  </si>
  <si>
    <t>Note Interest</t>
  </si>
  <si>
    <t>Loan Payments on Principal and Interest (Green Acres)</t>
  </si>
  <si>
    <t>Authority Capital Lease Payments</t>
  </si>
  <si>
    <t>"User Defined" Debt Service</t>
  </si>
  <si>
    <t>Special Emergency - 3 Years (Outside CAP)</t>
  </si>
  <si>
    <t>Special Emergency - 5 Years (Outside CAP)</t>
  </si>
  <si>
    <t>Deferred Charges to Future Taxation - Unfunded (Outside CAP)</t>
  </si>
  <si>
    <t>Over expenditures (In CAP)</t>
  </si>
  <si>
    <t>Expenditure without Appropriation (In CAP)</t>
  </si>
  <si>
    <t>Payment of Type I School District Bond Principal</t>
  </si>
  <si>
    <t>Payment of Type I School District Bond Anticipation Notes</t>
  </si>
  <si>
    <t>Payment of Type I School District Bond Interest</t>
  </si>
  <si>
    <t>Payment of Type I School District Note Interest</t>
  </si>
  <si>
    <t>Other General Government</t>
  </si>
  <si>
    <t>Other Land Use</t>
  </si>
  <si>
    <t>Other Code Enforcement</t>
  </si>
  <si>
    <t>Other Public Safety</t>
  </si>
  <si>
    <t>Other Public Works</t>
  </si>
  <si>
    <t>Other Health and Human Services</t>
  </si>
  <si>
    <t>Other Unclassified</t>
  </si>
  <si>
    <t>Other Recreation</t>
  </si>
  <si>
    <t>Other Capital Improvement</t>
  </si>
  <si>
    <t>Other Debt Service</t>
  </si>
  <si>
    <t>Other Deferred Charge (In CAP)</t>
  </si>
  <si>
    <t>TOTAL - LINE ITEM EXPENDITURES</t>
  </si>
  <si>
    <t>Surplus Anticipated with Prior Written Consent of Dir of Local Gov. Services</t>
  </si>
  <si>
    <t>Total- Shared Services Revenue</t>
  </si>
  <si>
    <t>Mayor/Governing Body</t>
  </si>
  <si>
    <t>Municipal or County Clerk</t>
  </si>
  <si>
    <t>Tax Appeals/Tax Assessment Administration</t>
  </si>
  <si>
    <t>Unemployment Insurance (Inside CAPS or Statutory)</t>
  </si>
  <si>
    <t>Municipal/County Prosecutor's Office</t>
  </si>
  <si>
    <t>Landfill/Solid Waste Disposal Cost/Recycling Tax (Outside CAP)</t>
  </si>
  <si>
    <t>Judgments (Inside or Outside CAP)</t>
  </si>
  <si>
    <t>Municipal/County Court (Inside or Outside CAP)</t>
  </si>
  <si>
    <t>Emergency Appropriations (Inside or Outside CAP)</t>
  </si>
  <si>
    <t>Cash Deficit of Preceding Year (Inside or Outside CAP)</t>
  </si>
  <si>
    <t>County Clerk, Sheriff, Surrogate, and Other Fees and Permits</t>
  </si>
  <si>
    <t>Operation of Municipal/County Jail System</t>
  </si>
  <si>
    <t>Hotel Occupancy Tax (Section A &amp; G)</t>
  </si>
  <si>
    <t>Other Utilities and Bulk Purchases</t>
  </si>
  <si>
    <t>Other Statutory Expenditure</t>
  </si>
  <si>
    <t>Other Deferred Charge (Outside CAP)</t>
  </si>
  <si>
    <t>Municipal Taxes</t>
  </si>
  <si>
    <t>Municipal Tax Levy</t>
  </si>
  <si>
    <t>Public and Private Revenues (Grants)</t>
  </si>
  <si>
    <t>Total $$ in Row</t>
  </si>
  <si>
    <t>Key Metrics and Revenues Header</t>
  </si>
  <si>
    <t>Appropriations Header</t>
  </si>
  <si>
    <t>2019 Realized</t>
  </si>
  <si>
    <t>2020 Budgeted</t>
  </si>
  <si>
    <t>Key Metrics</t>
  </si>
  <si>
    <t>Total- Local Revenues</t>
  </si>
  <si>
    <t>Other Insurance</t>
  </si>
  <si>
    <t>Public and Private Programs Offset by Revenues (Grants)</t>
  </si>
  <si>
    <t>Other Information</t>
  </si>
  <si>
    <t>Total- Surplus Anticipated</t>
  </si>
  <si>
    <t>Total- Municipal Taxes</t>
  </si>
  <si>
    <t>Total- State Aid</t>
  </si>
  <si>
    <t>Total- Uniform Construction Code Revenue</t>
  </si>
  <si>
    <t>Total- Additional Revenues Offset by Appropriations</t>
  </si>
  <si>
    <t>Total- Public and Private Revenues (Grants)</t>
  </si>
  <si>
    <t>Total- Other Special Items of Revenue</t>
  </si>
  <si>
    <t>Total- General Government</t>
  </si>
  <si>
    <t>Total- Land Use Administration</t>
  </si>
  <si>
    <t>Total- Uniform Construction Code/Code Enforcement</t>
  </si>
  <si>
    <t>Total- Insurance</t>
  </si>
  <si>
    <t>Total- Public Safety</t>
  </si>
  <si>
    <t>Total- Public Works</t>
  </si>
  <si>
    <t>Total- Health and Human Services</t>
  </si>
  <si>
    <t>Total- Recreation</t>
  </si>
  <si>
    <t>Total- Education (Including Library)</t>
  </si>
  <si>
    <t>Total- Unclassified</t>
  </si>
  <si>
    <t>Total- Utilities and Bulk Purchases</t>
  </si>
  <si>
    <t>Total- Recycling and Landfill</t>
  </si>
  <si>
    <t>Total- Additional Appropriations Offset by Revenues</t>
  </si>
  <si>
    <t>Total- Contingent</t>
  </si>
  <si>
    <t>Total- Statutory Expenditures</t>
  </si>
  <si>
    <t>Total- Judgements</t>
  </si>
  <si>
    <t>Total- Public and Private Programs Offset by Revenues (Grants)</t>
  </si>
  <si>
    <t>Total- Shared Services</t>
  </si>
  <si>
    <t>Total- Court and Public Defender</t>
  </si>
  <si>
    <t>Total- Capital</t>
  </si>
  <si>
    <t>Total- Debt Service</t>
  </si>
  <si>
    <t>Total- Deferred Charges and Emergencies</t>
  </si>
  <si>
    <t>Total- Type I School District</t>
  </si>
  <si>
    <t>Total- Reserve for Uncollected Taxes</t>
  </si>
  <si>
    <t>TOTAL REVENUES</t>
  </si>
  <si>
    <t>General Administration Salaries &amp; Wages</t>
  </si>
  <si>
    <t>"User Defined" General Government Salaries &amp; Wages</t>
  </si>
  <si>
    <t>Human Resources (Personnel) Salaries &amp; Wages</t>
  </si>
  <si>
    <t>Mayor/Governing Body Salaries &amp; Wages</t>
  </si>
  <si>
    <t>Municipal or County Clerk Salaries &amp; Wages</t>
  </si>
  <si>
    <t>Financial Administration (Treasury) Salaries &amp; Wages</t>
  </si>
  <si>
    <t>Audit Services Salaries &amp; Wages</t>
  </si>
  <si>
    <t>Computerized Data Processing Salaries &amp; Wages</t>
  </si>
  <si>
    <t>Revenue Administration (Tax Collection) Salaries &amp; Wages</t>
  </si>
  <si>
    <t>Tax Appeals/Tax Assessment Administration Salaries &amp; Wages</t>
  </si>
  <si>
    <t>Legal Services (Legal Dept.) Salaries &amp; Wages</t>
  </si>
  <si>
    <t>County Surrogate's Office Salaries &amp; Wages</t>
  </si>
  <si>
    <t>Engineering Services Salaries &amp; Wages</t>
  </si>
  <si>
    <t>Economic Development Agencies Salaries &amp; Wages</t>
  </si>
  <si>
    <t>Historical Sites Office Salaries &amp; Wages</t>
  </si>
  <si>
    <t>Planning Board Salaries &amp; Wages</t>
  </si>
  <si>
    <t>"User Defined" Land Use Salaries &amp; Wages</t>
  </si>
  <si>
    <t>Zoning Board of Adjustment Salaries &amp; Wages</t>
  </si>
  <si>
    <t>Council on Affordable Housing (COAH) (Inside CAPS) Salaries &amp; Wages</t>
  </si>
  <si>
    <t>Council on Affordable Housing (COAH) (Outside CAPS) Salaries &amp; Wages</t>
  </si>
  <si>
    <t>Uniform Construction Code Salaries &amp; Wages</t>
  </si>
  <si>
    <t>"User Defined" Other Code Enforcement Salaries &amp; Wages</t>
  </si>
  <si>
    <t>Liability Insurance Salaries &amp; Wages</t>
  </si>
  <si>
    <t>Other Insurance Salaries &amp; Wages</t>
  </si>
  <si>
    <t>Workers Compensation Insurance Salaries &amp; Wages</t>
  </si>
  <si>
    <t>Employee Group Insurance (Inside CAPS) Salaries &amp; Wages</t>
  </si>
  <si>
    <t>Employee Group Insurance (Outside CAPS) Salaries &amp; Wages</t>
  </si>
  <si>
    <t>Health Benefits Waiver Salaries &amp; Wages</t>
  </si>
  <si>
    <t>Unemployment Insurance (Inside CAPS or Statutory) Salaries &amp; Wages</t>
  </si>
  <si>
    <t>Police Department Salaries &amp; Wages</t>
  </si>
  <si>
    <t>"User Defined" Public Safety Salaries &amp; Wages</t>
  </si>
  <si>
    <t>Police Dispatch/911 (Inside CAP) Salaries &amp; Wages</t>
  </si>
  <si>
    <t>Police Dispatch/911 (Outside CAP) Salaries &amp; Wages</t>
  </si>
  <si>
    <t>Office of Emergency Management (OEM) Salaries &amp; Wages</t>
  </si>
  <si>
    <t>Aid to Volunteer Fire Companies (Inside CAP) Salaries &amp; Wages</t>
  </si>
  <si>
    <t>Aid to Volunteer Ambulance Companies Salaries &amp; Wages</t>
  </si>
  <si>
    <t>Emergency Medical Services (EMS) Salaries &amp; Wages</t>
  </si>
  <si>
    <t>Fire Department (Fire Prevention, Uniform Fire Code) (Inside CAP) Salaries &amp; Wages</t>
  </si>
  <si>
    <t>County Sheriff's Department Salaries &amp; Wages</t>
  </si>
  <si>
    <t>Municipal/County Prosecutor's Office Salaries &amp; Wages</t>
  </si>
  <si>
    <t>Operation of Municipal/County Jail System Salaries &amp; Wages</t>
  </si>
  <si>
    <t>Length of Service Awards Program (LOSAP) (Outside CAP) Salaries &amp; Wages</t>
  </si>
  <si>
    <t>Streets and Road Maintenance Salaries &amp; Wages</t>
  </si>
  <si>
    <t>"User Defined" Public Works Salaries &amp; Wages</t>
  </si>
  <si>
    <t>Sewer Maintenance Salaries &amp; Wages</t>
  </si>
  <si>
    <t>Stormwater Maintenance Salaries &amp; Wages</t>
  </si>
  <si>
    <t>Stormwater Maintenance (Outside CAPS) Salaries &amp; Wages</t>
  </si>
  <si>
    <t>Other Public Works Functions (Inside CAP) Salaries &amp; Wages</t>
  </si>
  <si>
    <t>Solid Waste Collection Salaries &amp; Wages</t>
  </si>
  <si>
    <t>Buildings and Grounds Salaries &amp; Wages</t>
  </si>
  <si>
    <t>Vehicle Maintenance (includes Police Vehicles) Salaries &amp; Wages</t>
  </si>
  <si>
    <t>Mosquito Control Salaries &amp; Wages</t>
  </si>
  <si>
    <t>Community Services Act (Condominium Community Costs) Salaries &amp; Wages</t>
  </si>
  <si>
    <t>Public Health Services (Board of Health) Salaries &amp; Wages</t>
  </si>
  <si>
    <t>"User Defined" Health &amp; Human Services Salaries &amp; Wages</t>
  </si>
  <si>
    <t>Environmental Health Services Salaries &amp; Wages</t>
  </si>
  <si>
    <t>Animal Control Services Salaries &amp; Wages</t>
  </si>
  <si>
    <t>Welfare/Administration of Public Service Salaries &amp; Wages</t>
  </si>
  <si>
    <t>Operation of a Health Facility (County) Salaries &amp; Wages</t>
  </si>
  <si>
    <t>Contributions to Social Service Agencies Salaries &amp; Wages</t>
  </si>
  <si>
    <t>Senior Citizen Services and Programs Salaries &amp; Wages</t>
  </si>
  <si>
    <t>Recreation Services and Programs Salaries &amp; Wages</t>
  </si>
  <si>
    <t>"User Defined" Recreation Salaries &amp; Wages</t>
  </si>
  <si>
    <t>Maintenance of Parks Salaries &amp; Wages</t>
  </si>
  <si>
    <t>Beach and Boardwalk Operations Salaries &amp; Wages</t>
  </si>
  <si>
    <t>Maintenance of Free Public Library (Outside CAP) Salaries &amp; Wages</t>
  </si>
  <si>
    <t>Additional Aid to Municipal Library (Outside CAP) Salaries &amp; Wages</t>
  </si>
  <si>
    <t>County Library (Inside CAP) Salaries &amp; Wages</t>
  </si>
  <si>
    <t>Aid to Private Library Salaries &amp; Wages</t>
  </si>
  <si>
    <t>Contribution to County College Salaries &amp; Wages</t>
  </si>
  <si>
    <t>Contribution to County Technical School Salaries &amp; Wages</t>
  </si>
  <si>
    <t>Contribution to Local School Board Salaries &amp; Wages</t>
  </si>
  <si>
    <t>Emergency Authorizations - Schools Salaries &amp; Wages</t>
  </si>
  <si>
    <t>Capital Projects - Schools Salaries &amp; Wages</t>
  </si>
  <si>
    <t>Prior Year's Bills Salaries &amp; Wages</t>
  </si>
  <si>
    <t>"User Defined" Unclassified Salaries &amp; Wages</t>
  </si>
  <si>
    <t>Accumulated Leave Compensation Salaries &amp; Wages</t>
  </si>
  <si>
    <t>Celebration of Public Events Salaries &amp; Wages</t>
  </si>
  <si>
    <t>Salary and Wage Adjustments Salaries &amp; Wages</t>
  </si>
  <si>
    <t>Tax Appeal Refunds (Outside CAP) Salaries &amp; Wages</t>
  </si>
  <si>
    <t>County Pass-Through Salaries &amp; Wages</t>
  </si>
  <si>
    <t>School District Pass-Through Salaries &amp; Wages</t>
  </si>
  <si>
    <t>Declared State of Emergency - Snow Removal (Outside CAP) Salaries &amp; Wages</t>
  </si>
  <si>
    <t>Electricity Salaries &amp; Wages</t>
  </si>
  <si>
    <t>Street Lighting Salaries &amp; Wages</t>
  </si>
  <si>
    <t>Telephone Salaries &amp; Wages</t>
  </si>
  <si>
    <t>Water Salaries &amp; Wages</t>
  </si>
  <si>
    <t>Natural Gas Salaries &amp; Wages</t>
  </si>
  <si>
    <t>Petroleum Products Salaries &amp; Wages</t>
  </si>
  <si>
    <t>Telecommunications (Cell Phone) Salaries &amp; Wages</t>
  </si>
  <si>
    <t>Sewerage Processing and Disposal Salaries &amp; Wages</t>
  </si>
  <si>
    <t>Authority Share of Cost (Outside CAP) Salaries &amp; Wages</t>
  </si>
  <si>
    <t>Other Utilities and Bulk Purchases Salaries &amp; Wages</t>
  </si>
  <si>
    <t>Landfill/Solid Waste Disposal Cost/Recycling Tax (Outside CAP) Salaries &amp; Wages</t>
  </si>
  <si>
    <t>Additional Appropriations Offset by Revenues Salaries &amp; Wages</t>
  </si>
  <si>
    <t>Contingent Salaries &amp; Wages</t>
  </si>
  <si>
    <t>Public Employees Retirement System (PERS) Salaries &amp; Wages</t>
  </si>
  <si>
    <t>Social Security Salaries &amp; Wages</t>
  </si>
  <si>
    <t>Other Statutory Expenditure Salaries &amp; Wages</t>
  </si>
  <si>
    <t>Consolidated Police and Fire Retirement System Salaries &amp; Wages</t>
  </si>
  <si>
    <t>Police and Firemen's Retirement System Salaries &amp; Wages</t>
  </si>
  <si>
    <t>Other Pension Salaries &amp; Wages</t>
  </si>
  <si>
    <t>Defined Contribution Retirement Program (DCRP) Salaries &amp; Wages</t>
  </si>
  <si>
    <t>Judgments (Inside or Outside CAP) Salaries &amp; Wages</t>
  </si>
  <si>
    <t>Public and Private Programs Offset by Revenues (Grants) Salaries &amp; Wages</t>
  </si>
  <si>
    <t>Shared Services - Tax Assessor Salaries &amp; Wages</t>
  </si>
  <si>
    <t>Shared Services - Tax Collector Salaries &amp; Wages</t>
  </si>
  <si>
    <t>Shared Services - Chief Financial Officer Salaries &amp; Wages</t>
  </si>
  <si>
    <t>Shared Services - Public Works Department Salaries &amp; Wages</t>
  </si>
  <si>
    <t>Shared Services - Police Department Salaries &amp; Wages</t>
  </si>
  <si>
    <t>Shared Services - Trash and Recycling Collection Salaries &amp; Wages</t>
  </si>
  <si>
    <t>Shared Services - Municipal Court Salaries &amp; Wages</t>
  </si>
  <si>
    <t>Shared Services - Fire Department/District Salaries &amp; Wages</t>
  </si>
  <si>
    <t>Shared Services - Board of Education Salaries &amp; Wages</t>
  </si>
  <si>
    <t>Shared Services - Social Service Functions Salaries &amp; Wages</t>
  </si>
  <si>
    <t>Shared Services - Purchasing Salaries &amp; Wages</t>
  </si>
  <si>
    <t>Shared Services - Animal Control Services Salaries &amp; Wages</t>
  </si>
  <si>
    <t>Shared Services - Health Services Salaries &amp; Wages</t>
  </si>
  <si>
    <t>Shared Services - Dispatch/911 Salaries &amp; Wages</t>
  </si>
  <si>
    <t>Shared Services - County Salaries &amp; Wages</t>
  </si>
  <si>
    <t>Shared Services - Transportation Services Salaries &amp; Wages</t>
  </si>
  <si>
    <t>Shared Services - Construction Office Salaries &amp; Wages</t>
  </si>
  <si>
    <t>"User Defined" Shared Services Salaries &amp; Wages</t>
  </si>
  <si>
    <t>Municipal/County Court (Inside or Outside CAP) Salaries &amp; Wages</t>
  </si>
  <si>
    <t>Public Defender Salaries &amp; Wages</t>
  </si>
  <si>
    <t>New Jersey Transportation Trust Fund Authority Act Salaries &amp; Wages</t>
  </si>
  <si>
    <t>Capital Improvement Fund Salaries &amp; Wages</t>
  </si>
  <si>
    <t>Down Payments on Improvements Salaries &amp; Wages</t>
  </si>
  <si>
    <t>"User Defined" Capital Improvement Salaries &amp; Wages</t>
  </si>
  <si>
    <t>Payment of Bond Principal Salaries &amp; Wages</t>
  </si>
  <si>
    <t>Payment of Note Principal Salaries &amp; Wages</t>
  </si>
  <si>
    <t>Bond Interest Salaries &amp; Wages</t>
  </si>
  <si>
    <t>Note Interest Salaries &amp; Wages</t>
  </si>
  <si>
    <t>Loan Payments on Principal and Interest (Green Acres) Salaries &amp; Wages</t>
  </si>
  <si>
    <t>Authority Capital Lease Payments Salaries &amp; Wages</t>
  </si>
  <si>
    <t>"User Defined" Debt Service Salaries &amp; Wages</t>
  </si>
  <si>
    <t>Cash Deficit of Preceding Year (Inside or Outside CAP) Salaries &amp; Wages</t>
  </si>
  <si>
    <t>"User Defined" Deferred Charge (In CAP) Salaries &amp; Wages</t>
  </si>
  <si>
    <t>Emergency Appropriations (Inside or Outside CAP) Salaries &amp; Wages</t>
  </si>
  <si>
    <t>Special Emergency - 3 Years (Outside CAP) Salaries &amp; Wages</t>
  </si>
  <si>
    <t>Special Emergency - 5 Years (Outside CAP) Salaries &amp; Wages</t>
  </si>
  <si>
    <t>Deferred Charges to Future Taxation - Unfunded (Outside CAP) Salaries &amp; Wages</t>
  </si>
  <si>
    <t>Over expenditures (In CAP) Salaries &amp; Wages</t>
  </si>
  <si>
    <t>Expenditure without Appropriation (In CAP) Salaries &amp; Wages</t>
  </si>
  <si>
    <t>Other Deferred Charge (Outside CAP) Salaries &amp; Wages</t>
  </si>
  <si>
    <t>Payment of Type I School District Bond Principal Salaries &amp; Wages</t>
  </si>
  <si>
    <t>Payment of Type I School District Bond Anticipation Notes Salaries &amp; Wages</t>
  </si>
  <si>
    <t>Payment of Type I School District Bond Interest Salaries &amp; Wages</t>
  </si>
  <si>
    <t>Payment of Type I School District Note Interest Salaries &amp; Wages</t>
  </si>
  <si>
    <t>Reserve for Uncollected Taxes Salaries &amp; Wages</t>
  </si>
  <si>
    <t>General Administration Other Expenses</t>
  </si>
  <si>
    <t>General Administration Unclassified</t>
  </si>
  <si>
    <t>"User Defined" General Government Other Expenses</t>
  </si>
  <si>
    <t>"User Defined" General Government Unclassified</t>
  </si>
  <si>
    <t>Human Resources (Personnel) Other Expenses</t>
  </si>
  <si>
    <t>Human Resources (Personnel) Unclassified</t>
  </si>
  <si>
    <t>Mayor/Governing Body Other Expenses</t>
  </si>
  <si>
    <t>Mayor/Governing Body Unclassified</t>
  </si>
  <si>
    <t>Municipal or County Clerk Other Expenses</t>
  </si>
  <si>
    <t>Municipal or County Clerk Unclassified</t>
  </si>
  <si>
    <t>Financial Administration (Treasury) Other Expenses</t>
  </si>
  <si>
    <t>Financial Administration (Treasury) Unclassified</t>
  </si>
  <si>
    <t>Audit Services Other Expenses</t>
  </si>
  <si>
    <t>Audit Services Unclassified</t>
  </si>
  <si>
    <t>Computerized Data Processing Other Expenses</t>
  </si>
  <si>
    <t>Computerized Data Processing Unclassified</t>
  </si>
  <si>
    <t>Revenue Administration (Tax Collection) Other Expenses</t>
  </si>
  <si>
    <t>Revenue Administration (Tax Collection) Unclassified</t>
  </si>
  <si>
    <t>Tax Appeals/Tax Assessment Administration Other Expenses</t>
  </si>
  <si>
    <t>Tax Appeals/Tax Assessment Administration Unclassified</t>
  </si>
  <si>
    <t>Legal Services (Legal Dept.) Other Expenses</t>
  </si>
  <si>
    <t>Legal Services (Legal Dept.) Unclassified</t>
  </si>
  <si>
    <t>County Surrogate's Office Other Expenses</t>
  </si>
  <si>
    <t>County Surrogate's Office Unclassified</t>
  </si>
  <si>
    <t>Engineering Services Other Expenses</t>
  </si>
  <si>
    <t>Engineering Services Unclassified</t>
  </si>
  <si>
    <t>Economic Development Agencies Other Expenses</t>
  </si>
  <si>
    <t>Economic Development Agencies Unclassified</t>
  </si>
  <si>
    <t>Historical Sites Office Other Expenses</t>
  </si>
  <si>
    <t>Historical Sites Office Unclassified</t>
  </si>
  <si>
    <t>Planning Board Other Expenses</t>
  </si>
  <si>
    <t>Planning Board Unclassified</t>
  </si>
  <si>
    <t>"User Defined" Land Use Other Expenses</t>
  </si>
  <si>
    <t>"User Defined" Land Use Unclassified</t>
  </si>
  <si>
    <t>Zoning Board of Adjustment Other Expenses</t>
  </si>
  <si>
    <t>Zoning Board of Adjustment Unclassified</t>
  </si>
  <si>
    <t>Council on Affordable Housing (COAH) (Inside CAPS) Other Expenses</t>
  </si>
  <si>
    <t>Council on Affordable Housing (COAH) (Inside CAPS) Unclassified</t>
  </si>
  <si>
    <t>Council on Affordable Housing (COAH) (Outside CAPS) Other Expenses</t>
  </si>
  <si>
    <t>Council on Affordable Housing (COAH) (Outside CAPS) Unclassified</t>
  </si>
  <si>
    <t>Uniform Construction Code Other Expenses</t>
  </si>
  <si>
    <t>Uniform Construction Code Unclassified</t>
  </si>
  <si>
    <t>"User Defined" Other Code Enforcement Other Expenses</t>
  </si>
  <si>
    <t>"User Defined" Other Code Enforcement Unclassified</t>
  </si>
  <si>
    <t>Liability Insurance Other Expenses</t>
  </si>
  <si>
    <t>Liability Insurance Unclassified</t>
  </si>
  <si>
    <t>Other Insurance Other Expenses</t>
  </si>
  <si>
    <t>Other Insurance Unclassified</t>
  </si>
  <si>
    <t>Workers Compensation Insurance Other Expenses</t>
  </si>
  <si>
    <t>Workers Compensation Insurance Unclassified</t>
  </si>
  <si>
    <t>Employee Group Insurance (Inside CAPS) Other Expenses</t>
  </si>
  <si>
    <t>Employee Group Insurance (Inside CAPS) Unclassified</t>
  </si>
  <si>
    <t>Employee Group Insurance (Outside CAPS) Other Expenses</t>
  </si>
  <si>
    <t>Employee Group Insurance (Outside CAPS) Unclassified</t>
  </si>
  <si>
    <t>Health Benefits Waiver Other Expenses</t>
  </si>
  <si>
    <t>Health Benefits Waiver Unclassified</t>
  </si>
  <si>
    <t>Police Department Other Expenses</t>
  </si>
  <si>
    <t>Police Department Unclassified</t>
  </si>
  <si>
    <t>"User Defined" Public Safety Other Expenses</t>
  </si>
  <si>
    <t>"User Defined" Public Safety Unclassified</t>
  </si>
  <si>
    <t>Police Dispatch/911 (Inside CAP) Other Expenses</t>
  </si>
  <si>
    <t>Police Dispatch/911 (Inside CAP) Unclassified</t>
  </si>
  <si>
    <t>Police Dispatch/911 (Outside CAP) Other Expenses</t>
  </si>
  <si>
    <t>Police Dispatch/911 (Outside CAP) Unclassified</t>
  </si>
  <si>
    <t>Office of Emergency Management (OEM) Other Expenses</t>
  </si>
  <si>
    <t>Office of Emergency Management (OEM) Unclassified</t>
  </si>
  <si>
    <t>Aid to Volunteer Fire Companies (Inside CAP) Other Expenses</t>
  </si>
  <si>
    <t>Aid to Volunteer Fire Companies (Inside CAP) Unclassified</t>
  </si>
  <si>
    <t>Aid to Volunteer Ambulance Companies Other Expenses</t>
  </si>
  <si>
    <t>Aid to Volunteer Ambulance Companies Unclassified</t>
  </si>
  <si>
    <t>Emergency Medical Services (EMS) Other Expenses</t>
  </si>
  <si>
    <t>Emergency Medical Services (EMS) Unclassified</t>
  </si>
  <si>
    <t>Fire Department (Fire Prevention, Uniform Fire Code) (Inside CAP) Other Expenses</t>
  </si>
  <si>
    <t>Fire Department (Fire Prevention, Uniform Fire Code) (Inside CAP) Unclassified</t>
  </si>
  <si>
    <t>County Sheriff's Department Other Expenses</t>
  </si>
  <si>
    <t>County Sheriff's Department Unclassified</t>
  </si>
  <si>
    <t>Municipal/County Prosecutor's Office Other Expenses</t>
  </si>
  <si>
    <t>Municipal/County Prosecutor's Office Unclassified</t>
  </si>
  <si>
    <t>Operation of Municipal/County Jail System Other Expenses</t>
  </si>
  <si>
    <t>Operation of Municipal/County Jail System Unclassified</t>
  </si>
  <si>
    <t>Length of Service Awards Program (LOSAP) (Outside CAP) Other Expenses</t>
  </si>
  <si>
    <t>Length of Service Awards Program (LOSAP) (Outside CAP) Unclassified</t>
  </si>
  <si>
    <t>Streets and Road Maintenance Other Expenses</t>
  </si>
  <si>
    <t>Streets and Road Maintenance Unclassified</t>
  </si>
  <si>
    <t>"User Defined" Public Works Other Expenses</t>
  </si>
  <si>
    <t>"User Defined" Public Works Unclassified</t>
  </si>
  <si>
    <t>Sewer Maintenance Other Expenses</t>
  </si>
  <si>
    <t>Sewer Maintenance Unclassified</t>
  </si>
  <si>
    <t>Stormwater Maintenance Other Expenses</t>
  </si>
  <si>
    <t>Stormwater Maintenance Unclassified</t>
  </si>
  <si>
    <t>Stormwater Maintenance (Outside CAPS) Other Expenses</t>
  </si>
  <si>
    <t>Stormwater Maintenance (Outside CAPS) Unclassified</t>
  </si>
  <si>
    <t>Other Public Works Functions (Inside CAP) Other Expenses</t>
  </si>
  <si>
    <t>Other Public Works Functions (Inside CAP) Unclassified</t>
  </si>
  <si>
    <t>Solid Waste Collection Other Expenses</t>
  </si>
  <si>
    <t>Solid Waste Collection Unclassified</t>
  </si>
  <si>
    <t>Buildings and Grounds Other Expenses</t>
  </si>
  <si>
    <t>Buildings and Grounds Unclassified</t>
  </si>
  <si>
    <t>Vehicle Maintenance (includes Police Vehicles) Other Expenses</t>
  </si>
  <si>
    <t>Vehicle Maintenance (includes Police Vehicles) Unclassified</t>
  </si>
  <si>
    <t>Mosquito Control Other Expenses</t>
  </si>
  <si>
    <t>Mosquito Control Unclassified</t>
  </si>
  <si>
    <t>Community Services Act (Condominium Community Costs) Other Expenses</t>
  </si>
  <si>
    <t>Community Services Act (Condominium Community Costs) Unclassified</t>
  </si>
  <si>
    <t>Public Health Services (Board of Health) Other Expenses</t>
  </si>
  <si>
    <t>Public Health Services (Board of Health) Unclassified</t>
  </si>
  <si>
    <t>"User Defined" Health &amp; Human Services Other Expenses</t>
  </si>
  <si>
    <t>"User Defined" Health &amp; Human Services Unclassified</t>
  </si>
  <si>
    <t>Environmental Health Services Other Expenses</t>
  </si>
  <si>
    <t>Environmental Health Services Unclassified</t>
  </si>
  <si>
    <t>Animal Control Services Other Expenses</t>
  </si>
  <si>
    <t>Animal Control Services Unclassified</t>
  </si>
  <si>
    <t>Welfare/Administration of Public Service Other Expenses</t>
  </si>
  <si>
    <t>Welfare/Administration of Public Service Unclassified</t>
  </si>
  <si>
    <t>Operation of a Health Facility (County) Other Expenses</t>
  </si>
  <si>
    <t>Operation of a Health Facility (County) Unclassified</t>
  </si>
  <si>
    <t>Contributions to Social Service Agencies Other Expenses</t>
  </si>
  <si>
    <t>Contributions to Social Service Agencies Unclassified</t>
  </si>
  <si>
    <t>Senior Citizen Services and Programs Other Expenses</t>
  </si>
  <si>
    <t>Senior Citizen Services and Programs Unclassified</t>
  </si>
  <si>
    <t>Recreation Services and Programs Other Expenses</t>
  </si>
  <si>
    <t>Recreation Services and Programs Unclassified</t>
  </si>
  <si>
    <t>"User Defined" Recreation Other Expenses</t>
  </si>
  <si>
    <t>"User Defined" Recreation Unclassified</t>
  </si>
  <si>
    <t>Maintenance of Parks Other Expenses</t>
  </si>
  <si>
    <t>Maintenance of Parks Unclassified</t>
  </si>
  <si>
    <t>Beach and Boardwalk Operations Other Expenses</t>
  </si>
  <si>
    <t>Beach and Boardwalk Operations Unclassified</t>
  </si>
  <si>
    <t>Maintenance of Free Public Library (Outside CAP) Other Expenses</t>
  </si>
  <si>
    <t>Maintenance of Free Public Library (Outside CAP) Unclassified</t>
  </si>
  <si>
    <t>Additional Aid to Municipal Library (Outside CAP) Other Expenses</t>
  </si>
  <si>
    <t>Additional Aid to Municipal Library (Outside CAP) Unclassified</t>
  </si>
  <si>
    <t>County Library (Inside CAP) Other Expenses</t>
  </si>
  <si>
    <t>County Library (Inside CAP) Unclassified</t>
  </si>
  <si>
    <t>Aid to Private Library Other Expenses</t>
  </si>
  <si>
    <t>Aid to Private Library Unclassified</t>
  </si>
  <si>
    <t>Contribution to County College Other Expenses</t>
  </si>
  <si>
    <t>Contribution to County College Unclassified</t>
  </si>
  <si>
    <t>Contribution to County Technical School Other Expenses</t>
  </si>
  <si>
    <t>Contribution to County Technical School Unclassified</t>
  </si>
  <si>
    <t>Contribution to Local School Board Other Expenses</t>
  </si>
  <si>
    <t>Contribution to Local School Board Unclassified</t>
  </si>
  <si>
    <t>Emergency Authorizations - Schools Other Expenses</t>
  </si>
  <si>
    <t>Emergency Authorizations - Schools Unclassified</t>
  </si>
  <si>
    <t>Capital Projects - Schools Other Expenses</t>
  </si>
  <si>
    <t>Capital Projects - Schools Unclassified</t>
  </si>
  <si>
    <t>Prior Year's Bills Other Expenses</t>
  </si>
  <si>
    <t>Prior Year's Bills Unclassified</t>
  </si>
  <si>
    <t>"User Defined" Unclassified Other Expenses</t>
  </si>
  <si>
    <t>"User Defined" Unclassified Unclassified</t>
  </si>
  <si>
    <t>Accumulated Leave Compensation Other Expenses</t>
  </si>
  <si>
    <t>Accumulated Leave Compensation Unclassified</t>
  </si>
  <si>
    <t>Celebration of Public Events Other Expenses</t>
  </si>
  <si>
    <t>Celebration of Public Events Unclassified</t>
  </si>
  <si>
    <t>Salary and Wage Adjustments Other Expenses</t>
  </si>
  <si>
    <t>Salary and Wage Adjustments Unclassified</t>
  </si>
  <si>
    <t>Tax Appeal Refunds (Outside CAP) Other Expenses</t>
  </si>
  <si>
    <t>Tax Appeal Refunds (Outside CAP) Unclassified</t>
  </si>
  <si>
    <t>County Pass-Through Other Expenses</t>
  </si>
  <si>
    <t>County Pass-Through Unclassified</t>
  </si>
  <si>
    <t>School District Pass-Through Other Expenses</t>
  </si>
  <si>
    <t>School District Pass-Through Unclassified</t>
  </si>
  <si>
    <t>Declared State of Emergency - Snow Removal (Outside CAP) Other Expenses</t>
  </si>
  <si>
    <t>Declared State of Emergency - Snow Removal (Outside CAP) Unclassified</t>
  </si>
  <si>
    <t>Electricity Other Expenses</t>
  </si>
  <si>
    <t>Electricity Unclassified</t>
  </si>
  <si>
    <t>Street Lighting Other Expenses</t>
  </si>
  <si>
    <t>Street Lighting Unclassified</t>
  </si>
  <si>
    <t>Telephone Other Expenses</t>
  </si>
  <si>
    <t>Telephone Unclassified</t>
  </si>
  <si>
    <t>Water Other Expenses</t>
  </si>
  <si>
    <t>Water Unclassified</t>
  </si>
  <si>
    <t>Natural Gas Other Expenses</t>
  </si>
  <si>
    <t>Natural Gas Unclassified</t>
  </si>
  <si>
    <t>Petroleum Products Other Expenses</t>
  </si>
  <si>
    <t>Petroleum Products Unclassified</t>
  </si>
  <si>
    <t>Telecommunications (Cell Phone) Other Expenses</t>
  </si>
  <si>
    <t>Telecommunications (Cell Phone) Unclassified</t>
  </si>
  <si>
    <t>Sewerage Processing and Disposal Other Expenses</t>
  </si>
  <si>
    <t>Sewerage Processing and Disposal Unclassified</t>
  </si>
  <si>
    <t>Authority Share of Cost (Outside CAP) Other Expenses</t>
  </si>
  <si>
    <t>Authority Share of Cost (Outside CAP) Unclassified</t>
  </si>
  <si>
    <t>Other Utilities and Bulk Purchases Other Expenses</t>
  </si>
  <si>
    <t>Other Utilities and Bulk Purchases Unclassified</t>
  </si>
  <si>
    <t>Landfill/Solid Waste Disposal Cost/Recycling Tax (Outside CAP) Other Expenses</t>
  </si>
  <si>
    <t>Landfill/Solid Waste Disposal Cost/Recycling Tax (Outside CAP) Unclassified</t>
  </si>
  <si>
    <t>Additional Appropriations Offset by Revenues Other Expenses</t>
  </si>
  <si>
    <t>Additional Appropriations Offset by Revenues Unclassified</t>
  </si>
  <si>
    <t>Contingent Other Expenses</t>
  </si>
  <si>
    <t>Contingent Unclassified</t>
  </si>
  <si>
    <t>Public Employees Retirement System (PERS) Other Expenses</t>
  </si>
  <si>
    <t>Public Employees Retirement System (PERS) Unclassified</t>
  </si>
  <si>
    <t>Social Security Other Expenses</t>
  </si>
  <si>
    <t>Social Security Unclassified</t>
  </si>
  <si>
    <t>Other Statutory Expenditure Other Expenses</t>
  </si>
  <si>
    <t>Other Statutory Expenditure Unclassified</t>
  </si>
  <si>
    <t>Consolidated Police and Fire Retirement System Other Expenses</t>
  </si>
  <si>
    <t>Consolidated Police and Fire Retirement System Unclassified</t>
  </si>
  <si>
    <t>Police and Firemen's Retirement System Other Expenses</t>
  </si>
  <si>
    <t>Police and Firemen's Retirement System Unclassified</t>
  </si>
  <si>
    <t>Other Pension Other Expenses</t>
  </si>
  <si>
    <t>Other Pension Unclassified</t>
  </si>
  <si>
    <t>Defined Contribution Retirement Program (DCRP) Other Expenses</t>
  </si>
  <si>
    <t>Defined Contribution Retirement Program (DCRP) Unclassified</t>
  </si>
  <si>
    <t>Judgments (Inside or Outside CAP) Other Expenses</t>
  </si>
  <si>
    <t>Judgments (Inside or Outside CAP) Unclassified</t>
  </si>
  <si>
    <t>Public and Private Programs Offset by Revenues (Grants) Other Expenses</t>
  </si>
  <si>
    <t>Public and Private Programs Offset by Revenues (Grants) Unclassified</t>
  </si>
  <si>
    <t>Shared Services - Tax Assessor Other Expenses</t>
  </si>
  <si>
    <t>Shared Services - Tax Assessor Unclassified</t>
  </si>
  <si>
    <t>Shared Services - Tax Collector Other Expenses</t>
  </si>
  <si>
    <t>Shared Services - Tax Collector Unclassified</t>
  </si>
  <si>
    <t>Shared Services - Chief Financial Officer Other Expenses</t>
  </si>
  <si>
    <t>Shared Services - Chief Financial Officer Unclassified</t>
  </si>
  <si>
    <t>Shared Services - Public Works Department Other Expenses</t>
  </si>
  <si>
    <t>Shared Services - Public Works Department Unclassified</t>
  </si>
  <si>
    <t>Shared Services - Police Department Other Expenses</t>
  </si>
  <si>
    <t>Shared Services - Police Department Unclassified</t>
  </si>
  <si>
    <t>Shared Services - Trash and Recycling Collection Other Expenses</t>
  </si>
  <si>
    <t>Shared Services - Trash and Recycling Collection Unclassified</t>
  </si>
  <si>
    <t>Shared Services - Municipal Court Other Expenses</t>
  </si>
  <si>
    <t>Shared Services - Municipal Court Unclassified</t>
  </si>
  <si>
    <t>Shared Services - Fire Department/District Other Expenses</t>
  </si>
  <si>
    <t>Shared Services - Fire Department/District Unclassified</t>
  </si>
  <si>
    <t>Shared Services - Board of Education Other Expenses</t>
  </si>
  <si>
    <t>Shared Services - Board of Education Unclassified</t>
  </si>
  <si>
    <t>Shared Services - Social Service Functions Other Expenses</t>
  </si>
  <si>
    <t>Shared Services - Social Service Functions Unclassified</t>
  </si>
  <si>
    <t>Shared Services - Purchasing Other Expenses</t>
  </si>
  <si>
    <t>Shared Services - Purchasing Unclassified</t>
  </si>
  <si>
    <t>Shared Services - Animal Control Services Other Expenses</t>
  </si>
  <si>
    <t>Shared Services - Animal Control Services Unclassified</t>
  </si>
  <si>
    <t>Shared Services - Health Services Other Expenses</t>
  </si>
  <si>
    <t>Shared Services - Health Services Unclassified</t>
  </si>
  <si>
    <t>Shared Services - Dispatch/911 Other Expenses</t>
  </si>
  <si>
    <t>Shared Services - Dispatch/911 Unclassified</t>
  </si>
  <si>
    <t>Shared Services - County Other Expenses</t>
  </si>
  <si>
    <t>Shared Services - County Unclassified</t>
  </si>
  <si>
    <t>Shared Services - Transportation Services Other Expenses</t>
  </si>
  <si>
    <t>Shared Services - Transportation Services Unclassified</t>
  </si>
  <si>
    <t>Shared Services - Construction Office Other Expenses</t>
  </si>
  <si>
    <t>Shared Services - Construction Office Unclassified</t>
  </si>
  <si>
    <t>"User Defined" Shared Services Other Expenses</t>
  </si>
  <si>
    <t>"User Defined" Shared Services Unclassified</t>
  </si>
  <si>
    <t>Municipal/County Court (Inside or Outside CAP) Other Expenses</t>
  </si>
  <si>
    <t>Municipal/County Court (Inside or Outside CAP) Unclassified</t>
  </si>
  <si>
    <t>Public Defender Other Expenses</t>
  </si>
  <si>
    <t>Public Defender Unclassified</t>
  </si>
  <si>
    <t>New Jersey Transportation Trust Fund Authority Act Other Expenses</t>
  </si>
  <si>
    <t>New Jersey Transportation Trust Fund Authority Act Unclassified</t>
  </si>
  <si>
    <t>Capital Improvement Fund Other Expenses</t>
  </si>
  <si>
    <t>Capital Improvement Fund Unclassified</t>
  </si>
  <si>
    <t>Down Payments on Improvements Other Expenses</t>
  </si>
  <si>
    <t>Down Payments on Improvements Unclassified</t>
  </si>
  <si>
    <t>"User Defined" Capital Improvement Other Expenses</t>
  </si>
  <si>
    <t>"User Defined" Capital Improvement Unclassified</t>
  </si>
  <si>
    <t>Payment of Bond Principal Other Expenses</t>
  </si>
  <si>
    <t>Payment of Bond Principal Unclassified</t>
  </si>
  <si>
    <t>Payment of Note Principal Other Expenses</t>
  </si>
  <si>
    <t>Payment of Note Principal Unclassified</t>
  </si>
  <si>
    <t>Bond Interest Other Expenses</t>
  </si>
  <si>
    <t>Bond Interest Unclassified</t>
  </si>
  <si>
    <t>Note Interest Other Expenses</t>
  </si>
  <si>
    <t>Note Interest Unclassified</t>
  </si>
  <si>
    <t>Loan Payments on Principal and Interest (Green Acres) Other Expenses</t>
  </si>
  <si>
    <t>Loan Payments on Principal and Interest (Green Acres) Unclassified</t>
  </si>
  <si>
    <t>Authority Capital Lease Payments Other Expenses</t>
  </si>
  <si>
    <t>Authority Capital Lease Payments Unclassified</t>
  </si>
  <si>
    <t>"User Defined" Debt Service Other Expenses</t>
  </si>
  <si>
    <t>"User Defined" Debt Service Unclassified</t>
  </si>
  <si>
    <t>Cash Deficit of Preceding Year (Inside or Outside CAP) Other Expenses</t>
  </si>
  <si>
    <t>Cash Deficit of Preceding Year (Inside or Outside CAP) Unclassified</t>
  </si>
  <si>
    <t>"User Defined" Deferred Charge (In CAP) Other Expenses</t>
  </si>
  <si>
    <t>"User Defined" Deferred Charge (In CAP) Unclassified</t>
  </si>
  <si>
    <t>Emergency Appropriations (Inside or Outside CAP) Other Expenses</t>
  </si>
  <si>
    <t>Emergency Appropriations (Inside or Outside CAP) Unclassified</t>
  </si>
  <si>
    <t>Special Emergency - 3 Years (Outside CAP) Other Expenses</t>
  </si>
  <si>
    <t>Special Emergency - 3 Years (Outside CAP) Unclassified</t>
  </si>
  <si>
    <t>Special Emergency - 5 Years (Outside CAP) Other Expenses</t>
  </si>
  <si>
    <t>Special Emergency - 5 Years (Outside CAP) Unclassified</t>
  </si>
  <si>
    <t>Deferred Charges to Future Taxation - Unfunded (Outside CAP) Other Expenses</t>
  </si>
  <si>
    <t>Deferred Charges to Future Taxation - Unfunded (Outside CAP) Unclassified</t>
  </si>
  <si>
    <t>Over expenditures (In CAP) Other Expenses</t>
  </si>
  <si>
    <t>Over expenditures (In CAP) Unclassified</t>
  </si>
  <si>
    <t>Expenditure without Appropriation (In CAP) Other Expenses</t>
  </si>
  <si>
    <t>Expenditure without Appropriation (In CAP) Unclassified</t>
  </si>
  <si>
    <t>Other Deferred Charge (Outside CAP) Other Expenses</t>
  </si>
  <si>
    <t>Other Deferred Charge (Outside CAP) Unclassified</t>
  </si>
  <si>
    <t>Payment of Type I School District Bond Principal Other Expenses</t>
  </si>
  <si>
    <t>Payment of Type I School District Bond Principal Unclassified</t>
  </si>
  <si>
    <t>Payment of Type I School District Bond Anticipation Notes Other Expenses</t>
  </si>
  <si>
    <t>Payment of Type I School District Bond Anticipation Notes Unclassified</t>
  </si>
  <si>
    <t>Payment of Type I School District Bond Interest Other Expenses</t>
  </si>
  <si>
    <t>Payment of Type I School District Bond Interest Unclassified</t>
  </si>
  <si>
    <t>Payment of Type I School District Note Interest Other Expenses</t>
  </si>
  <si>
    <t>Payment of Type I School District Note Interest Unclassified</t>
  </si>
  <si>
    <t>Reserve for Uncollected Taxes Other Expenses</t>
  </si>
  <si>
    <t>Reserve for Uncollected Taxes Unclassified</t>
  </si>
  <si>
    <t>Unemployment Insurance (Inside CAPS or Statutory) Other Expenses</t>
  </si>
  <si>
    <t>Unemployment Insurance (Inside CAPS or Statutory) Unclassified</t>
  </si>
  <si>
    <t>EXPENDITURES</t>
  </si>
  <si>
    <t>TOTAL EXPENDITURES</t>
  </si>
  <si>
    <t>SURPLUS/DEFICIT</t>
  </si>
  <si>
    <t>ENDING FUND BALANCE</t>
  </si>
  <si>
    <t>Capital Funds</t>
  </si>
  <si>
    <t>Deferred Charges</t>
  </si>
  <si>
    <t>Pensions</t>
  </si>
  <si>
    <t>All Other Departmental Other Expenses</t>
  </si>
  <si>
    <t>Subtotal- Non-Personnel Costs</t>
  </si>
  <si>
    <t>Subtotal- Personnel Costs</t>
  </si>
  <si>
    <t>LINE ITEM EXPENDITURES</t>
  </si>
  <si>
    <t>Annual % Change</t>
  </si>
  <si>
    <t>TOTAL- EXPENDITURES</t>
  </si>
  <si>
    <t>Surplus/Deficit</t>
  </si>
  <si>
    <t>Ending Fund Balance</t>
  </si>
  <si>
    <t>Projection Method</t>
  </si>
  <si>
    <t>$$</t>
  </si>
  <si>
    <t>% of Cum. Deficit</t>
  </si>
  <si>
    <t>Revenue Category</t>
  </si>
  <si>
    <t>Line Item Revenue</t>
  </si>
  <si>
    <t>Expenditure Category</t>
  </si>
  <si>
    <t>Expenditure Type</t>
  </si>
  <si>
    <t>Expenditure</t>
  </si>
  <si>
    <t>Line Item Expenditure</t>
  </si>
  <si>
    <t>Projection Growth Assumptions</t>
  </si>
  <si>
    <t>A: Carry Forward Last Year's Growth</t>
  </si>
  <si>
    <t>B: Enter % Growth Rates</t>
  </si>
  <si>
    <t>C: Enter $$ Values</t>
  </si>
  <si>
    <t>Item</t>
  </si>
  <si>
    <t>Sum of Row</t>
  </si>
  <si>
    <r>
      <t xml:space="preserve">REVENUES </t>
    </r>
    <r>
      <rPr>
        <b/>
        <sz val="11"/>
        <rFont val="Arial"/>
        <family val="2"/>
      </rPr>
      <t>(SUMMARY)</t>
    </r>
  </si>
  <si>
    <r>
      <t>EXPENDITURES BY CATEGORY</t>
    </r>
    <r>
      <rPr>
        <b/>
        <sz val="11"/>
        <rFont val="Arial"/>
        <family val="2"/>
      </rPr>
      <t xml:space="preserve"> (SUMMARY)</t>
    </r>
  </si>
  <si>
    <r>
      <t xml:space="preserve">EXPENDITURES BY TYPE </t>
    </r>
    <r>
      <rPr>
        <b/>
        <sz val="11"/>
        <rFont val="Arial"/>
        <family val="2"/>
      </rPr>
      <t>(SUMMARY)</t>
    </r>
  </si>
  <si>
    <t>Revenue Assumptions</t>
  </si>
  <si>
    <t>TOTAL- REVENUES</t>
  </si>
  <si>
    <t>Expenditure Assumptions</t>
  </si>
  <si>
    <t>All 2020 Revenues Entered Correctly?</t>
  </si>
  <si>
    <t>All 2020 Expenditures Entered Correctly?</t>
  </si>
  <si>
    <t>Check - Sum of Key Metrics totals vs. totals on summary tabs</t>
  </si>
  <si>
    <t>Difference</t>
  </si>
  <si>
    <t>All State Aid Items</t>
  </si>
  <si>
    <t>Surplus Anticipated (Assumes no use of surplus in first projection year and following years)</t>
  </si>
  <si>
    <t>Surplus Anticipated with Prior Written Consent of Dir of Local Gov. Services (Assumes no use of surplus in first projection year and following years)</t>
  </si>
  <si>
    <t>Revenues:</t>
  </si>
  <si>
    <t>This option assumes that the annual % growth in the budget year continues for each year of the projection.</t>
  </si>
  <si>
    <t>All Judgements Items</t>
  </si>
  <si>
    <t>All Education (Including Library) Items</t>
  </si>
  <si>
    <t>All Unclassified Items</t>
  </si>
  <si>
    <t>All Additional Appropriations Offset by Revenues Items</t>
  </si>
  <si>
    <t>All Capital Items</t>
  </si>
  <si>
    <t>All Debt Service Items</t>
  </si>
  <si>
    <t>All Deferred Charges and Emergencies Items</t>
  </si>
  <si>
    <t>All Type I School District Items</t>
  </si>
  <si>
    <t>All Reserve for Uncollected Taxes Items</t>
  </si>
  <si>
    <t>However the following items are assumed at 0%, unless otherwise noted:</t>
  </si>
  <si>
    <t>The Budget Projection Module produces a five-year Current/General Fund budget forecast based on current budget year data and user assumptions.</t>
  </si>
  <si>
    <t>Go to Summaries</t>
  </si>
  <si>
    <t>Go to Revenues</t>
  </si>
  <si>
    <t>Go to Expenditures</t>
  </si>
  <si>
    <t>Go to Line Item Expenditures</t>
  </si>
  <si>
    <t>Collapse Items</t>
  </si>
  <si>
    <t>Expand Items</t>
  </si>
  <si>
    <t xml:space="preserve">Guide to Budget Projection Module </t>
  </si>
  <si>
    <t>Users cannot adjust any of the assumptions under this option.</t>
  </si>
  <si>
    <t>Introduction</t>
  </si>
  <si>
    <t>Projection Options</t>
  </si>
  <si>
    <t>Navigation</t>
  </si>
  <si>
    <t>Projection Results</t>
  </si>
  <si>
    <t xml:space="preserve">This option allows the user to manually enter the growth rates for any item in the Revenues and Line Item Expenditures sections. The default rates are 2%, with the following assumed at 0% unless otherwise noted: </t>
  </si>
  <si>
    <t>Collapses and hides items that have a $0 entries every year for a cleaner, more succinct presentation. Macro typically takes 1-2 minutes to load when no other large Excel files are open.</t>
  </si>
  <si>
    <t xml:space="preserve">This option allows the user to manually enter projections or paste past projection results that can be recalled with the flip of a switch. Users can also paste results from Projection Options A and/or B here and make manual adjustments to specific items.  </t>
  </si>
  <si>
    <t>The Module will not capture revenues or expenditures that have no FCOA code or that are given an inappropriate FCOA code for their section of the budget template.</t>
  </si>
  <si>
    <t>Users have the option to select one of three projection methods, selected from a drop down box at the top of the Module:</t>
  </si>
  <si>
    <t>The Module is decided to facilitate long-term budget planning and identify current and upcoming structural gaps.</t>
  </si>
  <si>
    <t>Toggles to the Line Item Expenditures section (greatest level of detail, were expenditure growth assumptions are entered.</t>
  </si>
  <si>
    <t>Toggles to the top of the module.</t>
  </si>
  <si>
    <t>Toggles to the Revenues section (where revenue line items appear and assumptions are entered).</t>
  </si>
  <si>
    <t>Toggles to the Expenditures section (summary by Department/Function).</t>
  </si>
  <si>
    <t>Expands collapsed and hidden items.</t>
  </si>
  <si>
    <t>The "Biggest Contributors to Cumulative Deficit" table identifies which revenue and expenditure categories, types, and items that contribute most to the cumulative five-year deficit.</t>
  </si>
  <si>
    <t xml:space="preserve">For the Module to perform correctly, it is essential that all items have an appropriate assigned FCOA available from the drop down lists on the budget template sheets. </t>
  </si>
  <si>
    <t>Users can copy and paste any of the growth rates from the "Carry Forward Last Year's Growth" section here if desired.</t>
  </si>
  <si>
    <t>The graph at the top shows the projected surplus/deficit and ending fund balance for the previous year, current budget year, and five projection years</t>
  </si>
  <si>
    <t>The Module populates from revenue and expenditure data by FCOA code on the Key Inputs tab.</t>
  </si>
  <si>
    <t>Results are presented in columns A through J, and assumptions are entered in columns M through AD.</t>
  </si>
  <si>
    <t>Six buttons are included for ease of viewing and navigation:</t>
  </si>
  <si>
    <t>Arts and Cultural Tax</t>
  </si>
  <si>
    <t>(f)  $</t>
  </si>
  <si>
    <t xml:space="preserve"> 5. </t>
  </si>
  <si>
    <t>Arts and Cultural</t>
  </si>
  <si>
    <t>Following is a recap of the Municipality's Employee Group Insurance</t>
  </si>
  <si>
    <t>With Prior Consent of Local Finance Board:          Cash Deficit of Preceding Year</t>
  </si>
  <si>
    <t>ARTS AND CULTURE TRUST FUND</t>
  </si>
  <si>
    <t xml:space="preserve">  (Sheet 44) Arts and Culture Trust Fund Levy</t>
  </si>
  <si>
    <t>xxxxxxxxxxxxxxxxxxx</t>
  </si>
  <si>
    <t>xxxxxx</t>
  </si>
  <si>
    <t>56-902-2</t>
  </si>
  <si>
    <t>56-920-2</t>
  </si>
  <si>
    <t>56-925-2</t>
  </si>
  <si>
    <t>56-930-2</t>
  </si>
  <si>
    <t>56-935-2</t>
  </si>
  <si>
    <t>56-950-2</t>
  </si>
  <si>
    <t>56-499</t>
  </si>
  <si>
    <t>56-190</t>
  </si>
  <si>
    <t>56-113</t>
  </si>
  <si>
    <t>56-101</t>
  </si>
  <si>
    <t>56-299</t>
  </si>
  <si>
    <t>Arts</t>
  </si>
  <si>
    <t>56-102</t>
  </si>
  <si>
    <t>56-103</t>
  </si>
  <si>
    <t>56-104</t>
  </si>
  <si>
    <t>56-105</t>
  </si>
  <si>
    <t>56-106</t>
  </si>
  <si>
    <t>56-107</t>
  </si>
  <si>
    <t>56-108</t>
  </si>
  <si>
    <t>56-109</t>
  </si>
  <si>
    <t>56-110</t>
  </si>
  <si>
    <t>56-111</t>
  </si>
  <si>
    <t>56-112</t>
  </si>
  <si>
    <t>56-901</t>
  </si>
  <si>
    <t>56-902</t>
  </si>
  <si>
    <t>56-903</t>
  </si>
  <si>
    <t>56-904</t>
  </si>
  <si>
    <t>56-905</t>
  </si>
  <si>
    <t>56-906</t>
  </si>
  <si>
    <t>56-907</t>
  </si>
  <si>
    <t>56-908</t>
  </si>
  <si>
    <t>56-909</t>
  </si>
  <si>
    <t>56-910</t>
  </si>
  <si>
    <t>56-911</t>
  </si>
  <si>
    <t>56-912</t>
  </si>
  <si>
    <t>56-913</t>
  </si>
  <si>
    <t>56-914</t>
  </si>
  <si>
    <t>56-915</t>
  </si>
  <si>
    <t>56-916</t>
  </si>
  <si>
    <t>56-917</t>
  </si>
  <si>
    <t>56-918</t>
  </si>
  <si>
    <t>56-919</t>
  </si>
  <si>
    <t>56-920</t>
  </si>
  <si>
    <t>k)</t>
  </si>
  <si>
    <t>l)</t>
  </si>
  <si>
    <t xml:space="preserve">If copying data from a prior workbook, utilize the copy and paste-special values functionality built into Excel to preserve formatting. </t>
  </si>
  <si>
    <t xml:space="preserve">On the Key Inputs tab, users can click the "Convert to Standard Template" button to reduce the number of unused pages throughout the document. To revert back to the full-size version of the workbook, click the "Revert to Expanded Template" button. </t>
  </si>
  <si>
    <t>(c)  Capital Improvements</t>
  </si>
  <si>
    <t>Municipal Arts and Culture</t>
  </si>
  <si>
    <t>Analysis of Item 12:</t>
  </si>
  <si>
    <t>Municipal Arts and Culture Tax (Line 8 Above)</t>
  </si>
  <si>
    <t>Total Amount (Line 12)</t>
  </si>
  <si>
    <t>Statement, Item 8(M) (Item 12, Less Item 11)</t>
  </si>
  <si>
    <t>Item 13 - Appropriation: Reserve for Uncollected Taxes</t>
  </si>
  <si>
    <t>Less: Item 10 - Total Anticipated Revenues</t>
  </si>
  <si>
    <t xml:space="preserve">Amount of Item 11 divided by </t>
  </si>
  <si>
    <t>Sheet  45</t>
  </si>
  <si>
    <t>Municipal Budget Version 2021.1</t>
  </si>
  <si>
    <t>EMERGENCY MANAGEMENT BUILDING</t>
  </si>
  <si>
    <t>PO BOX 64</t>
  </si>
  <si>
    <t>GREENWICH, NJ  08323</t>
  </si>
  <si>
    <t>(856) 207-0330</t>
  </si>
  <si>
    <t>LISA GARRISON</t>
  </si>
  <si>
    <t>ELIZABETH WALLENDER</t>
  </si>
  <si>
    <t>KIMBERLY FLEETWOOD</t>
  </si>
  <si>
    <t>RAYMOND COLAVITA</t>
  </si>
  <si>
    <t>C1164</t>
  </si>
  <si>
    <t>T1404</t>
  </si>
  <si>
    <t>423</t>
  </si>
  <si>
    <t>WILLIAM C. REINHART</t>
  </si>
  <si>
    <t>DANIEL ORR</t>
  </si>
  <si>
    <t>MARK WERLEY</t>
  </si>
  <si>
    <t>PO BOX 799</t>
  </si>
  <si>
    <t>WILLIAMSTOWN, NJ  08094</t>
  </si>
  <si>
    <t>(856) 629-1040</t>
  </si>
  <si>
    <t>REINHART</t>
  </si>
  <si>
    <t>ORR</t>
  </si>
  <si>
    <t>WERLEY</t>
  </si>
  <si>
    <t>NJ TRANSPORTATION TRUST FUND AUTHORITY ACT</t>
  </si>
  <si>
    <t>CLEAN COMMUNITIES</t>
  </si>
  <si>
    <t>RECYCLING TONNAGE GRANT</t>
  </si>
  <si>
    <t>MAYOR &amp; COMMITTEE</t>
  </si>
  <si>
    <t>SALARIES &amp; WAGES</t>
  </si>
  <si>
    <t>OTHER EXPENSES</t>
  </si>
  <si>
    <t>MUNICIPAL CLERK</t>
  </si>
  <si>
    <t>ELECTIONS</t>
  </si>
  <si>
    <t>FINANCIAL ADMINISTRATION (TREASURY)</t>
  </si>
  <si>
    <t>AUDIT SERVICES</t>
  </si>
  <si>
    <t>TAX ASSESSMENT ADMINISTRATION</t>
  </si>
  <si>
    <t>GRANT WRITER</t>
  </si>
  <si>
    <t>REVENUE ADMINISTRATION (TAX COLLECTION)</t>
  </si>
  <si>
    <t>LIQUIDATION OF TAX TITLE LIENS</t>
  </si>
  <si>
    <t>AND FORECLOSED PROPERTY</t>
  </si>
  <si>
    <t>LEGAL SERVICES</t>
  </si>
  <si>
    <t>ENGINEERING SERVICES</t>
  </si>
  <si>
    <t>ECONOMIC DEVELOPMENT COMMITTEE</t>
  </si>
  <si>
    <t>MUNICIPAL LAND USE LAW (NJSA 40:55D-1)</t>
  </si>
  <si>
    <t>PLANNING BD/ZONING BD OF ADJUSTMENT</t>
  </si>
  <si>
    <t>MASTER PLAN</t>
  </si>
  <si>
    <t>CODIFICATION</t>
  </si>
  <si>
    <t>DEMOLITION</t>
  </si>
  <si>
    <t>LANDFILL/SOLID WASTE DISPOSAL COSTS</t>
  </si>
  <si>
    <t>PUBLIC SAFETY FUNCTIONS</t>
  </si>
  <si>
    <t>AID TO VOLUNTEER FIRE COMPANY</t>
  </si>
  <si>
    <t>UNIFORM FIRE SAFETY ACT (PL 1983,c.383)</t>
  </si>
  <si>
    <t>FIRE OFFICIAL</t>
  </si>
  <si>
    <t>POLICE</t>
  </si>
  <si>
    <t>OFFICE OF EMERGENCY MANAGEMENT</t>
  </si>
  <si>
    <t>FLOOD CONTROL</t>
  </si>
  <si>
    <t>PUBLIC WORKS FUNCTIONS</t>
  </si>
  <si>
    <t>STREETS &amp; ROADS MAINTENANCE</t>
  </si>
  <si>
    <t>SNOW REMOVAL</t>
  </si>
  <si>
    <t>PUBLIC BUILDINGS &amp; GROUNDS</t>
  </si>
  <si>
    <t>SHADE TREE</t>
  </si>
  <si>
    <t>HEALTH &amp; HUMAN SERVICES</t>
  </si>
  <si>
    <t>PUBLIC HEALTH SERVICES (BD OF HEALTH)</t>
  </si>
  <si>
    <t>ENVIRONMENTAL COMMISSION (NJSA 40:56a-1et.seq.)</t>
  </si>
  <si>
    <t>ANIMAL CONTROL SERVICES</t>
  </si>
  <si>
    <t>WELFARE/ADMINISTRATION OF PUBLIC ASSISTANCE</t>
  </si>
  <si>
    <t>PARK &amp; RECREATION FUNCTIONS</t>
  </si>
  <si>
    <t>RECREATION SERVICES AND PROGRAMS</t>
  </si>
  <si>
    <t>OTHER EXPENSES (WCLC)</t>
  </si>
  <si>
    <t>UTILITY EXPENSES &amp; BULK PURCHASES</t>
  </si>
  <si>
    <t>ELECTRICITY</t>
  </si>
  <si>
    <t>TELEPHONE</t>
  </si>
  <si>
    <t>FUEL OIL</t>
  </si>
  <si>
    <t>STREET LIGHTING</t>
  </si>
  <si>
    <t>INSURANCE - (NJSA 40A:4-45.3(00))</t>
  </si>
  <si>
    <t>LIABILITY &amp; WORKERS COMPENSATION INS.</t>
  </si>
  <si>
    <t>SURETY BONDS</t>
  </si>
  <si>
    <t>SUB-CODE OFFICIAL</t>
  </si>
  <si>
    <t>ZONING &amp; DEMOLITION OFFICIAL</t>
  </si>
  <si>
    <t>HOUSING OFFICIAL</t>
  </si>
  <si>
    <t>CELEBRATION OF PUBLIC EVENTS</t>
  </si>
  <si>
    <t>CUMBERLAND SALEM REGIONAL MUNICIPAL</t>
  </si>
  <si>
    <t>COURT - UPPER DEERFIELD TOWNSHIP</t>
  </si>
  <si>
    <t>HOPEWELL TOWNSHIP/GREENWICH TOWNSHIP</t>
  </si>
  <si>
    <t>JOINT CONVENIENCE FACILITY</t>
  </si>
  <si>
    <t xml:space="preserve">WESTERN CUMBERLAND COUNTY REGIONAL </t>
  </si>
  <si>
    <t>SENIOR CENTER - HOPEWELL TOWNSHIP</t>
  </si>
  <si>
    <t>CITY OF BRIDGETON - EMS SERVICES</t>
  </si>
  <si>
    <t>HOPEWELL TWP. - VITAL STATISTICS</t>
  </si>
  <si>
    <t>RESERVE FOR RECYCLING TONNAGE GRANT</t>
  </si>
  <si>
    <t>CLEAN COMMUNITIES PROGRAM</t>
  </si>
  <si>
    <t>TEABURNER ROAD</t>
  </si>
  <si>
    <t>DEVELOPERS ESCROW</t>
  </si>
  <si>
    <t>GARDEN CLUB DONATIONS; BEAUTIFICATION OF HISTORIC GREENWICH DONATIONS; ENVIRONMENTAL COMMISSION DONATIONS;</t>
  </si>
  <si>
    <t>STORM RECOVERY TRUST FUND.</t>
  </si>
  <si>
    <t>X</t>
  </si>
  <si>
    <t>The Mayor and Township Committee of the Township of Greenwich present herewith the Capital Budget for 2021 and the three-year capital improvement program for the years 2021 through</t>
  </si>
  <si>
    <t>members of the Township Committee, warranted and the costs are considered to be necessary for the improvements to be accomplished.</t>
  </si>
  <si>
    <t>CONSTRUCTION/RESTORATION OF DIKES</t>
  </si>
  <si>
    <t>RENOVATION OF OLD STONE SCHOOL</t>
  </si>
  <si>
    <t xml:space="preserve">   HOUSE</t>
  </si>
  <si>
    <t>CONSTRUCTION OF FENCING AROUND</t>
  </si>
  <si>
    <t xml:space="preserve">   COMMUNICATION ANTENNAS</t>
  </si>
  <si>
    <t>JOHN G CARR, ESQ</t>
  </si>
  <si>
    <t>THE NEWS OF SOUTH JERSEY</t>
  </si>
  <si>
    <t>N/A</t>
  </si>
  <si>
    <t>Capital Improvement Fund in the amount of $60,100, representing future downpayment funds.  The Capital Budget and Capital Improvement Program are in the opinion of the</t>
  </si>
  <si>
    <t>HOPEWELL TWP. - TAX ASSESSOR ASSISTANT</t>
  </si>
  <si>
    <t>RESURFACING OF WIBLE DRIVE</t>
  </si>
  <si>
    <t>NONE</t>
  </si>
  <si>
    <t>2023.  The anticipated capital project activity for 2021 constitutes five projects, which are shown on page 40b.  The 2021 operating budget includes a provision increasing the</t>
  </si>
  <si>
    <t>FIRE APPARATUS</t>
  </si>
  <si>
    <t>20th</t>
  </si>
  <si>
    <t>APRIL</t>
  </si>
  <si>
    <t>30TH</t>
  </si>
  <si>
    <t>18TH</t>
  </si>
  <si>
    <t>MAY</t>
  </si>
  <si>
    <t>7:00 PM</t>
  </si>
  <si>
    <t>MAY 18</t>
  </si>
  <si>
    <t>APRIL 20</t>
  </si>
  <si>
    <t>RAY@COLAVITA.NET</t>
  </si>
  <si>
    <t>treasurergreenwichtwpcc@gmail.com</t>
  </si>
  <si>
    <t>TOWNSHIP COMMITTEE</t>
  </si>
  <si>
    <t>VIA CALL IN VIRTUAL MEETING</t>
  </si>
  <si>
    <t>The budget will be available on the Township website at www.historicgreenwichnj.org</t>
  </si>
  <si>
    <t>at www.historicgreenwichnj.org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</si>
</sst>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quot;#,##0_);[Red]\(&quot;$&quot;#,##0\)"/>
    <numFmt numFmtId="44" formatCode="_(&quot;$&quot;* #,##0.00_);_(&quot;$&quot;* \(#,##0.00\);_(&quot;$&quot;* &quot;-&quot;??_);_(@_)"/>
    <numFmt numFmtId="43" formatCode="_(* #,##0.00_);_(* \(#,##0.00\);_(* &quot;-&quot;??_);_(@_)"/>
    <numFmt numFmtId="164" formatCode="0.0%"/>
    <numFmt numFmtId="165" formatCode="_(* #,##0_);_(* \(#,##0\);_(* &quot;-&quot;??_);_(@_)"/>
    <numFmt numFmtId="166" formatCode="mmmm\ d\,\ yyyy"/>
    <numFmt numFmtId="167" formatCode="_(* #,##0.000_);_(* \(#,##0.000\);_(* &quot;-&quot;??_);_(@_)"/>
    <numFmt numFmtId="168" formatCode="_(* #,##0.0000_);_(* \(#,##0.0000\);_(* &quot;-&quot;??_);_(@_)"/>
    <numFmt numFmtId="169" formatCode="0.0000"/>
    <numFmt numFmtId="170" formatCode="[$-409]mmmm\-yy;@"/>
    <numFmt numFmtId="171" formatCode="0.000"/>
    <numFmt numFmtId="172" formatCode="&quot;$&quot;#,##0"/>
  </numFmts>
  <fonts count="109" x14ac:knownFonts="1">
    <font>
      <sz val="10"/>
      <name val="Arial"/>
    </font>
    <font>
      <sz val="11"/>
      <color theme="1"/>
      <name val="Calibri"/>
      <family val="2"/>
      <scheme val="minor"/>
    </font>
    <font>
      <sz val="11"/>
      <color theme="1"/>
      <name val="Calibri"/>
      <family val="2"/>
      <scheme val="minor"/>
    </font>
    <font>
      <sz val="10"/>
      <name val="Arial"/>
      <family val="2"/>
    </font>
    <font>
      <b/>
      <sz val="16"/>
      <name val="Arial"/>
      <family val="2"/>
    </font>
    <font>
      <sz val="7"/>
      <name val="Arial"/>
      <family val="2"/>
    </font>
    <font>
      <b/>
      <sz val="12"/>
      <name val="Arial"/>
      <family val="2"/>
    </font>
    <font>
      <b/>
      <sz val="11"/>
      <name val="Arial"/>
      <family val="2"/>
    </font>
    <font>
      <sz val="11"/>
      <name val="Arial"/>
      <family val="2"/>
    </font>
    <font>
      <b/>
      <sz val="14"/>
      <name val="Arial"/>
      <family val="2"/>
    </font>
    <font>
      <sz val="12"/>
      <name val="Arial"/>
      <family val="2"/>
    </font>
    <font>
      <sz val="14"/>
      <name val="Arial"/>
      <family val="2"/>
    </font>
    <font>
      <sz val="10"/>
      <name val="Arial"/>
      <family val="2"/>
    </font>
    <font>
      <sz val="9"/>
      <name val="Arial"/>
      <family val="2"/>
    </font>
    <font>
      <b/>
      <sz val="9"/>
      <name val="Arial"/>
      <family val="2"/>
    </font>
    <font>
      <sz val="8"/>
      <name val="Arial"/>
      <family val="2"/>
    </font>
    <font>
      <b/>
      <sz val="8"/>
      <name val="Arial"/>
      <family val="2"/>
    </font>
    <font>
      <b/>
      <sz val="10"/>
      <name val="Arial"/>
      <family val="2"/>
    </font>
    <font>
      <b/>
      <i/>
      <u/>
      <sz val="9"/>
      <name val="Arial"/>
      <family val="2"/>
    </font>
    <font>
      <b/>
      <sz val="17"/>
      <name val="Arial"/>
      <family val="2"/>
    </font>
    <font>
      <sz val="15"/>
      <name val="Arial"/>
      <family val="2"/>
    </font>
    <font>
      <b/>
      <sz val="13"/>
      <name val="Arial"/>
      <family val="2"/>
    </font>
    <font>
      <sz val="9"/>
      <name val="Arial"/>
      <family val="2"/>
    </font>
    <font>
      <sz val="9"/>
      <name val="Times New Roman"/>
      <family val="1"/>
    </font>
    <font>
      <sz val="9.5"/>
      <name val="Arial"/>
      <family val="2"/>
    </font>
    <font>
      <b/>
      <sz val="20"/>
      <name val="Arial"/>
      <family val="2"/>
    </font>
    <font>
      <b/>
      <u/>
      <sz val="12"/>
      <name val="Arial"/>
      <family val="2"/>
    </font>
    <font>
      <u/>
      <sz val="10"/>
      <name val="Arial"/>
      <family val="2"/>
    </font>
    <font>
      <u/>
      <sz val="11"/>
      <name val="Arial"/>
      <family val="2"/>
    </font>
    <font>
      <b/>
      <u/>
      <sz val="9.5"/>
      <name val="Arial"/>
      <family val="2"/>
    </font>
    <font>
      <sz val="48"/>
      <name val="Arial"/>
      <family val="2"/>
    </font>
    <font>
      <b/>
      <u/>
      <sz val="11"/>
      <name val="Arial"/>
      <family val="2"/>
    </font>
    <font>
      <b/>
      <u/>
      <sz val="16"/>
      <name val="Arial"/>
      <family val="2"/>
    </font>
    <font>
      <b/>
      <u/>
      <sz val="14"/>
      <name val="Arial"/>
      <family val="2"/>
    </font>
    <font>
      <b/>
      <u val="double"/>
      <sz val="11"/>
      <name val="Arial"/>
      <family val="2"/>
    </font>
    <font>
      <b/>
      <u/>
      <sz val="8"/>
      <name val="Arial"/>
      <family val="2"/>
    </font>
    <font>
      <b/>
      <i/>
      <sz val="11"/>
      <name val="Arial"/>
      <family val="2"/>
    </font>
    <font>
      <b/>
      <sz val="18"/>
      <name val="Arial"/>
      <family val="2"/>
    </font>
    <font>
      <b/>
      <i/>
      <sz val="9.5"/>
      <name val="Arial"/>
      <family val="2"/>
    </font>
    <font>
      <b/>
      <i/>
      <u/>
      <sz val="8"/>
      <name val="Arial"/>
      <family val="2"/>
    </font>
    <font>
      <b/>
      <u/>
      <sz val="10"/>
      <name val="Arial"/>
      <family val="2"/>
    </font>
    <font>
      <b/>
      <sz val="7"/>
      <name val="Arial"/>
      <family val="2"/>
    </font>
    <font>
      <i/>
      <sz val="7"/>
      <name val="Arial"/>
      <family val="2"/>
    </font>
    <font>
      <b/>
      <i/>
      <sz val="7"/>
      <name val="Arial"/>
      <family val="2"/>
    </font>
    <font>
      <i/>
      <sz val="9.5"/>
      <name val="Arial"/>
      <family val="2"/>
    </font>
    <font>
      <b/>
      <i/>
      <sz val="10"/>
      <name val="Arial"/>
      <family val="2"/>
    </font>
    <font>
      <sz val="10"/>
      <color indexed="8"/>
      <name val="Arial"/>
      <family val="2"/>
    </font>
    <font>
      <sz val="10"/>
      <color indexed="9"/>
      <name val="Arial"/>
      <family val="2"/>
    </font>
    <font>
      <sz val="10"/>
      <color indexed="20"/>
      <name val="Arial"/>
      <family val="2"/>
    </font>
    <font>
      <b/>
      <sz val="10"/>
      <color indexed="52"/>
      <name val="Arial"/>
      <family val="2"/>
    </font>
    <font>
      <b/>
      <sz val="10"/>
      <color indexed="9"/>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b/>
      <sz val="10"/>
      <color indexed="8"/>
      <name val="Arial"/>
      <family val="2"/>
    </font>
    <font>
      <sz val="10"/>
      <color indexed="10"/>
      <name val="Arial"/>
      <family val="2"/>
    </font>
    <font>
      <sz val="10"/>
      <name val="Arial"/>
      <family val="2"/>
    </font>
    <font>
      <sz val="10"/>
      <name val="Arial"/>
      <family val="2"/>
    </font>
    <font>
      <u/>
      <sz val="9.5"/>
      <name val="Arial"/>
      <family val="2"/>
    </font>
    <font>
      <sz val="16"/>
      <name val="Arial"/>
      <family val="2"/>
    </font>
    <font>
      <sz val="10"/>
      <name val="Arial"/>
      <family val="2"/>
    </font>
    <font>
      <b/>
      <i/>
      <sz val="9"/>
      <name val="Arial"/>
      <family val="2"/>
    </font>
    <font>
      <b/>
      <i/>
      <sz val="12"/>
      <name val="Arial"/>
      <family val="2"/>
    </font>
    <font>
      <sz val="9"/>
      <color indexed="81"/>
      <name val="Tahoma"/>
      <family val="2"/>
    </font>
    <font>
      <b/>
      <sz val="9"/>
      <color indexed="81"/>
      <name val="Tahoma"/>
      <family val="2"/>
    </font>
    <font>
      <sz val="10"/>
      <name val="Arial"/>
      <family val="2"/>
    </font>
    <font>
      <sz val="10"/>
      <name val="Arial"/>
      <family val="2"/>
    </font>
    <font>
      <sz val="10"/>
      <name val="Arial"/>
      <family val="2"/>
    </font>
    <font>
      <sz val="10"/>
      <color theme="1"/>
      <name val="Arial"/>
      <family val="2"/>
    </font>
    <font>
      <sz val="11"/>
      <color rgb="FF0070C0"/>
      <name val="Arial Narrow"/>
      <family val="2"/>
    </font>
    <font>
      <sz val="10"/>
      <color rgb="FF0070C0"/>
      <name val="Arial"/>
      <family val="2"/>
    </font>
    <font>
      <b/>
      <sz val="11"/>
      <color theme="1"/>
      <name val="Calibri"/>
      <family val="2"/>
      <scheme val="minor"/>
    </font>
    <font>
      <sz val="10"/>
      <name val="Calibri"/>
      <family val="2"/>
      <scheme val="minor"/>
    </font>
    <font>
      <sz val="10"/>
      <color rgb="FFFF0000"/>
      <name val="Arial"/>
      <family val="2"/>
    </font>
    <font>
      <b/>
      <sz val="11"/>
      <name val="Calibri"/>
      <family val="2"/>
      <scheme val="minor"/>
    </font>
    <font>
      <sz val="16"/>
      <color theme="1"/>
      <name val="Calibri"/>
      <family val="2"/>
      <scheme val="minor"/>
    </font>
    <font>
      <b/>
      <sz val="16"/>
      <name val="Cambria"/>
      <family val="2"/>
      <scheme val="major"/>
    </font>
    <font>
      <sz val="16"/>
      <color theme="0"/>
      <name val="Calibri"/>
      <family val="2"/>
      <scheme val="minor"/>
    </font>
    <font>
      <sz val="13"/>
      <name val="Cambria"/>
      <family val="1"/>
      <scheme val="major"/>
    </font>
    <font>
      <sz val="13"/>
      <color theme="1"/>
      <name val="Cambria"/>
      <family val="2"/>
      <scheme val="major"/>
    </font>
    <font>
      <u/>
      <sz val="11"/>
      <color theme="10"/>
      <name val="Calibri"/>
      <family val="2"/>
      <scheme val="minor"/>
    </font>
    <font>
      <u/>
      <sz val="10"/>
      <color theme="10"/>
      <name val="Arial"/>
      <family val="2"/>
    </font>
    <font>
      <u/>
      <sz val="12"/>
      <color theme="10"/>
      <name val="Cambria"/>
      <family val="1"/>
      <scheme val="major"/>
    </font>
    <font>
      <sz val="10"/>
      <color theme="0"/>
      <name val="Arial"/>
      <family val="2"/>
    </font>
    <font>
      <sz val="12"/>
      <color theme="1"/>
      <name val="Cambria"/>
      <family val="2"/>
      <scheme val="major"/>
    </font>
    <font>
      <sz val="12"/>
      <name val="Cambria"/>
      <family val="1"/>
      <scheme val="major"/>
    </font>
    <font>
      <sz val="10"/>
      <color theme="1"/>
      <name val="Calibri"/>
      <family val="2"/>
      <scheme val="minor"/>
    </font>
    <font>
      <sz val="10"/>
      <name val="Cambria"/>
      <family val="1"/>
      <scheme val="major"/>
    </font>
    <font>
      <sz val="10"/>
      <color theme="1"/>
      <name val="Cambria"/>
      <family val="2"/>
      <scheme val="major"/>
    </font>
    <font>
      <sz val="12"/>
      <name val="Cambria"/>
      <family val="1"/>
    </font>
    <font>
      <sz val="12"/>
      <name val="Calibri Light"/>
      <family val="2"/>
    </font>
    <font>
      <b/>
      <sz val="12"/>
      <name val="Cambria"/>
      <family val="1"/>
    </font>
    <font>
      <b/>
      <sz val="10"/>
      <color theme="0" tint="-0.14999847407452621"/>
      <name val="Arial"/>
      <family val="2"/>
    </font>
    <font>
      <sz val="10"/>
      <color theme="0" tint="-0.14999847407452621"/>
      <name val="Arial"/>
      <family val="2"/>
    </font>
    <font>
      <b/>
      <sz val="8"/>
      <color rgb="FFFF0000"/>
      <name val="Arial"/>
      <family val="2"/>
    </font>
    <font>
      <sz val="10"/>
      <color rgb="FF000000"/>
      <name val="Arial"/>
      <family val="2"/>
    </font>
    <font>
      <b/>
      <sz val="16"/>
      <color rgb="FF0070C0"/>
      <name val="Arial"/>
      <family val="2"/>
    </font>
    <font>
      <i/>
      <sz val="10"/>
      <name val="Arial"/>
      <family val="2"/>
    </font>
    <font>
      <b/>
      <i/>
      <sz val="8"/>
      <name val="Arial"/>
      <family val="2"/>
    </font>
    <font>
      <sz val="10"/>
      <color theme="0" tint="-0.249977111117893"/>
      <name val="Arial"/>
      <family val="2"/>
    </font>
    <font>
      <b/>
      <sz val="10"/>
      <color rgb="FF009999"/>
      <name val="Arial"/>
      <family val="2"/>
    </font>
    <font>
      <b/>
      <sz val="10"/>
      <color rgb="FFFF0000"/>
      <name val="Arial"/>
      <family val="2"/>
    </font>
  </fonts>
  <fills count="4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14999847407452621"/>
        <bgColor indexed="64"/>
      </patternFill>
    </fill>
    <fill>
      <patternFill patternType="solid">
        <fgColor theme="2" tint="-0.249977111117893"/>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theme="6" tint="0.59999389629810485"/>
        <bgColor indexed="64"/>
      </patternFill>
    </fill>
    <fill>
      <patternFill patternType="solid">
        <fgColor theme="5" tint="-0.249977111117893"/>
        <bgColor indexed="64"/>
      </patternFill>
    </fill>
    <fill>
      <patternFill patternType="solid">
        <fgColor theme="4" tint="0.39997558519241921"/>
        <bgColor indexed="64"/>
      </patternFill>
    </fill>
    <fill>
      <patternFill patternType="solid">
        <fgColor theme="8" tint="0.79998168889431442"/>
        <bgColor indexed="64"/>
      </patternFill>
    </fill>
    <fill>
      <patternFill patternType="solid">
        <fgColor rgb="FFF9FCFD"/>
        <bgColor indexed="64"/>
      </patternFill>
    </fill>
  </fills>
  <borders count="19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right style="double">
        <color indexed="64"/>
      </right>
      <top style="double">
        <color indexed="64"/>
      </top>
      <bottom/>
      <diagonal/>
    </border>
    <border>
      <left/>
      <right style="double">
        <color indexed="64"/>
      </right>
      <top/>
      <bottom/>
      <diagonal/>
    </border>
    <border>
      <left/>
      <right style="double">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style="double">
        <color indexed="64"/>
      </left>
      <right style="double">
        <color indexed="64"/>
      </right>
      <top/>
      <bottom style="double">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top style="thin">
        <color indexed="64"/>
      </top>
      <bottom style="double">
        <color indexed="64"/>
      </bottom>
      <diagonal/>
    </border>
    <border>
      <left/>
      <right style="double">
        <color indexed="64"/>
      </right>
      <top style="thin">
        <color indexed="64"/>
      </top>
      <bottom style="double">
        <color indexed="64"/>
      </bottom>
      <diagonal/>
    </border>
    <border>
      <left style="double">
        <color indexed="64"/>
      </left>
      <right style="double">
        <color indexed="64"/>
      </right>
      <top style="double">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double">
        <color indexed="64"/>
      </bottom>
      <diagonal/>
    </border>
    <border>
      <left style="double">
        <color indexed="64"/>
      </left>
      <right style="double">
        <color indexed="64"/>
      </right>
      <top/>
      <bottom style="thin">
        <color indexed="64"/>
      </bottom>
      <diagonal/>
    </border>
    <border>
      <left style="double">
        <color indexed="64"/>
      </left>
      <right style="medium">
        <color indexed="64"/>
      </right>
      <top style="thin">
        <color indexed="64"/>
      </top>
      <bottom style="thin">
        <color indexed="64"/>
      </bottom>
      <diagonal/>
    </border>
    <border>
      <left style="double">
        <color indexed="64"/>
      </left>
      <right style="medium">
        <color indexed="64"/>
      </right>
      <top/>
      <bottom style="double">
        <color indexed="64"/>
      </bottom>
      <diagonal/>
    </border>
    <border>
      <left style="double">
        <color indexed="64"/>
      </left>
      <right style="medium">
        <color indexed="64"/>
      </right>
      <top style="double">
        <color indexed="64"/>
      </top>
      <bottom/>
      <diagonal/>
    </border>
    <border>
      <left style="double">
        <color indexed="64"/>
      </left>
      <right style="medium">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double">
        <color indexed="64"/>
      </right>
      <top style="thin">
        <color indexed="64"/>
      </top>
      <bottom/>
      <diagonal/>
    </border>
    <border>
      <left style="double">
        <color indexed="64"/>
      </left>
      <right style="medium">
        <color indexed="64"/>
      </right>
      <top style="thin">
        <color indexed="64"/>
      </top>
      <bottom/>
      <diagonal/>
    </border>
    <border>
      <left style="double">
        <color indexed="64"/>
      </left>
      <right style="medium">
        <color indexed="64"/>
      </right>
      <top style="thin">
        <color indexed="64"/>
      </top>
      <bottom style="double">
        <color indexed="64"/>
      </bottom>
      <diagonal/>
    </border>
    <border>
      <left style="thin">
        <color indexed="64"/>
      </left>
      <right style="double">
        <color indexed="64"/>
      </right>
      <top/>
      <bottom/>
      <diagonal/>
    </border>
    <border>
      <left style="double">
        <color indexed="64"/>
      </left>
      <right style="medium">
        <color indexed="64"/>
      </right>
      <top/>
      <bottom/>
      <diagonal/>
    </border>
    <border>
      <left style="double">
        <color indexed="64"/>
      </left>
      <right style="double">
        <color indexed="64"/>
      </right>
      <top style="thick">
        <color indexed="64"/>
      </top>
      <bottom style="thick">
        <color indexed="64"/>
      </bottom>
      <diagonal/>
    </border>
    <border>
      <left style="double">
        <color indexed="64"/>
      </left>
      <right style="medium">
        <color indexed="64"/>
      </right>
      <top style="thick">
        <color indexed="64"/>
      </top>
      <bottom style="thick">
        <color indexed="64"/>
      </bottom>
      <diagonal/>
    </border>
    <border>
      <left style="thin">
        <color indexed="64"/>
      </left>
      <right style="double">
        <color indexed="64"/>
      </right>
      <top style="thin">
        <color indexed="64"/>
      </top>
      <bottom style="double">
        <color indexed="64"/>
      </bottom>
      <diagonal/>
    </border>
    <border>
      <left style="double">
        <color indexed="64"/>
      </left>
      <right style="medium">
        <color indexed="64"/>
      </right>
      <top style="thick">
        <color indexed="64"/>
      </top>
      <bottom style="thin">
        <color indexed="64"/>
      </bottom>
      <diagonal/>
    </border>
    <border>
      <left style="double">
        <color indexed="64"/>
      </left>
      <right style="medium">
        <color indexed="64"/>
      </right>
      <top style="thin">
        <color indexed="64"/>
      </top>
      <bottom style="thick">
        <color indexed="64"/>
      </bottom>
      <diagonal/>
    </border>
    <border>
      <left style="double">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double">
        <color indexed="64"/>
      </left>
      <right style="thin">
        <color indexed="64"/>
      </right>
      <top style="double">
        <color indexed="64"/>
      </top>
      <bottom/>
      <diagonal/>
    </border>
    <border>
      <left style="double">
        <color indexed="64"/>
      </left>
      <right style="thin">
        <color indexed="64"/>
      </right>
      <top/>
      <bottom/>
      <diagonal/>
    </border>
    <border>
      <left style="double">
        <color indexed="64"/>
      </left>
      <right style="thin">
        <color indexed="64"/>
      </right>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right style="double">
        <color indexed="64"/>
      </right>
      <top/>
      <bottom style="thin">
        <color indexed="64"/>
      </bottom>
      <diagonal/>
    </border>
    <border>
      <left/>
      <right/>
      <top style="double">
        <color indexed="64"/>
      </top>
      <bottom/>
      <diagonal/>
    </border>
    <border>
      <left/>
      <right style="double">
        <color indexed="64"/>
      </right>
      <top style="thin">
        <color indexed="64"/>
      </top>
      <bottom/>
      <diagonal/>
    </border>
    <border>
      <left style="double">
        <color indexed="64"/>
      </left>
      <right style="thin">
        <color indexed="64"/>
      </right>
      <top style="thin">
        <color indexed="64"/>
      </top>
      <bottom/>
      <diagonal/>
    </border>
    <border>
      <left style="double">
        <color indexed="64"/>
      </left>
      <right style="thin">
        <color indexed="64"/>
      </right>
      <top/>
      <bottom style="thin">
        <color indexed="64"/>
      </bottom>
      <diagonal/>
    </border>
    <border>
      <left style="double">
        <color indexed="64"/>
      </left>
      <right/>
      <top style="thick">
        <color indexed="64"/>
      </top>
      <bottom style="thick">
        <color indexed="64"/>
      </bottom>
      <diagonal/>
    </border>
    <border>
      <left style="double">
        <color indexed="64"/>
      </left>
      <right style="thin">
        <color indexed="64"/>
      </right>
      <top style="thick">
        <color indexed="64"/>
      </top>
      <bottom style="thick">
        <color indexed="64"/>
      </bottom>
      <diagonal/>
    </border>
    <border>
      <left style="double">
        <color indexed="64"/>
      </left>
      <right/>
      <top style="thick">
        <color indexed="64"/>
      </top>
      <bottom style="thin">
        <color indexed="64"/>
      </bottom>
      <diagonal/>
    </border>
    <border>
      <left style="double">
        <color indexed="64"/>
      </left>
      <right style="double">
        <color indexed="64"/>
      </right>
      <top style="thick">
        <color indexed="64"/>
      </top>
      <bottom style="thin">
        <color indexed="64"/>
      </bottom>
      <diagonal/>
    </border>
    <border>
      <left style="double">
        <color indexed="64"/>
      </left>
      <right style="thin">
        <color indexed="64"/>
      </right>
      <top style="thick">
        <color indexed="64"/>
      </top>
      <bottom style="thin">
        <color indexed="64"/>
      </bottom>
      <diagonal/>
    </border>
    <border>
      <left style="double">
        <color indexed="64"/>
      </left>
      <right/>
      <top style="thick">
        <color indexed="64"/>
      </top>
      <bottom style="double">
        <color indexed="64"/>
      </bottom>
      <diagonal/>
    </border>
    <border>
      <left style="double">
        <color indexed="64"/>
      </left>
      <right style="double">
        <color indexed="64"/>
      </right>
      <top style="thick">
        <color indexed="64"/>
      </top>
      <bottom style="double">
        <color indexed="64"/>
      </bottom>
      <diagonal/>
    </border>
    <border>
      <left style="double">
        <color indexed="64"/>
      </left>
      <right/>
      <top style="thin">
        <color indexed="64"/>
      </top>
      <bottom/>
      <diagonal/>
    </border>
    <border>
      <left style="double">
        <color indexed="64"/>
      </left>
      <right style="thin">
        <color indexed="64"/>
      </right>
      <top style="thick">
        <color indexed="64"/>
      </top>
      <bottom style="double">
        <color indexed="64"/>
      </bottom>
      <diagonal/>
    </border>
    <border>
      <left/>
      <right/>
      <top style="thin">
        <color indexed="64"/>
      </top>
      <bottom style="medium">
        <color indexed="64"/>
      </bottom>
      <diagonal/>
    </border>
    <border>
      <left/>
      <right/>
      <top style="medium">
        <color indexed="64"/>
      </top>
      <bottom style="thick">
        <color indexed="64"/>
      </bottom>
      <diagonal/>
    </border>
    <border>
      <left/>
      <right style="double">
        <color indexed="64"/>
      </right>
      <top style="medium">
        <color indexed="64"/>
      </top>
      <bottom style="thick">
        <color indexed="64"/>
      </bottom>
      <diagonal/>
    </border>
    <border>
      <left style="double">
        <color indexed="64"/>
      </left>
      <right style="double">
        <color indexed="64"/>
      </right>
      <top style="medium">
        <color indexed="64"/>
      </top>
      <bottom style="thick">
        <color indexed="64"/>
      </bottom>
      <diagonal/>
    </border>
    <border>
      <left style="double">
        <color indexed="64"/>
      </left>
      <right style="thin">
        <color indexed="64"/>
      </right>
      <top style="medium">
        <color indexed="64"/>
      </top>
      <bottom style="thick">
        <color indexed="64"/>
      </bottom>
      <diagonal/>
    </border>
    <border>
      <left style="double">
        <color indexed="64"/>
      </left>
      <right/>
      <top style="medium">
        <color indexed="64"/>
      </top>
      <bottom style="thick">
        <color indexed="64"/>
      </bottom>
      <diagonal/>
    </border>
    <border>
      <left/>
      <right/>
      <top style="medium">
        <color indexed="64"/>
      </top>
      <bottom style="thin">
        <color indexed="64"/>
      </bottom>
      <diagonal/>
    </border>
    <border>
      <left/>
      <right style="double">
        <color indexed="64"/>
      </right>
      <top style="thick">
        <color indexed="64"/>
      </top>
      <bottom style="thin">
        <color indexed="64"/>
      </bottom>
      <diagonal/>
    </border>
    <border>
      <left/>
      <right style="thin">
        <color indexed="64"/>
      </right>
      <top style="thin">
        <color indexed="64"/>
      </top>
      <bottom style="thin">
        <color indexed="64"/>
      </bottom>
      <diagonal/>
    </border>
    <border>
      <left style="thin">
        <color indexed="64"/>
      </left>
      <right style="double">
        <color indexed="64"/>
      </right>
      <top/>
      <bottom style="thin">
        <color indexed="64"/>
      </bottom>
      <diagonal/>
    </border>
    <border>
      <left/>
      <right/>
      <top/>
      <bottom style="medium">
        <color indexed="64"/>
      </bottom>
      <diagonal/>
    </border>
    <border>
      <left style="double">
        <color indexed="64"/>
      </left>
      <right/>
      <top/>
      <bottom/>
      <diagonal/>
    </border>
    <border>
      <left/>
      <right style="double">
        <color indexed="64"/>
      </right>
      <top/>
      <bottom style="medium">
        <color indexed="64"/>
      </bottom>
      <diagonal/>
    </border>
    <border>
      <left style="double">
        <color indexed="64"/>
      </left>
      <right/>
      <top/>
      <bottom style="double">
        <color indexed="64"/>
      </bottom>
      <diagonal/>
    </border>
    <border>
      <left style="double">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ck">
        <color indexed="64"/>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bottom style="thick">
        <color indexed="64"/>
      </bottom>
      <diagonal/>
    </border>
    <border>
      <left style="double">
        <color indexed="64"/>
      </left>
      <right/>
      <top style="double">
        <color indexed="64"/>
      </top>
      <bottom/>
      <diagonal/>
    </border>
    <border>
      <left/>
      <right style="double">
        <color indexed="64"/>
      </right>
      <top style="thin">
        <color indexed="64"/>
      </top>
      <bottom style="medium">
        <color indexed="64"/>
      </bottom>
      <diagonal/>
    </border>
    <border>
      <left/>
      <right/>
      <top style="medium">
        <color indexed="64"/>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medium">
        <color indexed="64"/>
      </bottom>
      <diagonal/>
    </border>
    <border>
      <left/>
      <right/>
      <top style="double">
        <color indexed="64"/>
      </top>
      <bottom style="double">
        <color indexed="64"/>
      </bottom>
      <diagonal/>
    </border>
    <border>
      <left style="double">
        <color indexed="64"/>
      </left>
      <right/>
      <top style="double">
        <color indexed="64"/>
      </top>
      <bottom style="double">
        <color indexed="64"/>
      </bottom>
      <diagonal/>
    </border>
    <border>
      <left style="double">
        <color indexed="64"/>
      </left>
      <right style="double">
        <color indexed="64"/>
      </right>
      <top style="double">
        <color indexed="64"/>
      </top>
      <bottom style="double">
        <color indexed="64"/>
      </bottom>
      <diagonal/>
    </border>
    <border>
      <left style="double">
        <color indexed="64"/>
      </left>
      <right/>
      <top/>
      <bottom style="thin">
        <color indexed="64"/>
      </bottom>
      <diagonal/>
    </border>
    <border>
      <left/>
      <right style="double">
        <color indexed="64"/>
      </right>
      <top style="double">
        <color indexed="64"/>
      </top>
      <bottom style="double">
        <color indexed="64"/>
      </bottom>
      <diagonal/>
    </border>
    <border>
      <left style="medium">
        <color indexed="64"/>
      </left>
      <right/>
      <top/>
      <bottom/>
      <diagonal/>
    </border>
    <border>
      <left/>
      <right style="thin">
        <color indexed="64"/>
      </right>
      <top style="double">
        <color indexed="64"/>
      </top>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thin">
        <color indexed="64"/>
      </right>
      <top style="double">
        <color indexed="64"/>
      </top>
      <bottom style="thin">
        <color indexed="64"/>
      </bottom>
      <diagonal/>
    </border>
    <border>
      <left/>
      <right style="thin">
        <color indexed="64"/>
      </right>
      <top style="thin">
        <color indexed="64"/>
      </top>
      <bottom style="double">
        <color indexed="64"/>
      </bottom>
      <diagonal/>
    </border>
    <border>
      <left style="thin">
        <color indexed="64"/>
      </left>
      <right/>
      <top style="medium">
        <color indexed="64"/>
      </top>
      <bottom style="medium">
        <color indexed="64"/>
      </bottom>
      <diagonal/>
    </border>
    <border>
      <left style="double">
        <color indexed="64"/>
      </left>
      <right style="thin">
        <color indexed="64"/>
      </right>
      <top style="thin">
        <color indexed="64"/>
      </top>
      <bottom style="medium">
        <color indexed="64"/>
      </bottom>
      <diagonal/>
    </border>
    <border>
      <left style="double">
        <color indexed="64"/>
      </left>
      <right/>
      <top/>
      <bottom style="medium">
        <color indexed="64"/>
      </bottom>
      <diagonal/>
    </border>
    <border>
      <left style="double">
        <color indexed="64"/>
      </left>
      <right style="medium">
        <color indexed="64"/>
      </right>
      <top style="medium">
        <color indexed="64"/>
      </top>
      <bottom/>
      <diagonal/>
    </border>
    <border>
      <left style="thin">
        <color indexed="64"/>
      </left>
      <right/>
      <top style="double">
        <color indexed="64"/>
      </top>
      <bottom/>
      <diagonal/>
    </border>
    <border>
      <left style="double">
        <color indexed="64"/>
      </left>
      <right style="thick">
        <color indexed="64"/>
      </right>
      <top style="double">
        <color indexed="64"/>
      </top>
      <bottom/>
      <diagonal/>
    </border>
    <border>
      <left style="double">
        <color indexed="64"/>
      </left>
      <right style="thick">
        <color indexed="64"/>
      </right>
      <top/>
      <bottom/>
      <diagonal/>
    </border>
    <border>
      <left style="double">
        <color indexed="64"/>
      </left>
      <right style="thick">
        <color indexed="64"/>
      </right>
      <top style="thin">
        <color indexed="64"/>
      </top>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medium">
        <color indexed="64"/>
      </left>
      <right style="medium">
        <color indexed="64"/>
      </right>
      <top style="medium">
        <color indexed="64"/>
      </top>
      <bottom style="medium">
        <color indexed="64"/>
      </bottom>
      <diagonal/>
    </border>
    <border>
      <left style="thin">
        <color indexed="64"/>
      </left>
      <right style="double">
        <color indexed="64"/>
      </right>
      <top style="medium">
        <color indexed="64"/>
      </top>
      <bottom/>
      <diagonal/>
    </border>
    <border>
      <left style="thin">
        <color indexed="64"/>
      </left>
      <right style="double">
        <color indexed="64"/>
      </right>
      <top/>
      <bottom style="double">
        <color indexed="64"/>
      </bottom>
      <diagonal/>
    </border>
    <border>
      <left style="thin">
        <color indexed="64"/>
      </left>
      <right style="double">
        <color indexed="64"/>
      </right>
      <top/>
      <bottom style="medium">
        <color indexed="64"/>
      </bottom>
      <diagonal/>
    </border>
    <border>
      <left style="thin">
        <color indexed="64"/>
      </left>
      <right style="double">
        <color indexed="64"/>
      </right>
      <top style="double">
        <color indexed="64"/>
      </top>
      <bottom style="thin">
        <color indexed="64"/>
      </bottom>
      <diagonal/>
    </border>
    <border>
      <left style="thick">
        <color indexed="64"/>
      </left>
      <right/>
      <top style="double">
        <color indexed="64"/>
      </top>
      <bottom/>
      <diagonal/>
    </border>
    <border>
      <left style="thick">
        <color indexed="64"/>
      </left>
      <right/>
      <top style="thin">
        <color indexed="64"/>
      </top>
      <bottom/>
      <diagonal/>
    </border>
    <border>
      <left style="thick">
        <color indexed="64"/>
      </left>
      <right/>
      <top style="thin">
        <color indexed="64"/>
      </top>
      <bottom style="thin">
        <color indexed="64"/>
      </bottom>
      <diagonal/>
    </border>
    <border>
      <left style="thick">
        <color indexed="64"/>
      </left>
      <right/>
      <top/>
      <bottom style="thin">
        <color indexed="64"/>
      </bottom>
      <diagonal/>
    </border>
    <border>
      <left style="thin">
        <color indexed="64"/>
      </left>
      <right style="double">
        <color indexed="64"/>
      </right>
      <top style="thin">
        <color indexed="64"/>
      </top>
      <bottom style="thick">
        <color indexed="64"/>
      </bottom>
      <diagonal/>
    </border>
    <border>
      <left style="thick">
        <color indexed="64"/>
      </left>
      <right style="thick">
        <color indexed="64"/>
      </right>
      <top/>
      <bottom/>
      <diagonal/>
    </border>
    <border>
      <left style="thick">
        <color indexed="64"/>
      </left>
      <right style="thick">
        <color indexed="64"/>
      </right>
      <top/>
      <bottom style="double">
        <color indexed="64"/>
      </bottom>
      <diagonal/>
    </border>
    <border>
      <left style="double">
        <color indexed="64"/>
      </left>
      <right style="thick">
        <color indexed="64"/>
      </right>
      <top/>
      <bottom style="thin">
        <color indexed="64"/>
      </bottom>
      <diagonal/>
    </border>
    <border>
      <left style="double">
        <color indexed="64"/>
      </left>
      <right style="thick">
        <color indexed="64"/>
      </right>
      <top style="thin">
        <color indexed="64"/>
      </top>
      <bottom style="thin">
        <color indexed="64"/>
      </bottom>
      <diagonal/>
    </border>
    <border>
      <left style="double">
        <color indexed="64"/>
      </left>
      <right style="medium">
        <color indexed="64"/>
      </right>
      <top style="double">
        <color indexed="64"/>
      </top>
      <bottom style="thin">
        <color indexed="64"/>
      </bottom>
      <diagonal/>
    </border>
    <border>
      <left style="double">
        <color indexed="64"/>
      </left>
      <right style="thin">
        <color indexed="64"/>
      </right>
      <top/>
      <bottom style="medium">
        <color indexed="64"/>
      </bottom>
      <diagonal/>
    </border>
    <border>
      <left style="double">
        <color indexed="64"/>
      </left>
      <right style="medium">
        <color indexed="64"/>
      </right>
      <top style="double">
        <color indexed="64"/>
      </top>
      <bottom style="double">
        <color indexed="64"/>
      </bottom>
      <diagonal/>
    </border>
    <border>
      <left style="double">
        <color indexed="64"/>
      </left>
      <right style="double">
        <color indexed="64"/>
      </right>
      <top/>
      <bottom style="thick">
        <color indexed="64"/>
      </bottom>
      <diagonal/>
    </border>
    <border>
      <left style="double">
        <color indexed="64"/>
      </left>
      <right style="double">
        <color indexed="64"/>
      </right>
      <top style="thick">
        <color indexed="64"/>
      </top>
      <bottom/>
      <diagonal/>
    </border>
    <border>
      <left style="thick">
        <color indexed="64"/>
      </left>
      <right style="thick">
        <color indexed="64"/>
      </right>
      <top style="thick">
        <color indexed="64"/>
      </top>
      <bottom style="thick">
        <color indexed="64"/>
      </bottom>
      <diagonal/>
    </border>
    <border>
      <left style="double">
        <color indexed="64"/>
      </left>
      <right style="double">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double">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right/>
      <top style="thick">
        <color indexed="64"/>
      </top>
      <bottom style="double">
        <color indexed="64"/>
      </bottom>
      <diagonal/>
    </border>
    <border>
      <left/>
      <right/>
      <top style="thick">
        <color indexed="64"/>
      </top>
      <bottom style="thick">
        <color indexed="64"/>
      </bottom>
      <diagonal/>
    </border>
    <border>
      <left/>
      <right style="double">
        <color indexed="64"/>
      </right>
      <top style="thick">
        <color indexed="64"/>
      </top>
      <bottom style="double">
        <color indexed="64"/>
      </bottom>
      <diagonal/>
    </border>
    <border>
      <left style="double">
        <color indexed="64"/>
      </left>
      <right style="thin">
        <color indexed="64"/>
      </right>
      <top style="medium">
        <color indexed="64"/>
      </top>
      <bottom style="thin">
        <color indexed="64"/>
      </bottom>
      <diagonal/>
    </border>
    <border>
      <left style="double">
        <color indexed="64"/>
      </left>
      <right style="medium">
        <color indexed="64"/>
      </right>
      <top style="medium">
        <color indexed="64"/>
      </top>
      <bottom style="double">
        <color indexed="64"/>
      </bottom>
      <diagonal/>
    </border>
    <border>
      <left/>
      <right style="medium">
        <color indexed="64"/>
      </right>
      <top/>
      <bottom style="thick">
        <color indexed="64"/>
      </bottom>
      <diagonal/>
    </border>
    <border>
      <left/>
      <right style="double">
        <color indexed="64"/>
      </right>
      <top/>
      <bottom style="thick">
        <color indexed="64"/>
      </bottom>
      <diagonal/>
    </border>
    <border>
      <left style="double">
        <color indexed="64"/>
      </left>
      <right/>
      <top style="thick">
        <color indexed="64"/>
      </top>
      <bottom/>
      <diagonal/>
    </border>
    <border>
      <left/>
      <right style="double">
        <color indexed="64"/>
      </right>
      <top style="thick">
        <color indexed="64"/>
      </top>
      <bottom/>
      <diagonal/>
    </border>
    <border>
      <left/>
      <right style="medium">
        <color indexed="64"/>
      </right>
      <top/>
      <bottom style="thin">
        <color indexed="64"/>
      </bottom>
      <diagonal/>
    </border>
    <border>
      <left style="double">
        <color indexed="64"/>
      </left>
      <right style="double">
        <color indexed="64"/>
      </right>
      <top style="medium">
        <color indexed="64"/>
      </top>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double">
        <color indexed="64"/>
      </bottom>
      <diagonal/>
    </border>
    <border>
      <left style="double">
        <color indexed="64"/>
      </left>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right style="thick">
        <color indexed="64"/>
      </right>
      <top style="thin">
        <color indexed="64"/>
      </top>
      <bottom/>
      <diagonal/>
    </border>
    <border>
      <left style="thin">
        <color indexed="64"/>
      </left>
      <right style="double">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thick">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ck">
        <color indexed="64"/>
      </right>
      <top/>
      <bottom style="thick">
        <color indexed="64"/>
      </bottom>
      <diagonal/>
    </border>
    <border>
      <left style="thick">
        <color indexed="64"/>
      </left>
      <right/>
      <top/>
      <bottom style="double">
        <color indexed="64"/>
      </bottom>
      <diagonal/>
    </border>
    <border>
      <left/>
      <right style="thin">
        <color indexed="64"/>
      </right>
      <top/>
      <bottom style="double">
        <color indexed="64"/>
      </bottom>
      <diagonal/>
    </border>
  </borders>
  <cellStyleXfs count="64">
    <xf numFmtId="0" fontId="0" fillId="0" borderId="0"/>
    <xf numFmtId="0" fontId="46" fillId="2" borderId="0" applyNumberFormat="0" applyBorder="0" applyAlignment="0" applyProtection="0"/>
    <xf numFmtId="0" fontId="46" fillId="3" borderId="0" applyNumberFormat="0" applyBorder="0" applyAlignment="0" applyProtection="0"/>
    <xf numFmtId="0" fontId="46" fillId="4" borderId="0" applyNumberFormat="0" applyBorder="0" applyAlignment="0" applyProtection="0"/>
    <xf numFmtId="0" fontId="46" fillId="5" borderId="0" applyNumberFormat="0" applyBorder="0" applyAlignment="0" applyProtection="0"/>
    <xf numFmtId="0" fontId="46" fillId="6" borderId="0" applyNumberFormat="0" applyBorder="0" applyAlignment="0" applyProtection="0"/>
    <xf numFmtId="0" fontId="46" fillId="7" borderId="0" applyNumberFormat="0" applyBorder="0" applyAlignment="0" applyProtection="0"/>
    <xf numFmtId="0" fontId="46" fillId="8" borderId="0" applyNumberFormat="0" applyBorder="0" applyAlignment="0" applyProtection="0"/>
    <xf numFmtId="0" fontId="46" fillId="9" borderId="0" applyNumberFormat="0" applyBorder="0" applyAlignment="0" applyProtection="0"/>
    <xf numFmtId="0" fontId="46" fillId="10" borderId="0" applyNumberFormat="0" applyBorder="0" applyAlignment="0" applyProtection="0"/>
    <xf numFmtId="0" fontId="46" fillId="5" borderId="0" applyNumberFormat="0" applyBorder="0" applyAlignment="0" applyProtection="0"/>
    <xf numFmtId="0" fontId="46" fillId="8" borderId="0" applyNumberFormat="0" applyBorder="0" applyAlignment="0" applyProtection="0"/>
    <xf numFmtId="0" fontId="46" fillId="11" borderId="0" applyNumberFormat="0" applyBorder="0" applyAlignment="0" applyProtection="0"/>
    <xf numFmtId="0" fontId="47" fillId="12" borderId="0" applyNumberFormat="0" applyBorder="0" applyAlignment="0" applyProtection="0"/>
    <xf numFmtId="0" fontId="47" fillId="9" borderId="0" applyNumberFormat="0" applyBorder="0" applyAlignment="0" applyProtection="0"/>
    <xf numFmtId="0" fontId="47" fillId="10"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3" borderId="0" applyNumberFormat="0" applyBorder="0" applyAlignment="0" applyProtection="0"/>
    <xf numFmtId="0" fontId="47" fillId="14" borderId="0" applyNumberFormat="0" applyBorder="0" applyAlignment="0" applyProtection="0"/>
    <xf numFmtId="0" fontId="47" fillId="19" borderId="0" applyNumberFormat="0" applyBorder="0" applyAlignment="0" applyProtection="0"/>
    <xf numFmtId="0" fontId="48" fillId="3" borderId="0" applyNumberFormat="0" applyBorder="0" applyAlignment="0" applyProtection="0"/>
    <xf numFmtId="0" fontId="49" fillId="20" borderId="1" applyNumberFormat="0" applyAlignment="0" applyProtection="0"/>
    <xf numFmtId="0" fontId="50" fillId="21" borderId="2" applyNumberFormat="0" applyAlignment="0" applyProtection="0"/>
    <xf numFmtId="43" fontId="3" fillId="0" borderId="0" applyFont="0" applyFill="0" applyBorder="0" applyAlignment="0" applyProtection="0"/>
    <xf numFmtId="43" fontId="63" fillId="0" borderId="0" applyFont="0" applyFill="0" applyBorder="0" applyAlignment="0" applyProtection="0"/>
    <xf numFmtId="43" fontId="75" fillId="0" borderId="0" applyFont="0" applyFill="0" applyBorder="0" applyAlignment="0" applyProtection="0"/>
    <xf numFmtId="43" fontId="12" fillId="0" borderId="0" applyFont="0" applyFill="0" applyBorder="0" applyAlignment="0" applyProtection="0"/>
    <xf numFmtId="43" fontId="64" fillId="0" borderId="0" applyFont="0" applyFill="0" applyBorder="0" applyAlignment="0" applyProtection="0"/>
    <xf numFmtId="43" fontId="67" fillId="0" borderId="0" applyFont="0" applyFill="0" applyBorder="0" applyAlignment="0" applyProtection="0"/>
    <xf numFmtId="44" fontId="3" fillId="0" borderId="0" applyFont="0" applyFill="0" applyBorder="0" applyAlignment="0" applyProtection="0"/>
    <xf numFmtId="44" fontId="12" fillId="0" borderId="0" applyFont="0" applyFill="0" applyBorder="0" applyAlignment="0" applyProtection="0"/>
    <xf numFmtId="44" fontId="64" fillId="0" borderId="0" applyFont="0" applyFill="0" applyBorder="0" applyAlignment="0" applyProtection="0"/>
    <xf numFmtId="0" fontId="51" fillId="0" borderId="0" applyNumberFormat="0" applyFill="0" applyBorder="0" applyAlignment="0" applyProtection="0"/>
    <xf numFmtId="0" fontId="52" fillId="4" borderId="0" applyNumberFormat="0" applyBorder="0" applyAlignment="0" applyProtection="0"/>
    <xf numFmtId="0" fontId="53" fillId="0" borderId="3" applyNumberFormat="0" applyFill="0" applyAlignment="0" applyProtection="0"/>
    <xf numFmtId="0" fontId="54" fillId="0" borderId="4" applyNumberFormat="0" applyFill="0" applyAlignment="0" applyProtection="0"/>
    <xf numFmtId="0" fontId="55" fillId="0" borderId="5" applyNumberFormat="0" applyFill="0" applyAlignment="0" applyProtection="0"/>
    <xf numFmtId="0" fontId="55" fillId="0" borderId="0" applyNumberFormat="0" applyFill="0" applyBorder="0" applyAlignment="0" applyProtection="0"/>
    <xf numFmtId="0" fontId="56" fillId="7" borderId="1" applyNumberFormat="0" applyAlignment="0" applyProtection="0"/>
    <xf numFmtId="0" fontId="57" fillId="0" borderId="6" applyNumberFormat="0" applyFill="0" applyAlignment="0" applyProtection="0"/>
    <xf numFmtId="0" fontId="58" fillId="22" borderId="0" applyNumberFormat="0" applyBorder="0" applyAlignment="0" applyProtection="0"/>
    <xf numFmtId="0" fontId="12" fillId="0" borderId="0"/>
    <xf numFmtId="0" fontId="12" fillId="0" borderId="0"/>
    <xf numFmtId="0" fontId="75" fillId="0" borderId="0"/>
    <xf numFmtId="0" fontId="3" fillId="0" borderId="0"/>
    <xf numFmtId="0" fontId="12" fillId="23" borderId="7" applyNumberFormat="0" applyFont="0" applyAlignment="0" applyProtection="0"/>
    <xf numFmtId="0" fontId="59" fillId="20" borderId="8" applyNumberFormat="0" applyAlignment="0" applyProtection="0"/>
    <xf numFmtId="9" fontId="3" fillId="0" borderId="0" applyFont="0" applyFill="0" applyBorder="0" applyAlignment="0" applyProtection="0"/>
    <xf numFmtId="9" fontId="12" fillId="0" borderId="0" applyFont="0" applyFill="0" applyBorder="0" applyAlignment="0" applyProtection="0"/>
    <xf numFmtId="9" fontId="67" fillId="0" borderId="0" applyFont="0" applyFill="0" applyBorder="0" applyAlignment="0" applyProtection="0"/>
    <xf numFmtId="0" fontId="60" fillId="0" borderId="0" applyNumberFormat="0" applyFill="0" applyBorder="0" applyAlignment="0" applyProtection="0"/>
    <xf numFmtId="0" fontId="61" fillId="0" borderId="9" applyNumberFormat="0" applyFill="0" applyAlignment="0" applyProtection="0"/>
    <xf numFmtId="0" fontId="62" fillId="0" borderId="0" applyNumberFormat="0" applyFill="0" applyBorder="0" applyAlignment="0" applyProtection="0"/>
    <xf numFmtId="0" fontId="2" fillId="0" borderId="0"/>
    <xf numFmtId="43" fontId="2" fillId="0" borderId="0" applyFont="0" applyFill="0" applyBorder="0" applyAlignment="0" applyProtection="0"/>
    <xf numFmtId="0" fontId="87" fillId="0" borderId="0" applyNumberFormat="0" applyFill="0" applyBorder="0" applyAlignment="0" applyProtection="0"/>
    <xf numFmtId="0" fontId="88" fillId="0" borderId="0" applyNumberFormat="0" applyFill="0" applyBorder="0" applyAlignment="0" applyProtection="0"/>
    <xf numFmtId="0" fontId="3" fillId="0" borderId="0"/>
    <xf numFmtId="0" fontId="1" fillId="0" borderId="0"/>
  </cellStyleXfs>
  <cellXfs count="1844">
    <xf numFmtId="0" fontId="0" fillId="0" borderId="0" xfId="0"/>
    <xf numFmtId="0" fontId="6" fillId="0" borderId="0" xfId="0" applyFont="1"/>
    <xf numFmtId="0" fontId="0" fillId="0" borderId="10" xfId="0" applyBorder="1"/>
    <xf numFmtId="0" fontId="7" fillId="0" borderId="10" xfId="0" applyFont="1" applyBorder="1"/>
    <xf numFmtId="0" fontId="0" fillId="0" borderId="11" xfId="0" applyBorder="1"/>
    <xf numFmtId="0" fontId="0" fillId="0" borderId="12" xfId="0" applyBorder="1"/>
    <xf numFmtId="0" fontId="0" fillId="0" borderId="13" xfId="0" applyBorder="1"/>
    <xf numFmtId="0" fontId="0" fillId="0" borderId="14" xfId="0" applyBorder="1"/>
    <xf numFmtId="0" fontId="0" fillId="0" borderId="15" xfId="0" applyBorder="1"/>
    <xf numFmtId="0" fontId="5" fillId="0" borderId="16"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xf>
    <xf numFmtId="0" fontId="7" fillId="0" borderId="0" xfId="0" applyFont="1" applyBorder="1"/>
    <xf numFmtId="43" fontId="8" fillId="0" borderId="19" xfId="28" applyFont="1" applyBorder="1"/>
    <xf numFmtId="0" fontId="8" fillId="0" borderId="19" xfId="0" applyFont="1" applyBorder="1"/>
    <xf numFmtId="0" fontId="8" fillId="0" borderId="20" xfId="0" applyFont="1" applyBorder="1"/>
    <xf numFmtId="0" fontId="8" fillId="0" borderId="12" xfId="0" applyFont="1" applyBorder="1"/>
    <xf numFmtId="0" fontId="8" fillId="0" borderId="21" xfId="0" applyFont="1" applyBorder="1"/>
    <xf numFmtId="0" fontId="8" fillId="0" borderId="22" xfId="0" applyFont="1" applyBorder="1"/>
    <xf numFmtId="0" fontId="8" fillId="0" borderId="23" xfId="0" applyFont="1" applyBorder="1"/>
    <xf numFmtId="43" fontId="8" fillId="0" borderId="24" xfId="28" applyFont="1" applyBorder="1"/>
    <xf numFmtId="43" fontId="8" fillId="0" borderId="12" xfId="28" applyFont="1" applyBorder="1"/>
    <xf numFmtId="43" fontId="8" fillId="0" borderId="25" xfId="28" applyFont="1" applyBorder="1"/>
    <xf numFmtId="43" fontId="8" fillId="0" borderId="26" xfId="28" applyFont="1" applyBorder="1"/>
    <xf numFmtId="0" fontId="7" fillId="0" borderId="0" xfId="0" applyFont="1" applyAlignment="1">
      <alignment horizontal="center"/>
    </xf>
    <xf numFmtId="0" fontId="7" fillId="0" borderId="16" xfId="0" applyFont="1" applyBorder="1" applyAlignment="1">
      <alignment horizontal="center"/>
    </xf>
    <xf numFmtId="0" fontId="7" fillId="0" borderId="17" xfId="0" applyFont="1" applyBorder="1" applyAlignment="1">
      <alignment horizontal="center"/>
    </xf>
    <xf numFmtId="0" fontId="7" fillId="0" borderId="10" xfId="0" applyFont="1" applyBorder="1" applyAlignment="1">
      <alignment horizontal="center"/>
    </xf>
    <xf numFmtId="0" fontId="7" fillId="0" borderId="18" xfId="0" applyFont="1" applyBorder="1" applyAlignment="1">
      <alignment horizontal="center"/>
    </xf>
    <xf numFmtId="43" fontId="0" fillId="0" borderId="0" xfId="0" applyNumberFormat="1"/>
    <xf numFmtId="43" fontId="8" fillId="0" borderId="27" xfId="28" applyFont="1" applyBorder="1"/>
    <xf numFmtId="43" fontId="8" fillId="0" borderId="18" xfId="28" applyFont="1" applyBorder="1"/>
    <xf numFmtId="43" fontId="8" fillId="0" borderId="28" xfId="28" applyFont="1" applyBorder="1"/>
    <xf numFmtId="43" fontId="8" fillId="0" borderId="29" xfId="28" applyFont="1" applyBorder="1"/>
    <xf numFmtId="43" fontId="6" fillId="0" borderId="30" xfId="28" applyFont="1" applyBorder="1" applyAlignment="1">
      <alignment horizontal="center"/>
    </xf>
    <xf numFmtId="43" fontId="6" fillId="0" borderId="31" xfId="28" applyFont="1" applyBorder="1" applyAlignment="1">
      <alignment horizontal="center"/>
    </xf>
    <xf numFmtId="49" fontId="9" fillId="0" borderId="27" xfId="28" applyNumberFormat="1" applyFont="1" applyBorder="1" applyAlignment="1">
      <alignment horizontal="center"/>
    </xf>
    <xf numFmtId="0" fontId="5" fillId="0" borderId="32" xfId="0" applyFont="1" applyBorder="1" applyAlignment="1">
      <alignment horizontal="center"/>
    </xf>
    <xf numFmtId="49" fontId="6" fillId="0" borderId="12" xfId="0" applyNumberFormat="1" applyFont="1" applyBorder="1"/>
    <xf numFmtId="0" fontId="6" fillId="0" borderId="12" xfId="0" applyFont="1" applyBorder="1"/>
    <xf numFmtId="49" fontId="6" fillId="0" borderId="0" xfId="0" applyNumberFormat="1" applyFont="1"/>
    <xf numFmtId="49" fontId="6" fillId="0" borderId="11" xfId="0" applyNumberFormat="1" applyFont="1" applyBorder="1"/>
    <xf numFmtId="0" fontId="6" fillId="0" borderId="11" xfId="0" applyFont="1" applyBorder="1"/>
    <xf numFmtId="0" fontId="7" fillId="0" borderId="12" xfId="0" applyFont="1" applyBorder="1"/>
    <xf numFmtId="49" fontId="13" fillId="0" borderId="33" xfId="0" applyNumberFormat="1" applyFont="1" applyBorder="1" applyAlignment="1">
      <alignment horizontal="center"/>
    </xf>
    <xf numFmtId="0" fontId="10" fillId="0" borderId="12" xfId="0" applyFont="1" applyBorder="1"/>
    <xf numFmtId="49" fontId="10" fillId="0" borderId="0" xfId="0" applyNumberFormat="1" applyFont="1"/>
    <xf numFmtId="0" fontId="10" fillId="0" borderId="0" xfId="0" applyFont="1"/>
    <xf numFmtId="0" fontId="10" fillId="0" borderId="11" xfId="0" applyFont="1" applyBorder="1"/>
    <xf numFmtId="0" fontId="12" fillId="0" borderId="0" xfId="0" applyFont="1"/>
    <xf numFmtId="0" fontId="12" fillId="0" borderId="12" xfId="0" applyFont="1" applyBorder="1"/>
    <xf numFmtId="49" fontId="10" fillId="0" borderId="0" xfId="0" applyNumberFormat="1" applyFont="1" applyBorder="1"/>
    <xf numFmtId="0" fontId="10" fillId="0" borderId="0" xfId="0" applyFont="1" applyBorder="1"/>
    <xf numFmtId="0" fontId="6" fillId="0" borderId="10" xfId="0" applyFont="1" applyBorder="1"/>
    <xf numFmtId="49" fontId="6" fillId="0" borderId="34" xfId="0" applyNumberFormat="1" applyFont="1" applyBorder="1"/>
    <xf numFmtId="0" fontId="6" fillId="0" borderId="34" xfId="0" applyFont="1" applyBorder="1"/>
    <xf numFmtId="0" fontId="0" fillId="0" borderId="35" xfId="0" applyBorder="1"/>
    <xf numFmtId="49" fontId="13" fillId="0" borderId="36" xfId="0" applyNumberFormat="1" applyFont="1" applyBorder="1" applyAlignment="1">
      <alignment horizontal="center"/>
    </xf>
    <xf numFmtId="43" fontId="8" fillId="0" borderId="37" xfId="28" applyFont="1" applyBorder="1"/>
    <xf numFmtId="43" fontId="8" fillId="0" borderId="38" xfId="28" applyFont="1" applyBorder="1"/>
    <xf numFmtId="43" fontId="8" fillId="0" borderId="39" xfId="28" applyFont="1" applyBorder="1"/>
    <xf numFmtId="0" fontId="14" fillId="0" borderId="12" xfId="0" applyFont="1" applyBorder="1"/>
    <xf numFmtId="0" fontId="13" fillId="0" borderId="34" xfId="0" applyFont="1" applyBorder="1"/>
    <xf numFmtId="0" fontId="0" fillId="0" borderId="0" xfId="0" applyBorder="1"/>
    <xf numFmtId="49" fontId="13" fillId="0" borderId="40" xfId="0" applyNumberFormat="1" applyFont="1" applyBorder="1" applyAlignment="1">
      <alignment horizontal="center"/>
    </xf>
    <xf numFmtId="43" fontId="8" fillId="0" borderId="17" xfId="28" applyFont="1" applyBorder="1"/>
    <xf numFmtId="43" fontId="8" fillId="0" borderId="41" xfId="28" applyFont="1" applyBorder="1"/>
    <xf numFmtId="0" fontId="6" fillId="0" borderId="0" xfId="0" applyFont="1" applyBorder="1"/>
    <xf numFmtId="0" fontId="10" fillId="0" borderId="10" xfId="0" applyFont="1" applyBorder="1"/>
    <xf numFmtId="0" fontId="7" fillId="0" borderId="11" xfId="0" applyFont="1" applyBorder="1"/>
    <xf numFmtId="0" fontId="12" fillId="0" borderId="34" xfId="0" applyFont="1" applyBorder="1"/>
    <xf numFmtId="0" fontId="9" fillId="0" borderId="0" xfId="0" applyFont="1" applyBorder="1"/>
    <xf numFmtId="43" fontId="8" fillId="0" borderId="42" xfId="28" applyFont="1" applyBorder="1"/>
    <xf numFmtId="43" fontId="8" fillId="0" borderId="43" xfId="28" applyFont="1" applyBorder="1"/>
    <xf numFmtId="0" fontId="12" fillId="0" borderId="12" xfId="0" applyFont="1" applyBorder="1" applyAlignment="1">
      <alignment horizontal="right"/>
    </xf>
    <xf numFmtId="0" fontId="0" fillId="0" borderId="12" xfId="0" applyBorder="1" applyAlignment="1">
      <alignment horizontal="right"/>
    </xf>
    <xf numFmtId="49" fontId="6" fillId="0" borderId="10" xfId="0" applyNumberFormat="1" applyFont="1" applyBorder="1"/>
    <xf numFmtId="43" fontId="8" fillId="0" borderId="45" xfId="28" applyFont="1" applyBorder="1"/>
    <xf numFmtId="43" fontId="8" fillId="0" borderId="46" xfId="28" applyFont="1" applyBorder="1"/>
    <xf numFmtId="43" fontId="8" fillId="0" borderId="47" xfId="28" applyFont="1" applyBorder="1"/>
    <xf numFmtId="43" fontId="8" fillId="0" borderId="48" xfId="28" applyFont="1" applyBorder="1"/>
    <xf numFmtId="0" fontId="7" fillId="0" borderId="49" xfId="0" applyFont="1" applyBorder="1" applyAlignment="1">
      <alignment horizontal="center"/>
    </xf>
    <xf numFmtId="0" fontId="7" fillId="0" borderId="50" xfId="0" applyFont="1" applyBorder="1" applyAlignment="1">
      <alignment horizontal="center"/>
    </xf>
    <xf numFmtId="0" fontId="7" fillId="0" borderId="51" xfId="0" applyFont="1" applyBorder="1" applyAlignment="1">
      <alignment horizontal="center"/>
    </xf>
    <xf numFmtId="43" fontId="8" fillId="0" borderId="52" xfId="28" applyFont="1" applyBorder="1"/>
    <xf numFmtId="43" fontId="8" fillId="0" borderId="53" xfId="28" applyFont="1" applyBorder="1"/>
    <xf numFmtId="43" fontId="8" fillId="0" borderId="54" xfId="28" applyFont="1" applyBorder="1"/>
    <xf numFmtId="0" fontId="8" fillId="0" borderId="11" xfId="0" applyFont="1" applyBorder="1"/>
    <xf numFmtId="0" fontId="8" fillId="0" borderId="55" xfId="0" applyFont="1" applyBorder="1"/>
    <xf numFmtId="0" fontId="8" fillId="0" borderId="56" xfId="0" applyFont="1" applyBorder="1"/>
    <xf numFmtId="0" fontId="8" fillId="0" borderId="13" xfId="0" applyFont="1" applyBorder="1"/>
    <xf numFmtId="0" fontId="17" fillId="0" borderId="56" xfId="0" applyFont="1" applyBorder="1"/>
    <xf numFmtId="0" fontId="17" fillId="0" borderId="11" xfId="0" applyFont="1" applyBorder="1"/>
    <xf numFmtId="0" fontId="14" fillId="0" borderId="25" xfId="0" applyFont="1" applyBorder="1" applyAlignment="1">
      <alignment horizontal="center"/>
    </xf>
    <xf numFmtId="43" fontId="14" fillId="0" borderId="19" xfId="28" applyFont="1" applyBorder="1" applyAlignment="1">
      <alignment horizontal="center"/>
    </xf>
    <xf numFmtId="43" fontId="14" fillId="0" borderId="24" xfId="28" applyFont="1" applyBorder="1" applyAlignment="1">
      <alignment horizontal="center"/>
    </xf>
    <xf numFmtId="43" fontId="14" fillId="0" borderId="52" xfId="28" applyFont="1" applyBorder="1" applyAlignment="1">
      <alignment horizontal="center"/>
    </xf>
    <xf numFmtId="43" fontId="14" fillId="0" borderId="12" xfId="28" applyFont="1" applyBorder="1" applyAlignment="1">
      <alignment horizontal="center"/>
    </xf>
    <xf numFmtId="43" fontId="14" fillId="0" borderId="25" xfId="28" applyFont="1" applyBorder="1" applyAlignment="1">
      <alignment horizontal="center"/>
    </xf>
    <xf numFmtId="43" fontId="14" fillId="0" borderId="53" xfId="28" applyFont="1" applyBorder="1" applyAlignment="1">
      <alignment horizontal="center"/>
    </xf>
    <xf numFmtId="0" fontId="7" fillId="0" borderId="19" xfId="0" applyFont="1" applyBorder="1"/>
    <xf numFmtId="0" fontId="17" fillId="0" borderId="23" xfId="0" applyFont="1" applyBorder="1"/>
    <xf numFmtId="0" fontId="14" fillId="0" borderId="26" xfId="0" applyFont="1" applyBorder="1" applyAlignment="1">
      <alignment horizontal="center"/>
    </xf>
    <xf numFmtId="0" fontId="17" fillId="0" borderId="55" xfId="0" applyFont="1" applyBorder="1"/>
    <xf numFmtId="0" fontId="8" fillId="0" borderId="34" xfId="0" applyFont="1" applyBorder="1"/>
    <xf numFmtId="0" fontId="17" fillId="0" borderId="57" xfId="0" applyFont="1" applyBorder="1"/>
    <xf numFmtId="0" fontId="17" fillId="0" borderId="12" xfId="0" applyFont="1" applyBorder="1"/>
    <xf numFmtId="43" fontId="8" fillId="0" borderId="34" xfId="28" applyFont="1" applyBorder="1"/>
    <xf numFmtId="43" fontId="14" fillId="0" borderId="34" xfId="28" applyFont="1" applyBorder="1" applyAlignment="1">
      <alignment horizontal="center"/>
    </xf>
    <xf numFmtId="43" fontId="8" fillId="0" borderId="58" xfId="28" applyFont="1" applyBorder="1"/>
    <xf numFmtId="43" fontId="8" fillId="0" borderId="11" xfId="28" applyFont="1" applyBorder="1"/>
    <xf numFmtId="43" fontId="8" fillId="0" borderId="59" xfId="28" applyFont="1" applyBorder="1"/>
    <xf numFmtId="43" fontId="8" fillId="0" borderId="60" xfId="28" applyFont="1" applyBorder="1"/>
    <xf numFmtId="43" fontId="8" fillId="0" borderId="61" xfId="28" applyFont="1" applyBorder="1"/>
    <xf numFmtId="0" fontId="17" fillId="0" borderId="21" xfId="0" applyFont="1" applyBorder="1" applyAlignment="1">
      <alignment wrapText="1"/>
    </xf>
    <xf numFmtId="43" fontId="8" fillId="0" borderId="62" xfId="28" applyFont="1" applyBorder="1"/>
    <xf numFmtId="43" fontId="8" fillId="0" borderId="63" xfId="28" applyFont="1" applyBorder="1"/>
    <xf numFmtId="43" fontId="8" fillId="0" borderId="64" xfId="28" applyFont="1" applyBorder="1"/>
    <xf numFmtId="43" fontId="14" fillId="0" borderId="54" xfId="28" applyFont="1" applyBorder="1" applyAlignment="1">
      <alignment horizontal="center"/>
    </xf>
    <xf numFmtId="43" fontId="14" fillId="0" borderId="22" xfId="28" applyFont="1" applyBorder="1" applyAlignment="1">
      <alignment horizontal="center"/>
    </xf>
    <xf numFmtId="43" fontId="8" fillId="0" borderId="34" xfId="28" applyFont="1" applyBorder="1" applyAlignment="1"/>
    <xf numFmtId="43" fontId="8" fillId="0" borderId="58" xfId="28" applyFont="1" applyBorder="1" applyAlignment="1"/>
    <xf numFmtId="43" fontId="8" fillId="0" borderId="65" xfId="28" applyFont="1" applyBorder="1"/>
    <xf numFmtId="43" fontId="8" fillId="0" borderId="66" xfId="28" applyFont="1" applyBorder="1"/>
    <xf numFmtId="43" fontId="8" fillId="0" borderId="11" xfId="28" applyFont="1" applyBorder="1" applyAlignment="1"/>
    <xf numFmtId="0" fontId="7" fillId="0" borderId="34" xfId="0" applyFont="1" applyBorder="1"/>
    <xf numFmtId="0" fontId="8" fillId="0" borderId="0" xfId="0" applyFont="1" applyBorder="1"/>
    <xf numFmtId="0" fontId="13" fillId="0" borderId="12" xfId="0" applyFont="1" applyBorder="1"/>
    <xf numFmtId="43" fontId="8" fillId="0" borderId="67" xfId="28" applyFont="1" applyBorder="1"/>
    <xf numFmtId="0" fontId="13" fillId="0" borderId="11" xfId="0" applyFont="1" applyBorder="1"/>
    <xf numFmtId="0" fontId="8" fillId="0" borderId="57" xfId="0" applyFont="1" applyBorder="1"/>
    <xf numFmtId="0" fontId="14" fillId="0" borderId="37" xfId="0" applyFont="1" applyBorder="1" applyAlignment="1">
      <alignment horizontal="center"/>
    </xf>
    <xf numFmtId="0" fontId="14" fillId="0" borderId="27" xfId="0" applyFont="1" applyBorder="1" applyAlignment="1">
      <alignment horizontal="center"/>
    </xf>
    <xf numFmtId="0" fontId="14" fillId="0" borderId="0" xfId="0" applyFont="1" applyBorder="1"/>
    <xf numFmtId="0" fontId="0" fillId="0" borderId="0" xfId="0" applyAlignment="1"/>
    <xf numFmtId="0" fontId="17" fillId="0" borderId="22" xfId="0" applyFont="1" applyBorder="1"/>
    <xf numFmtId="0" fontId="7" fillId="0" borderId="22" xfId="0" applyFont="1" applyBorder="1"/>
    <xf numFmtId="43" fontId="8" fillId="0" borderId="68" xfId="28" applyFont="1" applyBorder="1"/>
    <xf numFmtId="0" fontId="17" fillId="0" borderId="19" xfId="0" applyFont="1" applyBorder="1"/>
    <xf numFmtId="43" fontId="8" fillId="0" borderId="19" xfId="28" applyFont="1" applyBorder="1" applyAlignment="1"/>
    <xf numFmtId="43" fontId="8" fillId="0" borderId="24" xfId="28" applyFont="1" applyBorder="1" applyAlignment="1"/>
    <xf numFmtId="43" fontId="8" fillId="0" borderId="52" xfId="28" applyFont="1" applyBorder="1" applyAlignment="1"/>
    <xf numFmtId="0" fontId="14" fillId="0" borderId="19" xfId="0" applyFont="1" applyBorder="1"/>
    <xf numFmtId="0" fontId="8" fillId="0" borderId="12" xfId="0" applyFont="1" applyBorder="1" applyAlignment="1">
      <alignment horizontal="center"/>
    </xf>
    <xf numFmtId="0" fontId="17" fillId="0" borderId="12" xfId="0" applyFont="1" applyBorder="1" applyAlignment="1">
      <alignment horizontal="center"/>
    </xf>
    <xf numFmtId="0" fontId="8" fillId="0" borderId="21" xfId="0" applyFont="1" applyBorder="1" applyAlignment="1">
      <alignment horizontal="center"/>
    </xf>
    <xf numFmtId="0" fontId="12" fillId="0" borderId="19" xfId="0" applyFont="1" applyBorder="1"/>
    <xf numFmtId="0" fontId="17" fillId="0" borderId="69" xfId="0" applyFont="1" applyBorder="1"/>
    <xf numFmtId="0" fontId="8" fillId="0" borderId="69" xfId="0" applyFont="1" applyBorder="1"/>
    <xf numFmtId="43" fontId="14" fillId="0" borderId="58" xfId="28" applyFont="1" applyBorder="1" applyAlignment="1">
      <alignment horizontal="center"/>
    </xf>
    <xf numFmtId="43" fontId="14" fillId="0" borderId="68" xfId="28" applyFont="1" applyBorder="1" applyAlignment="1">
      <alignment horizontal="center"/>
    </xf>
    <xf numFmtId="0" fontId="14" fillId="0" borderId="70" xfId="0" applyFont="1" applyBorder="1" applyAlignment="1">
      <alignment wrapText="1"/>
    </xf>
    <xf numFmtId="0" fontId="14" fillId="0" borderId="71" xfId="0" applyFont="1" applyBorder="1" applyAlignment="1">
      <alignment horizontal="center" wrapText="1"/>
    </xf>
    <xf numFmtId="43" fontId="8" fillId="0" borderId="72" xfId="28" applyFont="1" applyBorder="1"/>
    <xf numFmtId="43" fontId="14" fillId="0" borderId="70" xfId="28" applyFont="1" applyBorder="1" applyAlignment="1">
      <alignment horizontal="center"/>
    </xf>
    <xf numFmtId="43" fontId="14" fillId="0" borderId="73" xfId="28" applyFont="1" applyBorder="1" applyAlignment="1">
      <alignment horizontal="center"/>
    </xf>
    <xf numFmtId="0" fontId="17" fillId="0" borderId="19" xfId="0" applyFont="1" applyBorder="1" applyAlignment="1">
      <alignment horizontal="center" vertical="top" wrapText="1"/>
    </xf>
    <xf numFmtId="43" fontId="8" fillId="0" borderId="74" xfId="28" applyFont="1" applyBorder="1"/>
    <xf numFmtId="0" fontId="8" fillId="0" borderId="75" xfId="0" applyFont="1" applyBorder="1"/>
    <xf numFmtId="43" fontId="14" fillId="0" borderId="11" xfId="28" applyFont="1" applyBorder="1" applyAlignment="1">
      <alignment horizontal="center"/>
    </xf>
    <xf numFmtId="43" fontId="14" fillId="0" borderId="76" xfId="28" applyFont="1" applyBorder="1" applyAlignment="1">
      <alignment horizontal="center"/>
    </xf>
    <xf numFmtId="43" fontId="14" fillId="0" borderId="63" xfId="28" applyFont="1" applyBorder="1" applyAlignment="1">
      <alignment horizontal="center"/>
    </xf>
    <xf numFmtId="43" fontId="14" fillId="0" borderId="59" xfId="28" applyFont="1" applyBorder="1" applyAlignment="1">
      <alignment horizontal="center"/>
    </xf>
    <xf numFmtId="49" fontId="17" fillId="0" borderId="22" xfId="0" applyNumberFormat="1" applyFont="1" applyBorder="1"/>
    <xf numFmtId="43" fontId="8" fillId="0" borderId="0" xfId="28" applyFont="1" applyBorder="1"/>
    <xf numFmtId="43" fontId="14" fillId="0" borderId="61" xfId="28" applyFont="1" applyBorder="1" applyAlignment="1">
      <alignment horizontal="center"/>
    </xf>
    <xf numFmtId="43" fontId="14" fillId="0" borderId="0" xfId="28" applyFont="1" applyBorder="1" applyAlignment="1">
      <alignment horizontal="center"/>
    </xf>
    <xf numFmtId="0" fontId="7" fillId="0" borderId="21" xfId="0" applyFont="1" applyBorder="1"/>
    <xf numFmtId="0" fontId="14" fillId="0" borderId="24" xfId="0" applyFont="1" applyBorder="1" applyAlignment="1">
      <alignment horizontal="center"/>
    </xf>
    <xf numFmtId="0" fontId="7" fillId="0" borderId="20" xfId="0" applyFont="1" applyBorder="1"/>
    <xf numFmtId="0" fontId="17" fillId="0" borderId="21" xfId="0" applyFont="1" applyBorder="1"/>
    <xf numFmtId="49" fontId="10" fillId="0" borderId="12" xfId="0" applyNumberFormat="1" applyFont="1" applyBorder="1"/>
    <xf numFmtId="0" fontId="0" fillId="0" borderId="77" xfId="0" applyBorder="1"/>
    <xf numFmtId="49" fontId="14" fillId="0" borderId="33" xfId="0" applyNumberFormat="1" applyFont="1" applyBorder="1" applyAlignment="1">
      <alignment horizontal="center"/>
    </xf>
    <xf numFmtId="49" fontId="14" fillId="0" borderId="78" xfId="0" applyNumberFormat="1" applyFont="1" applyBorder="1" applyAlignment="1">
      <alignment horizontal="center"/>
    </xf>
    <xf numFmtId="43" fontId="14" fillId="0" borderId="28" xfId="28" applyFont="1" applyBorder="1" applyAlignment="1">
      <alignment horizontal="center"/>
    </xf>
    <xf numFmtId="49" fontId="14" fillId="0" borderId="44" xfId="0" applyNumberFormat="1" applyFont="1" applyBorder="1" applyAlignment="1">
      <alignment horizontal="center"/>
    </xf>
    <xf numFmtId="0" fontId="6" fillId="0" borderId="0" xfId="0" applyFont="1" applyBorder="1" applyAlignment="1">
      <alignment horizontal="center"/>
    </xf>
    <xf numFmtId="0" fontId="12" fillId="0" borderId="55" xfId="0" applyFont="1" applyBorder="1"/>
    <xf numFmtId="0" fontId="6" fillId="0" borderId="79" xfId="0" applyFont="1" applyBorder="1" applyAlignment="1">
      <alignment horizontal="center"/>
    </xf>
    <xf numFmtId="43" fontId="0" fillId="0" borderId="0" xfId="28" applyFont="1"/>
    <xf numFmtId="43" fontId="0" fillId="0" borderId="79" xfId="28" applyFont="1" applyBorder="1"/>
    <xf numFmtId="9" fontId="0" fillId="0" borderId="0" xfId="52" applyFont="1"/>
    <xf numFmtId="43" fontId="0" fillId="0" borderId="0" xfId="28" applyFont="1" applyBorder="1"/>
    <xf numFmtId="0" fontId="0" fillId="0" borderId="80" xfId="0" applyBorder="1"/>
    <xf numFmtId="0" fontId="17" fillId="0" borderId="81" xfId="0" applyFont="1" applyBorder="1" applyAlignment="1">
      <alignment horizontal="center"/>
    </xf>
    <xf numFmtId="9" fontId="0" fillId="0" borderId="14" xfId="52" applyFont="1" applyBorder="1"/>
    <xf numFmtId="10" fontId="0" fillId="0" borderId="14" xfId="52" applyNumberFormat="1" applyFont="1" applyBorder="1"/>
    <xf numFmtId="0" fontId="0" fillId="0" borderId="82" xfId="0" applyBorder="1"/>
    <xf numFmtId="43" fontId="0" fillId="0" borderId="10" xfId="28" applyFont="1" applyBorder="1"/>
    <xf numFmtId="9" fontId="0" fillId="0" borderId="15" xfId="52" applyFont="1" applyBorder="1"/>
    <xf numFmtId="43" fontId="0" fillId="0" borderId="0" xfId="0" applyNumberFormat="1" applyBorder="1"/>
    <xf numFmtId="0" fontId="17" fillId="0" borderId="79" xfId="0" applyFont="1" applyBorder="1" applyAlignment="1">
      <alignment horizontal="center"/>
    </xf>
    <xf numFmtId="9" fontId="17" fillId="0" borderId="79" xfId="0" applyNumberFormat="1" applyFont="1" applyBorder="1" applyAlignment="1">
      <alignment horizontal="center"/>
    </xf>
    <xf numFmtId="43" fontId="0" fillId="0" borderId="11" xfId="28" applyFont="1" applyBorder="1"/>
    <xf numFmtId="43" fontId="0" fillId="0" borderId="22" xfId="28" applyFont="1" applyBorder="1"/>
    <xf numFmtId="0" fontId="17" fillId="0" borderId="0" xfId="0" applyFont="1" applyBorder="1" applyAlignment="1">
      <alignment horizontal="center"/>
    </xf>
    <xf numFmtId="0" fontId="0" fillId="0" borderId="0" xfId="0" applyBorder="1" applyAlignment="1">
      <alignment horizontal="center"/>
    </xf>
    <xf numFmtId="43" fontId="14" fillId="0" borderId="27" xfId="28" applyFont="1" applyBorder="1" applyAlignment="1">
      <alignment horizontal="center"/>
    </xf>
    <xf numFmtId="43" fontId="14" fillId="0" borderId="31" xfId="28" applyFont="1" applyBorder="1" applyAlignment="1">
      <alignment horizontal="center"/>
    </xf>
    <xf numFmtId="0" fontId="14" fillId="0" borderId="11" xfId="0" applyFont="1" applyBorder="1"/>
    <xf numFmtId="0" fontId="14" fillId="0" borderId="34" xfId="0" applyFont="1" applyBorder="1"/>
    <xf numFmtId="0" fontId="0" fillId="0" borderId="34" xfId="0" applyBorder="1"/>
    <xf numFmtId="0" fontId="13" fillId="0" borderId="0" xfId="0" applyFont="1" applyBorder="1"/>
    <xf numFmtId="43" fontId="14" fillId="0" borderId="83" xfId="28" applyFont="1" applyBorder="1" applyAlignment="1">
      <alignment horizontal="center"/>
    </xf>
    <xf numFmtId="43" fontId="14" fillId="0" borderId="84" xfId="28" applyFont="1" applyBorder="1" applyAlignment="1">
      <alignment horizontal="center"/>
    </xf>
    <xf numFmtId="43" fontId="14" fillId="0" borderId="37" xfId="28" applyFont="1" applyBorder="1" applyAlignment="1">
      <alignment horizontal="center"/>
    </xf>
    <xf numFmtId="0" fontId="3" fillId="0" borderId="0" xfId="49"/>
    <xf numFmtId="0" fontId="3" fillId="0" borderId="0" xfId="49" applyBorder="1"/>
    <xf numFmtId="0" fontId="3" fillId="0" borderId="0" xfId="49" applyBorder="1" applyAlignment="1">
      <alignment horizontal="center"/>
    </xf>
    <xf numFmtId="0" fontId="13" fillId="0" borderId="0" xfId="49" applyFont="1" applyBorder="1"/>
    <xf numFmtId="0" fontId="13" fillId="0" borderId="0" xfId="49" applyFont="1"/>
    <xf numFmtId="0" fontId="22" fillId="0" borderId="0" xfId="49" applyFont="1" applyBorder="1"/>
    <xf numFmtId="0" fontId="22" fillId="0" borderId="0" xfId="49" applyFont="1"/>
    <xf numFmtId="0" fontId="23" fillId="0" borderId="0" xfId="49" applyFont="1" applyBorder="1"/>
    <xf numFmtId="0" fontId="0" fillId="0" borderId="79" xfId="0" applyBorder="1"/>
    <xf numFmtId="0" fontId="0" fillId="0" borderId="79" xfId="0" applyBorder="1" applyAlignment="1">
      <alignment horizontal="center"/>
    </xf>
    <xf numFmtId="0" fontId="17" fillId="0" borderId="0" xfId="0" applyFont="1"/>
    <xf numFmtId="165" fontId="0" fillId="0" borderId="10" xfId="28" applyNumberFormat="1" applyFont="1" applyBorder="1"/>
    <xf numFmtId="167" fontId="0" fillId="0" borderId="11" xfId="0" applyNumberFormat="1" applyBorder="1"/>
    <xf numFmtId="167" fontId="0" fillId="0" borderId="22" xfId="28" applyNumberFormat="1" applyFont="1" applyBorder="1"/>
    <xf numFmtId="0" fontId="0" fillId="0" borderId="100" xfId="0" applyBorder="1"/>
    <xf numFmtId="0" fontId="0" fillId="0" borderId="56" xfId="0" applyBorder="1"/>
    <xf numFmtId="0" fontId="17" fillId="0" borderId="80" xfId="0" applyFont="1" applyBorder="1"/>
    <xf numFmtId="167" fontId="0" fillId="0" borderId="0" xfId="0" applyNumberFormat="1" applyBorder="1"/>
    <xf numFmtId="10" fontId="0" fillId="0" borderId="0" xfId="52" applyNumberFormat="1" applyFont="1" applyBorder="1"/>
    <xf numFmtId="167" fontId="0" fillId="0" borderId="0" xfId="28" applyNumberFormat="1" applyFont="1" applyBorder="1"/>
    <xf numFmtId="0" fontId="17" fillId="0" borderId="0" xfId="0" applyFont="1" applyBorder="1"/>
    <xf numFmtId="0" fontId="0" fillId="0" borderId="14" xfId="0" applyBorder="1" applyAlignment="1">
      <alignment horizontal="center"/>
    </xf>
    <xf numFmtId="0" fontId="17" fillId="0" borderId="0" xfId="0" applyFont="1" applyAlignment="1">
      <alignment horizontal="right"/>
    </xf>
    <xf numFmtId="165" fontId="0" fillId="0" borderId="0" xfId="28" applyNumberFormat="1" applyFont="1" applyBorder="1"/>
    <xf numFmtId="165" fontId="0" fillId="0" borderId="0" xfId="0" applyNumberFormat="1" applyBorder="1"/>
    <xf numFmtId="0" fontId="0" fillId="0" borderId="11" xfId="0" applyBorder="1" applyAlignment="1">
      <alignment horizontal="center"/>
    </xf>
    <xf numFmtId="10" fontId="0" fillId="0" borderId="11" xfId="52" applyNumberFormat="1" applyFont="1" applyBorder="1"/>
    <xf numFmtId="10" fontId="0" fillId="0" borderId="10" xfId="52" applyNumberFormat="1" applyFont="1" applyBorder="1"/>
    <xf numFmtId="0" fontId="17" fillId="0" borderId="0" xfId="0" applyFont="1" applyAlignment="1">
      <alignment horizontal="center"/>
    </xf>
    <xf numFmtId="0" fontId="9" fillId="0" borderId="0" xfId="0" applyFont="1" applyAlignment="1">
      <alignment horizontal="center"/>
    </xf>
    <xf numFmtId="0" fontId="5" fillId="0" borderId="13" xfId="0" applyFont="1" applyBorder="1" applyAlignment="1">
      <alignment horizontal="center"/>
    </xf>
    <xf numFmtId="0" fontId="5" fillId="0" borderId="56" xfId="0" applyFont="1" applyBorder="1" applyAlignment="1">
      <alignment horizontal="center"/>
    </xf>
    <xf numFmtId="0" fontId="10" fillId="0" borderId="19" xfId="0" applyFont="1" applyBorder="1"/>
    <xf numFmtId="0" fontId="10" fillId="0" borderId="69" xfId="0" applyFont="1" applyBorder="1"/>
    <xf numFmtId="0" fontId="10" fillId="0" borderId="101" xfId="0" applyFont="1" applyBorder="1"/>
    <xf numFmtId="43" fontId="6" fillId="0" borderId="31" xfId="28" applyFont="1" applyBorder="1"/>
    <xf numFmtId="49" fontId="9" fillId="0" borderId="25" xfId="28" applyNumberFormat="1" applyFont="1" applyBorder="1" applyAlignment="1">
      <alignment horizontal="center"/>
    </xf>
    <xf numFmtId="0" fontId="10" fillId="0" borderId="102" xfId="0" applyFont="1" applyBorder="1"/>
    <xf numFmtId="0" fontId="10" fillId="0" borderId="22" xfId="0" applyFont="1" applyBorder="1"/>
    <xf numFmtId="0" fontId="10" fillId="0" borderId="56" xfId="0" applyFont="1" applyBorder="1"/>
    <xf numFmtId="43" fontId="8" fillId="0" borderId="56" xfId="28" applyFont="1" applyBorder="1"/>
    <xf numFmtId="0" fontId="8" fillId="0" borderId="0" xfId="0" applyFont="1"/>
    <xf numFmtId="0" fontId="12" fillId="0" borderId="0" xfId="0" applyFont="1" applyBorder="1"/>
    <xf numFmtId="43" fontId="12" fillId="0" borderId="0" xfId="28" applyFont="1" applyBorder="1"/>
    <xf numFmtId="0" fontId="0" fillId="0" borderId="0" xfId="0" applyFill="1"/>
    <xf numFmtId="0" fontId="0" fillId="0" borderId="24" xfId="0" applyBorder="1" applyAlignment="1">
      <alignment horizontal="center"/>
    </xf>
    <xf numFmtId="0" fontId="0" fillId="0" borderId="19" xfId="0" applyBorder="1"/>
    <xf numFmtId="0" fontId="0" fillId="0" borderId="20" xfId="0" applyBorder="1"/>
    <xf numFmtId="0" fontId="0" fillId="0" borderId="21" xfId="0" applyBorder="1"/>
    <xf numFmtId="0" fontId="0" fillId="0" borderId="103" xfId="0" applyBorder="1"/>
    <xf numFmtId="0" fontId="0" fillId="0" borderId="25" xfId="0" applyBorder="1" applyAlignment="1">
      <alignment horizontal="center"/>
    </xf>
    <xf numFmtId="0" fontId="0" fillId="0" borderId="22" xfId="0" applyBorder="1"/>
    <xf numFmtId="0" fontId="0" fillId="0" borderId="23" xfId="0" applyBorder="1"/>
    <xf numFmtId="0" fontId="0" fillId="0" borderId="26" xfId="0" applyBorder="1" applyAlignment="1">
      <alignment horizontal="center"/>
    </xf>
    <xf numFmtId="0" fontId="0" fillId="0" borderId="104" xfId="0" applyBorder="1"/>
    <xf numFmtId="0" fontId="17" fillId="0" borderId="11" xfId="0" applyFont="1" applyBorder="1" applyAlignment="1">
      <alignment horizontal="center"/>
    </xf>
    <xf numFmtId="0" fontId="0" fillId="0" borderId="105" xfId="0" applyBorder="1"/>
    <xf numFmtId="0" fontId="13" fillId="0" borderId="0" xfId="0" applyFont="1"/>
    <xf numFmtId="0" fontId="0" fillId="0" borderId="33" xfId="0" applyBorder="1"/>
    <xf numFmtId="0" fontId="15" fillId="0" borderId="33" xfId="0" applyFont="1" applyBorder="1" applyAlignment="1"/>
    <xf numFmtId="0" fontId="15" fillId="0" borderId="12" xfId="0" applyFont="1" applyBorder="1"/>
    <xf numFmtId="0" fontId="0" fillId="0" borderId="27" xfId="0" applyBorder="1" applyAlignment="1">
      <alignment horizontal="center"/>
    </xf>
    <xf numFmtId="0" fontId="0" fillId="0" borderId="106" xfId="0" applyBorder="1"/>
    <xf numFmtId="0" fontId="0" fillId="0" borderId="107" xfId="0" applyBorder="1"/>
    <xf numFmtId="0" fontId="0" fillId="0" borderId="108" xfId="0" applyBorder="1"/>
    <xf numFmtId="0" fontId="0" fillId="0" borderId="55" xfId="0" applyBorder="1"/>
    <xf numFmtId="0" fontId="0" fillId="0" borderId="57" xfId="0" applyBorder="1"/>
    <xf numFmtId="0" fontId="0" fillId="0" borderId="109" xfId="0" applyBorder="1"/>
    <xf numFmtId="0" fontId="0" fillId="0" borderId="67" xfId="0" applyBorder="1"/>
    <xf numFmtId="0" fontId="0" fillId="0" borderId="69" xfId="0" applyBorder="1"/>
    <xf numFmtId="0" fontId="0" fillId="0" borderId="101" xfId="0" applyBorder="1"/>
    <xf numFmtId="0" fontId="0" fillId="0" borderId="83" xfId="0" applyBorder="1" applyAlignment="1">
      <alignment horizontal="center"/>
    </xf>
    <xf numFmtId="0" fontId="17" fillId="0" borderId="110" xfId="0" applyFont="1" applyBorder="1" applyAlignment="1">
      <alignment horizontal="center"/>
    </xf>
    <xf numFmtId="0" fontId="0" fillId="0" borderId="17" xfId="0" applyBorder="1" applyAlignment="1">
      <alignment horizontal="center"/>
    </xf>
    <xf numFmtId="0" fontId="0" fillId="0" borderId="56" xfId="0" applyBorder="1" applyAlignment="1">
      <alignment horizontal="center"/>
    </xf>
    <xf numFmtId="0" fontId="0" fillId="0" borderId="86" xfId="0" applyBorder="1"/>
    <xf numFmtId="43" fontId="0" fillId="0" borderId="56" xfId="28" applyFont="1" applyBorder="1"/>
    <xf numFmtId="43" fontId="0" fillId="0" borderId="86" xfId="28" applyFont="1" applyBorder="1"/>
    <xf numFmtId="0" fontId="5" fillId="0" borderId="56" xfId="0" applyFont="1" applyBorder="1"/>
    <xf numFmtId="0" fontId="0" fillId="0" borderId="85" xfId="0" applyBorder="1"/>
    <xf numFmtId="0" fontId="0" fillId="0" borderId="87" xfId="0" applyBorder="1"/>
    <xf numFmtId="0" fontId="0" fillId="0" borderId="88" xfId="0" applyBorder="1"/>
    <xf numFmtId="0" fontId="0" fillId="0" borderId="89" xfId="0" applyBorder="1"/>
    <xf numFmtId="0" fontId="26" fillId="0" borderId="0" xfId="0" applyFont="1" applyBorder="1"/>
    <xf numFmtId="49" fontId="0" fillId="0" borderId="0" xfId="0" applyNumberFormat="1" applyBorder="1"/>
    <xf numFmtId="0" fontId="0" fillId="0" borderId="111" xfId="0" applyBorder="1"/>
    <xf numFmtId="0" fontId="6" fillId="0" borderId="0" xfId="0" applyFont="1" applyAlignment="1">
      <alignment horizontal="right"/>
    </xf>
    <xf numFmtId="0" fontId="0" fillId="0" borderId="13" xfId="0" applyBorder="1" applyAlignment="1">
      <alignment horizontal="center"/>
    </xf>
    <xf numFmtId="0" fontId="13" fillId="0" borderId="17" xfId="0" applyFont="1" applyBorder="1" applyAlignment="1">
      <alignment horizontal="center"/>
    </xf>
    <xf numFmtId="0" fontId="5" fillId="0" borderId="100" xfId="0" applyFont="1" applyBorder="1" applyAlignment="1">
      <alignment horizontal="center"/>
    </xf>
    <xf numFmtId="0" fontId="8" fillId="0" borderId="0" xfId="0" applyFont="1" applyAlignment="1">
      <alignment horizontal="center"/>
    </xf>
    <xf numFmtId="0" fontId="7" fillId="0" borderId="11" xfId="0" applyFont="1" applyBorder="1" applyAlignment="1">
      <alignment horizontal="center"/>
    </xf>
    <xf numFmtId="0" fontId="7" fillId="0" borderId="23" xfId="0" applyFont="1" applyBorder="1"/>
    <xf numFmtId="43" fontId="6" fillId="0" borderId="0" xfId="28" applyFont="1" applyBorder="1" applyAlignment="1">
      <alignment horizontal="right"/>
    </xf>
    <xf numFmtId="0" fontId="15" fillId="0" borderId="17" xfId="0" applyFont="1" applyBorder="1" applyAlignment="1">
      <alignment horizontal="center"/>
    </xf>
    <xf numFmtId="0" fontId="8" fillId="0" borderId="112" xfId="0" applyFont="1" applyBorder="1" applyAlignment="1">
      <alignment horizontal="center"/>
    </xf>
    <xf numFmtId="49" fontId="0" fillId="0" borderId="0" xfId="0" applyNumberFormat="1" applyAlignment="1">
      <alignment horizontal="center"/>
    </xf>
    <xf numFmtId="49" fontId="0" fillId="0" borderId="12" xfId="0" applyNumberFormat="1" applyBorder="1" applyAlignment="1">
      <alignment horizontal="center"/>
    </xf>
    <xf numFmtId="49" fontId="8" fillId="0" borderId="0" xfId="0" applyNumberFormat="1" applyFont="1"/>
    <xf numFmtId="0" fontId="0" fillId="0" borderId="113" xfId="0" applyBorder="1"/>
    <xf numFmtId="0" fontId="0" fillId="0" borderId="114" xfId="0" applyBorder="1"/>
    <xf numFmtId="0" fontId="17" fillId="0" borderId="10" xfId="0" applyFont="1" applyBorder="1"/>
    <xf numFmtId="0" fontId="14" fillId="0" borderId="19" xfId="0" applyFont="1" applyBorder="1" applyAlignment="1">
      <alignment horizontal="center"/>
    </xf>
    <xf numFmtId="0" fontId="14" fillId="0" borderId="12" xfId="0" applyFont="1" applyBorder="1" applyAlignment="1">
      <alignment horizontal="center"/>
    </xf>
    <xf numFmtId="0" fontId="0" fillId="0" borderId="0" xfId="0"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89" xfId="0" applyFont="1" applyBorder="1" applyAlignment="1">
      <alignment horizontal="center"/>
    </xf>
    <xf numFmtId="0" fontId="8" fillId="0" borderId="85" xfId="0" applyFont="1" applyBorder="1"/>
    <xf numFmtId="0" fontId="8" fillId="0" borderId="86" xfId="0" applyFont="1" applyBorder="1"/>
    <xf numFmtId="0" fontId="8" fillId="0" borderId="88" xfId="0" applyFont="1" applyBorder="1"/>
    <xf numFmtId="0" fontId="24" fillId="0" borderId="85" xfId="0" applyFont="1" applyBorder="1"/>
    <xf numFmtId="0" fontId="24" fillId="0" borderId="34" xfId="0" applyFont="1" applyBorder="1"/>
    <xf numFmtId="0" fontId="24" fillId="0" borderId="35" xfId="0" applyFont="1" applyBorder="1"/>
    <xf numFmtId="0" fontId="24" fillId="0" borderId="86" xfId="0" applyFont="1" applyBorder="1"/>
    <xf numFmtId="0" fontId="24" fillId="0" borderId="0" xfId="0" applyFont="1" applyBorder="1"/>
    <xf numFmtId="0" fontId="24" fillId="0" borderId="87" xfId="0" applyFont="1" applyBorder="1"/>
    <xf numFmtId="43" fontId="24" fillId="0" borderId="0" xfId="28" applyFont="1" applyBorder="1"/>
    <xf numFmtId="43" fontId="24" fillId="0" borderId="11" xfId="28" applyFont="1" applyBorder="1"/>
    <xf numFmtId="0" fontId="24" fillId="0" borderId="88" xfId="0" applyFont="1" applyBorder="1"/>
    <xf numFmtId="0" fontId="24" fillId="0" borderId="11" xfId="0" applyFont="1" applyBorder="1"/>
    <xf numFmtId="0" fontId="24" fillId="0" borderId="89" xfId="0" applyFont="1" applyBorder="1"/>
    <xf numFmtId="43" fontId="24" fillId="0" borderId="0" xfId="0" applyNumberFormat="1" applyFont="1" applyBorder="1"/>
    <xf numFmtId="43" fontId="24" fillId="0" borderId="10" xfId="28" applyFont="1" applyBorder="1"/>
    <xf numFmtId="0" fontId="28" fillId="0" borderId="0" xfId="0" applyFont="1"/>
    <xf numFmtId="0" fontId="8" fillId="0" borderId="10" xfId="0" applyFont="1" applyBorder="1"/>
    <xf numFmtId="0" fontId="7" fillId="0" borderId="27" xfId="0" applyFont="1" applyBorder="1" applyAlignment="1">
      <alignment horizontal="center"/>
    </xf>
    <xf numFmtId="0" fontId="6" fillId="0" borderId="106" xfId="0" applyFont="1" applyBorder="1"/>
    <xf numFmtId="0" fontId="7" fillId="0" borderId="115" xfId="0" applyFont="1" applyBorder="1" applyAlignment="1">
      <alignment horizontal="center"/>
    </xf>
    <xf numFmtId="0" fontId="0" fillId="0" borderId="91" xfId="0" applyBorder="1"/>
    <xf numFmtId="0" fontId="14" fillId="0" borderId="116" xfId="0" applyFont="1" applyBorder="1" applyAlignment="1">
      <alignment horizontal="center"/>
    </xf>
    <xf numFmtId="0" fontId="14" fillId="0" borderId="91" xfId="0" applyFont="1" applyBorder="1" applyAlignment="1">
      <alignment horizontal="center"/>
    </xf>
    <xf numFmtId="0" fontId="8" fillId="0" borderId="79" xfId="0" applyFont="1" applyBorder="1" applyAlignment="1">
      <alignment horizontal="center"/>
    </xf>
    <xf numFmtId="0" fontId="8" fillId="0" borderId="0" xfId="0" applyFont="1" applyBorder="1" applyAlignment="1">
      <alignment horizontal="center"/>
    </xf>
    <xf numFmtId="0" fontId="8" fillId="0" borderId="0" xfId="0" applyFont="1" applyAlignment="1">
      <alignment horizontal="right"/>
    </xf>
    <xf numFmtId="0" fontId="8" fillId="0" borderId="11" xfId="0" applyFont="1" applyBorder="1" applyAlignment="1">
      <alignment horizontal="center"/>
    </xf>
    <xf numFmtId="0" fontId="7" fillId="0" borderId="0" xfId="0" applyFont="1" applyAlignment="1">
      <alignment horizontal="right"/>
    </xf>
    <xf numFmtId="0" fontId="0" fillId="0" borderId="117" xfId="0" applyBorder="1" applyAlignment="1">
      <alignment horizontal="center"/>
    </xf>
    <xf numFmtId="0" fontId="0" fillId="0" borderId="117" xfId="0" applyBorder="1"/>
    <xf numFmtId="0" fontId="0" fillId="0" borderId="118" xfId="0" applyBorder="1"/>
    <xf numFmtId="0" fontId="0" fillId="0" borderId="102" xfId="0" applyBorder="1"/>
    <xf numFmtId="0" fontId="0" fillId="0" borderId="119" xfId="0" applyBorder="1"/>
    <xf numFmtId="0" fontId="0" fillId="0" borderId="118" xfId="0" applyBorder="1" applyAlignment="1">
      <alignment horizontal="center"/>
    </xf>
    <xf numFmtId="0" fontId="8" fillId="0" borderId="111" xfId="0" applyFont="1" applyBorder="1" applyAlignment="1">
      <alignment horizontal="center"/>
    </xf>
    <xf numFmtId="0" fontId="8" fillId="0" borderId="117" xfId="0" applyFont="1" applyBorder="1" applyAlignment="1">
      <alignment horizontal="center"/>
    </xf>
    <xf numFmtId="49" fontId="0" fillId="0" borderId="11" xfId="0" applyNumberFormat="1" applyBorder="1" applyAlignment="1">
      <alignment horizontal="center"/>
    </xf>
    <xf numFmtId="0" fontId="8" fillId="0" borderId="0" xfId="0" applyFont="1" applyFill="1" applyBorder="1"/>
    <xf numFmtId="0" fontId="15" fillId="0" borderId="86" xfId="0" applyFont="1" applyBorder="1"/>
    <xf numFmtId="0" fontId="15" fillId="0" borderId="0" xfId="0" applyFont="1" applyBorder="1"/>
    <xf numFmtId="0" fontId="0" fillId="0" borderId="120" xfId="0" applyBorder="1"/>
    <xf numFmtId="0" fontId="0" fillId="0" borderId="121" xfId="0" applyBorder="1"/>
    <xf numFmtId="43" fontId="8" fillId="0" borderId="91" xfId="0" applyNumberFormat="1" applyFont="1" applyBorder="1"/>
    <xf numFmtId="43" fontId="8" fillId="0" borderId="85" xfId="0" applyNumberFormat="1" applyFont="1" applyBorder="1"/>
    <xf numFmtId="43" fontId="8" fillId="0" borderId="122" xfId="0" applyNumberFormat="1" applyFont="1" applyBorder="1"/>
    <xf numFmtId="43" fontId="8" fillId="0" borderId="88" xfId="0" applyNumberFormat="1" applyFont="1" applyBorder="1"/>
    <xf numFmtId="43" fontId="8" fillId="0" borderId="91" xfId="0" applyNumberFormat="1" applyFont="1" applyBorder="1" applyAlignment="1"/>
    <xf numFmtId="43" fontId="8" fillId="0" borderId="103" xfId="28" applyFont="1" applyBorder="1"/>
    <xf numFmtId="43" fontId="8" fillId="0" borderId="123" xfId="28" applyFont="1" applyBorder="1"/>
    <xf numFmtId="43" fontId="8" fillId="0" borderId="51" xfId="28" applyFont="1" applyBorder="1"/>
    <xf numFmtId="43" fontId="8" fillId="0" borderId="109" xfId="28" applyFont="1" applyBorder="1"/>
    <xf numFmtId="43" fontId="8" fillId="0" borderId="105" xfId="28" applyFont="1" applyBorder="1"/>
    <xf numFmtId="43" fontId="8" fillId="0" borderId="124" xfId="28" applyFont="1" applyBorder="1"/>
    <xf numFmtId="43" fontId="6" fillId="0" borderId="125" xfId="28" applyFont="1" applyBorder="1"/>
    <xf numFmtId="43" fontId="8" fillId="0" borderId="53" xfId="28" applyFont="1" applyBorder="1" applyAlignment="1">
      <alignment horizontal="right"/>
    </xf>
    <xf numFmtId="43" fontId="8" fillId="0" borderId="59" xfId="28" applyFont="1" applyBorder="1" applyAlignment="1">
      <alignment horizontal="right"/>
    </xf>
    <xf numFmtId="14" fontId="8" fillId="0" borderId="11" xfId="0" applyNumberFormat="1" applyFont="1" applyBorder="1" applyAlignment="1">
      <alignment horizontal="center"/>
    </xf>
    <xf numFmtId="4" fontId="3" fillId="0" borderId="0" xfId="49" applyNumberFormat="1"/>
    <xf numFmtId="0" fontId="7" fillId="0" borderId="78" xfId="0" applyFont="1" applyBorder="1" applyAlignment="1">
      <alignment horizontal="center" vertical="top"/>
    </xf>
    <xf numFmtId="0" fontId="6" fillId="0" borderId="0" xfId="0" applyFont="1" applyAlignment="1">
      <alignment horizontal="center"/>
    </xf>
    <xf numFmtId="49" fontId="0" fillId="0" borderId="0" xfId="0" applyNumberFormat="1"/>
    <xf numFmtId="0" fontId="7" fillId="0" borderId="56" xfId="0" applyFont="1" applyBorder="1" applyAlignment="1">
      <alignment horizontal="center"/>
    </xf>
    <xf numFmtId="0" fontId="6" fillId="0" borderId="126" xfId="0" applyFont="1" applyBorder="1"/>
    <xf numFmtId="0" fontId="7" fillId="0" borderId="127" xfId="0" applyFont="1" applyBorder="1" applyAlignment="1">
      <alignment horizontal="center"/>
    </xf>
    <xf numFmtId="0" fontId="6" fillId="0" borderId="86" xfId="0" applyFont="1" applyBorder="1"/>
    <xf numFmtId="0" fontId="7" fillId="0" borderId="128" xfId="0" applyFont="1" applyBorder="1" applyAlignment="1">
      <alignment horizontal="center"/>
    </xf>
    <xf numFmtId="0" fontId="7" fillId="0" borderId="0" xfId="0" applyFont="1" applyBorder="1" applyAlignment="1">
      <alignment horizontal="center"/>
    </xf>
    <xf numFmtId="0" fontId="0" fillId="0" borderId="126" xfId="0" applyBorder="1"/>
    <xf numFmtId="0" fontId="8" fillId="0" borderId="91" xfId="0" applyFont="1" applyBorder="1"/>
    <xf numFmtId="43" fontId="12" fillId="0" borderId="25" xfId="28" applyFont="1" applyBorder="1" applyAlignment="1">
      <alignment horizontal="right"/>
    </xf>
    <xf numFmtId="43" fontId="12" fillId="0" borderId="37" xfId="0" applyNumberFormat="1" applyFont="1" applyBorder="1" applyAlignment="1">
      <alignment horizontal="center"/>
    </xf>
    <xf numFmtId="43" fontId="12" fillId="0" borderId="129" xfId="28" applyNumberFormat="1" applyFont="1" applyBorder="1"/>
    <xf numFmtId="43" fontId="12" fillId="0" borderId="37" xfId="28" applyFont="1" applyBorder="1"/>
    <xf numFmtId="0" fontId="17" fillId="0" borderId="96" xfId="0" applyFont="1" applyBorder="1"/>
    <xf numFmtId="0" fontId="36" fillId="0" borderId="130" xfId="0" applyFont="1" applyBorder="1" applyAlignment="1">
      <alignment horizontal="centerContinuous"/>
    </xf>
    <xf numFmtId="0" fontId="36" fillId="0" borderId="131" xfId="0" applyFont="1" applyBorder="1" applyAlignment="1">
      <alignment horizontal="centerContinuous"/>
    </xf>
    <xf numFmtId="0" fontId="8" fillId="0" borderId="131" xfId="0" applyFont="1" applyBorder="1" applyAlignment="1">
      <alignment horizontal="centerContinuous"/>
    </xf>
    <xf numFmtId="0" fontId="13" fillId="0" borderId="131" xfId="0" applyFont="1" applyBorder="1" applyAlignment="1">
      <alignment horizontal="centerContinuous"/>
    </xf>
    <xf numFmtId="43" fontId="8" fillId="0" borderId="131" xfId="28" applyFont="1" applyBorder="1" applyAlignment="1">
      <alignment horizontal="centerContinuous"/>
    </xf>
    <xf numFmtId="43" fontId="8" fillId="0" borderId="132" xfId="28" applyFont="1" applyBorder="1" applyAlignment="1">
      <alignment horizontal="centerContinuous"/>
    </xf>
    <xf numFmtId="0" fontId="17" fillId="0" borderId="133" xfId="0" applyFont="1" applyBorder="1"/>
    <xf numFmtId="0" fontId="13" fillId="0" borderId="0" xfId="0" applyFont="1" applyBorder="1" applyAlignment="1">
      <alignment horizontal="center"/>
    </xf>
    <xf numFmtId="0" fontId="12" fillId="0" borderId="133" xfId="0" applyFont="1" applyBorder="1"/>
    <xf numFmtId="0" fontId="17" fillId="0" borderId="0" xfId="0" applyFont="1" applyBorder="1" applyAlignment="1">
      <alignment horizontal="right"/>
    </xf>
    <xf numFmtId="43" fontId="8" fillId="0" borderId="134" xfId="28" applyFont="1" applyBorder="1"/>
    <xf numFmtId="43" fontId="8" fillId="0" borderId="134" xfId="28" applyFont="1" applyBorder="1" applyAlignment="1">
      <alignment horizontal="centerContinuous"/>
    </xf>
    <xf numFmtId="0" fontId="17" fillId="0" borderId="0" xfId="0" applyFont="1" applyFill="1" applyBorder="1"/>
    <xf numFmtId="0" fontId="8" fillId="0" borderId="135" xfId="0" applyFont="1" applyBorder="1"/>
    <xf numFmtId="0" fontId="8" fillId="0" borderId="136" xfId="0" applyFont="1" applyBorder="1"/>
    <xf numFmtId="0" fontId="13" fillId="0" borderId="136" xfId="0" applyFont="1" applyBorder="1" applyAlignment="1">
      <alignment horizontal="center"/>
    </xf>
    <xf numFmtId="168" fontId="0" fillId="0" borderId="0" xfId="28" applyNumberFormat="1" applyFont="1"/>
    <xf numFmtId="164" fontId="0" fillId="0" borderId="0" xfId="52" applyNumberFormat="1" applyFont="1"/>
    <xf numFmtId="167" fontId="0" fillId="0" borderId="0" xfId="28" applyNumberFormat="1" applyFont="1"/>
    <xf numFmtId="0" fontId="17" fillId="0" borderId="0" xfId="0" applyFont="1" applyFill="1" applyAlignment="1">
      <alignment horizontal="center"/>
    </xf>
    <xf numFmtId="0" fontId="38" fillId="0" borderId="0" xfId="0" applyFont="1" applyBorder="1"/>
    <xf numFmtId="0" fontId="37" fillId="0" borderId="0" xfId="0" applyFont="1" applyAlignment="1">
      <alignment horizontal="right"/>
    </xf>
    <xf numFmtId="0" fontId="17" fillId="0" borderId="0" xfId="0" applyFont="1" applyBorder="1" applyAlignment="1">
      <alignment horizontal="center" vertical="top"/>
    </xf>
    <xf numFmtId="0" fontId="16" fillId="0" borderId="0" xfId="0" applyFont="1" applyBorder="1"/>
    <xf numFmtId="0" fontId="16" fillId="0" borderId="0" xfId="0" applyFont="1" applyBorder="1" applyAlignment="1">
      <alignment horizontal="right"/>
    </xf>
    <xf numFmtId="0" fontId="39" fillId="0" borderId="0" xfId="0" applyFont="1" applyBorder="1" applyAlignment="1">
      <alignment horizontal="center" vertical="top"/>
    </xf>
    <xf numFmtId="0" fontId="16" fillId="0" borderId="0" xfId="0" applyFont="1"/>
    <xf numFmtId="0" fontId="7" fillId="0" borderId="0" xfId="0" applyFont="1"/>
    <xf numFmtId="0" fontId="14" fillId="0" borderId="0" xfId="0" applyFont="1"/>
    <xf numFmtId="10" fontId="36" fillId="0" borderId="137" xfId="52" applyNumberFormat="1" applyFont="1" applyBorder="1" applyAlignment="1">
      <alignment horizontal="center"/>
    </xf>
    <xf numFmtId="49" fontId="6" fillId="0" borderId="0" xfId="0" applyNumberFormat="1" applyFont="1" applyBorder="1"/>
    <xf numFmtId="0" fontId="13" fillId="0" borderId="12" xfId="0" applyFont="1" applyBorder="1" applyAlignment="1">
      <alignment vertical="center" wrapText="1"/>
    </xf>
    <xf numFmtId="0" fontId="14" fillId="0" borderId="17" xfId="0" applyFont="1" applyBorder="1" applyAlignment="1">
      <alignment horizontal="center"/>
    </xf>
    <xf numFmtId="0" fontId="7" fillId="0" borderId="12" xfId="0" applyFont="1" applyBorder="1" applyAlignment="1">
      <alignment vertical="top"/>
    </xf>
    <xf numFmtId="0" fontId="7" fillId="0" borderId="12" xfId="0" applyFont="1" applyBorder="1" applyAlignment="1">
      <alignment vertical="center"/>
    </xf>
    <xf numFmtId="0" fontId="10" fillId="0" borderId="138" xfId="0" applyFont="1" applyBorder="1"/>
    <xf numFmtId="0" fontId="10" fillId="0" borderId="78" xfId="0" applyFont="1" applyBorder="1"/>
    <xf numFmtId="0" fontId="17" fillId="0" borderId="139" xfId="0" applyFont="1" applyBorder="1" applyAlignment="1">
      <alignment horizontal="center" vertical="top"/>
    </xf>
    <xf numFmtId="0" fontId="14" fillId="0" borderId="33" xfId="0" applyFont="1" applyBorder="1" applyAlignment="1">
      <alignment horizontal="center"/>
    </xf>
    <xf numFmtId="0" fontId="14" fillId="0" borderId="140" xfId="0" applyFont="1" applyBorder="1" applyAlignment="1">
      <alignment horizontal="center"/>
    </xf>
    <xf numFmtId="0" fontId="14" fillId="0" borderId="141" xfId="0" applyFont="1" applyBorder="1" applyAlignment="1">
      <alignment horizontal="center"/>
    </xf>
    <xf numFmtId="0" fontId="14" fillId="0" borderId="44" xfId="0" applyFont="1" applyBorder="1" applyAlignment="1">
      <alignment horizontal="center"/>
    </xf>
    <xf numFmtId="0" fontId="14" fillId="0" borderId="40" xfId="0" applyFont="1" applyBorder="1" applyAlignment="1">
      <alignment horizontal="center"/>
    </xf>
    <xf numFmtId="0" fontId="14" fillId="0" borderId="138" xfId="0" applyFont="1" applyBorder="1" applyAlignment="1">
      <alignment horizontal="center"/>
    </xf>
    <xf numFmtId="0" fontId="14" fillId="0" borderId="78" xfId="0" applyFont="1" applyBorder="1" applyAlignment="1">
      <alignment horizontal="center"/>
    </xf>
    <xf numFmtId="0" fontId="17" fillId="0" borderId="13" xfId="0" applyFont="1" applyBorder="1" applyAlignment="1">
      <alignment horizontal="center"/>
    </xf>
    <xf numFmtId="0" fontId="41" fillId="0" borderId="16" xfId="0" applyFont="1" applyBorder="1" applyAlignment="1">
      <alignment horizontal="center"/>
    </xf>
    <xf numFmtId="0" fontId="41" fillId="0" borderId="100" xfId="0" applyFont="1" applyBorder="1" applyAlignment="1">
      <alignment horizontal="center"/>
    </xf>
    <xf numFmtId="0" fontId="17" fillId="0" borderId="14" xfId="0" applyFont="1" applyBorder="1" applyAlignment="1">
      <alignment horizontal="center"/>
    </xf>
    <xf numFmtId="0" fontId="16" fillId="0" borderId="17" xfId="0" applyFont="1" applyBorder="1" applyAlignment="1">
      <alignment horizontal="center"/>
    </xf>
    <xf numFmtId="0" fontId="17" fillId="0" borderId="50" xfId="0" applyFont="1" applyBorder="1" applyAlignment="1">
      <alignment horizontal="center"/>
    </xf>
    <xf numFmtId="0" fontId="7" fillId="0" borderId="37" xfId="0" applyFont="1" applyBorder="1" applyAlignment="1">
      <alignment horizontal="center"/>
    </xf>
    <xf numFmtId="0" fontId="17" fillId="0" borderId="14" xfId="0" applyFont="1" applyBorder="1"/>
    <xf numFmtId="0" fontId="17" fillId="0" borderId="17" xfId="0" applyFont="1" applyBorder="1" applyAlignment="1">
      <alignment horizontal="center"/>
    </xf>
    <xf numFmtId="0" fontId="17" fillId="0" borderId="15" xfId="0" applyFont="1" applyBorder="1"/>
    <xf numFmtId="0" fontId="41" fillId="0" borderId="18" xfId="0" applyFont="1" applyBorder="1" applyAlignment="1">
      <alignment horizontal="center"/>
    </xf>
    <xf numFmtId="0" fontId="14" fillId="0" borderId="18" xfId="0" applyFont="1" applyBorder="1" applyAlignment="1">
      <alignment horizontal="center"/>
    </xf>
    <xf numFmtId="0" fontId="17" fillId="0" borderId="10" xfId="0" applyFont="1" applyBorder="1" applyAlignment="1">
      <alignment horizontal="center"/>
    </xf>
    <xf numFmtId="0" fontId="17" fillId="0" borderId="18" xfId="0" applyFont="1" applyBorder="1" applyAlignment="1">
      <alignment horizontal="center"/>
    </xf>
    <xf numFmtId="0" fontId="17" fillId="0" borderId="51" xfId="0" applyFont="1" applyBorder="1" applyAlignment="1">
      <alignment horizontal="center"/>
    </xf>
    <xf numFmtId="44" fontId="0" fillId="0" borderId="12" xfId="34" applyFont="1" applyBorder="1"/>
    <xf numFmtId="44" fontId="0" fillId="0" borderId="109" xfId="34" applyFont="1" applyBorder="1"/>
    <xf numFmtId="44" fontId="0" fillId="0" borderId="80" xfId="34" applyFont="1" applyBorder="1"/>
    <xf numFmtId="44" fontId="0" fillId="0" borderId="10" xfId="34" applyFont="1" applyBorder="1"/>
    <xf numFmtId="44" fontId="8" fillId="0" borderId="12" xfId="34" applyFont="1" applyBorder="1"/>
    <xf numFmtId="44" fontId="8" fillId="0" borderId="10" xfId="34" applyFont="1" applyBorder="1"/>
    <xf numFmtId="0" fontId="17" fillId="0" borderId="0" xfId="0" applyFont="1" applyAlignment="1">
      <alignment horizontal="left"/>
    </xf>
    <xf numFmtId="49" fontId="12" fillId="0" borderId="0" xfId="0" applyNumberFormat="1" applyFont="1" applyAlignment="1">
      <alignment horizontal="right"/>
    </xf>
    <xf numFmtId="49" fontId="12" fillId="0" borderId="0" xfId="0" applyNumberFormat="1" applyFont="1"/>
    <xf numFmtId="0" fontId="0" fillId="0" borderId="32" xfId="0" applyBorder="1"/>
    <xf numFmtId="0" fontId="0" fillId="0" borderId="40" xfId="0" applyBorder="1"/>
    <xf numFmtId="0" fontId="14" fillId="0" borderId="32" xfId="0" applyFont="1" applyBorder="1" applyAlignment="1">
      <alignment horizontal="center"/>
    </xf>
    <xf numFmtId="43" fontId="42" fillId="0" borderId="0" xfId="28" applyFont="1" applyBorder="1" applyAlignment="1">
      <alignment horizontal="centerContinuous" vertical="top"/>
    </xf>
    <xf numFmtId="43" fontId="13" fillId="0" borderId="32" xfId="28" applyFont="1" applyBorder="1"/>
    <xf numFmtId="43" fontId="13" fillId="0" borderId="78" xfId="28" applyFont="1" applyBorder="1"/>
    <xf numFmtId="43" fontId="13" fillId="0" borderId="33" xfId="28" applyFont="1" applyBorder="1"/>
    <xf numFmtId="43" fontId="13" fillId="0" borderId="36" xfId="28" applyFont="1" applyBorder="1"/>
    <xf numFmtId="43" fontId="13" fillId="0" borderId="40" xfId="28" applyFont="1" applyBorder="1"/>
    <xf numFmtId="43" fontId="13" fillId="0" borderId="139" xfId="28" applyFont="1" applyBorder="1"/>
    <xf numFmtId="43" fontId="16" fillId="0" borderId="142" xfId="28" applyFont="1" applyBorder="1"/>
    <xf numFmtId="43" fontId="15" fillId="0" borderId="56" xfId="28" applyFont="1" applyBorder="1"/>
    <xf numFmtId="43" fontId="16" fillId="0" borderId="11" xfId="28" applyFont="1" applyBorder="1"/>
    <xf numFmtId="43" fontId="15" fillId="0" borderId="11" xfId="28" applyFont="1" applyBorder="1"/>
    <xf numFmtId="43" fontId="16" fillId="0" borderId="12" xfId="28" applyFont="1" applyBorder="1"/>
    <xf numFmtId="43" fontId="15" fillId="0" borderId="12" xfId="28" applyFont="1" applyBorder="1"/>
    <xf numFmtId="43" fontId="16" fillId="0" borderId="34" xfId="28" applyFont="1" applyBorder="1"/>
    <xf numFmtId="43" fontId="15" fillId="0" borderId="34" xfId="28" applyFont="1" applyBorder="1"/>
    <xf numFmtId="43" fontId="16" fillId="0" borderId="143" xfId="28" applyFont="1" applyBorder="1"/>
    <xf numFmtId="43" fontId="16" fillId="0" borderId="144" xfId="28" applyFont="1" applyBorder="1"/>
    <xf numFmtId="43" fontId="15" fillId="0" borderId="145" xfId="28" applyFont="1" applyBorder="1"/>
    <xf numFmtId="43" fontId="15" fillId="0" borderId="143" xfId="28" applyFont="1" applyBorder="1"/>
    <xf numFmtId="43" fontId="15" fillId="0" borderId="0" xfId="28" applyFont="1" applyBorder="1"/>
    <xf numFmtId="43" fontId="15" fillId="0" borderId="10" xfId="28" applyFont="1" applyBorder="1"/>
    <xf numFmtId="0" fontId="6" fillId="0" borderId="10" xfId="0" applyFont="1" applyBorder="1" applyAlignment="1"/>
    <xf numFmtId="0" fontId="6" fillId="0" borderId="0" xfId="0" applyFont="1" applyBorder="1" applyAlignment="1"/>
    <xf numFmtId="0" fontId="22" fillId="0" borderId="0" xfId="0" applyFont="1" applyBorder="1" applyAlignment="1">
      <alignment horizontal="center"/>
    </xf>
    <xf numFmtId="0" fontId="22" fillId="0" borderId="79" xfId="0" applyFont="1" applyBorder="1" applyAlignment="1">
      <alignment horizontal="center"/>
    </xf>
    <xf numFmtId="0" fontId="22" fillId="0" borderId="0" xfId="0" applyFont="1" applyBorder="1"/>
    <xf numFmtId="0" fontId="22" fillId="0" borderId="14" xfId="0" applyFont="1" applyBorder="1" applyAlignment="1">
      <alignment horizontal="center"/>
    </xf>
    <xf numFmtId="0" fontId="22" fillId="0" borderId="81" xfId="0" applyFont="1" applyBorder="1" applyAlignment="1">
      <alignment horizontal="center"/>
    </xf>
    <xf numFmtId="0" fontId="22" fillId="0" borderId="14" xfId="0" applyFont="1" applyBorder="1"/>
    <xf numFmtId="43" fontId="22" fillId="0" borderId="0" xfId="0" applyNumberFormat="1" applyFont="1" applyBorder="1"/>
    <xf numFmtId="44" fontId="8" fillId="0" borderId="0" xfId="34" applyFont="1" applyBorder="1"/>
    <xf numFmtId="4" fontId="22" fillId="0" borderId="0" xfId="49" applyNumberFormat="1" applyFont="1" applyBorder="1"/>
    <xf numFmtId="0" fontId="27" fillId="0" borderId="0" xfId="0" applyFont="1" applyAlignment="1"/>
    <xf numFmtId="0" fontId="37" fillId="0" borderId="0" xfId="0" applyFont="1" applyAlignment="1">
      <alignment horizontal="right" vertical="top"/>
    </xf>
    <xf numFmtId="43" fontId="8" fillId="0" borderId="0" xfId="28" applyFont="1" applyBorder="1" applyAlignment="1"/>
    <xf numFmtId="43" fontId="8" fillId="0" borderId="50" xfId="28" applyFont="1" applyBorder="1"/>
    <xf numFmtId="0" fontId="15" fillId="0" borderId="25" xfId="0" applyFont="1" applyBorder="1" applyAlignment="1">
      <alignment horizontal="center"/>
    </xf>
    <xf numFmtId="0" fontId="16" fillId="0" borderId="25" xfId="0" applyFont="1" applyBorder="1" applyAlignment="1">
      <alignment horizontal="center"/>
    </xf>
    <xf numFmtId="0" fontId="16" fillId="0" borderId="26" xfId="0" applyFont="1" applyBorder="1" applyAlignment="1">
      <alignment horizontal="center"/>
    </xf>
    <xf numFmtId="0" fontId="15" fillId="0" borderId="18" xfId="0" applyFont="1" applyBorder="1" applyAlignment="1">
      <alignment horizontal="center"/>
    </xf>
    <xf numFmtId="0" fontId="13" fillId="0" borderId="78" xfId="0" applyFont="1" applyBorder="1" applyAlignment="1">
      <alignment horizontal="center"/>
    </xf>
    <xf numFmtId="0" fontId="13" fillId="0" borderId="33" xfId="0" applyFont="1" applyBorder="1" applyAlignment="1">
      <alignment horizontal="center"/>
    </xf>
    <xf numFmtId="0" fontId="13" fillId="0" borderId="146" xfId="0" applyFont="1" applyBorder="1" applyAlignment="1">
      <alignment horizontal="center"/>
    </xf>
    <xf numFmtId="43" fontId="16" fillId="0" borderId="10" xfId="28" applyFont="1" applyBorder="1"/>
    <xf numFmtId="164" fontId="10" fillId="0" borderId="0" xfId="52" applyNumberFormat="1" applyFont="1"/>
    <xf numFmtId="164" fontId="3" fillId="0" borderId="0" xfId="52" applyNumberFormat="1"/>
    <xf numFmtId="0" fontId="44" fillId="0" borderId="0" xfId="0" applyFont="1" applyBorder="1"/>
    <xf numFmtId="0" fontId="45" fillId="0" borderId="0" xfId="0" applyFont="1" applyBorder="1"/>
    <xf numFmtId="0" fontId="0" fillId="0" borderId="0" xfId="0" applyFill="1" applyBorder="1"/>
    <xf numFmtId="43" fontId="0" fillId="0" borderId="79" xfId="0" applyNumberFormat="1" applyBorder="1"/>
    <xf numFmtId="49" fontId="22" fillId="0" borderId="14" xfId="0" applyNumberFormat="1" applyFont="1" applyBorder="1" applyAlignment="1">
      <alignment horizontal="center"/>
    </xf>
    <xf numFmtId="10" fontId="0" fillId="0" borderId="0" xfId="0" applyNumberFormat="1" applyBorder="1"/>
    <xf numFmtId="10" fontId="0" fillId="0" borderId="10" xfId="0" applyNumberFormat="1" applyBorder="1"/>
    <xf numFmtId="10" fontId="0" fillId="0" borderId="11" xfId="0" applyNumberFormat="1" applyBorder="1"/>
    <xf numFmtId="0" fontId="0" fillId="0" borderId="147" xfId="0" applyBorder="1"/>
    <xf numFmtId="0" fontId="0" fillId="0" borderId="148" xfId="0" applyBorder="1"/>
    <xf numFmtId="167" fontId="0" fillId="0" borderId="0" xfId="0" applyNumberFormat="1"/>
    <xf numFmtId="43" fontId="63" fillId="0" borderId="0" xfId="29" applyBorder="1"/>
    <xf numFmtId="43" fontId="63" fillId="0" borderId="12" xfId="29" applyBorder="1"/>
    <xf numFmtId="43" fontId="63" fillId="0" borderId="0" xfId="29"/>
    <xf numFmtId="43" fontId="63" fillId="0" borderId="22" xfId="29" applyBorder="1"/>
    <xf numFmtId="43" fontId="0" fillId="0" borderId="12" xfId="0" applyNumberFormat="1" applyBorder="1"/>
    <xf numFmtId="43" fontId="0" fillId="0" borderId="0" xfId="29" applyFont="1"/>
    <xf numFmtId="43" fontId="8" fillId="0" borderId="54" xfId="28" applyFont="1" applyBorder="1" applyAlignment="1">
      <alignment horizontal="right"/>
    </xf>
    <xf numFmtId="43" fontId="24" fillId="0" borderId="0" xfId="32" applyFont="1" applyBorder="1"/>
    <xf numFmtId="44" fontId="24" fillId="0" borderId="0" xfId="36" applyFont="1" applyBorder="1"/>
    <xf numFmtId="0" fontId="40" fillId="0" borderId="0" xfId="0" applyFont="1" applyBorder="1"/>
    <xf numFmtId="165" fontId="0" fillId="0" borderId="0" xfId="32" applyNumberFormat="1" applyFont="1" applyBorder="1"/>
    <xf numFmtId="165" fontId="0" fillId="0" borderId="11" xfId="32" applyNumberFormat="1" applyFont="1" applyBorder="1"/>
    <xf numFmtId="165" fontId="0" fillId="0" borderId="22" xfId="0" applyNumberFormat="1" applyBorder="1"/>
    <xf numFmtId="165" fontId="0" fillId="0" borderId="10" xfId="0" applyNumberFormat="1" applyBorder="1"/>
    <xf numFmtId="168" fontId="0" fillId="0" borderId="0" xfId="0" applyNumberFormat="1"/>
    <xf numFmtId="43" fontId="67" fillId="0" borderId="0" xfId="33"/>
    <xf numFmtId="0" fontId="12" fillId="0" borderId="0" xfId="0" applyFont="1" applyFill="1" applyBorder="1"/>
    <xf numFmtId="4" fontId="22" fillId="0" borderId="0" xfId="49" applyNumberFormat="1" applyFont="1"/>
    <xf numFmtId="43" fontId="0" fillId="0" borderId="0" xfId="28" applyFont="1" applyFill="1" applyBorder="1"/>
    <xf numFmtId="169" fontId="0" fillId="0" borderId="0" xfId="0" applyNumberFormat="1" applyBorder="1"/>
    <xf numFmtId="49" fontId="7" fillId="0" borderId="108" xfId="0" applyNumberFormat="1" applyFont="1" applyBorder="1" applyAlignment="1">
      <alignment horizontal="center"/>
    </xf>
    <xf numFmtId="49" fontId="7" fillId="0" borderId="0" xfId="0" applyNumberFormat="1" applyFont="1" applyAlignment="1">
      <alignment horizontal="center"/>
    </xf>
    <xf numFmtId="49" fontId="12" fillId="0" borderId="0" xfId="0" applyNumberFormat="1" applyFont="1" applyBorder="1"/>
    <xf numFmtId="49" fontId="17" fillId="0" borderId="17" xfId="0" applyNumberFormat="1" applyFont="1" applyBorder="1" applyAlignment="1">
      <alignment horizontal="center"/>
    </xf>
    <xf numFmtId="0" fontId="0" fillId="24" borderId="0" xfId="0" applyFill="1"/>
    <xf numFmtId="0" fontId="12" fillId="24" borderId="0" xfId="0" applyFont="1" applyFill="1"/>
    <xf numFmtId="49" fontId="14" fillId="0" borderId="18" xfId="0" applyNumberFormat="1" applyFont="1" applyBorder="1" applyAlignment="1">
      <alignment horizontal="center"/>
    </xf>
    <xf numFmtId="0" fontId="76" fillId="0" borderId="0" xfId="0" applyFont="1" applyAlignment="1" applyProtection="1">
      <alignment horizontal="left"/>
    </xf>
    <xf numFmtId="0" fontId="76" fillId="0" borderId="0" xfId="0" quotePrefix="1" applyFont="1" applyAlignment="1">
      <alignment horizontal="left"/>
    </xf>
    <xf numFmtId="0" fontId="77" fillId="0" borderId="0" xfId="0" applyFont="1"/>
    <xf numFmtId="3" fontId="0" fillId="0" borderId="0" xfId="0" applyNumberFormat="1"/>
    <xf numFmtId="0" fontId="76" fillId="0" borderId="0" xfId="0" quotePrefix="1" applyFont="1" applyAlignment="1" applyProtection="1">
      <alignment horizontal="left"/>
    </xf>
    <xf numFmtId="0" fontId="76" fillId="0" borderId="0" xfId="0" applyFont="1" applyFill="1" applyAlignment="1" applyProtection="1">
      <alignment horizontal="left"/>
    </xf>
    <xf numFmtId="0" fontId="0" fillId="24" borderId="0" xfId="0" applyFill="1" applyBorder="1"/>
    <xf numFmtId="43" fontId="8" fillId="0" borderId="26" xfId="28" applyFont="1" applyBorder="1" applyAlignment="1">
      <alignment horizontal="right"/>
    </xf>
    <xf numFmtId="43" fontId="10" fillId="24" borderId="0" xfId="33" applyFont="1" applyFill="1"/>
    <xf numFmtId="43" fontId="10" fillId="24" borderId="0" xfId="33" applyFont="1" applyFill="1" applyBorder="1"/>
    <xf numFmtId="43" fontId="8" fillId="0" borderId="17" xfId="28" applyFont="1" applyFill="1" applyBorder="1"/>
    <xf numFmtId="0" fontId="10" fillId="24" borderId="0" xfId="0" applyFont="1" applyFill="1"/>
    <xf numFmtId="43" fontId="8" fillId="0" borderId="152" xfId="28" applyFont="1" applyBorder="1"/>
    <xf numFmtId="0" fontId="6" fillId="0" borderId="11" xfId="0" applyFont="1" applyBorder="1" applyAlignment="1">
      <alignment horizontal="center"/>
    </xf>
    <xf numFmtId="14" fontId="0" fillId="0" borderId="11" xfId="0" applyNumberFormat="1" applyFill="1" applyBorder="1" applyAlignment="1">
      <alignment horizontal="center"/>
    </xf>
    <xf numFmtId="0" fontId="0" fillId="0" borderId="0" xfId="0" applyFill="1" applyAlignment="1">
      <alignment horizontal="center"/>
    </xf>
    <xf numFmtId="0" fontId="6" fillId="0" borderId="10" xfId="0" applyFont="1" applyFill="1" applyBorder="1"/>
    <xf numFmtId="0" fontId="0" fillId="0" borderId="10" xfId="0" applyFill="1" applyBorder="1"/>
    <xf numFmtId="0" fontId="0" fillId="0" borderId="14" xfId="0" applyFill="1" applyBorder="1"/>
    <xf numFmtId="0" fontId="7" fillId="0" borderId="22" xfId="0" applyFont="1" applyFill="1" applyBorder="1"/>
    <xf numFmtId="0" fontId="8" fillId="0" borderId="22" xfId="0" applyFont="1" applyFill="1" applyBorder="1"/>
    <xf numFmtId="0" fontId="8" fillId="0" borderId="23" xfId="0" applyFont="1" applyFill="1" applyBorder="1"/>
    <xf numFmtId="0" fontId="7" fillId="0" borderId="0" xfId="0" applyFont="1" applyFill="1" applyBorder="1" applyAlignment="1">
      <alignment horizontal="center"/>
    </xf>
    <xf numFmtId="0" fontId="7" fillId="0" borderId="0" xfId="0" applyFont="1" applyFill="1" applyBorder="1" applyAlignment="1">
      <alignment horizontal="left"/>
    </xf>
    <xf numFmtId="0" fontId="0" fillId="0" borderId="0" xfId="0" applyFill="1" applyAlignment="1">
      <alignment horizontal="center" vertical="top"/>
    </xf>
    <xf numFmtId="0" fontId="13" fillId="0" borderId="0" xfId="0" applyFont="1" applyFill="1" applyAlignment="1">
      <alignment wrapText="1"/>
    </xf>
    <xf numFmtId="0" fontId="0" fillId="0" borderId="0" xfId="0" applyFill="1" applyAlignment="1">
      <alignment wrapText="1"/>
    </xf>
    <xf numFmtId="0" fontId="8" fillId="0" borderId="12" xfId="0" applyFont="1" applyFill="1" applyBorder="1"/>
    <xf numFmtId="0" fontId="10" fillId="0" borderId="12" xfId="0" applyFont="1" applyFill="1" applyBorder="1"/>
    <xf numFmtId="0" fontId="10" fillId="0" borderId="101" xfId="0" applyFont="1" applyFill="1" applyBorder="1"/>
    <xf numFmtId="0" fontId="10" fillId="0" borderId="69" xfId="0" applyFont="1" applyFill="1" applyBorder="1"/>
    <xf numFmtId="0" fontId="10" fillId="0" borderId="22" xfId="0" applyFont="1" applyFill="1" applyBorder="1"/>
    <xf numFmtId="0" fontId="0" fillId="0" borderId="0" xfId="0" applyFill="1" applyBorder="1" applyAlignment="1">
      <alignment horizontal="center"/>
    </xf>
    <xf numFmtId="0" fontId="7" fillId="0" borderId="108" xfId="0" applyFont="1" applyBorder="1" applyAlignment="1">
      <alignment horizontal="center"/>
    </xf>
    <xf numFmtId="0" fontId="12" fillId="0" borderId="10" xfId="0" applyFont="1" applyBorder="1"/>
    <xf numFmtId="0" fontId="12" fillId="0" borderId="11" xfId="0" applyFont="1" applyBorder="1"/>
    <xf numFmtId="43" fontId="0" fillId="0" borderId="55" xfId="28" applyFont="1" applyBorder="1"/>
    <xf numFmtId="0" fontId="7" fillId="0" borderId="153" xfId="0" applyFont="1" applyBorder="1" applyAlignment="1">
      <alignment horizontal="center"/>
    </xf>
    <xf numFmtId="43" fontId="0" fillId="0" borderId="17" xfId="28" applyFont="1" applyBorder="1" applyAlignment="1">
      <alignment horizontal="center"/>
    </xf>
    <xf numFmtId="43" fontId="0" fillId="0" borderId="155" xfId="28" applyFont="1" applyBorder="1" applyAlignment="1">
      <alignment horizontal="center"/>
    </xf>
    <xf numFmtId="0" fontId="12" fillId="0" borderId="11" xfId="0" applyFont="1" applyBorder="1" applyAlignment="1">
      <alignment horizontal="left" indent="1"/>
    </xf>
    <xf numFmtId="0" fontId="12" fillId="0" borderId="12" xfId="0" applyFont="1" applyBorder="1" applyAlignment="1">
      <alignment horizontal="left" indent="1"/>
    </xf>
    <xf numFmtId="43" fontId="0" fillId="0" borderId="55" xfId="0" applyNumberFormat="1" applyBorder="1"/>
    <xf numFmtId="43" fontId="0" fillId="0" borderId="21" xfId="0" applyNumberFormat="1" applyBorder="1"/>
    <xf numFmtId="0" fontId="27" fillId="0" borderId="34" xfId="0" applyFont="1" applyBorder="1"/>
    <xf numFmtId="43" fontId="0" fillId="0" borderId="21" xfId="28" applyFont="1" applyBorder="1"/>
    <xf numFmtId="43" fontId="0" fillId="0" borderId="27" xfId="0" applyNumberFormat="1" applyBorder="1"/>
    <xf numFmtId="43" fontId="0" fillId="0" borderId="26" xfId="0" applyNumberFormat="1" applyBorder="1"/>
    <xf numFmtId="0" fontId="0" fillId="0" borderId="34" xfId="0" applyBorder="1" applyAlignment="1">
      <alignment horizontal="center"/>
    </xf>
    <xf numFmtId="0" fontId="0" fillId="0" borderId="0" xfId="0" applyBorder="1" applyAlignment="1">
      <alignment horizontal="center" vertical="center"/>
    </xf>
    <xf numFmtId="0" fontId="12" fillId="0" borderId="0" xfId="0" applyFont="1" applyBorder="1" applyAlignment="1">
      <alignment horizontal="left" vertical="center" wrapText="1" indent="1"/>
    </xf>
    <xf numFmtId="43" fontId="12" fillId="0" borderId="17" xfId="0" applyNumberFormat="1" applyFont="1" applyFill="1" applyBorder="1" applyAlignment="1">
      <alignment horizontal="right"/>
    </xf>
    <xf numFmtId="43" fontId="0" fillId="0" borderId="25" xfId="0" applyNumberFormat="1" applyBorder="1"/>
    <xf numFmtId="0" fontId="12" fillId="0" borderId="0" xfId="0" applyFont="1" applyBorder="1" applyAlignment="1">
      <alignment horizontal="left" indent="5"/>
    </xf>
    <xf numFmtId="43" fontId="0" fillId="0" borderId="155" xfId="0" applyNumberFormat="1" applyBorder="1" applyAlignment="1">
      <alignment horizontal="right"/>
    </xf>
    <xf numFmtId="43" fontId="0" fillId="0" borderId="17" xfId="0" applyNumberFormat="1" applyBorder="1" applyAlignment="1">
      <alignment horizontal="right"/>
    </xf>
    <xf numFmtId="43" fontId="0" fillId="0" borderId="157" xfId="0" applyNumberFormat="1" applyBorder="1" applyAlignment="1">
      <alignment horizontal="right"/>
    </xf>
    <xf numFmtId="43" fontId="0" fillId="0" borderId="158" xfId="0" applyNumberFormat="1" applyBorder="1"/>
    <xf numFmtId="0" fontId="14" fillId="0" borderId="26" xfId="0" applyFont="1" applyFill="1" applyBorder="1" applyAlignment="1">
      <alignment horizontal="center"/>
    </xf>
    <xf numFmtId="0" fontId="17" fillId="0" borderId="79" xfId="0" applyFont="1" applyFill="1" applyBorder="1" applyAlignment="1">
      <alignment horizontal="center"/>
    </xf>
    <xf numFmtId="0" fontId="17" fillId="0" borderId="161" xfId="0" applyFont="1" applyBorder="1" applyAlignment="1">
      <alignment horizontal="center"/>
    </xf>
    <xf numFmtId="0" fontId="17" fillId="0" borderId="162" xfId="0" applyFont="1" applyBorder="1" applyAlignment="1">
      <alignment horizontal="center"/>
    </xf>
    <xf numFmtId="0" fontId="0" fillId="0" borderId="113" xfId="0" applyBorder="1" applyAlignment="1">
      <alignment horizontal="center"/>
    </xf>
    <xf numFmtId="0" fontId="0" fillId="0" borderId="102" xfId="0" applyFill="1" applyBorder="1" applyAlignment="1">
      <alignment horizontal="center"/>
    </xf>
    <xf numFmtId="0" fontId="0" fillId="0" borderId="111" xfId="0" applyBorder="1" applyAlignment="1">
      <alignment horizontal="center"/>
    </xf>
    <xf numFmtId="0" fontId="12" fillId="0" borderId="111" xfId="0" applyFont="1" applyBorder="1" applyAlignment="1">
      <alignment horizontal="center"/>
    </xf>
    <xf numFmtId="0" fontId="0" fillId="0" borderId="114" xfId="0" applyFont="1" applyBorder="1" applyAlignment="1">
      <alignment horizontal="center"/>
    </xf>
    <xf numFmtId="0" fontId="17" fillId="0" borderId="163" xfId="0" applyFont="1" applyBorder="1" applyAlignment="1">
      <alignment horizontal="center"/>
    </xf>
    <xf numFmtId="0" fontId="17" fillId="0" borderId="111" xfId="0" applyFont="1" applyBorder="1"/>
    <xf numFmtId="0" fontId="17" fillId="0" borderId="114" xfId="0" applyFont="1" applyBorder="1"/>
    <xf numFmtId="0" fontId="0" fillId="24" borderId="117" xfId="0" applyFill="1" applyBorder="1"/>
    <xf numFmtId="43" fontId="0" fillId="0" borderId="37" xfId="28" applyFont="1" applyBorder="1" applyAlignment="1">
      <alignment horizontal="right"/>
    </xf>
    <xf numFmtId="43" fontId="0" fillId="0" borderId="154" xfId="28" applyFont="1" applyBorder="1" applyAlignment="1">
      <alignment horizontal="right"/>
    </xf>
    <xf numFmtId="43" fontId="0" fillId="0" borderId="17" xfId="28" applyFont="1" applyBorder="1" applyAlignment="1">
      <alignment horizontal="right"/>
    </xf>
    <xf numFmtId="43" fontId="0" fillId="0" borderId="27" xfId="28" applyFont="1" applyBorder="1" applyAlignment="1">
      <alignment horizontal="right"/>
    </xf>
    <xf numFmtId="0" fontId="17" fillId="0" borderId="113" xfId="0" applyFont="1" applyBorder="1"/>
    <xf numFmtId="0" fontId="17" fillId="0" borderId="118" xfId="0" applyFont="1" applyBorder="1"/>
    <xf numFmtId="0" fontId="12" fillId="0" borderId="111" xfId="0" applyFont="1" applyBorder="1"/>
    <xf numFmtId="165" fontId="0" fillId="0" borderId="0" xfId="0" applyNumberFormat="1" applyFill="1" applyBorder="1"/>
    <xf numFmtId="0" fontId="12" fillId="0" borderId="114" xfId="0" applyFont="1" applyBorder="1"/>
    <xf numFmtId="0" fontId="14" fillId="0" borderId="53" xfId="0" applyFont="1" applyBorder="1" applyAlignment="1">
      <alignment horizontal="center"/>
    </xf>
    <xf numFmtId="0" fontId="16" fillId="0" borderId="24" xfId="0" applyFont="1" applyBorder="1" applyAlignment="1">
      <alignment horizontal="center"/>
    </xf>
    <xf numFmtId="0" fontId="16" fillId="0" borderId="0" xfId="0" applyFont="1" applyBorder="1" applyAlignment="1"/>
    <xf numFmtId="0" fontId="16" fillId="0" borderId="87" xfId="0" applyFont="1" applyBorder="1" applyAlignment="1"/>
    <xf numFmtId="0" fontId="0" fillId="0" borderId="0" xfId="0" applyBorder="1" applyAlignment="1">
      <alignment horizontal="left"/>
    </xf>
    <xf numFmtId="0" fontId="0" fillId="25" borderId="0" xfId="0" applyFill="1" applyBorder="1" applyAlignment="1">
      <alignment horizontal="center"/>
    </xf>
    <xf numFmtId="0" fontId="0" fillId="0" borderId="118" xfId="0" applyFill="1" applyBorder="1"/>
    <xf numFmtId="49" fontId="0" fillId="0" borderId="117" xfId="0" applyNumberFormat="1" applyFill="1" applyBorder="1" applyAlignment="1">
      <alignment horizontal="right"/>
    </xf>
    <xf numFmtId="0" fontId="17" fillId="0" borderId="164" xfId="0" applyFont="1" applyBorder="1" applyAlignment="1"/>
    <xf numFmtId="0" fontId="17" fillId="0" borderId="165" xfId="0" applyFont="1" applyBorder="1" applyAlignment="1"/>
    <xf numFmtId="43" fontId="8" fillId="0" borderId="39" xfId="28" applyFont="1" applyBorder="1" applyAlignment="1">
      <alignment horizontal="right"/>
    </xf>
    <xf numFmtId="0" fontId="6" fillId="0" borderId="0" xfId="0" applyFont="1" applyAlignment="1">
      <alignment horizontal="left"/>
    </xf>
    <xf numFmtId="165" fontId="63" fillId="0" borderId="0" xfId="29" applyNumberFormat="1" applyFill="1" applyBorder="1"/>
    <xf numFmtId="167" fontId="63" fillId="0" borderId="11" xfId="29" applyNumberFormat="1" applyFill="1" applyBorder="1"/>
    <xf numFmtId="43" fontId="14" fillId="0" borderId="0" xfId="28" applyFont="1" applyFill="1" applyBorder="1" applyAlignment="1">
      <alignment horizontal="center"/>
    </xf>
    <xf numFmtId="0" fontId="17" fillId="0" borderId="22" xfId="0" applyFont="1" applyFill="1" applyBorder="1"/>
    <xf numFmtId="43" fontId="8" fillId="0" borderId="66" xfId="28" applyFont="1" applyFill="1" applyBorder="1"/>
    <xf numFmtId="43" fontId="14" fillId="0" borderId="51" xfId="28" applyFont="1" applyBorder="1" applyAlignment="1">
      <alignment horizontal="center"/>
    </xf>
    <xf numFmtId="10" fontId="45" fillId="24" borderId="0" xfId="54" applyNumberFormat="1" applyFont="1" applyFill="1"/>
    <xf numFmtId="164" fontId="10" fillId="24" borderId="0" xfId="54" applyNumberFormat="1" applyFont="1" applyFill="1"/>
    <xf numFmtId="9" fontId="45" fillId="24" borderId="0" xfId="54" applyFont="1" applyFill="1"/>
    <xf numFmtId="9" fontId="68" fillId="24" borderId="0" xfId="54" applyFont="1" applyFill="1" applyAlignment="1">
      <alignment horizontal="right"/>
    </xf>
    <xf numFmtId="9" fontId="68" fillId="24" borderId="0" xfId="54" applyFont="1" applyFill="1"/>
    <xf numFmtId="0" fontId="17" fillId="0" borderId="23" xfId="0" applyFont="1" applyBorder="1" applyAlignment="1">
      <alignment horizontal="left" wrapText="1"/>
    </xf>
    <xf numFmtId="0" fontId="14" fillId="0" borderId="21" xfId="0" applyFont="1" applyBorder="1" applyAlignment="1">
      <alignment horizontal="left" wrapText="1"/>
    </xf>
    <xf numFmtId="0" fontId="15" fillId="0" borderId="21" xfId="0" applyFont="1" applyBorder="1" applyAlignment="1">
      <alignment wrapText="1"/>
    </xf>
    <xf numFmtId="0" fontId="12" fillId="0" borderId="55" xfId="0" applyFont="1" applyBorder="1" applyAlignment="1">
      <alignment horizontal="left" wrapText="1"/>
    </xf>
    <xf numFmtId="0" fontId="14" fillId="0" borderId="21" xfId="0" applyFont="1" applyBorder="1" applyAlignment="1">
      <alignment wrapText="1"/>
    </xf>
    <xf numFmtId="0" fontId="0" fillId="0" borderId="71" xfId="0" applyBorder="1" applyAlignment="1">
      <alignment wrapText="1"/>
    </xf>
    <xf numFmtId="0" fontId="13" fillId="0" borderId="21" xfId="0" applyFont="1" applyBorder="1" applyAlignment="1">
      <alignment wrapText="1"/>
    </xf>
    <xf numFmtId="0" fontId="14" fillId="0" borderId="23" xfId="0" applyFont="1" applyBorder="1" applyAlignment="1">
      <alignment horizontal="left" wrapText="1"/>
    </xf>
    <xf numFmtId="0" fontId="17" fillId="0" borderId="12" xfId="0" applyFont="1" applyBorder="1" applyAlignment="1">
      <alignment wrapText="1"/>
    </xf>
    <xf numFmtId="0" fontId="13" fillId="0" borderId="20" xfId="0" applyFont="1" applyBorder="1" applyAlignment="1">
      <alignment wrapText="1"/>
    </xf>
    <xf numFmtId="0" fontId="14" fillId="0" borderId="166" xfId="0" applyFont="1" applyBorder="1" applyAlignment="1">
      <alignment horizontal="left" wrapText="1"/>
    </xf>
    <xf numFmtId="0" fontId="0" fillId="0" borderId="21" xfId="0" applyBorder="1" applyAlignment="1">
      <alignment wrapText="1"/>
    </xf>
    <xf numFmtId="0" fontId="16" fillId="0" borderId="21" xfId="0" applyFont="1" applyBorder="1" applyAlignment="1">
      <alignment horizontal="left" wrapText="1"/>
    </xf>
    <xf numFmtId="0" fontId="16" fillId="0" borderId="37" xfId="0" applyFont="1" applyBorder="1" applyAlignment="1">
      <alignment horizontal="center"/>
    </xf>
    <xf numFmtId="44" fontId="73" fillId="0" borderId="0" xfId="34" applyFont="1" applyFill="1" applyBorder="1"/>
    <xf numFmtId="0" fontId="0" fillId="24" borderId="114" xfId="0" applyFill="1" applyBorder="1"/>
    <xf numFmtId="43" fontId="17" fillId="0" borderId="0" xfId="28" applyFont="1"/>
    <xf numFmtId="43" fontId="17" fillId="0" borderId="167" xfId="28" applyFont="1" applyBorder="1"/>
    <xf numFmtId="43" fontId="0" fillId="0" borderId="168" xfId="28" applyFont="1" applyBorder="1"/>
    <xf numFmtId="43" fontId="7" fillId="0" borderId="0" xfId="28" applyFont="1"/>
    <xf numFmtId="43" fontId="0" fillId="0" borderId="0" xfId="28" applyFont="1" applyFill="1"/>
    <xf numFmtId="43" fontId="0" fillId="0" borderId="0" xfId="0" applyNumberFormat="1" applyFill="1"/>
    <xf numFmtId="0" fontId="17" fillId="0" borderId="93" xfId="0" applyFont="1" applyBorder="1"/>
    <xf numFmtId="0" fontId="0" fillId="0" borderId="15" xfId="0" applyBorder="1" applyAlignment="1">
      <alignment horizontal="center"/>
    </xf>
    <xf numFmtId="0" fontId="7" fillId="0" borderId="14" xfId="0" applyFont="1" applyBorder="1" applyAlignment="1">
      <alignment horizontal="center"/>
    </xf>
    <xf numFmtId="0" fontId="5" fillId="0" borderId="14" xfId="0" applyFont="1" applyBorder="1" applyAlignment="1">
      <alignment horizontal="center"/>
    </xf>
    <xf numFmtId="0" fontId="5" fillId="0" borderId="15" xfId="0" applyFont="1" applyBorder="1" applyAlignment="1">
      <alignment horizontal="center"/>
    </xf>
    <xf numFmtId="0" fontId="7" fillId="0" borderId="80" xfId="0" applyFont="1" applyBorder="1" applyAlignment="1">
      <alignment horizontal="center"/>
    </xf>
    <xf numFmtId="0" fontId="14" fillId="0" borderId="13" xfId="0" applyFont="1" applyBorder="1" applyAlignment="1">
      <alignment horizontal="center"/>
    </xf>
    <xf numFmtId="0" fontId="14" fillId="0" borderId="21" xfId="0" applyFont="1" applyBorder="1" applyAlignment="1">
      <alignment horizontal="center"/>
    </xf>
    <xf numFmtId="0" fontId="8" fillId="0" borderId="49" xfId="0" applyFont="1" applyBorder="1"/>
    <xf numFmtId="0" fontId="8" fillId="0" borderId="53" xfId="0" applyFont="1" applyBorder="1"/>
    <xf numFmtId="0" fontId="14" fillId="0" borderId="55" xfId="0" applyFont="1" applyBorder="1" applyAlignment="1">
      <alignment horizontal="center"/>
    </xf>
    <xf numFmtId="0" fontId="17" fillId="0" borderId="34" xfId="0" applyFont="1" applyBorder="1"/>
    <xf numFmtId="0" fontId="14" fillId="0" borderId="23" xfId="0" applyFont="1" applyBorder="1" applyAlignment="1">
      <alignment horizontal="center"/>
    </xf>
    <xf numFmtId="0" fontId="17" fillId="0" borderId="53" xfId="0" applyFont="1" applyBorder="1"/>
    <xf numFmtId="0" fontId="14" fillId="0" borderId="59" xfId="0" applyFont="1" applyBorder="1" applyAlignment="1">
      <alignment horizontal="center"/>
    </xf>
    <xf numFmtId="0" fontId="14" fillId="0" borderId="54" xfId="0" applyFont="1" applyBorder="1" applyAlignment="1">
      <alignment horizontal="center"/>
    </xf>
    <xf numFmtId="0" fontId="17" fillId="0" borderId="13" xfId="0" applyFont="1" applyBorder="1" applyAlignment="1">
      <alignment horizontal="left" wrapText="1"/>
    </xf>
    <xf numFmtId="0" fontId="8" fillId="0" borderId="58" xfId="0" applyFont="1" applyBorder="1" applyAlignment="1">
      <alignment horizontal="center"/>
    </xf>
    <xf numFmtId="0" fontId="12" fillId="0" borderId="53" xfId="0" applyFont="1" applyBorder="1" applyAlignment="1">
      <alignment horizontal="center"/>
    </xf>
    <xf numFmtId="0" fontId="14" fillId="0" borderId="23" xfId="0" applyFont="1" applyFill="1" applyBorder="1" applyAlignment="1">
      <alignment horizontal="center"/>
    </xf>
    <xf numFmtId="0" fontId="14" fillId="0" borderId="54" xfId="0" applyFont="1" applyFill="1" applyBorder="1" applyAlignment="1">
      <alignment horizontal="center"/>
    </xf>
    <xf numFmtId="0" fontId="13" fillId="0" borderId="13" xfId="0" applyFont="1" applyBorder="1" applyAlignment="1">
      <alignment horizontal="center"/>
    </xf>
    <xf numFmtId="0" fontId="5" fillId="0" borderId="80" xfId="0" applyFont="1" applyBorder="1" applyAlignment="1">
      <alignment horizontal="center"/>
    </xf>
    <xf numFmtId="0" fontId="5" fillId="0" borderId="82" xfId="0" applyFont="1" applyBorder="1" applyAlignment="1">
      <alignment horizontal="center"/>
    </xf>
    <xf numFmtId="0" fontId="14" fillId="0" borderId="49" xfId="0" applyFont="1" applyBorder="1" applyAlignment="1">
      <alignment horizontal="center"/>
    </xf>
    <xf numFmtId="43" fontId="8" fillId="0" borderId="170" xfId="28" applyFont="1" applyBorder="1"/>
    <xf numFmtId="0" fontId="14" fillId="0" borderId="15" xfId="0" applyFont="1" applyBorder="1" applyAlignment="1">
      <alignment horizontal="center"/>
    </xf>
    <xf numFmtId="43" fontId="8" fillId="0" borderId="71" xfId="28" applyFont="1" applyBorder="1"/>
    <xf numFmtId="0" fontId="14" fillId="0" borderId="73" xfId="0" applyFont="1" applyBorder="1" applyAlignment="1">
      <alignment horizontal="center" wrapText="1"/>
    </xf>
    <xf numFmtId="43" fontId="8" fillId="0" borderId="70" xfId="28" applyFont="1" applyBorder="1"/>
    <xf numFmtId="43" fontId="8" fillId="0" borderId="171" xfId="28" applyFont="1" applyBorder="1"/>
    <xf numFmtId="43" fontId="8" fillId="0" borderId="76" xfId="28" applyFont="1" applyBorder="1"/>
    <xf numFmtId="43" fontId="8" fillId="0" borderId="172" xfId="28" applyFont="1" applyBorder="1"/>
    <xf numFmtId="0" fontId="14" fillId="0" borderId="173" xfId="0" applyFont="1" applyBorder="1" applyAlignment="1">
      <alignment horizontal="center"/>
    </xf>
    <xf numFmtId="43" fontId="8" fillId="0" borderId="174" xfId="28" applyFont="1" applyBorder="1"/>
    <xf numFmtId="43" fontId="17" fillId="0" borderId="0" xfId="28" applyFont="1" applyAlignment="1">
      <alignment horizontal="center"/>
    </xf>
    <xf numFmtId="0" fontId="0" fillId="24" borderId="111" xfId="0" applyFill="1" applyBorder="1"/>
    <xf numFmtId="0" fontId="0" fillId="24" borderId="79" xfId="0" applyFill="1" applyBorder="1"/>
    <xf numFmtId="0" fontId="0" fillId="24" borderId="118" xfId="0" applyFill="1" applyBorder="1"/>
    <xf numFmtId="0" fontId="78" fillId="26" borderId="0" xfId="0" applyFont="1" applyFill="1"/>
    <xf numFmtId="0" fontId="78" fillId="27" borderId="0" xfId="0" applyFont="1" applyFill="1"/>
    <xf numFmtId="0" fontId="78" fillId="28" borderId="0" xfId="0" applyFont="1" applyFill="1"/>
    <xf numFmtId="0" fontId="78" fillId="29" borderId="0" xfId="0" applyFont="1" applyFill="1"/>
    <xf numFmtId="0" fontId="78" fillId="30" borderId="0" xfId="0" applyFont="1" applyFill="1"/>
    <xf numFmtId="0" fontId="78" fillId="31" borderId="0" xfId="0" applyFont="1" applyFill="1"/>
    <xf numFmtId="0" fontId="78" fillId="32" borderId="0" xfId="0" applyFont="1" applyFill="1"/>
    <xf numFmtId="0" fontId="9" fillId="24" borderId="0" xfId="0" applyFont="1" applyFill="1"/>
    <xf numFmtId="43" fontId="10" fillId="24" borderId="10" xfId="0" applyNumberFormat="1" applyFont="1" applyFill="1" applyBorder="1"/>
    <xf numFmtId="164" fontId="10" fillId="24" borderId="0" xfId="52" applyNumberFormat="1" applyFont="1" applyFill="1"/>
    <xf numFmtId="49" fontId="10" fillId="24" borderId="11" xfId="0" applyNumberFormat="1" applyFont="1" applyFill="1" applyBorder="1" applyAlignment="1">
      <alignment horizontal="center"/>
    </xf>
    <xf numFmtId="0" fontId="10" fillId="24" borderId="11" xfId="0" applyFont="1" applyFill="1" applyBorder="1" applyAlignment="1">
      <alignment horizontal="center"/>
    </xf>
    <xf numFmtId="43" fontId="10" fillId="24" borderId="0" xfId="28" applyFont="1" applyFill="1"/>
    <xf numFmtId="43" fontId="10" fillId="24" borderId="11" xfId="28" applyFont="1" applyFill="1" applyBorder="1"/>
    <xf numFmtId="43" fontId="10" fillId="24" borderId="22" xfId="33" applyFont="1" applyFill="1" applyBorder="1"/>
    <xf numFmtId="43" fontId="6" fillId="24" borderId="12" xfId="28" applyFont="1" applyFill="1" applyBorder="1"/>
    <xf numFmtId="164" fontId="6" fillId="24" borderId="0" xfId="52" applyNumberFormat="1" applyFont="1" applyFill="1"/>
    <xf numFmtId="43" fontId="10" fillId="24" borderId="12" xfId="28" applyFont="1" applyFill="1" applyBorder="1"/>
    <xf numFmtId="43" fontId="10" fillId="24" borderId="12" xfId="0" applyNumberFormat="1" applyFont="1" applyFill="1" applyBorder="1"/>
    <xf numFmtId="43" fontId="10" fillId="24" borderId="69" xfId="33" applyFont="1" applyFill="1" applyBorder="1"/>
    <xf numFmtId="43" fontId="10" fillId="24" borderId="12" xfId="33" applyFont="1" applyFill="1" applyBorder="1"/>
    <xf numFmtId="165" fontId="10" fillId="24" borderId="0" xfId="33" applyNumberFormat="1" applyFont="1" applyFill="1"/>
    <xf numFmtId="167" fontId="69" fillId="24" borderId="0" xfId="33" applyNumberFormat="1" applyFont="1" applyFill="1"/>
    <xf numFmtId="43" fontId="8" fillId="24" borderId="0" xfId="33" applyFont="1" applyFill="1"/>
    <xf numFmtId="43" fontId="69" fillId="24" borderId="0" xfId="33" applyFont="1" applyFill="1"/>
    <xf numFmtId="0" fontId="11" fillId="24" borderId="0" xfId="0" applyFont="1" applyFill="1" applyBorder="1"/>
    <xf numFmtId="0" fontId="10" fillId="24" borderId="0" xfId="0" applyFont="1" applyFill="1" applyBorder="1"/>
    <xf numFmtId="165" fontId="10" fillId="24" borderId="0" xfId="33" applyNumberFormat="1" applyFont="1" applyFill="1" applyBorder="1"/>
    <xf numFmtId="167" fontId="10" fillId="24" borderId="0" xfId="33" applyNumberFormat="1" applyFont="1" applyFill="1" applyBorder="1"/>
    <xf numFmtId="167" fontId="10" fillId="24" borderId="0" xfId="0" applyNumberFormat="1" applyFont="1" applyFill="1" applyBorder="1"/>
    <xf numFmtId="0" fontId="45" fillId="24" borderId="111" xfId="0" applyFont="1" applyFill="1" applyBorder="1"/>
    <xf numFmtId="164" fontId="11" fillId="24" borderId="0" xfId="54" applyNumberFormat="1" applyFont="1" applyFill="1" applyBorder="1"/>
    <xf numFmtId="43" fontId="8" fillId="24" borderId="12" xfId="28" applyFont="1" applyFill="1" applyBorder="1" applyProtection="1">
      <protection locked="0"/>
    </xf>
    <xf numFmtId="43" fontId="8" fillId="24" borderId="25" xfId="28" applyFont="1" applyFill="1" applyBorder="1" applyProtection="1">
      <protection locked="0"/>
    </xf>
    <xf numFmtId="0" fontId="8" fillId="24" borderId="12" xfId="0" applyFont="1" applyFill="1" applyBorder="1" applyProtection="1">
      <protection locked="0"/>
    </xf>
    <xf numFmtId="0" fontId="8" fillId="24" borderId="21" xfId="0" applyFont="1" applyFill="1" applyBorder="1" applyProtection="1">
      <protection locked="0"/>
    </xf>
    <xf numFmtId="0" fontId="8" fillId="24" borderId="53" xfId="0" applyFont="1" applyFill="1" applyBorder="1" applyProtection="1">
      <protection locked="0"/>
    </xf>
    <xf numFmtId="0" fontId="13" fillId="24" borderId="21" xfId="0" applyFont="1" applyFill="1" applyBorder="1" applyAlignment="1" applyProtection="1">
      <alignment horizontal="center"/>
      <protection locked="0"/>
    </xf>
    <xf numFmtId="0" fontId="8" fillId="24" borderId="34" xfId="0" applyFont="1" applyFill="1" applyBorder="1" applyProtection="1">
      <protection locked="0"/>
    </xf>
    <xf numFmtId="0" fontId="10" fillId="24" borderId="34" xfId="0" applyFont="1" applyFill="1" applyBorder="1" applyProtection="1">
      <protection locked="0"/>
    </xf>
    <xf numFmtId="0" fontId="14" fillId="24" borderId="36" xfId="0" applyFont="1" applyFill="1" applyBorder="1" applyAlignment="1" applyProtection="1">
      <alignment horizontal="center"/>
      <protection locked="0"/>
    </xf>
    <xf numFmtId="43" fontId="8" fillId="0" borderId="53" xfId="31" applyFont="1" applyBorder="1" applyAlignment="1">
      <alignment horizontal="right"/>
    </xf>
    <xf numFmtId="43" fontId="73" fillId="0" borderId="0" xfId="28" applyFont="1" applyFill="1" applyBorder="1"/>
    <xf numFmtId="167" fontId="0" fillId="0" borderId="0" xfId="0" applyNumberFormat="1" applyFill="1" applyBorder="1"/>
    <xf numFmtId="0" fontId="0" fillId="0" borderId="134" xfId="0" applyBorder="1"/>
    <xf numFmtId="0" fontId="0" fillId="0" borderId="132" xfId="0" applyBorder="1"/>
    <xf numFmtId="43" fontId="22" fillId="0" borderId="136" xfId="0" applyNumberFormat="1" applyFont="1" applyBorder="1"/>
    <xf numFmtId="0" fontId="22" fillId="0" borderId="117" xfId="0" applyFont="1" applyBorder="1" applyAlignment="1">
      <alignment horizontal="center"/>
    </xf>
    <xf numFmtId="0" fontId="22" fillId="0" borderId="118" xfId="0" applyFont="1" applyBorder="1" applyAlignment="1">
      <alignment horizontal="center"/>
    </xf>
    <xf numFmtId="0" fontId="22" fillId="0" borderId="117" xfId="0" applyFont="1" applyBorder="1"/>
    <xf numFmtId="43" fontId="22" fillId="0" borderId="117" xfId="0" applyNumberFormat="1" applyFont="1" applyFill="1" applyBorder="1"/>
    <xf numFmtId="43" fontId="22" fillId="0" borderId="0" xfId="0" applyNumberFormat="1" applyFont="1" applyFill="1" applyBorder="1"/>
    <xf numFmtId="43" fontId="22" fillId="0" borderId="14" xfId="0" applyNumberFormat="1" applyFont="1" applyFill="1" applyBorder="1"/>
    <xf numFmtId="43" fontId="22" fillId="0" borderId="175" xfId="0" applyNumberFormat="1" applyFont="1" applyFill="1" applyBorder="1"/>
    <xf numFmtId="43" fontId="22" fillId="0" borderId="136" xfId="0" applyNumberFormat="1" applyFont="1" applyFill="1" applyBorder="1"/>
    <xf numFmtId="43" fontId="22" fillId="0" borderId="176" xfId="0" applyNumberFormat="1" applyFont="1" applyFill="1" applyBorder="1"/>
    <xf numFmtId="0" fontId="17" fillId="0" borderId="90" xfId="49" applyFont="1" applyFill="1" applyBorder="1" applyAlignment="1">
      <alignment horizontal="center"/>
    </xf>
    <xf numFmtId="0" fontId="3" fillId="0" borderId="91" xfId="49" applyFill="1" applyBorder="1" applyAlignment="1">
      <alignment horizontal="center"/>
    </xf>
    <xf numFmtId="0" fontId="17" fillId="0" borderId="91" xfId="49" applyFont="1" applyFill="1" applyBorder="1" applyAlignment="1">
      <alignment horizontal="center"/>
    </xf>
    <xf numFmtId="4" fontId="12" fillId="0" borderId="90" xfId="49" applyNumberFormat="1" applyFont="1" applyFill="1" applyBorder="1"/>
    <xf numFmtId="0" fontId="12" fillId="0" borderId="77" xfId="49" applyFont="1" applyFill="1" applyBorder="1"/>
    <xf numFmtId="4" fontId="12" fillId="0" borderId="77" xfId="49" applyNumberFormat="1" applyFont="1" applyFill="1" applyBorder="1"/>
    <xf numFmtId="0" fontId="12" fillId="0" borderId="12" xfId="49" applyFont="1" applyFill="1" applyBorder="1"/>
    <xf numFmtId="3" fontId="22" fillId="0" borderId="12" xfId="49" applyNumberFormat="1" applyFont="1" applyFill="1" applyBorder="1" applyAlignment="1">
      <alignment horizontal="center"/>
    </xf>
    <xf numFmtId="0" fontId="3" fillId="0" borderId="11" xfId="49" applyFill="1" applyBorder="1"/>
    <xf numFmtId="0" fontId="3" fillId="0" borderId="77" xfId="49" applyFill="1" applyBorder="1" applyAlignment="1">
      <alignment horizontal="center"/>
    </xf>
    <xf numFmtId="0" fontId="8" fillId="0" borderId="117" xfId="0" applyFont="1" applyBorder="1"/>
    <xf numFmtId="0" fontId="7" fillId="0" borderId="11" xfId="0" applyFont="1" applyBorder="1" applyAlignment="1"/>
    <xf numFmtId="0" fontId="13" fillId="25" borderId="16" xfId="0" applyFont="1" applyFill="1" applyBorder="1" applyAlignment="1">
      <alignment horizontal="right"/>
    </xf>
    <xf numFmtId="43" fontId="22" fillId="0" borderId="0" xfId="28" applyFont="1" applyBorder="1"/>
    <xf numFmtId="0" fontId="0" fillId="0" borderId="11" xfId="52" applyNumberFormat="1" applyFont="1" applyBorder="1"/>
    <xf numFmtId="0" fontId="78" fillId="0" borderId="0" xfId="0" applyFont="1" applyFill="1"/>
    <xf numFmtId="0" fontId="78" fillId="0" borderId="0" xfId="0" applyFont="1" applyFill="1" applyProtection="1">
      <protection locked="0"/>
    </xf>
    <xf numFmtId="0" fontId="78" fillId="33" borderId="0" xfId="0" applyFont="1" applyFill="1"/>
    <xf numFmtId="0" fontId="3" fillId="0" borderId="0" xfId="0" applyFont="1"/>
    <xf numFmtId="0" fontId="79" fillId="0" borderId="0" xfId="0" applyFont="1"/>
    <xf numFmtId="0" fontId="78" fillId="34" borderId="0" xfId="0" applyFont="1" applyFill="1"/>
    <xf numFmtId="0" fontId="78" fillId="35" borderId="0" xfId="0" applyFont="1" applyFill="1"/>
    <xf numFmtId="0" fontId="78" fillId="36" borderId="0" xfId="0" applyFont="1" applyFill="1"/>
    <xf numFmtId="0" fontId="78" fillId="37" borderId="0" xfId="0" applyFont="1" applyFill="1"/>
    <xf numFmtId="0" fontId="12" fillId="24" borderId="0" xfId="0" applyFont="1" applyFill="1" applyBorder="1" applyProtection="1">
      <protection locked="0"/>
    </xf>
    <xf numFmtId="0" fontId="0" fillId="24" borderId="0" xfId="0" applyFill="1" applyBorder="1" applyProtection="1">
      <protection locked="0"/>
    </xf>
    <xf numFmtId="49" fontId="12" fillId="24" borderId="0" xfId="0" applyNumberFormat="1" applyFont="1" applyFill="1" applyBorder="1" applyAlignment="1" applyProtection="1">
      <alignment horizontal="center"/>
      <protection locked="0"/>
    </xf>
    <xf numFmtId="14" fontId="12" fillId="24" borderId="117" xfId="0" applyNumberFormat="1" applyFont="1" applyFill="1" applyBorder="1" applyProtection="1">
      <protection locked="0"/>
    </xf>
    <xf numFmtId="165" fontId="72" fillId="24" borderId="0" xfId="28" applyNumberFormat="1" applyFont="1" applyFill="1" applyBorder="1" applyProtection="1">
      <protection locked="0"/>
    </xf>
    <xf numFmtId="165" fontId="72" fillId="24" borderId="79" xfId="28" applyNumberFormat="1" applyFont="1" applyFill="1" applyBorder="1" applyProtection="1">
      <protection locked="0"/>
    </xf>
    <xf numFmtId="0" fontId="0" fillId="24" borderId="117" xfId="0" applyFill="1" applyBorder="1" applyProtection="1">
      <protection locked="0"/>
    </xf>
    <xf numFmtId="0" fontId="12" fillId="24" borderId="119" xfId="0" applyFont="1" applyFill="1" applyBorder="1" applyAlignment="1" applyProtection="1">
      <alignment horizontal="center"/>
      <protection locked="0"/>
    </xf>
    <xf numFmtId="0" fontId="12" fillId="24" borderId="117" xfId="0" applyFont="1" applyFill="1" applyBorder="1" applyAlignment="1" applyProtection="1">
      <alignment horizontal="center"/>
      <protection locked="0"/>
    </xf>
    <xf numFmtId="0" fontId="12" fillId="24" borderId="117" xfId="0" applyFont="1" applyFill="1" applyBorder="1" applyProtection="1">
      <protection locked="0"/>
    </xf>
    <xf numFmtId="0" fontId="12" fillId="24" borderId="118" xfId="0" applyFont="1" applyFill="1" applyBorder="1" applyProtection="1">
      <protection locked="0"/>
    </xf>
    <xf numFmtId="0" fontId="0" fillId="0" borderId="0" xfId="0" applyBorder="1" applyProtection="1">
      <protection locked="0"/>
    </xf>
    <xf numFmtId="0" fontId="0" fillId="0" borderId="0" xfId="0" applyBorder="1" applyProtection="1"/>
    <xf numFmtId="43" fontId="74" fillId="24" borderId="0" xfId="28" applyFont="1" applyFill="1" applyBorder="1" applyProtection="1">
      <protection locked="0"/>
    </xf>
    <xf numFmtId="10" fontId="73" fillId="24" borderId="0" xfId="52" applyNumberFormat="1" applyFont="1" applyFill="1" applyBorder="1" applyProtection="1">
      <protection locked="0"/>
    </xf>
    <xf numFmtId="10" fontId="73" fillId="24" borderId="11" xfId="52" applyNumberFormat="1" applyFont="1" applyFill="1" applyBorder="1" applyProtection="1">
      <protection locked="0"/>
    </xf>
    <xf numFmtId="43" fontId="73" fillId="24" borderId="0" xfId="28" applyFont="1" applyFill="1" applyBorder="1" applyProtection="1">
      <protection locked="0"/>
    </xf>
    <xf numFmtId="43" fontId="73" fillId="24" borderId="11" xfId="28" applyFont="1" applyFill="1" applyBorder="1" applyProtection="1">
      <protection locked="0"/>
    </xf>
    <xf numFmtId="167" fontId="0" fillId="24" borderId="0" xfId="0" applyNumberFormat="1" applyFill="1" applyBorder="1" applyProtection="1">
      <protection locked="0"/>
    </xf>
    <xf numFmtId="167" fontId="0" fillId="24" borderId="11" xfId="0" applyNumberFormat="1" applyFill="1" applyBorder="1" applyProtection="1">
      <protection locked="0"/>
    </xf>
    <xf numFmtId="43" fontId="73" fillId="24" borderId="25" xfId="28" applyFont="1" applyFill="1" applyBorder="1" applyProtection="1">
      <protection locked="0"/>
    </xf>
    <xf numFmtId="43" fontId="73" fillId="24" borderId="28" xfId="28" applyFont="1" applyFill="1" applyBorder="1" applyProtection="1">
      <protection locked="0"/>
    </xf>
    <xf numFmtId="43" fontId="73" fillId="24" borderId="27" xfId="28" applyFont="1" applyFill="1" applyBorder="1" applyProtection="1">
      <protection locked="0"/>
    </xf>
    <xf numFmtId="43" fontId="14" fillId="0" borderId="31" xfId="28" applyFont="1" applyBorder="1" applyAlignment="1" applyProtection="1">
      <alignment horizontal="center"/>
      <protection locked="0"/>
    </xf>
    <xf numFmtId="43" fontId="73" fillId="24" borderId="31" xfId="28" applyFont="1" applyFill="1" applyBorder="1" applyProtection="1">
      <protection locked="0"/>
    </xf>
    <xf numFmtId="43" fontId="0" fillId="24" borderId="159" xfId="0" applyNumberFormat="1" applyFill="1" applyBorder="1" applyProtection="1">
      <protection locked="0"/>
    </xf>
    <xf numFmtId="166" fontId="12" fillId="24" borderId="11" xfId="0" applyNumberFormat="1" applyFont="1" applyFill="1" applyBorder="1" applyAlignment="1" applyProtection="1">
      <alignment horizontal="center"/>
      <protection locked="0"/>
    </xf>
    <xf numFmtId="0" fontId="8" fillId="24" borderId="11" xfId="0" applyFont="1" applyFill="1" applyBorder="1" applyProtection="1">
      <protection locked="0"/>
    </xf>
    <xf numFmtId="0" fontId="8" fillId="24" borderId="0" xfId="0" applyFont="1" applyFill="1" applyBorder="1" applyProtection="1">
      <protection locked="0"/>
    </xf>
    <xf numFmtId="0" fontId="0" fillId="24" borderId="11" xfId="0" applyFill="1" applyBorder="1" applyProtection="1">
      <protection locked="0"/>
    </xf>
    <xf numFmtId="0" fontId="17" fillId="24" borderId="11" xfId="0" applyFont="1" applyFill="1" applyBorder="1" applyAlignment="1" applyProtection="1">
      <alignment horizontal="center"/>
      <protection locked="0"/>
    </xf>
    <xf numFmtId="0" fontId="17" fillId="24" borderId="11" xfId="0" applyFont="1" applyFill="1" applyBorder="1" applyProtection="1">
      <protection locked="0"/>
    </xf>
    <xf numFmtId="0" fontId="0" fillId="24" borderId="113" xfId="0" applyFill="1" applyBorder="1" applyProtection="1">
      <protection locked="0"/>
    </xf>
    <xf numFmtId="0" fontId="0" fillId="24" borderId="102" xfId="0" applyFill="1" applyBorder="1" applyProtection="1">
      <protection locked="0"/>
    </xf>
    <xf numFmtId="0" fontId="0" fillId="24" borderId="119" xfId="0" applyFill="1" applyBorder="1" applyProtection="1">
      <protection locked="0"/>
    </xf>
    <xf numFmtId="0" fontId="0" fillId="24" borderId="111" xfId="0" applyFill="1" applyBorder="1" applyProtection="1">
      <protection locked="0"/>
    </xf>
    <xf numFmtId="0" fontId="0" fillId="24" borderId="114" xfId="0" applyFill="1" applyBorder="1" applyProtection="1">
      <protection locked="0"/>
    </xf>
    <xf numFmtId="0" fontId="0" fillId="24" borderId="79" xfId="0" applyFill="1" applyBorder="1" applyProtection="1">
      <protection locked="0"/>
    </xf>
    <xf numFmtId="0" fontId="0" fillId="24" borderId="118" xfId="0" applyFill="1" applyBorder="1" applyProtection="1">
      <protection locked="0"/>
    </xf>
    <xf numFmtId="0" fontId="7" fillId="24" borderId="113" xfId="0" applyFont="1" applyFill="1" applyBorder="1" applyProtection="1">
      <protection locked="0"/>
    </xf>
    <xf numFmtId="0" fontId="7" fillId="24" borderId="102" xfId="0" applyFont="1" applyFill="1" applyBorder="1" applyProtection="1">
      <protection locked="0"/>
    </xf>
    <xf numFmtId="0" fontId="7" fillId="24" borderId="111" xfId="0" applyFont="1" applyFill="1" applyBorder="1" applyProtection="1">
      <protection locked="0"/>
    </xf>
    <xf numFmtId="0" fontId="7" fillId="24" borderId="0" xfId="0" applyFont="1" applyFill="1" applyProtection="1">
      <protection locked="0"/>
    </xf>
    <xf numFmtId="0" fontId="7" fillId="24" borderId="114" xfId="0" applyFont="1" applyFill="1" applyBorder="1" applyProtection="1">
      <protection locked="0"/>
    </xf>
    <xf numFmtId="0" fontId="7" fillId="24" borderId="79" xfId="0" applyFont="1" applyFill="1" applyBorder="1" applyProtection="1">
      <protection locked="0"/>
    </xf>
    <xf numFmtId="0" fontId="17" fillId="24" borderId="102" xfId="0" applyFont="1" applyFill="1" applyBorder="1" applyProtection="1">
      <protection locked="0"/>
    </xf>
    <xf numFmtId="0" fontId="17" fillId="24" borderId="0" xfId="0" applyFont="1" applyFill="1" applyProtection="1">
      <protection locked="0"/>
    </xf>
    <xf numFmtId="0" fontId="17" fillId="24" borderId="0" xfId="0" applyFont="1" applyFill="1" applyBorder="1" applyProtection="1">
      <protection locked="0"/>
    </xf>
    <xf numFmtId="0" fontId="17" fillId="24" borderId="79" xfId="0" applyFont="1" applyFill="1" applyBorder="1" applyProtection="1">
      <protection locked="0"/>
    </xf>
    <xf numFmtId="43" fontId="24" fillId="24" borderId="0" xfId="28" applyFont="1" applyFill="1" applyBorder="1" applyProtection="1">
      <protection locked="0"/>
    </xf>
    <xf numFmtId="43" fontId="24" fillId="24" borderId="11" xfId="28" applyFont="1" applyFill="1" applyBorder="1" applyProtection="1">
      <protection locked="0"/>
    </xf>
    <xf numFmtId="165" fontId="73" fillId="24" borderId="0" xfId="28" applyNumberFormat="1" applyFont="1" applyFill="1" applyProtection="1">
      <protection locked="0"/>
    </xf>
    <xf numFmtId="167" fontId="73" fillId="24" borderId="0" xfId="28" applyNumberFormat="1" applyFont="1" applyFill="1" applyProtection="1">
      <protection locked="0"/>
    </xf>
    <xf numFmtId="44" fontId="24" fillId="24" borderId="10" xfId="36" applyFont="1" applyFill="1" applyBorder="1" applyProtection="1">
      <protection locked="0"/>
    </xf>
    <xf numFmtId="43" fontId="63" fillId="24" borderId="0" xfId="29" applyFill="1" applyBorder="1" applyProtection="1">
      <protection locked="0"/>
    </xf>
    <xf numFmtId="43" fontId="72" fillId="24" borderId="0" xfId="29" applyFont="1" applyFill="1" applyBorder="1" applyProtection="1">
      <protection locked="0"/>
    </xf>
    <xf numFmtId="10" fontId="6" fillId="25" borderId="156" xfId="52" applyNumberFormat="1" applyFont="1" applyFill="1" applyBorder="1" applyAlignment="1">
      <alignment horizontal="center"/>
    </xf>
    <xf numFmtId="0" fontId="6" fillId="0" borderId="113" xfId="0" applyFont="1" applyBorder="1"/>
    <xf numFmtId="0" fontId="3" fillId="0" borderId="0" xfId="0" applyFont="1" applyFill="1" applyBorder="1"/>
    <xf numFmtId="10" fontId="0" fillId="0" borderId="0" xfId="52" applyNumberFormat="1" applyFont="1"/>
    <xf numFmtId="10" fontId="0" fillId="0" borderId="118" xfId="52" applyNumberFormat="1" applyFont="1" applyBorder="1"/>
    <xf numFmtId="10" fontId="0" fillId="24" borderId="117" xfId="52" applyNumberFormat="1" applyFont="1" applyFill="1" applyBorder="1" applyProtection="1">
      <protection locked="0"/>
    </xf>
    <xf numFmtId="0" fontId="37" fillId="24" borderId="137" xfId="0" applyFont="1" applyFill="1" applyBorder="1" applyAlignment="1" applyProtection="1">
      <alignment horizontal="center" vertical="center"/>
      <protection locked="0"/>
    </xf>
    <xf numFmtId="43" fontId="0" fillId="24" borderId="118" xfId="28" applyFont="1" applyFill="1" applyBorder="1" applyAlignment="1" applyProtection="1">
      <alignment vertical="center"/>
      <protection locked="0"/>
    </xf>
    <xf numFmtId="10" fontId="0" fillId="24" borderId="0" xfId="52" applyNumberFormat="1" applyFont="1" applyFill="1" applyProtection="1">
      <protection locked="0"/>
    </xf>
    <xf numFmtId="0" fontId="7" fillId="0" borderId="55" xfId="0" applyFont="1" applyBorder="1" applyAlignment="1">
      <alignment horizontal="center"/>
    </xf>
    <xf numFmtId="165" fontId="72" fillId="24" borderId="0" xfId="32" applyNumberFormat="1" applyFont="1" applyFill="1" applyBorder="1" applyProtection="1">
      <protection locked="0"/>
    </xf>
    <xf numFmtId="165" fontId="72" fillId="24" borderId="11" xfId="32" applyNumberFormat="1" applyFont="1" applyFill="1" applyBorder="1" applyProtection="1">
      <protection locked="0"/>
    </xf>
    <xf numFmtId="165" fontId="0" fillId="24" borderId="0" xfId="0" applyNumberFormat="1" applyFill="1" applyBorder="1" applyProtection="1">
      <protection locked="0"/>
    </xf>
    <xf numFmtId="49" fontId="13" fillId="24" borderId="33" xfId="0" applyNumberFormat="1" applyFont="1" applyFill="1" applyBorder="1" applyAlignment="1" applyProtection="1">
      <alignment horizontal="center"/>
      <protection locked="0"/>
    </xf>
    <xf numFmtId="43" fontId="8" fillId="24" borderId="28" xfId="28" applyFont="1" applyFill="1" applyBorder="1" applyProtection="1">
      <protection locked="0"/>
    </xf>
    <xf numFmtId="0" fontId="8" fillId="24" borderId="10" xfId="0" applyFont="1" applyFill="1" applyBorder="1" applyProtection="1">
      <protection locked="0"/>
    </xf>
    <xf numFmtId="49" fontId="12" fillId="24" borderId="44" xfId="0" applyNumberFormat="1" applyFont="1" applyFill="1" applyBorder="1" applyAlignment="1" applyProtection="1">
      <alignment horizontal="center"/>
      <protection locked="0"/>
    </xf>
    <xf numFmtId="43" fontId="8" fillId="24" borderId="18" xfId="28" applyFont="1" applyFill="1" applyBorder="1" applyProtection="1">
      <protection locked="0"/>
    </xf>
    <xf numFmtId="43" fontId="8" fillId="24" borderId="29" xfId="28" applyFont="1" applyFill="1" applyBorder="1" applyProtection="1">
      <protection locked="0"/>
    </xf>
    <xf numFmtId="43" fontId="8" fillId="24" borderId="37" xfId="28" applyFont="1" applyFill="1" applyBorder="1" applyProtection="1">
      <protection locked="0"/>
    </xf>
    <xf numFmtId="43" fontId="8" fillId="24" borderId="38" xfId="28" applyFont="1" applyFill="1" applyBorder="1" applyProtection="1">
      <protection locked="0"/>
    </xf>
    <xf numFmtId="49" fontId="13" fillId="24" borderId="78" xfId="0" applyNumberFormat="1" applyFont="1" applyFill="1" applyBorder="1" applyAlignment="1" applyProtection="1">
      <alignment horizontal="center"/>
      <protection locked="0"/>
    </xf>
    <xf numFmtId="43" fontId="8" fillId="24" borderId="27" xfId="28" applyFont="1" applyFill="1" applyBorder="1" applyProtection="1">
      <protection locked="0"/>
    </xf>
    <xf numFmtId="43" fontId="8" fillId="24" borderId="31" xfId="28" applyFont="1" applyFill="1" applyBorder="1" applyProtection="1">
      <protection locked="0"/>
    </xf>
    <xf numFmtId="49" fontId="13" fillId="24" borderId="44" xfId="0" applyNumberFormat="1" applyFont="1" applyFill="1" applyBorder="1" applyAlignment="1" applyProtection="1">
      <alignment horizontal="center"/>
      <protection locked="0"/>
    </xf>
    <xf numFmtId="43" fontId="8" fillId="24" borderId="83" xfId="28" applyFont="1" applyFill="1" applyBorder="1" applyProtection="1">
      <protection locked="0"/>
    </xf>
    <xf numFmtId="43" fontId="8" fillId="24" borderId="84" xfId="28" applyFont="1" applyFill="1" applyBorder="1" applyProtection="1">
      <protection locked="0"/>
    </xf>
    <xf numFmtId="0" fontId="7" fillId="24" borderId="10" xfId="0" applyFont="1" applyFill="1" applyBorder="1" applyProtection="1">
      <protection locked="0"/>
    </xf>
    <xf numFmtId="0" fontId="10" fillId="24" borderId="12" xfId="0" applyFont="1" applyFill="1" applyBorder="1" applyProtection="1">
      <protection locked="0"/>
    </xf>
    <xf numFmtId="0" fontId="0" fillId="24" borderId="12" xfId="0" applyFill="1" applyBorder="1" applyProtection="1">
      <protection locked="0"/>
    </xf>
    <xf numFmtId="0" fontId="12" fillId="24" borderId="12" xfId="0" applyFont="1" applyFill="1" applyBorder="1" applyProtection="1">
      <protection locked="0"/>
    </xf>
    <xf numFmtId="43" fontId="8" fillId="24" borderId="39" xfId="28" applyFont="1" applyFill="1" applyBorder="1" applyProtection="1">
      <protection locked="0"/>
    </xf>
    <xf numFmtId="0" fontId="6" fillId="24" borderId="10" xfId="0" applyFont="1" applyFill="1" applyBorder="1" applyProtection="1">
      <protection locked="0"/>
    </xf>
    <xf numFmtId="0" fontId="10" fillId="24" borderId="10" xfId="0" applyFont="1" applyFill="1" applyBorder="1" applyProtection="1">
      <protection locked="0"/>
    </xf>
    <xf numFmtId="0" fontId="0" fillId="24" borderId="10" xfId="0" applyFill="1" applyBorder="1" applyProtection="1">
      <protection locked="0"/>
    </xf>
    <xf numFmtId="49" fontId="0" fillId="24" borderId="44" xfId="0" applyNumberFormat="1" applyFill="1" applyBorder="1" applyAlignment="1" applyProtection="1">
      <alignment horizontal="center"/>
      <protection locked="0"/>
    </xf>
    <xf numFmtId="0" fontId="7" fillId="24" borderId="12" xfId="0" applyFont="1" applyFill="1" applyBorder="1" applyProtection="1">
      <protection locked="0"/>
    </xf>
    <xf numFmtId="43" fontId="8" fillId="24" borderId="42" xfId="28" applyFont="1" applyFill="1" applyBorder="1" applyProtection="1">
      <protection locked="0"/>
    </xf>
    <xf numFmtId="43" fontId="8" fillId="24" borderId="43" xfId="28" applyFont="1" applyFill="1" applyBorder="1" applyProtection="1">
      <protection locked="0"/>
    </xf>
    <xf numFmtId="0" fontId="17" fillId="24" borderId="113" xfId="0" applyFont="1" applyFill="1" applyBorder="1" applyProtection="1">
      <protection locked="0"/>
    </xf>
    <xf numFmtId="0" fontId="8" fillId="24" borderId="19" xfId="0" applyFont="1" applyFill="1" applyBorder="1" applyProtection="1">
      <protection locked="0"/>
    </xf>
    <xf numFmtId="0" fontId="8" fillId="24" borderId="20" xfId="0" applyFont="1" applyFill="1" applyBorder="1" applyProtection="1">
      <protection locked="0"/>
    </xf>
    <xf numFmtId="0" fontId="8" fillId="24" borderId="52" xfId="0" applyFont="1" applyFill="1" applyBorder="1" applyProtection="1">
      <protection locked="0"/>
    </xf>
    <xf numFmtId="0" fontId="8" fillId="24" borderId="20" xfId="0" applyFont="1" applyFill="1" applyBorder="1" applyAlignment="1" applyProtection="1">
      <alignment horizontal="center"/>
      <protection locked="0"/>
    </xf>
    <xf numFmtId="43" fontId="8" fillId="24" borderId="19" xfId="28" applyFont="1" applyFill="1" applyBorder="1" applyProtection="1">
      <protection locked="0"/>
    </xf>
    <xf numFmtId="43" fontId="8" fillId="24" borderId="24" xfId="28" applyFont="1" applyFill="1" applyBorder="1" applyProtection="1">
      <protection locked="0"/>
    </xf>
    <xf numFmtId="0" fontId="8" fillId="24" borderId="21" xfId="0" applyFont="1" applyFill="1" applyBorder="1" applyAlignment="1" applyProtection="1">
      <alignment horizontal="center"/>
      <protection locked="0"/>
    </xf>
    <xf numFmtId="0" fontId="8" fillId="24" borderId="22" xfId="0" applyFont="1" applyFill="1" applyBorder="1" applyProtection="1">
      <protection locked="0"/>
    </xf>
    <xf numFmtId="0" fontId="8" fillId="24" borderId="23" xfId="0" applyFont="1" applyFill="1" applyBorder="1" applyProtection="1">
      <protection locked="0"/>
    </xf>
    <xf numFmtId="0" fontId="8" fillId="24" borderId="54" xfId="0" applyFont="1" applyFill="1" applyBorder="1" applyProtection="1">
      <protection locked="0"/>
    </xf>
    <xf numFmtId="0" fontId="8" fillId="24" borderId="23" xfId="0" applyFont="1" applyFill="1" applyBorder="1" applyAlignment="1" applyProtection="1">
      <alignment horizontal="center"/>
      <protection locked="0"/>
    </xf>
    <xf numFmtId="43" fontId="8" fillId="24" borderId="22" xfId="28" applyFont="1" applyFill="1" applyBorder="1" applyProtection="1">
      <protection locked="0"/>
    </xf>
    <xf numFmtId="43" fontId="8" fillId="24" borderId="26" xfId="28" applyFont="1" applyFill="1" applyBorder="1" applyProtection="1">
      <protection locked="0"/>
    </xf>
    <xf numFmtId="43" fontId="73" fillId="24" borderId="0" xfId="28" applyFont="1" applyFill="1" applyProtection="1">
      <protection locked="0"/>
    </xf>
    <xf numFmtId="43" fontId="12" fillId="24" borderId="0" xfId="28" applyFont="1" applyFill="1" applyProtection="1">
      <protection locked="0"/>
    </xf>
    <xf numFmtId="0" fontId="8" fillId="24" borderId="55" xfId="0" applyFont="1" applyFill="1" applyBorder="1" applyProtection="1">
      <protection locked="0"/>
    </xf>
    <xf numFmtId="0" fontId="8" fillId="24" borderId="59" xfId="0" applyFont="1" applyFill="1" applyBorder="1" applyProtection="1">
      <protection locked="0"/>
    </xf>
    <xf numFmtId="43" fontId="8" fillId="24" borderId="11" xfId="28" applyFont="1" applyFill="1" applyBorder="1" applyProtection="1">
      <protection locked="0"/>
    </xf>
    <xf numFmtId="0" fontId="8" fillId="24" borderId="57" xfId="0" applyFont="1" applyFill="1" applyBorder="1" applyProtection="1">
      <protection locked="0"/>
    </xf>
    <xf numFmtId="43" fontId="8" fillId="24" borderId="34" xfId="28" applyFont="1" applyFill="1" applyBorder="1" applyProtection="1">
      <protection locked="0"/>
    </xf>
    <xf numFmtId="0" fontId="8" fillId="24" borderId="58" xfId="0" applyFont="1" applyFill="1" applyBorder="1" applyProtection="1">
      <protection locked="0"/>
    </xf>
    <xf numFmtId="43" fontId="8" fillId="24" borderId="21" xfId="28" applyFont="1" applyFill="1" applyBorder="1" applyAlignment="1" applyProtection="1">
      <protection locked="0"/>
    </xf>
    <xf numFmtId="0" fontId="13" fillId="24" borderId="23" xfId="0" applyFont="1" applyFill="1" applyBorder="1" applyAlignment="1" applyProtection="1">
      <alignment horizontal="center"/>
      <protection locked="0"/>
    </xf>
    <xf numFmtId="0" fontId="0" fillId="24" borderId="0" xfId="0" applyFill="1" applyProtection="1">
      <protection locked="0"/>
    </xf>
    <xf numFmtId="0" fontId="17" fillId="24" borderId="12" xfId="0" applyFont="1" applyFill="1" applyBorder="1" applyProtection="1">
      <protection locked="0"/>
    </xf>
    <xf numFmtId="0" fontId="14" fillId="24" borderId="21" xfId="0" applyFont="1" applyFill="1" applyBorder="1" applyAlignment="1" applyProtection="1">
      <alignment horizontal="center"/>
      <protection locked="0"/>
    </xf>
    <xf numFmtId="0" fontId="17" fillId="24" borderId="12" xfId="0" applyFont="1" applyFill="1" applyBorder="1" applyAlignment="1" applyProtection="1">
      <alignment wrapText="1"/>
      <protection locked="0"/>
    </xf>
    <xf numFmtId="0" fontId="17" fillId="24" borderId="21" xfId="0" applyFont="1" applyFill="1" applyBorder="1" applyAlignment="1" applyProtection="1">
      <alignment wrapText="1"/>
      <protection locked="0"/>
    </xf>
    <xf numFmtId="0" fontId="17" fillId="24" borderId="21" xfId="0" applyFont="1" applyFill="1" applyBorder="1" applyProtection="1">
      <protection locked="0"/>
    </xf>
    <xf numFmtId="0" fontId="17" fillId="24" borderId="55" xfId="0" applyFont="1" applyFill="1" applyBorder="1" applyProtection="1">
      <protection locked="0"/>
    </xf>
    <xf numFmtId="0" fontId="17" fillId="24" borderId="22" xfId="0" applyFont="1" applyFill="1" applyBorder="1" applyProtection="1">
      <protection locked="0"/>
    </xf>
    <xf numFmtId="0" fontId="17" fillId="24" borderId="23" xfId="0" applyFont="1" applyFill="1" applyBorder="1" applyProtection="1">
      <protection locked="0"/>
    </xf>
    <xf numFmtId="43" fontId="8" fillId="24" borderId="53" xfId="28" applyFont="1" applyFill="1" applyBorder="1" applyProtection="1">
      <protection locked="0"/>
    </xf>
    <xf numFmtId="0" fontId="13" fillId="24" borderId="12" xfId="0" applyFont="1" applyFill="1" applyBorder="1" applyProtection="1">
      <protection locked="0"/>
    </xf>
    <xf numFmtId="43" fontId="8" fillId="24" borderId="11" xfId="28" applyFont="1" applyFill="1" applyBorder="1" applyAlignment="1" applyProtection="1">
      <protection locked="0"/>
    </xf>
    <xf numFmtId="43" fontId="8" fillId="24" borderId="12" xfId="28" applyFont="1" applyFill="1" applyBorder="1" applyAlignment="1" applyProtection="1">
      <protection locked="0"/>
    </xf>
    <xf numFmtId="43" fontId="8" fillId="24" borderId="34" xfId="28" applyFont="1" applyFill="1" applyBorder="1" applyAlignment="1" applyProtection="1">
      <protection locked="0"/>
    </xf>
    <xf numFmtId="0" fontId="8" fillId="24" borderId="13" xfId="0" applyFont="1" applyFill="1" applyBorder="1" applyProtection="1">
      <protection locked="0"/>
    </xf>
    <xf numFmtId="0" fontId="8" fillId="24" borderId="49" xfId="0" applyFont="1" applyFill="1" applyBorder="1" applyProtection="1">
      <protection locked="0"/>
    </xf>
    <xf numFmtId="43" fontId="8" fillId="24" borderId="19" xfId="28" applyFont="1" applyFill="1" applyBorder="1" applyAlignment="1" applyProtection="1">
      <alignment horizontal="center"/>
      <protection locked="0"/>
    </xf>
    <xf numFmtId="43" fontId="8" fillId="24" borderId="24" xfId="28" applyFont="1" applyFill="1" applyBorder="1" applyAlignment="1" applyProtection="1">
      <alignment horizontal="center"/>
      <protection locked="0"/>
    </xf>
    <xf numFmtId="13" fontId="8" fillId="24" borderId="12" xfId="28" applyNumberFormat="1" applyFont="1" applyFill="1" applyBorder="1" applyProtection="1">
      <protection locked="0"/>
    </xf>
    <xf numFmtId="43" fontId="8" fillId="24" borderId="19" xfId="28" applyFont="1" applyFill="1" applyBorder="1" applyAlignment="1" applyProtection="1">
      <protection locked="0"/>
    </xf>
    <xf numFmtId="43" fontId="8" fillId="24" borderId="24" xfId="28" applyFont="1" applyFill="1" applyBorder="1" applyAlignment="1" applyProtection="1">
      <protection locked="0"/>
    </xf>
    <xf numFmtId="43" fontId="13" fillId="24" borderId="24" xfId="28" applyFont="1" applyFill="1" applyBorder="1" applyAlignment="1" applyProtection="1">
      <protection locked="0"/>
    </xf>
    <xf numFmtId="0" fontId="14" fillId="24" borderId="53" xfId="0" applyFont="1" applyFill="1" applyBorder="1" applyAlignment="1" applyProtection="1">
      <alignment horizontal="center"/>
      <protection locked="0"/>
    </xf>
    <xf numFmtId="0" fontId="13" fillId="24" borderId="53" xfId="0" applyFont="1" applyFill="1" applyBorder="1" applyAlignment="1" applyProtection="1">
      <alignment horizontal="center"/>
      <protection locked="0"/>
    </xf>
    <xf numFmtId="0" fontId="13" fillId="24" borderId="54" xfId="0" applyFont="1" applyFill="1" applyBorder="1" applyAlignment="1" applyProtection="1">
      <alignment horizontal="center"/>
      <protection locked="0"/>
    </xf>
    <xf numFmtId="0" fontId="12" fillId="24" borderId="19" xfId="0" applyFont="1" applyFill="1" applyBorder="1" applyProtection="1">
      <protection locked="0"/>
    </xf>
    <xf numFmtId="0" fontId="14" fillId="24" borderId="52" xfId="0" applyFont="1" applyFill="1" applyBorder="1" applyAlignment="1" applyProtection="1">
      <alignment horizontal="center"/>
      <protection locked="0"/>
    </xf>
    <xf numFmtId="0" fontId="14" fillId="24" borderId="20" xfId="0" applyFont="1" applyFill="1" applyBorder="1" applyAlignment="1" applyProtection="1">
      <alignment horizontal="center"/>
      <protection locked="0"/>
    </xf>
    <xf numFmtId="0" fontId="12" fillId="24" borderId="11" xfId="0" applyFont="1" applyFill="1" applyBorder="1" applyProtection="1">
      <protection locked="0"/>
    </xf>
    <xf numFmtId="0" fontId="14" fillId="24" borderId="59" xfId="0" applyFont="1" applyFill="1" applyBorder="1" applyAlignment="1" applyProtection="1">
      <alignment horizontal="center"/>
      <protection locked="0"/>
    </xf>
    <xf numFmtId="0" fontId="14" fillId="24" borderId="55" xfId="0" applyFont="1" applyFill="1" applyBorder="1" applyAlignment="1" applyProtection="1">
      <alignment horizontal="center"/>
      <protection locked="0"/>
    </xf>
    <xf numFmtId="43" fontId="8" fillId="24" borderId="27" xfId="28" applyFont="1" applyFill="1" applyBorder="1" applyAlignment="1" applyProtection="1">
      <protection locked="0"/>
    </xf>
    <xf numFmtId="0" fontId="14" fillId="24" borderId="50" xfId="0" applyFont="1" applyFill="1" applyBorder="1" applyAlignment="1" applyProtection="1">
      <alignment horizontal="center"/>
      <protection locked="0"/>
    </xf>
    <xf numFmtId="0" fontId="14" fillId="24" borderId="14" xfId="0" applyFont="1" applyFill="1" applyBorder="1" applyAlignment="1" applyProtection="1">
      <alignment horizontal="center"/>
      <protection locked="0"/>
    </xf>
    <xf numFmtId="43" fontId="8" fillId="24" borderId="25" xfId="28" applyFont="1" applyFill="1" applyBorder="1" applyAlignment="1" applyProtection="1">
      <protection locked="0"/>
    </xf>
    <xf numFmtId="0" fontId="14" fillId="24" borderId="12" xfId="0" applyFont="1" applyFill="1" applyBorder="1" applyProtection="1">
      <protection locked="0"/>
    </xf>
    <xf numFmtId="0" fontId="14" fillId="24" borderId="54" xfId="0" applyFont="1" applyFill="1" applyBorder="1" applyAlignment="1" applyProtection="1">
      <alignment horizontal="center"/>
      <protection locked="0"/>
    </xf>
    <xf numFmtId="0" fontId="14" fillId="24" borderId="15" xfId="0" applyFont="1" applyFill="1" applyBorder="1" applyAlignment="1" applyProtection="1">
      <alignment horizontal="center"/>
      <protection locked="0"/>
    </xf>
    <xf numFmtId="43" fontId="8" fillId="24" borderId="10" xfId="28" applyFont="1" applyFill="1" applyBorder="1" applyProtection="1">
      <protection locked="0"/>
    </xf>
    <xf numFmtId="43" fontId="8" fillId="24" borderId="82" xfId="28" applyFont="1" applyFill="1" applyBorder="1" applyProtection="1">
      <protection locked="0"/>
    </xf>
    <xf numFmtId="43" fontId="8" fillId="24" borderId="18" xfId="28" applyFont="1" applyFill="1" applyBorder="1" applyAlignment="1" applyProtection="1">
      <protection locked="0"/>
    </xf>
    <xf numFmtId="0" fontId="14" fillId="24" borderId="49" xfId="0" applyFont="1" applyFill="1" applyBorder="1" applyAlignment="1" applyProtection="1">
      <alignment horizontal="center"/>
      <protection locked="0"/>
    </xf>
    <xf numFmtId="43" fontId="14" fillId="24" borderId="12" xfId="28" applyFont="1" applyFill="1" applyBorder="1" applyAlignment="1" applyProtection="1">
      <alignment horizontal="center"/>
      <protection locked="0"/>
    </xf>
    <xf numFmtId="43" fontId="14" fillId="24" borderId="25" xfId="28" applyFont="1" applyFill="1" applyBorder="1" applyAlignment="1" applyProtection="1">
      <alignment horizontal="center"/>
      <protection locked="0"/>
    </xf>
    <xf numFmtId="0" fontId="14" fillId="24" borderId="58" xfId="0" applyFont="1" applyFill="1" applyBorder="1" applyAlignment="1" applyProtection="1">
      <alignment horizontal="center"/>
      <protection locked="0"/>
    </xf>
    <xf numFmtId="0" fontId="14" fillId="24" borderId="57" xfId="0" applyFont="1" applyFill="1" applyBorder="1" applyAlignment="1" applyProtection="1">
      <alignment horizontal="center"/>
      <protection locked="0"/>
    </xf>
    <xf numFmtId="43" fontId="8" fillId="24" borderId="17" xfId="28" applyFont="1" applyFill="1" applyBorder="1" applyProtection="1">
      <protection locked="0"/>
    </xf>
    <xf numFmtId="43" fontId="8" fillId="24" borderId="41" xfId="28" applyFont="1" applyFill="1" applyBorder="1" applyProtection="1">
      <protection locked="0"/>
    </xf>
    <xf numFmtId="49" fontId="14" fillId="24" borderId="33" xfId="0" applyNumberFormat="1" applyFont="1" applyFill="1" applyBorder="1" applyAlignment="1" applyProtection="1">
      <alignment horizontal="center"/>
      <protection locked="0"/>
    </xf>
    <xf numFmtId="0" fontId="14" fillId="24" borderId="25" xfId="0" applyFont="1" applyFill="1" applyBorder="1" applyAlignment="1" applyProtection="1">
      <alignment horizontal="center"/>
      <protection locked="0"/>
    </xf>
    <xf numFmtId="0" fontId="14" fillId="24" borderId="37" xfId="0" applyFont="1" applyFill="1" applyBorder="1" applyAlignment="1" applyProtection="1">
      <alignment horizontal="center"/>
      <protection locked="0"/>
    </xf>
    <xf numFmtId="0" fontId="14" fillId="24" borderId="26" xfId="0" applyFont="1" applyFill="1" applyBorder="1" applyAlignment="1" applyProtection="1">
      <alignment horizontal="center"/>
      <protection locked="0"/>
    </xf>
    <xf numFmtId="0" fontId="8" fillId="24" borderId="0" xfId="0" applyFont="1" applyFill="1" applyProtection="1">
      <protection locked="0"/>
    </xf>
    <xf numFmtId="0" fontId="10" fillId="24" borderId="0" xfId="0" applyFont="1" applyFill="1" applyProtection="1">
      <protection locked="0"/>
    </xf>
    <xf numFmtId="0" fontId="10" fillId="24" borderId="40" xfId="0" applyFont="1" applyFill="1" applyBorder="1" applyProtection="1">
      <protection locked="0"/>
    </xf>
    <xf numFmtId="43" fontId="8" fillId="24" borderId="151" xfId="28" applyFont="1" applyFill="1" applyBorder="1" applyProtection="1">
      <protection locked="0"/>
    </xf>
    <xf numFmtId="0" fontId="14" fillId="24" borderId="40" xfId="0" applyFont="1" applyFill="1" applyBorder="1" applyAlignment="1" applyProtection="1">
      <alignment horizontal="center"/>
      <protection locked="0"/>
    </xf>
    <xf numFmtId="43" fontId="12" fillId="24" borderId="11" xfId="28" applyFont="1" applyFill="1" applyBorder="1" applyProtection="1">
      <protection locked="0"/>
    </xf>
    <xf numFmtId="43" fontId="12" fillId="24" borderId="12" xfId="28" applyFont="1" applyFill="1" applyBorder="1" applyProtection="1">
      <protection locked="0"/>
    </xf>
    <xf numFmtId="43" fontId="8" fillId="24" borderId="52" xfId="28" applyFont="1" applyFill="1" applyBorder="1" applyProtection="1">
      <protection locked="0"/>
    </xf>
    <xf numFmtId="43" fontId="8" fillId="24" borderId="123" xfId="28" applyFont="1" applyFill="1" applyBorder="1" applyProtection="1">
      <protection locked="0"/>
    </xf>
    <xf numFmtId="0" fontId="15" fillId="24" borderId="109" xfId="0" applyFont="1" applyFill="1" applyBorder="1" applyProtection="1">
      <protection locked="0"/>
    </xf>
    <xf numFmtId="0" fontId="0" fillId="24" borderId="55" xfId="0" applyFill="1" applyBorder="1" applyProtection="1">
      <protection locked="0"/>
    </xf>
    <xf numFmtId="43" fontId="8" fillId="24" borderId="59" xfId="28" applyFont="1" applyFill="1" applyBorder="1" applyProtection="1">
      <protection locked="0"/>
    </xf>
    <xf numFmtId="0" fontId="17" fillId="24" borderId="137" xfId="0" applyFont="1" applyFill="1" applyBorder="1" applyAlignment="1" applyProtection="1">
      <alignment horizontal="center"/>
      <protection locked="0"/>
    </xf>
    <xf numFmtId="0" fontId="0" fillId="24" borderId="0" xfId="0" applyFill="1" applyAlignment="1" applyProtection="1">
      <alignment horizontal="center"/>
      <protection locked="0"/>
    </xf>
    <xf numFmtId="0" fontId="0" fillId="24" borderId="85" xfId="0" applyFill="1" applyBorder="1" applyProtection="1">
      <protection locked="0"/>
    </xf>
    <xf numFmtId="0" fontId="0" fillId="24" borderId="34" xfId="0" applyFill="1" applyBorder="1" applyProtection="1">
      <protection locked="0"/>
    </xf>
    <xf numFmtId="0" fontId="0" fillId="24" borderId="35" xfId="0" applyFill="1" applyBorder="1" applyProtection="1">
      <protection locked="0"/>
    </xf>
    <xf numFmtId="0" fontId="0" fillId="24" borderId="86" xfId="0" applyFill="1" applyBorder="1" applyProtection="1">
      <protection locked="0"/>
    </xf>
    <xf numFmtId="0" fontId="0" fillId="24" borderId="87" xfId="0" applyFill="1" applyBorder="1" applyProtection="1">
      <protection locked="0"/>
    </xf>
    <xf numFmtId="0" fontId="0" fillId="24" borderId="88" xfId="0" applyFill="1" applyBorder="1" applyProtection="1">
      <protection locked="0"/>
    </xf>
    <xf numFmtId="0" fontId="0" fillId="24" borderId="89" xfId="0" applyFill="1" applyBorder="1" applyProtection="1">
      <protection locked="0"/>
    </xf>
    <xf numFmtId="0" fontId="12" fillId="24" borderId="21" xfId="0" applyFont="1" applyFill="1" applyBorder="1" applyProtection="1">
      <protection locked="0"/>
    </xf>
    <xf numFmtId="0" fontId="13" fillId="24" borderId="21" xfId="0" applyFont="1" applyFill="1" applyBorder="1" applyProtection="1">
      <protection locked="0"/>
    </xf>
    <xf numFmtId="0" fontId="14" fillId="24" borderId="113" xfId="0" applyFont="1" applyFill="1" applyBorder="1" applyProtection="1">
      <protection locked="0"/>
    </xf>
    <xf numFmtId="0" fontId="14" fillId="24" borderId="0" xfId="0" applyFont="1" applyFill="1" applyProtection="1">
      <protection locked="0"/>
    </xf>
    <xf numFmtId="0" fontId="14" fillId="24" borderId="111" xfId="0" applyFont="1" applyFill="1" applyBorder="1" applyProtection="1">
      <protection locked="0"/>
    </xf>
    <xf numFmtId="9" fontId="14" fillId="24" borderId="114" xfId="52" applyFont="1" applyFill="1" applyBorder="1" applyProtection="1">
      <protection locked="0"/>
    </xf>
    <xf numFmtId="9" fontId="14" fillId="24" borderId="0" xfId="52" applyFont="1" applyFill="1" applyProtection="1">
      <protection locked="0"/>
    </xf>
    <xf numFmtId="0" fontId="12" fillId="24" borderId="169" xfId="0" applyFont="1" applyFill="1" applyBorder="1" applyProtection="1">
      <protection locked="0"/>
    </xf>
    <xf numFmtId="44" fontId="73" fillId="24" borderId="124" xfId="34" applyFont="1" applyFill="1" applyBorder="1" applyProtection="1">
      <protection locked="0"/>
    </xf>
    <xf numFmtId="0" fontId="14" fillId="24" borderId="12" xfId="0" applyFont="1" applyFill="1" applyBorder="1" applyAlignment="1" applyProtection="1">
      <alignment horizontal="center"/>
      <protection locked="0"/>
    </xf>
    <xf numFmtId="43" fontId="12" fillId="24" borderId="25" xfId="0" applyNumberFormat="1" applyFont="1" applyFill="1" applyBorder="1" applyAlignment="1" applyProtection="1">
      <alignment horizontal="center"/>
      <protection locked="0"/>
    </xf>
    <xf numFmtId="43" fontId="12" fillId="24" borderId="12" xfId="28" applyNumberFormat="1" applyFont="1" applyFill="1" applyBorder="1" applyProtection="1">
      <protection locked="0"/>
    </xf>
    <xf numFmtId="43" fontId="12" fillId="24" borderId="150" xfId="28" applyNumberFormat="1" applyFont="1" applyFill="1" applyBorder="1" applyProtection="1">
      <protection locked="0"/>
    </xf>
    <xf numFmtId="43" fontId="12" fillId="24" borderId="37" xfId="0" applyNumberFormat="1" applyFont="1" applyFill="1" applyBorder="1" applyAlignment="1" applyProtection="1">
      <alignment horizontal="center"/>
      <protection locked="0"/>
    </xf>
    <xf numFmtId="43" fontId="12" fillId="24" borderId="34" xfId="28" applyNumberFormat="1" applyFont="1" applyFill="1" applyBorder="1" applyProtection="1">
      <protection locked="0"/>
    </xf>
    <xf numFmtId="43" fontId="12" fillId="24" borderId="129" xfId="28" applyNumberFormat="1" applyFont="1" applyFill="1" applyBorder="1" applyProtection="1">
      <protection locked="0"/>
    </xf>
    <xf numFmtId="43" fontId="12" fillId="24" borderId="27" xfId="0" applyNumberFormat="1" applyFont="1" applyFill="1" applyBorder="1" applyAlignment="1" applyProtection="1">
      <alignment horizontal="center"/>
      <protection locked="0"/>
    </xf>
    <xf numFmtId="43" fontId="12" fillId="24" borderId="11" xfId="28" applyNumberFormat="1" applyFont="1" applyFill="1" applyBorder="1" applyProtection="1">
      <protection locked="0"/>
    </xf>
    <xf numFmtId="43" fontId="12" fillId="24" borderId="149" xfId="28" applyNumberFormat="1" applyFont="1" applyFill="1" applyBorder="1" applyProtection="1">
      <protection locked="0"/>
    </xf>
    <xf numFmtId="43" fontId="13" fillId="24" borderId="27" xfId="28" applyFont="1" applyFill="1" applyBorder="1" applyAlignment="1" applyProtection="1">
      <alignment horizontal="right"/>
      <protection locked="0"/>
    </xf>
    <xf numFmtId="0" fontId="8" fillId="24" borderId="91" xfId="0" applyFont="1" applyFill="1" applyBorder="1" applyProtection="1">
      <protection locked="0"/>
    </xf>
    <xf numFmtId="0" fontId="13" fillId="24" borderId="33" xfId="0" applyFont="1" applyFill="1" applyBorder="1" applyAlignment="1" applyProtection="1">
      <alignment horizontal="center"/>
      <protection locked="0"/>
    </xf>
    <xf numFmtId="0" fontId="8" fillId="24" borderId="85" xfId="0" applyFont="1" applyFill="1" applyBorder="1" applyProtection="1">
      <protection locked="0"/>
    </xf>
    <xf numFmtId="0" fontId="17" fillId="24" borderId="34" xfId="0" applyFont="1" applyFill="1" applyBorder="1" applyProtection="1">
      <protection locked="0"/>
    </xf>
    <xf numFmtId="0" fontId="13" fillId="24" borderId="36" xfId="0" applyFont="1" applyFill="1" applyBorder="1" applyAlignment="1" applyProtection="1">
      <alignment horizontal="center"/>
      <protection locked="0"/>
    </xf>
    <xf numFmtId="0" fontId="8" fillId="24" borderId="88" xfId="0" applyFont="1" applyFill="1" applyBorder="1" applyProtection="1">
      <protection locked="0"/>
    </xf>
    <xf numFmtId="0" fontId="13" fillId="24" borderId="78" xfId="0" applyFont="1" applyFill="1" applyBorder="1" applyAlignment="1" applyProtection="1">
      <alignment horizontal="center"/>
      <protection locked="0"/>
    </xf>
    <xf numFmtId="43" fontId="12" fillId="24" borderId="25" xfId="28" applyFont="1" applyFill="1" applyBorder="1" applyProtection="1">
      <protection locked="0"/>
    </xf>
    <xf numFmtId="43" fontId="12" fillId="24" borderId="37" xfId="28" applyFont="1" applyFill="1" applyBorder="1" applyProtection="1">
      <protection locked="0"/>
    </xf>
    <xf numFmtId="43" fontId="15" fillId="24" borderId="34" xfId="28" applyFont="1" applyFill="1" applyBorder="1" applyProtection="1">
      <protection locked="0"/>
    </xf>
    <xf numFmtId="43" fontId="13" fillId="24" borderId="36" xfId="28" applyFont="1" applyFill="1" applyBorder="1" applyProtection="1">
      <protection locked="0"/>
    </xf>
    <xf numFmtId="0" fontId="3" fillId="24" borderId="0" xfId="0" applyFont="1" applyFill="1" applyBorder="1" applyProtection="1">
      <protection locked="0"/>
    </xf>
    <xf numFmtId="0" fontId="35" fillId="0" borderId="0" xfId="0" applyFont="1" applyBorder="1" applyAlignment="1"/>
    <xf numFmtId="0" fontId="17" fillId="24" borderId="114" xfId="0" applyFont="1" applyFill="1" applyBorder="1" applyProtection="1">
      <protection locked="0"/>
    </xf>
    <xf numFmtId="164" fontId="24" fillId="24" borderId="11" xfId="52" applyNumberFormat="1" applyFont="1" applyFill="1" applyBorder="1" applyProtection="1">
      <protection locked="0"/>
    </xf>
    <xf numFmtId="164" fontId="0" fillId="24" borderId="0" xfId="52" applyNumberFormat="1" applyFont="1" applyFill="1" applyProtection="1">
      <protection locked="0"/>
    </xf>
    <xf numFmtId="43" fontId="24" fillId="24" borderId="11" xfId="32" applyFont="1" applyFill="1" applyBorder="1" applyProtection="1">
      <protection locked="0"/>
    </xf>
    <xf numFmtId="43" fontId="80" fillId="0" borderId="0" xfId="0" applyNumberFormat="1" applyFont="1"/>
    <xf numFmtId="0" fontId="8" fillId="0" borderId="12" xfId="0" applyFont="1" applyFill="1" applyBorder="1" applyProtection="1"/>
    <xf numFmtId="0" fontId="10" fillId="0" borderId="12" xfId="0" applyFont="1" applyFill="1" applyBorder="1" applyProtection="1"/>
    <xf numFmtId="0" fontId="0" fillId="0" borderId="12" xfId="0" applyFill="1" applyBorder="1" applyProtection="1"/>
    <xf numFmtId="49" fontId="8" fillId="0" borderId="33" xfId="0" applyNumberFormat="1" applyFont="1" applyFill="1" applyBorder="1" applyAlignment="1" applyProtection="1">
      <alignment horizontal="center"/>
    </xf>
    <xf numFmtId="0" fontId="8" fillId="24" borderId="55" xfId="0" applyFont="1" applyFill="1" applyBorder="1" applyAlignment="1" applyProtection="1">
      <alignment horizontal="center"/>
      <protection locked="0"/>
    </xf>
    <xf numFmtId="0" fontId="8" fillId="24" borderId="57" xfId="0" applyFont="1" applyFill="1" applyBorder="1" applyAlignment="1" applyProtection="1">
      <alignment horizontal="center"/>
      <protection locked="0"/>
    </xf>
    <xf numFmtId="0" fontId="7" fillId="24" borderId="21" xfId="0" applyFont="1" applyFill="1" applyBorder="1" applyAlignment="1" applyProtection="1">
      <alignment horizontal="center"/>
      <protection locked="0"/>
    </xf>
    <xf numFmtId="0" fontId="7" fillId="0" borderId="57" xfId="0" applyFont="1" applyBorder="1" applyAlignment="1">
      <alignment horizontal="center"/>
    </xf>
    <xf numFmtId="0" fontId="7" fillId="0" borderId="21" xfId="0" applyFont="1" applyBorder="1" applyAlignment="1">
      <alignment horizontal="center"/>
    </xf>
    <xf numFmtId="0" fontId="7" fillId="0" borderId="23" xfId="0" applyFont="1" applyBorder="1" applyAlignment="1">
      <alignment horizontal="center"/>
    </xf>
    <xf numFmtId="43" fontId="8" fillId="0" borderId="59" xfId="28" applyFont="1" applyFill="1" applyBorder="1" applyAlignment="1" applyProtection="1"/>
    <xf numFmtId="43" fontId="8" fillId="0" borderId="53" xfId="28" applyFont="1" applyFill="1" applyBorder="1" applyAlignment="1" applyProtection="1"/>
    <xf numFmtId="43" fontId="8" fillId="0" borderId="58" xfId="28" applyFont="1" applyFill="1" applyBorder="1" applyAlignment="1" applyProtection="1"/>
    <xf numFmtId="0" fontId="8" fillId="0" borderId="101" xfId="0" applyFont="1" applyBorder="1"/>
    <xf numFmtId="43" fontId="0" fillId="24" borderId="0" xfId="28" applyFont="1" applyFill="1" applyBorder="1" applyProtection="1">
      <protection locked="0"/>
    </xf>
    <xf numFmtId="10" fontId="0" fillId="24" borderId="0" xfId="0" applyNumberFormat="1" applyFill="1" applyBorder="1" applyAlignment="1" applyProtection="1">
      <alignment horizontal="center"/>
      <protection locked="0"/>
    </xf>
    <xf numFmtId="0" fontId="17" fillId="24" borderId="0" xfId="0" quotePrefix="1" applyFont="1" applyFill="1" applyBorder="1" applyAlignment="1" applyProtection="1">
      <alignment horizontal="center"/>
      <protection locked="0"/>
    </xf>
    <xf numFmtId="16" fontId="3" fillId="24" borderId="0" xfId="0" applyNumberFormat="1" applyFont="1" applyFill="1" applyBorder="1" applyProtection="1">
      <protection locked="0"/>
    </xf>
    <xf numFmtId="0" fontId="81" fillId="0" borderId="0" xfId="0" applyFont="1"/>
    <xf numFmtId="0" fontId="81" fillId="38" borderId="0" xfId="0" applyFont="1" applyFill="1"/>
    <xf numFmtId="0" fontId="81" fillId="39" borderId="0" xfId="0" applyFont="1" applyFill="1"/>
    <xf numFmtId="0" fontId="17" fillId="0" borderId="11" xfId="0" applyFont="1" applyFill="1" applyBorder="1" applyAlignment="1" applyProtection="1">
      <alignment horizontal="center"/>
    </xf>
    <xf numFmtId="0" fontId="0" fillId="0" borderId="11" xfId="0" applyFill="1" applyBorder="1" applyProtection="1"/>
    <xf numFmtId="0" fontId="12" fillId="0" borderId="53" xfId="0" applyFont="1" applyFill="1" applyBorder="1" applyAlignment="1">
      <alignment horizontal="center"/>
    </xf>
    <xf numFmtId="0" fontId="8" fillId="24" borderId="13" xfId="0" applyFont="1" applyFill="1" applyBorder="1" applyAlignment="1" applyProtection="1">
      <alignment horizontal="center"/>
      <protection locked="0"/>
    </xf>
    <xf numFmtId="0" fontId="8" fillId="24" borderId="13" xfId="0" applyFont="1" applyFill="1" applyBorder="1" applyAlignment="1" applyProtection="1">
      <protection locked="0"/>
    </xf>
    <xf numFmtId="0" fontId="8" fillId="24" borderId="21" xfId="0" applyFont="1" applyFill="1" applyBorder="1" applyAlignment="1" applyProtection="1">
      <protection locked="0"/>
    </xf>
    <xf numFmtId="0" fontId="8" fillId="0" borderId="13" xfId="0" applyFont="1" applyBorder="1" applyAlignment="1">
      <alignment horizontal="center"/>
    </xf>
    <xf numFmtId="0" fontId="7" fillId="24" borderId="13" xfId="0" applyFont="1" applyFill="1" applyBorder="1" applyAlignment="1" applyProtection="1">
      <alignment horizontal="center"/>
      <protection locked="0"/>
    </xf>
    <xf numFmtId="0" fontId="7" fillId="24" borderId="33" xfId="0" applyFont="1" applyFill="1" applyBorder="1" applyAlignment="1" applyProtection="1">
      <alignment horizontal="center"/>
      <protection locked="0"/>
    </xf>
    <xf numFmtId="49" fontId="3" fillId="0" borderId="0" xfId="0" applyNumberFormat="1" applyFont="1"/>
    <xf numFmtId="43" fontId="8" fillId="0" borderId="0" xfId="28" applyFont="1" applyFill="1" applyBorder="1" applyProtection="1">
      <protection locked="0"/>
    </xf>
    <xf numFmtId="14" fontId="8" fillId="24" borderId="11" xfId="0" applyNumberFormat="1" applyFont="1" applyFill="1" applyBorder="1" applyAlignment="1" applyProtection="1">
      <alignment horizontal="left" vertical="center"/>
      <protection locked="0"/>
    </xf>
    <xf numFmtId="0" fontId="8" fillId="24" borderId="12" xfId="0" applyFont="1" applyFill="1" applyBorder="1" applyAlignment="1" applyProtection="1">
      <alignment horizontal="left" vertical="center"/>
      <protection locked="0"/>
    </xf>
    <xf numFmtId="0" fontId="3" fillId="24" borderId="53" xfId="0" applyFont="1" applyFill="1" applyBorder="1" applyAlignment="1" applyProtection="1">
      <alignment horizontal="center"/>
      <protection locked="0"/>
    </xf>
    <xf numFmtId="0" fontId="3" fillId="24" borderId="53" xfId="0" applyFont="1" applyFill="1" applyBorder="1" applyAlignment="1" applyProtection="1">
      <alignment wrapText="1"/>
      <protection locked="0"/>
    </xf>
    <xf numFmtId="0" fontId="3" fillId="24" borderId="53" xfId="0" applyFont="1" applyFill="1" applyBorder="1" applyProtection="1">
      <protection locked="0"/>
    </xf>
    <xf numFmtId="0" fontId="3" fillId="24" borderId="59" xfId="0" applyFont="1" applyFill="1" applyBorder="1" applyProtection="1">
      <protection locked="0"/>
    </xf>
    <xf numFmtId="0" fontId="3" fillId="24" borderId="54" xfId="0" applyFont="1" applyFill="1" applyBorder="1" applyProtection="1">
      <protection locked="0"/>
    </xf>
    <xf numFmtId="43" fontId="8" fillId="25" borderId="53" xfId="28" applyFont="1" applyFill="1" applyBorder="1" applyProtection="1"/>
    <xf numFmtId="43" fontId="8" fillId="25" borderId="54" xfId="28" applyFont="1" applyFill="1" applyBorder="1" applyProtection="1"/>
    <xf numFmtId="43" fontId="8" fillId="25" borderId="121" xfId="28" applyFont="1" applyFill="1" applyBorder="1" applyProtection="1"/>
    <xf numFmtId="0" fontId="24" fillId="0" borderId="0" xfId="0" applyFont="1" applyFill="1" applyBorder="1"/>
    <xf numFmtId="44" fontId="24" fillId="24" borderId="11" xfId="36" applyFont="1" applyFill="1" applyBorder="1" applyProtection="1">
      <protection locked="0"/>
    </xf>
    <xf numFmtId="43" fontId="0" fillId="0" borderId="22" xfId="0" applyNumberFormat="1" applyBorder="1"/>
    <xf numFmtId="0" fontId="17" fillId="40" borderId="0" xfId="0" applyFont="1" applyFill="1"/>
    <xf numFmtId="0" fontId="17" fillId="41" borderId="0" xfId="0" applyFont="1" applyFill="1"/>
    <xf numFmtId="0" fontId="3" fillId="0" borderId="0" xfId="49" applyFill="1"/>
    <xf numFmtId="0" fontId="4" fillId="0" borderId="0" xfId="49" applyFont="1" applyFill="1" applyAlignment="1">
      <alignment horizontal="center"/>
    </xf>
    <xf numFmtId="0" fontId="20" fillId="0" borderId="0" xfId="49" applyFont="1" applyFill="1" applyAlignment="1">
      <alignment horizontal="center"/>
    </xf>
    <xf numFmtId="0" fontId="21" fillId="0" borderId="0" xfId="49" applyFont="1" applyFill="1" applyAlignment="1"/>
    <xf numFmtId="0" fontId="21" fillId="0" borderId="0" xfId="49" applyFont="1" applyFill="1" applyBorder="1" applyAlignment="1">
      <alignment horizontal="center"/>
    </xf>
    <xf numFmtId="0" fontId="21" fillId="0" borderId="11" xfId="49" applyFont="1" applyFill="1" applyBorder="1" applyAlignment="1">
      <alignment horizontal="center"/>
    </xf>
    <xf numFmtId="0" fontId="21" fillId="0" borderId="0" xfId="49" applyFont="1" applyFill="1" applyAlignment="1">
      <alignment horizontal="left"/>
    </xf>
    <xf numFmtId="0" fontId="21" fillId="0" borderId="0" xfId="49" applyFont="1" applyFill="1" applyAlignment="1">
      <alignment horizontal="center"/>
    </xf>
    <xf numFmtId="0" fontId="21" fillId="0" borderId="11" xfId="49" applyFont="1" applyFill="1" applyBorder="1" applyAlignment="1"/>
    <xf numFmtId="0" fontId="21" fillId="0" borderId="0" xfId="49" applyFont="1" applyFill="1" applyBorder="1" applyAlignment="1"/>
    <xf numFmtId="0" fontId="4" fillId="0" borderId="0" xfId="49" applyFont="1" applyFill="1" applyBorder="1" applyAlignment="1"/>
    <xf numFmtId="0" fontId="3" fillId="0" borderId="0" xfId="49" applyFill="1" applyBorder="1"/>
    <xf numFmtId="0" fontId="3" fillId="0" borderId="85" xfId="49" applyFill="1" applyBorder="1"/>
    <xf numFmtId="0" fontId="3" fillId="0" borderId="12" xfId="49" applyFill="1" applyBorder="1"/>
    <xf numFmtId="0" fontId="3" fillId="0" borderId="35" xfId="49" applyFill="1" applyBorder="1"/>
    <xf numFmtId="0" fontId="3" fillId="0" borderId="86" xfId="49" applyFill="1" applyBorder="1"/>
    <xf numFmtId="0" fontId="3" fillId="0" borderId="87" xfId="49" applyFill="1" applyBorder="1"/>
    <xf numFmtId="0" fontId="3" fillId="0" borderId="88" xfId="49" applyFill="1" applyBorder="1"/>
    <xf numFmtId="0" fontId="3" fillId="0" borderId="89" xfId="49" applyFill="1" applyBorder="1"/>
    <xf numFmtId="49" fontId="14" fillId="0" borderId="90" xfId="49" applyNumberFormat="1" applyFont="1" applyFill="1" applyBorder="1" applyAlignment="1">
      <alignment horizontal="center"/>
    </xf>
    <xf numFmtId="0" fontId="3" fillId="0" borderId="12" xfId="49" applyFill="1" applyBorder="1" applyAlignment="1">
      <alignment horizontal="center"/>
    </xf>
    <xf numFmtId="0" fontId="3" fillId="0" borderId="90" xfId="49" applyFill="1" applyBorder="1"/>
    <xf numFmtId="0" fontId="3" fillId="0" borderId="87" xfId="49" applyFill="1" applyBorder="1" applyAlignment="1">
      <alignment horizontal="center"/>
    </xf>
    <xf numFmtId="0" fontId="12" fillId="0" borderId="0" xfId="49" applyFont="1" applyFill="1" applyBorder="1" applyAlignment="1">
      <alignment horizontal="center"/>
    </xf>
    <xf numFmtId="49" fontId="13" fillId="0" borderId="91" xfId="49" applyNumberFormat="1" applyFont="1" applyFill="1" applyBorder="1"/>
    <xf numFmtId="0" fontId="13" fillId="0" borderId="12" xfId="49" applyFont="1" applyFill="1" applyBorder="1"/>
    <xf numFmtId="0" fontId="13" fillId="0" borderId="77" xfId="49" applyFont="1" applyFill="1" applyBorder="1"/>
    <xf numFmtId="0" fontId="13" fillId="0" borderId="90" xfId="49" applyFont="1" applyFill="1" applyBorder="1"/>
    <xf numFmtId="0" fontId="13" fillId="0" borderId="87" xfId="49" applyFont="1" applyFill="1" applyBorder="1"/>
    <xf numFmtId="0" fontId="13" fillId="0" borderId="0" xfId="49" applyFont="1" applyFill="1" applyBorder="1"/>
    <xf numFmtId="4" fontId="12" fillId="0" borderId="93" xfId="49" applyNumberFormat="1" applyFont="1" applyFill="1" applyBorder="1"/>
    <xf numFmtId="4" fontId="12" fillId="0" borderId="92" xfId="49" applyNumberFormat="1" applyFont="1" applyFill="1" applyBorder="1"/>
    <xf numFmtId="4" fontId="12" fillId="0" borderId="95" xfId="49" applyNumberFormat="1" applyFont="1" applyFill="1" applyBorder="1"/>
    <xf numFmtId="49" fontId="13" fillId="0" borderId="11" xfId="49" applyNumberFormat="1" applyFont="1" applyFill="1" applyBorder="1"/>
    <xf numFmtId="0" fontId="13" fillId="0" borderId="11" xfId="49" applyFont="1" applyFill="1" applyBorder="1"/>
    <xf numFmtId="0" fontId="13" fillId="0" borderId="89" xfId="49" applyFont="1" applyFill="1" applyBorder="1"/>
    <xf numFmtId="49" fontId="13" fillId="0" borderId="0" xfId="49" applyNumberFormat="1" applyFont="1" applyFill="1"/>
    <xf numFmtId="0" fontId="13" fillId="0" borderId="0" xfId="49" applyFont="1" applyFill="1"/>
    <xf numFmtId="4" fontId="13" fillId="0" borderId="0" xfId="49" applyNumberFormat="1" applyFont="1" applyFill="1"/>
    <xf numFmtId="49" fontId="13" fillId="0" borderId="34" xfId="49" applyNumberFormat="1" applyFont="1" applyFill="1" applyBorder="1"/>
    <xf numFmtId="0" fontId="13" fillId="0" borderId="34" xfId="49" applyFont="1" applyFill="1" applyBorder="1"/>
    <xf numFmtId="0" fontId="13" fillId="0" borderId="35" xfId="49" applyFont="1" applyFill="1" applyBorder="1"/>
    <xf numFmtId="0" fontId="14" fillId="0" borderId="93" xfId="49" applyFont="1" applyFill="1" applyBorder="1" applyAlignment="1">
      <alignment horizontal="center"/>
    </xf>
    <xf numFmtId="0" fontId="13" fillId="0" borderId="94" xfId="49" applyFont="1" applyFill="1" applyBorder="1" applyAlignment="1">
      <alignment horizontal="center"/>
    </xf>
    <xf numFmtId="0" fontId="13" fillId="0" borderId="0" xfId="49" applyFont="1" applyFill="1" applyBorder="1" applyAlignment="1">
      <alignment horizontal="center"/>
    </xf>
    <xf numFmtId="49" fontId="22" fillId="0" borderId="91" xfId="49" applyNumberFormat="1" applyFont="1" applyFill="1" applyBorder="1"/>
    <xf numFmtId="0" fontId="22" fillId="0" borderId="12" xfId="49" applyFont="1" applyFill="1" applyBorder="1"/>
    <xf numFmtId="0" fontId="22" fillId="0" borderId="77" xfId="49" applyFont="1" applyFill="1" applyBorder="1"/>
    <xf numFmtId="4" fontId="12" fillId="0" borderId="90" xfId="49" applyNumberFormat="1" applyFont="1" applyFill="1" applyBorder="1" applyProtection="1">
      <protection locked="0"/>
    </xf>
    <xf numFmtId="0" fontId="22" fillId="0" borderId="90" xfId="49" applyFont="1" applyFill="1" applyBorder="1"/>
    <xf numFmtId="0" fontId="22" fillId="0" borderId="87" xfId="49" applyFont="1" applyFill="1" applyBorder="1"/>
    <xf numFmtId="0" fontId="22" fillId="0" borderId="0" xfId="49" applyFont="1" applyFill="1" applyBorder="1"/>
    <xf numFmtId="0" fontId="23" fillId="0" borderId="87" xfId="49" applyFont="1" applyFill="1" applyBorder="1"/>
    <xf numFmtId="0" fontId="23" fillId="0" borderId="0" xfId="49" applyFont="1" applyFill="1" applyBorder="1"/>
    <xf numFmtId="49" fontId="22" fillId="0" borderId="12" xfId="49" applyNumberFormat="1" applyFont="1" applyFill="1" applyBorder="1"/>
    <xf numFmtId="3" fontId="22" fillId="0" borderId="90" xfId="49" applyNumberFormat="1" applyFont="1" applyFill="1" applyBorder="1" applyAlignment="1" applyProtection="1">
      <alignment horizontal="center"/>
      <protection locked="0"/>
    </xf>
    <xf numFmtId="49" fontId="3" fillId="0" borderId="11" xfId="49" applyNumberFormat="1" applyFill="1" applyBorder="1"/>
    <xf numFmtId="49" fontId="3" fillId="0" borderId="0" xfId="49" applyNumberFormat="1" applyFill="1"/>
    <xf numFmtId="49" fontId="3" fillId="0" borderId="34" xfId="49" applyNumberFormat="1" applyFill="1" applyBorder="1"/>
    <xf numFmtId="0" fontId="3" fillId="0" borderId="34" xfId="49" applyFill="1" applyBorder="1"/>
    <xf numFmtId="49" fontId="17" fillId="0" borderId="91" xfId="49" applyNumberFormat="1" applyFont="1" applyFill="1" applyBorder="1"/>
    <xf numFmtId="0" fontId="22" fillId="0" borderId="12" xfId="49" applyNumberFormat="1" applyFont="1" applyFill="1" applyBorder="1" applyAlignment="1">
      <alignment horizontal="right"/>
    </xf>
    <xf numFmtId="0" fontId="17" fillId="0" borderId="12" xfId="49" applyNumberFormat="1" applyFont="1" applyFill="1" applyBorder="1" applyAlignment="1">
      <alignment horizontal="right"/>
    </xf>
    <xf numFmtId="0" fontId="22" fillId="0" borderId="69" xfId="49" applyFont="1" applyFill="1" applyBorder="1"/>
    <xf numFmtId="0" fontId="17" fillId="0" borderId="12" xfId="49" applyFont="1" applyFill="1" applyBorder="1"/>
    <xf numFmtId="49" fontId="22" fillId="0" borderId="88" xfId="49" applyNumberFormat="1" applyFont="1" applyFill="1" applyBorder="1"/>
    <xf numFmtId="49" fontId="22" fillId="0" borderId="11" xfId="49" applyNumberFormat="1" applyFont="1" applyFill="1" applyBorder="1"/>
    <xf numFmtId="0" fontId="22" fillId="0" borderId="11" xfId="49" applyFont="1" applyFill="1" applyBorder="1"/>
    <xf numFmtId="0" fontId="22" fillId="0" borderId="89" xfId="49" applyFont="1" applyFill="1" applyBorder="1"/>
    <xf numFmtId="49" fontId="14" fillId="0" borderId="77" xfId="49" applyNumberFormat="1" applyFont="1" applyFill="1" applyBorder="1" applyAlignment="1">
      <alignment horizontal="center"/>
    </xf>
    <xf numFmtId="0" fontId="22" fillId="0" borderId="87" xfId="49" applyFont="1" applyFill="1" applyBorder="1" applyAlignment="1">
      <alignment horizontal="center"/>
    </xf>
    <xf numFmtId="0" fontId="22" fillId="0" borderId="0" xfId="49" applyFont="1" applyFill="1" applyBorder="1" applyAlignment="1">
      <alignment horizontal="center"/>
    </xf>
    <xf numFmtId="0" fontId="12" fillId="0" borderId="90" xfId="49" applyFont="1" applyFill="1" applyBorder="1"/>
    <xf numFmtId="0" fontId="22" fillId="0" borderId="91" xfId="49" applyFont="1" applyFill="1" applyBorder="1"/>
    <xf numFmtId="4" fontId="12" fillId="0" borderId="35" xfId="49" applyNumberFormat="1" applyFont="1" applyFill="1" applyBorder="1" applyProtection="1">
      <protection locked="0"/>
    </xf>
    <xf numFmtId="4" fontId="12" fillId="0" borderId="93" xfId="49" applyNumberFormat="1" applyFont="1" applyFill="1" applyBorder="1" applyProtection="1">
      <protection locked="0"/>
    </xf>
    <xf numFmtId="49" fontId="22" fillId="0" borderId="96" xfId="49" applyNumberFormat="1" applyFont="1" applyFill="1" applyBorder="1"/>
    <xf numFmtId="49" fontId="22" fillId="0" borderId="97" xfId="49" applyNumberFormat="1" applyFont="1" applyFill="1" applyBorder="1"/>
    <xf numFmtId="0" fontId="22" fillId="0" borderId="97" xfId="49" applyFont="1" applyFill="1" applyBorder="1"/>
    <xf numFmtId="0" fontId="22" fillId="0" borderId="98" xfId="49" applyFont="1" applyFill="1" applyBorder="1"/>
    <xf numFmtId="4" fontId="12" fillId="0" borderId="98" xfId="49" applyNumberFormat="1" applyFont="1" applyFill="1" applyBorder="1"/>
    <xf numFmtId="0" fontId="12" fillId="0" borderId="97" xfId="49" applyFont="1" applyFill="1" applyBorder="1"/>
    <xf numFmtId="4" fontId="12" fillId="0" borderId="99" xfId="49" applyNumberFormat="1" applyFont="1" applyFill="1" applyBorder="1"/>
    <xf numFmtId="49" fontId="22" fillId="0" borderId="12" xfId="49" applyNumberFormat="1" applyFont="1" applyFill="1" applyBorder="1" applyAlignment="1">
      <alignment horizontal="right"/>
    </xf>
    <xf numFmtId="4" fontId="12" fillId="0" borderId="77" xfId="49" applyNumberFormat="1" applyFont="1" applyFill="1" applyBorder="1" applyProtection="1">
      <protection locked="0"/>
    </xf>
    <xf numFmtId="3" fontId="13" fillId="0" borderId="77" xfId="49" applyNumberFormat="1" applyFont="1" applyFill="1" applyBorder="1" applyAlignment="1" applyProtection="1">
      <alignment horizontal="center"/>
      <protection locked="0"/>
    </xf>
    <xf numFmtId="3" fontId="13" fillId="0" borderId="90" xfId="49" applyNumberFormat="1" applyFont="1" applyFill="1" applyBorder="1" applyAlignment="1" applyProtection="1">
      <alignment horizontal="center"/>
      <protection locked="0"/>
    </xf>
    <xf numFmtId="0" fontId="22" fillId="0" borderId="0" xfId="49" applyFont="1" applyFill="1"/>
    <xf numFmtId="0" fontId="3" fillId="0" borderId="0" xfId="49" applyFill="1" applyBorder="1" applyAlignment="1">
      <alignment horizontal="center"/>
    </xf>
    <xf numFmtId="0" fontId="22" fillId="0" borderId="35" xfId="49" applyFont="1" applyFill="1" applyBorder="1"/>
    <xf numFmtId="0" fontId="3" fillId="0" borderId="94" xfId="49" applyFill="1" applyBorder="1"/>
    <xf numFmtId="0" fontId="3" fillId="0" borderId="91" xfId="49" applyFill="1" applyBorder="1"/>
    <xf numFmtId="0" fontId="3" fillId="0" borderId="90" xfId="49" applyFill="1" applyBorder="1" applyAlignment="1">
      <alignment horizontal="center"/>
    </xf>
    <xf numFmtId="0" fontId="3" fillId="0" borderId="94" xfId="49" applyFill="1" applyBorder="1" applyAlignment="1">
      <alignment horizontal="center"/>
    </xf>
    <xf numFmtId="0" fontId="13" fillId="0" borderId="91" xfId="49" applyFont="1" applyFill="1" applyBorder="1"/>
    <xf numFmtId="0" fontId="12" fillId="0" borderId="11" xfId="49" applyFont="1" applyFill="1" applyBorder="1"/>
    <xf numFmtId="4" fontId="12" fillId="0" borderId="92" xfId="49" applyNumberFormat="1" applyFont="1" applyFill="1" applyBorder="1" applyProtection="1">
      <protection locked="0"/>
    </xf>
    <xf numFmtId="4" fontId="12" fillId="0" borderId="11" xfId="49" applyNumberFormat="1" applyFont="1" applyFill="1" applyBorder="1"/>
    <xf numFmtId="4" fontId="3" fillId="0" borderId="0" xfId="49" applyNumberFormat="1" applyFill="1"/>
    <xf numFmtId="4" fontId="12" fillId="0" borderId="169" xfId="49" applyNumberFormat="1" applyFont="1" applyFill="1" applyBorder="1"/>
    <xf numFmtId="0" fontId="12" fillId="0" borderId="89" xfId="49" applyFont="1" applyFill="1" applyBorder="1"/>
    <xf numFmtId="0" fontId="12" fillId="0" borderId="0" xfId="49" applyFont="1" applyFill="1"/>
    <xf numFmtId="0" fontId="3" fillId="0" borderId="0" xfId="49" applyFont="1" applyFill="1" applyBorder="1"/>
    <xf numFmtId="0" fontId="24" fillId="0" borderId="0" xfId="49" applyFont="1" applyFill="1"/>
    <xf numFmtId="0" fontId="3" fillId="0" borderId="0" xfId="49" applyFont="1" applyFill="1" applyBorder="1" applyAlignment="1">
      <alignment horizontal="center"/>
    </xf>
    <xf numFmtId="0" fontId="3" fillId="0" borderId="0" xfId="49" applyFont="1" applyFill="1"/>
    <xf numFmtId="43" fontId="0" fillId="24" borderId="0" xfId="28" applyFont="1" applyFill="1" applyBorder="1"/>
    <xf numFmtId="43" fontId="73" fillId="0" borderId="0" xfId="28" applyFont="1" applyFill="1" applyBorder="1" applyProtection="1">
      <protection locked="0"/>
    </xf>
    <xf numFmtId="167" fontId="0" fillId="0" borderId="0" xfId="0" applyNumberFormat="1" applyFill="1" applyBorder="1" applyProtection="1">
      <protection locked="0"/>
    </xf>
    <xf numFmtId="0" fontId="0" fillId="0" borderId="0" xfId="0" applyNumberFormat="1" applyFill="1" applyBorder="1"/>
    <xf numFmtId="0" fontId="3" fillId="0" borderId="0" xfId="0" applyFont="1" applyBorder="1"/>
    <xf numFmtId="43" fontId="0" fillId="24" borderId="0" xfId="0" applyNumberFormat="1" applyFill="1" applyBorder="1" applyProtection="1">
      <protection locked="0"/>
    </xf>
    <xf numFmtId="43" fontId="73" fillId="24" borderId="0" xfId="28" applyFont="1" applyFill="1" applyBorder="1"/>
    <xf numFmtId="0" fontId="3" fillId="0" borderId="0" xfId="49" applyFont="1" applyBorder="1"/>
    <xf numFmtId="43" fontId="14" fillId="0" borderId="41" xfId="28" applyFont="1" applyBorder="1" applyAlignment="1">
      <alignment horizontal="center"/>
    </xf>
    <xf numFmtId="43" fontId="14" fillId="0" borderId="31" xfId="28" applyFont="1" applyBorder="1" applyAlignment="1">
      <alignment horizontal="center"/>
    </xf>
    <xf numFmtId="43" fontId="14" fillId="0" borderId="27" xfId="28" applyFont="1" applyBorder="1" applyAlignment="1">
      <alignment horizontal="center"/>
    </xf>
    <xf numFmtId="0" fontId="83" fillId="0" borderId="0" xfId="58" quotePrefix="1" applyFont="1" applyAlignment="1">
      <alignment horizontal="left" vertical="center"/>
    </xf>
    <xf numFmtId="0" fontId="82" fillId="0" borderId="0" xfId="58" applyFont="1" applyAlignment="1">
      <alignment horizontal="left"/>
    </xf>
    <xf numFmtId="0" fontId="8" fillId="0" borderId="0" xfId="58" applyFont="1"/>
    <xf numFmtId="0" fontId="2" fillId="0" borderId="0" xfId="58"/>
    <xf numFmtId="0" fontId="85" fillId="0" borderId="0" xfId="58" applyFont="1" applyAlignment="1">
      <alignment horizontal="left" vertical="center" wrapText="1"/>
    </xf>
    <xf numFmtId="0" fontId="85" fillId="0" borderId="0" xfId="58" quotePrefix="1" applyFont="1" applyAlignment="1">
      <alignment horizontal="left" vertical="center" wrapText="1"/>
    </xf>
    <xf numFmtId="0" fontId="2" fillId="0" borderId="0" xfId="58" applyAlignment="1">
      <alignment wrapText="1"/>
    </xf>
    <xf numFmtId="0" fontId="85" fillId="0" borderId="0" xfId="58" applyFont="1" applyAlignment="1">
      <alignment vertical="center" wrapText="1"/>
    </xf>
    <xf numFmtId="0" fontId="86" fillId="0" borderId="0" xfId="58" applyFont="1"/>
    <xf numFmtId="0" fontId="18" fillId="0" borderId="0" xfId="0" applyFont="1" applyAlignment="1">
      <alignment wrapText="1"/>
    </xf>
    <xf numFmtId="0" fontId="13" fillId="0" borderId="0" xfId="0" applyFont="1" applyAlignment="1">
      <alignment wrapText="1"/>
    </xf>
    <xf numFmtId="164" fontId="24" fillId="24" borderId="0" xfId="0" applyNumberFormat="1" applyFont="1" applyFill="1" applyBorder="1" applyProtection="1">
      <protection locked="0"/>
    </xf>
    <xf numFmtId="164" fontId="0" fillId="24" borderId="0" xfId="0" applyNumberFormat="1" applyFill="1" applyProtection="1">
      <protection locked="0"/>
    </xf>
    <xf numFmtId="49" fontId="14" fillId="0" borderId="78" xfId="0" applyNumberFormat="1" applyFont="1" applyBorder="1" applyAlignment="1">
      <alignment horizontal="center" vertical="top"/>
    </xf>
    <xf numFmtId="43" fontId="14" fillId="0" borderId="27" xfId="28" applyFont="1" applyBorder="1" applyAlignment="1">
      <alignment horizontal="center" vertical="top"/>
    </xf>
    <xf numFmtId="43" fontId="14" fillId="0" borderId="31" xfId="28" applyFont="1" applyBorder="1" applyAlignment="1">
      <alignment horizontal="center" vertical="top"/>
    </xf>
    <xf numFmtId="0" fontId="13" fillId="0" borderId="59" xfId="0" applyFont="1" applyBorder="1" applyAlignment="1">
      <alignment horizontal="center"/>
    </xf>
    <xf numFmtId="0" fontId="13" fillId="0" borderId="53" xfId="0" applyFont="1" applyBorder="1" applyAlignment="1">
      <alignment horizontal="center"/>
    </xf>
    <xf numFmtId="0" fontId="13" fillId="0" borderId="53" xfId="0" applyFont="1" applyBorder="1" applyAlignment="1">
      <alignment horizontal="center" wrapText="1"/>
    </xf>
    <xf numFmtId="0" fontId="14" fillId="0" borderId="53" xfId="0" applyFont="1" applyBorder="1" applyAlignment="1">
      <alignment horizontal="center" wrapText="1"/>
    </xf>
    <xf numFmtId="0" fontId="14" fillId="0" borderId="54" xfId="0" applyFont="1" applyBorder="1" applyAlignment="1">
      <alignment horizontal="center" wrapText="1"/>
    </xf>
    <xf numFmtId="0" fontId="8" fillId="0" borderId="33" xfId="0" applyFont="1" applyBorder="1"/>
    <xf numFmtId="0" fontId="14" fillId="0" borderId="189" xfId="0" applyFont="1" applyBorder="1" applyAlignment="1">
      <alignment horizontal="center"/>
    </xf>
    <xf numFmtId="43" fontId="8" fillId="0" borderId="47" xfId="28" applyNumberFormat="1" applyFont="1" applyBorder="1" applyAlignment="1">
      <alignment horizontal="right"/>
    </xf>
    <xf numFmtId="43" fontId="8" fillId="0" borderId="48" xfId="28" applyNumberFormat="1" applyFont="1" applyBorder="1" applyAlignment="1">
      <alignment horizontal="right"/>
    </xf>
    <xf numFmtId="0" fontId="12" fillId="0" borderId="111" xfId="0" applyFont="1" applyFill="1" applyBorder="1" applyAlignment="1">
      <alignment horizontal="left"/>
    </xf>
    <xf numFmtId="0" fontId="66" fillId="0" borderId="0" xfId="0" applyFont="1" applyFill="1"/>
    <xf numFmtId="0" fontId="66" fillId="0" borderId="0" xfId="0" applyFont="1"/>
    <xf numFmtId="0" fontId="89" fillId="0" borderId="0" xfId="61" applyFont="1" applyFill="1"/>
    <xf numFmtId="0" fontId="90" fillId="0" borderId="0" xfId="0" applyFont="1"/>
    <xf numFmtId="14" fontId="0" fillId="0" borderId="0" xfId="0" applyNumberFormat="1"/>
    <xf numFmtId="43" fontId="8" fillId="24" borderId="149" xfId="28" applyFont="1" applyFill="1" applyBorder="1" applyAlignment="1" applyProtection="1">
      <protection locked="0"/>
    </xf>
    <xf numFmtId="43" fontId="8" fillId="25" borderId="127" xfId="28" applyFont="1" applyFill="1" applyBorder="1" applyAlignment="1" applyProtection="1"/>
    <xf numFmtId="43" fontId="8" fillId="25" borderId="16" xfId="28" applyFont="1" applyFill="1" applyBorder="1" applyAlignment="1" applyProtection="1"/>
    <xf numFmtId="43" fontId="3" fillId="24" borderId="0" xfId="28" applyFont="1" applyFill="1" applyProtection="1">
      <protection locked="0"/>
    </xf>
    <xf numFmtId="0" fontId="8" fillId="25" borderId="22" xfId="0" applyFont="1" applyFill="1" applyBorder="1" applyProtection="1">
      <protection locked="0"/>
    </xf>
    <xf numFmtId="0" fontId="8" fillId="25" borderId="23" xfId="0" applyFont="1" applyFill="1" applyBorder="1" applyProtection="1">
      <protection locked="0"/>
    </xf>
    <xf numFmtId="0" fontId="8" fillId="25" borderId="54" xfId="0" applyFont="1" applyFill="1" applyBorder="1" applyProtection="1">
      <protection locked="0"/>
    </xf>
    <xf numFmtId="43" fontId="8" fillId="25" borderId="26" xfId="28" applyFont="1" applyFill="1" applyBorder="1" applyProtection="1">
      <protection locked="0"/>
    </xf>
    <xf numFmtId="43" fontId="8" fillId="25" borderId="54" xfId="28" applyFont="1" applyFill="1" applyBorder="1" applyAlignment="1">
      <alignment horizontal="right"/>
    </xf>
    <xf numFmtId="0" fontId="0" fillId="25" borderId="0" xfId="0" applyFill="1"/>
    <xf numFmtId="0" fontId="0" fillId="25" borderId="0" xfId="0" applyFill="1" applyProtection="1">
      <protection locked="0"/>
    </xf>
    <xf numFmtId="0" fontId="8" fillId="25" borderId="22" xfId="0" applyFont="1" applyFill="1" applyBorder="1" applyProtection="1"/>
    <xf numFmtId="0" fontId="8" fillId="25" borderId="23" xfId="0" applyFont="1" applyFill="1" applyBorder="1" applyProtection="1"/>
    <xf numFmtId="0" fontId="8" fillId="25" borderId="54" xfId="0" applyFont="1" applyFill="1" applyBorder="1" applyProtection="1"/>
    <xf numFmtId="0" fontId="8" fillId="25" borderId="23" xfId="0" applyFont="1" applyFill="1" applyBorder="1" applyAlignment="1" applyProtection="1">
      <alignment horizontal="center"/>
    </xf>
    <xf numFmtId="43" fontId="8" fillId="25" borderId="22" xfId="28" applyFont="1" applyFill="1" applyBorder="1" applyProtection="1"/>
    <xf numFmtId="43" fontId="8" fillId="25" borderId="26" xfId="28" applyFont="1" applyFill="1" applyBorder="1" applyProtection="1"/>
    <xf numFmtId="43" fontId="8" fillId="25" borderId="54" xfId="28" applyFont="1" applyFill="1" applyBorder="1" applyAlignment="1" applyProtection="1">
      <alignment horizontal="right"/>
    </xf>
    <xf numFmtId="0" fontId="0" fillId="25" borderId="0" xfId="0" applyFill="1" applyProtection="1"/>
    <xf numFmtId="0" fontId="8" fillId="25" borderId="12" xfId="0" applyFont="1" applyFill="1" applyBorder="1" applyProtection="1">
      <protection locked="0"/>
    </xf>
    <xf numFmtId="0" fontId="8" fillId="25" borderId="21" xfId="0" applyFont="1" applyFill="1" applyBorder="1" applyProtection="1">
      <protection locked="0"/>
    </xf>
    <xf numFmtId="0" fontId="8" fillId="25" borderId="53" xfId="0" applyFont="1" applyFill="1" applyBorder="1" applyProtection="1">
      <protection locked="0"/>
    </xf>
    <xf numFmtId="0" fontId="8" fillId="25" borderId="21" xfId="0" applyFont="1" applyFill="1" applyBorder="1" applyAlignment="1" applyProtection="1">
      <alignment horizontal="center"/>
      <protection locked="0"/>
    </xf>
    <xf numFmtId="43" fontId="8" fillId="25" borderId="12" xfId="28" applyFont="1" applyFill="1" applyBorder="1" applyProtection="1">
      <protection locked="0"/>
    </xf>
    <xf numFmtId="43" fontId="8" fillId="25" borderId="25" xfId="28" applyFont="1" applyFill="1" applyBorder="1" applyProtection="1">
      <protection locked="0"/>
    </xf>
    <xf numFmtId="43" fontId="8" fillId="25" borderId="53" xfId="28" applyFont="1" applyFill="1" applyBorder="1" applyAlignment="1">
      <alignment horizontal="right"/>
    </xf>
    <xf numFmtId="0" fontId="8" fillId="25" borderId="21" xfId="0" applyFont="1" applyFill="1" applyBorder="1" applyAlignment="1" applyProtection="1">
      <protection locked="0"/>
    </xf>
    <xf numFmtId="43" fontId="8" fillId="25" borderId="34" xfId="28" applyFont="1" applyFill="1" applyBorder="1" applyProtection="1">
      <protection locked="0"/>
    </xf>
    <xf numFmtId="43" fontId="8" fillId="25" borderId="37" xfId="28" applyFont="1" applyFill="1" applyBorder="1" applyProtection="1">
      <protection locked="0"/>
    </xf>
    <xf numFmtId="0" fontId="8" fillId="25" borderId="34" xfId="0" applyFont="1" applyFill="1" applyBorder="1" applyProtection="1">
      <protection locked="0"/>
    </xf>
    <xf numFmtId="0" fontId="7" fillId="25" borderId="22" xfId="0" applyFont="1" applyFill="1" applyBorder="1" applyProtection="1">
      <protection locked="0"/>
    </xf>
    <xf numFmtId="0" fontId="7" fillId="25" borderId="23" xfId="0" applyFont="1" applyFill="1" applyBorder="1" applyAlignment="1" applyProtection="1">
      <alignment horizontal="center"/>
      <protection locked="0"/>
    </xf>
    <xf numFmtId="43" fontId="8" fillId="25" borderId="104" xfId="28" applyFont="1" applyFill="1" applyBorder="1" applyProtection="1">
      <protection locked="0"/>
    </xf>
    <xf numFmtId="0" fontId="8" fillId="25" borderId="34" xfId="0" applyFont="1" applyFill="1" applyBorder="1" applyProtection="1"/>
    <xf numFmtId="0" fontId="8" fillId="25" borderId="12" xfId="0" applyFont="1" applyFill="1" applyBorder="1" applyProtection="1"/>
    <xf numFmtId="0" fontId="8" fillId="25" borderId="21" xfId="0" applyFont="1" applyFill="1" applyBorder="1" applyProtection="1"/>
    <xf numFmtId="0" fontId="8" fillId="25" borderId="53" xfId="0" applyFont="1" applyFill="1" applyBorder="1" applyProtection="1"/>
    <xf numFmtId="0" fontId="8" fillId="25" borderId="21" xfId="0" applyFont="1" applyFill="1" applyBorder="1" applyAlignment="1" applyProtection="1">
      <alignment horizontal="center"/>
    </xf>
    <xf numFmtId="43" fontId="8" fillId="25" borderId="34" xfId="28" applyFont="1" applyFill="1" applyBorder="1" applyProtection="1"/>
    <xf numFmtId="43" fontId="8" fillId="25" borderId="37" xfId="28" applyFont="1" applyFill="1" applyBorder="1" applyProtection="1"/>
    <xf numFmtId="43" fontId="8" fillId="25" borderId="53" xfId="28" applyFont="1" applyFill="1" applyBorder="1" applyAlignment="1" applyProtection="1">
      <alignment horizontal="right"/>
    </xf>
    <xf numFmtId="0" fontId="0" fillId="25" borderId="10" xfId="0" applyFill="1" applyBorder="1" applyProtection="1"/>
    <xf numFmtId="0" fontId="7" fillId="25" borderId="22" xfId="0" applyFont="1" applyFill="1" applyBorder="1" applyProtection="1"/>
    <xf numFmtId="0" fontId="7" fillId="25" borderId="23" xfId="0" applyFont="1" applyFill="1" applyBorder="1" applyAlignment="1" applyProtection="1">
      <alignment horizontal="center"/>
    </xf>
    <xf numFmtId="43" fontId="8" fillId="25" borderId="104" xfId="28" applyFont="1" applyFill="1" applyBorder="1" applyProtection="1"/>
    <xf numFmtId="0" fontId="8" fillId="25" borderId="57" xfId="0" applyFont="1" applyFill="1" applyBorder="1" applyProtection="1">
      <protection locked="0"/>
    </xf>
    <xf numFmtId="4" fontId="0" fillId="24" borderId="0" xfId="0" applyNumberFormat="1" applyFill="1" applyProtection="1">
      <protection locked="0"/>
    </xf>
    <xf numFmtId="43" fontId="8" fillId="24" borderId="0" xfId="28" applyFont="1" applyFill="1" applyProtection="1">
      <protection locked="0"/>
    </xf>
    <xf numFmtId="4" fontId="7" fillId="24" borderId="0" xfId="28" applyNumberFormat="1" applyFont="1" applyFill="1" applyProtection="1">
      <protection locked="0"/>
    </xf>
    <xf numFmtId="4" fontId="73" fillId="24" borderId="0" xfId="28" applyNumberFormat="1" applyFont="1" applyFill="1" applyProtection="1">
      <protection locked="0"/>
    </xf>
    <xf numFmtId="4" fontId="12" fillId="24" borderId="0" xfId="28" applyNumberFormat="1" applyFont="1" applyFill="1" applyProtection="1">
      <protection locked="0"/>
    </xf>
    <xf numFmtId="4" fontId="0" fillId="0" borderId="0" xfId="0" applyNumberFormat="1"/>
    <xf numFmtId="0" fontId="24" fillId="24" borderId="11" xfId="0" applyFont="1" applyFill="1" applyBorder="1" applyProtection="1">
      <protection locked="0"/>
    </xf>
    <xf numFmtId="0" fontId="8" fillId="0" borderId="21" xfId="0" applyFont="1" applyFill="1" applyBorder="1" applyProtection="1"/>
    <xf numFmtId="0" fontId="8" fillId="0" borderId="53" xfId="0" applyFont="1" applyFill="1" applyBorder="1" applyProtection="1"/>
    <xf numFmtId="0" fontId="7" fillId="24" borderId="0" xfId="0" applyFont="1" applyFill="1" applyBorder="1" applyProtection="1">
      <protection locked="0"/>
    </xf>
    <xf numFmtId="9" fontId="14" fillId="24" borderId="111" xfId="52" applyFont="1" applyFill="1" applyBorder="1" applyProtection="1">
      <protection locked="0"/>
    </xf>
    <xf numFmtId="0" fontId="84" fillId="0" borderId="0" xfId="58" applyFont="1" applyAlignment="1">
      <alignment horizontal="left"/>
    </xf>
    <xf numFmtId="14" fontId="84" fillId="0" borderId="0" xfId="58" applyNumberFormat="1" applyFont="1" applyAlignment="1">
      <alignment horizontal="left"/>
    </xf>
    <xf numFmtId="18" fontId="84" fillId="0" borderId="0" xfId="58" applyNumberFormat="1" applyFont="1" applyAlignment="1">
      <alignment horizontal="left"/>
    </xf>
    <xf numFmtId="0" fontId="91" fillId="0" borderId="0" xfId="58" applyFont="1"/>
    <xf numFmtId="0" fontId="93" fillId="0" borderId="0" xfId="58" applyFont="1" applyAlignment="1">
      <alignment horizontal="left" wrapText="1"/>
    </xf>
    <xf numFmtId="0" fontId="93" fillId="0" borderId="0" xfId="58" applyFont="1" applyAlignment="1">
      <alignment vertical="center" wrapText="1"/>
    </xf>
    <xf numFmtId="165" fontId="94" fillId="0" borderId="0" xfId="59" applyNumberFormat="1" applyFont="1" applyAlignment="1">
      <alignment horizontal="right" vertical="center" wrapText="1"/>
    </xf>
    <xf numFmtId="0" fontId="95" fillId="0" borderId="0" xfId="58" applyFont="1" applyAlignment="1">
      <alignment horizontal="right"/>
    </xf>
    <xf numFmtId="0" fontId="95" fillId="0" borderId="0" xfId="58" applyFont="1"/>
    <xf numFmtId="0" fontId="93" fillId="0" borderId="0" xfId="58" applyFont="1"/>
    <xf numFmtId="0" fontId="92" fillId="0" borderId="0" xfId="58" applyFont="1" applyAlignment="1">
      <alignment horizontal="left" vertical="center" wrapText="1"/>
    </xf>
    <xf numFmtId="0" fontId="92" fillId="0" borderId="0" xfId="58" applyFont="1" applyAlignment="1">
      <alignment vertical="center" wrapText="1"/>
    </xf>
    <xf numFmtId="0" fontId="92" fillId="0" borderId="0" xfId="58" applyFont="1" applyAlignment="1">
      <alignment horizontal="left" vertical="center"/>
    </xf>
    <xf numFmtId="43" fontId="22" fillId="24" borderId="0" xfId="28" applyNumberFormat="1" applyFont="1" applyFill="1" applyBorder="1" applyProtection="1">
      <protection locked="0"/>
    </xf>
    <xf numFmtId="43" fontId="22" fillId="24" borderId="135" xfId="28" applyNumberFormat="1" applyFont="1" applyFill="1" applyBorder="1" applyProtection="1">
      <protection locked="0"/>
    </xf>
    <xf numFmtId="0" fontId="0" fillId="0" borderId="0" xfId="0" applyNumberFormat="1"/>
    <xf numFmtId="0" fontId="7" fillId="0" borderId="0" xfId="0" applyFont="1" applyAlignment="1">
      <alignment horizontal="center"/>
    </xf>
    <xf numFmtId="38" fontId="45" fillId="0" borderId="0" xfId="0" applyNumberFormat="1" applyFont="1" applyAlignment="1">
      <alignment horizontal="left"/>
    </xf>
    <xf numFmtId="38" fontId="45" fillId="0" borderId="0" xfId="0" applyNumberFormat="1" applyFont="1" applyAlignment="1">
      <alignment horizontal="right"/>
    </xf>
    <xf numFmtId="38" fontId="0" fillId="0" borderId="0" xfId="0" applyNumberFormat="1" applyAlignment="1">
      <alignment horizontal="right"/>
    </xf>
    <xf numFmtId="38" fontId="3" fillId="0" borderId="0" xfId="0" applyNumberFormat="1" applyFont="1" applyAlignment="1">
      <alignment horizontal="right"/>
    </xf>
    <xf numFmtId="38" fontId="17" fillId="0" borderId="12" xfId="0" applyNumberFormat="1" applyFont="1" applyBorder="1" applyAlignment="1">
      <alignment horizontal="right"/>
    </xf>
    <xf numFmtId="38" fontId="10" fillId="0" borderId="0" xfId="0" applyNumberFormat="1" applyFont="1" applyAlignment="1">
      <alignment horizontal="right"/>
    </xf>
    <xf numFmtId="38" fontId="0" fillId="0" borderId="111" xfId="0" applyNumberFormat="1" applyBorder="1"/>
    <xf numFmtId="38" fontId="0" fillId="0" borderId="117" xfId="0" applyNumberFormat="1" applyBorder="1"/>
    <xf numFmtId="38" fontId="45" fillId="0" borderId="111" xfId="0" applyNumberFormat="1" applyFont="1" applyBorder="1" applyAlignment="1">
      <alignment horizontal="right"/>
    </xf>
    <xf numFmtId="38" fontId="45" fillId="0" borderId="117" xfId="0" applyNumberFormat="1" applyFont="1" applyBorder="1" applyAlignment="1">
      <alignment horizontal="right"/>
    </xf>
    <xf numFmtId="43" fontId="0" fillId="0" borderId="190" xfId="0" applyNumberFormat="1" applyBorder="1"/>
    <xf numFmtId="43" fontId="0" fillId="0" borderId="111" xfId="0" applyNumberFormat="1" applyBorder="1"/>
    <xf numFmtId="38" fontId="45" fillId="0" borderId="114" xfId="0" applyNumberFormat="1" applyFont="1" applyBorder="1" applyAlignment="1">
      <alignment horizontal="right"/>
    </xf>
    <xf numFmtId="38" fontId="45" fillId="0" borderId="79" xfId="0" applyNumberFormat="1" applyFont="1" applyBorder="1" applyAlignment="1">
      <alignment horizontal="right"/>
    </xf>
    <xf numFmtId="38" fontId="45" fillId="0" borderId="118" xfId="0" applyNumberFormat="1" applyFont="1" applyBorder="1" applyAlignment="1">
      <alignment horizontal="right"/>
    </xf>
    <xf numFmtId="0" fontId="45" fillId="0" borderId="0" xfId="0" applyFont="1"/>
    <xf numFmtId="0" fontId="45" fillId="0" borderId="0" xfId="0" applyFont="1" applyAlignment="1">
      <alignment horizontal="left"/>
    </xf>
    <xf numFmtId="0" fontId="99" fillId="0" borderId="0" xfId="0" applyFont="1"/>
    <xf numFmtId="0" fontId="100" fillId="0" borderId="0" xfId="0" applyFont="1"/>
    <xf numFmtId="0" fontId="7" fillId="0" borderId="161" xfId="0" applyFont="1" applyBorder="1" applyAlignment="1">
      <alignment horizontal="center"/>
    </xf>
    <xf numFmtId="0" fontId="7" fillId="0" borderId="162" xfId="0" applyFont="1" applyBorder="1" applyAlignment="1">
      <alignment horizontal="center"/>
    </xf>
    <xf numFmtId="0" fontId="16" fillId="0" borderId="114" xfId="0" applyFont="1" applyBorder="1" applyAlignment="1">
      <alignment horizontal="center"/>
    </xf>
    <xf numFmtId="0" fontId="16" fillId="0" borderId="79" xfId="0" applyFont="1" applyBorder="1" applyAlignment="1">
      <alignment horizontal="center"/>
    </xf>
    <xf numFmtId="0" fontId="16" fillId="0" borderId="118" xfId="0" applyFont="1" applyBorder="1" applyAlignment="1">
      <alignment horizontal="center"/>
    </xf>
    <xf numFmtId="0" fontId="16" fillId="0" borderId="0" xfId="0" applyFont="1" applyAlignment="1">
      <alignment horizontal="center"/>
    </xf>
    <xf numFmtId="0" fontId="80" fillId="0" borderId="0" xfId="0" applyFont="1"/>
    <xf numFmtId="38" fontId="0" fillId="0" borderId="0" xfId="0" applyNumberFormat="1"/>
    <xf numFmtId="38" fontId="100" fillId="0" borderId="0" xfId="0" applyNumberFormat="1" applyFont="1"/>
    <xf numFmtId="0" fontId="45" fillId="0" borderId="0" xfId="0" applyFont="1" applyAlignment="1">
      <alignment horizontal="right"/>
    </xf>
    <xf numFmtId="0" fontId="0" fillId="0" borderId="0" xfId="0" applyAlignment="1">
      <alignment horizontal="right"/>
    </xf>
    <xf numFmtId="0" fontId="16" fillId="0" borderId="111" xfId="0" applyFont="1" applyBorder="1" applyAlignment="1">
      <alignment horizontal="center"/>
    </xf>
    <xf numFmtId="0" fontId="16" fillId="0" borderId="117" xfId="0" applyFont="1" applyBorder="1" applyAlignment="1">
      <alignment horizontal="center"/>
    </xf>
    <xf numFmtId="0" fontId="0" fillId="0" borderId="190" xfId="0" applyBorder="1"/>
    <xf numFmtId="0" fontId="0" fillId="0" borderId="191" xfId="0" applyBorder="1"/>
    <xf numFmtId="0" fontId="3" fillId="25" borderId="0" xfId="62" applyFill="1"/>
    <xf numFmtId="0" fontId="3" fillId="0" borderId="0" xfId="62"/>
    <xf numFmtId="0" fontId="104" fillId="25" borderId="0" xfId="62" applyFont="1" applyFill="1"/>
    <xf numFmtId="0" fontId="17" fillId="25" borderId="0" xfId="62" applyFont="1" applyFill="1"/>
    <xf numFmtId="0" fontId="3" fillId="0" borderId="111" xfId="62" applyBorder="1"/>
    <xf numFmtId="0" fontId="17" fillId="0" borderId="0" xfId="62" applyFont="1"/>
    <xf numFmtId="0" fontId="14" fillId="0" borderId="117" xfId="62" applyFont="1" applyBorder="1"/>
    <xf numFmtId="0" fontId="3" fillId="25" borderId="0" xfId="62" applyFill="1" applyProtection="1">
      <protection locked="0"/>
    </xf>
    <xf numFmtId="0" fontId="17" fillId="0" borderId="111" xfId="62" applyFont="1" applyBorder="1" applyAlignment="1">
      <alignment horizontal="right" vertical="center"/>
    </xf>
    <xf numFmtId="0" fontId="3" fillId="0" borderId="0" xfId="62" applyAlignment="1">
      <alignment vertical="center"/>
    </xf>
    <xf numFmtId="38" fontId="3" fillId="0" borderId="0" xfId="62" applyNumberFormat="1" applyAlignment="1">
      <alignment vertical="center"/>
    </xf>
    <xf numFmtId="164" fontId="3" fillId="0" borderId="117" xfId="52" applyNumberFormat="1" applyBorder="1" applyAlignment="1">
      <alignment vertical="center"/>
    </xf>
    <xf numFmtId="0" fontId="100" fillId="0" borderId="0" xfId="62" applyFont="1"/>
    <xf numFmtId="0" fontId="99" fillId="0" borderId="0" xfId="62" applyFont="1"/>
    <xf numFmtId="38" fontId="100" fillId="0" borderId="0" xfId="62" applyNumberFormat="1" applyFont="1"/>
    <xf numFmtId="0" fontId="17" fillId="0" borderId="114" xfId="62" applyFont="1" applyBorder="1" applyAlignment="1">
      <alignment horizontal="right" vertical="center"/>
    </xf>
    <xf numFmtId="38" fontId="3" fillId="0" borderId="79" xfId="62" applyNumberFormat="1" applyBorder="1" applyAlignment="1">
      <alignment vertical="center"/>
    </xf>
    <xf numFmtId="164" fontId="3" fillId="0" borderId="118" xfId="52" applyNumberFormat="1" applyBorder="1" applyAlignment="1">
      <alignment vertical="center"/>
    </xf>
    <xf numFmtId="0" fontId="33" fillId="0" borderId="0" xfId="62" applyFont="1"/>
    <xf numFmtId="0" fontId="7" fillId="0" borderId="0" xfId="62" applyFont="1"/>
    <xf numFmtId="0" fontId="17" fillId="24" borderId="91" xfId="62" applyFont="1" applyFill="1" applyBorder="1" applyAlignment="1">
      <alignment horizontal="left" vertical="center"/>
    </xf>
    <xf numFmtId="0" fontId="17" fillId="24" borderId="77" xfId="62" applyFont="1" applyFill="1" applyBorder="1" applyAlignment="1">
      <alignment vertical="center"/>
    </xf>
    <xf numFmtId="0" fontId="17" fillId="24" borderId="90" xfId="62" applyFont="1" applyFill="1" applyBorder="1" applyAlignment="1">
      <alignment horizontal="center" vertical="center"/>
    </xf>
    <xf numFmtId="0" fontId="105" fillId="24" borderId="90" xfId="62" applyFont="1" applyFill="1" applyBorder="1" applyAlignment="1">
      <alignment horizontal="center" vertical="center" wrapText="1"/>
    </xf>
    <xf numFmtId="0" fontId="17" fillId="42" borderId="0" xfId="62" applyFont="1" applyFill="1" applyAlignment="1">
      <alignment vertical="center"/>
    </xf>
    <xf numFmtId="0" fontId="17" fillId="42" borderId="0" xfId="62" applyFont="1" applyFill="1" applyAlignment="1">
      <alignment horizontal="center" vertical="center"/>
    </xf>
    <xf numFmtId="0" fontId="17" fillId="0" borderId="0" xfId="62" applyFont="1" applyAlignment="1">
      <alignment horizontal="center" vertical="center"/>
    </xf>
    <xf numFmtId="0" fontId="6" fillId="0" borderId="0" xfId="62" applyFont="1"/>
    <xf numFmtId="164" fontId="104" fillId="0" borderId="0" xfId="52" applyNumberFormat="1" applyFont="1"/>
    <xf numFmtId="0" fontId="106" fillId="0" borderId="0" xfId="62" applyFont="1"/>
    <xf numFmtId="38" fontId="3" fillId="0" borderId="0" xfId="62" applyNumberFormat="1"/>
    <xf numFmtId="38" fontId="106" fillId="0" borderId="0" xfId="62" applyNumberFormat="1" applyFont="1"/>
    <xf numFmtId="38" fontId="17" fillId="0" borderId="0" xfId="62" applyNumberFormat="1" applyFont="1"/>
    <xf numFmtId="164" fontId="45" fillId="0" borderId="0" xfId="52" applyNumberFormat="1" applyFont="1"/>
    <xf numFmtId="0" fontId="45" fillId="0" borderId="0" xfId="62" applyFont="1"/>
    <xf numFmtId="0" fontId="17" fillId="24" borderId="0" xfId="62" applyFont="1" applyFill="1" applyAlignment="1">
      <alignment horizontal="center" vertical="center"/>
    </xf>
    <xf numFmtId="0" fontId="105" fillId="24" borderId="0" xfId="62" applyFont="1" applyFill="1" applyAlignment="1">
      <alignment horizontal="center" vertical="center" wrapText="1"/>
    </xf>
    <xf numFmtId="38" fontId="45" fillId="0" borderId="0" xfId="62" applyNumberFormat="1" applyFont="1"/>
    <xf numFmtId="164" fontId="105" fillId="24" borderId="0" xfId="52" applyNumberFormat="1" applyFont="1" applyFill="1" applyAlignment="1">
      <alignment horizontal="center" vertical="center" wrapText="1"/>
    </xf>
    <xf numFmtId="0" fontId="6" fillId="0" borderId="136" xfId="62" applyFont="1" applyBorder="1"/>
    <xf numFmtId="0" fontId="3" fillId="0" borderId="136" xfId="62" applyBorder="1"/>
    <xf numFmtId="0" fontId="17" fillId="0" borderId="12" xfId="62" applyFont="1" applyBorder="1"/>
    <xf numFmtId="0" fontId="3" fillId="0" borderId="12" xfId="62" applyBorder="1"/>
    <xf numFmtId="164" fontId="45" fillId="0" borderId="12" xfId="52" applyNumberFormat="1" applyFont="1" applyBorder="1"/>
    <xf numFmtId="0" fontId="3" fillId="0" borderId="0" xfId="62" applyProtection="1">
      <protection locked="0"/>
    </xf>
    <xf numFmtId="164" fontId="17" fillId="43" borderId="90" xfId="62" applyNumberFormat="1" applyFont="1" applyFill="1" applyBorder="1"/>
    <xf numFmtId="164" fontId="107" fillId="43" borderId="90" xfId="62" applyNumberFormat="1" applyFont="1" applyFill="1" applyBorder="1" applyProtection="1">
      <protection locked="0"/>
    </xf>
    <xf numFmtId="6" fontId="107" fillId="43" borderId="90" xfId="62" applyNumberFormat="1" applyFont="1" applyFill="1" applyBorder="1" applyProtection="1">
      <protection locked="0"/>
    </xf>
    <xf numFmtId="0" fontId="107" fillId="0" borderId="0" xfId="62" applyFont="1" applyProtection="1">
      <protection locked="0"/>
    </xf>
    <xf numFmtId="6" fontId="107" fillId="0" borderId="0" xfId="62" applyNumberFormat="1" applyFont="1" applyProtection="1">
      <protection locked="0"/>
    </xf>
    <xf numFmtId="0" fontId="45" fillId="0" borderId="0" xfId="62" applyFont="1" applyAlignment="1">
      <alignment horizontal="left"/>
    </xf>
    <xf numFmtId="0" fontId="107" fillId="0" borderId="0" xfId="62" applyFont="1"/>
    <xf numFmtId="6" fontId="107" fillId="0" borderId="0" xfId="62" applyNumberFormat="1" applyFont="1"/>
    <xf numFmtId="38" fontId="17" fillId="0" borderId="12" xfId="62" applyNumberFormat="1" applyFont="1" applyBorder="1"/>
    <xf numFmtId="164" fontId="45" fillId="0" borderId="0" xfId="52" applyNumberFormat="1" applyFont="1" applyBorder="1"/>
    <xf numFmtId="172" fontId="107" fillId="0" borderId="0" xfId="62" applyNumberFormat="1" applyFont="1"/>
    <xf numFmtId="38" fontId="45" fillId="0" borderId="0" xfId="62" applyNumberFormat="1" applyFont="1" applyAlignment="1">
      <alignment horizontal="left"/>
    </xf>
    <xf numFmtId="164" fontId="104" fillId="0" borderId="12" xfId="52" applyNumberFormat="1" applyFont="1" applyBorder="1"/>
    <xf numFmtId="0" fontId="7" fillId="0" borderId="12" xfId="62" applyFont="1" applyBorder="1"/>
    <xf numFmtId="0" fontId="3" fillId="0" borderId="192" xfId="62" applyBorder="1"/>
    <xf numFmtId="0" fontId="107" fillId="0" borderId="192" xfId="62" applyFont="1" applyBorder="1" applyProtection="1">
      <protection locked="0"/>
    </xf>
    <xf numFmtId="0" fontId="3" fillId="0" borderId="192" xfId="62" applyBorder="1" applyProtection="1">
      <protection locked="0"/>
    </xf>
    <xf numFmtId="172" fontId="107" fillId="0" borderId="192" xfId="62" applyNumberFormat="1" applyFont="1" applyBorder="1" applyProtection="1">
      <protection locked="0"/>
    </xf>
    <xf numFmtId="164" fontId="17" fillId="43" borderId="169" xfId="62" applyNumberFormat="1" applyFont="1" applyFill="1" applyBorder="1"/>
    <xf numFmtId="164" fontId="107" fillId="43" borderId="169" xfId="62" applyNumberFormat="1" applyFont="1" applyFill="1" applyBorder="1" applyProtection="1">
      <protection locked="0"/>
    </xf>
    <xf numFmtId="6" fontId="107" fillId="43" borderId="169" xfId="62" applyNumberFormat="1" applyFont="1" applyFill="1" applyBorder="1" applyProtection="1">
      <protection locked="0"/>
    </xf>
    <xf numFmtId="0" fontId="107" fillId="0" borderId="12" xfId="62" applyFont="1" applyBorder="1" applyProtection="1">
      <protection locked="0"/>
    </xf>
    <xf numFmtId="0" fontId="3" fillId="0" borderId="12" xfId="62" applyBorder="1" applyProtection="1">
      <protection locked="0"/>
    </xf>
    <xf numFmtId="6" fontId="107" fillId="0" borderId="12" xfId="62" applyNumberFormat="1" applyFont="1" applyBorder="1" applyProtection="1">
      <protection locked="0"/>
    </xf>
    <xf numFmtId="172" fontId="3" fillId="0" borderId="0" xfId="62" applyNumberFormat="1" applyProtection="1">
      <protection locked="0"/>
    </xf>
    <xf numFmtId="0" fontId="104" fillId="0" borderId="0" xfId="62" applyFont="1"/>
    <xf numFmtId="172" fontId="3" fillId="0" borderId="0" xfId="62" applyNumberFormat="1"/>
    <xf numFmtId="0" fontId="101" fillId="0" borderId="0" xfId="0" applyFont="1" applyAlignment="1">
      <alignment horizontal="left"/>
    </xf>
    <xf numFmtId="38" fontId="80" fillId="0" borderId="0" xfId="0" applyNumberFormat="1" applyFont="1" applyAlignment="1">
      <alignment horizontal="center"/>
    </xf>
    <xf numFmtId="0" fontId="80" fillId="0" borderId="0" xfId="0" applyFont="1" applyAlignment="1">
      <alignment horizontal="center"/>
    </xf>
    <xf numFmtId="0" fontId="108" fillId="0" borderId="0" xfId="0" applyFont="1"/>
    <xf numFmtId="0" fontId="104" fillId="0" borderId="0" xfId="0" applyFont="1"/>
    <xf numFmtId="0" fontId="104" fillId="0" borderId="0" xfId="0" applyNumberFormat="1" applyFont="1"/>
    <xf numFmtId="38" fontId="104" fillId="0" borderId="0" xfId="0" applyNumberFormat="1" applyFont="1"/>
    <xf numFmtId="0" fontId="3" fillId="0" borderId="0" xfId="62" applyAlignment="1">
      <alignment horizontal="left" indent="2"/>
    </xf>
    <xf numFmtId="0" fontId="45" fillId="0" borderId="0" xfId="62" applyFont="1" applyAlignment="1">
      <alignment horizontal="left" indent="2"/>
    </xf>
    <xf numFmtId="0" fontId="83" fillId="0" borderId="0" xfId="63" quotePrefix="1" applyFont="1" applyAlignment="1">
      <alignment horizontal="left" vertical="center"/>
    </xf>
    <xf numFmtId="0" fontId="6" fillId="0" borderId="11" xfId="62" applyFont="1" applyBorder="1"/>
    <xf numFmtId="0" fontId="3" fillId="0" borderId="11" xfId="62" applyBorder="1"/>
    <xf numFmtId="43" fontId="14" fillId="0" borderId="38" xfId="28" applyFont="1" applyBorder="1" applyAlignment="1">
      <alignment horizontal="center"/>
    </xf>
    <xf numFmtId="49" fontId="3" fillId="0" borderId="0" xfId="0" applyNumberFormat="1" applyFont="1" applyBorder="1" applyAlignment="1">
      <alignment horizontal="center"/>
    </xf>
    <xf numFmtId="0" fontId="14" fillId="24" borderId="102" xfId="0" applyFont="1" applyFill="1" applyBorder="1" applyProtection="1">
      <protection locked="0"/>
    </xf>
    <xf numFmtId="9" fontId="14" fillId="24" borderId="79" xfId="52" applyFont="1" applyFill="1" applyBorder="1" applyProtection="1">
      <protection locked="0"/>
    </xf>
    <xf numFmtId="0" fontId="14" fillId="24" borderId="0" xfId="0" applyFont="1" applyFill="1" applyBorder="1" applyProtection="1">
      <protection locked="0"/>
    </xf>
    <xf numFmtId="9" fontId="14" fillId="24" borderId="0" xfId="52" applyFont="1" applyFill="1" applyBorder="1" applyProtection="1">
      <protection locked="0"/>
    </xf>
    <xf numFmtId="9" fontId="73" fillId="24" borderId="79" xfId="52" applyFont="1" applyFill="1" applyBorder="1" applyProtection="1">
      <protection locked="0"/>
    </xf>
    <xf numFmtId="0" fontId="14" fillId="0" borderId="79" xfId="0" applyFont="1" applyFill="1" applyBorder="1" applyProtection="1"/>
    <xf numFmtId="0" fontId="0" fillId="0" borderId="0" xfId="0" applyFill="1" applyProtection="1"/>
    <xf numFmtId="9" fontId="14" fillId="0" borderId="0" xfId="52" applyFont="1" applyFill="1" applyBorder="1" applyProtection="1"/>
    <xf numFmtId="0" fontId="13" fillId="0" borderId="0" xfId="0" applyFont="1" applyFill="1" applyProtection="1"/>
    <xf numFmtId="0" fontId="8" fillId="0" borderId="0" xfId="0" applyFont="1" applyFill="1" applyProtection="1"/>
    <xf numFmtId="49" fontId="8" fillId="0" borderId="0" xfId="0" applyNumberFormat="1" applyFont="1" applyFill="1" applyProtection="1"/>
    <xf numFmtId="43" fontId="8" fillId="0" borderId="0" xfId="34" applyNumberFormat="1" applyFont="1" applyFill="1" applyBorder="1" applyAlignment="1" applyProtection="1">
      <alignment horizontal="center"/>
    </xf>
    <xf numFmtId="0" fontId="0" fillId="0" borderId="0" xfId="0" applyFont="1" applyFill="1" applyBorder="1"/>
    <xf numFmtId="0" fontId="0" fillId="0" borderId="14" xfId="52" applyNumberFormat="1" applyFont="1" applyBorder="1"/>
    <xf numFmtId="0" fontId="0" fillId="0" borderId="0" xfId="0" applyNumberFormat="1" applyBorder="1"/>
    <xf numFmtId="0" fontId="22" fillId="0" borderId="117" xfId="0" applyNumberFormat="1" applyFont="1" applyFill="1" applyBorder="1"/>
    <xf numFmtId="0" fontId="22" fillId="0" borderId="0" xfId="0" applyNumberFormat="1" applyFont="1" applyBorder="1"/>
    <xf numFmtId="0" fontId="0" fillId="0" borderId="22" xfId="0" applyNumberFormat="1" applyBorder="1"/>
    <xf numFmtId="0" fontId="0" fillId="0" borderId="10" xfId="52" applyNumberFormat="1" applyFont="1" applyBorder="1"/>
    <xf numFmtId="0" fontId="6" fillId="0" borderId="0" xfId="0" applyFont="1" applyBorder="1" applyAlignment="1">
      <alignment horizontal="center"/>
    </xf>
    <xf numFmtId="0" fontId="7" fillId="0" borderId="56" xfId="0" applyFont="1" applyBorder="1" applyAlignment="1">
      <alignment horizontal="center"/>
    </xf>
    <xf numFmtId="43" fontId="14" fillId="0" borderId="27" xfId="28" applyFont="1" applyBorder="1" applyAlignment="1">
      <alignment horizontal="center"/>
    </xf>
    <xf numFmtId="4" fontId="3" fillId="24" borderId="0" xfId="0" applyNumberFormat="1" applyFont="1" applyFill="1" applyProtection="1">
      <protection locked="0"/>
    </xf>
    <xf numFmtId="49" fontId="3" fillId="24" borderId="0" xfId="28" applyNumberFormat="1" applyFont="1" applyFill="1" applyBorder="1" applyProtection="1">
      <protection locked="0"/>
    </xf>
    <xf numFmtId="44" fontId="0" fillId="24" borderId="0" xfId="0" applyNumberFormat="1" applyFill="1" applyProtection="1">
      <protection locked="0"/>
    </xf>
    <xf numFmtId="44" fontId="0" fillId="24" borderId="0" xfId="34" applyFont="1" applyFill="1" applyProtection="1">
      <protection locked="0"/>
    </xf>
    <xf numFmtId="2" fontId="0" fillId="24" borderId="0" xfId="0" applyNumberFormat="1" applyFill="1" applyProtection="1">
      <protection locked="0"/>
    </xf>
    <xf numFmtId="43" fontId="0" fillId="0" borderId="0" xfId="34" applyNumberFormat="1" applyFont="1" applyFill="1"/>
    <xf numFmtId="43" fontId="0" fillId="0" borderId="0" xfId="34" applyNumberFormat="1" applyFont="1"/>
    <xf numFmtId="43" fontId="0" fillId="24" borderId="0" xfId="34" applyNumberFormat="1" applyFont="1" applyFill="1" applyProtection="1">
      <protection locked="0"/>
    </xf>
    <xf numFmtId="43" fontId="0" fillId="24" borderId="160" xfId="0" applyNumberFormat="1" applyFill="1" applyBorder="1" applyProtection="1">
      <protection locked="0"/>
    </xf>
    <xf numFmtId="43" fontId="42" fillId="0" borderId="0" xfId="28" applyFont="1" applyFill="1" applyBorder="1" applyAlignment="1">
      <alignment horizontal="centerContinuous" vertical="top"/>
    </xf>
    <xf numFmtId="43" fontId="8" fillId="0" borderId="134" xfId="28" applyFont="1" applyFill="1" applyBorder="1" applyAlignment="1">
      <alignment horizontal="centerContinuous"/>
    </xf>
    <xf numFmtId="0" fontId="3" fillId="24" borderId="21" xfId="0" applyFont="1" applyFill="1" applyBorder="1" applyProtection="1">
      <protection locked="0"/>
    </xf>
    <xf numFmtId="0" fontId="3" fillId="24" borderId="25" xfId="0" applyFont="1" applyFill="1" applyBorder="1" applyAlignment="1" applyProtection="1">
      <alignment horizontal="center"/>
      <protection locked="0"/>
    </xf>
    <xf numFmtId="0" fontId="3" fillId="24" borderId="21" xfId="0" applyFont="1" applyFill="1" applyBorder="1" applyAlignment="1" applyProtection="1">
      <alignment horizontal="center"/>
      <protection locked="0"/>
    </xf>
    <xf numFmtId="43" fontId="3" fillId="0" borderId="24" xfId="28" applyFont="1" applyBorder="1"/>
    <xf numFmtId="43" fontId="3" fillId="24" borderId="24" xfId="28" applyFont="1" applyFill="1" applyBorder="1" applyProtection="1">
      <protection locked="0"/>
    </xf>
    <xf numFmtId="43" fontId="3" fillId="24" borderId="19" xfId="28" applyFont="1" applyFill="1" applyBorder="1" applyProtection="1">
      <protection locked="0"/>
    </xf>
    <xf numFmtId="43" fontId="3" fillId="24" borderId="52" xfId="28" applyFont="1" applyFill="1" applyBorder="1" applyProtection="1">
      <protection locked="0"/>
    </xf>
    <xf numFmtId="43" fontId="3" fillId="0" borderId="25" xfId="28" applyFont="1" applyBorder="1"/>
    <xf numFmtId="43" fontId="3" fillId="24" borderId="25" xfId="28" applyFont="1" applyFill="1" applyBorder="1" applyProtection="1">
      <protection locked="0"/>
    </xf>
    <xf numFmtId="43" fontId="3" fillId="24" borderId="12" xfId="28" applyFont="1" applyFill="1" applyBorder="1" applyProtection="1">
      <protection locked="0"/>
    </xf>
    <xf numFmtId="43" fontId="3" fillId="24" borderId="53" xfId="28" applyFont="1" applyFill="1" applyBorder="1" applyProtection="1">
      <protection locked="0"/>
    </xf>
    <xf numFmtId="43" fontId="3" fillId="0" borderId="26" xfId="28" applyFont="1" applyBorder="1"/>
    <xf numFmtId="43" fontId="3" fillId="0" borderId="26" xfId="28" applyFont="1" applyFill="1" applyBorder="1"/>
    <xf numFmtId="43" fontId="3" fillId="0" borderId="54" xfId="28" applyFont="1" applyFill="1" applyBorder="1"/>
    <xf numFmtId="0" fontId="13" fillId="24" borderId="20" xfId="0" applyFont="1" applyFill="1" applyBorder="1" applyProtection="1">
      <protection locked="0"/>
    </xf>
    <xf numFmtId="0" fontId="13" fillId="24" borderId="24" xfId="0" applyFont="1" applyFill="1" applyBorder="1" applyAlignment="1" applyProtection="1">
      <alignment horizontal="center"/>
      <protection locked="0"/>
    </xf>
    <xf numFmtId="0" fontId="13" fillId="24" borderId="25" xfId="0" applyFont="1" applyFill="1" applyBorder="1" applyAlignment="1" applyProtection="1">
      <alignment horizontal="center"/>
      <protection locked="0"/>
    </xf>
    <xf numFmtId="43" fontId="3" fillId="0" borderId="54" xfId="28" applyFont="1" applyBorder="1"/>
    <xf numFmtId="0" fontId="13" fillId="0" borderId="20" xfId="0" applyFont="1" applyBorder="1"/>
    <xf numFmtId="0" fontId="13" fillId="0" borderId="20" xfId="0" applyFont="1" applyBorder="1" applyAlignment="1">
      <alignment horizontal="center"/>
    </xf>
    <xf numFmtId="0" fontId="13" fillId="0" borderId="21" xfId="0" applyFont="1" applyBorder="1"/>
    <xf numFmtId="0" fontId="13" fillId="0" borderId="21" xfId="0" applyFont="1" applyBorder="1" applyAlignment="1">
      <alignment horizontal="center"/>
    </xf>
    <xf numFmtId="43" fontId="3" fillId="24" borderId="37" xfId="28" applyFont="1" applyFill="1" applyBorder="1" applyProtection="1">
      <protection locked="0"/>
    </xf>
    <xf numFmtId="43" fontId="17" fillId="0" borderId="26" xfId="28" applyFont="1" applyBorder="1" applyAlignment="1">
      <alignment horizontal="center"/>
    </xf>
    <xf numFmtId="43" fontId="13" fillId="0" borderId="24" xfId="28" applyFont="1" applyBorder="1"/>
    <xf numFmtId="43" fontId="13" fillId="0" borderId="25" xfId="28" applyFont="1" applyBorder="1"/>
    <xf numFmtId="43" fontId="13" fillId="0" borderId="26" xfId="28" applyFont="1" applyBorder="1"/>
    <xf numFmtId="43" fontId="13" fillId="24" borderId="24" xfId="28" applyFont="1" applyFill="1" applyBorder="1" applyProtection="1">
      <protection locked="0"/>
    </xf>
    <xf numFmtId="43" fontId="13" fillId="24" borderId="12" xfId="28" applyFont="1" applyFill="1" applyBorder="1" applyProtection="1">
      <protection locked="0"/>
    </xf>
    <xf numFmtId="43" fontId="13" fillId="24" borderId="52" xfId="28" applyFont="1" applyFill="1" applyBorder="1" applyProtection="1">
      <protection locked="0"/>
    </xf>
    <xf numFmtId="43" fontId="13" fillId="24" borderId="25" xfId="28" applyFont="1" applyFill="1" applyBorder="1" applyProtection="1">
      <protection locked="0"/>
    </xf>
    <xf numFmtId="43" fontId="13" fillId="24" borderId="53" xfId="28" applyFont="1" applyFill="1" applyBorder="1" applyProtection="1">
      <protection locked="0"/>
    </xf>
    <xf numFmtId="43" fontId="13" fillId="0" borderId="54" xfId="28" applyFont="1" applyBorder="1"/>
    <xf numFmtId="0" fontId="6" fillId="0" borderId="0" xfId="0" applyFont="1" applyBorder="1" applyAlignment="1">
      <alignment horizontal="center"/>
    </xf>
    <xf numFmtId="0" fontId="7" fillId="0" borderId="56" xfId="0" applyFont="1" applyBorder="1" applyAlignment="1">
      <alignment horizontal="center"/>
    </xf>
    <xf numFmtId="43" fontId="14" fillId="0" borderId="27" xfId="28" applyFont="1" applyBorder="1" applyAlignment="1">
      <alignment horizontal="center"/>
    </xf>
    <xf numFmtId="43" fontId="13" fillId="24" borderId="33" xfId="28" applyFont="1" applyFill="1" applyBorder="1"/>
    <xf numFmtId="43" fontId="13" fillId="24" borderId="78" xfId="28" applyFont="1" applyFill="1" applyBorder="1"/>
    <xf numFmtId="43" fontId="13" fillId="0" borderId="11" xfId="28" applyFont="1" applyBorder="1"/>
    <xf numFmtId="43" fontId="13" fillId="0" borderId="34" xfId="28" applyFont="1" applyBorder="1"/>
    <xf numFmtId="43" fontId="14" fillId="0" borderId="144" xfId="28" applyFont="1" applyBorder="1"/>
    <xf numFmtId="43" fontId="3" fillId="24" borderId="25" xfId="28" applyFont="1" applyFill="1" applyBorder="1"/>
    <xf numFmtId="43" fontId="3" fillId="24" borderId="25" xfId="28" applyFont="1" applyFill="1" applyBorder="1" applyAlignment="1" applyProtection="1">
      <protection locked="0"/>
    </xf>
    <xf numFmtId="43" fontId="3" fillId="24" borderId="27" xfId="28" applyFont="1" applyFill="1" applyBorder="1" applyAlignment="1" applyProtection="1">
      <protection locked="0"/>
    </xf>
    <xf numFmtId="43" fontId="3" fillId="24" borderId="27" xfId="28" applyFont="1" applyFill="1" applyBorder="1" applyAlignment="1">
      <alignment horizontal="center"/>
    </xf>
    <xf numFmtId="43" fontId="3" fillId="0" borderId="25" xfId="28" applyFont="1" applyBorder="1" applyAlignment="1">
      <alignment horizontal="right"/>
    </xf>
    <xf numFmtId="43" fontId="14" fillId="24" borderId="12" xfId="28" applyFont="1" applyFill="1" applyBorder="1"/>
    <xf numFmtId="43" fontId="13" fillId="24" borderId="12" xfId="28" applyFont="1" applyFill="1" applyBorder="1"/>
    <xf numFmtId="43" fontId="14" fillId="24" borderId="11" xfId="28" applyFont="1" applyFill="1" applyBorder="1"/>
    <xf numFmtId="43" fontId="13" fillId="24" borderId="11" xfId="28" applyFont="1" applyFill="1" applyBorder="1"/>
    <xf numFmtId="43" fontId="13" fillId="24" borderId="34" xfId="28" applyFont="1" applyFill="1" applyBorder="1" applyProtection="1">
      <protection locked="0"/>
    </xf>
    <xf numFmtId="43" fontId="14" fillId="24" borderId="144" xfId="28" applyFont="1" applyFill="1" applyBorder="1"/>
    <xf numFmtId="43" fontId="3" fillId="0" borderId="37" xfId="28" applyFont="1" applyFill="1" applyBorder="1" applyAlignment="1" applyProtection="1">
      <protection locked="0"/>
    </xf>
    <xf numFmtId="43" fontId="13" fillId="0" borderId="139" xfId="28" applyFont="1" applyBorder="1" applyAlignment="1">
      <alignment horizontal="center"/>
    </xf>
    <xf numFmtId="43" fontId="14" fillId="24" borderId="144" xfId="28" applyFont="1" applyFill="1" applyBorder="1" applyProtection="1">
      <protection locked="0"/>
    </xf>
    <xf numFmtId="43" fontId="15" fillId="24" borderId="12" xfId="28" applyFont="1" applyFill="1" applyBorder="1" applyProtection="1">
      <protection locked="0"/>
    </xf>
    <xf numFmtId="43" fontId="13" fillId="24" borderId="33" xfId="28" applyFont="1" applyFill="1" applyBorder="1" applyProtection="1">
      <protection locked="0"/>
    </xf>
    <xf numFmtId="43" fontId="13" fillId="24" borderId="78" xfId="28" applyFont="1" applyFill="1" applyBorder="1" applyProtection="1">
      <protection locked="0"/>
    </xf>
    <xf numFmtId="43" fontId="15" fillId="24" borderId="145" xfId="28" applyFont="1" applyFill="1" applyBorder="1" applyProtection="1">
      <protection locked="0"/>
    </xf>
    <xf numFmtId="43" fontId="13" fillId="24" borderId="11" xfId="28" applyFont="1" applyFill="1" applyBorder="1" applyProtection="1">
      <protection locked="0"/>
    </xf>
    <xf numFmtId="43" fontId="14" fillId="0" borderId="37" xfId="28" applyFont="1" applyBorder="1" applyAlignment="1"/>
    <xf numFmtId="43" fontId="14" fillId="0" borderId="27" xfId="28" applyFont="1" applyBorder="1" applyAlignment="1"/>
    <xf numFmtId="43" fontId="14" fillId="24" borderId="12" xfId="28" applyFont="1" applyFill="1" applyBorder="1" applyProtection="1">
      <protection locked="0"/>
    </xf>
    <xf numFmtId="43" fontId="14" fillId="24" borderId="11" xfId="28" applyFont="1" applyFill="1" applyBorder="1" applyProtection="1">
      <protection locked="0"/>
    </xf>
    <xf numFmtId="43" fontId="3" fillId="24" borderId="27" xfId="28" applyFont="1" applyFill="1" applyBorder="1" applyAlignment="1" applyProtection="1">
      <alignment horizontal="center"/>
      <protection locked="0"/>
    </xf>
    <xf numFmtId="43" fontId="14" fillId="24" borderId="27" xfId="28" applyFont="1" applyFill="1" applyBorder="1" applyAlignment="1" applyProtection="1">
      <alignment horizontal="center"/>
      <protection locked="0"/>
    </xf>
    <xf numFmtId="0" fontId="81" fillId="26" borderId="0" xfId="0" applyFont="1" applyFill="1"/>
    <xf numFmtId="0" fontId="81" fillId="35" borderId="0" xfId="0" applyFont="1" applyFill="1"/>
    <xf numFmtId="0" fontId="3" fillId="0" borderId="102" xfId="0" applyFont="1" applyBorder="1"/>
    <xf numFmtId="0" fontId="16" fillId="0" borderId="0" xfId="0" applyFont="1" applyFill="1" applyBorder="1" applyAlignment="1" applyProtection="1">
      <alignment horizontal="right"/>
    </xf>
    <xf numFmtId="0" fontId="17" fillId="0" borderId="0" xfId="0" applyFont="1" applyFill="1" applyBorder="1" applyProtection="1"/>
    <xf numFmtId="0" fontId="12" fillId="0" borderId="21" xfId="0" applyFont="1" applyBorder="1" applyAlignment="1">
      <alignment horizontal="left" indent="1"/>
    </xf>
    <xf numFmtId="49" fontId="3" fillId="0" borderId="12" xfId="0" applyNumberFormat="1" applyFont="1" applyBorder="1"/>
    <xf numFmtId="43" fontId="73" fillId="24" borderId="17" xfId="28" applyFont="1" applyFill="1" applyBorder="1" applyProtection="1">
      <protection locked="0"/>
    </xf>
    <xf numFmtId="43" fontId="0" fillId="0" borderId="63" xfId="28" applyFont="1" applyBorder="1"/>
    <xf numFmtId="0" fontId="3" fillId="0" borderId="11" xfId="0" applyFont="1" applyBorder="1"/>
    <xf numFmtId="0" fontId="3" fillId="0" borderId="12" xfId="0" applyFont="1" applyBorder="1" applyAlignment="1">
      <alignment horizontal="left" indent="1"/>
    </xf>
    <xf numFmtId="0" fontId="3" fillId="0" borderId="11" xfId="0" applyFont="1" applyBorder="1" applyAlignment="1">
      <alignment horizontal="left" indent="1"/>
    </xf>
    <xf numFmtId="0" fontId="3" fillId="0" borderId="0" xfId="0" applyFont="1" applyAlignment="1">
      <alignment horizontal="left" indent="1"/>
    </xf>
    <xf numFmtId="43" fontId="3" fillId="24" borderId="41" xfId="28" applyFont="1" applyFill="1" applyBorder="1" applyAlignment="1" applyProtection="1">
      <alignment horizontal="right"/>
      <protection locked="0"/>
    </xf>
    <xf numFmtId="0" fontId="0" fillId="0" borderId="0" xfId="28" applyNumberFormat="1" applyFont="1"/>
    <xf numFmtId="49" fontId="3" fillId="24" borderId="0" xfId="0" applyNumberFormat="1" applyFont="1" applyFill="1" applyBorder="1" applyAlignment="1" applyProtection="1">
      <alignment horizontal="center"/>
      <protection locked="0"/>
    </xf>
    <xf numFmtId="0" fontId="9" fillId="0" borderId="0" xfId="0" applyFont="1" applyBorder="1" applyProtection="1">
      <protection locked="0"/>
    </xf>
    <xf numFmtId="0" fontId="3" fillId="24" borderId="12" xfId="0" applyFont="1" applyFill="1" applyBorder="1" applyProtection="1">
      <protection locked="0"/>
    </xf>
    <xf numFmtId="0" fontId="3" fillId="24" borderId="11" xfId="0" applyFont="1" applyFill="1" applyBorder="1" applyProtection="1">
      <protection locked="0"/>
    </xf>
    <xf numFmtId="0" fontId="3" fillId="24" borderId="86" xfId="0" applyFont="1" applyFill="1" applyBorder="1" applyProtection="1">
      <protection locked="0"/>
    </xf>
    <xf numFmtId="14" fontId="0" fillId="24" borderId="11" xfId="0" applyNumberFormat="1" applyFill="1" applyBorder="1" applyProtection="1">
      <protection locked="0"/>
    </xf>
    <xf numFmtId="0" fontId="13" fillId="0" borderId="21" xfId="0" applyFont="1" applyBorder="1" applyAlignment="1" applyProtection="1">
      <alignment horizontal="center"/>
      <protection locked="0"/>
    </xf>
    <xf numFmtId="0" fontId="3" fillId="24" borderId="0" xfId="0" applyFont="1" applyFill="1" applyProtection="1">
      <protection locked="0"/>
    </xf>
    <xf numFmtId="14" fontId="3" fillId="24" borderId="0" xfId="0" applyNumberFormat="1" applyFont="1" applyFill="1" applyBorder="1" applyAlignment="1" applyProtection="1">
      <alignment horizontal="center"/>
      <protection locked="0"/>
    </xf>
    <xf numFmtId="49" fontId="3" fillId="24" borderId="0" xfId="0" applyNumberFormat="1" applyFont="1" applyFill="1" applyBorder="1" applyProtection="1">
      <protection locked="0"/>
    </xf>
    <xf numFmtId="18" fontId="3" fillId="0" borderId="0" xfId="49" applyNumberFormat="1" applyFill="1" applyBorder="1"/>
    <xf numFmtId="18" fontId="3" fillId="0" borderId="0" xfId="49" applyNumberFormat="1" applyFill="1" applyBorder="1" applyAlignment="1" applyProtection="1">
      <alignment horizontal="center"/>
      <protection locked="0"/>
    </xf>
    <xf numFmtId="0" fontId="17" fillId="0" borderId="0" xfId="0" applyFont="1" applyBorder="1" applyAlignment="1">
      <alignment horizontal="center"/>
    </xf>
    <xf numFmtId="0" fontId="17" fillId="0" borderId="161" xfId="0" applyFont="1" applyBorder="1" applyAlignment="1">
      <alignment horizontal="center"/>
    </xf>
    <xf numFmtId="0" fontId="17" fillId="0" borderId="162" xfId="0" applyFont="1" applyBorder="1" applyAlignment="1">
      <alignment horizontal="center"/>
    </xf>
    <xf numFmtId="0" fontId="7" fillId="0" borderId="113" xfId="0" applyFont="1" applyBorder="1" applyAlignment="1">
      <alignment horizontal="center"/>
    </xf>
    <xf numFmtId="0" fontId="7" fillId="0" borderId="102" xfId="0" applyFont="1" applyBorder="1" applyAlignment="1">
      <alignment horizontal="center"/>
    </xf>
    <xf numFmtId="0" fontId="7" fillId="0" borderId="119" xfId="0" applyFont="1" applyBorder="1" applyAlignment="1">
      <alignment horizontal="center"/>
    </xf>
    <xf numFmtId="0" fontId="3" fillId="0" borderId="0" xfId="62" applyAlignment="1">
      <alignment horizontal="left" vertical="center" wrapText="1"/>
    </xf>
    <xf numFmtId="0" fontId="103" fillId="25" borderId="0" xfId="62" applyFont="1" applyFill="1" applyAlignment="1">
      <alignment horizontal="center"/>
    </xf>
    <xf numFmtId="0" fontId="6" fillId="26" borderId="113" xfId="62" applyFont="1" applyFill="1" applyBorder="1" applyAlignment="1">
      <alignment horizontal="center"/>
    </xf>
    <xf numFmtId="0" fontId="6" fillId="26" borderId="102" xfId="62" applyFont="1" applyFill="1" applyBorder="1" applyAlignment="1">
      <alignment horizontal="center"/>
    </xf>
    <xf numFmtId="0" fontId="6" fillId="26" borderId="119" xfId="62" applyFont="1" applyFill="1" applyBorder="1" applyAlignment="1">
      <alignment horizontal="center"/>
    </xf>
    <xf numFmtId="0" fontId="17" fillId="0" borderId="12" xfId="62" applyFont="1" applyBorder="1" applyAlignment="1">
      <alignment horizontal="left"/>
    </xf>
    <xf numFmtId="0" fontId="19" fillId="0" borderId="0" xfId="49" applyFont="1" applyFill="1" applyAlignment="1">
      <alignment horizontal="center"/>
    </xf>
    <xf numFmtId="0" fontId="17" fillId="0" borderId="85" xfId="49" applyFont="1" applyFill="1" applyBorder="1" applyAlignment="1">
      <alignment horizontal="center"/>
    </xf>
    <xf numFmtId="0" fontId="17" fillId="0" borderId="34" xfId="49" applyFont="1" applyFill="1" applyBorder="1" applyAlignment="1">
      <alignment horizontal="center"/>
    </xf>
    <xf numFmtId="0" fontId="17" fillId="0" borderId="35" xfId="49" applyFont="1" applyFill="1" applyBorder="1" applyAlignment="1">
      <alignment horizontal="center"/>
    </xf>
    <xf numFmtId="49" fontId="17" fillId="0" borderId="91" xfId="49" applyNumberFormat="1" applyFont="1" applyFill="1" applyBorder="1" applyAlignment="1">
      <alignment horizontal="center"/>
    </xf>
    <xf numFmtId="49" fontId="17" fillId="0" borderId="12" xfId="49" applyNumberFormat="1" applyFont="1" applyFill="1" applyBorder="1" applyAlignment="1">
      <alignment horizontal="center"/>
    </xf>
    <xf numFmtId="49" fontId="17" fillId="0" borderId="77" xfId="49" applyNumberFormat="1" applyFont="1" applyFill="1" applyBorder="1" applyAlignment="1">
      <alignment horizontal="center"/>
    </xf>
    <xf numFmtId="49" fontId="17" fillId="0" borderId="85" xfId="49" applyNumberFormat="1" applyFont="1" applyFill="1" applyBorder="1" applyAlignment="1">
      <alignment horizontal="center"/>
    </xf>
    <xf numFmtId="49" fontId="17" fillId="0" borderId="34" xfId="49" applyNumberFormat="1" applyFont="1" applyFill="1" applyBorder="1" applyAlignment="1">
      <alignment horizontal="center"/>
    </xf>
    <xf numFmtId="49" fontId="17" fillId="0" borderId="0" xfId="49" applyNumberFormat="1" applyFont="1" applyFill="1" applyBorder="1" applyAlignment="1">
      <alignment horizontal="center"/>
    </xf>
    <xf numFmtId="49" fontId="17" fillId="0" borderId="87" xfId="49" applyNumberFormat="1" applyFont="1" applyFill="1" applyBorder="1" applyAlignment="1">
      <alignment horizontal="center"/>
    </xf>
    <xf numFmtId="0" fontId="17" fillId="0" borderId="91" xfId="49" applyFont="1" applyFill="1" applyBorder="1" applyAlignment="1">
      <alignment horizontal="center"/>
    </xf>
    <xf numFmtId="0" fontId="17" fillId="0" borderId="12" xfId="49" applyFont="1" applyFill="1" applyBorder="1" applyAlignment="1">
      <alignment horizontal="center"/>
    </xf>
    <xf numFmtId="0" fontId="17" fillId="0" borderId="77" xfId="49" applyFont="1" applyFill="1" applyBorder="1" applyAlignment="1">
      <alignment horizontal="center"/>
    </xf>
    <xf numFmtId="0" fontId="21" fillId="0" borderId="11" xfId="49" applyFont="1" applyFill="1" applyBorder="1" applyAlignment="1">
      <alignment horizontal="center"/>
    </xf>
    <xf numFmtId="0" fontId="21" fillId="0" borderId="0" xfId="49" applyFont="1" applyFill="1" applyAlignment="1">
      <alignment horizontal="center"/>
    </xf>
    <xf numFmtId="0" fontId="3" fillId="0" borderId="0" xfId="49" applyFont="1" applyFill="1" applyBorder="1" applyAlignment="1" applyProtection="1">
      <alignment horizontal="center"/>
      <protection locked="0"/>
    </xf>
    <xf numFmtId="0" fontId="3" fillId="0" borderId="0" xfId="49" applyFill="1" applyBorder="1" applyAlignment="1" applyProtection="1">
      <alignment horizontal="center"/>
      <protection locked="0"/>
    </xf>
    <xf numFmtId="18" fontId="3" fillId="0" borderId="0" xfId="49" applyNumberFormat="1" applyFill="1" applyBorder="1" applyAlignment="1" applyProtection="1">
      <alignment horizontal="center"/>
      <protection locked="0"/>
    </xf>
    <xf numFmtId="0" fontId="3" fillId="0" borderId="11" xfId="49" applyFill="1" applyBorder="1" applyAlignment="1">
      <alignment horizontal="center"/>
    </xf>
    <xf numFmtId="49" fontId="3" fillId="0" borderId="11" xfId="49" applyNumberFormat="1" applyFont="1" applyFill="1" applyBorder="1" applyAlignment="1" applyProtection="1">
      <alignment horizontal="center"/>
      <protection locked="0"/>
    </xf>
    <xf numFmtId="49" fontId="12" fillId="0" borderId="11" xfId="49" applyNumberFormat="1" applyFont="1" applyFill="1" applyBorder="1" applyAlignment="1" applyProtection="1">
      <alignment horizontal="center"/>
      <protection locked="0"/>
    </xf>
    <xf numFmtId="0" fontId="12" fillId="0" borderId="0" xfId="49" applyFont="1" applyFill="1" applyAlignment="1">
      <alignment horizontal="center"/>
    </xf>
    <xf numFmtId="49" fontId="17" fillId="0" borderId="88" xfId="49" applyNumberFormat="1" applyFont="1" applyFill="1" applyBorder="1" applyAlignment="1">
      <alignment horizontal="center"/>
    </xf>
    <xf numFmtId="49" fontId="17" fillId="0" borderId="11" xfId="49" applyNumberFormat="1" applyFont="1" applyFill="1" applyBorder="1" applyAlignment="1">
      <alignment horizontal="center"/>
    </xf>
    <xf numFmtId="49" fontId="17" fillId="0" borderId="89" xfId="49" applyNumberFormat="1" applyFont="1" applyFill="1" applyBorder="1" applyAlignment="1">
      <alignment horizontal="center"/>
    </xf>
    <xf numFmtId="0" fontId="17" fillId="0" borderId="69" xfId="49" applyFont="1" applyFill="1" applyBorder="1" applyAlignment="1">
      <alignment horizontal="center"/>
    </xf>
    <xf numFmtId="0" fontId="3" fillId="0" borderId="11" xfId="49" applyFont="1" applyFill="1" applyBorder="1" applyAlignment="1" applyProtection="1">
      <alignment horizontal="center"/>
      <protection locked="0"/>
    </xf>
    <xf numFmtId="0" fontId="3" fillId="0" borderId="11" xfId="49" applyFill="1" applyBorder="1" applyAlignment="1" applyProtection="1">
      <alignment horizontal="center"/>
      <protection locked="0"/>
    </xf>
    <xf numFmtId="49" fontId="3" fillId="0" borderId="11" xfId="49" applyNumberFormat="1" applyFill="1" applyBorder="1" applyAlignment="1" applyProtection="1">
      <alignment horizontal="center"/>
      <protection locked="0"/>
    </xf>
    <xf numFmtId="20" fontId="3" fillId="0" borderId="11" xfId="49" applyNumberFormat="1" applyFill="1" applyBorder="1" applyAlignment="1" applyProtection="1">
      <alignment horizontal="center"/>
      <protection locked="0"/>
    </xf>
    <xf numFmtId="0" fontId="17" fillId="0" borderId="88" xfId="49" applyFont="1" applyFill="1" applyBorder="1" applyAlignment="1">
      <alignment horizontal="center"/>
    </xf>
    <xf numFmtId="0" fontId="17" fillId="0" borderId="11" xfId="49" applyFont="1" applyFill="1" applyBorder="1" applyAlignment="1">
      <alignment horizontal="center"/>
    </xf>
    <xf numFmtId="0" fontId="17" fillId="0" borderId="89" xfId="49" applyFont="1" applyFill="1" applyBorder="1" applyAlignment="1">
      <alignment horizontal="center"/>
    </xf>
    <xf numFmtId="0" fontId="3" fillId="0" borderId="11" xfId="49" applyFont="1" applyFill="1" applyBorder="1" applyAlignment="1">
      <alignment horizontal="center"/>
    </xf>
    <xf numFmtId="0" fontId="4" fillId="0" borderId="0" xfId="0" applyFont="1" applyAlignment="1">
      <alignment horizontal="center"/>
    </xf>
    <xf numFmtId="0" fontId="4" fillId="0" borderId="0" xfId="0" applyNumberFormat="1" applyFont="1" applyAlignment="1">
      <alignment horizontal="center"/>
    </xf>
    <xf numFmtId="0" fontId="66" fillId="24" borderId="11" xfId="0" applyFont="1" applyFill="1" applyBorder="1" applyAlignment="1">
      <alignment horizontal="center"/>
    </xf>
    <xf numFmtId="43" fontId="11" fillId="24" borderId="11" xfId="33" applyFont="1" applyFill="1" applyBorder="1" applyAlignment="1">
      <alignment horizontal="center"/>
    </xf>
    <xf numFmtId="0" fontId="4" fillId="0" borderId="113" xfId="0" applyFont="1" applyBorder="1" applyAlignment="1">
      <alignment horizontal="center"/>
    </xf>
    <xf numFmtId="0" fontId="4" fillId="0" borderId="102" xfId="0" applyFont="1" applyBorder="1" applyAlignment="1">
      <alignment horizontal="center"/>
    </xf>
    <xf numFmtId="0" fontId="4" fillId="0" borderId="119" xfId="0" applyFont="1" applyBorder="1" applyAlignment="1">
      <alignment horizontal="center"/>
    </xf>
    <xf numFmtId="0" fontId="4" fillId="0" borderId="111" xfId="0" applyFont="1" applyBorder="1" applyAlignment="1">
      <alignment horizontal="center"/>
    </xf>
    <xf numFmtId="0" fontId="4" fillId="0" borderId="0" xfId="0" applyFont="1" applyBorder="1" applyAlignment="1">
      <alignment horizontal="center"/>
    </xf>
    <xf numFmtId="0" fontId="4" fillId="0" borderId="117" xfId="0" applyFont="1" applyBorder="1" applyAlignment="1">
      <alignment horizontal="center"/>
    </xf>
    <xf numFmtId="0" fontId="9" fillId="0" borderId="100" xfId="0" applyFont="1" applyBorder="1" applyAlignment="1">
      <alignment horizontal="center"/>
    </xf>
    <xf numFmtId="0" fontId="9" fillId="0" borderId="56" xfId="0" applyFont="1" applyBorder="1" applyAlignment="1">
      <alignment horizontal="center"/>
    </xf>
    <xf numFmtId="0" fontId="9" fillId="0" borderId="13" xfId="0" applyFont="1" applyBorder="1" applyAlignment="1">
      <alignment horizontal="center"/>
    </xf>
    <xf numFmtId="0" fontId="6" fillId="0" borderId="11" xfId="0" applyFont="1" applyBorder="1" applyAlignment="1">
      <alignment horizontal="center"/>
    </xf>
    <xf numFmtId="0" fontId="6" fillId="0" borderId="55" xfId="0" applyFont="1" applyBorder="1" applyAlignment="1">
      <alignment horizontal="center"/>
    </xf>
    <xf numFmtId="0" fontId="0" fillId="0" borderId="133" xfId="0" applyBorder="1" applyAlignment="1">
      <alignment horizontal="center"/>
    </xf>
    <xf numFmtId="0" fontId="0" fillId="0" borderId="14" xfId="0" applyBorder="1" applyAlignment="1">
      <alignment horizontal="center"/>
    </xf>
    <xf numFmtId="0" fontId="25" fillId="0" borderId="80" xfId="0" applyFont="1" applyBorder="1" applyAlignment="1">
      <alignment horizontal="center"/>
    </xf>
    <xf numFmtId="0" fontId="25" fillId="0" borderId="0" xfId="0" applyFont="1" applyBorder="1" applyAlignment="1">
      <alignment horizontal="center"/>
    </xf>
    <xf numFmtId="0" fontId="25" fillId="0" borderId="14" xfId="0" applyFont="1" applyBorder="1" applyAlignment="1">
      <alignment horizontal="center"/>
    </xf>
    <xf numFmtId="0" fontId="32" fillId="0" borderId="177" xfId="0" applyFont="1" applyBorder="1" applyAlignment="1">
      <alignment horizontal="center"/>
    </xf>
    <xf numFmtId="0" fontId="32" fillId="0" borderId="131" xfId="0" applyFont="1" applyBorder="1" applyAlignment="1">
      <alignment horizontal="center"/>
    </xf>
    <xf numFmtId="0" fontId="33" fillId="0" borderId="131" xfId="0" applyFont="1" applyBorder="1" applyAlignment="1">
      <alignment horizontal="center"/>
    </xf>
    <xf numFmtId="0" fontId="33" fillId="0" borderId="178" xfId="0" applyFont="1" applyBorder="1" applyAlignment="1">
      <alignment horizontal="center"/>
    </xf>
    <xf numFmtId="0" fontId="17" fillId="0" borderId="117" xfId="0" applyFont="1" applyBorder="1" applyAlignment="1">
      <alignment horizontal="center"/>
    </xf>
    <xf numFmtId="0" fontId="17" fillId="0" borderId="11" xfId="0" applyFont="1" applyBorder="1" applyAlignment="1">
      <alignment horizontal="center"/>
    </xf>
    <xf numFmtId="49" fontId="17" fillId="0" borderId="11" xfId="0" applyNumberFormat="1" applyFont="1" applyBorder="1" applyAlignment="1">
      <alignment horizontal="center"/>
    </xf>
    <xf numFmtId="0" fontId="17" fillId="0" borderId="179" xfId="0" applyFont="1" applyBorder="1" applyAlignment="1">
      <alignment horizontal="center"/>
    </xf>
    <xf numFmtId="0" fontId="12" fillId="0" borderId="34" xfId="0" applyFont="1" applyBorder="1" applyAlignment="1">
      <alignment horizontal="left" vertical="center"/>
    </xf>
    <xf numFmtId="0" fontId="12" fillId="0" borderId="11" xfId="0" applyFont="1" applyBorder="1" applyAlignment="1">
      <alignment horizontal="left" vertical="center"/>
    </xf>
    <xf numFmtId="43" fontId="14" fillId="0" borderId="41" xfId="28" applyFont="1" applyBorder="1" applyAlignment="1">
      <alignment horizontal="center"/>
    </xf>
    <xf numFmtId="43" fontId="14" fillId="0" borderId="31" xfId="28" applyFont="1" applyBorder="1" applyAlignment="1">
      <alignment horizontal="center"/>
    </xf>
    <xf numFmtId="0" fontId="12" fillId="0" borderId="0" xfId="0" applyFont="1" applyBorder="1" applyAlignment="1">
      <alignment horizontal="left" vertical="center" wrapText="1"/>
    </xf>
    <xf numFmtId="0" fontId="12" fillId="0" borderId="11" xfId="0" applyFont="1" applyBorder="1" applyAlignment="1">
      <alignment horizontal="left" vertical="center" wrapText="1"/>
    </xf>
    <xf numFmtId="0" fontId="6" fillId="0" borderId="0" xfId="0" applyFont="1" applyBorder="1" applyAlignment="1">
      <alignment horizontal="center"/>
    </xf>
    <xf numFmtId="0" fontId="6" fillId="0" borderId="0" xfId="0" applyFont="1" applyAlignment="1">
      <alignment horizontal="center"/>
    </xf>
    <xf numFmtId="0" fontId="17" fillId="0" borderId="181" xfId="0" applyFont="1" applyBorder="1" applyAlignment="1">
      <alignment horizontal="left"/>
    </xf>
    <xf numFmtId="0" fontId="17" fillId="0" borderId="90" xfId="0" applyFont="1" applyBorder="1" applyAlignment="1">
      <alignment horizontal="left"/>
    </xf>
    <xf numFmtId="0" fontId="17" fillId="0" borderId="193" xfId="0" applyFont="1" applyBorder="1" applyAlignment="1">
      <alignment horizontal="left"/>
    </xf>
    <xf numFmtId="0" fontId="17" fillId="0" borderId="194" xfId="0" applyFont="1" applyBorder="1" applyAlignment="1">
      <alignment horizontal="left"/>
    </xf>
    <xf numFmtId="0" fontId="27" fillId="0" borderId="34" xfId="0" applyFont="1" applyBorder="1" applyAlignment="1">
      <alignment horizontal="left" vertical="center" wrapText="1"/>
    </xf>
    <xf numFmtId="0" fontId="0" fillId="0" borderId="56" xfId="0" applyBorder="1" applyAlignment="1">
      <alignment horizontal="center" vertical="center"/>
    </xf>
    <xf numFmtId="0" fontId="0" fillId="0" borderId="11" xfId="0" applyBorder="1" applyAlignment="1">
      <alignment horizontal="center" vertical="center"/>
    </xf>
    <xf numFmtId="0" fontId="0" fillId="0" borderId="34" xfId="0" applyBorder="1" applyAlignment="1">
      <alignment horizontal="left" vertical="center" wrapText="1"/>
    </xf>
    <xf numFmtId="0" fontId="0" fillId="0" borderId="11" xfId="0" applyBorder="1" applyAlignment="1">
      <alignment horizontal="left" vertical="center" wrapText="1"/>
    </xf>
    <xf numFmtId="0" fontId="12" fillId="0" borderId="14" xfId="0" applyFont="1" applyBorder="1" applyAlignment="1">
      <alignment horizontal="left" vertical="center" wrapText="1"/>
    </xf>
    <xf numFmtId="0" fontId="12" fillId="0" borderId="55" xfId="0" applyFont="1"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center" wrapText="1"/>
    </xf>
    <xf numFmtId="0" fontId="0" fillId="0" borderId="34" xfId="0" applyBorder="1" applyAlignment="1">
      <alignment horizontal="center" vertical="center"/>
    </xf>
    <xf numFmtId="0" fontId="0" fillId="0" borderId="11" xfId="0" applyBorder="1" applyAlignment="1">
      <alignment horizontal="left" vertical="center"/>
    </xf>
    <xf numFmtId="0" fontId="12" fillId="0" borderId="34" xfId="0" applyFont="1" applyBorder="1" applyAlignment="1">
      <alignment horizontal="left" vertical="center" wrapText="1"/>
    </xf>
    <xf numFmtId="0" fontId="12" fillId="0" borderId="57" xfId="0" applyFont="1" applyBorder="1" applyAlignment="1">
      <alignment horizontal="left" vertical="center" wrapText="1"/>
    </xf>
    <xf numFmtId="0" fontId="3" fillId="0" borderId="11" xfId="0" applyFont="1" applyBorder="1" applyAlignment="1">
      <alignment horizontal="left" vertical="center" wrapText="1" indent="1"/>
    </xf>
    <xf numFmtId="0" fontId="12" fillId="0" borderId="11" xfId="0" applyFont="1" applyBorder="1" applyAlignment="1">
      <alignment horizontal="left" vertical="center" wrapText="1" indent="1"/>
    </xf>
    <xf numFmtId="0" fontId="12" fillId="0" borderId="55" xfId="0" applyFont="1" applyBorder="1" applyAlignment="1">
      <alignment horizontal="left" vertical="center" wrapText="1" indent="1"/>
    </xf>
    <xf numFmtId="0" fontId="3" fillId="0" borderId="34" xfId="0" applyFont="1" applyBorder="1" applyAlignment="1">
      <alignment horizontal="left" vertical="center"/>
    </xf>
    <xf numFmtId="43" fontId="12" fillId="0" borderId="180" xfId="0" applyNumberFormat="1" applyFont="1" applyFill="1" applyBorder="1" applyAlignment="1">
      <alignment horizontal="right"/>
    </xf>
    <xf numFmtId="43" fontId="12" fillId="0" borderId="27" xfId="0" applyNumberFormat="1" applyFont="1" applyFill="1" applyBorder="1" applyAlignment="1">
      <alignment horizontal="right"/>
    </xf>
    <xf numFmtId="0" fontId="12" fillId="0" borderId="11" xfId="0" applyFont="1" applyBorder="1" applyAlignment="1">
      <alignment horizontal="left" indent="1"/>
    </xf>
    <xf numFmtId="0" fontId="12" fillId="0" borderId="55" xfId="0" applyFont="1" applyBorder="1" applyAlignment="1">
      <alignment horizontal="left" indent="1"/>
    </xf>
    <xf numFmtId="0" fontId="12" fillId="0" borderId="12" xfId="0" applyFont="1" applyBorder="1" applyAlignment="1">
      <alignment horizontal="left" indent="1"/>
    </xf>
    <xf numFmtId="0" fontId="12" fillId="0" borderId="21" xfId="0" applyFont="1" applyBorder="1" applyAlignment="1">
      <alignment horizontal="left" indent="1"/>
    </xf>
    <xf numFmtId="0" fontId="25" fillId="0" borderId="0" xfId="0" applyFont="1" applyAlignment="1">
      <alignment horizontal="center"/>
    </xf>
    <xf numFmtId="0" fontId="0" fillId="0" borderId="79" xfId="0" applyBorder="1" applyAlignment="1">
      <alignment horizontal="center"/>
    </xf>
    <xf numFmtId="0" fontId="17" fillId="0" borderId="0" xfId="0" applyFont="1" applyAlignment="1">
      <alignment horizontal="center"/>
    </xf>
    <xf numFmtId="0" fontId="8" fillId="0" borderId="79" xfId="0" applyFont="1" applyBorder="1" applyAlignment="1">
      <alignment horizontal="center"/>
    </xf>
    <xf numFmtId="0" fontId="8" fillId="24" borderId="11" xfId="0" applyFont="1" applyFill="1" applyBorder="1" applyAlignment="1" applyProtection="1">
      <alignment horizontal="center"/>
      <protection locked="0"/>
    </xf>
    <xf numFmtId="0" fontId="27" fillId="0" borderId="0" xfId="0" applyFont="1" applyAlignment="1">
      <alignment horizontal="center" vertical="center"/>
    </xf>
    <xf numFmtId="0" fontId="17" fillId="0" borderId="102" xfId="0" applyFont="1" applyBorder="1" applyAlignment="1">
      <alignment horizontal="center"/>
    </xf>
    <xf numFmtId="0" fontId="14" fillId="0" borderId="34" xfId="0" applyFont="1" applyBorder="1" applyAlignment="1">
      <alignment horizontal="center" vertical="top"/>
    </xf>
    <xf numFmtId="0" fontId="8" fillId="0" borderId="11" xfId="0" applyFont="1" applyBorder="1" applyAlignment="1">
      <alignment horizontal="center"/>
    </xf>
    <xf numFmtId="0" fontId="14" fillId="24" borderId="34" xfId="0" applyFont="1" applyFill="1" applyBorder="1" applyAlignment="1" applyProtection="1">
      <alignment horizontal="center" vertical="top"/>
      <protection locked="0"/>
    </xf>
    <xf numFmtId="0" fontId="0" fillId="0" borderId="79" xfId="0" applyFill="1" applyBorder="1" applyAlignment="1">
      <alignment horizontal="center"/>
    </xf>
    <xf numFmtId="0" fontId="8" fillId="24" borderId="0" xfId="0" applyFont="1" applyFill="1" applyBorder="1" applyAlignment="1" applyProtection="1">
      <alignment horizontal="center"/>
      <protection locked="0"/>
    </xf>
    <xf numFmtId="0" fontId="8" fillId="24" borderId="34" xfId="0" applyFont="1" applyFill="1" applyBorder="1" applyAlignment="1" applyProtection="1">
      <alignment horizontal="left" vertical="center"/>
      <protection locked="0"/>
    </xf>
    <xf numFmtId="0" fontId="8" fillId="24" borderId="11" xfId="0" applyFont="1" applyFill="1" applyBorder="1" applyAlignment="1" applyProtection="1">
      <alignment horizontal="left" vertical="center"/>
      <protection locked="0"/>
    </xf>
    <xf numFmtId="0" fontId="30" fillId="0" borderId="0" xfId="0" applyFont="1" applyBorder="1" applyAlignment="1">
      <alignment horizontal="center" vertical="center"/>
    </xf>
    <xf numFmtId="0" fontId="30" fillId="0" borderId="0" xfId="0" applyFont="1" applyAlignment="1">
      <alignment horizontal="center" vertical="center"/>
    </xf>
    <xf numFmtId="0" fontId="0" fillId="0" borderId="11" xfId="0" applyBorder="1" applyAlignment="1">
      <alignment horizontal="center"/>
    </xf>
    <xf numFmtId="0" fontId="0" fillId="0" borderId="12" xfId="0" applyBorder="1" applyAlignment="1">
      <alignment horizontal="center"/>
    </xf>
    <xf numFmtId="0" fontId="8" fillId="24" borderId="12" xfId="0" applyFont="1" applyFill="1" applyBorder="1" applyAlignment="1" applyProtection="1">
      <alignment horizontal="left" vertical="center"/>
      <protection locked="0"/>
    </xf>
    <xf numFmtId="0" fontId="6" fillId="0" borderId="102" xfId="0" applyFont="1" applyBorder="1" applyAlignment="1">
      <alignment horizontal="center" vertical="center"/>
    </xf>
    <xf numFmtId="49" fontId="37" fillId="0" borderId="34" xfId="0" applyNumberFormat="1" applyFont="1" applyBorder="1" applyAlignment="1">
      <alignment horizontal="center"/>
    </xf>
    <xf numFmtId="0" fontId="37" fillId="0" borderId="34" xfId="0" applyFont="1" applyBorder="1" applyAlignment="1">
      <alignment horizontal="center"/>
    </xf>
    <xf numFmtId="0" fontId="7" fillId="0" borderId="11" xfId="0" applyFont="1" applyBorder="1" applyAlignment="1">
      <alignment horizontal="center"/>
    </xf>
    <xf numFmtId="0" fontId="0" fillId="24" borderId="11" xfId="0" applyFill="1" applyBorder="1" applyAlignment="1" applyProtection="1">
      <alignment horizontal="center"/>
      <protection locked="0"/>
    </xf>
    <xf numFmtId="0" fontId="37" fillId="0" borderId="0" xfId="0" applyFont="1" applyAlignment="1">
      <alignment horizontal="center"/>
    </xf>
    <xf numFmtId="0" fontId="15" fillId="0" borderId="22" xfId="0" applyFont="1" applyBorder="1" applyAlignment="1">
      <alignment horizontal="center" vertical="top"/>
    </xf>
    <xf numFmtId="0" fontId="15" fillId="0" borderId="34" xfId="0" applyFont="1" applyBorder="1" applyAlignment="1">
      <alignment horizontal="center" vertical="top"/>
    </xf>
    <xf numFmtId="0" fontId="3" fillId="24" borderId="11" xfId="0" applyFont="1" applyFill="1" applyBorder="1" applyAlignment="1" applyProtection="1">
      <alignment horizontal="center"/>
      <protection locked="0"/>
    </xf>
    <xf numFmtId="0" fontId="0" fillId="0" borderId="0" xfId="0" applyFill="1" applyBorder="1" applyAlignment="1" applyProtection="1">
      <alignment horizontal="center"/>
    </xf>
    <xf numFmtId="0" fontId="14" fillId="0" borderId="116" xfId="0" applyFont="1" applyBorder="1" applyAlignment="1">
      <alignment horizontal="center"/>
    </xf>
    <xf numFmtId="0" fontId="14" fillId="0" borderId="19" xfId="0" applyFont="1" applyBorder="1" applyAlignment="1">
      <alignment horizontal="center"/>
    </xf>
    <xf numFmtId="0" fontId="14" fillId="0" borderId="120" xfId="0" applyFont="1" applyBorder="1" applyAlignment="1">
      <alignment horizontal="center"/>
    </xf>
    <xf numFmtId="0" fontId="7" fillId="0" borderId="85" xfId="0" applyFont="1" applyBorder="1" applyAlignment="1">
      <alignment horizontal="center"/>
    </xf>
    <xf numFmtId="0" fontId="7" fillId="0" borderId="34" xfId="0" applyFont="1" applyBorder="1" applyAlignment="1">
      <alignment horizontal="center"/>
    </xf>
    <xf numFmtId="0" fontId="7" fillId="0" borderId="35" xfId="0" applyFont="1" applyBorder="1" applyAlignment="1">
      <alignment horizontal="center"/>
    </xf>
    <xf numFmtId="0" fontId="7" fillId="0" borderId="0" xfId="0" applyFont="1" applyBorder="1" applyAlignment="1">
      <alignment horizontal="center"/>
    </xf>
    <xf numFmtId="0" fontId="39" fillId="0" borderId="0" xfId="0" applyFont="1" applyBorder="1" applyAlignment="1">
      <alignment horizontal="center"/>
    </xf>
    <xf numFmtId="0" fontId="39" fillId="0" borderId="87" xfId="0" applyFont="1" applyBorder="1" applyAlignment="1">
      <alignment horizontal="center"/>
    </xf>
    <xf numFmtId="0" fontId="7" fillId="0" borderId="0" xfId="0" applyFont="1" applyAlignment="1">
      <alignment horizontal="center"/>
    </xf>
    <xf numFmtId="49" fontId="8" fillId="0" borderId="11" xfId="0" applyNumberFormat="1" applyFont="1" applyBorder="1" applyAlignment="1">
      <alignment horizontal="center"/>
    </xf>
    <xf numFmtId="0" fontId="9" fillId="0" borderId="0" xfId="0" applyFont="1" applyAlignment="1">
      <alignment horizontal="center"/>
    </xf>
    <xf numFmtId="170" fontId="8" fillId="0" borderId="11" xfId="0" applyNumberFormat="1" applyFont="1" applyBorder="1" applyAlignment="1">
      <alignment horizontal="center"/>
    </xf>
    <xf numFmtId="0" fontId="6" fillId="0" borderId="10" xfId="0" applyFont="1" applyBorder="1" applyAlignment="1">
      <alignment horizontal="center"/>
    </xf>
    <xf numFmtId="0" fontId="8" fillId="0" borderId="0" xfId="0" applyFont="1" applyFill="1" applyAlignment="1" applyProtection="1">
      <alignment horizontal="center"/>
      <protection locked="0"/>
    </xf>
    <xf numFmtId="0" fontId="7" fillId="0" borderId="88" xfId="0" applyFont="1" applyBorder="1" applyAlignment="1">
      <alignment horizontal="center"/>
    </xf>
    <xf numFmtId="0" fontId="8" fillId="0" borderId="85" xfId="0" applyFont="1" applyBorder="1" applyAlignment="1">
      <alignment horizontal="center"/>
    </xf>
    <xf numFmtId="0" fontId="8" fillId="0" borderId="34" xfId="0" applyFont="1" applyBorder="1" applyAlignment="1">
      <alignment horizontal="center"/>
    </xf>
    <xf numFmtId="0" fontId="6" fillId="0" borderId="34" xfId="0" applyFont="1" applyBorder="1" applyAlignment="1">
      <alignment horizontal="center"/>
    </xf>
    <xf numFmtId="0" fontId="29" fillId="0" borderId="0" xfId="0" applyFont="1" applyBorder="1" applyAlignment="1">
      <alignment horizontal="center"/>
    </xf>
    <xf numFmtId="0" fontId="8" fillId="0" borderId="35" xfId="0" applyFont="1" applyBorder="1" applyAlignment="1">
      <alignment horizontal="center"/>
    </xf>
    <xf numFmtId="0" fontId="7" fillId="0" borderId="89" xfId="0" applyFont="1" applyBorder="1" applyAlignment="1">
      <alignment horizontal="center"/>
    </xf>
    <xf numFmtId="0" fontId="0" fillId="0" borderId="0" xfId="0" applyBorder="1" applyAlignment="1">
      <alignment horizontal="center"/>
    </xf>
    <xf numFmtId="0" fontId="26" fillId="0" borderId="0" xfId="0" applyFont="1" applyBorder="1" applyAlignment="1">
      <alignment horizontal="center"/>
    </xf>
    <xf numFmtId="0" fontId="0" fillId="0" borderId="0" xfId="0" applyFill="1" applyBorder="1" applyAlignment="1">
      <alignment horizontal="center"/>
    </xf>
    <xf numFmtId="0" fontId="12" fillId="0" borderId="0" xfId="0" applyFont="1" applyBorder="1" applyAlignment="1">
      <alignment horizontal="center"/>
    </xf>
    <xf numFmtId="0" fontId="4" fillId="0" borderId="10" xfId="0" applyFont="1" applyBorder="1" applyAlignment="1">
      <alignment horizontal="center"/>
    </xf>
    <xf numFmtId="0" fontId="6" fillId="0" borderId="56" xfId="0" applyFont="1" applyBorder="1" applyAlignment="1">
      <alignment horizontal="center"/>
    </xf>
    <xf numFmtId="43" fontId="9" fillId="0" borderId="182" xfId="28" applyFont="1" applyBorder="1" applyAlignment="1">
      <alignment horizontal="center"/>
    </xf>
    <xf numFmtId="43" fontId="9" fillId="0" borderId="20" xfId="28" applyFont="1" applyBorder="1" applyAlignment="1">
      <alignment horizontal="center"/>
    </xf>
    <xf numFmtId="0" fontId="11" fillId="0" borderId="0" xfId="0" applyFont="1" applyAlignment="1">
      <alignment horizontal="center"/>
    </xf>
    <xf numFmtId="0" fontId="7" fillId="0" borderId="107" xfId="0" applyFont="1" applyBorder="1" applyAlignment="1">
      <alignment horizontal="center"/>
    </xf>
    <xf numFmtId="0" fontId="7" fillId="0" borderId="183" xfId="0" applyFont="1" applyBorder="1" applyAlignment="1">
      <alignment horizontal="center"/>
    </xf>
    <xf numFmtId="0" fontId="7" fillId="0" borderId="106" xfId="0" applyFont="1" applyBorder="1" applyAlignment="1">
      <alignment horizontal="center"/>
    </xf>
    <xf numFmtId="0" fontId="7" fillId="0" borderId="110" xfId="0" applyFont="1" applyBorder="1" applyAlignment="1">
      <alignment horizontal="center"/>
    </xf>
    <xf numFmtId="0" fontId="7" fillId="0" borderId="80" xfId="0" applyFont="1" applyBorder="1" applyAlignment="1">
      <alignment horizontal="center" vertical="center"/>
    </xf>
    <xf numFmtId="0" fontId="7" fillId="0" borderId="14" xfId="0" applyFont="1" applyBorder="1" applyAlignment="1">
      <alignment horizontal="center" vertical="center"/>
    </xf>
    <xf numFmtId="0" fontId="7" fillId="0" borderId="80" xfId="0" applyFont="1" applyBorder="1" applyAlignment="1">
      <alignment horizontal="center"/>
    </xf>
    <xf numFmtId="0" fontId="7" fillId="0" borderId="14" xfId="0" applyFont="1" applyBorder="1" applyAlignment="1">
      <alignment horizontal="center"/>
    </xf>
    <xf numFmtId="0" fontId="14" fillId="0" borderId="100" xfId="0" applyFont="1" applyBorder="1" applyAlignment="1">
      <alignment horizontal="center"/>
    </xf>
    <xf numFmtId="0" fontId="14" fillId="0" borderId="13" xfId="0" applyFont="1" applyBorder="1" applyAlignment="1">
      <alignment horizontal="center"/>
    </xf>
    <xf numFmtId="0" fontId="14" fillId="0" borderId="109" xfId="0" applyFont="1" applyBorder="1" applyAlignment="1">
      <alignment horizontal="center"/>
    </xf>
    <xf numFmtId="0" fontId="14" fillId="0" borderId="55" xfId="0" applyFont="1" applyBorder="1" applyAlignment="1">
      <alignment horizontal="center"/>
    </xf>
    <xf numFmtId="0" fontId="14" fillId="0" borderId="182" xfId="0" applyFont="1" applyBorder="1" applyAlignment="1">
      <alignment horizontal="center"/>
    </xf>
    <xf numFmtId="0" fontId="14" fillId="0" borderId="20" xfId="0" applyFont="1" applyBorder="1" applyAlignment="1">
      <alignment horizontal="center"/>
    </xf>
    <xf numFmtId="0" fontId="14" fillId="0" borderId="182" xfId="0" applyFont="1" applyBorder="1" applyAlignment="1">
      <alignment horizontal="center" wrapText="1"/>
    </xf>
    <xf numFmtId="0" fontId="14" fillId="0" borderId="20" xfId="0" applyFont="1" applyBorder="1" applyAlignment="1">
      <alignment horizontal="center" wrapText="1"/>
    </xf>
    <xf numFmtId="0" fontId="14" fillId="0" borderId="103" xfId="0" applyFont="1" applyBorder="1" applyAlignment="1">
      <alignment horizontal="center"/>
    </xf>
    <xf numFmtId="0" fontId="14" fillId="0" borderId="21" xfId="0" applyFont="1" applyBorder="1" applyAlignment="1">
      <alignment horizontal="center"/>
    </xf>
    <xf numFmtId="0" fontId="17" fillId="0" borderId="19" xfId="0" applyFont="1" applyBorder="1" applyAlignment="1">
      <alignment horizontal="left" wrapText="1"/>
    </xf>
    <xf numFmtId="0" fontId="17" fillId="0" borderId="20" xfId="0" applyFont="1" applyBorder="1" applyAlignment="1">
      <alignment horizontal="left" wrapText="1"/>
    </xf>
    <xf numFmtId="0" fontId="7" fillId="0" borderId="22" xfId="0" applyFont="1" applyBorder="1" applyAlignment="1">
      <alignment horizontal="center" vertical="top" wrapText="1"/>
    </xf>
    <xf numFmtId="0" fontId="17" fillId="0" borderId="22" xfId="0" applyFont="1" applyBorder="1" applyAlignment="1">
      <alignment horizontal="left" vertical="center" wrapText="1"/>
    </xf>
    <xf numFmtId="0" fontId="14" fillId="0" borderId="12" xfId="0" applyFont="1" applyBorder="1" applyAlignment="1">
      <alignment horizontal="left" vertical="center" wrapText="1"/>
    </xf>
    <xf numFmtId="0" fontId="15" fillId="0" borderId="12" xfId="0" applyFont="1" applyBorder="1" applyAlignment="1">
      <alignment wrapText="1"/>
    </xf>
    <xf numFmtId="0" fontId="12" fillId="0" borderId="11" xfId="0" applyFont="1" applyBorder="1" applyAlignment="1">
      <alignment horizontal="left" wrapText="1"/>
    </xf>
    <xf numFmtId="0" fontId="17" fillId="0" borderId="22" xfId="0" applyFont="1" applyBorder="1" applyAlignment="1">
      <alignment horizontal="left" wrapText="1"/>
    </xf>
    <xf numFmtId="0" fontId="13" fillId="0" borderId="12" xfId="0" applyFont="1" applyBorder="1" applyAlignment="1">
      <alignment wrapText="1"/>
    </xf>
    <xf numFmtId="0" fontId="14" fillId="0" borderId="22" xfId="0" applyFont="1" applyBorder="1" applyAlignment="1">
      <alignment horizontal="left" wrapText="1"/>
    </xf>
    <xf numFmtId="0" fontId="14" fillId="0" borderId="12" xfId="0" applyFont="1" applyBorder="1" applyAlignment="1">
      <alignment wrapText="1"/>
    </xf>
    <xf numFmtId="0" fontId="14" fillId="0" borderId="70" xfId="0" applyFont="1" applyBorder="1" applyAlignment="1">
      <alignment wrapText="1"/>
    </xf>
    <xf numFmtId="0" fontId="0" fillId="0" borderId="70" xfId="0" applyBorder="1" applyAlignment="1">
      <alignment wrapText="1"/>
    </xf>
    <xf numFmtId="0" fontId="17" fillId="0" borderId="12" xfId="0" applyFont="1" applyBorder="1" applyAlignment="1">
      <alignment horizontal="left" wrapText="1"/>
    </xf>
    <xf numFmtId="0" fontId="17" fillId="0" borderId="21" xfId="0" applyFont="1" applyBorder="1" applyAlignment="1">
      <alignment horizontal="left" wrapText="1"/>
    </xf>
    <xf numFmtId="0" fontId="14" fillId="0" borderId="19" xfId="0" applyFont="1" applyBorder="1" applyAlignment="1">
      <alignment wrapText="1"/>
    </xf>
    <xf numFmtId="0" fontId="13" fillId="0" borderId="19" xfId="0" applyFont="1" applyBorder="1" applyAlignment="1">
      <alignment wrapText="1"/>
    </xf>
    <xf numFmtId="0" fontId="14" fillId="0" borderId="75" xfId="0" applyFont="1" applyBorder="1" applyAlignment="1">
      <alignment horizontal="left" wrapText="1"/>
    </xf>
    <xf numFmtId="0" fontId="0" fillId="0" borderId="12" xfId="0" applyBorder="1" applyAlignment="1">
      <alignment wrapText="1"/>
    </xf>
    <xf numFmtId="0" fontId="16" fillId="0" borderId="12" xfId="0" applyFont="1" applyBorder="1" applyAlignment="1">
      <alignment horizontal="left" wrapText="1"/>
    </xf>
    <xf numFmtId="0" fontId="14" fillId="0" borderId="82" xfId="0" applyFont="1" applyBorder="1" applyAlignment="1">
      <alignment horizontal="center"/>
    </xf>
    <xf numFmtId="0" fontId="14" fillId="0" borderId="15" xfId="0" applyFont="1" applyBorder="1" applyAlignment="1">
      <alignment horizontal="center"/>
    </xf>
    <xf numFmtId="0" fontId="4" fillId="0" borderId="10" xfId="0" applyFont="1" applyFill="1" applyBorder="1" applyAlignment="1">
      <alignment horizontal="center"/>
    </xf>
    <xf numFmtId="0" fontId="6" fillId="0" borderId="11" xfId="0" applyFont="1" applyFill="1" applyBorder="1" applyAlignment="1">
      <alignment horizontal="left"/>
    </xf>
    <xf numFmtId="0" fontId="6" fillId="0" borderId="89" xfId="0" applyFont="1" applyFill="1" applyBorder="1" applyAlignment="1">
      <alignment horizontal="left"/>
    </xf>
    <xf numFmtId="0" fontId="13" fillId="0" borderId="77" xfId="0" applyFont="1" applyBorder="1" applyAlignment="1">
      <alignment wrapText="1"/>
    </xf>
    <xf numFmtId="0" fontId="14" fillId="0" borderId="77" xfId="0" applyFont="1" applyBorder="1" applyAlignment="1">
      <alignment wrapText="1"/>
    </xf>
    <xf numFmtId="0" fontId="13" fillId="0" borderId="21" xfId="0" applyFont="1" applyBorder="1" applyAlignment="1">
      <alignment wrapText="1"/>
    </xf>
    <xf numFmtId="43" fontId="8" fillId="24" borderId="37" xfId="28" applyFont="1" applyFill="1" applyBorder="1" applyAlignment="1" applyProtection="1">
      <alignment horizontal="right"/>
      <protection locked="0"/>
    </xf>
    <xf numFmtId="43" fontId="8" fillId="24" borderId="27" xfId="28" applyFont="1" applyFill="1" applyBorder="1" applyAlignment="1" applyProtection="1">
      <alignment horizontal="right"/>
      <protection locked="0"/>
    </xf>
    <xf numFmtId="43" fontId="8" fillId="0" borderId="58" xfId="28" applyFont="1" applyBorder="1" applyAlignment="1">
      <alignment horizontal="right"/>
    </xf>
    <xf numFmtId="43" fontId="8" fillId="0" borderId="59" xfId="28" applyFont="1" applyBorder="1" applyAlignment="1">
      <alignment horizontal="right"/>
    </xf>
    <xf numFmtId="43" fontId="9" fillId="0" borderId="184" xfId="28" applyFont="1" applyBorder="1" applyAlignment="1">
      <alignment horizontal="center"/>
    </xf>
    <xf numFmtId="43" fontId="9" fillId="0" borderId="166" xfId="28" applyFont="1" applyBorder="1" applyAlignment="1">
      <alignment horizontal="center"/>
    </xf>
    <xf numFmtId="0" fontId="4" fillId="0" borderId="0" xfId="0" applyFont="1" applyFill="1" applyAlignment="1">
      <alignment horizontal="center"/>
    </xf>
    <xf numFmtId="0" fontId="17" fillId="0" borderId="106" xfId="0" applyFont="1" applyBorder="1" applyAlignment="1">
      <alignment horizontal="center"/>
    </xf>
    <xf numFmtId="49" fontId="9" fillId="0" borderId="85" xfId="0" applyNumberFormat="1" applyFont="1" applyBorder="1" applyAlignment="1">
      <alignment horizontal="center"/>
    </xf>
    <xf numFmtId="0" fontId="9" fillId="0" borderId="34" xfId="0" applyFont="1" applyBorder="1" applyAlignment="1">
      <alignment horizontal="center"/>
    </xf>
    <xf numFmtId="0" fontId="9" fillId="0" borderId="35" xfId="0" applyFont="1" applyBorder="1" applyAlignment="1">
      <alignment horizontal="center"/>
    </xf>
    <xf numFmtId="0" fontId="9" fillId="0" borderId="88" xfId="0" applyFont="1" applyBorder="1" applyAlignment="1">
      <alignment horizontal="center"/>
    </xf>
    <xf numFmtId="0" fontId="9" fillId="0" borderId="11" xfId="0" applyFont="1" applyBorder="1" applyAlignment="1">
      <alignment horizontal="center"/>
    </xf>
    <xf numFmtId="0" fontId="9" fillId="0" borderId="89" xfId="0" applyFont="1" applyBorder="1" applyAlignment="1">
      <alignment horizontal="center"/>
    </xf>
    <xf numFmtId="0" fontId="9" fillId="0" borderId="85" xfId="0" applyFont="1" applyBorder="1" applyAlignment="1">
      <alignment horizontal="center"/>
    </xf>
    <xf numFmtId="0" fontId="9" fillId="0" borderId="86" xfId="0" applyFont="1" applyBorder="1" applyAlignment="1">
      <alignment horizontal="center"/>
    </xf>
    <xf numFmtId="0" fontId="9" fillId="0" borderId="0" xfId="0" applyFont="1" applyBorder="1" applyAlignment="1">
      <alignment horizontal="center"/>
    </xf>
    <xf numFmtId="0" fontId="9" fillId="0" borderId="87" xfId="0" applyFont="1" applyBorder="1" applyAlignment="1">
      <alignment horizontal="center"/>
    </xf>
    <xf numFmtId="49" fontId="9" fillId="0" borderId="0" xfId="0" applyNumberFormat="1" applyFont="1" applyAlignment="1">
      <alignment horizontal="center"/>
    </xf>
    <xf numFmtId="0" fontId="7" fillId="0" borderId="100" xfId="0" applyFont="1" applyBorder="1" applyAlignment="1">
      <alignment horizontal="center"/>
    </xf>
    <xf numFmtId="0" fontId="7" fillId="0" borderId="56" xfId="0" applyFont="1" applyBorder="1" applyAlignment="1">
      <alignment horizontal="center"/>
    </xf>
    <xf numFmtId="0" fontId="7" fillId="0" borderId="13" xfId="0" applyFont="1" applyBorder="1" applyAlignment="1">
      <alignment horizontal="center"/>
    </xf>
    <xf numFmtId="0" fontId="7" fillId="0" borderId="109" xfId="0" applyFont="1" applyBorder="1" applyAlignment="1">
      <alignment horizontal="center"/>
    </xf>
    <xf numFmtId="0" fontId="7" fillId="0" borderId="55" xfId="0" applyFont="1" applyBorder="1" applyAlignment="1">
      <alignment horizontal="center"/>
    </xf>
    <xf numFmtId="0" fontId="6" fillId="0" borderId="109" xfId="0" applyFont="1" applyBorder="1" applyAlignment="1">
      <alignment horizontal="center" vertical="top"/>
    </xf>
    <xf numFmtId="0" fontId="6" fillId="0" borderId="11" xfId="0" applyFont="1" applyBorder="1" applyAlignment="1">
      <alignment horizontal="center" vertical="top"/>
    </xf>
    <xf numFmtId="0" fontId="6" fillId="0" borderId="89" xfId="0" applyFont="1" applyBorder="1" applyAlignment="1">
      <alignment horizontal="center" vertical="top"/>
    </xf>
    <xf numFmtId="0" fontId="17" fillId="0" borderId="109" xfId="0" applyFont="1" applyBorder="1" applyAlignment="1">
      <alignment horizontal="center"/>
    </xf>
    <xf numFmtId="0" fontId="17" fillId="0" borderId="55" xfId="0" applyFont="1" applyBorder="1" applyAlignment="1">
      <alignment horizontal="center"/>
    </xf>
    <xf numFmtId="0" fontId="6" fillId="0" borderId="109" xfId="0" applyFont="1" applyBorder="1" applyAlignment="1">
      <alignment horizontal="center"/>
    </xf>
    <xf numFmtId="0" fontId="6" fillId="0" borderId="89" xfId="0" applyFont="1" applyBorder="1" applyAlignment="1">
      <alignment horizontal="center"/>
    </xf>
    <xf numFmtId="0" fontId="17" fillId="0" borderId="0" xfId="0" applyFont="1" applyFill="1" applyAlignment="1">
      <alignment horizontal="center"/>
    </xf>
    <xf numFmtId="43" fontId="8" fillId="0" borderId="11" xfId="28" applyFont="1" applyBorder="1" applyAlignment="1">
      <alignment horizontal="center"/>
    </xf>
    <xf numFmtId="44" fontId="12" fillId="0" borderId="103" xfId="34" applyFont="1" applyBorder="1" applyAlignment="1">
      <alignment horizontal="center"/>
    </xf>
    <xf numFmtId="44" fontId="12" fillId="0" borderId="21" xfId="34" applyFont="1" applyBorder="1" applyAlignment="1">
      <alignment horizontal="center"/>
    </xf>
    <xf numFmtId="44" fontId="0" fillId="0" borderId="103" xfId="34" applyFont="1" applyBorder="1" applyAlignment="1">
      <alignment horizontal="center"/>
    </xf>
    <xf numFmtId="44" fontId="0" fillId="0" borderId="21" xfId="34" applyFont="1" applyBorder="1" applyAlignment="1">
      <alignment horizontal="center"/>
    </xf>
    <xf numFmtId="43" fontId="8" fillId="0" borderId="12" xfId="28" applyFont="1" applyBorder="1" applyAlignment="1">
      <alignment horizontal="right"/>
    </xf>
    <xf numFmtId="43" fontId="8" fillId="0" borderId="12" xfId="28" applyFont="1" applyBorder="1" applyAlignment="1">
      <alignment horizontal="center"/>
    </xf>
    <xf numFmtId="0" fontId="17" fillId="24" borderId="11" xfId="0" applyFont="1" applyFill="1" applyBorder="1" applyAlignment="1" applyProtection="1">
      <alignment horizontal="center"/>
      <protection locked="0"/>
    </xf>
    <xf numFmtId="0" fontId="43" fillId="0" borderId="0" xfId="0" applyFont="1" applyBorder="1" applyAlignment="1">
      <alignment horizontal="center"/>
    </xf>
    <xf numFmtId="0" fontId="6" fillId="0" borderId="0" xfId="0" applyFont="1" applyBorder="1" applyAlignment="1">
      <alignment horizontal="center" vertical="center"/>
    </xf>
    <xf numFmtId="43" fontId="14" fillId="0" borderId="16" xfId="28" applyFont="1" applyBorder="1" applyAlignment="1">
      <alignment horizontal="center"/>
    </xf>
    <xf numFmtId="43" fontId="14" fillId="0" borderId="27" xfId="28" applyFont="1" applyBorder="1" applyAlignment="1">
      <alignment horizontal="center"/>
    </xf>
    <xf numFmtId="43" fontId="12" fillId="24" borderId="37" xfId="28" applyFont="1" applyFill="1" applyBorder="1" applyAlignment="1" applyProtection="1">
      <alignment horizontal="right"/>
      <protection locked="0"/>
    </xf>
    <xf numFmtId="43" fontId="12" fillId="24" borderId="27" xfId="28" applyFont="1" applyFill="1" applyBorder="1" applyAlignment="1" applyProtection="1">
      <alignment horizontal="right"/>
      <protection locked="0"/>
    </xf>
    <xf numFmtId="0" fontId="7" fillId="0" borderId="82" xfId="0" applyFont="1" applyBorder="1" applyAlignment="1">
      <alignment horizontal="center"/>
    </xf>
    <xf numFmtId="0" fontId="7" fillId="0" borderId="15" xfId="0" applyFont="1" applyBorder="1" applyAlignment="1">
      <alignment horizontal="center"/>
    </xf>
    <xf numFmtId="49" fontId="12" fillId="24" borderId="11" xfId="28" applyNumberFormat="1" applyFont="1" applyFill="1" applyBorder="1" applyAlignment="1" applyProtection="1">
      <alignment horizontal="center"/>
      <protection locked="0"/>
    </xf>
    <xf numFmtId="49" fontId="12" fillId="24" borderId="187" xfId="28" applyNumberFormat="1" applyFont="1" applyFill="1" applyBorder="1" applyAlignment="1" applyProtection="1">
      <alignment horizontal="center"/>
      <protection locked="0"/>
    </xf>
    <xf numFmtId="168" fontId="12" fillId="24" borderId="11" xfId="28" applyNumberFormat="1" applyFont="1" applyFill="1" applyBorder="1" applyAlignment="1" applyProtection="1">
      <alignment horizontal="right"/>
      <protection locked="0"/>
    </xf>
    <xf numFmtId="168" fontId="12" fillId="24" borderId="187" xfId="28" applyNumberFormat="1" applyFont="1" applyFill="1" applyBorder="1" applyAlignment="1" applyProtection="1">
      <alignment horizontal="right"/>
      <protection locked="0"/>
    </xf>
    <xf numFmtId="43" fontId="12" fillId="24" borderId="11" xfId="28" applyFont="1" applyFill="1" applyBorder="1" applyAlignment="1" applyProtection="1">
      <alignment horizontal="center"/>
      <protection locked="0"/>
    </xf>
    <xf numFmtId="43" fontId="12" fillId="24" borderId="187" xfId="28" applyFont="1" applyFill="1" applyBorder="1" applyAlignment="1" applyProtection="1">
      <alignment horizontal="center"/>
      <protection locked="0"/>
    </xf>
    <xf numFmtId="43" fontId="12" fillId="0" borderId="37" xfId="28" applyFont="1" applyBorder="1" applyAlignment="1">
      <alignment horizontal="right"/>
    </xf>
    <xf numFmtId="43" fontId="12" fillId="0" borderId="27" xfId="28" applyFont="1" applyBorder="1" applyAlignment="1">
      <alignment horizontal="right"/>
    </xf>
    <xf numFmtId="43" fontId="14" fillId="0" borderId="37" xfId="28" applyFont="1" applyBorder="1" applyAlignment="1">
      <alignment horizontal="center"/>
    </xf>
    <xf numFmtId="43" fontId="12" fillId="0" borderId="18" xfId="28" applyFont="1" applyBorder="1" applyAlignment="1">
      <alignment horizontal="right"/>
    </xf>
    <xf numFmtId="43" fontId="12" fillId="24" borderId="12" xfId="28" applyFont="1" applyFill="1" applyBorder="1" applyAlignment="1" applyProtection="1">
      <alignment horizontal="center"/>
      <protection locked="0"/>
    </xf>
    <xf numFmtId="43" fontId="12" fillId="24" borderId="185" xfId="28" applyFont="1" applyFill="1" applyBorder="1" applyAlignment="1" applyProtection="1">
      <alignment horizontal="center"/>
      <protection locked="0"/>
    </xf>
    <xf numFmtId="171" fontId="12" fillId="24" borderId="12" xfId="28" applyNumberFormat="1" applyFont="1" applyFill="1" applyBorder="1" applyAlignment="1" applyProtection="1">
      <alignment horizontal="center"/>
      <protection locked="0"/>
    </xf>
    <xf numFmtId="171" fontId="12" fillId="24" borderId="185" xfId="28" applyNumberFormat="1" applyFont="1" applyFill="1" applyBorder="1" applyAlignment="1" applyProtection="1">
      <alignment horizontal="center"/>
      <protection locked="0"/>
    </xf>
    <xf numFmtId="43" fontId="42" fillId="0" borderId="97" xfId="28" applyFont="1" applyBorder="1" applyAlignment="1">
      <alignment horizontal="center"/>
    </xf>
    <xf numFmtId="43" fontId="42" fillId="0" borderId="186" xfId="28" applyFont="1" applyBorder="1" applyAlignment="1">
      <alignment horizontal="center"/>
    </xf>
    <xf numFmtId="171" fontId="12" fillId="24" borderId="11" xfId="28" applyNumberFormat="1" applyFont="1" applyFill="1" applyBorder="1" applyAlignment="1" applyProtection="1">
      <alignment horizontal="center"/>
      <protection locked="0"/>
    </xf>
    <xf numFmtId="171" fontId="12" fillId="24" borderId="187" xfId="28" applyNumberFormat="1" applyFont="1" applyFill="1" applyBorder="1" applyAlignment="1" applyProtection="1">
      <alignment horizontal="center"/>
      <protection locked="0"/>
    </xf>
    <xf numFmtId="171" fontId="12" fillId="24" borderId="11" xfId="28" applyNumberFormat="1" applyFont="1" applyFill="1" applyBorder="1" applyAlignment="1" applyProtection="1">
      <alignment horizontal="center" vertical="top"/>
      <protection locked="0"/>
    </xf>
    <xf numFmtId="171" fontId="12" fillId="24" borderId="187" xfId="28" applyNumberFormat="1" applyFont="1" applyFill="1" applyBorder="1" applyAlignment="1" applyProtection="1">
      <alignment horizontal="center" vertical="top"/>
      <protection locked="0"/>
    </xf>
    <xf numFmtId="43" fontId="42" fillId="0" borderId="34" xfId="28" applyFont="1" applyBorder="1" applyAlignment="1">
      <alignment horizontal="center" vertical="top"/>
    </xf>
    <xf numFmtId="43" fontId="42" fillId="0" borderId="188" xfId="28" applyFont="1" applyBorder="1" applyAlignment="1">
      <alignment horizontal="center" vertical="top"/>
    </xf>
    <xf numFmtId="171" fontId="12" fillId="0" borderId="34" xfId="28" applyNumberFormat="1" applyFont="1" applyFill="1" applyBorder="1" applyAlignment="1" applyProtection="1">
      <alignment horizontal="center"/>
      <protection locked="0"/>
    </xf>
    <xf numFmtId="171" fontId="12" fillId="0" borderId="188" xfId="28" applyNumberFormat="1" applyFont="1" applyFill="1" applyBorder="1" applyAlignment="1" applyProtection="1">
      <alignment horizontal="center"/>
      <protection locked="0"/>
    </xf>
    <xf numFmtId="43" fontId="42" fillId="0" borderId="136" xfId="28" applyFont="1" applyBorder="1" applyAlignment="1">
      <alignment horizontal="center"/>
    </xf>
    <xf numFmtId="43" fontId="42" fillId="0" borderId="195" xfId="28" applyFont="1" applyBorder="1" applyAlignment="1">
      <alignment horizontal="center"/>
    </xf>
    <xf numFmtId="171" fontId="12" fillId="0" borderId="0" xfId="28" applyNumberFormat="1" applyFont="1" applyFill="1" applyBorder="1" applyAlignment="1" applyProtection="1">
      <alignment horizontal="center"/>
      <protection locked="0"/>
    </xf>
    <xf numFmtId="171" fontId="12" fillId="0" borderId="134" xfId="28" applyNumberFormat="1" applyFont="1" applyFill="1" applyBorder="1" applyAlignment="1" applyProtection="1">
      <alignment horizontal="center"/>
      <protection locked="0"/>
    </xf>
    <xf numFmtId="171" fontId="12" fillId="0" borderId="0" xfId="28" applyNumberFormat="1" applyFont="1" applyFill="1" applyBorder="1" applyAlignment="1" applyProtection="1">
      <alignment horizontal="center" vertical="top"/>
      <protection locked="0"/>
    </xf>
    <xf numFmtId="171" fontId="12" fillId="0" borderId="134" xfId="28" applyNumberFormat="1" applyFont="1" applyFill="1" applyBorder="1" applyAlignment="1" applyProtection="1">
      <alignment horizontal="center" vertical="top"/>
      <protection locked="0"/>
    </xf>
    <xf numFmtId="43" fontId="3" fillId="0" borderId="37" xfId="28" applyFont="1" applyBorder="1" applyAlignment="1">
      <alignment horizontal="right"/>
    </xf>
    <xf numFmtId="43" fontId="3" fillId="0" borderId="18" xfId="28" applyFont="1" applyBorder="1" applyAlignment="1">
      <alignment horizontal="right"/>
    </xf>
    <xf numFmtId="43" fontId="14" fillId="0" borderId="143" xfId="28" applyFont="1" applyBorder="1" applyAlignment="1">
      <alignment horizontal="left"/>
    </xf>
    <xf numFmtId="43" fontId="14" fillId="0" borderId="35" xfId="28" applyFont="1" applyBorder="1" applyAlignment="1">
      <alignment horizontal="left"/>
    </xf>
    <xf numFmtId="43" fontId="14" fillId="0" borderId="196" xfId="28" applyFont="1" applyBorder="1" applyAlignment="1">
      <alignment horizontal="left"/>
    </xf>
    <xf numFmtId="43" fontId="14" fillId="0" borderId="197" xfId="28" applyFont="1" applyBorder="1" applyAlignment="1">
      <alignment horizontal="left"/>
    </xf>
    <xf numFmtId="43" fontId="12" fillId="24" borderId="11" xfId="28" applyFont="1" applyFill="1" applyBorder="1" applyAlignment="1" applyProtection="1">
      <alignment horizontal="right"/>
      <protection locked="0"/>
    </xf>
    <xf numFmtId="43" fontId="12" fillId="24" borderId="187" xfId="28" applyFont="1" applyFill="1" applyBorder="1" applyAlignment="1" applyProtection="1">
      <alignment horizontal="right"/>
      <protection locked="0"/>
    </xf>
    <xf numFmtId="43" fontId="14" fillId="0" borderId="13" xfId="28" applyFont="1" applyBorder="1" applyAlignment="1">
      <alignment horizontal="center"/>
    </xf>
    <xf numFmtId="43" fontId="14" fillId="0" borderId="55" xfId="28" applyFont="1" applyBorder="1" applyAlignment="1">
      <alignment horizontal="center"/>
    </xf>
    <xf numFmtId="43" fontId="14" fillId="0" borderId="142" xfId="28" applyFont="1" applyBorder="1" applyAlignment="1">
      <alignment horizontal="center"/>
    </xf>
    <xf numFmtId="43" fontId="14" fillId="0" borderId="112" xfId="28" applyFont="1" applyBorder="1" applyAlignment="1">
      <alignment horizontal="center"/>
    </xf>
    <xf numFmtId="43" fontId="14" fillId="0" borderId="145" xfId="28" applyFont="1" applyBorder="1" applyAlignment="1">
      <alignment horizontal="center"/>
    </xf>
    <xf numFmtId="43" fontId="14" fillId="0" borderId="89" xfId="28" applyFont="1" applyBorder="1" applyAlignment="1">
      <alignment horizontal="center"/>
    </xf>
    <xf numFmtId="166" fontId="0" fillId="0" borderId="11" xfId="0" applyNumberFormat="1" applyBorder="1" applyAlignment="1">
      <alignment horizontal="center"/>
    </xf>
  </cellXfs>
  <cellStyles count="6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10" xfId="59" xr:uid="{00000000-0005-0000-0000-00001C000000}"/>
    <cellStyle name="Comma 2" xfId="29" xr:uid="{00000000-0005-0000-0000-00001D000000}"/>
    <cellStyle name="Comma 2 2" xfId="30" xr:uid="{00000000-0005-0000-0000-00001E000000}"/>
    <cellStyle name="Comma 3" xfId="31" xr:uid="{00000000-0005-0000-0000-00001F000000}"/>
    <cellStyle name="Comma 4" xfId="32" xr:uid="{00000000-0005-0000-0000-000020000000}"/>
    <cellStyle name="Comma 5" xfId="33" xr:uid="{00000000-0005-0000-0000-000021000000}"/>
    <cellStyle name="Currency" xfId="34" builtinId="4"/>
    <cellStyle name="Currency 2" xfId="35" xr:uid="{00000000-0005-0000-0000-000023000000}"/>
    <cellStyle name="Currency 3" xfId="36" xr:uid="{00000000-0005-0000-0000-000024000000}"/>
    <cellStyle name="Explanatory Text" xfId="37" builtinId="53" customBuiltin="1"/>
    <cellStyle name="Good" xfId="38" builtinId="26" customBuiltin="1"/>
    <cellStyle name="Heading 1" xfId="39" builtinId="16" customBuiltin="1"/>
    <cellStyle name="Heading 2" xfId="40" builtinId="17" customBuiltin="1"/>
    <cellStyle name="Heading 3" xfId="41" builtinId="18" customBuiltin="1"/>
    <cellStyle name="Heading 4" xfId="42" builtinId="19" customBuiltin="1"/>
    <cellStyle name="Hyperlink" xfId="61" builtinId="8"/>
    <cellStyle name="Hyperlink 2" xfId="60" xr:uid="{00000000-0005-0000-0000-00002C000000}"/>
    <cellStyle name="Input" xfId="43" builtinId="20" customBuiltin="1"/>
    <cellStyle name="Linked Cell" xfId="44" builtinId="24" customBuiltin="1"/>
    <cellStyle name="Neutral" xfId="45" builtinId="28" customBuiltin="1"/>
    <cellStyle name="Normal" xfId="0" builtinId="0"/>
    <cellStyle name="Normal 2" xfId="46" xr:uid="{00000000-0005-0000-0000-000031000000}"/>
    <cellStyle name="Normal 3" xfId="47" xr:uid="{00000000-0005-0000-0000-000032000000}"/>
    <cellStyle name="Normal 3 2" xfId="48" xr:uid="{00000000-0005-0000-0000-000033000000}"/>
    <cellStyle name="Normal 4" xfId="62" xr:uid="{00000000-0005-0000-0000-000034000000}"/>
    <cellStyle name="Normal 6" xfId="58" xr:uid="{00000000-0005-0000-0000-000035000000}"/>
    <cellStyle name="Normal 6 2" xfId="63" xr:uid="{00000000-0005-0000-0000-000036000000}"/>
    <cellStyle name="Normal_Advertisement" xfId="49" xr:uid="{00000000-0005-0000-0000-000037000000}"/>
    <cellStyle name="Note" xfId="50" builtinId="10" customBuiltin="1"/>
    <cellStyle name="Output" xfId="51" builtinId="21" customBuiltin="1"/>
    <cellStyle name="Percent" xfId="52" builtinId="5"/>
    <cellStyle name="Percent 2" xfId="53" xr:uid="{00000000-0005-0000-0000-00003B000000}"/>
    <cellStyle name="Percent 3" xfId="54" xr:uid="{00000000-0005-0000-0000-00003C000000}"/>
    <cellStyle name="Title" xfId="55" builtinId="15" customBuiltin="1"/>
    <cellStyle name="Total" xfId="56" builtinId="25" customBuiltin="1"/>
    <cellStyle name="Warning Text" xfId="57" builtinId="11" customBuiltin="1"/>
  </cellStyles>
  <dxfs count="5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externalLink" Target="externalLinks/externalLink2.xml"/><Relationship Id="rId186" Type="http://schemas.openxmlformats.org/officeDocument/2006/relationships/styles" Target="styles.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82" Type="http://schemas.openxmlformats.org/officeDocument/2006/relationships/externalLink" Target="externalLinks/externalLink3.xml"/><Relationship Id="rId187"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172" Type="http://schemas.openxmlformats.org/officeDocument/2006/relationships/worksheet" Target="worksheets/sheet17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externalLink" Target="externalLinks/externalLink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'Budget Projection'!$AK$5</c:f>
              <c:strCache>
                <c:ptCount val="1"/>
                <c:pt idx="0">
                  <c:v>Surplus/Deficit</c:v>
                </c:pt>
              </c:strCache>
            </c:strRef>
          </c:tx>
          <c:spPr>
            <a:solidFill>
              <a:schemeClr val="accent1"/>
            </a:solidFill>
            <a:ln>
              <a:noFill/>
            </a:ln>
            <a:effectLst/>
          </c:spPr>
          <c:invertIfNegative val="0"/>
          <c:dLbls>
            <c:dLbl>
              <c:idx val="4"/>
              <c:layout>
                <c:manualLayout>
                  <c:x val="-8.0128205128205121E-3"/>
                  <c:y val="-3.0403186646017891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695-4DB8-9F98-24648C20946D}"/>
                </c:ext>
              </c:extLst>
            </c:dLbl>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2019 Realized</c:v>
                </c:pt>
                <c:pt idx="1">
                  <c:v>2020 Budgeted</c:v>
                </c:pt>
                <c:pt idx="2">
                  <c:v>2022 Projected</c:v>
                </c:pt>
                <c:pt idx="3">
                  <c:v>2023 Projected</c:v>
                </c:pt>
                <c:pt idx="4">
                  <c:v>2024 Projected</c:v>
                </c:pt>
                <c:pt idx="5">
                  <c:v>2025 Projected</c:v>
                </c:pt>
                <c:pt idx="6">
                  <c:v>2026 Projected</c:v>
                </c:pt>
              </c:strCache>
            </c:strRef>
          </c:cat>
          <c:val>
            <c:numRef>
              <c:f>'Budget Projection'!$AL$5:$AR$5</c:f>
              <c:numCache>
                <c:formatCode>#,##0_);[Red]\(#,##0\)</c:formatCode>
                <c:ptCount val="7"/>
                <c:pt idx="0">
                  <c:v>297166.34999999998</c:v>
                </c:pt>
                <c:pt idx="1">
                  <c:v>0</c:v>
                </c:pt>
                <c:pt idx="2">
                  <c:v>-311775.48120000015</c:v>
                </c:pt>
                <c:pt idx="3">
                  <c:v>-312009.47692083509</c:v>
                </c:pt>
                <c:pt idx="4">
                  <c:v>-312251.48100376641</c:v>
                </c:pt>
                <c:pt idx="5">
                  <c:v>-312501.83335221128</c:v>
                </c:pt>
                <c:pt idx="6">
                  <c:v>-312760.89037340798</c:v>
                </c:pt>
              </c:numCache>
            </c:numRef>
          </c:val>
          <c:extLst>
            <c:ext xmlns:c16="http://schemas.microsoft.com/office/drawing/2014/chart" uri="{C3380CC4-5D6E-409C-BE32-E72D297353CC}">
              <c16:uniqueId val="{00000001-E695-4DB8-9F98-24648C20946D}"/>
            </c:ext>
          </c:extLst>
        </c:ser>
        <c:ser>
          <c:idx val="1"/>
          <c:order val="1"/>
          <c:tx>
            <c:strRef>
              <c:f>'Budget Projection'!$AK$6</c:f>
              <c:strCache>
                <c:ptCount val="1"/>
                <c:pt idx="0">
                  <c:v>Ending Fund Balance</c:v>
                </c:pt>
              </c:strCache>
            </c:strRef>
          </c:tx>
          <c:spPr>
            <a:solidFill>
              <a:schemeClr val="accent3"/>
            </a:solidFill>
            <a:ln>
              <a:noFill/>
            </a:ln>
            <a:effectLst/>
          </c:spPr>
          <c:invertIfNegative val="0"/>
          <c:dLbls>
            <c:numFmt formatCode="&quot;$&quot;#,##0.0_);[Red]\(&quot;$&quot;#,##0.0\)" sourceLinked="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'Budget Projection'!$AL$4:$AR$4</c:f>
              <c:strCache>
                <c:ptCount val="7"/>
                <c:pt idx="0">
                  <c:v>2019 Realized</c:v>
                </c:pt>
                <c:pt idx="1">
                  <c:v>2020 Budgeted</c:v>
                </c:pt>
                <c:pt idx="2">
                  <c:v>2022 Projected</c:v>
                </c:pt>
                <c:pt idx="3">
                  <c:v>2023 Projected</c:v>
                </c:pt>
                <c:pt idx="4">
                  <c:v>2024 Projected</c:v>
                </c:pt>
                <c:pt idx="5">
                  <c:v>2025 Projected</c:v>
                </c:pt>
                <c:pt idx="6">
                  <c:v>2026 Projected</c:v>
                </c:pt>
              </c:strCache>
            </c:strRef>
          </c:cat>
          <c:val>
            <c:numRef>
              <c:f>'Budget Projection'!$AL$6:$AR$6</c:f>
              <c:numCache>
                <c:formatCode>#,##0_);[Red]\(#,##0\)</c:formatCode>
                <c:ptCount val="7"/>
                <c:pt idx="0">
                  <c:v>535018.32999999961</c:v>
                </c:pt>
                <c:pt idx="1">
                  <c:v>232818.32999999961</c:v>
                </c:pt>
                <c:pt idx="2">
                  <c:v>-78957.151200000546</c:v>
                </c:pt>
                <c:pt idx="3">
                  <c:v>-390966.62812083564</c:v>
                </c:pt>
                <c:pt idx="4">
                  <c:v>-703218.10912460205</c:v>
                </c:pt>
                <c:pt idx="5">
                  <c:v>-1015719.9424768133</c:v>
                </c:pt>
                <c:pt idx="6">
                  <c:v>-1328480.8328502213</c:v>
                </c:pt>
              </c:numCache>
            </c:numRef>
          </c:val>
          <c:extLst>
            <c:ext xmlns:c16="http://schemas.microsoft.com/office/drawing/2014/chart" uri="{C3380CC4-5D6E-409C-BE32-E72D297353CC}">
              <c16:uniqueId val="{00000002-E695-4DB8-9F98-24648C20946D}"/>
            </c:ext>
          </c:extLst>
        </c:ser>
        <c:dLbls>
          <c:showLegendKey val="0"/>
          <c:showVal val="0"/>
          <c:showCatName val="0"/>
          <c:showSerName val="0"/>
          <c:showPercent val="0"/>
          <c:showBubbleSize val="0"/>
        </c:dLbls>
        <c:gapWidth val="219"/>
        <c:overlap val="-27"/>
        <c:axId val="138146304"/>
        <c:axId val="193949632"/>
      </c:barChart>
      <c:catAx>
        <c:axId val="13814630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crossAx val="193949632"/>
        <c:crosses val="autoZero"/>
        <c:auto val="1"/>
        <c:lblAlgn val="ctr"/>
        <c:lblOffset val="100"/>
        <c:noMultiLvlLbl val="0"/>
      </c:catAx>
      <c:valAx>
        <c:axId val="19394963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_);[Red]\(&quot;$&quot;#,##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8146304"/>
        <c:crosses val="autoZero"/>
        <c:crossBetween val="between"/>
        <c:dispUnits>
          <c:builtInUnit val="millions"/>
          <c:dispUnitsLbl>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dispUnitsLbl>
        </c:dispUnits>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Drop" dropLines="20" dropStyle="combo" dx="22" fmlaLink="$E$4" fmlaRange="Info!$E$2:$E$566" noThreeD="1" sel="179" val="173"/>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lockText="1" noThreeD="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Drop" dropLines="3" dropStyle="combo" dx="22" fmlaLink="$I$3" fmlaRange="$AK$7:$AK$9" noThreeD="1" sel="2" val="0"/>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9525</xdr:colOff>
          <xdr:row>3</xdr:row>
          <xdr:rowOff>9525</xdr:rowOff>
        </xdr:from>
        <xdr:to>
          <xdr:col>7</xdr:col>
          <xdr:colOff>333375</xdr:colOff>
          <xdr:row>3</xdr:row>
          <xdr:rowOff>257175</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9</xdr:col>
          <xdr:colOff>9525</xdr:colOff>
          <xdr:row>2</xdr:row>
          <xdr:rowOff>152400</xdr:rowOff>
        </xdr:from>
        <xdr:to>
          <xdr:col>13</xdr:col>
          <xdr:colOff>600075</xdr:colOff>
          <xdr:row>3</xdr:row>
          <xdr:rowOff>247650</xdr:rowOff>
        </xdr:to>
        <xdr:sp macro="" textlink="">
          <xdr:nvSpPr>
            <xdr:cNvPr id="1027" name="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Convert to Standard Template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9525</xdr:colOff>
          <xdr:row>4</xdr:row>
          <xdr:rowOff>66675</xdr:rowOff>
        </xdr:from>
        <xdr:to>
          <xdr:col>14</xdr:col>
          <xdr:colOff>0</xdr:colOff>
          <xdr:row>6</xdr:row>
          <xdr:rowOff>0</xdr:rowOff>
        </xdr:to>
        <xdr:sp macro="" textlink="">
          <xdr:nvSpPr>
            <xdr:cNvPr id="1029" name="Butto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Revert to Expanded Template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371475</xdr:colOff>
          <xdr:row>1</xdr:row>
          <xdr:rowOff>19050</xdr:rowOff>
        </xdr:from>
        <xdr:to>
          <xdr:col>5</xdr:col>
          <xdr:colOff>923925</xdr:colOff>
          <xdr:row>2</xdr:row>
          <xdr:rowOff>152400</xdr:rowOff>
        </xdr:to>
        <xdr:sp macro="" textlink="">
          <xdr:nvSpPr>
            <xdr:cNvPr id="76801" name="Button 1" hidden="1">
              <a:extLst>
                <a:ext uri="{63B3BB69-23CF-44E3-9099-C40C66FF867C}">
                  <a14:compatExt spid="_x0000_s76801"/>
                </a:ext>
                <a:ext uri="{FF2B5EF4-FFF2-40B4-BE49-F238E27FC236}">
                  <a16:creationId xmlns:a16="http://schemas.microsoft.com/office/drawing/2014/main" id="{00000000-0008-0000-0700-000001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Collapse Budget Summary</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28575</xdr:colOff>
          <xdr:row>1</xdr:row>
          <xdr:rowOff>9525</xdr:rowOff>
        </xdr:from>
        <xdr:to>
          <xdr:col>7</xdr:col>
          <xdr:colOff>581025</xdr:colOff>
          <xdr:row>2</xdr:row>
          <xdr:rowOff>142875</xdr:rowOff>
        </xdr:to>
        <xdr:sp macro="" textlink="">
          <xdr:nvSpPr>
            <xdr:cNvPr id="76803" name="Button 3" hidden="1">
              <a:extLst>
                <a:ext uri="{63B3BB69-23CF-44E3-9099-C40C66FF867C}">
                  <a14:compatExt spid="_x0000_s76803"/>
                </a:ext>
                <a:ext uri="{FF2B5EF4-FFF2-40B4-BE49-F238E27FC236}">
                  <a16:creationId xmlns:a16="http://schemas.microsoft.com/office/drawing/2014/main" id="{00000000-0008-0000-0700-0000032C01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Expand Budget Summary</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1</xdr:row>
      <xdr:rowOff>133350</xdr:rowOff>
    </xdr:from>
    <xdr:to>
      <xdr:col>5</xdr:col>
      <xdr:colOff>742949</xdr:colOff>
      <xdr:row>10</xdr:row>
      <xdr:rowOff>95250</xdr:rowOff>
    </xdr:to>
    <xdr:graphicFrame macro="">
      <xdr:nvGraphicFramePr>
        <xdr:cNvPr id="2" name="Chart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mc:AlternateContent xmlns:mc="http://schemas.openxmlformats.org/markup-compatibility/2006">
    <mc:Choice xmlns:a14="http://schemas.microsoft.com/office/drawing/2010/main" Requires="a14">
      <xdr:twoCellAnchor editAs="oneCell">
        <xdr:from>
          <xdr:col>6</xdr:col>
          <xdr:colOff>9525</xdr:colOff>
          <xdr:row>2</xdr:row>
          <xdr:rowOff>0</xdr:rowOff>
        </xdr:from>
        <xdr:to>
          <xdr:col>8</xdr:col>
          <xdr:colOff>933450</xdr:colOff>
          <xdr:row>3</xdr:row>
          <xdr:rowOff>66675</xdr:rowOff>
        </xdr:to>
        <xdr:sp macro="" textlink="">
          <xdr:nvSpPr>
            <xdr:cNvPr id="256001" name="Drop Down 1" hidden="1">
              <a:extLst>
                <a:ext uri="{63B3BB69-23CF-44E3-9099-C40C66FF867C}">
                  <a14:compatExt spid="_x0000_s256001"/>
                </a:ext>
                <a:ext uri="{FF2B5EF4-FFF2-40B4-BE49-F238E27FC236}">
                  <a16:creationId xmlns:a16="http://schemas.microsoft.com/office/drawing/2014/main" id="{00000000-0008-0000-0900-000001E80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952500</xdr:colOff>
          <xdr:row>9</xdr:row>
          <xdr:rowOff>0</xdr:rowOff>
        </xdr:from>
        <xdr:to>
          <xdr:col>7</xdr:col>
          <xdr:colOff>876300</xdr:colOff>
          <xdr:row>10</xdr:row>
          <xdr:rowOff>47625</xdr:rowOff>
        </xdr:to>
        <xdr:sp macro="" textlink="">
          <xdr:nvSpPr>
            <xdr:cNvPr id="256002" name="Button 2" hidden="1">
              <a:extLst>
                <a:ext uri="{63B3BB69-23CF-44E3-9099-C40C66FF867C}">
                  <a14:compatExt spid="_x0000_s256002"/>
                </a:ext>
                <a:ext uri="{FF2B5EF4-FFF2-40B4-BE49-F238E27FC236}">
                  <a16:creationId xmlns:a16="http://schemas.microsoft.com/office/drawing/2014/main" id="{00000000-0008-0000-0900-000002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Collapse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xdr:row>
          <xdr:rowOff>85725</xdr:rowOff>
        </xdr:from>
        <xdr:to>
          <xdr:col>7</xdr:col>
          <xdr:colOff>885825</xdr:colOff>
          <xdr:row>11</xdr:row>
          <xdr:rowOff>142875</xdr:rowOff>
        </xdr:to>
        <xdr:sp macro="" textlink="">
          <xdr:nvSpPr>
            <xdr:cNvPr id="256003" name="Button 3" hidden="1">
              <a:extLst>
                <a:ext uri="{63B3BB69-23CF-44E3-9099-C40C66FF867C}">
                  <a14:compatExt spid="_x0000_s256003"/>
                </a:ext>
                <a:ext uri="{FF2B5EF4-FFF2-40B4-BE49-F238E27FC236}">
                  <a16:creationId xmlns:a16="http://schemas.microsoft.com/office/drawing/2014/main" id="{00000000-0008-0000-0900-000003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Expand Items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5</xdr:row>
          <xdr:rowOff>66675</xdr:rowOff>
        </xdr:from>
        <xdr:to>
          <xdr:col>7</xdr:col>
          <xdr:colOff>885825</xdr:colOff>
          <xdr:row>6</xdr:row>
          <xdr:rowOff>123825</xdr:rowOff>
        </xdr:to>
        <xdr:sp macro="" textlink="">
          <xdr:nvSpPr>
            <xdr:cNvPr id="256004" name="Button 4" hidden="1">
              <a:extLst>
                <a:ext uri="{63B3BB69-23CF-44E3-9099-C40C66FF867C}">
                  <a14:compatExt spid="_x0000_s256004"/>
                </a:ext>
                <a:ext uri="{FF2B5EF4-FFF2-40B4-BE49-F238E27FC236}">
                  <a16:creationId xmlns:a16="http://schemas.microsoft.com/office/drawing/2014/main" id="{00000000-0008-0000-0900-000004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Revenues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6</xdr:row>
          <xdr:rowOff>152400</xdr:rowOff>
        </xdr:from>
        <xdr:to>
          <xdr:col>7</xdr:col>
          <xdr:colOff>885825</xdr:colOff>
          <xdr:row>7</xdr:row>
          <xdr:rowOff>123825</xdr:rowOff>
        </xdr:to>
        <xdr:sp macro="" textlink="">
          <xdr:nvSpPr>
            <xdr:cNvPr id="256005" name="Button 5" hidden="1">
              <a:extLst>
                <a:ext uri="{63B3BB69-23CF-44E3-9099-C40C66FF867C}">
                  <a14:compatExt spid="_x0000_s256005"/>
                </a:ext>
                <a:ext uri="{FF2B5EF4-FFF2-40B4-BE49-F238E27FC236}">
                  <a16:creationId xmlns:a16="http://schemas.microsoft.com/office/drawing/2014/main" id="{00000000-0008-0000-0900-000005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952500</xdr:colOff>
          <xdr:row>7</xdr:row>
          <xdr:rowOff>152400</xdr:rowOff>
        </xdr:from>
        <xdr:to>
          <xdr:col>7</xdr:col>
          <xdr:colOff>876300</xdr:colOff>
          <xdr:row>8</xdr:row>
          <xdr:rowOff>171450</xdr:rowOff>
        </xdr:to>
        <xdr:sp macro="" textlink="">
          <xdr:nvSpPr>
            <xdr:cNvPr id="256006" name="Button 6" hidden="1">
              <a:extLst>
                <a:ext uri="{63B3BB69-23CF-44E3-9099-C40C66FF867C}">
                  <a14:compatExt spid="_x0000_s256006"/>
                </a:ext>
                <a:ext uri="{FF2B5EF4-FFF2-40B4-BE49-F238E27FC236}">
                  <a16:creationId xmlns:a16="http://schemas.microsoft.com/office/drawing/2014/main" id="{00000000-0008-0000-0900-000006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Line Item Expenditures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xdr:row>
          <xdr:rowOff>19050</xdr:rowOff>
        </xdr:from>
        <xdr:to>
          <xdr:col>7</xdr:col>
          <xdr:colOff>885825</xdr:colOff>
          <xdr:row>5</xdr:row>
          <xdr:rowOff>28575</xdr:rowOff>
        </xdr:to>
        <xdr:sp macro="" textlink="">
          <xdr:nvSpPr>
            <xdr:cNvPr id="256007" name="Button 7" hidden="1">
              <a:extLst>
                <a:ext uri="{63B3BB69-23CF-44E3-9099-C40C66FF867C}">
                  <a14:compatExt spid="_x0000_s256007"/>
                </a:ext>
                <a:ext uri="{FF2B5EF4-FFF2-40B4-BE49-F238E27FC236}">
                  <a16:creationId xmlns:a16="http://schemas.microsoft.com/office/drawing/2014/main" id="{00000000-0008-0000-0900-000007E803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Go to Summaries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28575</xdr:colOff>
          <xdr:row>33</xdr:row>
          <xdr:rowOff>123825</xdr:rowOff>
        </xdr:from>
        <xdr:to>
          <xdr:col>12</xdr:col>
          <xdr:colOff>228600</xdr:colOff>
          <xdr:row>35</xdr:row>
          <xdr:rowOff>38100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B2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Y:\Muni\Ventnor\2010\budget\2011%20Budget%20adopt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Y:\Users\ken\Desktop\ventnor%20levycapcalcwrkbk-muni.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ata/ABSECON%20-%20BUDGET%20&amp;%20FUND%20BALANCE%20HISTORY.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AUDIT\Ocean%20City\Ocean%20City%20Budget%201999.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AUDIT\Ocean%20City\Ocean%20City%20Budget%20199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partment totals"/>
      <sheetName val="Summary"/>
      <sheetName val="rate"/>
      <sheetName val="impact"/>
      <sheetName val="data"/>
      <sheetName val="STATE SUMMARY"/>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Cap Bank"/>
      <sheetName val="Sheet A"/>
      <sheetName val="1"/>
      <sheetName val="1a"/>
      <sheetName val="2"/>
      <sheetName val="3"/>
      <sheetName val="3a"/>
      <sheetName val="3b"/>
      <sheetName val="3d"/>
      <sheetName val="3e"/>
      <sheetName val="Cap Cal"/>
      <sheetName val="levy cap"/>
      <sheetName val="4"/>
      <sheetName val="4a"/>
      <sheetName val="4b"/>
      <sheetName val="5"/>
      <sheetName val="6"/>
      <sheetName val="7"/>
      <sheetName val="8"/>
      <sheetName val="9"/>
      <sheetName val="9a"/>
      <sheetName val="9b"/>
      <sheetName val="10"/>
      <sheetName val="10a"/>
      <sheetName val="11"/>
      <sheetName val="12"/>
      <sheetName val="13"/>
      <sheetName val="14"/>
      <sheetName val="15"/>
      <sheetName val="15a"/>
      <sheetName val="15b"/>
      <sheetName val="15c"/>
      <sheetName val="15d"/>
      <sheetName val="15e"/>
      <sheetName val="16"/>
      <sheetName val="17"/>
      <sheetName val="18"/>
      <sheetName val="19"/>
      <sheetName val="20"/>
      <sheetName val="20a"/>
      <sheetName val="21"/>
      <sheetName val="22"/>
      <sheetName val="23"/>
      <sheetName val="24"/>
      <sheetName val="24a"/>
      <sheetName val="24b"/>
      <sheetName val="25"/>
      <sheetName val="26"/>
      <sheetName val="26a"/>
      <sheetName val="27"/>
      <sheetName val="28"/>
      <sheetName val="29"/>
      <sheetName val="30"/>
      <sheetName val="31"/>
      <sheetName val="32"/>
      <sheetName val="33"/>
      <sheetName val="34"/>
      <sheetName val="35 36"/>
      <sheetName val="37"/>
      <sheetName val="38"/>
      <sheetName val="39"/>
      <sheetName val="40"/>
      <sheetName val="40a"/>
      <sheetName val="40b"/>
      <sheetName val="40c"/>
      <sheetName val="40d"/>
      <sheetName val="41"/>
      <sheetName val="42"/>
      <sheetName val="43"/>
      <sheetName val="44 a"/>
      <sheetName val="newspaper"/>
    </sheetNames>
    <sheetDataSet>
      <sheetData sheetId="0"/>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ow r="4">
          <cell r="C4">
            <v>0.16700000000000001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Data Entry"/>
      <sheetName val="Recipient Shared Serv Exclusion"/>
      <sheetName val="Summary Levy Cap Calc Worksheet"/>
      <sheetName val="Shared Services Worksheet"/>
      <sheetName val="Health Care Calc Worksheet"/>
      <sheetName val="Pension Contrib Calc Worksheet"/>
      <sheetName val="LOSAP Worksheet"/>
      <sheetName val="Capital Imps Worksheet"/>
      <sheetName val="Debt Service Calc Worksheet "/>
      <sheetName val="Tables"/>
      <sheetName val="Cap Bank"/>
    </sheetNames>
    <sheetDataSet>
      <sheetData sheetId="0"/>
      <sheetData sheetId="1"/>
      <sheetData sheetId="2"/>
      <sheetData sheetId="3"/>
      <sheetData sheetId="4"/>
      <sheetData sheetId="5"/>
      <sheetData sheetId="6"/>
      <sheetData sheetId="7"/>
      <sheetData sheetId="8"/>
      <sheetData sheetId="9">
        <row r="2">
          <cell r="A2" t="str">
            <v>0000</v>
          </cell>
          <cell r="D2" t="str">
            <v xml:space="preserve"> None</v>
          </cell>
        </row>
        <row r="3">
          <cell r="A3" t="str">
            <v>1330</v>
          </cell>
          <cell r="D3" t="str">
            <v>Aberdeen Township (Monmouth)</v>
          </cell>
        </row>
        <row r="4">
          <cell r="A4" t="str">
            <v>0101</v>
          </cell>
          <cell r="D4" t="str">
            <v>Absecon City (Atlantic)</v>
          </cell>
        </row>
        <row r="5">
          <cell r="A5" t="str">
            <v>1001</v>
          </cell>
          <cell r="D5" t="str">
            <v>Alexandria Township (Hunterdon)</v>
          </cell>
        </row>
        <row r="6">
          <cell r="A6" t="str">
            <v>2101</v>
          </cell>
          <cell r="D6" t="str">
            <v>Allamuchy Township (Warren)</v>
          </cell>
        </row>
        <row r="7">
          <cell r="A7" t="str">
            <v>0201</v>
          </cell>
          <cell r="D7" t="str">
            <v>Allendale Borough (Bergen)</v>
          </cell>
        </row>
        <row r="8">
          <cell r="A8" t="str">
            <v>1301</v>
          </cell>
          <cell r="D8" t="str">
            <v>Allenhurst Borough (Monmouth)</v>
          </cell>
        </row>
        <row r="9">
          <cell r="A9" t="str">
            <v>1302</v>
          </cell>
          <cell r="D9" t="str">
            <v>Allentown Borough (Monmouth)</v>
          </cell>
        </row>
        <row r="10">
          <cell r="A10" t="str">
            <v>1701</v>
          </cell>
          <cell r="D10" t="str">
            <v>Alloway Township (Salem)</v>
          </cell>
        </row>
        <row r="11">
          <cell r="A11" t="str">
            <v>2102</v>
          </cell>
          <cell r="D11" t="str">
            <v>Alpha Borough (Warren)</v>
          </cell>
        </row>
        <row r="12">
          <cell r="A12" t="str">
            <v>0202</v>
          </cell>
          <cell r="D12" t="str">
            <v>Alpine Borough (Bergen)</v>
          </cell>
        </row>
        <row r="13">
          <cell r="A13" t="str">
            <v>1901</v>
          </cell>
          <cell r="D13" t="str">
            <v>Andover Borough (Sussex)</v>
          </cell>
        </row>
        <row r="14">
          <cell r="A14" t="str">
            <v>1902</v>
          </cell>
          <cell r="D14" t="str">
            <v>Andover Township (Sussex)</v>
          </cell>
        </row>
        <row r="15">
          <cell r="A15" t="str">
            <v>1303</v>
          </cell>
          <cell r="D15" t="str">
            <v>Asbury Park City (Monmouth)</v>
          </cell>
        </row>
        <row r="16">
          <cell r="A16" t="str">
            <v>0102</v>
          </cell>
          <cell r="D16" t="str">
            <v>Atlantic City City (Atlantic)</v>
          </cell>
        </row>
        <row r="17">
          <cell r="A17" t="str">
            <v>0100</v>
          </cell>
          <cell r="D17" t="str">
            <v>Atlantic County (Atlantic)</v>
          </cell>
        </row>
        <row r="18">
          <cell r="A18" t="str">
            <v>1304</v>
          </cell>
          <cell r="D18" t="str">
            <v>Atlantic Highlands Borough (Monmouth)</v>
          </cell>
        </row>
        <row r="19">
          <cell r="A19" t="str">
            <v>0401</v>
          </cell>
          <cell r="D19" t="str">
            <v>Audubon Borough (Camden)</v>
          </cell>
        </row>
        <row r="20">
          <cell r="A20" t="str">
            <v>0402</v>
          </cell>
          <cell r="D20" t="str">
            <v>Audubon Park Borough (Camden)</v>
          </cell>
        </row>
        <row r="21">
          <cell r="A21" t="str">
            <v>0501</v>
          </cell>
          <cell r="D21" t="str">
            <v>Avalon Borough (Cape May)</v>
          </cell>
        </row>
        <row r="22">
          <cell r="A22" t="str">
            <v>1305</v>
          </cell>
          <cell r="D22" t="str">
            <v>Avon-by-the-Sea Borough (Monmouth)</v>
          </cell>
        </row>
        <row r="23">
          <cell r="A23" t="str">
            <v>1501</v>
          </cell>
          <cell r="D23" t="str">
            <v>Barnegat Light Borough (Ocean)</v>
          </cell>
        </row>
        <row r="24">
          <cell r="A24" t="str">
            <v>1533</v>
          </cell>
          <cell r="D24" t="str">
            <v>Barnegat Township (Ocean)</v>
          </cell>
        </row>
        <row r="25">
          <cell r="A25" t="str">
            <v>0403</v>
          </cell>
          <cell r="D25" t="str">
            <v>Barrington Borough (Camden)</v>
          </cell>
        </row>
        <row r="26">
          <cell r="A26" t="str">
            <v>0301</v>
          </cell>
          <cell r="D26" t="str">
            <v>Bass River Township (Burlington)</v>
          </cell>
        </row>
        <row r="27">
          <cell r="A27" t="str">
            <v>1502</v>
          </cell>
          <cell r="D27" t="str">
            <v>Bay Head Borough (Ocean)</v>
          </cell>
        </row>
        <row r="28">
          <cell r="A28" t="str">
            <v>0901</v>
          </cell>
          <cell r="D28" t="str">
            <v>Bayonne City (Hudson)</v>
          </cell>
        </row>
        <row r="29">
          <cell r="A29" t="str">
            <v>1503</v>
          </cell>
          <cell r="D29" t="str">
            <v>Beach Haven Borough (Ocean)</v>
          </cell>
        </row>
        <row r="30">
          <cell r="A30" t="str">
            <v>1504</v>
          </cell>
          <cell r="D30" t="str">
            <v>Beachwood Borough (Ocean)</v>
          </cell>
        </row>
        <row r="31">
          <cell r="A31" t="str">
            <v>1801</v>
          </cell>
          <cell r="D31" t="str">
            <v>Bedminster Township (Somerset)</v>
          </cell>
        </row>
        <row r="32">
          <cell r="A32" t="str">
            <v>0701</v>
          </cell>
          <cell r="D32" t="str">
            <v>Belleville Township (Essex)</v>
          </cell>
        </row>
        <row r="33">
          <cell r="A33" t="str">
            <v>0404</v>
          </cell>
          <cell r="D33" t="str">
            <v>Bellmawr Borough (Camden)</v>
          </cell>
        </row>
        <row r="34">
          <cell r="A34" t="str">
            <v>1306</v>
          </cell>
          <cell r="D34" t="str">
            <v>Belmar Borough (Monmouth)</v>
          </cell>
        </row>
        <row r="35">
          <cell r="A35" t="str">
            <v>2103</v>
          </cell>
          <cell r="D35" t="str">
            <v>Belvidere Town (Warren)</v>
          </cell>
        </row>
        <row r="36">
          <cell r="A36" t="str">
            <v>0200</v>
          </cell>
          <cell r="D36" t="str">
            <v>Bergen County (Bergen)</v>
          </cell>
        </row>
        <row r="37">
          <cell r="A37" t="str">
            <v>0203</v>
          </cell>
          <cell r="D37" t="str">
            <v>Bergenfield Borough (Bergen)</v>
          </cell>
        </row>
        <row r="38">
          <cell r="A38" t="str">
            <v>2001</v>
          </cell>
          <cell r="D38" t="str">
            <v>Berkeley Heights Township (Union)</v>
          </cell>
        </row>
        <row r="39">
          <cell r="A39" t="str">
            <v>1505</v>
          </cell>
          <cell r="D39" t="str">
            <v>Berkeley Township (Ocean)</v>
          </cell>
        </row>
        <row r="40">
          <cell r="A40" t="str">
            <v>0405</v>
          </cell>
          <cell r="D40" t="str">
            <v>Berlin Borough (Camden)</v>
          </cell>
        </row>
        <row r="41">
          <cell r="A41" t="str">
            <v>0406</v>
          </cell>
          <cell r="D41" t="str">
            <v>Berlin Township (Camden)</v>
          </cell>
        </row>
        <row r="42">
          <cell r="A42" t="str">
            <v>1802</v>
          </cell>
          <cell r="D42" t="str">
            <v>Bernards Township (Somerset)</v>
          </cell>
        </row>
        <row r="43">
          <cell r="A43" t="str">
            <v>1803</v>
          </cell>
          <cell r="D43" t="str">
            <v>Bernardsville Borough (Somerset)</v>
          </cell>
        </row>
        <row r="44">
          <cell r="A44" t="str">
            <v>1002</v>
          </cell>
          <cell r="D44" t="str">
            <v>Bethlehem Township (Hunterdon)</v>
          </cell>
        </row>
        <row r="45">
          <cell r="A45" t="str">
            <v>0302</v>
          </cell>
          <cell r="D45" t="str">
            <v>Beverly City (Burlington)</v>
          </cell>
        </row>
        <row r="46">
          <cell r="A46" t="str">
            <v>2104</v>
          </cell>
          <cell r="D46" t="str">
            <v>Blairstown Township (Warren)</v>
          </cell>
        </row>
        <row r="47">
          <cell r="A47" t="str">
            <v>0702</v>
          </cell>
          <cell r="D47" t="str">
            <v>Bloomfield Township (Essex)</v>
          </cell>
        </row>
        <row r="48">
          <cell r="A48" t="str">
            <v>1601</v>
          </cell>
          <cell r="D48" t="str">
            <v>Bloomingdale Borough (Passaic)</v>
          </cell>
        </row>
        <row r="49">
          <cell r="A49" t="str">
            <v>1003</v>
          </cell>
          <cell r="D49" t="str">
            <v>Bloomsbury Borough (Hunterdon)</v>
          </cell>
        </row>
        <row r="50">
          <cell r="A50" t="str">
            <v>0204</v>
          </cell>
          <cell r="D50" t="str">
            <v>Bogota Borough (Bergen)</v>
          </cell>
        </row>
        <row r="51">
          <cell r="A51" t="str">
            <v>1401</v>
          </cell>
          <cell r="D51" t="str">
            <v>Boonton Town (Morris)</v>
          </cell>
        </row>
        <row r="52">
          <cell r="A52" t="str">
            <v>1402</v>
          </cell>
          <cell r="D52" t="str">
            <v>Boonton Township (Morris)</v>
          </cell>
        </row>
        <row r="53">
          <cell r="A53" t="str">
            <v>0303</v>
          </cell>
          <cell r="D53" t="str">
            <v>Bordentown City (Burlington)</v>
          </cell>
        </row>
        <row r="54">
          <cell r="A54" t="str">
            <v>0304</v>
          </cell>
          <cell r="D54" t="str">
            <v>Bordentown Township (Burlington)</v>
          </cell>
        </row>
        <row r="55">
          <cell r="A55" t="str">
            <v>1804</v>
          </cell>
          <cell r="D55" t="str">
            <v>Bound Brook Borough (Somerset)</v>
          </cell>
        </row>
        <row r="56">
          <cell r="A56" t="str">
            <v>1307</v>
          </cell>
          <cell r="D56" t="str">
            <v>Bradley Beach Borough (Monmouth)</v>
          </cell>
        </row>
        <row r="57">
          <cell r="A57" t="str">
            <v>1805</v>
          </cell>
          <cell r="D57" t="str">
            <v>Branchburg Township (Somerset)</v>
          </cell>
        </row>
        <row r="58">
          <cell r="A58" t="str">
            <v>1903</v>
          </cell>
          <cell r="D58" t="str">
            <v>Branchville Borough (Sussex)</v>
          </cell>
        </row>
        <row r="59">
          <cell r="A59" t="str">
            <v>1506</v>
          </cell>
          <cell r="D59" t="str">
            <v>Brick Township (Ocean)</v>
          </cell>
        </row>
        <row r="60">
          <cell r="A60" t="str">
            <v>0601</v>
          </cell>
          <cell r="D60" t="str">
            <v>Bridgeton City (Cumberland)</v>
          </cell>
        </row>
        <row r="61">
          <cell r="A61" t="str">
            <v>1806</v>
          </cell>
          <cell r="D61" t="str">
            <v>Bridgewater Township (Somerset)</v>
          </cell>
        </row>
        <row r="62">
          <cell r="A62" t="str">
            <v>1308</v>
          </cell>
          <cell r="D62" t="str">
            <v>Brielle Borough (Monmouth)</v>
          </cell>
        </row>
        <row r="63">
          <cell r="A63" t="str">
            <v>0103</v>
          </cell>
          <cell r="D63" t="str">
            <v>Brigantine City (Atlantic)</v>
          </cell>
        </row>
        <row r="64">
          <cell r="A64" t="str">
            <v>0407</v>
          </cell>
          <cell r="D64" t="str">
            <v>Brooklawn Borough (Camden)</v>
          </cell>
        </row>
        <row r="65">
          <cell r="A65" t="str">
            <v>0104</v>
          </cell>
          <cell r="D65" t="str">
            <v>Buena Borough (Atlantic)</v>
          </cell>
        </row>
        <row r="66">
          <cell r="A66" t="str">
            <v>0105</v>
          </cell>
          <cell r="D66" t="str">
            <v>Buena Vista Township (Atlantic)</v>
          </cell>
        </row>
        <row r="67">
          <cell r="A67" t="str">
            <v>0305</v>
          </cell>
          <cell r="D67" t="str">
            <v>Burlington City (Burlington)</v>
          </cell>
        </row>
        <row r="68">
          <cell r="A68" t="str">
            <v>0300</v>
          </cell>
          <cell r="D68" t="str">
            <v>Burlington County (Burlington)</v>
          </cell>
        </row>
        <row r="69">
          <cell r="A69" t="str">
            <v>0306</v>
          </cell>
          <cell r="D69" t="str">
            <v>Burlington Township (Burlington)</v>
          </cell>
        </row>
        <row r="70">
          <cell r="A70" t="str">
            <v>1403</v>
          </cell>
          <cell r="D70" t="str">
            <v>Butler Borough (Morris)</v>
          </cell>
        </row>
        <row r="71">
          <cell r="A71" t="str">
            <v>1904</v>
          </cell>
          <cell r="D71" t="str">
            <v>Byram Township (Sussex)</v>
          </cell>
        </row>
        <row r="72">
          <cell r="A72" t="str">
            <v>0703</v>
          </cell>
          <cell r="D72" t="str">
            <v>Caldwell Township (Essex)</v>
          </cell>
        </row>
        <row r="73">
          <cell r="A73" t="str">
            <v>1004</v>
          </cell>
          <cell r="D73" t="str">
            <v>Califon Borough (Hunterdon)</v>
          </cell>
        </row>
        <row r="74">
          <cell r="A74" t="str">
            <v>0408</v>
          </cell>
          <cell r="D74" t="str">
            <v>Camden City (Camden)</v>
          </cell>
        </row>
        <row r="75">
          <cell r="A75" t="str">
            <v>0400</v>
          </cell>
          <cell r="D75" t="str">
            <v>Camden County (Camden)</v>
          </cell>
        </row>
        <row r="76">
          <cell r="A76" t="str">
            <v>0502</v>
          </cell>
          <cell r="D76" t="str">
            <v>Cape May City (Cape May)</v>
          </cell>
        </row>
        <row r="77">
          <cell r="A77" t="str">
            <v>0500</v>
          </cell>
          <cell r="D77" t="str">
            <v>Cape May County (Cape May)</v>
          </cell>
        </row>
        <row r="78">
          <cell r="A78" t="str">
            <v>0503</v>
          </cell>
          <cell r="D78" t="str">
            <v>Cape May Point Borough (Cape May)</v>
          </cell>
        </row>
        <row r="79">
          <cell r="A79" t="str">
            <v>0205</v>
          </cell>
          <cell r="D79" t="str">
            <v>Carlstadt Borough (Bergen)</v>
          </cell>
        </row>
        <row r="80">
          <cell r="A80" t="str">
            <v>1713</v>
          </cell>
          <cell r="D80" t="str">
            <v>Carneys Point Township (Salem)</v>
          </cell>
        </row>
        <row r="81">
          <cell r="A81" t="str">
            <v>1201</v>
          </cell>
          <cell r="D81" t="str">
            <v>Carteret Borough (Middlesex)</v>
          </cell>
        </row>
        <row r="82">
          <cell r="A82" t="str">
            <v>0704</v>
          </cell>
          <cell r="D82" t="str">
            <v>Cedar Grove Township (Essex)</v>
          </cell>
        </row>
        <row r="83">
          <cell r="A83" t="str">
            <v>1404</v>
          </cell>
          <cell r="D83" t="str">
            <v>Chatham Borough (Morris)</v>
          </cell>
        </row>
        <row r="84">
          <cell r="A84" t="str">
            <v>1405</v>
          </cell>
          <cell r="D84" t="str">
            <v>Chatham Township (Morris)</v>
          </cell>
        </row>
        <row r="85">
          <cell r="A85" t="str">
            <v>0409</v>
          </cell>
          <cell r="D85" t="str">
            <v>Cherry Hill Township (Camden)</v>
          </cell>
        </row>
        <row r="86">
          <cell r="A86" t="str">
            <v>0410</v>
          </cell>
          <cell r="D86" t="str">
            <v>Chesilhurst Borough (Camden)</v>
          </cell>
        </row>
        <row r="87">
          <cell r="A87" t="str">
            <v>1406</v>
          </cell>
          <cell r="D87" t="str">
            <v>Chester Borough (Morris)</v>
          </cell>
        </row>
        <row r="88">
          <cell r="A88" t="str">
            <v>1407</v>
          </cell>
          <cell r="D88" t="str">
            <v>Chester Township (Morris)</v>
          </cell>
        </row>
        <row r="89">
          <cell r="A89" t="str">
            <v>0307</v>
          </cell>
          <cell r="D89" t="str">
            <v>Chesterfield Township (Burlington)</v>
          </cell>
        </row>
        <row r="90">
          <cell r="A90" t="str">
            <v>0308</v>
          </cell>
          <cell r="D90" t="str">
            <v>Cinnaminson Township (Burlington)</v>
          </cell>
        </row>
        <row r="91">
          <cell r="A91" t="str">
            <v>2002</v>
          </cell>
          <cell r="D91" t="str">
            <v>Clark Township (Union)</v>
          </cell>
        </row>
        <row r="92">
          <cell r="A92" t="str">
            <v>0801</v>
          </cell>
          <cell r="D92" t="str">
            <v>Clayton Borough (Gloucester)</v>
          </cell>
        </row>
        <row r="93">
          <cell r="A93" t="str">
            <v>0411</v>
          </cell>
          <cell r="D93" t="str">
            <v>Clementon Borough (Camden)</v>
          </cell>
        </row>
        <row r="94">
          <cell r="A94" t="str">
            <v>0206</v>
          </cell>
          <cell r="D94" t="str">
            <v>Cliffside Park Borough (Bergen)</v>
          </cell>
        </row>
        <row r="95">
          <cell r="A95" t="str">
            <v>1602</v>
          </cell>
          <cell r="D95" t="str">
            <v>Clifton City (Passaic)</v>
          </cell>
        </row>
        <row r="96">
          <cell r="A96" t="str">
            <v>1005</v>
          </cell>
          <cell r="D96" t="str">
            <v>Clinton Town (Hunterdon)</v>
          </cell>
        </row>
        <row r="97">
          <cell r="A97" t="str">
            <v>1006</v>
          </cell>
          <cell r="D97" t="str">
            <v>Clinton Township (Hunterdon)</v>
          </cell>
        </row>
        <row r="98">
          <cell r="A98" t="str">
            <v>0207</v>
          </cell>
          <cell r="D98" t="str">
            <v>Closter Borough (Bergen)</v>
          </cell>
        </row>
        <row r="99">
          <cell r="A99" t="str">
            <v>0412</v>
          </cell>
          <cell r="D99" t="str">
            <v>Collingswood Borough (Camden)</v>
          </cell>
        </row>
        <row r="100">
          <cell r="A100" t="str">
            <v>1309</v>
          </cell>
          <cell r="D100" t="str">
            <v>Colts Neck Township (Monmouth)</v>
          </cell>
        </row>
        <row r="101">
          <cell r="A101" t="str">
            <v>0602</v>
          </cell>
          <cell r="D101" t="str">
            <v>Commercial Township (Cumberland)</v>
          </cell>
        </row>
        <row r="102">
          <cell r="A102" t="str">
            <v>0106</v>
          </cell>
          <cell r="D102" t="str">
            <v>Corbin City (Atlantic)</v>
          </cell>
        </row>
        <row r="103">
          <cell r="A103" t="str">
            <v>1202</v>
          </cell>
          <cell r="D103" t="str">
            <v>Cranbury Township (Middlesex)</v>
          </cell>
        </row>
        <row r="104">
          <cell r="A104" t="str">
            <v>2003</v>
          </cell>
          <cell r="D104" t="str">
            <v>Cranford Township (Union)</v>
          </cell>
        </row>
        <row r="105">
          <cell r="A105" t="str">
            <v>0208</v>
          </cell>
          <cell r="D105" t="str">
            <v>Cresskill Borough (Bergen)</v>
          </cell>
        </row>
        <row r="106">
          <cell r="A106" t="str">
            <v>0600</v>
          </cell>
          <cell r="D106" t="str">
            <v>Cumberland County (Cumberland)</v>
          </cell>
        </row>
        <row r="107">
          <cell r="A107" t="str">
            <v>1310</v>
          </cell>
          <cell r="D107" t="str">
            <v>Deal Borough (Monmouth)</v>
          </cell>
        </row>
        <row r="108">
          <cell r="A108" t="str">
            <v>0603</v>
          </cell>
          <cell r="D108" t="str">
            <v>Deerfield Township (Cumberland)</v>
          </cell>
        </row>
        <row r="109">
          <cell r="A109" t="str">
            <v>0309</v>
          </cell>
          <cell r="D109" t="str">
            <v>Delanco Township (Burlington)</v>
          </cell>
        </row>
        <row r="110">
          <cell r="A110" t="str">
            <v>1007</v>
          </cell>
          <cell r="D110" t="str">
            <v>Delaware Township (Hunterdon)</v>
          </cell>
        </row>
        <row r="111">
          <cell r="A111" t="str">
            <v>0310</v>
          </cell>
          <cell r="D111" t="str">
            <v>Delran Township (Burlington)</v>
          </cell>
        </row>
        <row r="112">
          <cell r="A112" t="str">
            <v>0209</v>
          </cell>
          <cell r="D112" t="str">
            <v>Demarest Borough (Bergen)</v>
          </cell>
        </row>
        <row r="113">
          <cell r="A113" t="str">
            <v>0504</v>
          </cell>
          <cell r="D113" t="str">
            <v>Dennis Township (Cape May)</v>
          </cell>
        </row>
        <row r="114">
          <cell r="A114" t="str">
            <v>1408</v>
          </cell>
          <cell r="D114" t="str">
            <v>Denville Township (Morris)</v>
          </cell>
        </row>
        <row r="115">
          <cell r="A115" t="str">
            <v>0802</v>
          </cell>
          <cell r="D115" t="str">
            <v>Deptford Township (Gloucester)</v>
          </cell>
        </row>
        <row r="116">
          <cell r="A116" t="str">
            <v>1409</v>
          </cell>
          <cell r="D116" t="str">
            <v>Dover Town (Morris)</v>
          </cell>
        </row>
        <row r="117">
          <cell r="A117" t="str">
            <v>0604</v>
          </cell>
          <cell r="D117" t="str">
            <v>Downe Township (Cumberland)</v>
          </cell>
        </row>
        <row r="118">
          <cell r="A118" t="str">
            <v>0210</v>
          </cell>
          <cell r="D118" t="str">
            <v>Dumont Borough (Bergen)</v>
          </cell>
        </row>
        <row r="119">
          <cell r="A119" t="str">
            <v>1203</v>
          </cell>
          <cell r="D119" t="str">
            <v>Dunellen Borough (Middlesex)</v>
          </cell>
        </row>
        <row r="120">
          <cell r="A120" t="str">
            <v>1508</v>
          </cell>
          <cell r="D120" t="str">
            <v>Eagleswood Township (Ocean)</v>
          </cell>
        </row>
        <row r="121">
          <cell r="A121" t="str">
            <v>1008</v>
          </cell>
          <cell r="D121" t="str">
            <v>East Amwell Township (Hunterdon)</v>
          </cell>
        </row>
        <row r="122">
          <cell r="A122" t="str">
            <v>1204</v>
          </cell>
          <cell r="D122" t="str">
            <v>East Brunswick Township (Middlesex)</v>
          </cell>
        </row>
        <row r="123">
          <cell r="A123" t="str">
            <v>0803</v>
          </cell>
          <cell r="D123" t="str">
            <v>East Greenwich Township (Gloucester)</v>
          </cell>
        </row>
        <row r="124">
          <cell r="A124" t="str">
            <v>1410</v>
          </cell>
          <cell r="D124" t="str">
            <v>East Hanover Township (Morris)</v>
          </cell>
        </row>
        <row r="125">
          <cell r="A125" t="str">
            <v>0902</v>
          </cell>
          <cell r="D125" t="str">
            <v>East Newark Borough (Hudson)</v>
          </cell>
        </row>
        <row r="126">
          <cell r="A126" t="str">
            <v>0705</v>
          </cell>
          <cell r="D126" t="str">
            <v>East Orange City (Essex)</v>
          </cell>
        </row>
        <row r="127">
          <cell r="A127" t="str">
            <v>0212</v>
          </cell>
          <cell r="D127" t="str">
            <v>East Rutherford Borough (Bergen)</v>
          </cell>
        </row>
        <row r="128">
          <cell r="A128" t="str">
            <v>1101</v>
          </cell>
          <cell r="D128" t="str">
            <v>East Windsor Township (Mercer)</v>
          </cell>
        </row>
        <row r="129">
          <cell r="A129" t="str">
            <v>0311</v>
          </cell>
          <cell r="D129" t="str">
            <v>Eastampton Township (Burlington)</v>
          </cell>
        </row>
        <row r="130">
          <cell r="A130" t="str">
            <v>1311</v>
          </cell>
          <cell r="D130" t="str">
            <v>Eatontown Borough (Monmouth)</v>
          </cell>
        </row>
        <row r="131">
          <cell r="A131" t="str">
            <v>0213</v>
          </cell>
          <cell r="D131" t="str">
            <v>Edgewater Borough (Bergen)</v>
          </cell>
        </row>
        <row r="132">
          <cell r="A132" t="str">
            <v>0312</v>
          </cell>
          <cell r="D132" t="str">
            <v>Edgewater Park Township (Burlington)</v>
          </cell>
        </row>
        <row r="133">
          <cell r="A133" t="str">
            <v>1205</v>
          </cell>
          <cell r="D133" t="str">
            <v>Edison Township (Middlesex)</v>
          </cell>
        </row>
        <row r="134">
          <cell r="A134" t="str">
            <v>0107</v>
          </cell>
          <cell r="D134" t="str">
            <v>Egg Harbor City (Atlantic)</v>
          </cell>
        </row>
        <row r="135">
          <cell r="A135" t="str">
            <v>0108</v>
          </cell>
          <cell r="D135" t="str">
            <v>Egg Harbor Township (Atlantic)</v>
          </cell>
        </row>
        <row r="136">
          <cell r="A136" t="str">
            <v>2004</v>
          </cell>
          <cell r="D136" t="str">
            <v>Elizabeth City (Union)</v>
          </cell>
        </row>
        <row r="137">
          <cell r="A137" t="str">
            <v>0804</v>
          </cell>
          <cell r="D137" t="str">
            <v>Elk Township (Gloucester)</v>
          </cell>
        </row>
        <row r="138">
          <cell r="A138" t="str">
            <v>1702</v>
          </cell>
          <cell r="D138" t="str">
            <v>Elmer Borough (Salem)</v>
          </cell>
        </row>
        <row r="139">
          <cell r="A139" t="str">
            <v>0211</v>
          </cell>
          <cell r="D139" t="str">
            <v>Elmwood Park Borough (Bergen)</v>
          </cell>
        </row>
        <row r="140">
          <cell r="A140" t="str">
            <v>1703</v>
          </cell>
          <cell r="D140" t="str">
            <v>Elsinboro Township (Salem)</v>
          </cell>
        </row>
        <row r="141">
          <cell r="A141" t="str">
            <v>0214</v>
          </cell>
          <cell r="D141" t="str">
            <v>Emerson Borough (Bergen)</v>
          </cell>
        </row>
        <row r="142">
          <cell r="A142" t="str">
            <v>0215</v>
          </cell>
          <cell r="D142" t="str">
            <v>Englewood City (Bergen)</v>
          </cell>
        </row>
        <row r="143">
          <cell r="A143" t="str">
            <v>0216</v>
          </cell>
          <cell r="D143" t="str">
            <v>Englewood Cliffs Borough (Bergen)</v>
          </cell>
        </row>
        <row r="144">
          <cell r="A144" t="str">
            <v>1312</v>
          </cell>
          <cell r="D144" t="str">
            <v>Englishtown Borough (Monmouth)</v>
          </cell>
        </row>
        <row r="145">
          <cell r="A145" t="str">
            <v>0700</v>
          </cell>
          <cell r="D145" t="str">
            <v>Essex County (Essex)</v>
          </cell>
        </row>
        <row r="146">
          <cell r="A146" t="str">
            <v>0706</v>
          </cell>
          <cell r="D146" t="str">
            <v>Essex Fells Township (Essex)</v>
          </cell>
        </row>
        <row r="147">
          <cell r="A147" t="str">
            <v>0109</v>
          </cell>
          <cell r="D147" t="str">
            <v>Estell Manor City (Atlantic)</v>
          </cell>
        </row>
        <row r="148">
          <cell r="A148" t="str">
            <v>0313</v>
          </cell>
          <cell r="D148" t="str">
            <v>Evesham Township (Burlington)</v>
          </cell>
        </row>
        <row r="149">
          <cell r="A149" t="str">
            <v>1102</v>
          </cell>
          <cell r="D149" t="str">
            <v>Ewing Township (Mercer)</v>
          </cell>
        </row>
        <row r="150">
          <cell r="A150" t="str">
            <v>1313</v>
          </cell>
          <cell r="D150" t="str">
            <v>Fair Haven Borough (Monmouth)</v>
          </cell>
        </row>
        <row r="151">
          <cell r="A151" t="str">
            <v>0217</v>
          </cell>
          <cell r="D151" t="str">
            <v>Fair Lawn Borough (Bergen)</v>
          </cell>
        </row>
        <row r="152">
          <cell r="A152" t="str">
            <v>0605</v>
          </cell>
          <cell r="D152" t="str">
            <v>Fairfield Township (Cumberland)</v>
          </cell>
        </row>
        <row r="153">
          <cell r="A153" t="str">
            <v>0707</v>
          </cell>
          <cell r="D153" t="str">
            <v>Fairfield Township (Essex)</v>
          </cell>
        </row>
        <row r="154">
          <cell r="A154" t="str">
            <v>0218</v>
          </cell>
          <cell r="D154" t="str">
            <v>Fairview Borough (Bergen)</v>
          </cell>
        </row>
        <row r="155">
          <cell r="A155" t="str">
            <v>2005</v>
          </cell>
          <cell r="D155" t="str">
            <v>Fanwood Borough (Union)</v>
          </cell>
        </row>
        <row r="156">
          <cell r="A156" t="str">
            <v>1807</v>
          </cell>
          <cell r="D156" t="str">
            <v>Far Hills Borough (Somerset)</v>
          </cell>
        </row>
        <row r="157">
          <cell r="A157" t="str">
            <v>1314</v>
          </cell>
          <cell r="D157" t="str">
            <v>Farmingdale Borough (Monmouth)</v>
          </cell>
        </row>
        <row r="158">
          <cell r="A158" t="str">
            <v>0314</v>
          </cell>
          <cell r="D158" t="str">
            <v>Fieldsboro Borough (Burlington)</v>
          </cell>
        </row>
        <row r="159">
          <cell r="A159" t="str">
            <v>1009</v>
          </cell>
          <cell r="D159" t="str">
            <v>Flemington Borough (Hunterdon)</v>
          </cell>
        </row>
        <row r="160">
          <cell r="A160" t="str">
            <v>0315</v>
          </cell>
          <cell r="D160" t="str">
            <v>Florence Township (Burlington)</v>
          </cell>
        </row>
        <row r="161">
          <cell r="A161" t="str">
            <v>1411</v>
          </cell>
          <cell r="D161" t="str">
            <v>Florham Park Borough (Morris)</v>
          </cell>
        </row>
        <row r="162">
          <cell r="A162" t="str">
            <v>0110</v>
          </cell>
          <cell r="D162" t="str">
            <v>Folsom Borough (Atlantic)</v>
          </cell>
        </row>
        <row r="163">
          <cell r="A163" t="str">
            <v>0219</v>
          </cell>
          <cell r="D163" t="str">
            <v>Fort Lee Borough (Bergen)</v>
          </cell>
        </row>
        <row r="164">
          <cell r="A164" t="str">
            <v>1905</v>
          </cell>
          <cell r="D164" t="str">
            <v>Frankford Township (Sussex)</v>
          </cell>
        </row>
        <row r="165">
          <cell r="A165" t="str">
            <v>1906</v>
          </cell>
          <cell r="D165" t="str">
            <v>Franklin Borough (Sussex)</v>
          </cell>
        </row>
        <row r="166">
          <cell r="A166" t="str">
            <v>0220</v>
          </cell>
          <cell r="D166" t="str">
            <v>Franklin Lakes Borough (Bergen)</v>
          </cell>
        </row>
        <row r="167">
          <cell r="A167" t="str">
            <v>0805</v>
          </cell>
          <cell r="D167" t="str">
            <v>Franklin Township (Gloucester)</v>
          </cell>
        </row>
        <row r="168">
          <cell r="A168" t="str">
            <v>1010</v>
          </cell>
          <cell r="D168" t="str">
            <v>Franklin Township (Hunterdon)</v>
          </cell>
        </row>
        <row r="169">
          <cell r="A169" t="str">
            <v>1808</v>
          </cell>
          <cell r="D169" t="str">
            <v>Franklin Township (Somerset)</v>
          </cell>
        </row>
        <row r="170">
          <cell r="A170" t="str">
            <v>2105</v>
          </cell>
          <cell r="D170" t="str">
            <v>Franklin Township (Warren)</v>
          </cell>
        </row>
        <row r="171">
          <cell r="A171" t="str">
            <v>1907</v>
          </cell>
          <cell r="D171" t="str">
            <v>Fredon Township (Sussex)</v>
          </cell>
        </row>
        <row r="172">
          <cell r="A172" t="str">
            <v>1315</v>
          </cell>
          <cell r="D172" t="str">
            <v>Freehold Borough (Monmouth)</v>
          </cell>
        </row>
        <row r="173">
          <cell r="A173" t="str">
            <v>1316</v>
          </cell>
          <cell r="D173" t="str">
            <v>Freehold Township (Monmouth)</v>
          </cell>
        </row>
        <row r="174">
          <cell r="A174" t="str">
            <v>2106</v>
          </cell>
          <cell r="D174" t="str">
            <v>Frelinghuysen Township (Warren)</v>
          </cell>
        </row>
        <row r="175">
          <cell r="A175" t="str">
            <v>1011</v>
          </cell>
          <cell r="D175" t="str">
            <v>Frenchtown Borough (Hunterdon)</v>
          </cell>
        </row>
        <row r="176">
          <cell r="A176" t="str">
            <v>0111</v>
          </cell>
          <cell r="D176" t="str">
            <v>Galloway Township (Atlantic)</v>
          </cell>
        </row>
        <row r="177">
          <cell r="A177" t="str">
            <v>0221</v>
          </cell>
          <cell r="D177" t="str">
            <v>Garfield City (Bergen)</v>
          </cell>
        </row>
        <row r="178">
          <cell r="A178" t="str">
            <v>2006</v>
          </cell>
          <cell r="D178" t="str">
            <v>Garwood Borough (Union)</v>
          </cell>
        </row>
        <row r="179">
          <cell r="A179" t="str">
            <v>0413</v>
          </cell>
          <cell r="D179" t="str">
            <v>Gibbsboro Borough (Camden)</v>
          </cell>
        </row>
        <row r="180">
          <cell r="A180" t="str">
            <v>0806</v>
          </cell>
          <cell r="D180" t="str">
            <v>Glassboro Borough (Gloucester)</v>
          </cell>
        </row>
        <row r="181">
          <cell r="A181" t="str">
            <v>1012</v>
          </cell>
          <cell r="D181" t="str">
            <v>Glen Gardner Borough (Hunterdon)</v>
          </cell>
        </row>
        <row r="182">
          <cell r="A182" t="str">
            <v>0708</v>
          </cell>
          <cell r="D182" t="str">
            <v>Glen Ridge Borough (Essex)</v>
          </cell>
        </row>
        <row r="183">
          <cell r="A183" t="str">
            <v>0222</v>
          </cell>
          <cell r="D183" t="str">
            <v>Glen Rock Borough (Bergen)</v>
          </cell>
        </row>
        <row r="184">
          <cell r="A184" t="str">
            <v>0414</v>
          </cell>
          <cell r="D184" t="str">
            <v>Gloucester City City (Camden)</v>
          </cell>
        </row>
        <row r="185">
          <cell r="A185" t="str">
            <v>0800</v>
          </cell>
          <cell r="D185" t="str">
            <v>Gloucester County (Gloucester)</v>
          </cell>
        </row>
        <row r="186">
          <cell r="A186" t="str">
            <v>0415</v>
          </cell>
          <cell r="D186" t="str">
            <v>Gloucester Township (Camden)</v>
          </cell>
        </row>
        <row r="187">
          <cell r="A187" t="str">
            <v>1809</v>
          </cell>
          <cell r="D187" t="str">
            <v>Green Brook Township (Somerset)</v>
          </cell>
        </row>
        <row r="188">
          <cell r="A188" t="str">
            <v>1908</v>
          </cell>
          <cell r="D188" t="str">
            <v>Green Township (Sussex)</v>
          </cell>
        </row>
        <row r="189">
          <cell r="A189" t="str">
            <v>0606</v>
          </cell>
          <cell r="D189" t="str">
            <v>Greenwich Township (Cumberland)</v>
          </cell>
        </row>
        <row r="190">
          <cell r="A190" t="str">
            <v>0807</v>
          </cell>
          <cell r="D190" t="str">
            <v>Greenwich Township (Gloucester)</v>
          </cell>
        </row>
        <row r="191">
          <cell r="A191" t="str">
            <v>2107</v>
          </cell>
          <cell r="D191" t="str">
            <v>Greenwich Township (Warren)</v>
          </cell>
        </row>
        <row r="192">
          <cell r="A192" t="str">
            <v>0903</v>
          </cell>
          <cell r="D192" t="str">
            <v>Guttenberg Town (Hudson)</v>
          </cell>
        </row>
        <row r="193">
          <cell r="A193" t="str">
            <v>0223</v>
          </cell>
          <cell r="D193" t="str">
            <v>Hackensack City (Bergen)</v>
          </cell>
        </row>
        <row r="194">
          <cell r="A194" t="str">
            <v>2108</v>
          </cell>
          <cell r="D194" t="str">
            <v>Hackettstown Town (Warren)</v>
          </cell>
        </row>
        <row r="195">
          <cell r="A195" t="str">
            <v>0418</v>
          </cell>
          <cell r="D195" t="str">
            <v>Haddon Heights Borough (Camden)</v>
          </cell>
        </row>
        <row r="196">
          <cell r="A196" t="str">
            <v>0416</v>
          </cell>
          <cell r="D196" t="str">
            <v>Haddon Township (Camden)</v>
          </cell>
        </row>
        <row r="197">
          <cell r="A197" t="str">
            <v>0417</v>
          </cell>
          <cell r="D197" t="str">
            <v>Haddonfield Borough (Camden)</v>
          </cell>
        </row>
        <row r="198">
          <cell r="A198" t="str">
            <v>0316</v>
          </cell>
          <cell r="D198" t="str">
            <v>Hainesport Township (Burlington)</v>
          </cell>
        </row>
        <row r="199">
          <cell r="A199" t="str">
            <v>1603</v>
          </cell>
          <cell r="D199" t="str">
            <v>Haledon Borough (Passaic)</v>
          </cell>
        </row>
        <row r="200">
          <cell r="A200" t="str">
            <v>1909</v>
          </cell>
          <cell r="D200" t="str">
            <v>Hamburg Borough (Sussex)</v>
          </cell>
        </row>
        <row r="201">
          <cell r="A201" t="str">
            <v>0112</v>
          </cell>
          <cell r="D201" t="str">
            <v>Hamilton Township (Atlantic)</v>
          </cell>
        </row>
        <row r="202">
          <cell r="A202" t="str">
            <v>1103</v>
          </cell>
          <cell r="D202" t="str">
            <v>Hamilton Township (Mercer)</v>
          </cell>
        </row>
        <row r="203">
          <cell r="A203" t="str">
            <v>0113</v>
          </cell>
          <cell r="D203" t="str">
            <v>Hammonton Township (Atlantic)</v>
          </cell>
        </row>
        <row r="204">
          <cell r="A204" t="str">
            <v>1013</v>
          </cell>
          <cell r="D204" t="str">
            <v>Hampton Borough (Hunterdon)</v>
          </cell>
        </row>
        <row r="205">
          <cell r="A205" t="str">
            <v>1910</v>
          </cell>
          <cell r="D205" t="str">
            <v>Hampton Township (Sussex)</v>
          </cell>
        </row>
        <row r="206">
          <cell r="A206" t="str">
            <v>1412</v>
          </cell>
          <cell r="D206" t="str">
            <v>Hanover Township (Morris)</v>
          </cell>
        </row>
        <row r="207">
          <cell r="A207" t="str">
            <v>1413</v>
          </cell>
          <cell r="D207" t="str">
            <v>Harding Township (Morris)</v>
          </cell>
        </row>
        <row r="208">
          <cell r="A208" t="str">
            <v>2109</v>
          </cell>
          <cell r="D208" t="str">
            <v>Hardwick Township (Warren)</v>
          </cell>
        </row>
        <row r="209">
          <cell r="A209" t="str">
            <v>1911</v>
          </cell>
          <cell r="D209" t="str">
            <v>Hardyston Township (Sussex)</v>
          </cell>
        </row>
        <row r="210">
          <cell r="A210" t="str">
            <v>2110</v>
          </cell>
          <cell r="D210" t="str">
            <v>Harmony Township (Warren)</v>
          </cell>
        </row>
        <row r="211">
          <cell r="A211" t="str">
            <v>0224</v>
          </cell>
          <cell r="D211" t="str">
            <v>Harrington Park Borough (Bergen)</v>
          </cell>
        </row>
        <row r="212">
          <cell r="A212" t="str">
            <v>0904</v>
          </cell>
          <cell r="D212" t="str">
            <v>Harrison Town (Hudson)</v>
          </cell>
        </row>
        <row r="213">
          <cell r="A213" t="str">
            <v>0808</v>
          </cell>
          <cell r="D213" t="str">
            <v>Harrison Township (Gloucester)</v>
          </cell>
        </row>
        <row r="214">
          <cell r="A214" t="str">
            <v>1509</v>
          </cell>
          <cell r="D214" t="str">
            <v>Harvey Cedars Borough (Ocean)</v>
          </cell>
        </row>
        <row r="215">
          <cell r="A215" t="str">
            <v>0225</v>
          </cell>
          <cell r="D215" t="str">
            <v>Hasbrouck Heights Borough (Bergen)</v>
          </cell>
        </row>
        <row r="216">
          <cell r="A216" t="str">
            <v>0226</v>
          </cell>
          <cell r="D216" t="str">
            <v>Haworth Borough (Bergen)</v>
          </cell>
        </row>
        <row r="217">
          <cell r="A217" t="str">
            <v>1604</v>
          </cell>
          <cell r="D217" t="str">
            <v>Hawthorne Borough (Passaic)</v>
          </cell>
        </row>
        <row r="218">
          <cell r="A218" t="str">
            <v>1339</v>
          </cell>
          <cell r="D218" t="str">
            <v>Hazlet Township (Monmouth)</v>
          </cell>
        </row>
        <row r="219">
          <cell r="A219" t="str">
            <v>1206</v>
          </cell>
          <cell r="D219" t="str">
            <v>Helmetta Borough (Middlesex)</v>
          </cell>
        </row>
        <row r="220">
          <cell r="A220" t="str">
            <v>1014</v>
          </cell>
          <cell r="D220" t="str">
            <v>High Bridge Borough (Hunterdon)</v>
          </cell>
        </row>
        <row r="221">
          <cell r="A221" t="str">
            <v>1207</v>
          </cell>
          <cell r="D221" t="str">
            <v>Highland Park Borough (Middlesex)</v>
          </cell>
        </row>
        <row r="222">
          <cell r="A222" t="str">
            <v>1317</v>
          </cell>
          <cell r="D222" t="str">
            <v>Highlands Borough (Monmouth)</v>
          </cell>
        </row>
        <row r="223">
          <cell r="A223" t="str">
            <v>1104</v>
          </cell>
          <cell r="D223" t="str">
            <v>Hightstown Borough (Mercer)</v>
          </cell>
        </row>
        <row r="224">
          <cell r="A224" t="str">
            <v>1810</v>
          </cell>
          <cell r="D224" t="str">
            <v>Hillsborough Township (Somerset)</v>
          </cell>
        </row>
        <row r="225">
          <cell r="A225" t="str">
            <v>0227</v>
          </cell>
          <cell r="D225" t="str">
            <v>Hillsdale Borough (Bergen)</v>
          </cell>
        </row>
        <row r="226">
          <cell r="A226" t="str">
            <v>2007</v>
          </cell>
          <cell r="D226" t="str">
            <v>Hillside Township (Union)</v>
          </cell>
        </row>
        <row r="227">
          <cell r="A227" t="str">
            <v>0419</v>
          </cell>
          <cell r="D227" t="str">
            <v>Hi-nella Borough (Camden)</v>
          </cell>
        </row>
        <row r="228">
          <cell r="A228" t="str">
            <v>0905</v>
          </cell>
          <cell r="D228" t="str">
            <v>Hoboken City (Hudson)</v>
          </cell>
        </row>
        <row r="229">
          <cell r="A229" t="str">
            <v>0228</v>
          </cell>
          <cell r="D229" t="str">
            <v>Ho-Ho-Kus Borough (Bergen)</v>
          </cell>
        </row>
        <row r="230">
          <cell r="A230" t="str">
            <v>1015</v>
          </cell>
          <cell r="D230" t="str">
            <v>Holland Township (Hunterdon)</v>
          </cell>
        </row>
        <row r="231">
          <cell r="A231" t="str">
            <v>1318</v>
          </cell>
          <cell r="D231" t="str">
            <v>Holmdel Township (Monmouth)</v>
          </cell>
        </row>
        <row r="232">
          <cell r="A232" t="str">
            <v>1912</v>
          </cell>
          <cell r="D232" t="str">
            <v>Hopatcong Borough (Sussex)</v>
          </cell>
        </row>
        <row r="233">
          <cell r="A233" t="str">
            <v>2111</v>
          </cell>
          <cell r="D233" t="str">
            <v>Hope Township (Warren)</v>
          </cell>
        </row>
        <row r="234">
          <cell r="A234" t="str">
            <v>1105</v>
          </cell>
          <cell r="D234" t="str">
            <v>Hopewell Borough (Mercer)</v>
          </cell>
        </row>
        <row r="235">
          <cell r="A235" t="str">
            <v>0607</v>
          </cell>
          <cell r="D235" t="str">
            <v>Hopewell Township (Cumberland)</v>
          </cell>
        </row>
        <row r="236">
          <cell r="A236" t="str">
            <v>1106</v>
          </cell>
          <cell r="D236" t="str">
            <v>Hopewell Township (Mercer)</v>
          </cell>
        </row>
        <row r="237">
          <cell r="A237" t="str">
            <v>1319</v>
          </cell>
          <cell r="D237" t="str">
            <v>Howell Township (Monmouth)</v>
          </cell>
        </row>
        <row r="238">
          <cell r="A238" t="str">
            <v>0900</v>
          </cell>
          <cell r="D238" t="str">
            <v>Hudson County (Hudson)</v>
          </cell>
        </row>
        <row r="239">
          <cell r="A239" t="str">
            <v>1000</v>
          </cell>
          <cell r="D239" t="str">
            <v>Hunterdon County (Hunterdon)</v>
          </cell>
        </row>
        <row r="240">
          <cell r="A240" t="str">
            <v>2112</v>
          </cell>
          <cell r="D240" t="str">
            <v>Independence Township (Warren)</v>
          </cell>
        </row>
        <row r="241">
          <cell r="A241" t="str">
            <v>1320</v>
          </cell>
          <cell r="D241" t="str">
            <v>Interlaken Borough (Monmouth)</v>
          </cell>
        </row>
        <row r="242">
          <cell r="A242" t="str">
            <v>0709</v>
          </cell>
          <cell r="D242" t="str">
            <v>Irvington Township (Essex)</v>
          </cell>
        </row>
        <row r="243">
          <cell r="A243" t="str">
            <v>1510</v>
          </cell>
          <cell r="D243" t="str">
            <v>Island Heights Borough (Ocean)</v>
          </cell>
        </row>
        <row r="244">
          <cell r="A244" t="str">
            <v>1511</v>
          </cell>
          <cell r="D244" t="str">
            <v>Jackson Township (Ocean)</v>
          </cell>
        </row>
        <row r="245">
          <cell r="A245" t="str">
            <v>1208</v>
          </cell>
          <cell r="D245" t="str">
            <v>Jamesburg Borough (Middlesex)</v>
          </cell>
        </row>
        <row r="246">
          <cell r="A246" t="str">
            <v>1414</v>
          </cell>
          <cell r="D246" t="str">
            <v>Jefferson Township (Morris)</v>
          </cell>
        </row>
        <row r="247">
          <cell r="A247" t="str">
            <v>0906</v>
          </cell>
          <cell r="D247" t="str">
            <v>Jersey City City (Hudson)</v>
          </cell>
        </row>
        <row r="248">
          <cell r="A248" t="str">
            <v>1321</v>
          </cell>
          <cell r="D248" t="str">
            <v>Keansburg Borough (Monmouth)</v>
          </cell>
        </row>
        <row r="249">
          <cell r="A249" t="str">
            <v>0907</v>
          </cell>
          <cell r="D249" t="str">
            <v>Kearny Town (Hudson)</v>
          </cell>
        </row>
        <row r="250">
          <cell r="A250" t="str">
            <v>2008</v>
          </cell>
          <cell r="D250" t="str">
            <v>Kenilworth Borough (Union)</v>
          </cell>
        </row>
        <row r="251">
          <cell r="A251" t="str">
            <v>1322</v>
          </cell>
          <cell r="D251" t="str">
            <v>Keyport Borough (Monmouth)</v>
          </cell>
        </row>
        <row r="252">
          <cell r="A252" t="str">
            <v>1016</v>
          </cell>
          <cell r="D252" t="str">
            <v>Kingwood Township (Hunterdon)</v>
          </cell>
        </row>
        <row r="253">
          <cell r="A253" t="str">
            <v>1415</v>
          </cell>
          <cell r="D253" t="str">
            <v>Kinnelon Borough (Morris)</v>
          </cell>
        </row>
        <row r="254">
          <cell r="A254" t="str">
            <v>2113</v>
          </cell>
          <cell r="D254" t="str">
            <v>Knowlton Township (Warren)</v>
          </cell>
        </row>
        <row r="255">
          <cell r="A255" t="str">
            <v>1512</v>
          </cell>
          <cell r="D255" t="str">
            <v>Lacey Township (Ocean)</v>
          </cell>
        </row>
        <row r="256">
          <cell r="A256" t="str">
            <v>1913</v>
          </cell>
          <cell r="D256" t="str">
            <v>Lafayette Township (Sussex)</v>
          </cell>
        </row>
        <row r="257">
          <cell r="A257" t="str">
            <v>1347</v>
          </cell>
          <cell r="D257" t="str">
            <v>Lake Como Borough (South Belmar) (Monmouth)</v>
          </cell>
        </row>
        <row r="258">
          <cell r="A258" t="str">
            <v>1513</v>
          </cell>
          <cell r="D258" t="str">
            <v>Lakehurst Borough (Ocean)</v>
          </cell>
        </row>
        <row r="259">
          <cell r="A259" t="str">
            <v>1514</v>
          </cell>
          <cell r="D259" t="str">
            <v>Lakewood Township (Ocean)</v>
          </cell>
        </row>
        <row r="260">
          <cell r="A260" t="str">
            <v>1017</v>
          </cell>
          <cell r="D260" t="str">
            <v>Lambertville City (Hunterdon)</v>
          </cell>
        </row>
        <row r="261">
          <cell r="A261" t="str">
            <v>0420</v>
          </cell>
          <cell r="D261" t="str">
            <v>Laurel Springs Borough (Camden)</v>
          </cell>
        </row>
        <row r="262">
          <cell r="A262" t="str">
            <v>1515</v>
          </cell>
          <cell r="D262" t="str">
            <v>Lavallette Borough (Ocean)</v>
          </cell>
        </row>
        <row r="263">
          <cell r="A263" t="str">
            <v>0421</v>
          </cell>
          <cell r="D263" t="str">
            <v>Lawnside Borough (Camden)</v>
          </cell>
        </row>
        <row r="264">
          <cell r="A264" t="str">
            <v>0608</v>
          </cell>
          <cell r="D264" t="str">
            <v>Lawrence Township (Cumberland)</v>
          </cell>
        </row>
        <row r="265">
          <cell r="A265" t="str">
            <v>1107</v>
          </cell>
          <cell r="D265" t="str">
            <v>Lawrence Township (Mercer)</v>
          </cell>
        </row>
        <row r="266">
          <cell r="A266" t="str">
            <v>1018</v>
          </cell>
          <cell r="D266" t="str">
            <v>Lebanon Borough (Hunterdon)</v>
          </cell>
        </row>
        <row r="267">
          <cell r="A267" t="str">
            <v>1019</v>
          </cell>
          <cell r="D267" t="str">
            <v>Lebanon Township (Hunterdon)</v>
          </cell>
        </row>
        <row r="268">
          <cell r="A268" t="str">
            <v>0229</v>
          </cell>
          <cell r="D268" t="str">
            <v>Leonia Borough (Bergen)</v>
          </cell>
        </row>
        <row r="269">
          <cell r="A269" t="str">
            <v>2114</v>
          </cell>
          <cell r="D269" t="str">
            <v>Liberty Township (Warren)</v>
          </cell>
        </row>
        <row r="270">
          <cell r="A270" t="str">
            <v>1416</v>
          </cell>
          <cell r="D270" t="str">
            <v>Lincoln Park Borough (Morris)</v>
          </cell>
        </row>
        <row r="271">
          <cell r="A271" t="str">
            <v>2009</v>
          </cell>
          <cell r="D271" t="str">
            <v>Linden City (Union)</v>
          </cell>
        </row>
        <row r="272">
          <cell r="A272" t="str">
            <v>0422</v>
          </cell>
          <cell r="D272" t="str">
            <v>Lindenwold Borough (Camden)</v>
          </cell>
        </row>
        <row r="273">
          <cell r="A273" t="str">
            <v>0114</v>
          </cell>
          <cell r="D273" t="str">
            <v>Linwood City (Atlantic)</v>
          </cell>
        </row>
        <row r="274">
          <cell r="A274" t="str">
            <v>1516</v>
          </cell>
          <cell r="D274" t="str">
            <v>Little Egg Harbor Township (Ocean)</v>
          </cell>
        </row>
        <row r="275">
          <cell r="A275" t="str">
            <v>1605</v>
          </cell>
          <cell r="D275" t="str">
            <v>Little Falls Township (Passaic)</v>
          </cell>
        </row>
        <row r="276">
          <cell r="A276" t="str">
            <v>0230</v>
          </cell>
          <cell r="D276" t="str">
            <v>Little Ferry Borough (Bergen)</v>
          </cell>
        </row>
        <row r="277">
          <cell r="A277" t="str">
            <v>1323</v>
          </cell>
          <cell r="D277" t="str">
            <v>Little Silver Borough (Monmouth)</v>
          </cell>
        </row>
        <row r="278">
          <cell r="A278" t="str">
            <v>0710</v>
          </cell>
          <cell r="D278" t="str">
            <v>Livingston Township (Essex)</v>
          </cell>
        </row>
        <row r="279">
          <cell r="A279" t="str">
            <v>1324</v>
          </cell>
          <cell r="D279" t="str">
            <v>Loch Arbour Village (Monmouth)</v>
          </cell>
        </row>
        <row r="280">
          <cell r="A280" t="str">
            <v>0231</v>
          </cell>
          <cell r="D280" t="str">
            <v>Lodi Borough (Bergen)</v>
          </cell>
        </row>
        <row r="281">
          <cell r="A281" t="str">
            <v>0809</v>
          </cell>
          <cell r="D281" t="str">
            <v>Logan Township (Gloucester)</v>
          </cell>
        </row>
        <row r="282">
          <cell r="A282" t="str">
            <v>1517</v>
          </cell>
          <cell r="D282" t="str">
            <v>Long Beach Township (Ocean)</v>
          </cell>
        </row>
        <row r="283">
          <cell r="A283" t="str">
            <v>1325</v>
          </cell>
          <cell r="D283" t="str">
            <v>Long Branch City (Monmouth)</v>
          </cell>
        </row>
        <row r="284">
          <cell r="A284" t="str">
            <v>1430</v>
          </cell>
          <cell r="D284" t="str">
            <v>Long Hill Township (Morris)</v>
          </cell>
        </row>
        <row r="285">
          <cell r="A285" t="str">
            <v>0115</v>
          </cell>
          <cell r="D285" t="str">
            <v>Longport Borough (Atlantic)</v>
          </cell>
        </row>
        <row r="286">
          <cell r="A286" t="str">
            <v>2115</v>
          </cell>
          <cell r="D286" t="str">
            <v>Lopatcong Township (Warren)</v>
          </cell>
        </row>
        <row r="287">
          <cell r="A287" t="str">
            <v>1704</v>
          </cell>
          <cell r="D287" t="str">
            <v>Lower Alloways Creek Township (Salem)</v>
          </cell>
        </row>
        <row r="288">
          <cell r="A288" t="str">
            <v>0505</v>
          </cell>
          <cell r="D288" t="str">
            <v>Lower Township (Cape May)</v>
          </cell>
        </row>
        <row r="289">
          <cell r="A289" t="str">
            <v>0317</v>
          </cell>
          <cell r="D289" t="str">
            <v>Lumberton Township (Burlington)</v>
          </cell>
        </row>
        <row r="290">
          <cell r="A290" t="str">
            <v>0232</v>
          </cell>
          <cell r="D290" t="str">
            <v>Lyndhurst Township (Bergen)</v>
          </cell>
        </row>
        <row r="291">
          <cell r="A291" t="str">
            <v>1417</v>
          </cell>
          <cell r="D291" t="str">
            <v>Madison Borough (Morris)</v>
          </cell>
        </row>
        <row r="292">
          <cell r="A292" t="str">
            <v>0423</v>
          </cell>
          <cell r="D292" t="str">
            <v>Magnolia Borough (Camden)</v>
          </cell>
        </row>
        <row r="293">
          <cell r="A293" t="str">
            <v>0233</v>
          </cell>
          <cell r="D293" t="str">
            <v>Mahwah Township (Bergen)</v>
          </cell>
        </row>
        <row r="294">
          <cell r="A294" t="str">
            <v>1326</v>
          </cell>
          <cell r="D294" t="str">
            <v>Manalapan Township (Monmouth)</v>
          </cell>
        </row>
        <row r="295">
          <cell r="A295" t="str">
            <v>1327</v>
          </cell>
          <cell r="D295" t="str">
            <v>Manasquan Borough (Monmouth)</v>
          </cell>
        </row>
        <row r="296">
          <cell r="A296" t="str">
            <v>1518</v>
          </cell>
          <cell r="D296" t="str">
            <v>Manchester Township (Ocean)</v>
          </cell>
        </row>
        <row r="297">
          <cell r="A297" t="str">
            <v>1705</v>
          </cell>
          <cell r="D297" t="str">
            <v>Mannington Township (Salem)</v>
          </cell>
        </row>
        <row r="298">
          <cell r="A298" t="str">
            <v>0318</v>
          </cell>
          <cell r="D298" t="str">
            <v>Mansfield Township (Burlington)</v>
          </cell>
        </row>
        <row r="299">
          <cell r="A299" t="str">
            <v>2116</v>
          </cell>
          <cell r="D299" t="str">
            <v>Mansfield Township (Warren)</v>
          </cell>
        </row>
        <row r="300">
          <cell r="A300" t="str">
            <v>1519</v>
          </cell>
          <cell r="D300" t="str">
            <v>Mantoloking Borough (Ocean)</v>
          </cell>
        </row>
        <row r="301">
          <cell r="A301" t="str">
            <v>0810</v>
          </cell>
          <cell r="D301" t="str">
            <v>Mantua Township (Gloucester)</v>
          </cell>
        </row>
        <row r="302">
          <cell r="A302" t="str">
            <v>1811</v>
          </cell>
          <cell r="D302" t="str">
            <v>Manville Borough (Somerset)</v>
          </cell>
        </row>
        <row r="303">
          <cell r="A303" t="str">
            <v>0319</v>
          </cell>
          <cell r="D303" t="str">
            <v>Maple Shade Borough (Burlington)</v>
          </cell>
        </row>
        <row r="304">
          <cell r="A304" t="str">
            <v>0711</v>
          </cell>
          <cell r="D304" t="str">
            <v>Maplewood Township (Essex)</v>
          </cell>
        </row>
        <row r="305">
          <cell r="A305" t="str">
            <v>0116</v>
          </cell>
          <cell r="D305" t="str">
            <v>Margate City (Atlantic)</v>
          </cell>
        </row>
        <row r="306">
          <cell r="A306" t="str">
            <v>1328</v>
          </cell>
          <cell r="D306" t="str">
            <v>Marlboro Township (Monmouth)</v>
          </cell>
        </row>
        <row r="307">
          <cell r="A307" t="str">
            <v>1329</v>
          </cell>
          <cell r="D307" t="str">
            <v>Matawan Borough (Monmouth)</v>
          </cell>
        </row>
        <row r="308">
          <cell r="A308" t="str">
            <v>0609</v>
          </cell>
          <cell r="D308" t="str">
            <v>Maurice River Township (Cumberland)</v>
          </cell>
        </row>
        <row r="309">
          <cell r="A309" t="str">
            <v>0234</v>
          </cell>
          <cell r="D309" t="str">
            <v>Maywood Borough (Bergen)</v>
          </cell>
        </row>
        <row r="310">
          <cell r="A310" t="str">
            <v>0321</v>
          </cell>
          <cell r="D310" t="str">
            <v>Medford Lakes Borough (Burlington)</v>
          </cell>
        </row>
        <row r="311">
          <cell r="A311" t="str">
            <v>0320</v>
          </cell>
          <cell r="D311" t="str">
            <v>Medford Township (Burlington)</v>
          </cell>
        </row>
        <row r="312">
          <cell r="A312" t="str">
            <v>1418</v>
          </cell>
          <cell r="D312" t="str">
            <v>Mendham Borough (Morris)</v>
          </cell>
        </row>
        <row r="313">
          <cell r="A313" t="str">
            <v>1419</v>
          </cell>
          <cell r="D313" t="str">
            <v>Mendham Township (Morris)</v>
          </cell>
        </row>
        <row r="314">
          <cell r="A314" t="str">
            <v>1100</v>
          </cell>
          <cell r="D314" t="str">
            <v>Mercer County (Mercer)</v>
          </cell>
        </row>
        <row r="315">
          <cell r="A315" t="str">
            <v>0424</v>
          </cell>
          <cell r="D315" t="str">
            <v>Merchantville Borough (Camden)</v>
          </cell>
        </row>
        <row r="316">
          <cell r="A316" t="str">
            <v>1210</v>
          </cell>
          <cell r="D316" t="str">
            <v>Metuchen Borough (Middlesex)</v>
          </cell>
        </row>
        <row r="317">
          <cell r="A317" t="str">
            <v>0506</v>
          </cell>
          <cell r="D317" t="str">
            <v>Middle Township (Cape May)</v>
          </cell>
        </row>
        <row r="318">
          <cell r="A318" t="str">
            <v>1211</v>
          </cell>
          <cell r="D318" t="str">
            <v>Middlesex Borough (Middlesex)</v>
          </cell>
        </row>
        <row r="319">
          <cell r="A319" t="str">
            <v>1200</v>
          </cell>
          <cell r="D319" t="str">
            <v>Middlesex County (Middlesex)</v>
          </cell>
        </row>
        <row r="320">
          <cell r="A320" t="str">
            <v>1331</v>
          </cell>
          <cell r="D320" t="str">
            <v>Middletown Township (Monmouth)</v>
          </cell>
        </row>
        <row r="321">
          <cell r="A321" t="str">
            <v>0235</v>
          </cell>
          <cell r="D321" t="str">
            <v>Midland Park Borough (Bergen)</v>
          </cell>
        </row>
        <row r="322">
          <cell r="A322" t="str">
            <v>1020</v>
          </cell>
          <cell r="D322" t="str">
            <v>Milford Borough (Hunterdon)</v>
          </cell>
        </row>
        <row r="323">
          <cell r="A323" t="str">
            <v>0712</v>
          </cell>
          <cell r="D323" t="str">
            <v>Millburn Township (Essex)</v>
          </cell>
        </row>
        <row r="324">
          <cell r="A324" t="str">
            <v>1812</v>
          </cell>
          <cell r="D324" t="str">
            <v>Millstone Borough (Somerset)</v>
          </cell>
        </row>
        <row r="325">
          <cell r="A325" t="str">
            <v>1332</v>
          </cell>
          <cell r="D325" t="str">
            <v>Millstone Township (Monmouth)</v>
          </cell>
        </row>
        <row r="326">
          <cell r="A326" t="str">
            <v>1212</v>
          </cell>
          <cell r="D326" t="str">
            <v>Milltown Borough (Middlesex)</v>
          </cell>
        </row>
        <row r="327">
          <cell r="A327" t="str">
            <v>0610</v>
          </cell>
          <cell r="D327" t="str">
            <v>Millville City (Cumberland)</v>
          </cell>
        </row>
        <row r="328">
          <cell r="A328" t="str">
            <v>1420</v>
          </cell>
          <cell r="D328" t="str">
            <v>Mine Hill Township (Morris)</v>
          </cell>
        </row>
        <row r="329">
          <cell r="A329" t="str">
            <v>1333</v>
          </cell>
          <cell r="D329" t="str">
            <v>Monmouth Beach Borough (Monmouth)</v>
          </cell>
        </row>
        <row r="330">
          <cell r="A330" t="str">
            <v>1300</v>
          </cell>
          <cell r="D330" t="str">
            <v>Monmouth County (Monmouth)</v>
          </cell>
        </row>
        <row r="331">
          <cell r="A331" t="str">
            <v>0811</v>
          </cell>
          <cell r="D331" t="str">
            <v>Monroe Township (Gloucester)</v>
          </cell>
        </row>
        <row r="332">
          <cell r="A332" t="str">
            <v>1213</v>
          </cell>
          <cell r="D332" t="str">
            <v>Monroe Township (Middlesex)</v>
          </cell>
        </row>
        <row r="333">
          <cell r="A333" t="str">
            <v>1914</v>
          </cell>
          <cell r="D333" t="str">
            <v>Montague Township (Sussex)</v>
          </cell>
        </row>
        <row r="334">
          <cell r="A334" t="str">
            <v>0713</v>
          </cell>
          <cell r="D334" t="str">
            <v>Montclair Township (Essex)</v>
          </cell>
        </row>
        <row r="335">
          <cell r="A335" t="str">
            <v>1813</v>
          </cell>
          <cell r="D335" t="str">
            <v>Montgomery Township (Somerset)</v>
          </cell>
        </row>
        <row r="336">
          <cell r="A336" t="str">
            <v>0236</v>
          </cell>
          <cell r="D336" t="str">
            <v>Montvale Borough (Bergen)</v>
          </cell>
        </row>
        <row r="337">
          <cell r="A337" t="str">
            <v>1421</v>
          </cell>
          <cell r="D337" t="str">
            <v>Montville Township (Morris)</v>
          </cell>
        </row>
        <row r="338">
          <cell r="A338" t="str">
            <v>0237</v>
          </cell>
          <cell r="D338" t="str">
            <v>Moonachie Borough (Bergen)</v>
          </cell>
        </row>
        <row r="339">
          <cell r="A339" t="str">
            <v>0322</v>
          </cell>
          <cell r="D339" t="str">
            <v>Moorestown Township (Burlington)</v>
          </cell>
        </row>
        <row r="340">
          <cell r="A340" t="str">
            <v>1400</v>
          </cell>
          <cell r="D340" t="str">
            <v>Morris County (Morris)</v>
          </cell>
        </row>
        <row r="341">
          <cell r="A341" t="str">
            <v>1423</v>
          </cell>
          <cell r="D341" t="str">
            <v>Morris Plains Borough (Morris)</v>
          </cell>
        </row>
        <row r="342">
          <cell r="A342" t="str">
            <v>1422</v>
          </cell>
          <cell r="D342" t="str">
            <v>Morris Township (Morris)</v>
          </cell>
        </row>
        <row r="343">
          <cell r="A343" t="str">
            <v>1424</v>
          </cell>
          <cell r="D343" t="str">
            <v>Morristown Town (Morris)</v>
          </cell>
        </row>
        <row r="344">
          <cell r="A344" t="str">
            <v>1426</v>
          </cell>
          <cell r="D344" t="str">
            <v>Mount Arlington Borough (Morris)</v>
          </cell>
        </row>
        <row r="345">
          <cell r="A345" t="str">
            <v>0425</v>
          </cell>
          <cell r="D345" t="str">
            <v>Mount Ephraim Borough (Camden)</v>
          </cell>
        </row>
        <row r="346">
          <cell r="A346" t="str">
            <v>0323</v>
          </cell>
          <cell r="D346" t="str">
            <v>Mount Holly Township (Burlington)</v>
          </cell>
        </row>
        <row r="347">
          <cell r="A347" t="str">
            <v>0324</v>
          </cell>
          <cell r="D347" t="str">
            <v>Mount Laurel Township (Burlington)</v>
          </cell>
        </row>
        <row r="348">
          <cell r="A348" t="str">
            <v>1427</v>
          </cell>
          <cell r="D348" t="str">
            <v>Mount Olive Township (Morris)</v>
          </cell>
        </row>
        <row r="349">
          <cell r="A349" t="str">
            <v>1425</v>
          </cell>
          <cell r="D349" t="str">
            <v>Mountain Lakes Borough (Morris)</v>
          </cell>
        </row>
        <row r="350">
          <cell r="A350" t="str">
            <v>2010</v>
          </cell>
          <cell r="D350" t="str">
            <v>Mountainside Borough (Union)</v>
          </cell>
        </row>
        <row r="351">
          <cell r="A351" t="str">
            <v>0117</v>
          </cell>
          <cell r="D351" t="str">
            <v>Mullica Township (Atlantic)</v>
          </cell>
        </row>
        <row r="352">
          <cell r="A352" t="str">
            <v>0812</v>
          </cell>
          <cell r="D352" t="str">
            <v>National Park Borough (Gloucester)</v>
          </cell>
        </row>
        <row r="353">
          <cell r="A353" t="str">
            <v>1335</v>
          </cell>
          <cell r="D353" t="str">
            <v>Neptune City Borough (Monmouth)</v>
          </cell>
        </row>
        <row r="354">
          <cell r="A354" t="str">
            <v>1334</v>
          </cell>
          <cell r="D354" t="str">
            <v>Neptune Township (Monmouth)</v>
          </cell>
        </row>
        <row r="355">
          <cell r="A355" t="str">
            <v>1428</v>
          </cell>
          <cell r="D355" t="str">
            <v>Netcong Borough (Morris)</v>
          </cell>
        </row>
        <row r="356">
          <cell r="A356" t="str">
            <v>1214</v>
          </cell>
          <cell r="D356" t="str">
            <v>New Brunswick City (Middlesex)</v>
          </cell>
        </row>
        <row r="357">
          <cell r="A357" t="str">
            <v>0325</v>
          </cell>
          <cell r="D357" t="str">
            <v>New Hanover Township (Burlington)</v>
          </cell>
        </row>
        <row r="358">
          <cell r="A358" t="str">
            <v>0238</v>
          </cell>
          <cell r="D358" t="str">
            <v>New Milford Borough (Bergen)</v>
          </cell>
        </row>
        <row r="359">
          <cell r="A359" t="str">
            <v>2011</v>
          </cell>
          <cell r="D359" t="str">
            <v>New Providence Borough (Union)</v>
          </cell>
        </row>
        <row r="360">
          <cell r="A360" t="str">
            <v>0714</v>
          </cell>
          <cell r="D360" t="str">
            <v>Newark City (Essex)</v>
          </cell>
        </row>
        <row r="361">
          <cell r="A361" t="str">
            <v>0813</v>
          </cell>
          <cell r="D361" t="str">
            <v>Newfield Borough (Gloucester)</v>
          </cell>
        </row>
        <row r="362">
          <cell r="A362" t="str">
            <v>1915</v>
          </cell>
          <cell r="D362" t="str">
            <v>Newton Town (Sussex)</v>
          </cell>
        </row>
        <row r="363">
          <cell r="A363" t="str">
            <v>0239</v>
          </cell>
          <cell r="D363" t="str">
            <v>North Arlington Borough (Bergen)</v>
          </cell>
        </row>
        <row r="364">
          <cell r="A364" t="str">
            <v>0908</v>
          </cell>
          <cell r="D364" t="str">
            <v>North Bergen Township (Hudson)</v>
          </cell>
        </row>
        <row r="365">
          <cell r="A365" t="str">
            <v>1215</v>
          </cell>
          <cell r="D365" t="str">
            <v>North Brunswick Township (Middlesex)</v>
          </cell>
        </row>
        <row r="366">
          <cell r="A366" t="str">
            <v>0715</v>
          </cell>
          <cell r="D366" t="str">
            <v>North Caldwell Borough (Essex)</v>
          </cell>
        </row>
        <row r="367">
          <cell r="A367" t="str">
            <v>1606</v>
          </cell>
          <cell r="D367" t="str">
            <v>North Haledon Borough (Passaic)</v>
          </cell>
        </row>
        <row r="368">
          <cell r="A368" t="str">
            <v>0326</v>
          </cell>
          <cell r="D368" t="str">
            <v>North Hanover Township (Burlington)</v>
          </cell>
        </row>
        <row r="369">
          <cell r="A369" t="str">
            <v>1814</v>
          </cell>
          <cell r="D369" t="str">
            <v>North Plainfield Borough (Somerset)</v>
          </cell>
        </row>
        <row r="370">
          <cell r="A370" t="str">
            <v>0507</v>
          </cell>
          <cell r="D370" t="str">
            <v>North Wildwood City (Cape May)</v>
          </cell>
        </row>
        <row r="371">
          <cell r="A371" t="str">
            <v>0118</v>
          </cell>
          <cell r="D371" t="str">
            <v>Northfield City (Atlantic)</v>
          </cell>
        </row>
        <row r="372">
          <cell r="A372" t="str">
            <v>0240</v>
          </cell>
          <cell r="D372" t="str">
            <v>Northvale Borough (Bergen)</v>
          </cell>
        </row>
        <row r="373">
          <cell r="A373" t="str">
            <v>0241</v>
          </cell>
          <cell r="D373" t="str">
            <v>Norwood Borough (Bergen)</v>
          </cell>
        </row>
        <row r="374">
          <cell r="A374" t="str">
            <v>0716</v>
          </cell>
          <cell r="D374" t="str">
            <v>Nutley Township (Essex)</v>
          </cell>
        </row>
        <row r="375">
          <cell r="A375" t="str">
            <v>0242</v>
          </cell>
          <cell r="D375" t="str">
            <v>Oakland Borough (Bergen)</v>
          </cell>
        </row>
        <row r="376">
          <cell r="A376" t="str">
            <v>0426</v>
          </cell>
          <cell r="D376" t="str">
            <v>Oaklyn Borough (Camden)</v>
          </cell>
        </row>
        <row r="377">
          <cell r="A377" t="str">
            <v>0508</v>
          </cell>
          <cell r="D377" t="str">
            <v>Ocean City City (Cape May)</v>
          </cell>
        </row>
        <row r="378">
          <cell r="A378" t="str">
            <v>1500</v>
          </cell>
          <cell r="D378" t="str">
            <v>Ocean County (Ocean)</v>
          </cell>
        </row>
        <row r="379">
          <cell r="A379" t="str">
            <v>1521</v>
          </cell>
          <cell r="D379" t="str">
            <v>Ocean Gate Borough (Ocean)</v>
          </cell>
        </row>
        <row r="380">
          <cell r="A380" t="str">
            <v>1337</v>
          </cell>
          <cell r="D380" t="str">
            <v>Ocean Township (Monmouth)</v>
          </cell>
        </row>
        <row r="381">
          <cell r="A381" t="str">
            <v>1520</v>
          </cell>
          <cell r="D381" t="str">
            <v>Ocean Township (Ocean)</v>
          </cell>
        </row>
        <row r="382">
          <cell r="A382" t="str">
            <v>1338</v>
          </cell>
          <cell r="D382" t="str">
            <v>Oceanport Borough (Monmouth)</v>
          </cell>
        </row>
        <row r="383">
          <cell r="A383" t="str">
            <v>1916</v>
          </cell>
          <cell r="D383" t="str">
            <v>Ogdensburg Borough (Sussex)</v>
          </cell>
        </row>
        <row r="384">
          <cell r="A384" t="str">
            <v>1209</v>
          </cell>
          <cell r="D384" t="str">
            <v>Old Bridge Township (Middlesex)</v>
          </cell>
        </row>
        <row r="385">
          <cell r="A385" t="str">
            <v>0243</v>
          </cell>
          <cell r="D385" t="str">
            <v>Old Tappan Borough (Bergen)</v>
          </cell>
        </row>
        <row r="386">
          <cell r="A386" t="str">
            <v>1706</v>
          </cell>
          <cell r="D386" t="str">
            <v>Oldmans Township (Salem)</v>
          </cell>
        </row>
        <row r="387">
          <cell r="A387" t="str">
            <v>0244</v>
          </cell>
          <cell r="D387" t="str">
            <v>Oradell Borough (Bergen)</v>
          </cell>
        </row>
        <row r="388">
          <cell r="A388" t="str">
            <v>0717</v>
          </cell>
          <cell r="D388" t="str">
            <v>Orange City (Essex)</v>
          </cell>
        </row>
        <row r="389">
          <cell r="A389" t="str">
            <v>2117</v>
          </cell>
          <cell r="D389" t="str">
            <v>Oxford Township (Warren)</v>
          </cell>
        </row>
        <row r="390">
          <cell r="A390" t="str">
            <v>0245</v>
          </cell>
          <cell r="D390" t="str">
            <v>Palisades Park Borough (Bergen)</v>
          </cell>
        </row>
        <row r="391">
          <cell r="A391" t="str">
            <v>0327</v>
          </cell>
          <cell r="D391" t="str">
            <v>Palmyra Borough (Burlington)</v>
          </cell>
        </row>
        <row r="392">
          <cell r="A392" t="str">
            <v>0246</v>
          </cell>
          <cell r="D392" t="str">
            <v>Paramus Borough (Bergen)</v>
          </cell>
        </row>
        <row r="393">
          <cell r="A393" t="str">
            <v>0247</v>
          </cell>
          <cell r="D393" t="str">
            <v>Park Ridge Borough (Bergen)</v>
          </cell>
        </row>
        <row r="394">
          <cell r="A394" t="str">
            <v>1429</v>
          </cell>
          <cell r="D394" t="str">
            <v>Parsippany-Troy Hills Township (Morris)</v>
          </cell>
        </row>
        <row r="395">
          <cell r="A395" t="str">
            <v>1607</v>
          </cell>
          <cell r="D395" t="str">
            <v>Passaic City (Passaic)</v>
          </cell>
        </row>
        <row r="396">
          <cell r="A396" t="str">
            <v>1600</v>
          </cell>
          <cell r="D396" t="str">
            <v>Passaic County (Passaic)</v>
          </cell>
        </row>
        <row r="397">
          <cell r="A397" t="str">
            <v>1608</v>
          </cell>
          <cell r="D397" t="str">
            <v>Paterson City (Passaic)</v>
          </cell>
        </row>
        <row r="398">
          <cell r="A398" t="str">
            <v>0814</v>
          </cell>
          <cell r="D398" t="str">
            <v>Paulsboro Borough (Gloucester)</v>
          </cell>
        </row>
        <row r="399">
          <cell r="A399" t="str">
            <v>1815</v>
          </cell>
          <cell r="D399" t="str">
            <v>Peapack-Gladstone Borough (Somerset)</v>
          </cell>
        </row>
        <row r="400">
          <cell r="A400" t="str">
            <v>0328</v>
          </cell>
          <cell r="D400" t="str">
            <v>Pemberton Borough (Burlington)</v>
          </cell>
        </row>
        <row r="401">
          <cell r="A401" t="str">
            <v>0329</v>
          </cell>
          <cell r="D401" t="str">
            <v>Pemberton Township (Burlington)</v>
          </cell>
        </row>
        <row r="402">
          <cell r="A402" t="str">
            <v>1108</v>
          </cell>
          <cell r="D402" t="str">
            <v>Pennington Borough (Mercer)</v>
          </cell>
        </row>
        <row r="403">
          <cell r="A403" t="str">
            <v>1707</v>
          </cell>
          <cell r="D403" t="str">
            <v>Penns Grove Borough (Salem)</v>
          </cell>
        </row>
        <row r="404">
          <cell r="A404" t="str">
            <v>0427</v>
          </cell>
          <cell r="D404" t="str">
            <v>Pennsauken Township (Camden)</v>
          </cell>
        </row>
        <row r="405">
          <cell r="A405" t="str">
            <v>1708</v>
          </cell>
          <cell r="D405" t="str">
            <v>Pennsville Township (Salem)</v>
          </cell>
        </row>
        <row r="406">
          <cell r="A406" t="str">
            <v>1431</v>
          </cell>
          <cell r="D406" t="str">
            <v>Pequannock Township (Morris)</v>
          </cell>
        </row>
        <row r="407">
          <cell r="A407" t="str">
            <v>1216</v>
          </cell>
          <cell r="D407" t="str">
            <v>Perth Amboy City (Middlesex)</v>
          </cell>
        </row>
        <row r="408">
          <cell r="A408" t="str">
            <v>2119</v>
          </cell>
          <cell r="D408" t="str">
            <v>Phillipsburg Town (Warren)</v>
          </cell>
        </row>
        <row r="409">
          <cell r="A409" t="str">
            <v>1709</v>
          </cell>
          <cell r="D409" t="str">
            <v>Pilesgrove Township (Salem)</v>
          </cell>
        </row>
        <row r="410">
          <cell r="A410" t="str">
            <v>1522</v>
          </cell>
          <cell r="D410" t="str">
            <v>Pine Beach Borough (Ocean)</v>
          </cell>
        </row>
        <row r="411">
          <cell r="A411" t="str">
            <v>0428</v>
          </cell>
          <cell r="D411" t="str">
            <v>Pine Hill Borough (Camden)</v>
          </cell>
        </row>
        <row r="412">
          <cell r="A412" t="str">
            <v>0429</v>
          </cell>
          <cell r="D412" t="str">
            <v>Pine Valley Borough (Camden)</v>
          </cell>
        </row>
        <row r="413">
          <cell r="A413" t="str">
            <v>1217</v>
          </cell>
          <cell r="D413" t="str">
            <v>Piscataway Township (Middlesex)</v>
          </cell>
        </row>
        <row r="414">
          <cell r="A414" t="str">
            <v>0815</v>
          </cell>
          <cell r="D414" t="str">
            <v>Pitman Borough (Gloucester)</v>
          </cell>
        </row>
        <row r="415">
          <cell r="A415" t="str">
            <v>1710</v>
          </cell>
          <cell r="D415" t="str">
            <v>Pittsgrove Township (Salem)</v>
          </cell>
        </row>
        <row r="416">
          <cell r="A416" t="str">
            <v>2012</v>
          </cell>
          <cell r="D416" t="str">
            <v>Plainfield City (Union)</v>
          </cell>
        </row>
        <row r="417">
          <cell r="A417" t="str">
            <v>1218</v>
          </cell>
          <cell r="D417" t="str">
            <v>Plainsboro Township (Middlesex)</v>
          </cell>
        </row>
        <row r="418">
          <cell r="A418" t="str">
            <v>0119</v>
          </cell>
          <cell r="D418" t="str">
            <v>Pleasantville City (Atlantic)</v>
          </cell>
        </row>
        <row r="419">
          <cell r="A419" t="str">
            <v>1523</v>
          </cell>
          <cell r="D419" t="str">
            <v>Plumsted Township (Ocean)</v>
          </cell>
        </row>
        <row r="420">
          <cell r="A420" t="str">
            <v>2120</v>
          </cell>
          <cell r="D420" t="str">
            <v>Pohatcong Township (Warren)</v>
          </cell>
        </row>
        <row r="421">
          <cell r="A421" t="str">
            <v>1525</v>
          </cell>
          <cell r="D421" t="str">
            <v>Point Pleasant Beach Borough (Ocean)</v>
          </cell>
        </row>
        <row r="422">
          <cell r="A422" t="str">
            <v>1524</v>
          </cell>
          <cell r="D422" t="str">
            <v>Point Pleasant Borough (Ocean)</v>
          </cell>
        </row>
        <row r="423">
          <cell r="A423" t="str">
            <v>1609</v>
          </cell>
          <cell r="D423" t="str">
            <v>Pompton Lakes Borough (Passaic)</v>
          </cell>
        </row>
        <row r="424">
          <cell r="A424" t="str">
            <v>0120</v>
          </cell>
          <cell r="D424" t="str">
            <v>Port Republic City (Atlantic)</v>
          </cell>
        </row>
        <row r="425">
          <cell r="A425" t="str">
            <v>1109</v>
          </cell>
          <cell r="D425" t="str">
            <v>Princeton Borough (Mercer)</v>
          </cell>
        </row>
        <row r="426">
          <cell r="A426" t="str">
            <v>1110</v>
          </cell>
          <cell r="D426" t="str">
            <v>Princeton Township (Mercer)</v>
          </cell>
        </row>
        <row r="427">
          <cell r="A427" t="str">
            <v>1610</v>
          </cell>
          <cell r="D427" t="str">
            <v>Prospect Park Borough (Passaic)</v>
          </cell>
        </row>
        <row r="428">
          <cell r="A428" t="str">
            <v>1711</v>
          </cell>
          <cell r="D428" t="str">
            <v>Quinton Township (Salem)</v>
          </cell>
        </row>
        <row r="429">
          <cell r="A429" t="str">
            <v>2013</v>
          </cell>
          <cell r="D429" t="str">
            <v>Rahway City (Union)</v>
          </cell>
        </row>
        <row r="430">
          <cell r="A430" t="str">
            <v>0248</v>
          </cell>
          <cell r="D430" t="str">
            <v>Ramsey Borough (Bergen)</v>
          </cell>
        </row>
        <row r="431">
          <cell r="A431" t="str">
            <v>1432</v>
          </cell>
          <cell r="D431" t="str">
            <v>Randolph Township (Morris)</v>
          </cell>
        </row>
        <row r="432">
          <cell r="A432" t="str">
            <v>1816</v>
          </cell>
          <cell r="D432" t="str">
            <v>Raritan Borough (Somerset)</v>
          </cell>
        </row>
        <row r="433">
          <cell r="A433" t="str">
            <v>1021</v>
          </cell>
          <cell r="D433" t="str">
            <v>Raritan Township (Hunterdon)</v>
          </cell>
        </row>
        <row r="434">
          <cell r="A434" t="str">
            <v>1022</v>
          </cell>
          <cell r="D434" t="str">
            <v>Readington Township (Hunterdon)</v>
          </cell>
        </row>
        <row r="435">
          <cell r="A435" t="str">
            <v>1340</v>
          </cell>
          <cell r="D435" t="str">
            <v>Red Bank Borough (Monmouth)</v>
          </cell>
        </row>
        <row r="436">
          <cell r="A436" t="str">
            <v>0249</v>
          </cell>
          <cell r="D436" t="str">
            <v>Ridgefield Borough (Bergen)</v>
          </cell>
        </row>
        <row r="437">
          <cell r="A437" t="str">
            <v>0250</v>
          </cell>
          <cell r="D437" t="str">
            <v>Ridgefield Park Village (Bergen)</v>
          </cell>
        </row>
        <row r="438">
          <cell r="A438" t="str">
            <v>0251</v>
          </cell>
          <cell r="D438" t="str">
            <v>Ridgewood Village (Bergen)</v>
          </cell>
        </row>
        <row r="439">
          <cell r="A439" t="str">
            <v>1611</v>
          </cell>
          <cell r="D439" t="str">
            <v>Ringwood Borough (Passaic)</v>
          </cell>
        </row>
        <row r="440">
          <cell r="A440" t="str">
            <v>0252</v>
          </cell>
          <cell r="D440" t="str">
            <v>River Edge Borough (Bergen)</v>
          </cell>
        </row>
        <row r="441">
          <cell r="A441" t="str">
            <v>0253</v>
          </cell>
          <cell r="D441" t="str">
            <v>River Vale Township (Bergen)</v>
          </cell>
        </row>
        <row r="442">
          <cell r="A442" t="str">
            <v>1433</v>
          </cell>
          <cell r="D442" t="str">
            <v>Riverdale Borough (Morris)</v>
          </cell>
        </row>
        <row r="443">
          <cell r="A443" t="str">
            <v>0330</v>
          </cell>
          <cell r="D443" t="str">
            <v>Riverside Township (Burlington)</v>
          </cell>
        </row>
        <row r="444">
          <cell r="A444" t="str">
            <v>0331</v>
          </cell>
          <cell r="D444" t="str">
            <v>Riverton Borough (Burlington)</v>
          </cell>
        </row>
        <row r="445">
          <cell r="A445" t="str">
            <v>1112</v>
          </cell>
          <cell r="D445" t="str">
            <v>Robbinsville Township (Mercer)</v>
          </cell>
        </row>
        <row r="446">
          <cell r="A446" t="str">
            <v>0254</v>
          </cell>
          <cell r="D446" t="str">
            <v>Rochelle Park Township (Bergen)</v>
          </cell>
        </row>
        <row r="447">
          <cell r="A447" t="str">
            <v>1434</v>
          </cell>
          <cell r="D447" t="str">
            <v>Rockaway Borough (Morris)</v>
          </cell>
        </row>
        <row r="448">
          <cell r="A448" t="str">
            <v>1435</v>
          </cell>
          <cell r="D448" t="str">
            <v>Rockaway Township (Morris)</v>
          </cell>
        </row>
        <row r="449">
          <cell r="A449" t="str">
            <v>0255</v>
          </cell>
          <cell r="D449" t="str">
            <v>Rockleigh Borough (Bergen)</v>
          </cell>
        </row>
        <row r="450">
          <cell r="A450" t="str">
            <v>1817</v>
          </cell>
          <cell r="D450" t="str">
            <v>Rocky Hill Borough (Somerset)</v>
          </cell>
        </row>
        <row r="451">
          <cell r="A451" t="str">
            <v>1341</v>
          </cell>
          <cell r="D451" t="str">
            <v>Roosevelt Borough (Monmouth)</v>
          </cell>
        </row>
        <row r="452">
          <cell r="A452" t="str">
            <v>0718</v>
          </cell>
          <cell r="D452" t="str">
            <v>Roseland Borough (Essex)</v>
          </cell>
        </row>
        <row r="453">
          <cell r="A453" t="str">
            <v>2014</v>
          </cell>
          <cell r="D453" t="str">
            <v>Roselle Borough (Union)</v>
          </cell>
        </row>
        <row r="454">
          <cell r="A454" t="str">
            <v>2015</v>
          </cell>
          <cell r="D454" t="str">
            <v>Roselle Park Borough (Union)</v>
          </cell>
        </row>
        <row r="455">
          <cell r="A455" t="str">
            <v>1436</v>
          </cell>
          <cell r="D455" t="str">
            <v>Roxbury Township (Morris)</v>
          </cell>
        </row>
        <row r="456">
          <cell r="A456" t="str">
            <v>1342</v>
          </cell>
          <cell r="D456" t="str">
            <v>Rumson Borough (Monmouth)</v>
          </cell>
        </row>
        <row r="457">
          <cell r="A457" t="str">
            <v>0430</v>
          </cell>
          <cell r="D457" t="str">
            <v>Runnemede Borough (Camden)</v>
          </cell>
        </row>
        <row r="458">
          <cell r="A458" t="str">
            <v>0256</v>
          </cell>
          <cell r="D458" t="str">
            <v>Rutherford Borough (Bergen)</v>
          </cell>
        </row>
        <row r="459">
          <cell r="A459" t="str">
            <v>0257</v>
          </cell>
          <cell r="D459" t="str">
            <v>Saddle Brook Township (Bergen)</v>
          </cell>
        </row>
        <row r="460">
          <cell r="A460" t="str">
            <v>0258</v>
          </cell>
          <cell r="D460" t="str">
            <v>Saddle River Borough (Bergen)</v>
          </cell>
        </row>
        <row r="461">
          <cell r="A461" t="str">
            <v>1712</v>
          </cell>
          <cell r="D461" t="str">
            <v>Salem City (Salem)</v>
          </cell>
        </row>
        <row r="462">
          <cell r="A462" t="str">
            <v>1700</v>
          </cell>
          <cell r="D462" t="str">
            <v>Salem County (Salem)</v>
          </cell>
        </row>
        <row r="463">
          <cell r="A463" t="str">
            <v>1917</v>
          </cell>
          <cell r="D463" t="str">
            <v>Sandyston Township (Sussex)</v>
          </cell>
        </row>
        <row r="464">
          <cell r="A464" t="str">
            <v>1219</v>
          </cell>
          <cell r="D464" t="str">
            <v>Sayreville Borough (Middlesex)</v>
          </cell>
        </row>
        <row r="465">
          <cell r="A465" t="str">
            <v>2016</v>
          </cell>
          <cell r="D465" t="str">
            <v>Scotch Plains Township (Union)</v>
          </cell>
        </row>
        <row r="466">
          <cell r="A466" t="str">
            <v>1343</v>
          </cell>
          <cell r="D466" t="str">
            <v>Sea Bright Borough (Monmouth)</v>
          </cell>
        </row>
        <row r="467">
          <cell r="A467" t="str">
            <v>1344</v>
          </cell>
          <cell r="D467" t="str">
            <v>Sea Girt Borough (Monmouth)</v>
          </cell>
        </row>
        <row r="468">
          <cell r="A468" t="str">
            <v>0509</v>
          </cell>
          <cell r="D468" t="str">
            <v>Sea Isle City (Cape May)</v>
          </cell>
        </row>
        <row r="469">
          <cell r="A469" t="str">
            <v>1526</v>
          </cell>
          <cell r="D469" t="str">
            <v>Seaside Heights Borough (Ocean)</v>
          </cell>
        </row>
        <row r="470">
          <cell r="A470" t="str">
            <v>1527</v>
          </cell>
          <cell r="D470" t="str">
            <v>Seaside Park Borough (Ocean)</v>
          </cell>
        </row>
        <row r="471">
          <cell r="A471" t="str">
            <v>0909</v>
          </cell>
          <cell r="D471" t="str">
            <v>Secaucus Town (Hudson)</v>
          </cell>
        </row>
        <row r="472">
          <cell r="A472" t="str">
            <v>0332</v>
          </cell>
          <cell r="D472" t="str">
            <v>Shamong Township (Burlington)</v>
          </cell>
        </row>
        <row r="473">
          <cell r="A473" t="str">
            <v>0611</v>
          </cell>
          <cell r="D473" t="str">
            <v>Shiloh Borough (Cumberland)</v>
          </cell>
        </row>
        <row r="474">
          <cell r="A474" t="str">
            <v>1528</v>
          </cell>
          <cell r="D474" t="str">
            <v>Ship Bottom Borough (Ocean)</v>
          </cell>
        </row>
        <row r="475">
          <cell r="A475" t="str">
            <v>1345</v>
          </cell>
          <cell r="D475" t="str">
            <v>Shrewsbury Borough (Monmouth)</v>
          </cell>
        </row>
        <row r="476">
          <cell r="A476" t="str">
            <v>1346</v>
          </cell>
          <cell r="D476" t="str">
            <v>Shrewsbury Township (Monmouth)</v>
          </cell>
        </row>
        <row r="477">
          <cell r="A477" t="str">
            <v>0431</v>
          </cell>
          <cell r="D477" t="str">
            <v>Somerdale Borough (Camden)</v>
          </cell>
        </row>
        <row r="478">
          <cell r="A478" t="str">
            <v>0121</v>
          </cell>
          <cell r="D478" t="str">
            <v>Somers Point City (Atlantic)</v>
          </cell>
        </row>
        <row r="479">
          <cell r="A479" t="str">
            <v>1800</v>
          </cell>
          <cell r="D479" t="str">
            <v>Somerset County (Somerset)</v>
          </cell>
        </row>
        <row r="480">
          <cell r="A480" t="str">
            <v>1818</v>
          </cell>
          <cell r="D480" t="str">
            <v>Somerville Borough (Somerset)</v>
          </cell>
        </row>
        <row r="481">
          <cell r="A481" t="str">
            <v>1220</v>
          </cell>
          <cell r="D481" t="str">
            <v>South Amboy City (Middlesex)</v>
          </cell>
        </row>
        <row r="482">
          <cell r="A482" t="str">
            <v>1819</v>
          </cell>
          <cell r="D482" t="str">
            <v>South Bound Brook Borough (Somerset)</v>
          </cell>
        </row>
        <row r="483">
          <cell r="A483" t="str">
            <v>1221</v>
          </cell>
          <cell r="D483" t="str">
            <v>South Brunswick Township (Middlesex)</v>
          </cell>
        </row>
        <row r="484">
          <cell r="A484" t="str">
            <v>0259</v>
          </cell>
          <cell r="D484" t="str">
            <v>South Hackensack Township (Bergen)</v>
          </cell>
        </row>
        <row r="485">
          <cell r="A485" t="str">
            <v>0816</v>
          </cell>
          <cell r="D485" t="str">
            <v>South Harrison Township (Gloucester)</v>
          </cell>
        </row>
        <row r="486">
          <cell r="A486" t="str">
            <v>0719</v>
          </cell>
          <cell r="D486" t="str">
            <v>South Orange Village (Essex)</v>
          </cell>
        </row>
        <row r="487">
          <cell r="A487" t="str">
            <v>1222</v>
          </cell>
          <cell r="D487" t="str">
            <v>South Plainfield Borough (Middlesex)</v>
          </cell>
        </row>
        <row r="488">
          <cell r="A488" t="str">
            <v>1223</v>
          </cell>
          <cell r="D488" t="str">
            <v>South River Borough (Middlesex)</v>
          </cell>
        </row>
        <row r="489">
          <cell r="A489" t="str">
            <v>1529</v>
          </cell>
          <cell r="D489" t="str">
            <v>South Toms River Borough (Ocean)</v>
          </cell>
        </row>
        <row r="490">
          <cell r="A490" t="str">
            <v>0333</v>
          </cell>
          <cell r="D490" t="str">
            <v>Southampton Township (Burlington)</v>
          </cell>
        </row>
        <row r="491">
          <cell r="A491" t="str">
            <v>1918</v>
          </cell>
          <cell r="D491" t="str">
            <v>Sparta Township (Sussex)</v>
          </cell>
        </row>
        <row r="492">
          <cell r="A492" t="str">
            <v>1224</v>
          </cell>
          <cell r="D492" t="str">
            <v>Spotswood Borough (Middlesex)</v>
          </cell>
        </row>
        <row r="493">
          <cell r="A493" t="str">
            <v>1348</v>
          </cell>
          <cell r="D493" t="str">
            <v>Spring Lake Borough (Monmouth)</v>
          </cell>
        </row>
        <row r="494">
          <cell r="A494" t="str">
            <v>1349</v>
          </cell>
          <cell r="D494" t="str">
            <v>Spring Lake Heights Borough (Monmouth)</v>
          </cell>
        </row>
        <row r="495">
          <cell r="A495" t="str">
            <v>0334</v>
          </cell>
          <cell r="D495" t="str">
            <v>Springfield Township (Burlington)</v>
          </cell>
        </row>
        <row r="496">
          <cell r="A496" t="str">
            <v>2017</v>
          </cell>
          <cell r="D496" t="str">
            <v>Springfield Township (Union)</v>
          </cell>
        </row>
        <row r="497">
          <cell r="A497" t="str">
            <v>1530</v>
          </cell>
          <cell r="D497" t="str">
            <v>Stafford Township (Ocean)</v>
          </cell>
        </row>
        <row r="498">
          <cell r="A498" t="str">
            <v>1919</v>
          </cell>
          <cell r="D498" t="str">
            <v>Stanhope Borough (Sussex)</v>
          </cell>
        </row>
        <row r="499">
          <cell r="A499" t="str">
            <v>1920</v>
          </cell>
          <cell r="D499" t="str">
            <v>Stillwater Township (Sussex)</v>
          </cell>
        </row>
        <row r="500">
          <cell r="A500" t="str">
            <v>1023</v>
          </cell>
          <cell r="D500" t="str">
            <v>Stockton Borough (Hunterdon)</v>
          </cell>
        </row>
        <row r="501">
          <cell r="A501" t="str">
            <v>0510</v>
          </cell>
          <cell r="D501" t="str">
            <v>Stone Harbor Borough (Cape May)</v>
          </cell>
        </row>
        <row r="502">
          <cell r="A502" t="str">
            <v>0612</v>
          </cell>
          <cell r="D502" t="str">
            <v>Stow Creek Township (Cumberland)</v>
          </cell>
        </row>
        <row r="503">
          <cell r="A503" t="str">
            <v>0432</v>
          </cell>
          <cell r="D503" t="str">
            <v>Stratford Borough (Camden)</v>
          </cell>
        </row>
        <row r="504">
          <cell r="A504" t="str">
            <v>2018</v>
          </cell>
          <cell r="D504" t="str">
            <v>Summit City (Union)</v>
          </cell>
        </row>
        <row r="505">
          <cell r="A505" t="str">
            <v>1531</v>
          </cell>
          <cell r="D505" t="str">
            <v>Surf City Borough (Ocean)</v>
          </cell>
        </row>
        <row r="506">
          <cell r="A506" t="str">
            <v>1921</v>
          </cell>
          <cell r="D506" t="str">
            <v>Sussex Borough (Sussex)</v>
          </cell>
        </row>
        <row r="507">
          <cell r="A507" t="str">
            <v>1900</v>
          </cell>
          <cell r="D507" t="str">
            <v>Sussex County (Sussex)</v>
          </cell>
        </row>
        <row r="508">
          <cell r="A508" t="str">
            <v>0817</v>
          </cell>
          <cell r="D508" t="str">
            <v>Swedesboro Borough (Gloucester)</v>
          </cell>
        </row>
        <row r="509">
          <cell r="A509" t="str">
            <v>0335</v>
          </cell>
          <cell r="D509" t="str">
            <v>Tabernacle Township (Burlington)</v>
          </cell>
        </row>
        <row r="510">
          <cell r="A510" t="str">
            <v>0433</v>
          </cell>
          <cell r="D510" t="str">
            <v>Tavistock Borough (Camden)</v>
          </cell>
        </row>
        <row r="511">
          <cell r="A511" t="str">
            <v>0260</v>
          </cell>
          <cell r="D511" t="str">
            <v>Teaneck Township (Bergen)</v>
          </cell>
        </row>
        <row r="512">
          <cell r="A512" t="str">
            <v>0261</v>
          </cell>
          <cell r="D512" t="str">
            <v>Tenafly Borough (Bergen)</v>
          </cell>
        </row>
        <row r="513">
          <cell r="A513" t="str">
            <v>0262</v>
          </cell>
          <cell r="D513" t="str">
            <v>Teterboro Borough (Bergen)</v>
          </cell>
        </row>
        <row r="514">
          <cell r="A514" t="str">
            <v>1024</v>
          </cell>
          <cell r="D514" t="str">
            <v>Tewksbury Township (Hunterdon)</v>
          </cell>
        </row>
        <row r="515">
          <cell r="A515" t="str">
            <v>1336</v>
          </cell>
          <cell r="D515" t="str">
            <v>Tinton Falls Borough (Monmouth)</v>
          </cell>
        </row>
        <row r="516">
          <cell r="A516" t="str">
            <v>1507</v>
          </cell>
          <cell r="D516" t="str">
            <v>Toms River Township (Ocean)</v>
          </cell>
        </row>
        <row r="517">
          <cell r="A517" t="str">
            <v>1612</v>
          </cell>
          <cell r="D517" t="str">
            <v>Totowa Borough (Passaic)</v>
          </cell>
        </row>
        <row r="518">
          <cell r="A518" t="str">
            <v>1111</v>
          </cell>
          <cell r="D518" t="str">
            <v>Trenton City (Mercer)</v>
          </cell>
        </row>
        <row r="519">
          <cell r="A519" t="str">
            <v>1532</v>
          </cell>
          <cell r="D519" t="str">
            <v>Tuckerton Borough (Ocean)</v>
          </cell>
        </row>
        <row r="520">
          <cell r="A520" t="str">
            <v>1350</v>
          </cell>
          <cell r="D520" t="str">
            <v>Union Beach Borough (Monmouth)</v>
          </cell>
        </row>
        <row r="521">
          <cell r="A521" t="str">
            <v>0910</v>
          </cell>
          <cell r="D521" t="str">
            <v>Union City City (Hudson)</v>
          </cell>
        </row>
        <row r="522">
          <cell r="A522" t="str">
            <v>2000</v>
          </cell>
          <cell r="D522" t="str">
            <v>Union County (Union)</v>
          </cell>
        </row>
        <row r="523">
          <cell r="A523" t="str">
            <v>1025</v>
          </cell>
          <cell r="D523" t="str">
            <v>Union Township (Hunterdon)</v>
          </cell>
        </row>
        <row r="524">
          <cell r="A524" t="str">
            <v>2019</v>
          </cell>
          <cell r="D524" t="str">
            <v>Union Township (Union)</v>
          </cell>
        </row>
        <row r="525">
          <cell r="A525" t="str">
            <v>0613</v>
          </cell>
          <cell r="D525" t="str">
            <v>Upper Deerfield Township (Cumberland)</v>
          </cell>
        </row>
        <row r="526">
          <cell r="A526" t="str">
            <v>1351</v>
          </cell>
          <cell r="D526" t="str">
            <v>Upper Freehold Township (Monmouth)</v>
          </cell>
        </row>
        <row r="527">
          <cell r="A527" t="str">
            <v>1714</v>
          </cell>
          <cell r="D527" t="str">
            <v>Upper Pittsgrove Township (Salem)</v>
          </cell>
        </row>
        <row r="528">
          <cell r="A528" t="str">
            <v>0263</v>
          </cell>
          <cell r="D528" t="str">
            <v>Upper Saddle River Borough (Bergen)</v>
          </cell>
        </row>
        <row r="529">
          <cell r="A529" t="str">
            <v>0511</v>
          </cell>
          <cell r="D529" t="str">
            <v>Upper Township (Cape May)</v>
          </cell>
        </row>
        <row r="530">
          <cell r="A530" t="str">
            <v>0122</v>
          </cell>
          <cell r="D530" t="str">
            <v>Ventnor City (Atlantic)</v>
          </cell>
        </row>
        <row r="531">
          <cell r="A531" t="str">
            <v>1922</v>
          </cell>
          <cell r="D531" t="str">
            <v>Vernon Township (Sussex)</v>
          </cell>
        </row>
        <row r="532">
          <cell r="A532" t="str">
            <v>0720</v>
          </cell>
          <cell r="D532" t="str">
            <v>Verona Township (Essex)</v>
          </cell>
        </row>
        <row r="533">
          <cell r="A533" t="str">
            <v>1437</v>
          </cell>
          <cell r="D533" t="str">
            <v>Victory Gardens Borough (Morris)</v>
          </cell>
        </row>
        <row r="534">
          <cell r="A534" t="str">
            <v>0614</v>
          </cell>
          <cell r="D534" t="str">
            <v>Vineland City (Cumberland)</v>
          </cell>
        </row>
        <row r="535">
          <cell r="A535" t="str">
            <v>0434</v>
          </cell>
          <cell r="D535" t="str">
            <v>Voorhees Township (Camden)</v>
          </cell>
        </row>
        <row r="536">
          <cell r="A536" t="str">
            <v>0264</v>
          </cell>
          <cell r="D536" t="str">
            <v>Waldwick Borough (Bergen)</v>
          </cell>
        </row>
        <row r="537">
          <cell r="A537" t="str">
            <v>1352</v>
          </cell>
          <cell r="D537" t="str">
            <v>Wall Township (Monmouth)</v>
          </cell>
        </row>
        <row r="538">
          <cell r="A538" t="str">
            <v>0265</v>
          </cell>
          <cell r="D538" t="str">
            <v>Wallington Borough (Bergen)</v>
          </cell>
        </row>
        <row r="539">
          <cell r="A539" t="str">
            <v>1923</v>
          </cell>
          <cell r="D539" t="str">
            <v>Walpack Township (Sussex)</v>
          </cell>
        </row>
        <row r="540">
          <cell r="A540" t="str">
            <v>1613</v>
          </cell>
          <cell r="D540" t="str">
            <v>Wanaque Borough (Passaic)</v>
          </cell>
        </row>
        <row r="541">
          <cell r="A541" t="str">
            <v>1924</v>
          </cell>
          <cell r="D541" t="str">
            <v>Wantage Township (Sussex)</v>
          </cell>
        </row>
        <row r="542">
          <cell r="A542" t="str">
            <v>2100</v>
          </cell>
          <cell r="D542" t="str">
            <v>Warren County (Warren)</v>
          </cell>
        </row>
        <row r="543">
          <cell r="A543" t="str">
            <v>1820</v>
          </cell>
          <cell r="D543" t="str">
            <v>Warren Township (Somerset)</v>
          </cell>
        </row>
        <row r="544">
          <cell r="A544" t="str">
            <v>2121</v>
          </cell>
          <cell r="D544" t="str">
            <v>Washington Borough (Warren)</v>
          </cell>
        </row>
        <row r="545">
          <cell r="A545" t="str">
            <v>0266</v>
          </cell>
          <cell r="D545" t="str">
            <v>Washington Township (Bergen)</v>
          </cell>
        </row>
        <row r="546">
          <cell r="A546" t="str">
            <v>0336</v>
          </cell>
          <cell r="D546" t="str">
            <v>Washington Township (Burlington)</v>
          </cell>
        </row>
        <row r="547">
          <cell r="A547" t="str">
            <v>0818</v>
          </cell>
          <cell r="D547" t="str">
            <v>Washington Township (Gloucester)</v>
          </cell>
        </row>
        <row r="548">
          <cell r="A548" t="str">
            <v>1438</v>
          </cell>
          <cell r="D548" t="str">
            <v>Washington Township (Morris)</v>
          </cell>
        </row>
        <row r="549">
          <cell r="A549" t="str">
            <v>2122</v>
          </cell>
          <cell r="D549" t="str">
            <v>Washington Township (Warren)</v>
          </cell>
        </row>
        <row r="550">
          <cell r="A550" t="str">
            <v>1821</v>
          </cell>
          <cell r="D550" t="str">
            <v>Watchung Borough (Somerset)</v>
          </cell>
        </row>
        <row r="551">
          <cell r="A551" t="str">
            <v>0435</v>
          </cell>
          <cell r="D551" t="str">
            <v>Waterford Township (Camden)</v>
          </cell>
        </row>
        <row r="552">
          <cell r="A552" t="str">
            <v>1614</v>
          </cell>
          <cell r="D552" t="str">
            <v>Wayne Township (Passaic)</v>
          </cell>
        </row>
        <row r="553">
          <cell r="A553" t="str">
            <v>0911</v>
          </cell>
          <cell r="D553" t="str">
            <v>Weehawken Township (Hudson)</v>
          </cell>
        </row>
        <row r="554">
          <cell r="A554" t="str">
            <v>0819</v>
          </cell>
          <cell r="D554" t="str">
            <v>Wenonah Borough (Gloucester)</v>
          </cell>
        </row>
        <row r="555">
          <cell r="A555" t="str">
            <v>1026</v>
          </cell>
          <cell r="D555" t="str">
            <v>West Amwell Township (Hunterdon)</v>
          </cell>
        </row>
        <row r="556">
          <cell r="A556" t="str">
            <v>0721</v>
          </cell>
          <cell r="D556" t="str">
            <v>West Caldwell Township (Essex)</v>
          </cell>
        </row>
        <row r="557">
          <cell r="A557" t="str">
            <v>0512</v>
          </cell>
          <cell r="D557" t="str">
            <v>West Cape May Borough (Cape May)</v>
          </cell>
        </row>
        <row r="558">
          <cell r="A558" t="str">
            <v>0820</v>
          </cell>
          <cell r="D558" t="str">
            <v>West Deptford Township (Gloucester)</v>
          </cell>
        </row>
        <row r="559">
          <cell r="A559" t="str">
            <v>1353</v>
          </cell>
          <cell r="D559" t="str">
            <v>West Long Branch Borough (Monmouth)</v>
          </cell>
        </row>
        <row r="560">
          <cell r="A560" t="str">
            <v>1615</v>
          </cell>
          <cell r="D560" t="str">
            <v>West Milford Township (Passaic)</v>
          </cell>
        </row>
        <row r="561">
          <cell r="A561" t="str">
            <v>0912</v>
          </cell>
          <cell r="D561" t="str">
            <v>West New York Town (Hudson)</v>
          </cell>
        </row>
        <row r="562">
          <cell r="A562" t="str">
            <v>0722</v>
          </cell>
          <cell r="D562" t="str">
            <v>West Orange Township (Essex)</v>
          </cell>
        </row>
        <row r="563">
          <cell r="A563" t="str">
            <v>0513</v>
          </cell>
          <cell r="D563" t="str">
            <v>West Wildwood Borough (Cape May)</v>
          </cell>
        </row>
        <row r="564">
          <cell r="A564" t="str">
            <v>1113</v>
          </cell>
          <cell r="D564" t="str">
            <v>West Windsor Township (Mercer)</v>
          </cell>
        </row>
        <row r="565">
          <cell r="A565" t="str">
            <v>0337</v>
          </cell>
          <cell r="D565" t="str">
            <v>Westampton Township (Burlington)</v>
          </cell>
        </row>
        <row r="566">
          <cell r="A566" t="str">
            <v>2020</v>
          </cell>
          <cell r="D566" t="str">
            <v>Westfield Town (Union)</v>
          </cell>
        </row>
        <row r="567">
          <cell r="A567" t="str">
            <v>0821</v>
          </cell>
          <cell r="D567" t="str">
            <v>Westville Borough (Gloucester)</v>
          </cell>
        </row>
        <row r="568">
          <cell r="A568" t="str">
            <v>0267</v>
          </cell>
          <cell r="D568" t="str">
            <v>Westwood Borough (Bergen)</v>
          </cell>
        </row>
        <row r="569">
          <cell r="A569" t="str">
            <v>0123</v>
          </cell>
          <cell r="D569" t="str">
            <v>Weymouth Township (Atlantic)</v>
          </cell>
        </row>
        <row r="570">
          <cell r="A570" t="str">
            <v>1439</v>
          </cell>
          <cell r="D570" t="str">
            <v>Wharton Borough (Morris)</v>
          </cell>
        </row>
        <row r="571">
          <cell r="A571" t="str">
            <v>2123</v>
          </cell>
          <cell r="D571" t="str">
            <v>White Township (Warren)</v>
          </cell>
        </row>
        <row r="572">
          <cell r="A572" t="str">
            <v>0514</v>
          </cell>
          <cell r="D572" t="str">
            <v>Wildwood City (Cape May)</v>
          </cell>
        </row>
        <row r="573">
          <cell r="A573" t="str">
            <v>0515</v>
          </cell>
          <cell r="D573" t="str">
            <v>Wildwood Crest Borough (Cape May)</v>
          </cell>
        </row>
        <row r="574">
          <cell r="A574" t="str">
            <v>0338</v>
          </cell>
          <cell r="D574" t="str">
            <v>Willingboro Township (Burlington)</v>
          </cell>
        </row>
        <row r="575">
          <cell r="A575" t="str">
            <v>2021</v>
          </cell>
          <cell r="D575" t="str">
            <v>Winfield Township (Union)</v>
          </cell>
        </row>
        <row r="576">
          <cell r="A576" t="str">
            <v>0436</v>
          </cell>
          <cell r="D576" t="str">
            <v>Winslow Township (Camden)</v>
          </cell>
        </row>
        <row r="577">
          <cell r="A577" t="str">
            <v>0516</v>
          </cell>
          <cell r="D577" t="str">
            <v>Woodbine Borough (Cape May)</v>
          </cell>
        </row>
        <row r="578">
          <cell r="A578" t="str">
            <v>1225</v>
          </cell>
          <cell r="D578" t="str">
            <v>Woodbridge Township (Middlesex)</v>
          </cell>
        </row>
        <row r="579">
          <cell r="A579" t="str">
            <v>0822</v>
          </cell>
          <cell r="D579" t="str">
            <v>Woodbury City (Gloucester)</v>
          </cell>
        </row>
        <row r="580">
          <cell r="A580" t="str">
            <v>0823</v>
          </cell>
          <cell r="D580" t="str">
            <v>Woodbury Heights Borough (Gloucester)</v>
          </cell>
        </row>
        <row r="581">
          <cell r="A581" t="str">
            <v>0268</v>
          </cell>
          <cell r="D581" t="str">
            <v>Woodcliff Lake Borough (Bergen)</v>
          </cell>
        </row>
        <row r="582">
          <cell r="A582" t="str">
            <v>1616</v>
          </cell>
          <cell r="D582" t="str">
            <v>Woodland Park Borough (Passaic)</v>
          </cell>
        </row>
        <row r="583">
          <cell r="A583" t="str">
            <v>0339</v>
          </cell>
          <cell r="D583" t="str">
            <v>Woodland Township (Burlington)</v>
          </cell>
        </row>
        <row r="584">
          <cell r="A584" t="str">
            <v>0437</v>
          </cell>
          <cell r="D584" t="str">
            <v>Woodlynne Borough (Camden)</v>
          </cell>
        </row>
        <row r="585">
          <cell r="A585" t="str">
            <v>0269</v>
          </cell>
          <cell r="D585" t="str">
            <v>Wood-Ridge Borough (Bergen)</v>
          </cell>
        </row>
        <row r="586">
          <cell r="A586" t="str">
            <v>1715</v>
          </cell>
          <cell r="D586" t="str">
            <v>Woodstown Borough (Salem)</v>
          </cell>
        </row>
        <row r="587">
          <cell r="A587" t="str">
            <v>0824</v>
          </cell>
          <cell r="D587" t="str">
            <v>Woolwich Township (Gloucester)</v>
          </cell>
        </row>
        <row r="588">
          <cell r="A588" t="str">
            <v>0340</v>
          </cell>
          <cell r="D588" t="str">
            <v>Wrightstown Borough (Burlington)</v>
          </cell>
        </row>
        <row r="589">
          <cell r="A589" t="str">
            <v>0270</v>
          </cell>
          <cell r="D589" t="str">
            <v>Wyckoff Township (Bergen)</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CON - BUDGET &amp; FUND BALANCE"/>
      <sheetName val="24"/>
      <sheetName val="25"/>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cell r="P14">
            <v>0</v>
          </cell>
        </row>
        <row r="16">
          <cell r="P16">
            <v>0</v>
          </cell>
        </row>
        <row r="17">
          <cell r="P17">
            <v>0</v>
          </cell>
        </row>
        <row r="19">
          <cell r="P19">
            <v>0</v>
          </cell>
        </row>
        <row r="20">
          <cell r="P20">
            <v>0</v>
          </cell>
        </row>
        <row r="22">
          <cell r="P22">
            <v>0</v>
          </cell>
        </row>
        <row r="23">
          <cell r="P23">
            <v>0</v>
          </cell>
        </row>
      </sheetData>
      <sheetData sheetId="39">
        <row r="15">
          <cell r="H15">
            <v>67500</v>
          </cell>
          <cell r="P15">
            <v>0</v>
          </cell>
        </row>
        <row r="16">
          <cell r="P16">
            <v>0</v>
          </cell>
        </row>
        <row r="22">
          <cell r="P22">
            <v>0</v>
          </cell>
        </row>
        <row r="24">
          <cell r="P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Info"/>
      <sheetName val="Reserve"/>
      <sheetName val="Summary"/>
      <sheetName val="Tax Rate"/>
      <sheetName val="Test"/>
      <sheetName val="Sheet A"/>
      <sheetName val="1"/>
      <sheetName val="1a"/>
      <sheetName val="2"/>
      <sheetName val="3"/>
      <sheetName val="3a"/>
      <sheetName val="3b"/>
      <sheetName val="3c Cap Cal"/>
      <sheetName val="3d"/>
      <sheetName val="3e"/>
      <sheetName val="Revenues"/>
      <sheetName val="12"/>
      <sheetName val="13"/>
      <sheetName val="14"/>
      <sheetName val="15"/>
      <sheetName val="15a"/>
      <sheetName val="15b"/>
      <sheetName val="15c"/>
      <sheetName val="15d"/>
      <sheetName val="15e"/>
      <sheetName val="15f"/>
      <sheetName val="15g"/>
      <sheetName val="16"/>
      <sheetName val="17"/>
      <sheetName val="18"/>
      <sheetName val="19"/>
      <sheetName val="20"/>
      <sheetName val="20a"/>
      <sheetName val="21"/>
      <sheetName val="22"/>
      <sheetName val="23"/>
      <sheetName val="24"/>
      <sheetName val="24a"/>
      <sheetName val="25"/>
      <sheetName val="26"/>
      <sheetName val="26a"/>
      <sheetName val="27"/>
      <sheetName val="28"/>
      <sheetName val="29"/>
      <sheetName val="30"/>
      <sheetName val="31"/>
      <sheetName val="32"/>
      <sheetName val="33"/>
      <sheetName val="34"/>
      <sheetName val="35"/>
      <sheetName val="36"/>
      <sheetName val="37"/>
      <sheetName val="38"/>
      <sheetName val="39"/>
      <sheetName val="40"/>
      <sheetName val="40a"/>
      <sheetName val="40b"/>
      <sheetName val="40c"/>
      <sheetName val="40d"/>
      <sheetName val="41"/>
      <sheetName val="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17">
          <cell r="F17">
            <v>60000</v>
          </cell>
          <cell r="H17">
            <v>60000</v>
          </cell>
          <cell r="L17">
            <v>60000</v>
          </cell>
          <cell r="N17">
            <v>60000</v>
          </cell>
          <cell r="P17">
            <v>0</v>
          </cell>
        </row>
        <row r="18">
          <cell r="F18">
            <v>15000</v>
          </cell>
          <cell r="H18">
            <v>15000</v>
          </cell>
          <cell r="L18">
            <v>15000</v>
          </cell>
          <cell r="N18">
            <v>15000</v>
          </cell>
          <cell r="P18">
            <v>0</v>
          </cell>
        </row>
        <row r="20">
          <cell r="F20">
            <v>65119</v>
          </cell>
          <cell r="H20">
            <v>56051</v>
          </cell>
          <cell r="L20">
            <v>56051</v>
          </cell>
          <cell r="N20">
            <v>56051</v>
          </cell>
          <cell r="P20">
            <v>0</v>
          </cell>
        </row>
        <row r="23">
          <cell r="F23">
            <v>5606.01</v>
          </cell>
          <cell r="H23">
            <v>16173.74</v>
          </cell>
          <cell r="L23">
            <v>16173.74</v>
          </cell>
          <cell r="N23">
            <v>16173.74</v>
          </cell>
          <cell r="P23">
            <v>0</v>
          </cell>
        </row>
      </sheetData>
      <sheetData sheetId="38">
        <row r="14">
          <cell r="F14">
            <v>15000</v>
          </cell>
        </row>
      </sheetData>
      <sheetData sheetId="39">
        <row r="15">
          <cell r="H15">
            <v>67500</v>
          </cell>
        </row>
        <row r="24">
          <cell r="J24">
            <v>0</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nj.gov/dca/divisions/dlgs/pdf/Budget_Document_Instructions.pdf"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vmlDrawing" Target="../drawings/vmlDrawing3.vml"/><Relationship Id="rId7" Type="http://schemas.openxmlformats.org/officeDocument/2006/relationships/ctrlProp" Target="../ctrlProps/ctrlProp9.xml"/><Relationship Id="rId2" Type="http://schemas.openxmlformats.org/officeDocument/2006/relationships/drawing" Target="../drawings/drawing3.xml"/><Relationship Id="rId1" Type="http://schemas.openxmlformats.org/officeDocument/2006/relationships/printerSettings" Target="../printerSettings/printerSettings5.bin"/><Relationship Id="rId6" Type="http://schemas.openxmlformats.org/officeDocument/2006/relationships/ctrlProp" Target="../ctrlProps/ctrlProp8.xml"/><Relationship Id="rId5" Type="http://schemas.openxmlformats.org/officeDocument/2006/relationships/ctrlProp" Target="../ctrlProps/ctrlProp7.xml"/><Relationship Id="rId10" Type="http://schemas.openxmlformats.org/officeDocument/2006/relationships/ctrlProp" Target="../ctrlProps/ctrlProp12.xml"/><Relationship Id="rId4" Type="http://schemas.openxmlformats.org/officeDocument/2006/relationships/ctrlProp" Target="../ctrlProps/ctrlProp6.xml"/><Relationship Id="rId9" Type="http://schemas.openxmlformats.org/officeDocument/2006/relationships/ctrlProp" Target="../ctrlProps/ctrlProp11.xm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4.xml"/><Relationship Id="rId1" Type="http://schemas.openxmlformats.org/officeDocument/2006/relationships/printerSettings" Target="../printerSettings/printerSettings174.bin"/><Relationship Id="rId4" Type="http://schemas.openxmlformats.org/officeDocument/2006/relationships/ctrlProp" Target="../ctrlProps/ctrlProp13.x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6.vml"/><Relationship Id="rId1" Type="http://schemas.openxmlformats.org/officeDocument/2006/relationships/printerSettings" Target="../printerSettings/printerSettings2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4.bin"/><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73"/>
  <dimension ref="A1:F17"/>
  <sheetViews>
    <sheetView zoomScaleNormal="100" workbookViewId="0">
      <selection activeCell="B19" sqref="B19"/>
    </sheetView>
  </sheetViews>
  <sheetFormatPr defaultColWidth="9.140625" defaultRowHeight="15" x14ac:dyDescent="0.25"/>
  <cols>
    <col min="1" max="1" width="3.140625" style="1281" bestFit="1" customWidth="1"/>
    <col min="2" max="2" width="101.7109375" style="1187" customWidth="1"/>
    <col min="3" max="3" width="30.28515625" style="1187" customWidth="1"/>
    <col min="4" max="4" width="12.7109375" style="1187" bestFit="1" customWidth="1"/>
    <col min="5" max="5" width="14.7109375" style="1187" bestFit="1" customWidth="1"/>
    <col min="6" max="6" width="12.28515625" style="1187" bestFit="1" customWidth="1"/>
    <col min="7" max="16384" width="9.140625" style="1187"/>
  </cols>
  <sheetData>
    <row r="1" spans="1:6" s="1185" customFormat="1" ht="21" x14ac:dyDescent="0.35">
      <c r="A1" s="1276"/>
      <c r="B1" s="1184" t="s">
        <v>5300</v>
      </c>
      <c r="D1" s="1272"/>
      <c r="E1" s="1273"/>
      <c r="F1" s="1274"/>
    </row>
    <row r="2" spans="1:6" x14ac:dyDescent="0.25">
      <c r="A2" s="1277"/>
      <c r="B2" s="1186"/>
    </row>
    <row r="3" spans="1:6" s="1190" customFormat="1" ht="16.5" x14ac:dyDescent="0.25">
      <c r="A3" s="1278" t="s">
        <v>178</v>
      </c>
      <c r="B3" s="1282" t="s">
        <v>5301</v>
      </c>
      <c r="C3" s="1189"/>
    </row>
    <row r="4" spans="1:6" ht="16.5" x14ac:dyDescent="0.25">
      <c r="A4" s="1278" t="s">
        <v>179</v>
      </c>
      <c r="B4" s="1283" t="s">
        <v>5302</v>
      </c>
      <c r="C4" s="1191"/>
    </row>
    <row r="5" spans="1:6" ht="16.5" x14ac:dyDescent="0.25">
      <c r="A5" s="1278" t="s">
        <v>5303</v>
      </c>
      <c r="B5" s="1284" t="s">
        <v>5304</v>
      </c>
      <c r="C5" s="1189"/>
    </row>
    <row r="6" spans="1:6" ht="16.5" x14ac:dyDescent="0.25">
      <c r="A6" s="1278" t="s">
        <v>5305</v>
      </c>
      <c r="B6" s="1284" t="s">
        <v>5344</v>
      </c>
      <c r="C6" s="1188"/>
    </row>
    <row r="7" spans="1:6" ht="16.5" x14ac:dyDescent="0.25">
      <c r="A7" s="1278" t="s">
        <v>5306</v>
      </c>
      <c r="B7" s="1284" t="s">
        <v>5307</v>
      </c>
      <c r="C7" s="1188"/>
    </row>
    <row r="8" spans="1:6" ht="63" x14ac:dyDescent="0.25">
      <c r="A8" s="1278" t="s">
        <v>5308</v>
      </c>
      <c r="B8" s="1282" t="s">
        <v>5309</v>
      </c>
      <c r="C8" s="1188"/>
    </row>
    <row r="9" spans="1:6" ht="16.5" x14ac:dyDescent="0.25">
      <c r="A9" s="1278" t="s">
        <v>5310</v>
      </c>
      <c r="B9" s="1282" t="s">
        <v>5311</v>
      </c>
      <c r="C9" s="1188"/>
    </row>
    <row r="10" spans="1:6" ht="47.25" x14ac:dyDescent="0.25">
      <c r="A10" s="1278" t="s">
        <v>5312</v>
      </c>
      <c r="B10" s="1282" t="s">
        <v>5345</v>
      </c>
      <c r="C10" s="1188"/>
    </row>
    <row r="11" spans="1:6" ht="51.75" customHeight="1" x14ac:dyDescent="0.25">
      <c r="A11" s="1278" t="s">
        <v>5313</v>
      </c>
      <c r="B11" s="1282" t="s">
        <v>5346</v>
      </c>
      <c r="C11" s="1188"/>
    </row>
    <row r="12" spans="1:6" ht="15.75" x14ac:dyDescent="0.25">
      <c r="A12" s="1278" t="s">
        <v>5314</v>
      </c>
      <c r="B12" s="1284" t="s">
        <v>5315</v>
      </c>
    </row>
    <row r="13" spans="1:6" ht="31.5" x14ac:dyDescent="0.25">
      <c r="A13" s="1278" t="s">
        <v>6232</v>
      </c>
      <c r="B13" s="1282" t="s">
        <v>6234</v>
      </c>
    </row>
    <row r="14" spans="1:6" ht="47.25" x14ac:dyDescent="0.25">
      <c r="A14" s="1278" t="s">
        <v>6233</v>
      </c>
      <c r="B14" s="1282" t="s">
        <v>6235</v>
      </c>
    </row>
    <row r="15" spans="1:6" ht="21" customHeight="1" x14ac:dyDescent="0.25">
      <c r="A15" s="1279" t="s">
        <v>6233</v>
      </c>
      <c r="B15" s="1275" t="s">
        <v>5343</v>
      </c>
    </row>
    <row r="16" spans="1:6" ht="15.75" x14ac:dyDescent="0.25">
      <c r="A16" s="1280"/>
      <c r="B16" s="1212" t="s">
        <v>5329</v>
      </c>
    </row>
    <row r="17" spans="1:2" ht="16.5" x14ac:dyDescent="0.25">
      <c r="A17" s="1280"/>
      <c r="B17" s="1192"/>
    </row>
  </sheetData>
  <sheetProtection algorithmName="SHA-512" hashValue="5uxX3XbgoSY21pk7bF/PqgmYJxSIxsK5gaiwfTcwlxoPKdvlCi5tgs1ZJju65Nc8BucsphosXWsXFLy8hEg8VA==" saltValue="NZsrs3cujopxc+un5Co2FA==" spinCount="100000" sheet="1" objects="1" scenarios="1"/>
  <hyperlinks>
    <hyperlink ref="B16" r:id="rId1" xr:uid="{00000000-0004-0000-0000-000000000000}"/>
  </hyperlinks>
  <pageMargins left="0.7" right="0.7" top="0.75" bottom="0.75" header="0.3" footer="0.3"/>
  <pageSetup paperSize="5" orientation="landscape"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76">
    <tabColor theme="6" tint="-0.249977111117893"/>
  </sheetPr>
  <dimension ref="A1:AR1193"/>
  <sheetViews>
    <sheetView zoomScaleNormal="100" zoomScaleSheetLayoutView="100" workbookViewId="0">
      <pane xSplit="2" ySplit="13" topLeftCell="C14" activePane="bottomRight" state="frozen"/>
      <selection activeCell="B81" sqref="B81"/>
      <selection pane="topRight" activeCell="B81" sqref="B81"/>
      <selection pane="bottomLeft" activeCell="B81" sqref="B81"/>
      <selection pane="bottomRight" activeCell="B81" sqref="B81"/>
    </sheetView>
  </sheetViews>
  <sheetFormatPr defaultRowHeight="12.75" x14ac:dyDescent="0.2"/>
  <cols>
    <col min="1" max="1" width="7.5703125" style="1324" customWidth="1"/>
    <col min="2" max="2" width="74.42578125" style="1324" customWidth="1"/>
    <col min="3" max="4" width="15.42578125" style="1324" customWidth="1"/>
    <col min="5" max="5" width="9" style="1393" customWidth="1"/>
    <col min="6" max="6" width="14.42578125" style="1324" customWidth="1"/>
    <col min="7" max="7" width="16.7109375" style="1324" customWidth="1"/>
    <col min="8" max="10" width="14.42578125" style="1324" customWidth="1"/>
    <col min="11" max="11" width="3.28515625" style="1324" customWidth="1"/>
    <col min="12" max="12" width="21.140625" style="1324" customWidth="1"/>
    <col min="13" max="13" width="71.28515625" style="1324" customWidth="1"/>
    <col min="14" max="18" width="15.42578125" style="1324" customWidth="1"/>
    <col min="19" max="19" width="2.140625" style="1324" customWidth="1"/>
    <col min="20" max="24" width="15.42578125" style="1324" customWidth="1"/>
    <col min="25" max="25" width="2.42578125" style="1324" customWidth="1"/>
    <col min="26" max="30" width="15.42578125" style="1324" customWidth="1"/>
    <col min="31" max="35" width="16" style="1324" customWidth="1"/>
    <col min="36" max="36" width="9.140625" style="1324"/>
    <col min="37" max="37" width="32" style="1324" customWidth="1"/>
    <col min="38" max="44" width="15.7109375" style="1324" customWidth="1"/>
    <col min="45" max="16384" width="9.140625" style="1324"/>
  </cols>
  <sheetData>
    <row r="1" spans="1:44" ht="20.25" x14ac:dyDescent="0.3">
      <c r="A1" s="1542" t="str">
        <f>'Key Inputs'!E5&amp;" FIVE-YEAR BUDGET PROJECTION"</f>
        <v>TOWNSHIP OF GREENWICH FIVE-YEAR BUDGET PROJECTION</v>
      </c>
      <c r="B1" s="1542"/>
      <c r="C1" s="1542"/>
      <c r="D1" s="1542"/>
      <c r="E1" s="1542"/>
      <c r="F1" s="1542"/>
      <c r="G1" s="1323"/>
      <c r="H1" s="1323"/>
      <c r="I1" s="1323"/>
      <c r="J1" s="1323"/>
      <c r="L1" s="1543" t="str">
        <f>"Biggest Contributors to Cumulative Deficit "&amp;'Key Inputs'!E34&amp;"-"&amp;'Key Inputs'!E34+5</f>
        <v>Biggest Contributors to Cumulative Deficit 2021-2026</v>
      </c>
      <c r="M1" s="1544"/>
      <c r="N1" s="1544"/>
      <c r="O1" s="1545"/>
    </row>
    <row r="2" spans="1:44" ht="16.5" customHeight="1" x14ac:dyDescent="0.2">
      <c r="A2" s="1323"/>
      <c r="B2" s="1323"/>
      <c r="C2" s="1323"/>
      <c r="D2" s="1323"/>
      <c r="E2" s="1325"/>
      <c r="F2" s="1323"/>
      <c r="G2" s="1326" t="s">
        <v>6108</v>
      </c>
      <c r="H2" s="1323"/>
      <c r="I2" s="1323"/>
      <c r="J2" s="1323"/>
      <c r="L2" s="1327"/>
      <c r="N2" s="1328" t="s">
        <v>6109</v>
      </c>
      <c r="O2" s="1329" t="s">
        <v>6110</v>
      </c>
    </row>
    <row r="3" spans="1:44" ht="16.5" customHeight="1" x14ac:dyDescent="0.2">
      <c r="A3" s="1323"/>
      <c r="B3" s="1323"/>
      <c r="C3" s="1323"/>
      <c r="D3" s="1323"/>
      <c r="E3" s="1325"/>
      <c r="F3" s="1323"/>
      <c r="G3" s="1323"/>
      <c r="H3" s="1323"/>
      <c r="I3" s="1330">
        <v>2</v>
      </c>
      <c r="J3" s="1323"/>
      <c r="L3" s="1331" t="s">
        <v>6111</v>
      </c>
      <c r="M3" s="1332" t="str">
        <f>VLOOKUP(1,$AL$15:$AN$23,3,FALSE)</f>
        <v>Surplus Anticipated</v>
      </c>
      <c r="N3" s="1333">
        <f>-VLOOKUP(1,$AL$15:$AN$23,2,FALSE)</f>
        <v>302200</v>
      </c>
      <c r="O3" s="1334">
        <f t="shared" ref="O3:O8" si="0">IFERROR(N3/SUM($AN$5:$AR$5),"--")</f>
        <v>-0.19355675529110036</v>
      </c>
    </row>
    <row r="4" spans="1:44" ht="16.5" customHeight="1" x14ac:dyDescent="0.2">
      <c r="A4" s="1323"/>
      <c r="B4" s="1323"/>
      <c r="C4" s="1323"/>
      <c r="D4" s="1323"/>
      <c r="E4" s="1325"/>
      <c r="F4" s="1323"/>
      <c r="G4" s="1323"/>
      <c r="H4" s="1323"/>
      <c r="I4" s="1323"/>
      <c r="J4" s="1323"/>
      <c r="L4" s="1331" t="s">
        <v>6112</v>
      </c>
      <c r="M4" s="1332" t="str">
        <f>VLOOKUP(1,$AL$86:$AN$217,3,FALSE)</f>
        <v>Surplus Anticipated</v>
      </c>
      <c r="N4" s="1333">
        <f>-VLOOKUP(1,$AL$86:$AN$217,2,FALSE)</f>
        <v>302200</v>
      </c>
      <c r="O4" s="1334">
        <f t="shared" si="0"/>
        <v>-0.19355675529110036</v>
      </c>
      <c r="AK4" s="1335"/>
      <c r="AL4" s="1336" t="str">
        <f>C13</f>
        <v>2019 Realized</v>
      </c>
      <c r="AM4" s="1336" t="str">
        <f>D13</f>
        <v>2020 Budgeted</v>
      </c>
      <c r="AN4" s="1336" t="str">
        <f>F13</f>
        <v>2022 Projected</v>
      </c>
      <c r="AO4" s="1336" t="str">
        <f>G13</f>
        <v>2023 Projected</v>
      </c>
      <c r="AP4" s="1336" t="str">
        <f>H13</f>
        <v>2024 Projected</v>
      </c>
      <c r="AQ4" s="1336" t="str">
        <f>I13</f>
        <v>2025 Projected</v>
      </c>
      <c r="AR4" s="1336" t="str">
        <f>J13</f>
        <v>2026 Projected</v>
      </c>
    </row>
    <row r="5" spans="1:44" ht="16.5" customHeight="1" x14ac:dyDescent="0.2">
      <c r="A5" s="1323"/>
      <c r="B5" s="1323"/>
      <c r="C5" s="1323"/>
      <c r="D5" s="1323"/>
      <c r="E5" s="1325"/>
      <c r="F5" s="1323"/>
      <c r="G5" s="1323"/>
      <c r="H5" s="1323"/>
      <c r="I5" s="1323"/>
      <c r="J5" s="1323"/>
      <c r="L5" s="1331" t="s">
        <v>6113</v>
      </c>
      <c r="M5" s="1332" t="str">
        <f>VLOOKUP(1,$AL$30:$AN$53,3,FALSE)</f>
        <v>General Government</v>
      </c>
      <c r="N5" s="1333">
        <f>VLOOKUP(1,$AL$30:$AN$53,2,FALSE)</f>
        <v>12470.28739581925</v>
      </c>
      <c r="O5" s="1334">
        <f t="shared" si="0"/>
        <v>-7.9871223225753789E-3</v>
      </c>
      <c r="AK5" s="1336" t="s">
        <v>6106</v>
      </c>
      <c r="AL5" s="1337">
        <f>C78</f>
        <v>297166.34999999998</v>
      </c>
      <c r="AM5" s="1337">
        <f>D78</f>
        <v>0</v>
      </c>
      <c r="AN5" s="1337">
        <f>F78</f>
        <v>-311775.48120000015</v>
      </c>
      <c r="AO5" s="1337">
        <f>G78</f>
        <v>-312009.47692083509</v>
      </c>
      <c r="AP5" s="1337">
        <f>H78</f>
        <v>-312251.48100376641</v>
      </c>
      <c r="AQ5" s="1337">
        <f>I78</f>
        <v>-312501.83335221128</v>
      </c>
      <c r="AR5" s="1337">
        <f>J78</f>
        <v>-312760.89037340798</v>
      </c>
    </row>
    <row r="6" spans="1:44" ht="16.5" customHeight="1" x14ac:dyDescent="0.2">
      <c r="A6" s="1323"/>
      <c r="B6" s="1323"/>
      <c r="C6" s="1323"/>
      <c r="D6" s="1323"/>
      <c r="E6" s="1325"/>
      <c r="F6" s="1323"/>
      <c r="G6" s="1323"/>
      <c r="H6" s="1323"/>
      <c r="I6" s="1323"/>
      <c r="J6" s="1323"/>
      <c r="L6" s="1331" t="s">
        <v>6114</v>
      </c>
      <c r="M6" s="1333" t="str">
        <f>VLOOKUP(1,$AL$60:$AN$72,3,FALSE)</f>
        <v>All Other Departmental Other Expenses</v>
      </c>
      <c r="N6" s="1333">
        <f>VLOOKUP(1,$AL$60:$AN$72,2,FALSE)</f>
        <v>28396.595490084961</v>
      </c>
      <c r="O6" s="1334">
        <f t="shared" si="0"/>
        <v>-1.8187799087937585E-2</v>
      </c>
      <c r="AK6" s="1336" t="s">
        <v>6107</v>
      </c>
      <c r="AL6" s="1337">
        <f>C80</f>
        <v>535018.32999999961</v>
      </c>
      <c r="AM6" s="1337">
        <f>D80</f>
        <v>232818.32999999961</v>
      </c>
      <c r="AN6" s="1337">
        <f>F80</f>
        <v>-78957.151200000546</v>
      </c>
      <c r="AO6" s="1337">
        <f>G80</f>
        <v>-390966.62812083564</v>
      </c>
      <c r="AP6" s="1337">
        <f>H80</f>
        <v>-703218.10912460205</v>
      </c>
      <c r="AQ6" s="1337">
        <f>I80</f>
        <v>-1015719.9424768133</v>
      </c>
      <c r="AR6" s="1337">
        <f>J80</f>
        <v>-1328480.8328502213</v>
      </c>
    </row>
    <row r="7" spans="1:44" ht="21.75" customHeight="1" x14ac:dyDescent="0.2">
      <c r="A7" s="1323"/>
      <c r="B7" s="1323"/>
      <c r="C7" s="1323"/>
      <c r="D7" s="1323"/>
      <c r="E7" s="1325"/>
      <c r="F7" s="1323"/>
      <c r="G7" s="1323"/>
      <c r="H7" s="1323"/>
      <c r="I7" s="1323"/>
      <c r="J7" s="1323"/>
      <c r="L7" s="1331" t="s">
        <v>6115</v>
      </c>
      <c r="M7" s="1332" t="str">
        <f>VLOOKUP(1,$AL$226:$AN$494,3,FALSE)</f>
        <v>Liability Insurance</v>
      </c>
      <c r="N7" s="1333">
        <f>VLOOKUP(1,$AL$226:$AN$494,2,FALSE)</f>
        <v>10925.831316326439</v>
      </c>
      <c r="O7" s="1334">
        <f t="shared" si="0"/>
        <v>-6.9979101867837104E-3</v>
      </c>
      <c r="AK7" s="1335" t="str">
        <f>N12</f>
        <v>A: Carry Forward Last Year's Growth</v>
      </c>
      <c r="AL7" s="1335"/>
      <c r="AM7" s="1335"/>
      <c r="AN7" s="1335"/>
      <c r="AO7" s="1335"/>
      <c r="AP7" s="1335"/>
      <c r="AQ7" s="1335"/>
      <c r="AR7" s="1335"/>
    </row>
    <row r="8" spans="1:44" ht="16.5" customHeight="1" thickBot="1" x14ac:dyDescent="0.25">
      <c r="A8" s="1323"/>
      <c r="B8" s="1323"/>
      <c r="C8" s="1323"/>
      <c r="D8" s="1323"/>
      <c r="E8" s="1325"/>
      <c r="F8" s="1323"/>
      <c r="G8" s="1323"/>
      <c r="H8" s="1323"/>
      <c r="I8" s="1323"/>
      <c r="J8" s="1323"/>
      <c r="L8" s="1338" t="s">
        <v>6116</v>
      </c>
      <c r="M8" s="1339" t="str">
        <f>VLOOKUP(1,$AL$504:$AN$1172,3,FALSE)</f>
        <v>Liability Insurance Other Expenses</v>
      </c>
      <c r="N8" s="1339">
        <f>VLOOKUP(1,$AL$504:$AN$1172,2,FALSE)</f>
        <v>10925.831316326439</v>
      </c>
      <c r="O8" s="1340">
        <f t="shared" si="0"/>
        <v>-6.9979101867837104E-3</v>
      </c>
      <c r="AK8" s="1335" t="str">
        <f>T12</f>
        <v>B: Enter % Growth Rates</v>
      </c>
      <c r="AL8" s="1335"/>
      <c r="AM8" s="1335"/>
      <c r="AN8" s="1335"/>
      <c r="AO8" s="1335"/>
      <c r="AP8" s="1335"/>
      <c r="AQ8" s="1335"/>
      <c r="AR8" s="1335"/>
    </row>
    <row r="9" spans="1:44" ht="16.5" customHeight="1" x14ac:dyDescent="0.2">
      <c r="A9" s="1323"/>
      <c r="B9" s="1323"/>
      <c r="C9" s="1323"/>
      <c r="D9" s="1323"/>
      <c r="E9" s="1325"/>
      <c r="F9" s="1323"/>
      <c r="G9" s="1323"/>
      <c r="H9" s="1323"/>
      <c r="I9" s="1323"/>
      <c r="J9" s="1323"/>
      <c r="AK9" s="1335" t="str">
        <f>Z12</f>
        <v>C: Enter $$ Values</v>
      </c>
      <c r="AL9" s="1335"/>
      <c r="AM9" s="1335"/>
      <c r="AN9" s="1335"/>
      <c r="AO9" s="1335"/>
      <c r="AP9" s="1335"/>
      <c r="AQ9" s="1335"/>
      <c r="AR9" s="1335"/>
    </row>
    <row r="10" spans="1:44" ht="16.5" customHeight="1" x14ac:dyDescent="0.2">
      <c r="A10" s="1323"/>
      <c r="B10" s="1323"/>
      <c r="C10" s="1323"/>
      <c r="D10" s="1323"/>
      <c r="E10" s="1325"/>
      <c r="F10" s="1323"/>
      <c r="G10" s="1323"/>
      <c r="H10" s="1323"/>
      <c r="I10" s="1323"/>
      <c r="J10" s="1323"/>
      <c r="AK10" s="1335"/>
      <c r="AL10" s="1335"/>
      <c r="AM10" s="1335"/>
      <c r="AN10" s="1335"/>
      <c r="AO10" s="1335"/>
      <c r="AP10" s="1335"/>
      <c r="AQ10" s="1335"/>
      <c r="AR10" s="1335"/>
    </row>
    <row r="11" spans="1:44" ht="16.5" customHeight="1" x14ac:dyDescent="0.25">
      <c r="A11" s="1323"/>
      <c r="B11" s="1323"/>
      <c r="C11" s="1323"/>
      <c r="D11" s="1323"/>
      <c r="E11" s="1325"/>
      <c r="F11" s="1323"/>
      <c r="G11" s="1323"/>
      <c r="H11" s="1323"/>
      <c r="I11" s="1323"/>
      <c r="J11" s="1323"/>
      <c r="N11" s="1341" t="s">
        <v>6117</v>
      </c>
      <c r="AK11" s="1335"/>
      <c r="AL11" s="1335"/>
      <c r="AM11" s="1335"/>
      <c r="AN11" s="1335"/>
      <c r="AO11" s="1335"/>
      <c r="AP11" s="1335"/>
      <c r="AQ11" s="1335"/>
      <c r="AR11" s="1335"/>
    </row>
    <row r="12" spans="1:44" ht="15" x14ac:dyDescent="0.25">
      <c r="A12" s="1323"/>
      <c r="B12" s="1323"/>
      <c r="C12" s="1323"/>
      <c r="D12" s="1323"/>
      <c r="E12" s="1325"/>
      <c r="F12" s="1323"/>
      <c r="G12" s="1323"/>
      <c r="H12" s="1323"/>
      <c r="I12" s="1323"/>
      <c r="J12" s="1323"/>
      <c r="N12" s="1342" t="s">
        <v>6118</v>
      </c>
      <c r="T12" s="1342" t="s">
        <v>6119</v>
      </c>
      <c r="Z12" s="1342" t="s">
        <v>6120</v>
      </c>
      <c r="AK12" s="1335"/>
      <c r="AL12" s="1335"/>
      <c r="AM12" s="1335"/>
      <c r="AN12" s="1335"/>
      <c r="AO12" s="1335"/>
      <c r="AP12" s="1335"/>
      <c r="AQ12" s="1335"/>
      <c r="AR12" s="1335"/>
    </row>
    <row r="13" spans="1:44" ht="21" customHeight="1" x14ac:dyDescent="0.2">
      <c r="A13" s="1343" t="s">
        <v>605</v>
      </c>
      <c r="B13" s="1344" t="s">
        <v>6121</v>
      </c>
      <c r="C13" s="1345" t="str">
        <f>'Key Metrics'!C21</f>
        <v>2019 Realized</v>
      </c>
      <c r="D13" s="1345" t="str">
        <f>'Key Metrics'!D21</f>
        <v>2020 Budgeted</v>
      </c>
      <c r="E13" s="1346" t="str">
        <f>'Key Inputs'!E34-1&amp;"-"&amp;(RIGHT('Key Inputs'!E34,2))&amp;" % Chg"</f>
        <v>2020-21 % Chg</v>
      </c>
      <c r="F13" s="1345" t="str">
        <f>'Key Inputs'!E34+1&amp;" Projected"</f>
        <v>2022 Projected</v>
      </c>
      <c r="G13" s="1345" t="str">
        <f>'Key Inputs'!E34+2&amp;" Projected"</f>
        <v>2023 Projected</v>
      </c>
      <c r="H13" s="1345" t="str">
        <f>'Key Inputs'!E34+3&amp;" Projected"</f>
        <v>2024 Projected</v>
      </c>
      <c r="I13" s="1345" t="str">
        <f>'Key Inputs'!E34+4&amp;" Projected"</f>
        <v>2025 Projected</v>
      </c>
      <c r="J13" s="1345" t="str">
        <f>'Key Inputs'!E34+5&amp;" Projected"</f>
        <v>2026 Projected</v>
      </c>
      <c r="M13" s="1347" t="s">
        <v>6121</v>
      </c>
      <c r="N13" s="1348" t="str">
        <f>F13</f>
        <v>2022 Projected</v>
      </c>
      <c r="O13" s="1348" t="str">
        <f>G13</f>
        <v>2023 Projected</v>
      </c>
      <c r="P13" s="1348" t="str">
        <f>H13</f>
        <v>2024 Projected</v>
      </c>
      <c r="Q13" s="1348" t="str">
        <f>I13</f>
        <v>2025 Projected</v>
      </c>
      <c r="R13" s="1348" t="str">
        <f>J13</f>
        <v>2026 Projected</v>
      </c>
      <c r="T13" s="1348" t="str">
        <f>N13</f>
        <v>2022 Projected</v>
      </c>
      <c r="U13" s="1348" t="str">
        <f>O13</f>
        <v>2023 Projected</v>
      </c>
      <c r="V13" s="1348" t="str">
        <f>P13</f>
        <v>2024 Projected</v>
      </c>
      <c r="W13" s="1348" t="str">
        <f>Q13</f>
        <v>2025 Projected</v>
      </c>
      <c r="X13" s="1348" t="str">
        <f>R13</f>
        <v>2026 Projected</v>
      </c>
      <c r="Y13" s="1349"/>
      <c r="Z13" s="1348" t="str">
        <f>T13</f>
        <v>2022 Projected</v>
      </c>
      <c r="AA13" s="1348" t="str">
        <f>U13</f>
        <v>2023 Projected</v>
      </c>
      <c r="AB13" s="1348" t="str">
        <f>V13</f>
        <v>2024 Projected</v>
      </c>
      <c r="AC13" s="1348" t="str">
        <f>W13</f>
        <v>2025 Projected</v>
      </c>
      <c r="AD13" s="1348" t="str">
        <f>X13</f>
        <v>2026 Projected</v>
      </c>
      <c r="AK13" s="1335" t="s">
        <v>6122</v>
      </c>
      <c r="AL13" s="1335"/>
      <c r="AM13" s="1335"/>
      <c r="AN13" s="1335"/>
      <c r="AO13" s="1335"/>
      <c r="AP13" s="1335"/>
      <c r="AQ13" s="1335"/>
      <c r="AR13" s="1335"/>
    </row>
    <row r="14" spans="1:44" ht="15.75" x14ac:dyDescent="0.25">
      <c r="A14" s="1350" t="s">
        <v>6123</v>
      </c>
      <c r="C14" s="1349"/>
      <c r="D14" s="1349"/>
      <c r="E14" s="1351"/>
      <c r="AL14" s="1352"/>
      <c r="AM14" s="1352"/>
      <c r="AN14" s="1352"/>
    </row>
    <row r="15" spans="1:44" x14ac:dyDescent="0.2">
      <c r="B15" s="1324" t="s">
        <v>742</v>
      </c>
      <c r="C15" s="1353">
        <f>C88</f>
        <v>302200</v>
      </c>
      <c r="D15" s="1353">
        <f>D88</f>
        <v>302200</v>
      </c>
      <c r="E15" s="1351">
        <f t="shared" ref="E15:E23" si="1">IFERROR(D15/C15-1,0)</f>
        <v>0</v>
      </c>
      <c r="F15" s="1353">
        <f>F88</f>
        <v>0</v>
      </c>
      <c r="G15" s="1353">
        <f>G88</f>
        <v>0</v>
      </c>
      <c r="H15" s="1353">
        <f>H88</f>
        <v>0</v>
      </c>
      <c r="I15" s="1353">
        <f>I88</f>
        <v>0</v>
      </c>
      <c r="J15" s="1353">
        <f>J88</f>
        <v>0</v>
      </c>
      <c r="AK15" s="1354"/>
      <c r="AL15" s="1352">
        <f>RANK(AM15,$AM$15:$AM$23,1)</f>
        <v>1</v>
      </c>
      <c r="AM15" s="1354">
        <f>J15-D15</f>
        <v>-302200</v>
      </c>
      <c r="AN15" s="1352" t="str">
        <f>B15</f>
        <v>Surplus Anticipated</v>
      </c>
    </row>
    <row r="16" spans="1:44" x14ac:dyDescent="0.2">
      <c r="B16" s="1324" t="s">
        <v>5598</v>
      </c>
      <c r="C16" s="1353">
        <f>C93</f>
        <v>585993.80000000005</v>
      </c>
      <c r="D16" s="1353">
        <f>D93</f>
        <v>424252.65115825913</v>
      </c>
      <c r="E16" s="1351">
        <f t="shared" si="1"/>
        <v>-0.27601170667973096</v>
      </c>
      <c r="F16" s="1353">
        <f>F93</f>
        <v>424252.65115825913</v>
      </c>
      <c r="G16" s="1353">
        <f>G93</f>
        <v>432737.70418142434</v>
      </c>
      <c r="H16" s="1353">
        <f>H93</f>
        <v>441392.45826505282</v>
      </c>
      <c r="I16" s="1353">
        <f>I93</f>
        <v>450220.30743035383</v>
      </c>
      <c r="J16" s="1353">
        <f>J93</f>
        <v>459224.71357896092</v>
      </c>
      <c r="AK16" s="1354"/>
      <c r="AL16" s="1352">
        <f t="shared" ref="AL16:AL23" si="2">RANK(AM16,$AM$15:$AM$23,1)</f>
        <v>9</v>
      </c>
      <c r="AM16" s="1354">
        <f t="shared" ref="AM16:AM22" si="3">J16-D16</f>
        <v>34972.062420701783</v>
      </c>
      <c r="AN16" s="1352" t="str">
        <f t="shared" ref="AN16:AN23" si="4">B16</f>
        <v>Municipal Taxes</v>
      </c>
    </row>
    <row r="17" spans="1:40" x14ac:dyDescent="0.2">
      <c r="B17" s="1324" t="s">
        <v>163</v>
      </c>
      <c r="C17" s="1353">
        <f>C128</f>
        <v>29393.780000000002</v>
      </c>
      <c r="D17" s="1353">
        <f>D128</f>
        <v>13725</v>
      </c>
      <c r="E17" s="1351">
        <f t="shared" si="1"/>
        <v>-0.53306447826717085</v>
      </c>
      <c r="F17" s="1353">
        <f>F128</f>
        <v>12956.4</v>
      </c>
      <c r="G17" s="1353">
        <f>G128</f>
        <v>13215.528</v>
      </c>
      <c r="H17" s="1353">
        <f>H128</f>
        <v>13479.83856</v>
      </c>
      <c r="I17" s="1353">
        <f>I128</f>
        <v>13749.4353312</v>
      </c>
      <c r="J17" s="1353">
        <f>J128</f>
        <v>14024.424037823999</v>
      </c>
      <c r="AK17" s="1354"/>
      <c r="AL17" s="1352">
        <f t="shared" si="2"/>
        <v>8</v>
      </c>
      <c r="AM17" s="1354">
        <f t="shared" si="3"/>
        <v>299.42403782399924</v>
      </c>
      <c r="AN17" s="1352" t="str">
        <f t="shared" si="4"/>
        <v>Local Revenues</v>
      </c>
    </row>
    <row r="18" spans="1:40" x14ac:dyDescent="0.2">
      <c r="B18" s="1324" t="s">
        <v>334</v>
      </c>
      <c r="C18" s="1353">
        <f>C148</f>
        <v>83457</v>
      </c>
      <c r="D18" s="1353">
        <f>D148</f>
        <v>83457</v>
      </c>
      <c r="E18" s="1351">
        <f t="shared" si="1"/>
        <v>0</v>
      </c>
      <c r="F18" s="1353">
        <f>F148</f>
        <v>83457</v>
      </c>
      <c r="G18" s="1353">
        <f>G148</f>
        <v>83457</v>
      </c>
      <c r="H18" s="1353">
        <f>H148</f>
        <v>83457</v>
      </c>
      <c r="I18" s="1353">
        <f>I148</f>
        <v>83457</v>
      </c>
      <c r="J18" s="1353">
        <f>J148</f>
        <v>83457</v>
      </c>
      <c r="AK18" s="1354"/>
      <c r="AL18" s="1352">
        <f t="shared" si="2"/>
        <v>2</v>
      </c>
      <c r="AM18" s="1354">
        <f t="shared" si="3"/>
        <v>0</v>
      </c>
      <c r="AN18" s="1352" t="str">
        <f t="shared" si="4"/>
        <v>State Aid</v>
      </c>
    </row>
    <row r="19" spans="1:40" x14ac:dyDescent="0.2">
      <c r="B19" s="1324" t="s">
        <v>5432</v>
      </c>
      <c r="C19" s="1353">
        <f>C154</f>
        <v>0</v>
      </c>
      <c r="D19" s="1353">
        <f>D154</f>
        <v>0</v>
      </c>
      <c r="E19" s="1351">
        <f t="shared" si="1"/>
        <v>0</v>
      </c>
      <c r="F19" s="1353">
        <f>F154</f>
        <v>0</v>
      </c>
      <c r="G19" s="1353">
        <f>G154</f>
        <v>0</v>
      </c>
      <c r="H19" s="1353">
        <f>H154</f>
        <v>0</v>
      </c>
      <c r="I19" s="1353">
        <f>I154</f>
        <v>0</v>
      </c>
      <c r="J19" s="1353">
        <f>J154</f>
        <v>0</v>
      </c>
      <c r="AK19" s="1354"/>
      <c r="AL19" s="1352">
        <f t="shared" si="2"/>
        <v>2</v>
      </c>
      <c r="AM19" s="1354">
        <f t="shared" si="3"/>
        <v>0</v>
      </c>
      <c r="AN19" s="1352" t="str">
        <f t="shared" si="4"/>
        <v>Uniform Construction Code Revenue</v>
      </c>
    </row>
    <row r="20" spans="1:40" x14ac:dyDescent="0.2">
      <c r="B20" s="1324" t="s">
        <v>5433</v>
      </c>
      <c r="C20" s="1353">
        <f>C181</f>
        <v>0</v>
      </c>
      <c r="D20" s="1353">
        <f>D181</f>
        <v>0</v>
      </c>
      <c r="E20" s="1351">
        <f t="shared" si="1"/>
        <v>0</v>
      </c>
      <c r="F20" s="1353">
        <f>F181</f>
        <v>0</v>
      </c>
      <c r="G20" s="1353">
        <f>G181</f>
        <v>0</v>
      </c>
      <c r="H20" s="1353">
        <f>H181</f>
        <v>0</v>
      </c>
      <c r="I20" s="1353">
        <f>I181</f>
        <v>0</v>
      </c>
      <c r="J20" s="1353">
        <f>J181</f>
        <v>0</v>
      </c>
      <c r="AK20" s="1354"/>
      <c r="AL20" s="1352">
        <f t="shared" si="2"/>
        <v>2</v>
      </c>
      <c r="AM20" s="1354">
        <f t="shared" si="3"/>
        <v>0</v>
      </c>
      <c r="AN20" s="1352" t="str">
        <f t="shared" si="4"/>
        <v>Shared Services Revenue</v>
      </c>
    </row>
    <row r="21" spans="1:40" x14ac:dyDescent="0.2">
      <c r="B21" s="1324" t="s">
        <v>5434</v>
      </c>
      <c r="C21" s="1353">
        <f>C187</f>
        <v>0</v>
      </c>
      <c r="D21" s="1353">
        <f>D187</f>
        <v>0</v>
      </c>
      <c r="E21" s="1351">
        <f t="shared" si="1"/>
        <v>0</v>
      </c>
      <c r="F21" s="1353">
        <f>F187</f>
        <v>0</v>
      </c>
      <c r="G21" s="1353">
        <f>G187</f>
        <v>0</v>
      </c>
      <c r="H21" s="1353">
        <f>H187</f>
        <v>0</v>
      </c>
      <c r="I21" s="1353">
        <f>I187</f>
        <v>0</v>
      </c>
      <c r="J21" s="1353">
        <f>J187</f>
        <v>0</v>
      </c>
      <c r="AK21" s="1354"/>
      <c r="AL21" s="1352">
        <f t="shared" si="2"/>
        <v>2</v>
      </c>
      <c r="AM21" s="1354">
        <f t="shared" si="3"/>
        <v>0</v>
      </c>
      <c r="AN21" s="1352" t="str">
        <f t="shared" si="4"/>
        <v>Additional Revenues Offset by Appropriations</v>
      </c>
    </row>
    <row r="22" spans="1:40" x14ac:dyDescent="0.2">
      <c r="B22" s="1324" t="s">
        <v>5600</v>
      </c>
      <c r="C22" s="1353">
        <f>C191</f>
        <v>5119.84</v>
      </c>
      <c r="D22" s="1353">
        <f>D191</f>
        <v>5119.84</v>
      </c>
      <c r="E22" s="1351">
        <f t="shared" si="1"/>
        <v>0</v>
      </c>
      <c r="F22" s="1353">
        <f>F191</f>
        <v>5119.84</v>
      </c>
      <c r="G22" s="1353">
        <f>G191</f>
        <v>5119.84</v>
      </c>
      <c r="H22" s="1353">
        <f>H191</f>
        <v>5119.84</v>
      </c>
      <c r="I22" s="1353">
        <f>I191</f>
        <v>5119.84</v>
      </c>
      <c r="J22" s="1353">
        <f>J191</f>
        <v>5119.84</v>
      </c>
      <c r="AK22" s="1354"/>
      <c r="AL22" s="1352">
        <f t="shared" si="2"/>
        <v>2</v>
      </c>
      <c r="AM22" s="1354">
        <f t="shared" si="3"/>
        <v>0</v>
      </c>
      <c r="AN22" s="1352" t="str">
        <f t="shared" si="4"/>
        <v>Public and Private Revenues (Grants)</v>
      </c>
    </row>
    <row r="23" spans="1:40" x14ac:dyDescent="0.2">
      <c r="B23" s="1324" t="s">
        <v>5435</v>
      </c>
      <c r="C23" s="1353">
        <f>C218</f>
        <v>0</v>
      </c>
      <c r="D23" s="1353">
        <f>D218</f>
        <v>0</v>
      </c>
      <c r="E23" s="1351">
        <f t="shared" si="1"/>
        <v>0</v>
      </c>
      <c r="F23" s="1353">
        <f>F218</f>
        <v>0</v>
      </c>
      <c r="G23" s="1353">
        <f>G218</f>
        <v>0</v>
      </c>
      <c r="H23" s="1353">
        <f>H218</f>
        <v>0</v>
      </c>
      <c r="I23" s="1353">
        <f>I218</f>
        <v>0</v>
      </c>
      <c r="J23" s="1353">
        <f>J218</f>
        <v>0</v>
      </c>
      <c r="AK23" s="1354"/>
      <c r="AL23" s="1352">
        <f t="shared" si="2"/>
        <v>2</v>
      </c>
      <c r="AM23" s="1354">
        <f>J23-D23</f>
        <v>0</v>
      </c>
      <c r="AN23" s="1352" t="str">
        <f t="shared" si="4"/>
        <v>Other Special Items of Revenue</v>
      </c>
    </row>
    <row r="24" spans="1:40" x14ac:dyDescent="0.2">
      <c r="E24" s="1351"/>
      <c r="AK24" s="1354"/>
      <c r="AL24" s="1352"/>
      <c r="AM24" s="1354"/>
      <c r="AN24" s="1352"/>
    </row>
    <row r="25" spans="1:40" x14ac:dyDescent="0.2">
      <c r="B25" s="1328" t="s">
        <v>5642</v>
      </c>
      <c r="C25" s="1355">
        <f>SUM(C15:C23)</f>
        <v>1006164.42</v>
      </c>
      <c r="D25" s="1355">
        <f>SUM(D15:D23)</f>
        <v>828754.4911582591</v>
      </c>
      <c r="E25" s="1356">
        <f>IFERROR(D25/C25-1,0)</f>
        <v>-0.17632299981522004</v>
      </c>
      <c r="F25" s="1355">
        <f>SUM(F15:F23)</f>
        <v>525785.89115825912</v>
      </c>
      <c r="G25" s="1355">
        <f>SUM(G15:G23)</f>
        <v>534530.07218142424</v>
      </c>
      <c r="H25" s="1355">
        <f>SUM(H15:H23)</f>
        <v>543449.13682505279</v>
      </c>
      <c r="I25" s="1355">
        <f>SUM(I15:I23)</f>
        <v>552546.58276155381</v>
      </c>
      <c r="J25" s="1355">
        <f>SUM(J15:J23)</f>
        <v>561825.97761678486</v>
      </c>
      <c r="AK25" s="1354"/>
      <c r="AL25" s="1352"/>
      <c r="AM25" s="1354"/>
      <c r="AN25" s="1352"/>
    </row>
    <row r="26" spans="1:40" x14ac:dyDescent="0.2">
      <c r="B26" s="1357" t="s">
        <v>6104</v>
      </c>
      <c r="D26" s="1356">
        <f>IFERROR(D25/C25-1,"--")</f>
        <v>-0.17632299981522004</v>
      </c>
      <c r="E26" s="1356"/>
      <c r="F26" s="1356">
        <f>IFERROR(F25/D25-1,"--")</f>
        <v>-0.3655709902417229</v>
      </c>
      <c r="G26" s="1356">
        <f>IFERROR(G25/F25-1,"--")</f>
        <v>1.6630687833601776E-2</v>
      </c>
      <c r="H26" s="1356">
        <f>IFERROR(H25/G25-1,"--")</f>
        <v>1.6685805173186408E-2</v>
      </c>
      <c r="I26" s="1356">
        <f>IFERROR(I25/H25-1,"--")</f>
        <v>1.6740197600920492E-2</v>
      </c>
      <c r="J26" s="1356">
        <f>IFERROR(J25/I25-1,"--")</f>
        <v>1.6793868869578121E-2</v>
      </c>
      <c r="AK26" s="1354"/>
      <c r="AL26" s="1352"/>
      <c r="AM26" s="1354"/>
      <c r="AN26" s="1352"/>
    </row>
    <row r="27" spans="1:40" x14ac:dyDescent="0.2">
      <c r="E27" s="1351"/>
      <c r="M27" s="1353"/>
      <c r="AK27" s="1354"/>
      <c r="AL27" s="1352"/>
      <c r="AM27" s="1354"/>
      <c r="AN27" s="1352"/>
    </row>
    <row r="28" spans="1:40" ht="15.75" x14ac:dyDescent="0.25">
      <c r="A28" s="1350" t="s">
        <v>6124</v>
      </c>
      <c r="E28" s="1351"/>
      <c r="M28" s="1353"/>
      <c r="AK28" s="1354"/>
      <c r="AL28" s="1352"/>
      <c r="AM28" s="1354"/>
      <c r="AN28" s="1352"/>
    </row>
    <row r="29" spans="1:40" ht="21.75" customHeight="1" x14ac:dyDescent="0.2">
      <c r="C29" s="1358" t="str">
        <f t="shared" ref="C29:J29" si="5">C13</f>
        <v>2019 Realized</v>
      </c>
      <c r="D29" s="1358" t="str">
        <f t="shared" si="5"/>
        <v>2020 Budgeted</v>
      </c>
      <c r="E29" s="1359" t="str">
        <f t="shared" si="5"/>
        <v>2020-21 % Chg</v>
      </c>
      <c r="F29" s="1358" t="str">
        <f t="shared" si="5"/>
        <v>2022 Projected</v>
      </c>
      <c r="G29" s="1358" t="str">
        <f t="shared" si="5"/>
        <v>2023 Projected</v>
      </c>
      <c r="H29" s="1358" t="str">
        <f t="shared" si="5"/>
        <v>2024 Projected</v>
      </c>
      <c r="I29" s="1358" t="str">
        <f t="shared" si="5"/>
        <v>2025 Projected</v>
      </c>
      <c r="J29" s="1358" t="str">
        <f t="shared" si="5"/>
        <v>2026 Projected</v>
      </c>
      <c r="M29" s="1353"/>
      <c r="AK29" s="1354"/>
      <c r="AL29" s="1352"/>
      <c r="AM29" s="1354"/>
      <c r="AN29" s="1352"/>
    </row>
    <row r="30" spans="1:40" x14ac:dyDescent="0.2">
      <c r="B30" s="1324" t="s">
        <v>5439</v>
      </c>
      <c r="C30" s="1353">
        <f>C558</f>
        <v>91920.489999999991</v>
      </c>
      <c r="D30" s="1353">
        <f>D558</f>
        <v>119813.52</v>
      </c>
      <c r="E30" s="1351">
        <f t="shared" ref="E30:E53" si="6">IFERROR(D30/C30-1,0)</f>
        <v>0.30344735977799964</v>
      </c>
      <c r="F30" s="1353">
        <f>F558</f>
        <v>122209.79040000001</v>
      </c>
      <c r="G30" s="1353">
        <f>G558</f>
        <v>124653.98620799999</v>
      </c>
      <c r="H30" s="1353">
        <f>H558</f>
        <v>127147.06593216001</v>
      </c>
      <c r="I30" s="1353">
        <f>I558</f>
        <v>129690.00725080322</v>
      </c>
      <c r="J30" s="1353">
        <f>J558</f>
        <v>132283.80739581925</v>
      </c>
      <c r="AK30" s="1354"/>
      <c r="AL30" s="1352">
        <f>RANK(AM30,$AM$30:$AM$53,0)</f>
        <v>1</v>
      </c>
      <c r="AM30" s="1354">
        <f t="shared" ref="AM30:AM53" si="7">J30-D30</f>
        <v>12470.28739581925</v>
      </c>
      <c r="AN30" s="1352" t="str">
        <f t="shared" ref="AN30:AN53" si="8">B30</f>
        <v>General Government</v>
      </c>
    </row>
    <row r="31" spans="1:40" x14ac:dyDescent="0.2">
      <c r="B31" s="1324" t="s">
        <v>5440</v>
      </c>
      <c r="C31" s="1353">
        <f>C585</f>
        <v>6339.12</v>
      </c>
      <c r="D31" s="1353">
        <f>D585</f>
        <v>11666.08</v>
      </c>
      <c r="E31" s="1351">
        <f t="shared" si="6"/>
        <v>0.84033115006499326</v>
      </c>
      <c r="F31" s="1353">
        <f>F585</f>
        <v>11899.401600000001</v>
      </c>
      <c r="G31" s="1353">
        <f>G585</f>
        <v>12137.389632</v>
      </c>
      <c r="H31" s="1353">
        <f>H585</f>
        <v>12380.137424640001</v>
      </c>
      <c r="I31" s="1353">
        <f>I585</f>
        <v>12627.740173132799</v>
      </c>
      <c r="J31" s="1353">
        <f>J585</f>
        <v>12880.294976595455</v>
      </c>
      <c r="AK31" s="1354"/>
      <c r="AL31" s="1352">
        <f t="shared" ref="AL31:AL53" si="9">RANK(AM31,$AM$30:$AM$53,0)</f>
        <v>8</v>
      </c>
      <c r="AM31" s="1354">
        <f t="shared" si="7"/>
        <v>1214.2149765954546</v>
      </c>
      <c r="AN31" s="1352" t="str">
        <f t="shared" si="8"/>
        <v>Land Use Administration</v>
      </c>
    </row>
    <row r="32" spans="1:40" x14ac:dyDescent="0.2">
      <c r="B32" s="1324" t="s">
        <v>5441</v>
      </c>
      <c r="C32" s="1353">
        <f>C633</f>
        <v>3885.71</v>
      </c>
      <c r="D32" s="1353">
        <f>D633</f>
        <v>9017</v>
      </c>
      <c r="E32" s="1351">
        <f t="shared" si="6"/>
        <v>1.3205540300228273</v>
      </c>
      <c r="F32" s="1353">
        <f>F633</f>
        <v>9197.34</v>
      </c>
      <c r="G32" s="1353">
        <f>G633</f>
        <v>9381.2868000000017</v>
      </c>
      <c r="H32" s="1353">
        <f>H633</f>
        <v>9568.9125359999998</v>
      </c>
      <c r="I32" s="1353">
        <f>I633</f>
        <v>9760.2907867200011</v>
      </c>
      <c r="J32" s="1353">
        <f>J633</f>
        <v>9955.4966024543992</v>
      </c>
      <c r="AK32" s="1354"/>
      <c r="AL32" s="1352">
        <f t="shared" si="9"/>
        <v>10</v>
      </c>
      <c r="AM32" s="1354">
        <f t="shared" si="7"/>
        <v>938.49660245439918</v>
      </c>
      <c r="AN32" s="1352" t="str">
        <f t="shared" si="8"/>
        <v>Uniform Construction Code/Code Enforcement</v>
      </c>
    </row>
    <row r="33" spans="2:40" x14ac:dyDescent="0.2">
      <c r="B33" s="1324" t="s">
        <v>453</v>
      </c>
      <c r="C33" s="1353">
        <f>C657</f>
        <v>68257.440000000002</v>
      </c>
      <c r="D33" s="1353">
        <f>D657</f>
        <v>104974.51</v>
      </c>
      <c r="E33" s="1351">
        <f t="shared" si="6"/>
        <v>0.53792040838332045</v>
      </c>
      <c r="F33" s="1353">
        <f>F657</f>
        <v>107074.00019999999</v>
      </c>
      <c r="G33" s="1353">
        <f>G657</f>
        <v>109215.48020399999</v>
      </c>
      <c r="H33" s="1353">
        <f>H657</f>
        <v>111399.78980807999</v>
      </c>
      <c r="I33" s="1353">
        <f>I657</f>
        <v>113627.7856042416</v>
      </c>
      <c r="J33" s="1353">
        <f>J657</f>
        <v>115900.34131632643</v>
      </c>
      <c r="AK33" s="1354"/>
      <c r="AL33" s="1352">
        <f t="shared" si="9"/>
        <v>2</v>
      </c>
      <c r="AM33" s="1354">
        <f t="shared" si="7"/>
        <v>10925.831316326439</v>
      </c>
      <c r="AN33" s="1352" t="str">
        <f t="shared" si="8"/>
        <v>Insurance</v>
      </c>
    </row>
    <row r="34" spans="2:40" x14ac:dyDescent="0.2">
      <c r="B34" s="1324" t="s">
        <v>5442</v>
      </c>
      <c r="C34" s="1353">
        <f>C711</f>
        <v>22453.87</v>
      </c>
      <c r="D34" s="1353">
        <f>D711</f>
        <v>23988</v>
      </c>
      <c r="E34" s="1351">
        <f t="shared" si="6"/>
        <v>6.8323634188672155E-2</v>
      </c>
      <c r="F34" s="1353">
        <f>F711</f>
        <v>24467.760000000002</v>
      </c>
      <c r="G34" s="1353">
        <f>G711</f>
        <v>24957.1152</v>
      </c>
      <c r="H34" s="1353">
        <f>H711</f>
        <v>25456.257504000001</v>
      </c>
      <c r="I34" s="1353">
        <f>I711</f>
        <v>25965.38265408</v>
      </c>
      <c r="J34" s="1353">
        <f>J711</f>
        <v>26484.690307161603</v>
      </c>
      <c r="AK34" s="1354"/>
      <c r="AL34" s="1352">
        <f t="shared" si="9"/>
        <v>7</v>
      </c>
      <c r="AM34" s="1354">
        <f t="shared" si="7"/>
        <v>2496.6903071616034</v>
      </c>
      <c r="AN34" s="1352" t="str">
        <f t="shared" si="8"/>
        <v>Public Safety</v>
      </c>
    </row>
    <row r="35" spans="2:40" x14ac:dyDescent="0.2">
      <c r="B35" s="1324" t="s">
        <v>5443</v>
      </c>
      <c r="C35" s="1353">
        <f>C756</f>
        <v>33108.629999999997</v>
      </c>
      <c r="D35" s="1353">
        <f>D756</f>
        <v>46216.55</v>
      </c>
      <c r="E35" s="1351">
        <f t="shared" si="6"/>
        <v>0.39590644493595795</v>
      </c>
      <c r="F35" s="1353">
        <f>F756</f>
        <v>47140.881000000001</v>
      </c>
      <c r="G35" s="1353">
        <f>G756</f>
        <v>48083.698620000003</v>
      </c>
      <c r="H35" s="1353">
        <f>H756</f>
        <v>49045.372592400003</v>
      </c>
      <c r="I35" s="1353">
        <f>I756</f>
        <v>50026.280044248007</v>
      </c>
      <c r="J35" s="1353">
        <f>J756</f>
        <v>51026.805645132968</v>
      </c>
      <c r="AK35" s="1354"/>
      <c r="AL35" s="1352">
        <f t="shared" si="9"/>
        <v>3</v>
      </c>
      <c r="AM35" s="1354">
        <f t="shared" si="7"/>
        <v>4810.2556451329656</v>
      </c>
      <c r="AN35" s="1352" t="str">
        <f t="shared" si="8"/>
        <v>Public Works</v>
      </c>
    </row>
    <row r="36" spans="2:40" x14ac:dyDescent="0.2">
      <c r="B36" s="1324" t="s">
        <v>5444</v>
      </c>
      <c r="C36" s="1353">
        <f>C792</f>
        <v>6313</v>
      </c>
      <c r="D36" s="1353">
        <f>D792</f>
        <v>7055.6</v>
      </c>
      <c r="E36" s="1351">
        <f t="shared" si="6"/>
        <v>0.11763028670996367</v>
      </c>
      <c r="F36" s="1353">
        <f>F792</f>
        <v>7204.7119999999995</v>
      </c>
      <c r="G36" s="1353">
        <f>G792</f>
        <v>7348.8062399999999</v>
      </c>
      <c r="H36" s="1353">
        <f>H792</f>
        <v>7495.7823648000003</v>
      </c>
      <c r="I36" s="1353">
        <f>I792</f>
        <v>7645.6980120960006</v>
      </c>
      <c r="J36" s="1353">
        <f>J792</f>
        <v>7798.6119723379206</v>
      </c>
      <c r="AK36" s="1354"/>
      <c r="AL36" s="1352">
        <f t="shared" si="9"/>
        <v>11</v>
      </c>
      <c r="AM36" s="1354">
        <f t="shared" si="7"/>
        <v>743.01197233792027</v>
      </c>
      <c r="AN36" s="1352" t="str">
        <f t="shared" si="8"/>
        <v>Health and Human Services</v>
      </c>
    </row>
    <row r="37" spans="2:40" x14ac:dyDescent="0.2">
      <c r="B37" s="1324" t="s">
        <v>5445</v>
      </c>
      <c r="C37" s="1353">
        <f>C816</f>
        <v>0</v>
      </c>
      <c r="D37" s="1353">
        <f>D816</f>
        <v>100</v>
      </c>
      <c r="E37" s="1351">
        <f t="shared" si="6"/>
        <v>0</v>
      </c>
      <c r="F37" s="1353">
        <f>F816</f>
        <v>102</v>
      </c>
      <c r="G37" s="1353">
        <f>G816</f>
        <v>104.04</v>
      </c>
      <c r="H37" s="1353">
        <f>H816</f>
        <v>106.1208</v>
      </c>
      <c r="I37" s="1353">
        <f>I816</f>
        <v>108.243216</v>
      </c>
      <c r="J37" s="1353">
        <f>J816</f>
        <v>110.40808032000001</v>
      </c>
      <c r="AK37" s="1354"/>
      <c r="AL37" s="1352">
        <f t="shared" si="9"/>
        <v>12</v>
      </c>
      <c r="AM37" s="1354">
        <f t="shared" si="7"/>
        <v>10.40808032000001</v>
      </c>
      <c r="AN37" s="1352" t="str">
        <f t="shared" si="8"/>
        <v>Recreation</v>
      </c>
    </row>
    <row r="38" spans="2:40" x14ac:dyDescent="0.2">
      <c r="B38" s="1324" t="s">
        <v>5446</v>
      </c>
      <c r="C38" s="1353">
        <f>C846</f>
        <v>0</v>
      </c>
      <c r="D38" s="1353">
        <f>D846</f>
        <v>0</v>
      </c>
      <c r="E38" s="1351">
        <f t="shared" si="6"/>
        <v>0</v>
      </c>
      <c r="F38" s="1353">
        <f>F846</f>
        <v>0</v>
      </c>
      <c r="G38" s="1353">
        <f>G846</f>
        <v>0</v>
      </c>
      <c r="H38" s="1353">
        <f>H846</f>
        <v>0</v>
      </c>
      <c r="I38" s="1353">
        <f>I846</f>
        <v>0</v>
      </c>
      <c r="J38" s="1353">
        <f>J846</f>
        <v>0</v>
      </c>
      <c r="AK38" s="1354"/>
      <c r="AL38" s="1352">
        <f t="shared" si="9"/>
        <v>13</v>
      </c>
      <c r="AM38" s="1354">
        <f t="shared" si="7"/>
        <v>0</v>
      </c>
      <c r="AN38" s="1352" t="str">
        <f t="shared" si="8"/>
        <v>Education (Including Library)</v>
      </c>
    </row>
    <row r="39" spans="2:40" x14ac:dyDescent="0.2">
      <c r="B39" s="1324" t="s">
        <v>5447</v>
      </c>
      <c r="C39" s="1353">
        <f>C888</f>
        <v>0</v>
      </c>
      <c r="D39" s="1353">
        <f>D888</f>
        <v>500</v>
      </c>
      <c r="E39" s="1351">
        <f t="shared" si="6"/>
        <v>0</v>
      </c>
      <c r="F39" s="1353">
        <f>F888</f>
        <v>500</v>
      </c>
      <c r="G39" s="1353">
        <f>G888</f>
        <v>500</v>
      </c>
      <c r="H39" s="1353">
        <f>H888</f>
        <v>500</v>
      </c>
      <c r="I39" s="1353">
        <f>I888</f>
        <v>500</v>
      </c>
      <c r="J39" s="1353">
        <f>J888</f>
        <v>500</v>
      </c>
      <c r="AK39" s="1354"/>
      <c r="AL39" s="1352">
        <f t="shared" si="9"/>
        <v>13</v>
      </c>
      <c r="AM39" s="1354">
        <f t="shared" si="7"/>
        <v>0</v>
      </c>
      <c r="AN39" s="1352" t="str">
        <f t="shared" si="8"/>
        <v>Unclassified</v>
      </c>
    </row>
    <row r="40" spans="2:40" x14ac:dyDescent="0.2">
      <c r="B40" s="1324" t="s">
        <v>5448</v>
      </c>
      <c r="C40" s="1353">
        <f>C921</f>
        <v>19996.100000000002</v>
      </c>
      <c r="D40" s="1353">
        <f>D921</f>
        <v>27022.309999999998</v>
      </c>
      <c r="E40" s="1351">
        <f t="shared" si="6"/>
        <v>0.35137901890868695</v>
      </c>
      <c r="F40" s="1353">
        <f>F921</f>
        <v>27562.756199999996</v>
      </c>
      <c r="G40" s="1353">
        <f>G921</f>
        <v>28114.011323999999</v>
      </c>
      <c r="H40" s="1353">
        <f>H921</f>
        <v>28676.29155048</v>
      </c>
      <c r="I40" s="1353">
        <f>I921</f>
        <v>29249.8173814896</v>
      </c>
      <c r="J40" s="1353">
        <f>J921</f>
        <v>29834.813729119393</v>
      </c>
      <c r="AK40" s="1354"/>
      <c r="AL40" s="1352">
        <f t="shared" si="9"/>
        <v>6</v>
      </c>
      <c r="AM40" s="1354">
        <f t="shared" si="7"/>
        <v>2812.5037291193948</v>
      </c>
      <c r="AN40" s="1352" t="str">
        <f t="shared" si="8"/>
        <v>Utilities and Bulk Purchases</v>
      </c>
    </row>
    <row r="41" spans="2:40" x14ac:dyDescent="0.2">
      <c r="B41" s="1324" t="s">
        <v>5449</v>
      </c>
      <c r="C41" s="1353">
        <f>C927</f>
        <v>33018.44</v>
      </c>
      <c r="D41" s="1353">
        <f>D927</f>
        <v>38000</v>
      </c>
      <c r="E41" s="1351">
        <f t="shared" si="6"/>
        <v>0.15087205815901661</v>
      </c>
      <c r="F41" s="1353">
        <f>F927</f>
        <v>38760</v>
      </c>
      <c r="G41" s="1353">
        <f>G927</f>
        <v>39535.199999999997</v>
      </c>
      <c r="H41" s="1353">
        <f>H927</f>
        <v>40325.903999999995</v>
      </c>
      <c r="I41" s="1353">
        <f>I927</f>
        <v>41132.422079999997</v>
      </c>
      <c r="J41" s="1353">
        <f>J927</f>
        <v>41955.070521599999</v>
      </c>
      <c r="AK41" s="1354"/>
      <c r="AL41" s="1352">
        <f t="shared" si="9"/>
        <v>5</v>
      </c>
      <c r="AM41" s="1354">
        <f t="shared" si="7"/>
        <v>3955.0705215999988</v>
      </c>
      <c r="AN41" s="1352" t="str">
        <f t="shared" si="8"/>
        <v>Recycling and Landfill</v>
      </c>
    </row>
    <row r="42" spans="2:40" x14ac:dyDescent="0.2">
      <c r="B42" s="1324" t="s">
        <v>508</v>
      </c>
      <c r="C42" s="1353">
        <f>C933</f>
        <v>0</v>
      </c>
      <c r="D42" s="1353">
        <f>D933</f>
        <v>0</v>
      </c>
      <c r="E42" s="1351">
        <f t="shared" si="6"/>
        <v>0</v>
      </c>
      <c r="F42" s="1353">
        <f>F933</f>
        <v>0</v>
      </c>
      <c r="G42" s="1353">
        <f>G933</f>
        <v>0</v>
      </c>
      <c r="H42" s="1353">
        <f>H933</f>
        <v>0</v>
      </c>
      <c r="I42" s="1353">
        <f>I933</f>
        <v>0</v>
      </c>
      <c r="J42" s="1353">
        <f>J933</f>
        <v>0</v>
      </c>
      <c r="AK42" s="1354"/>
      <c r="AL42" s="1352">
        <f t="shared" si="9"/>
        <v>13</v>
      </c>
      <c r="AM42" s="1354">
        <f t="shared" si="7"/>
        <v>0</v>
      </c>
      <c r="AN42" s="1352" t="str">
        <f t="shared" si="8"/>
        <v>Additional Appropriations Offset by Revenues</v>
      </c>
    </row>
    <row r="43" spans="2:40" x14ac:dyDescent="0.2">
      <c r="B43" s="1324" t="s">
        <v>208</v>
      </c>
      <c r="C43" s="1353">
        <f>C939</f>
        <v>0</v>
      </c>
      <c r="D43" s="1353">
        <f>D939</f>
        <v>0</v>
      </c>
      <c r="E43" s="1351">
        <f t="shared" si="6"/>
        <v>0</v>
      </c>
      <c r="F43" s="1353">
        <f>F939</f>
        <v>0</v>
      </c>
      <c r="G43" s="1353">
        <f>G939</f>
        <v>0</v>
      </c>
      <c r="H43" s="1353">
        <f>H939</f>
        <v>0</v>
      </c>
      <c r="I43" s="1353">
        <f>I939</f>
        <v>0</v>
      </c>
      <c r="J43" s="1353">
        <f>J939</f>
        <v>0</v>
      </c>
      <c r="AK43" s="1354"/>
      <c r="AL43" s="1352">
        <f t="shared" si="9"/>
        <v>13</v>
      </c>
      <c r="AM43" s="1354">
        <f t="shared" si="7"/>
        <v>0</v>
      </c>
      <c r="AN43" s="1352" t="str">
        <f t="shared" si="8"/>
        <v>Contingent</v>
      </c>
    </row>
    <row r="44" spans="2:40" x14ac:dyDescent="0.2">
      <c r="B44" s="1324" t="s">
        <v>5450</v>
      </c>
      <c r="C44" s="1353">
        <f>C963</f>
        <v>5684.09</v>
      </c>
      <c r="D44" s="1353">
        <f>D963</f>
        <v>6316.49</v>
      </c>
      <c r="E44" s="1351">
        <f t="shared" si="6"/>
        <v>0.11125791463541201</v>
      </c>
      <c r="F44" s="1353">
        <f>F963</f>
        <v>6501.2997999999998</v>
      </c>
      <c r="G44" s="1353">
        <f>G963</f>
        <v>6692.9637160000002</v>
      </c>
      <c r="H44" s="1353">
        <f>H963</f>
        <v>6891.7893580000009</v>
      </c>
      <c r="I44" s="1353">
        <f>I963</f>
        <v>7098.0996966947205</v>
      </c>
      <c r="J44" s="1353">
        <f>J963</f>
        <v>7312.2338679462109</v>
      </c>
      <c r="AK44" s="1354"/>
      <c r="AL44" s="1352">
        <f t="shared" si="9"/>
        <v>9</v>
      </c>
      <c r="AM44" s="1354">
        <f t="shared" si="7"/>
        <v>995.74386794621114</v>
      </c>
      <c r="AN44" s="1352" t="str">
        <f t="shared" si="8"/>
        <v>Statutory Expenditures</v>
      </c>
    </row>
    <row r="45" spans="2:40" x14ac:dyDescent="0.2">
      <c r="B45" s="1324" t="s">
        <v>326</v>
      </c>
      <c r="C45" s="1353">
        <f>C969</f>
        <v>0</v>
      </c>
      <c r="D45" s="1353">
        <f>D969</f>
        <v>0</v>
      </c>
      <c r="E45" s="1351">
        <f t="shared" si="6"/>
        <v>0</v>
      </c>
      <c r="F45" s="1353">
        <f>F969</f>
        <v>0</v>
      </c>
      <c r="G45" s="1353">
        <f>G969</f>
        <v>0</v>
      </c>
      <c r="H45" s="1353">
        <f>H969</f>
        <v>0</v>
      </c>
      <c r="I45" s="1353">
        <f>I969</f>
        <v>0</v>
      </c>
      <c r="J45" s="1353">
        <f>J969</f>
        <v>0</v>
      </c>
      <c r="AK45" s="1354"/>
      <c r="AL45" s="1352">
        <f t="shared" si="9"/>
        <v>13</v>
      </c>
      <c r="AM45" s="1354">
        <f t="shared" si="7"/>
        <v>0</v>
      </c>
      <c r="AN45" s="1352" t="str">
        <f t="shared" si="8"/>
        <v>Judgements</v>
      </c>
    </row>
    <row r="46" spans="2:40" x14ac:dyDescent="0.2">
      <c r="B46" s="1324" t="s">
        <v>5609</v>
      </c>
      <c r="C46" s="1353">
        <f>C975</f>
        <v>5119.84</v>
      </c>
      <c r="D46" s="1353">
        <f>D975</f>
        <v>20119.84</v>
      </c>
      <c r="E46" s="1351">
        <f t="shared" si="6"/>
        <v>2.9297790555954872</v>
      </c>
      <c r="F46" s="1353">
        <f>F975</f>
        <v>20119.84</v>
      </c>
      <c r="G46" s="1353">
        <f>G975</f>
        <v>20119.84</v>
      </c>
      <c r="H46" s="1353">
        <f>H975</f>
        <v>20119.84</v>
      </c>
      <c r="I46" s="1353">
        <f>I975</f>
        <v>20119.84</v>
      </c>
      <c r="J46" s="1353">
        <f>J975</f>
        <v>20119.84</v>
      </c>
      <c r="AK46" s="1354"/>
      <c r="AL46" s="1352">
        <f t="shared" si="9"/>
        <v>13</v>
      </c>
      <c r="AM46" s="1354">
        <f t="shared" si="7"/>
        <v>0</v>
      </c>
      <c r="AN46" s="1352" t="str">
        <f t="shared" si="8"/>
        <v>Public and Private Programs Offset by Revenues (Grants)</v>
      </c>
    </row>
    <row r="47" spans="2:40" x14ac:dyDescent="0.2">
      <c r="B47" s="1324" t="s">
        <v>5451</v>
      </c>
      <c r="C47" s="1353">
        <f>C1050</f>
        <v>34663.67</v>
      </c>
      <c r="D47" s="1353">
        <f>D1050</f>
        <v>42850</v>
      </c>
      <c r="E47" s="1351">
        <f t="shared" si="6"/>
        <v>0.23616454922401475</v>
      </c>
      <c r="F47" s="1353">
        <f>F1050</f>
        <v>43707</v>
      </c>
      <c r="G47" s="1353">
        <f>G1050</f>
        <v>44581.14</v>
      </c>
      <c r="H47" s="1353">
        <f>H1050</f>
        <v>45472.762800000004</v>
      </c>
      <c r="I47" s="1353">
        <f>I1050</f>
        <v>46382.218055999998</v>
      </c>
      <c r="J47" s="1353">
        <f>J1050</f>
        <v>47309.862417119999</v>
      </c>
      <c r="AK47" s="1354"/>
      <c r="AL47" s="1352">
        <f t="shared" si="9"/>
        <v>4</v>
      </c>
      <c r="AM47" s="1354">
        <f t="shared" si="7"/>
        <v>4459.862417119999</v>
      </c>
      <c r="AN47" s="1352" t="str">
        <f t="shared" si="8"/>
        <v>Shared Services</v>
      </c>
    </row>
    <row r="48" spans="2:40" x14ac:dyDescent="0.2">
      <c r="B48" s="1324" t="s">
        <v>5452</v>
      </c>
      <c r="C48" s="1353">
        <f>C1059</f>
        <v>0</v>
      </c>
      <c r="D48" s="1353">
        <f>D1059</f>
        <v>0</v>
      </c>
      <c r="E48" s="1351">
        <f t="shared" si="6"/>
        <v>0</v>
      </c>
      <c r="F48" s="1353">
        <f>F1059</f>
        <v>0</v>
      </c>
      <c r="G48" s="1353">
        <f>G1059</f>
        <v>0</v>
      </c>
      <c r="H48" s="1353">
        <f>H1059</f>
        <v>0</v>
      </c>
      <c r="I48" s="1353">
        <f>I1059</f>
        <v>0</v>
      </c>
      <c r="J48" s="1353">
        <f>J1059</f>
        <v>0</v>
      </c>
      <c r="AK48" s="1354"/>
      <c r="AL48" s="1352">
        <f t="shared" si="9"/>
        <v>13</v>
      </c>
      <c r="AM48" s="1354">
        <f t="shared" si="7"/>
        <v>0</v>
      </c>
      <c r="AN48" s="1352" t="str">
        <f t="shared" si="8"/>
        <v>Court and Public Defender</v>
      </c>
    </row>
    <row r="49" spans="1:40" x14ac:dyDescent="0.2">
      <c r="B49" s="1324" t="s">
        <v>342</v>
      </c>
      <c r="C49" s="1353">
        <f>C1080</f>
        <v>60100</v>
      </c>
      <c r="D49" s="1353">
        <f>D1080</f>
        <v>60100</v>
      </c>
      <c r="E49" s="1351">
        <f t="shared" si="6"/>
        <v>0</v>
      </c>
      <c r="F49" s="1353">
        <f>F1080</f>
        <v>60100</v>
      </c>
      <c r="G49" s="1353">
        <f>G1080</f>
        <v>60100</v>
      </c>
      <c r="H49" s="1353">
        <f>H1080</f>
        <v>60100</v>
      </c>
      <c r="I49" s="1353">
        <f>I1080</f>
        <v>60100</v>
      </c>
      <c r="J49" s="1353">
        <f>J1080</f>
        <v>60100</v>
      </c>
      <c r="AK49" s="1354"/>
      <c r="AL49" s="1352">
        <f t="shared" si="9"/>
        <v>13</v>
      </c>
      <c r="AM49" s="1354">
        <f t="shared" si="7"/>
        <v>0</v>
      </c>
      <c r="AN49" s="1352" t="str">
        <f t="shared" si="8"/>
        <v>Capital</v>
      </c>
    </row>
    <row r="50" spans="1:40" x14ac:dyDescent="0.2">
      <c r="B50" s="1324" t="s">
        <v>343</v>
      </c>
      <c r="C50" s="1353">
        <f>C1110</f>
        <v>0</v>
      </c>
      <c r="D50" s="1353">
        <f>D1110</f>
        <v>0</v>
      </c>
      <c r="E50" s="1351">
        <f t="shared" si="6"/>
        <v>0</v>
      </c>
      <c r="F50" s="1353">
        <f>F1110</f>
        <v>0</v>
      </c>
      <c r="G50" s="1353">
        <f>G1110</f>
        <v>0</v>
      </c>
      <c r="H50" s="1353">
        <f>H1110</f>
        <v>0</v>
      </c>
      <c r="I50" s="1353">
        <f>I1110</f>
        <v>0</v>
      </c>
      <c r="J50" s="1353">
        <f>J1110</f>
        <v>0</v>
      </c>
      <c r="AK50" s="1354"/>
      <c r="AL50" s="1352">
        <f t="shared" si="9"/>
        <v>13</v>
      </c>
      <c r="AM50" s="1354">
        <f t="shared" si="7"/>
        <v>0</v>
      </c>
      <c r="AN50" s="1352" t="str">
        <f t="shared" si="8"/>
        <v>Debt Service</v>
      </c>
    </row>
    <row r="51" spans="1:40" x14ac:dyDescent="0.2">
      <c r="B51" s="1324" t="s">
        <v>5453</v>
      </c>
      <c r="C51" s="1353">
        <f>C1152</f>
        <v>13000</v>
      </c>
      <c r="D51" s="1353">
        <f>D1152</f>
        <v>13000</v>
      </c>
      <c r="E51" s="1351">
        <f t="shared" si="6"/>
        <v>0</v>
      </c>
      <c r="F51" s="1353">
        <f>F1152</f>
        <v>13000</v>
      </c>
      <c r="G51" s="1353">
        <f>G1152</f>
        <v>13000</v>
      </c>
      <c r="H51" s="1353">
        <f>H1152</f>
        <v>13000</v>
      </c>
      <c r="I51" s="1353">
        <f>I1152</f>
        <v>13000</v>
      </c>
      <c r="J51" s="1353">
        <f>J1152</f>
        <v>13000</v>
      </c>
      <c r="AK51" s="1354"/>
      <c r="AL51" s="1352">
        <f t="shared" si="9"/>
        <v>13</v>
      </c>
      <c r="AM51" s="1354">
        <f t="shared" si="7"/>
        <v>0</v>
      </c>
      <c r="AN51" s="1352" t="str">
        <f t="shared" si="8"/>
        <v>Deferred Charges and Emergencies</v>
      </c>
    </row>
    <row r="52" spans="1:40" x14ac:dyDescent="0.2">
      <c r="B52" s="1324" t="s">
        <v>5454</v>
      </c>
      <c r="C52" s="1353">
        <f>C1167</f>
        <v>0</v>
      </c>
      <c r="D52" s="1353">
        <f>D1167</f>
        <v>0</v>
      </c>
      <c r="E52" s="1351">
        <f t="shared" si="6"/>
        <v>0</v>
      </c>
      <c r="F52" s="1353">
        <f>F1167</f>
        <v>0</v>
      </c>
      <c r="G52" s="1353">
        <f>G1167</f>
        <v>0</v>
      </c>
      <c r="H52" s="1353">
        <f>H1167</f>
        <v>0</v>
      </c>
      <c r="I52" s="1353">
        <f>I1167</f>
        <v>0</v>
      </c>
      <c r="J52" s="1353">
        <f>J1167</f>
        <v>0</v>
      </c>
      <c r="AK52" s="1354"/>
      <c r="AL52" s="1352">
        <f t="shared" si="9"/>
        <v>13</v>
      </c>
      <c r="AM52" s="1354">
        <f t="shared" si="7"/>
        <v>0</v>
      </c>
      <c r="AN52" s="1352" t="str">
        <f t="shared" si="8"/>
        <v>Type I School District</v>
      </c>
    </row>
    <row r="53" spans="1:40" x14ac:dyDescent="0.2">
      <c r="B53" s="1324" t="s">
        <v>345</v>
      </c>
      <c r="C53" s="1353">
        <f>C1173</f>
        <v>305137.67</v>
      </c>
      <c r="D53" s="1353">
        <f>D1173</f>
        <v>298014.59115825919</v>
      </c>
      <c r="E53" s="1351">
        <f t="shared" si="6"/>
        <v>-2.3343819993581261E-2</v>
      </c>
      <c r="F53" s="1353">
        <f>F1173</f>
        <v>298014.59115825919</v>
      </c>
      <c r="G53" s="1353">
        <f>G1173</f>
        <v>298014.59115825919</v>
      </c>
      <c r="H53" s="1353">
        <f>H1173</f>
        <v>298014.59115825919</v>
      </c>
      <c r="I53" s="1353">
        <f>I1173</f>
        <v>298014.59115825919</v>
      </c>
      <c r="J53" s="1353">
        <f>J1173</f>
        <v>298014.59115825919</v>
      </c>
      <c r="AK53" s="1354"/>
      <c r="AL53" s="1352">
        <f t="shared" si="9"/>
        <v>13</v>
      </c>
      <c r="AM53" s="1354">
        <f t="shared" si="7"/>
        <v>0</v>
      </c>
      <c r="AN53" s="1352" t="str">
        <f t="shared" si="8"/>
        <v>Reserve for Uncollected Taxes</v>
      </c>
    </row>
    <row r="54" spans="1:40" x14ac:dyDescent="0.2">
      <c r="E54" s="1351"/>
      <c r="AK54" s="1354"/>
      <c r="AL54" s="1352"/>
      <c r="AM54" s="1354"/>
      <c r="AN54" s="1352"/>
    </row>
    <row r="55" spans="1:40" x14ac:dyDescent="0.2">
      <c r="B55" s="1328" t="s">
        <v>6094</v>
      </c>
      <c r="C55" s="1355">
        <f>SUM(C30:C53)</f>
        <v>708998.07000000007</v>
      </c>
      <c r="D55" s="1355">
        <f>SUM(D30:D53)</f>
        <v>828754.4911582591</v>
      </c>
      <c r="E55" s="1356">
        <f>IFERROR(D55/C55-1,0)</f>
        <v>0.16890937539260009</v>
      </c>
      <c r="F55" s="1355">
        <f>SUM(F30:F53)</f>
        <v>837561.37235825928</v>
      </c>
      <c r="G55" s="1355">
        <f>SUM(G30:G53)</f>
        <v>846539.54910225933</v>
      </c>
      <c r="H55" s="1355">
        <f>SUM(H30:H53)</f>
        <v>855700.6178288192</v>
      </c>
      <c r="I55" s="1355">
        <f>SUM(I30:I53)</f>
        <v>865048.4161137651</v>
      </c>
      <c r="J55" s="1355">
        <f>SUM(J30:J53)</f>
        <v>874586.86799019284</v>
      </c>
      <c r="AK55" s="1354"/>
      <c r="AL55" s="1352"/>
      <c r="AM55" s="1354"/>
      <c r="AN55" s="1352"/>
    </row>
    <row r="56" spans="1:40" x14ac:dyDescent="0.2">
      <c r="B56" s="1357" t="s">
        <v>6104</v>
      </c>
      <c r="D56" s="1356">
        <f>IFERROR(D55/C55-1,"--")</f>
        <v>0.16890937539260009</v>
      </c>
      <c r="E56" s="1356"/>
      <c r="F56" s="1356">
        <f>IFERROR(F55/D55-1,"--")</f>
        <v>1.0626646725849787E-2</v>
      </c>
      <c r="G56" s="1356">
        <f>IFERROR(G55/F55-1,"--")</f>
        <v>1.0719425513525005E-2</v>
      </c>
      <c r="H56" s="1356">
        <f>IFERROR(H55/G55-1,"--")</f>
        <v>1.08217846836276E-2</v>
      </c>
      <c r="I56" s="1356">
        <f>IFERROR(I55/H55-1,"--")</f>
        <v>1.0924145770356164E-2</v>
      </c>
      <c r="J56" s="1356">
        <f>IFERROR(J55/I55-1,"--")</f>
        <v>1.1026494816647636E-2</v>
      </c>
      <c r="AK56" s="1354"/>
      <c r="AL56" s="1352"/>
      <c r="AM56" s="1354"/>
      <c r="AN56" s="1352"/>
    </row>
    <row r="57" spans="1:40" x14ac:dyDescent="0.2">
      <c r="B57" s="1328"/>
      <c r="E57" s="1351"/>
      <c r="AK57" s="1354"/>
      <c r="AL57" s="1352"/>
      <c r="AM57" s="1354"/>
      <c r="AN57" s="1352"/>
    </row>
    <row r="58" spans="1:40" ht="15.75" x14ac:dyDescent="0.25">
      <c r="A58" s="1350" t="s">
        <v>6125</v>
      </c>
      <c r="B58" s="1328"/>
      <c r="E58" s="1351"/>
      <c r="AK58" s="1354"/>
      <c r="AL58" s="1352"/>
      <c r="AM58" s="1354"/>
      <c r="AN58" s="1352"/>
    </row>
    <row r="59" spans="1:40" ht="21" x14ac:dyDescent="0.2">
      <c r="B59" s="1328"/>
      <c r="C59" s="1358" t="str">
        <f>C29</f>
        <v>2019 Realized</v>
      </c>
      <c r="D59" s="1358" t="str">
        <f t="shared" ref="D59:J59" si="10">D29</f>
        <v>2020 Budgeted</v>
      </c>
      <c r="E59" s="1359" t="str">
        <f>E29</f>
        <v>2020-21 % Chg</v>
      </c>
      <c r="F59" s="1358" t="str">
        <f t="shared" si="10"/>
        <v>2022 Projected</v>
      </c>
      <c r="G59" s="1358" t="str">
        <f t="shared" si="10"/>
        <v>2023 Projected</v>
      </c>
      <c r="H59" s="1358" t="str">
        <f t="shared" si="10"/>
        <v>2024 Projected</v>
      </c>
      <c r="I59" s="1358" t="str">
        <f t="shared" si="10"/>
        <v>2025 Projected</v>
      </c>
      <c r="J59" s="1358" t="str">
        <f t="shared" si="10"/>
        <v>2026 Projected</v>
      </c>
      <c r="AK59" s="1354"/>
      <c r="AL59" s="1352"/>
      <c r="AM59" s="1354"/>
      <c r="AN59" s="1352"/>
    </row>
    <row r="60" spans="1:40" x14ac:dyDescent="0.2">
      <c r="B60" s="1324" t="s">
        <v>205</v>
      </c>
      <c r="C60" s="1353">
        <f>C504+C507+C510+C513+C516+C519+C522+C525+C528+C531+C534+C537+C540+C543+C546+C549+C552+C555+C561+C564+C567+C570+C573+C576+C579+C582+C588+C591+C594+C597+C600+C603+C606+C609+C612+C615+C618+C621+C624+C627+C630+C636+C639+C642+C645+C648+C651+C654+C660+C663+C666+C669+C672+C675+C678+C681+C684+C687+C690+C693+C696+C699+C702+C705+C708+C714+C717+C720+C723+C726+C729+C732+C735+C738+C741+C744+C747+C750+C753+C759+C762+C765+C768+C771+C774+C777+C780+C783+C786+C789+C795+C798+C801+C804+C807+C810+C813+C819+C822+C825+C828+C831+C834+C837+C840+C843+C849+C852+C855+C858+C861+C864+C867+C870+C873+C876+C879+C882+C885+C891+C894+C897+C900+C903+C906+C909+C912+C915+C918+C924+C930+C936+C942+C945+C948+C951+C954+C957+C960+C966+C972+C978+C981+C984+C987+C990+C993+C996+C999+C1002+C1005+C1008+C1011+C1014+C1017+C1020+C1023+C1026+C1029+C1032+C1035+C1038+C1041+C1044+C1047+C1053+C1056+C1062+C1065+C1068+C1071+C1074+C1077+C1083+C1086+C1089+C1092+C1095+C1098+C1101+C1104+C1107+C1113+C1116+C1119+C1122+C1125+C1128+C1131+C1134+C1137+C1140+C1143+C1146+C1149+C1155+C1158+C1161+C1164+C1170</f>
        <v>50718</v>
      </c>
      <c r="D60" s="1353">
        <f>D504+D507+D510+D513+D516+D519+D522+D525+D528+D531+D534+D537+D540+D543+D546+D549+D552+D555+D561+D564+D567+D570+D573+D576+D579+D582+D588+D591+D594+D597+D600+D603+D606+D609+D612+D615+D618+D621+D624+D627+D630+D636+D639+D642+D645+D648+D651+D654+D660+D663+D666+D669+D672+D675+D678+D681+D684+D687+D690+D693+D696+D699+D702+D705+D708+D714+D717+D720+D723+D726+D729+D732+D735+D738+D741+D744+D747+D750+D753+D759+D762+D765+D768+D771+D774+D777+D780+D783+D786+D789+D795+D798+D801+D804+D807+D810+D813+D819+D822+D825+D828+D831+D834+D837+D840+D843+D849+D852+D855+D858+D861+D864+D867+D870+D873+D876+D879+D882+D885+D891+D894+D897+D900+D903+D906+D909+D912+D915+D918+D924+D930+D936+D942+D945+D948+D951+D954+D957+D960+D966+D972+D978+D981+D984+D987+D990+D993+D996+D999+D1002+D1005+D1008+D1011+D1014+D1017+D1020+D1023+D1026+D1029+D1032+D1035+D1038+D1041+D1044+D1047+D1053+D1056+D1062+D1065+D1068+D1071+D1074+D1077+D1083+D1086+D1089+D1092+D1095+D1098+D1101+D1104+D1107+D1113+D1116+D1119+D1122+D1125+D1128+D1131+D1134+D1137+D1140+D1143+D1146+D1149+D1155+D1158+D1161+D1164+D1170</f>
        <v>52980.049999999996</v>
      </c>
      <c r="E60" s="1351">
        <f>IFERROR(D60/C60-1,0)</f>
        <v>4.4600536298749827E-2</v>
      </c>
      <c r="F60" s="1353">
        <f>F504+F507+F510+F513+F516+F519+F522+F525+F528+F531+F534+F537+F540+F543+F546+F549+F552+F555+F561+F564+F567+F570+F573+F576+F579+F582+F588+F591+F594+F597+F600+F603+F606+F609+F612+F615+F618+F621+F624+F627+F630+F636+F639+F642+F645+F648+F651+F654+F660+F663+F666+F669+F672+F675+F678+F681+F684+F687+F690+F693+F696+F699+F702+F705+F708+F714+F717+F720+F723+F726+F729+F732+F735+F738+F741+F744+F747+F750+F753+F759+F762+F765+F768+F771+F774+F777+F780+F783+F786+F789+F795+F798+F801+F804+F807+F810+F813+F819+F822+F825+F828+F831+F834+F837+F840+F843+F849+F852+F855+F858+F861+F864+F867+F870+F873+F876+F879+F882+F885+F891+F894+F897+F900+F903+F906+F909+F912+F915+F918+F924+F930+F936+F942+F945+F948+F951+F954+F957+F960+F966+F972+F978+F981+F984+F987+F990+F993+F996+F999+F1002+F1005+F1008+F1011+F1014+F1017+F1020+F1023+F1026+F1029+F1032+F1035+F1038+F1041+F1044+F1047+F1053+F1056+F1062+F1065+F1068+F1071+F1074+F1077+F1083+F1086+F1089+F1092+F1095+F1098+F1101+F1104+F1107+F1113+F1116+F1119+F1122+F1125+F1128+F1131+F1134+F1137+F1140+F1143+F1146+F1149+F1155+F1158+F1161+F1164+F1170</f>
        <v>54039.650999999991</v>
      </c>
      <c r="G60" s="1353">
        <f>G504+G507+G510+G513+G516+G519+G522+G525+G528+G531+G534+G537+G540+G543+G546+G549+G552+G555+G561+G564+G567+G570+G573+G576+G579+G582+G588+G591+G594+G597+G600+G603+G606+G609+G612+G615+G618+G621+G624+G627+G630+G636+G639+G642+G645+G648+G651+G654+G660+G663+G666+G669+G672+G675+G678+G681+G684+G687+G690+G693+G696+G699+G702+G705+G708+G714+G717+G720+G723+G726+G729+G732+G735+G738+G741+G744+G747+G750+G753+G759+G762+G765+G768+G771+G774+G777+G780+G783+G786+G789+G795+G798+G801+G804+G807+G810+G813+G819+G822+G825+G828+G831+G834+G837+G840+G843+G849+G852+G855+G858+G861+G864+G867+G870+G873+G876+G879+G882+G885+G891+G894+G897+G900+G903+G906+G909+G912+G915+G918+G924+G930+G936+G942+G945+G948+G951+G954+G957+G960+G966+G972+G978+G981+G984+G987+G990+G993+G996+G999+G1002+G1005+G1008+G1011+G1014+G1017+G1020+G1023+G1026+G1029+G1032+G1035+G1038+G1041+G1044+G1047+G1053+G1056+G1062+G1065+G1068+G1071+G1074+G1077+G1083+G1086+G1089+G1092+G1095+G1098+G1101+G1104+G1107+G1113+G1116+G1119+G1122+G1125+G1128+G1131+G1134+G1137+G1140+G1143+G1146+G1149+G1155+G1158+G1161+G1164+G1170</f>
        <v>55120.444020000003</v>
      </c>
      <c r="H60" s="1353">
        <f>H504+H507+H510+H513+H516+H519+H522+H525+H528+H531+H534+H537+H540+H543+H546+H549+H552+H555+H561+H564+H567+H570+H573+H576+H579+H582+H588+H591+H594+H597+H600+H603+H606+H609+H612+H615+H618+H621+H624+H627+H630+H636+H639+H642+H645+H648+H651+H654+H660+H663+H666+H669+H672+H675+H678+H681+H684+H687+H690+H693+H696+H699+H702+H705+H708+H714+H717+H720+H723+H726+H729+H732+H735+H738+H741+H744+H747+H750+H753+H759+H762+H765+H768+H771+H774+H777+H780+H783+H786+H789+H795+H798+H801+H804+H807+H810+H813+H819+H822+H825+H828+H831+H834+H837+H840+H843+H849+H852+H855+H858+H861+H864+H867+H870+H873+H876+H879+H882+H885+H891+H894+H897+H900+H903+H906+H909+H912+H915+H918+H924+H930+H936+H942+H945+H948+H951+H954+H957+H960+H966+H972+H978+H981+H984+H987+H990+H993+H996+H999+H1002+H1005+H1008+H1011+H1014+H1017+H1020+H1023+H1026+H1029+H1032+H1035+H1038+H1041+H1044+H1047+H1053+H1056+H1062+H1065+H1068+H1071+H1074+H1077+H1083+H1086+H1089+H1092+H1095+H1098+H1101+H1104+H1107+H1113+H1116+H1119+H1122+H1125+H1128+H1131+H1134+H1137+H1140+H1143+H1146+H1149+H1155+H1158+H1161+H1164+H1170</f>
        <v>56222.852900400001</v>
      </c>
      <c r="I60" s="1353">
        <f>I504+I507+I510+I513+I516+I519+I522+I525+I528+I531+I534+I537+I540+I543+I546+I549+I552+I555+I561+I564+I567+I570+I573+I576+I579+I582+I588+I591+I594+I597+I600+I603+I606+I609+I612+I615+I618+I621+I624+I627+I630+I636+I639+I642+I645+I648+I651+I654+I660+I663+I666+I669+I672+I675+I678+I681+I684+I687+I690+I693+I696+I699+I702+I705+I708+I714+I717+I720+I723+I726+I729+I732+I735+I738+I741+I744+I747+I750+I753+I759+I762+I765+I768+I771+I774+I777+I780+I783+I786+I789+I795+I798+I801+I804+I807+I810+I813+I819+I822+I825+I828+I831+I834+I837+I840+I843+I849+I852+I855+I858+I861+I864+I867+I870+I873+I876+I879+I882+I885+I891+I894+I897+I900+I903+I906+I909+I912+I915+I918+I924+I930+I936+I942+I945+I948+I951+I954+I957+I960+I966+I972+I978+I981+I984+I987+I990+I993+I996+I999+I1002+I1005+I1008+I1011+I1014+I1017+I1020+I1023+I1026+I1029+I1032+I1035+I1038+I1041+I1044+I1047+I1053+I1056+I1062+I1065+I1068+I1071+I1074+I1077+I1083+I1086+I1089+I1092+I1095+I1098+I1101+I1104+I1107+I1113+I1116+I1119+I1122+I1125+I1128+I1131+I1134+I1137+I1140+I1143+I1146+I1149+I1155+I1158+I1161+I1164+I1170</f>
        <v>57347.309958408005</v>
      </c>
      <c r="J60" s="1353">
        <f>J504+J507+J510+J513+J516+J519+J522+J525+J528+J531+J534+J537+J540+J543+J546+J549+J552+J555+J561+J564+J567+J570+J573+J576+J579+J582+J588+J591+J594+J597+J600+J603+J606+J609+J612+J615+J618+J621+J624+J627+J630+J636+J639+J642+J645+J648+J651+J654+J660+J663+J666+J669+J672+J675+J678+J681+J684+J687+J690+J693+J696+J699+J702+J705+J708+J714+J717+J720+J723+J726+J729+J732+J735+J738+J741+J744+J747+J750+J753+J759+J762+J765+J768+J771+J774+J777+J780+J783+J786+J789+J795+J798+J801+J804+J807+J810+J813+J819+J822+J825+J828+J831+J834+J837+J840+J843+J849+J852+J855+J858+J861+J864+J867+J870+J873+J876+J879+J882+J885+J891+J894+J897+J900+J903+J906+J909+J912+J915+J918+J924+J930+J936+J942+J945+J948+J951+J954+J957+J960+J966+J972+J978+J981+J984+J987+J990+J993+J996+J999+J1002+J1005+J1008+J1011+J1014+J1017+J1020+J1023+J1026+J1029+J1032+J1035+J1038+J1041+J1044+J1047+J1053+J1056+J1062+J1065+J1068+J1071+J1074+J1077+J1083+J1086+J1089+J1092+J1095+J1098+J1101+J1104+J1107+J1113+J1116+J1119+J1122+J1125+J1128+J1131+J1134+J1137+J1140+J1143+J1146+J1149+J1155+J1158+J1161+J1164+J1170</f>
        <v>58494.256157576157</v>
      </c>
      <c r="AK60" s="1354"/>
      <c r="AL60" s="1352">
        <f>RANK(AM60,$AM$60:$AM$72,0)</f>
        <v>3</v>
      </c>
      <c r="AM60" s="1354">
        <f>J60-D60</f>
        <v>5514.2061575761618</v>
      </c>
      <c r="AN60" s="1352" t="str">
        <f>B60</f>
        <v>Salaries &amp; Wages</v>
      </c>
    </row>
    <row r="61" spans="1:40" x14ac:dyDescent="0.2">
      <c r="B61" s="1324" t="s">
        <v>905</v>
      </c>
      <c r="C61" s="1353">
        <f>C946+C947</f>
        <v>3964.09</v>
      </c>
      <c r="D61" s="1353">
        <f>D946+D947</f>
        <v>4596.49</v>
      </c>
      <c r="E61" s="1351">
        <f>IFERROR(D61/C61-1,0)</f>
        <v>0.1595322003284485</v>
      </c>
      <c r="F61" s="1353">
        <f>F946+F947</f>
        <v>4688.4197999999997</v>
      </c>
      <c r="G61" s="1353">
        <f>G946+G947</f>
        <v>4782.1881960000001</v>
      </c>
      <c r="H61" s="1353">
        <f>H946+H947</f>
        <v>4877.8319599200004</v>
      </c>
      <c r="I61" s="1353">
        <f>I946+I947</f>
        <v>4975.3885991184006</v>
      </c>
      <c r="J61" s="1353">
        <f>J946+J947</f>
        <v>5074.8963711007691</v>
      </c>
      <c r="AK61" s="1354"/>
      <c r="AL61" s="1352">
        <f t="shared" ref="AL61:AL72" si="11">RANK(AM61,$AM$60:$AM$72,0)</f>
        <v>5</v>
      </c>
      <c r="AM61" s="1354">
        <f>J61-D61</f>
        <v>478.40637110076932</v>
      </c>
      <c r="AN61" s="1352" t="str">
        <f>B61</f>
        <v>Social Security</v>
      </c>
    </row>
    <row r="62" spans="1:40" x14ac:dyDescent="0.2">
      <c r="B62" s="1324" t="s">
        <v>6099</v>
      </c>
      <c r="C62" s="1353">
        <f>C943+C944+C952+C953+C955+C956+C958+C959+C961+C962</f>
        <v>1720</v>
      </c>
      <c r="D62" s="1353">
        <f>D943+D944+D952+D953+D955+D956+D958+D959+D961+D962</f>
        <v>1720</v>
      </c>
      <c r="E62" s="1351">
        <f>IFERROR(D62/C62-1,0)</f>
        <v>0</v>
      </c>
      <c r="F62" s="1353">
        <f>F943+F944+F952+F953+F955+F956+F958+F959+F961+F962</f>
        <v>1812.88</v>
      </c>
      <c r="G62" s="1353">
        <f>G943+G944+G952+G953+G955+G956+G958+G959+G961+G962</f>
        <v>1910.7755200000001</v>
      </c>
      <c r="H62" s="1353">
        <f>H943+H944+H952+H953+H955+H956+H958+H959+H961+H962</f>
        <v>2013.9573980800003</v>
      </c>
      <c r="I62" s="1353">
        <f>I943+I944+I952+I953+I955+I956+I958+I959+I961+I962</f>
        <v>2122.7110975763203</v>
      </c>
      <c r="J62" s="1353">
        <f>J943+J944+J952+J953+J955+J956+J958+J959+J961+J962</f>
        <v>2237.3374968454418</v>
      </c>
      <c r="AK62" s="1354"/>
      <c r="AL62" s="1352">
        <f t="shared" si="11"/>
        <v>4</v>
      </c>
      <c r="AM62" s="1354">
        <f>J62-D62</f>
        <v>517.33749684544182</v>
      </c>
      <c r="AN62" s="1352" t="str">
        <f>B62</f>
        <v>Pensions</v>
      </c>
    </row>
    <row r="63" spans="1:40" x14ac:dyDescent="0.2">
      <c r="B63" s="1324" t="s">
        <v>453</v>
      </c>
      <c r="C63" s="1353">
        <f>C640+C641+C643+C644+C646+C647+C649+C650+C652+C653+C655+C656</f>
        <v>0</v>
      </c>
      <c r="D63" s="1353">
        <f>D640+D641+D643+D644+D646+D647+D649+D650+D652+D653+D655+D656</f>
        <v>0</v>
      </c>
      <c r="E63" s="1351">
        <f>IFERROR(D63/C63-1,0)</f>
        <v>0</v>
      </c>
      <c r="F63" s="1353">
        <f>F640+F641+F643+F644+F646+F647+F649+F650+F652+F653+F655+F656</f>
        <v>0</v>
      </c>
      <c r="G63" s="1353">
        <f>G640+G641+G643+G644+G646+G647+G649+G650+G652+G653+G655+G656</f>
        <v>0</v>
      </c>
      <c r="H63" s="1353">
        <f>H640+H641+H643+H644+H646+H647+H649+H650+H652+H653+H655+H656</f>
        <v>0</v>
      </c>
      <c r="I63" s="1353">
        <f>I640+I641+I643+I644+I646+I647+I649+I650+I652+I653+I655+I656</f>
        <v>0</v>
      </c>
      <c r="J63" s="1353">
        <f>J640+J641+J643+J644+J646+J647+J649+J650+J652+J653+J655+J656</f>
        <v>0</v>
      </c>
      <c r="AK63" s="1354"/>
      <c r="AL63" s="1352">
        <f t="shared" si="11"/>
        <v>6</v>
      </c>
      <c r="AM63" s="1354">
        <f>J63-D63</f>
        <v>0</v>
      </c>
      <c r="AN63" s="1352" t="str">
        <f>B63</f>
        <v>Insurance</v>
      </c>
    </row>
    <row r="64" spans="1:40" ht="12" customHeight="1" x14ac:dyDescent="0.2">
      <c r="B64" s="1357" t="s">
        <v>6102</v>
      </c>
      <c r="C64" s="1360">
        <f>SUM(C60:C63)</f>
        <v>56402.09</v>
      </c>
      <c r="D64" s="1360">
        <f>SUM(D60:D63)</f>
        <v>59296.539999999994</v>
      </c>
      <c r="E64" s="1356">
        <f>IFERROR(D64/C64-1,0)</f>
        <v>5.1318133778375907E-2</v>
      </c>
      <c r="F64" s="1360">
        <f>SUM(F60:F63)</f>
        <v>60540.950799999984</v>
      </c>
      <c r="G64" s="1360">
        <f>SUM(G60:G63)</f>
        <v>61813.407736000008</v>
      </c>
      <c r="H64" s="1360">
        <f>SUM(H60:H63)</f>
        <v>63114.642258400003</v>
      </c>
      <c r="I64" s="1360">
        <f>SUM(I60:I63)</f>
        <v>64445.409655102725</v>
      </c>
      <c r="J64" s="1360">
        <f>SUM(J60:J63)</f>
        <v>65806.490025522362</v>
      </c>
      <c r="AK64" s="1354"/>
      <c r="AL64" s="1352"/>
      <c r="AM64" s="1354"/>
      <c r="AN64" s="1352"/>
    </row>
    <row r="65" spans="2:40" ht="12" customHeight="1" x14ac:dyDescent="0.2">
      <c r="E65" s="1351"/>
      <c r="AK65" s="1354"/>
      <c r="AL65" s="1352"/>
      <c r="AM65" s="1354"/>
      <c r="AN65" s="1352"/>
    </row>
    <row r="66" spans="2:40" ht="14.25" customHeight="1" x14ac:dyDescent="0.2">
      <c r="B66" s="1324" t="s">
        <v>910</v>
      </c>
      <c r="C66" s="1353">
        <f>C637+C638</f>
        <v>68257.440000000002</v>
      </c>
      <c r="D66" s="1353">
        <f>D637+D638</f>
        <v>104974.51</v>
      </c>
      <c r="E66" s="1351">
        <f t="shared" ref="E66:E73" si="12">IFERROR(D66/C66-1,0)</f>
        <v>0.53792040838332045</v>
      </c>
      <c r="F66" s="1353">
        <f>F637+F638</f>
        <v>107074.00019999999</v>
      </c>
      <c r="G66" s="1353">
        <f>G637+G638</f>
        <v>109215.48020399999</v>
      </c>
      <c r="H66" s="1353">
        <f>H637+H638</f>
        <v>111399.78980807999</v>
      </c>
      <c r="I66" s="1353">
        <f>I637+I638</f>
        <v>113627.7856042416</v>
      </c>
      <c r="J66" s="1353">
        <f>J637+J638</f>
        <v>115900.34131632643</v>
      </c>
      <c r="AK66" s="1354"/>
      <c r="AL66" s="1352">
        <f t="shared" si="11"/>
        <v>2</v>
      </c>
      <c r="AM66" s="1354">
        <f t="shared" ref="AM66:AM72" si="13">J66-D66</f>
        <v>10925.831316326439</v>
      </c>
      <c r="AN66" s="1352" t="str">
        <f t="shared" ref="AN66:AN72" si="14">B66</f>
        <v>General Liability Insurance</v>
      </c>
    </row>
    <row r="67" spans="2:40" x14ac:dyDescent="0.2">
      <c r="B67" s="1324" t="s">
        <v>343</v>
      </c>
      <c r="C67" s="1353">
        <f>C1084+C1085+C1087+C1088+C1090+C1091+C1093+C1094+C1096+C1097+C1099+C1100+C1102+C1103+C1105+C1106+C1108+C1109</f>
        <v>0</v>
      </c>
      <c r="D67" s="1353">
        <f>D1084+D1085+D1087+D1088+D1090+D1091+D1093+D1094+D1096+D1097+D1099+D1100+D1102+D1103+D1105+D1106+D1108+D1109</f>
        <v>0</v>
      </c>
      <c r="E67" s="1351">
        <f t="shared" si="12"/>
        <v>0</v>
      </c>
      <c r="F67" s="1353">
        <f>F1084+F1085+F1087+F1088+F1090+F1091+F1093+F1094+F1096+F1097+F1099+F1100+F1102+F1103+F1105+F1106+F1108+F1109</f>
        <v>0</v>
      </c>
      <c r="G67" s="1353">
        <f>G1084+G1085+G1087+G1088+G1090+G1091+G1093+G1094+G1096+G1097+G1099+G1100+G1102+G1103+G1105+G1106+G1108+G1109</f>
        <v>0</v>
      </c>
      <c r="H67" s="1353">
        <f>H1084+H1085+H1087+H1088+H1090+H1091+H1093+H1094+H1096+H1097+H1099+H1100+H1102+H1103+H1105+H1106+H1108+H1109</f>
        <v>0</v>
      </c>
      <c r="I67" s="1353">
        <f>I1084+I1085+I1087+I1088+I1090+I1091+I1093+I1094+I1096+I1097+I1099+I1100+I1102+I1103+I1105+I1106+I1108+I1109</f>
        <v>0</v>
      </c>
      <c r="J67" s="1353">
        <f>J1084+J1085+J1087+J1088+J1090+J1091+J1093+J1094+J1096+J1097+J1099+J1100+J1102+J1103+J1105+J1106+J1108+J1109</f>
        <v>0</v>
      </c>
      <c r="AK67" s="1354"/>
      <c r="AL67" s="1352">
        <f t="shared" si="11"/>
        <v>6</v>
      </c>
      <c r="AM67" s="1354">
        <f t="shared" si="13"/>
        <v>0</v>
      </c>
      <c r="AN67" s="1352" t="str">
        <f t="shared" si="14"/>
        <v>Debt Service</v>
      </c>
    </row>
    <row r="68" spans="2:40" x14ac:dyDescent="0.2">
      <c r="B68" s="1324" t="s">
        <v>345</v>
      </c>
      <c r="C68" s="1353">
        <f>C1171+C1172</f>
        <v>305137.67</v>
      </c>
      <c r="D68" s="1353">
        <f>D1171+D1172</f>
        <v>298014.59115825919</v>
      </c>
      <c r="E68" s="1351">
        <f t="shared" si="12"/>
        <v>-2.3343819993581261E-2</v>
      </c>
      <c r="F68" s="1353">
        <f>F1171+F1172</f>
        <v>298014.59115825919</v>
      </c>
      <c r="G68" s="1353">
        <f>G1171+G1172</f>
        <v>298014.59115825919</v>
      </c>
      <c r="H68" s="1353">
        <f>H1171+H1172</f>
        <v>298014.59115825919</v>
      </c>
      <c r="I68" s="1353">
        <f>I1171+I1172</f>
        <v>298014.59115825919</v>
      </c>
      <c r="J68" s="1353">
        <f>J1171+J1172</f>
        <v>298014.59115825919</v>
      </c>
      <c r="AK68" s="1354"/>
      <c r="AL68" s="1352">
        <f t="shared" si="11"/>
        <v>6</v>
      </c>
      <c r="AM68" s="1354">
        <f t="shared" si="13"/>
        <v>0</v>
      </c>
      <c r="AN68" s="1352" t="str">
        <f t="shared" si="14"/>
        <v>Reserve for Uncollected Taxes</v>
      </c>
    </row>
    <row r="69" spans="2:40" x14ac:dyDescent="0.2">
      <c r="B69" s="1324" t="s">
        <v>6097</v>
      </c>
      <c r="C69" s="1353">
        <f>C1063+C1064+C1066+C1067+C1069+C1070+C1072+C1073+C1075+C1076+C1078+C1079</f>
        <v>60100</v>
      </c>
      <c r="D69" s="1353">
        <f>D1063+D1064+D1066+D1067+D1069+D1070+D1072+D1073+D1075+D1076+D1078+D1079</f>
        <v>60100</v>
      </c>
      <c r="E69" s="1351">
        <f t="shared" si="12"/>
        <v>0</v>
      </c>
      <c r="F69" s="1353">
        <f>F1063+F1064+F1066+F1067+F1069+F1070+F1072+F1073+F1075+F1076+F1078+F1079</f>
        <v>60100</v>
      </c>
      <c r="G69" s="1353">
        <f>G1063+G1064+G1066+G1067+G1069+G1070+G1072+G1073+G1075+G1076+G1078+G1079</f>
        <v>60100</v>
      </c>
      <c r="H69" s="1353">
        <f>H1063+H1064+H1066+H1067+H1069+H1070+H1072+H1073+H1075+H1076+H1078+H1079</f>
        <v>60100</v>
      </c>
      <c r="I69" s="1353">
        <f>I1063+I1064+I1066+I1067+I1069+I1070+I1072+I1073+I1075+I1076+I1078+I1079</f>
        <v>60100</v>
      </c>
      <c r="J69" s="1353">
        <f>J1063+J1064+J1066+J1067+J1069+J1070+J1072+J1073+J1075+J1076+J1078+J1079</f>
        <v>60100</v>
      </c>
      <c r="AK69" s="1354"/>
      <c r="AL69" s="1352">
        <f t="shared" si="11"/>
        <v>6</v>
      </c>
      <c r="AM69" s="1354">
        <f t="shared" si="13"/>
        <v>0</v>
      </c>
      <c r="AN69" s="1352" t="str">
        <f t="shared" si="14"/>
        <v>Capital Funds</v>
      </c>
    </row>
    <row r="70" spans="2:40" x14ac:dyDescent="0.2">
      <c r="B70" s="1324" t="s">
        <v>6098</v>
      </c>
      <c r="C70" s="1353">
        <f>C1114+C1115+C1117+C1118+C1120+C1121+C1123+C1124+C1126+C1127+C1129+C1130+C1132+C1133+C1135+C1136+C1138+C1139+C1141+C1142+C1144+C1145+C1147+C1148+C1150+C1151</f>
        <v>13000</v>
      </c>
      <c r="D70" s="1353">
        <f>D1114+D1115+D1117+D1118+D1120+D1121+D1123+D1124+D1126+D1127+D1129+D1130+D1132+D1133+D1135+D1136+D1138+D1139+D1141+D1142+D1144+D1145+D1147+D1148+D1150+D1151</f>
        <v>13000</v>
      </c>
      <c r="E70" s="1351">
        <f t="shared" si="12"/>
        <v>0</v>
      </c>
      <c r="F70" s="1353">
        <f>F1114+F1115+F1117+F1118+F1120+F1121+F1123+F1124+F1126+F1127+F1129+F1130+F1132+F1133+F1135+F1136+F1138+F1139+F1141+F1142+F1144+F1145+F1147+F1148+F1150+F1151</f>
        <v>13000</v>
      </c>
      <c r="G70" s="1353">
        <f>G1114+G1115+G1117+G1118+G1120+G1121+G1123+G1124+G1126+G1127+G1129+G1130+G1132+G1133+G1135+G1136+G1138+G1139+G1141+G1142+G1144+G1145+G1147+G1148+G1150+G1151</f>
        <v>13000</v>
      </c>
      <c r="H70" s="1353">
        <f>H1114+H1115+H1117+H1118+H1120+H1121+H1123+H1124+H1126+H1127+H1129+H1130+H1132+H1133+H1135+H1136+H1138+H1139+H1141+H1142+H1144+H1145+H1147+H1148+H1150+H1151</f>
        <v>13000</v>
      </c>
      <c r="I70" s="1353">
        <f>I1114+I1115+I1117+I1118+I1120+I1121+I1123+I1124+I1126+I1127+I1129+I1130+I1132+I1133+I1135+I1136+I1138+I1139+I1141+I1142+I1144+I1145+I1147+I1148+I1150+I1151</f>
        <v>13000</v>
      </c>
      <c r="J70" s="1353">
        <f>J1114+J1115+J1117+J1118+J1120+J1121+J1123+J1124+J1126+J1127+J1129+J1130+J1132+J1133+J1135+J1136+J1138+J1139+J1141+J1142+J1144+J1145+J1147+J1148+J1150+J1151</f>
        <v>13000</v>
      </c>
      <c r="AK70" s="1354"/>
      <c r="AL70" s="1352">
        <f t="shared" si="11"/>
        <v>6</v>
      </c>
      <c r="AM70" s="1354">
        <f t="shared" si="13"/>
        <v>0</v>
      </c>
      <c r="AN70" s="1352" t="str">
        <f t="shared" si="14"/>
        <v>Deferred Charges</v>
      </c>
    </row>
    <row r="71" spans="2:40" x14ac:dyDescent="0.2">
      <c r="B71" s="1324" t="s">
        <v>968</v>
      </c>
      <c r="C71" s="1353">
        <f>C973+C974</f>
        <v>5119.84</v>
      </c>
      <c r="D71" s="1353">
        <f>D973+D974</f>
        <v>20119.84</v>
      </c>
      <c r="E71" s="1351">
        <f t="shared" si="12"/>
        <v>2.9297790555954872</v>
      </c>
      <c r="F71" s="1353">
        <f>F973+F974</f>
        <v>20119.84</v>
      </c>
      <c r="G71" s="1353">
        <f>G973+G974</f>
        <v>20119.84</v>
      </c>
      <c r="H71" s="1353">
        <f>H973+H974</f>
        <v>20119.84</v>
      </c>
      <c r="I71" s="1353">
        <f>I973+I974</f>
        <v>20119.84</v>
      </c>
      <c r="J71" s="1353">
        <f>J973+J974</f>
        <v>20119.84</v>
      </c>
      <c r="AK71" s="1354"/>
      <c r="AL71" s="1352">
        <f t="shared" si="11"/>
        <v>6</v>
      </c>
      <c r="AM71" s="1354">
        <f t="shared" si="13"/>
        <v>0</v>
      </c>
      <c r="AN71" s="1352" t="str">
        <f t="shared" si="14"/>
        <v>Grants</v>
      </c>
    </row>
    <row r="72" spans="2:40" x14ac:dyDescent="0.2">
      <c r="B72" s="1324" t="s">
        <v>6100</v>
      </c>
      <c r="C72" s="1353">
        <f>C55-SUM(C64:C71)</f>
        <v>200981.03000000009</v>
      </c>
      <c r="D72" s="1353">
        <f>D55-SUM(D64:D71)</f>
        <v>273249.00999999989</v>
      </c>
      <c r="E72" s="1351">
        <f t="shared" si="12"/>
        <v>0.35957612516962301</v>
      </c>
      <c r="F72" s="1353">
        <f>F55-SUM(F64:F71)</f>
        <v>278711.99020000012</v>
      </c>
      <c r="G72" s="1353">
        <f>G55-SUM(G64:G71)</f>
        <v>284276.23000400013</v>
      </c>
      <c r="H72" s="1353">
        <f>H55-SUM(H64:H71)</f>
        <v>289951.75460408011</v>
      </c>
      <c r="I72" s="1353">
        <f>I55-SUM(I64:I71)</f>
        <v>295740.78969616164</v>
      </c>
      <c r="J72" s="1353">
        <f>J55-SUM(J64:J71)</f>
        <v>301645.60549008485</v>
      </c>
      <c r="AK72" s="1354"/>
      <c r="AL72" s="1352">
        <f t="shared" si="11"/>
        <v>1</v>
      </c>
      <c r="AM72" s="1354">
        <f t="shared" si="13"/>
        <v>28396.595490084961</v>
      </c>
      <c r="AN72" s="1352" t="str">
        <f t="shared" si="14"/>
        <v>All Other Departmental Other Expenses</v>
      </c>
    </row>
    <row r="73" spans="2:40" x14ac:dyDescent="0.2">
      <c r="B73" s="1357" t="s">
        <v>6101</v>
      </c>
      <c r="C73" s="1360">
        <f>SUM(C66:C72)</f>
        <v>652595.9800000001</v>
      </c>
      <c r="D73" s="1360">
        <f>SUM(D66:D72)</f>
        <v>769457.95115825906</v>
      </c>
      <c r="E73" s="1356">
        <f t="shared" si="12"/>
        <v>0.17907246556783707</v>
      </c>
      <c r="F73" s="1360">
        <f>SUM(F66:F72)</f>
        <v>777020.42155825929</v>
      </c>
      <c r="G73" s="1360">
        <f>SUM(G66:G72)</f>
        <v>784726.14136625943</v>
      </c>
      <c r="H73" s="1360">
        <f>SUM(H66:H72)</f>
        <v>792585.97557041934</v>
      </c>
      <c r="I73" s="1360">
        <f>SUM(I66:I72)</f>
        <v>800603.00645866245</v>
      </c>
      <c r="J73" s="1360">
        <f>SUM(J66:J72)</f>
        <v>808780.37796467054</v>
      </c>
      <c r="AK73" s="1354"/>
      <c r="AL73" s="1352"/>
      <c r="AM73" s="1354"/>
      <c r="AN73" s="1352"/>
    </row>
    <row r="74" spans="2:40" x14ac:dyDescent="0.2">
      <c r="B74" s="1357"/>
      <c r="C74" s="1328"/>
      <c r="D74" s="1328"/>
      <c r="E74" s="1356"/>
      <c r="F74" s="1328"/>
      <c r="G74" s="1328"/>
      <c r="H74" s="1328"/>
      <c r="I74" s="1328"/>
      <c r="J74" s="1328"/>
      <c r="AK74" s="1354"/>
      <c r="AL74" s="1352"/>
      <c r="AM74" s="1354"/>
      <c r="AN74" s="1352"/>
    </row>
    <row r="75" spans="2:40" x14ac:dyDescent="0.2">
      <c r="B75" s="1328" t="s">
        <v>6094</v>
      </c>
      <c r="C75" s="1355">
        <f>C73+C64</f>
        <v>708998.07000000007</v>
      </c>
      <c r="D75" s="1355">
        <f>D73+D64</f>
        <v>828754.4911582591</v>
      </c>
      <c r="E75" s="1356">
        <f>IFERROR(D75/C75-1,0)</f>
        <v>0.16890937539260009</v>
      </c>
      <c r="F75" s="1355">
        <f>F73+F64</f>
        <v>837561.37235825928</v>
      </c>
      <c r="G75" s="1355">
        <f>G73+G64</f>
        <v>846539.54910225945</v>
      </c>
      <c r="H75" s="1355">
        <f>H73+H64</f>
        <v>855700.61782881932</v>
      </c>
      <c r="I75" s="1355">
        <f>I73+I64</f>
        <v>865048.41611376521</v>
      </c>
      <c r="J75" s="1355">
        <f>J73+J64</f>
        <v>874586.86799019296</v>
      </c>
      <c r="AK75" s="1354"/>
      <c r="AL75" s="1352"/>
      <c r="AM75" s="1354"/>
      <c r="AN75" s="1352"/>
    </row>
    <row r="76" spans="2:40" x14ac:dyDescent="0.2">
      <c r="B76" s="1357" t="s">
        <v>6104</v>
      </c>
      <c r="D76" s="1356">
        <f>IFERROR(D75/C75-1,"--")</f>
        <v>0.16890937539260009</v>
      </c>
      <c r="E76" s="1356"/>
      <c r="F76" s="1356">
        <f>IFERROR(F75/D75-1,"--")</f>
        <v>1.0626646725849787E-2</v>
      </c>
      <c r="G76" s="1356">
        <f>IFERROR(G75/F75-1,"--")</f>
        <v>1.0719425513525005E-2</v>
      </c>
      <c r="H76" s="1356">
        <f>IFERROR(H75/G75-1,"--")</f>
        <v>1.08217846836276E-2</v>
      </c>
      <c r="I76" s="1356">
        <f>IFERROR(I75/H75-1,"--")</f>
        <v>1.0924145770356164E-2</v>
      </c>
      <c r="J76" s="1356">
        <f>IFERROR(J75/I75-1,"--")</f>
        <v>1.1026494816647636E-2</v>
      </c>
      <c r="AK76" s="1354"/>
      <c r="AL76" s="1352"/>
      <c r="AM76" s="1354"/>
      <c r="AN76" s="1352"/>
    </row>
    <row r="77" spans="2:40" x14ac:dyDescent="0.2">
      <c r="E77" s="1351"/>
      <c r="AK77" s="1354"/>
      <c r="AL77" s="1352"/>
      <c r="AM77" s="1354"/>
      <c r="AN77" s="1352"/>
    </row>
    <row r="78" spans="2:40" x14ac:dyDescent="0.2">
      <c r="B78" s="1328" t="s">
        <v>6095</v>
      </c>
      <c r="C78" s="1355">
        <f>C25-C55</f>
        <v>297166.34999999998</v>
      </c>
      <c r="D78" s="1355">
        <f>D25-D55</f>
        <v>0</v>
      </c>
      <c r="E78" s="1356">
        <f>IFERROR(D78/C78-1,0)</f>
        <v>-1</v>
      </c>
      <c r="F78" s="1355">
        <f>F25-F55</f>
        <v>-311775.48120000015</v>
      </c>
      <c r="G78" s="1355">
        <f>G25-G55</f>
        <v>-312009.47692083509</v>
      </c>
      <c r="H78" s="1355">
        <f>H25-H55</f>
        <v>-312251.48100376641</v>
      </c>
      <c r="I78" s="1355">
        <f>I25-I55</f>
        <v>-312501.83335221128</v>
      </c>
      <c r="J78" s="1355">
        <f>J25-J55</f>
        <v>-312760.89037340798</v>
      </c>
      <c r="AK78" s="1354"/>
      <c r="AL78" s="1352"/>
      <c r="AM78" s="1354"/>
      <c r="AN78" s="1352"/>
    </row>
    <row r="79" spans="2:40" ht="4.5" customHeight="1" x14ac:dyDescent="0.2">
      <c r="B79" s="1328"/>
      <c r="E79" s="1351"/>
      <c r="AK79" s="1354"/>
      <c r="AL79" s="1352"/>
      <c r="AM79" s="1354"/>
      <c r="AN79" s="1352"/>
    </row>
    <row r="80" spans="2:40" x14ac:dyDescent="0.2">
      <c r="B80" s="1328" t="s">
        <v>6096</v>
      </c>
      <c r="C80" s="1355">
        <f>'Budget Summary'!E35</f>
        <v>535018.32999999961</v>
      </c>
      <c r="D80" s="1355">
        <f>C80+D78-D15</f>
        <v>232818.32999999961</v>
      </c>
      <c r="E80" s="1356">
        <f>IFERROR(D80/C80-1,0)</f>
        <v>-0.56484046069973015</v>
      </c>
      <c r="F80" s="1355">
        <f>D80+F78-F15</f>
        <v>-78957.151200000546</v>
      </c>
      <c r="G80" s="1355">
        <f>F80+G78-G15</f>
        <v>-390966.62812083564</v>
      </c>
      <c r="H80" s="1355">
        <f>G80+H78-H15</f>
        <v>-703218.10912460205</v>
      </c>
      <c r="I80" s="1355">
        <f>H80+I78-I15</f>
        <v>-1015719.9424768133</v>
      </c>
      <c r="J80" s="1355">
        <f>I80+J78-J15</f>
        <v>-1328480.8328502213</v>
      </c>
      <c r="AK80" s="1354"/>
      <c r="AL80" s="1352"/>
      <c r="AM80" s="1354"/>
      <c r="AN80" s="1352"/>
    </row>
    <row r="81" spans="1:40" x14ac:dyDescent="0.2">
      <c r="B81" s="1328"/>
      <c r="C81" s="1355"/>
      <c r="D81" s="1355"/>
      <c r="E81" s="1356"/>
      <c r="F81" s="1355"/>
      <c r="G81" s="1355"/>
      <c r="H81" s="1355"/>
      <c r="I81" s="1355"/>
      <c r="J81" s="1355"/>
      <c r="AK81" s="1354"/>
      <c r="AL81" s="1352"/>
      <c r="AM81" s="1354"/>
      <c r="AN81" s="1352"/>
    </row>
    <row r="82" spans="1:40" x14ac:dyDescent="0.2">
      <c r="B82" s="1328"/>
      <c r="E82" s="1351"/>
      <c r="AK82" s="1354"/>
      <c r="AL82" s="1352"/>
      <c r="AM82" s="1354"/>
      <c r="AN82" s="1352"/>
    </row>
    <row r="83" spans="1:40" ht="15.75" x14ac:dyDescent="0.25">
      <c r="A83" s="1350" t="s">
        <v>329</v>
      </c>
      <c r="B83" s="1328"/>
      <c r="E83" s="1351"/>
      <c r="AK83" s="1354"/>
      <c r="AL83" s="1352"/>
      <c r="AM83" s="1354"/>
      <c r="AN83" s="1352"/>
    </row>
    <row r="84" spans="1:40" ht="21.75" thickBot="1" x14ac:dyDescent="0.3">
      <c r="C84" s="1358" t="str">
        <f>'Key Metrics'!C21</f>
        <v>2019 Realized</v>
      </c>
      <c r="D84" s="1358" t="str">
        <f>'Key Metrics'!D21</f>
        <v>2020 Budgeted</v>
      </c>
      <c r="E84" s="1361" t="str">
        <f>E29</f>
        <v>2020-21 % Chg</v>
      </c>
      <c r="F84" s="1358" t="str">
        <f>F13</f>
        <v>2022 Projected</v>
      </c>
      <c r="G84" s="1358" t="str">
        <f>G13</f>
        <v>2023 Projected</v>
      </c>
      <c r="H84" s="1358" t="str">
        <f>H13</f>
        <v>2024 Projected</v>
      </c>
      <c r="I84" s="1358" t="str">
        <f>I13</f>
        <v>2025 Projected</v>
      </c>
      <c r="J84" s="1358" t="str">
        <f>J13</f>
        <v>2026 Projected</v>
      </c>
      <c r="N84" s="1362" t="s">
        <v>6126</v>
      </c>
      <c r="O84" s="1363"/>
      <c r="P84" s="1363"/>
      <c r="Q84" s="1363"/>
      <c r="R84" s="1363"/>
      <c r="S84" s="1363"/>
      <c r="T84" s="1363"/>
      <c r="U84" s="1363"/>
      <c r="V84" s="1363"/>
      <c r="W84" s="1363"/>
      <c r="X84" s="1363"/>
      <c r="Y84" s="1363"/>
      <c r="Z84" s="1363"/>
      <c r="AA84" s="1363"/>
      <c r="AB84" s="1363"/>
      <c r="AC84" s="1363"/>
      <c r="AD84" s="1363"/>
      <c r="AK84" s="1354"/>
      <c r="AL84" s="1352"/>
      <c r="AM84" s="1354"/>
      <c r="AN84" s="1352"/>
    </row>
    <row r="85" spans="1:40" ht="13.5" thickTop="1" x14ac:dyDescent="0.2">
      <c r="A85" s="1364" t="s">
        <v>742</v>
      </c>
      <c r="B85" s="1365"/>
      <c r="C85" s="1364"/>
      <c r="D85" s="1364"/>
      <c r="E85" s="1366"/>
      <c r="F85" s="1364"/>
      <c r="G85" s="1364"/>
      <c r="H85" s="1364"/>
      <c r="I85" s="1364"/>
      <c r="J85" s="1364"/>
      <c r="M85" s="1364" t="s">
        <v>742</v>
      </c>
      <c r="N85" s="1365"/>
      <c r="O85" s="1364"/>
      <c r="P85" s="1364"/>
      <c r="Q85" s="1366"/>
      <c r="R85" s="1364"/>
      <c r="S85" s="1364"/>
      <c r="T85" s="1364"/>
      <c r="U85" s="1364"/>
      <c r="V85" s="1364"/>
      <c r="Z85" s="1367"/>
      <c r="AA85" s="1367"/>
      <c r="AB85" s="1367"/>
      <c r="AC85" s="1367"/>
      <c r="AD85" s="1367"/>
      <c r="AK85" s="1354"/>
      <c r="AL85" s="1352"/>
      <c r="AM85" s="1354"/>
      <c r="AN85" s="1352"/>
    </row>
    <row r="86" spans="1:40" x14ac:dyDescent="0.2">
      <c r="A86" s="1324" t="s">
        <v>515</v>
      </c>
      <c r="B86" s="1324" t="s">
        <v>742</v>
      </c>
      <c r="C86" s="1353">
        <f>'Key Metrics'!C23</f>
        <v>302200</v>
      </c>
      <c r="D86" s="1353">
        <f>'Key Metrics'!D23</f>
        <v>302200</v>
      </c>
      <c r="E86" s="1351">
        <f>IFERROR(D86/C86-1,0)</f>
        <v>0</v>
      </c>
      <c r="F86" s="1353">
        <f>IFERROR(IF($I$3=1,D86*(1+N86),IF($I$3=2,D86*(1+T86),IF($I$3=3,Z86,"--"))),0)</f>
        <v>0</v>
      </c>
      <c r="G86" s="1353">
        <f t="shared" ref="G86:J87" si="15">IFERROR(IF($I$3=1,F86*(1+O86),IF($I$3=2,F86*(1+U86),IF($I$3=3,AA86,"--"))),0)</f>
        <v>0</v>
      </c>
      <c r="H86" s="1353">
        <f t="shared" si="15"/>
        <v>0</v>
      </c>
      <c r="I86" s="1353">
        <f t="shared" si="15"/>
        <v>0</v>
      </c>
      <c r="J86" s="1353">
        <f t="shared" si="15"/>
        <v>0</v>
      </c>
      <c r="M86" s="1324" t="str">
        <f>B86</f>
        <v>Surplus Anticipated</v>
      </c>
      <c r="N86" s="1368">
        <v>-1</v>
      </c>
      <c r="O86" s="1368">
        <f t="shared" ref="O86:R87" si="16">N86</f>
        <v>-1</v>
      </c>
      <c r="P86" s="1368">
        <f t="shared" si="16"/>
        <v>-1</v>
      </c>
      <c r="Q86" s="1368">
        <f t="shared" si="16"/>
        <v>-1</v>
      </c>
      <c r="R86" s="1368">
        <f t="shared" si="16"/>
        <v>-1</v>
      </c>
      <c r="T86" s="1369">
        <v>-1</v>
      </c>
      <c r="U86" s="1369">
        <v>0</v>
      </c>
      <c r="V86" s="1369">
        <v>0</v>
      </c>
      <c r="W86" s="1369">
        <v>0</v>
      </c>
      <c r="X86" s="1369">
        <v>0</v>
      </c>
      <c r="Y86" s="1367"/>
      <c r="Z86" s="1370">
        <v>0</v>
      </c>
      <c r="AA86" s="1370">
        <v>0</v>
      </c>
      <c r="AB86" s="1370">
        <v>0</v>
      </c>
      <c r="AC86" s="1370">
        <v>0</v>
      </c>
      <c r="AD86" s="1370">
        <v>0</v>
      </c>
      <c r="AK86" s="1354">
        <f>SUM(C86:D86,F86:J86)</f>
        <v>604400</v>
      </c>
      <c r="AL86" s="1352">
        <f>RANK(AM86,$AM$86:$AM$217,1)</f>
        <v>1</v>
      </c>
      <c r="AM86" s="1354">
        <f t="shared" ref="AM86:AM147" si="17">J86-D86</f>
        <v>-302200</v>
      </c>
      <c r="AN86" s="1352" t="str">
        <f t="shared" ref="AN86:AN147" si="18">B86</f>
        <v>Surplus Anticipated</v>
      </c>
    </row>
    <row r="87" spans="1:40" x14ac:dyDescent="0.2">
      <c r="A87" s="1324" t="s">
        <v>516</v>
      </c>
      <c r="B87" s="1324" t="s">
        <v>5580</v>
      </c>
      <c r="C87" s="1353">
        <f>'Key Metrics'!C24</f>
        <v>0</v>
      </c>
      <c r="D87" s="1353">
        <f>'Key Metrics'!D24</f>
        <v>0</v>
      </c>
      <c r="E87" s="1351">
        <f>IFERROR(D87/C87-1,0)</f>
        <v>0</v>
      </c>
      <c r="F87" s="1353">
        <f>IFERROR(IF($I$3=1,D87*(1+N87),IF($I$3=2,D87*(1+T87),IF($I$3=3,Z87,"--"))),0)</f>
        <v>0</v>
      </c>
      <c r="G87" s="1353">
        <f t="shared" si="15"/>
        <v>0</v>
      </c>
      <c r="H87" s="1353">
        <f t="shared" si="15"/>
        <v>0</v>
      </c>
      <c r="I87" s="1353">
        <f t="shared" si="15"/>
        <v>0</v>
      </c>
      <c r="J87" s="1353">
        <f t="shared" si="15"/>
        <v>0</v>
      </c>
      <c r="M87" s="1324" t="str">
        <f>B87</f>
        <v>Surplus Anticipated with Prior Written Consent of Dir of Local Gov. Services</v>
      </c>
      <c r="N87" s="1368">
        <v>-1</v>
      </c>
      <c r="O87" s="1368">
        <f t="shared" si="16"/>
        <v>-1</v>
      </c>
      <c r="P87" s="1368">
        <f t="shared" si="16"/>
        <v>-1</v>
      </c>
      <c r="Q87" s="1368">
        <f t="shared" si="16"/>
        <v>-1</v>
      </c>
      <c r="R87" s="1368">
        <f t="shared" si="16"/>
        <v>-1</v>
      </c>
      <c r="T87" s="1369">
        <v>-1</v>
      </c>
      <c r="U87" s="1369">
        <v>0</v>
      </c>
      <c r="V87" s="1369">
        <v>0</v>
      </c>
      <c r="W87" s="1369">
        <v>0</v>
      </c>
      <c r="X87" s="1369">
        <v>0</v>
      </c>
      <c r="Y87" s="1367"/>
      <c r="Z87" s="1370">
        <v>0</v>
      </c>
      <c r="AA87" s="1370">
        <v>0</v>
      </c>
      <c r="AB87" s="1370">
        <v>0</v>
      </c>
      <c r="AC87" s="1370">
        <v>0</v>
      </c>
      <c r="AD87" s="1370">
        <v>0</v>
      </c>
      <c r="AK87" s="1354">
        <f t="shared" ref="AK87:AK147" si="19">SUM(C87:D87,F87:J87)</f>
        <v>0</v>
      </c>
      <c r="AL87" s="1352">
        <f>RANK(AM87,$AM$86:$AM$217,1)</f>
        <v>2</v>
      </c>
      <c r="AM87" s="1354">
        <f t="shared" si="17"/>
        <v>0</v>
      </c>
      <c r="AN87" s="1352" t="str">
        <f t="shared" si="18"/>
        <v>Surplus Anticipated with Prior Written Consent of Dir of Local Gov. Services</v>
      </c>
    </row>
    <row r="88" spans="1:40" ht="15" x14ac:dyDescent="0.25">
      <c r="A88" s="1342"/>
      <c r="B88" s="1357" t="s">
        <v>5611</v>
      </c>
      <c r="C88" s="1360">
        <f>SUM(C86:C87)</f>
        <v>302200</v>
      </c>
      <c r="D88" s="1360">
        <f>SUM(D86:D87)</f>
        <v>302200</v>
      </c>
      <c r="E88" s="1356">
        <f>IFERROR(D88/C88-1,0)</f>
        <v>0</v>
      </c>
      <c r="F88" s="1360">
        <f>SUM(F86:F87)</f>
        <v>0</v>
      </c>
      <c r="G88" s="1360">
        <f>SUM(G86:G87)</f>
        <v>0</v>
      </c>
      <c r="H88" s="1360">
        <f>SUM(H86:H87)</f>
        <v>0</v>
      </c>
      <c r="I88" s="1360">
        <f>SUM(I86:I87)</f>
        <v>0</v>
      </c>
      <c r="J88" s="1360">
        <f>SUM(J86:J87)</f>
        <v>0</v>
      </c>
      <c r="N88" s="1328"/>
      <c r="O88" s="1328"/>
      <c r="P88" s="1328"/>
      <c r="Q88" s="1328"/>
      <c r="R88" s="1328"/>
      <c r="T88" s="1371"/>
      <c r="U88" s="1371"/>
      <c r="V88" s="1371"/>
      <c r="W88" s="1371"/>
      <c r="X88" s="1371"/>
      <c r="Y88" s="1367"/>
      <c r="Z88" s="1372"/>
      <c r="AA88" s="1372"/>
      <c r="AB88" s="1372"/>
      <c r="AC88" s="1372"/>
      <c r="AD88" s="1372"/>
      <c r="AK88" s="1354"/>
      <c r="AL88" s="1352"/>
      <c r="AM88" s="1354"/>
      <c r="AN88" s="1352"/>
    </row>
    <row r="89" spans="1:40" ht="15" x14ac:dyDescent="0.25">
      <c r="A89" s="1342"/>
      <c r="E89" s="1351"/>
      <c r="N89" s="1328"/>
      <c r="O89" s="1328"/>
      <c r="P89" s="1328"/>
      <c r="Q89" s="1328"/>
      <c r="R89" s="1328"/>
      <c r="T89" s="1371"/>
      <c r="U89" s="1371"/>
      <c r="V89" s="1371"/>
      <c r="W89" s="1371"/>
      <c r="X89" s="1371"/>
      <c r="Y89" s="1367"/>
      <c r="Z89" s="1372"/>
      <c r="AA89" s="1372"/>
      <c r="AB89" s="1372"/>
      <c r="AC89" s="1372"/>
      <c r="AD89" s="1372"/>
      <c r="AK89" s="1354"/>
      <c r="AL89" s="1352"/>
      <c r="AM89" s="1354"/>
      <c r="AN89" s="1352"/>
    </row>
    <row r="90" spans="1:40" x14ac:dyDescent="0.2">
      <c r="A90" s="1364" t="s">
        <v>5598</v>
      </c>
      <c r="B90" s="1365"/>
      <c r="C90" s="1364"/>
      <c r="D90" s="1364"/>
      <c r="E90" s="1366"/>
      <c r="F90" s="1364"/>
      <c r="G90" s="1364"/>
      <c r="H90" s="1364"/>
      <c r="I90" s="1364"/>
      <c r="J90" s="1364"/>
      <c r="M90" s="1364" t="s">
        <v>5598</v>
      </c>
      <c r="N90" s="1365"/>
      <c r="O90" s="1364"/>
      <c r="P90" s="1364"/>
      <c r="Q90" s="1366"/>
      <c r="R90" s="1364"/>
      <c r="S90" s="1364"/>
      <c r="T90" s="1364"/>
      <c r="U90" s="1364"/>
      <c r="V90" s="1364"/>
      <c r="W90" s="1364"/>
      <c r="X90" s="1364"/>
      <c r="Y90" s="1364"/>
      <c r="Z90" s="1364"/>
      <c r="AA90" s="1364"/>
      <c r="AB90" s="1364"/>
      <c r="AC90" s="1364"/>
      <c r="AD90" s="1364"/>
      <c r="AK90" s="1354"/>
      <c r="AL90" s="1352"/>
      <c r="AM90" s="1354"/>
      <c r="AN90" s="1352"/>
    </row>
    <row r="91" spans="1:40" x14ac:dyDescent="0.2">
      <c r="B91" s="1324" t="s">
        <v>5599</v>
      </c>
      <c r="C91" s="1353">
        <f>'Key Metrics'!C28</f>
        <v>458213.92</v>
      </c>
      <c r="D91" s="1353">
        <f>'Key Metrics'!D28</f>
        <v>334252.65115825913</v>
      </c>
      <c r="E91" s="1351">
        <f>IFERROR(D91/C91-1,0)</f>
        <v>-0.27053143396809254</v>
      </c>
      <c r="F91" s="1353">
        <f>IFERROR(IF($I$3=1,D91*(1+N91),IF($I$3=2,D91*(1+T91),IF($I$3=3,Z91,"--"))),0)</f>
        <v>334252.65115825913</v>
      </c>
      <c r="G91" s="1353">
        <f t="shared" ref="G91:J92" si="20">IFERROR(IF($I$3=1,F91*(1+O91),IF($I$3=2,F91*(1+U91),IF($I$3=3,AA91,"--"))),0)</f>
        <v>340937.70418142434</v>
      </c>
      <c r="H91" s="1353">
        <f t="shared" si="20"/>
        <v>347756.45826505282</v>
      </c>
      <c r="I91" s="1353">
        <f t="shared" si="20"/>
        <v>354711.58743035386</v>
      </c>
      <c r="J91" s="1353">
        <f t="shared" si="20"/>
        <v>361805.81917896093</v>
      </c>
      <c r="M91" s="1324" t="str">
        <f>B91</f>
        <v>Municipal Tax Levy</v>
      </c>
      <c r="N91" s="1368">
        <f>E91</f>
        <v>-0.27053143396809254</v>
      </c>
      <c r="O91" s="1368">
        <f t="shared" ref="O91:R92" si="21">N91</f>
        <v>-0.27053143396809254</v>
      </c>
      <c r="P91" s="1368">
        <f t="shared" si="21"/>
        <v>-0.27053143396809254</v>
      </c>
      <c r="Q91" s="1368">
        <f t="shared" si="21"/>
        <v>-0.27053143396809254</v>
      </c>
      <c r="R91" s="1368">
        <f t="shared" si="21"/>
        <v>-0.27053143396809254</v>
      </c>
      <c r="T91" s="1369">
        <v>0</v>
      </c>
      <c r="U91" s="1369">
        <v>0.02</v>
      </c>
      <c r="V91" s="1369">
        <v>0.02</v>
      </c>
      <c r="W91" s="1369">
        <v>0.02</v>
      </c>
      <c r="X91" s="1369">
        <v>0.02</v>
      </c>
      <c r="Y91" s="1367"/>
      <c r="Z91" s="1370">
        <v>0</v>
      </c>
      <c r="AA91" s="1370">
        <v>0</v>
      </c>
      <c r="AB91" s="1370">
        <v>0</v>
      </c>
      <c r="AC91" s="1370">
        <v>0</v>
      </c>
      <c r="AD91" s="1370">
        <v>0</v>
      </c>
      <c r="AK91" s="1354">
        <f>SUM(C91:D91,F91:J91)</f>
        <v>2531930.7913723104</v>
      </c>
      <c r="AL91" s="1352">
        <f>RANK(AM91,$AM$86:$AM$217,1)</f>
        <v>108</v>
      </c>
      <c r="AM91" s="1354">
        <f t="shared" si="17"/>
        <v>27553.168020701793</v>
      </c>
      <c r="AN91" s="1352" t="str">
        <f t="shared" si="18"/>
        <v>Municipal Tax Levy</v>
      </c>
    </row>
    <row r="92" spans="1:40" x14ac:dyDescent="0.2">
      <c r="B92" s="1324" t="s">
        <v>422</v>
      </c>
      <c r="C92" s="1353">
        <f>'Key Metrics'!C29</f>
        <v>127779.88</v>
      </c>
      <c r="D92" s="1353">
        <f>'Key Metrics'!D29</f>
        <v>90000</v>
      </c>
      <c r="E92" s="1351">
        <f>IFERROR(D92/C92-1,0)</f>
        <v>-0.29566376177532805</v>
      </c>
      <c r="F92" s="1353">
        <f>IFERROR(IF($I$3=1,D92*(1+N92),IF($I$3=2,D92*(1+T92),IF($I$3=3,Z92,"--"))),0)</f>
        <v>90000</v>
      </c>
      <c r="G92" s="1353">
        <f t="shared" si="20"/>
        <v>91800</v>
      </c>
      <c r="H92" s="1353">
        <f t="shared" si="20"/>
        <v>93636</v>
      </c>
      <c r="I92" s="1353">
        <f t="shared" si="20"/>
        <v>95508.72</v>
      </c>
      <c r="J92" s="1353">
        <f t="shared" si="20"/>
        <v>97418.894400000005</v>
      </c>
      <c r="M92" s="1324" t="str">
        <f>B92</f>
        <v>Receipts from Delinquent Taxes</v>
      </c>
      <c r="N92" s="1368">
        <f>E92</f>
        <v>-0.29566376177532805</v>
      </c>
      <c r="O92" s="1368">
        <f t="shared" si="21"/>
        <v>-0.29566376177532805</v>
      </c>
      <c r="P92" s="1368">
        <f t="shared" si="21"/>
        <v>-0.29566376177532805</v>
      </c>
      <c r="Q92" s="1368">
        <f t="shared" si="21"/>
        <v>-0.29566376177532805</v>
      </c>
      <c r="R92" s="1368">
        <f t="shared" si="21"/>
        <v>-0.29566376177532805</v>
      </c>
      <c r="T92" s="1369">
        <v>0</v>
      </c>
      <c r="U92" s="1369">
        <v>0.02</v>
      </c>
      <c r="V92" s="1369">
        <v>0.02</v>
      </c>
      <c r="W92" s="1369">
        <v>0.02</v>
      </c>
      <c r="X92" s="1369">
        <v>0.02</v>
      </c>
      <c r="Y92" s="1367"/>
      <c r="Z92" s="1370">
        <v>0</v>
      </c>
      <c r="AA92" s="1370">
        <v>0</v>
      </c>
      <c r="AB92" s="1370">
        <v>0</v>
      </c>
      <c r="AC92" s="1370">
        <v>0</v>
      </c>
      <c r="AD92" s="1370">
        <v>0</v>
      </c>
      <c r="AK92" s="1354">
        <f>SUM(C92:D92,F92:J92)</f>
        <v>686143.49439999997</v>
      </c>
      <c r="AL92" s="1352">
        <f>RANK(AM92,$AM$86:$AM$217,1)</f>
        <v>107</v>
      </c>
      <c r="AM92" s="1354">
        <f t="shared" si="17"/>
        <v>7418.8944000000047</v>
      </c>
      <c r="AN92" s="1352" t="str">
        <f t="shared" si="18"/>
        <v>Receipts from Delinquent Taxes</v>
      </c>
    </row>
    <row r="93" spans="1:40" ht="15" x14ac:dyDescent="0.25">
      <c r="A93" s="1342"/>
      <c r="B93" s="1357" t="s">
        <v>5612</v>
      </c>
      <c r="C93" s="1360">
        <f>SUM(C91:C92)</f>
        <v>585993.80000000005</v>
      </c>
      <c r="D93" s="1360">
        <f>SUM(D91:D92)</f>
        <v>424252.65115825913</v>
      </c>
      <c r="E93" s="1356">
        <f>IFERROR(D93/C93-1,0)</f>
        <v>-0.27601170667973096</v>
      </c>
      <c r="F93" s="1360">
        <f>SUM(F91:F92)</f>
        <v>424252.65115825913</v>
      </c>
      <c r="G93" s="1360">
        <f>SUM(G91:G92)</f>
        <v>432737.70418142434</v>
      </c>
      <c r="H93" s="1360">
        <f>SUM(H91:H92)</f>
        <v>441392.45826505282</v>
      </c>
      <c r="I93" s="1360">
        <f>SUM(I91:I92)</f>
        <v>450220.30743035383</v>
      </c>
      <c r="J93" s="1360">
        <f>SUM(J91:J92)</f>
        <v>459224.71357896092</v>
      </c>
      <c r="N93" s="1328"/>
      <c r="O93" s="1328"/>
      <c r="P93" s="1328"/>
      <c r="Q93" s="1328"/>
      <c r="R93" s="1328"/>
      <c r="T93" s="1371"/>
      <c r="U93" s="1371"/>
      <c r="V93" s="1371"/>
      <c r="W93" s="1371"/>
      <c r="X93" s="1371"/>
      <c r="Y93" s="1367"/>
      <c r="Z93" s="1372"/>
      <c r="AA93" s="1372"/>
      <c r="AB93" s="1372"/>
      <c r="AC93" s="1372"/>
      <c r="AD93" s="1372"/>
      <c r="AK93" s="1354"/>
      <c r="AL93" s="1352"/>
      <c r="AM93" s="1354"/>
      <c r="AN93" s="1352"/>
    </row>
    <row r="94" spans="1:40" ht="15" x14ac:dyDescent="0.25">
      <c r="A94" s="1342"/>
      <c r="B94" s="1357"/>
      <c r="E94" s="1351"/>
      <c r="N94" s="1328"/>
      <c r="O94" s="1328"/>
      <c r="P94" s="1328"/>
      <c r="Q94" s="1328"/>
      <c r="R94" s="1328"/>
      <c r="T94" s="1371"/>
      <c r="U94" s="1371"/>
      <c r="V94" s="1371"/>
      <c r="W94" s="1371"/>
      <c r="X94" s="1371"/>
      <c r="Y94" s="1367"/>
      <c r="Z94" s="1372"/>
      <c r="AA94" s="1372"/>
      <c r="AB94" s="1372"/>
      <c r="AC94" s="1372"/>
      <c r="AD94" s="1372"/>
      <c r="AK94" s="1354"/>
      <c r="AL94" s="1352"/>
      <c r="AM94" s="1354"/>
      <c r="AN94" s="1352"/>
    </row>
    <row r="95" spans="1:40" x14ac:dyDescent="0.2">
      <c r="A95" s="1364" t="s">
        <v>163</v>
      </c>
      <c r="B95" s="1365"/>
      <c r="C95" s="1364"/>
      <c r="D95" s="1364"/>
      <c r="E95" s="1366"/>
      <c r="F95" s="1364"/>
      <c r="G95" s="1364"/>
      <c r="H95" s="1364"/>
      <c r="I95" s="1364"/>
      <c r="J95" s="1364"/>
      <c r="M95" s="1364" t="s">
        <v>163</v>
      </c>
      <c r="N95" s="1365"/>
      <c r="O95" s="1364"/>
      <c r="P95" s="1364"/>
      <c r="Q95" s="1366"/>
      <c r="R95" s="1364"/>
      <c r="S95" s="1364"/>
      <c r="T95" s="1364"/>
      <c r="U95" s="1364"/>
      <c r="V95" s="1364"/>
      <c r="W95" s="1364"/>
      <c r="X95" s="1364"/>
      <c r="Y95" s="1364"/>
      <c r="Z95" s="1364"/>
      <c r="AA95" s="1364"/>
      <c r="AB95" s="1364"/>
      <c r="AC95" s="1364"/>
      <c r="AD95" s="1364"/>
      <c r="AK95" s="1354"/>
      <c r="AL95" s="1352"/>
      <c r="AM95" s="1354"/>
      <c r="AN95" s="1352"/>
    </row>
    <row r="96" spans="1:40" x14ac:dyDescent="0.2">
      <c r="A96" s="1324" t="s">
        <v>518</v>
      </c>
      <c r="B96" s="1324" t="s">
        <v>5362</v>
      </c>
      <c r="C96" s="1353">
        <f>'Key Metrics'!C33</f>
        <v>0</v>
      </c>
      <c r="D96" s="1353">
        <f>'Key Metrics'!D33</f>
        <v>0</v>
      </c>
      <c r="E96" s="1351">
        <f t="shared" ref="E96:E128" si="22">IFERROR(D96/C96-1,0)</f>
        <v>0</v>
      </c>
      <c r="F96" s="1353">
        <f t="shared" ref="F96:F127" si="23">IFERROR(IF($I$3=1,D96*(1+N96),IF($I$3=2,D96*(1+T96),IF($I$3=3,Z96,"--"))),0)</f>
        <v>0</v>
      </c>
      <c r="G96" s="1353">
        <f t="shared" ref="G96:G127" si="24">IFERROR(IF($I$3=1,F96*(1+O96),IF($I$3=2,F96*(1+U96),IF($I$3=3,AA96,"--"))),0)</f>
        <v>0</v>
      </c>
      <c r="H96" s="1353">
        <f t="shared" ref="H96:H127" si="25">IFERROR(IF($I$3=1,G96*(1+P96),IF($I$3=2,G96*(1+V96),IF($I$3=3,AB96,"--"))),0)</f>
        <v>0</v>
      </c>
      <c r="I96" s="1353">
        <f t="shared" ref="I96:I127" si="26">IFERROR(IF($I$3=1,H96*(1+Q96),IF($I$3=2,H96*(1+W96),IF($I$3=3,AC96,"--"))),0)</f>
        <v>0</v>
      </c>
      <c r="J96" s="1353">
        <f t="shared" ref="J96:J127" si="27">IFERROR(IF($I$3=1,I96*(1+R96),IF($I$3=2,I96*(1+X96),IF($I$3=3,AD96,"--"))),0)</f>
        <v>0</v>
      </c>
      <c r="M96" s="1324" t="str">
        <f t="shared" ref="M96:M127" si="28">B96</f>
        <v>Licenses: Alcoholic Beverages</v>
      </c>
      <c r="N96" s="1368">
        <f t="shared" ref="N96:N127" si="29">E96</f>
        <v>0</v>
      </c>
      <c r="O96" s="1368">
        <f t="shared" ref="O96:R111" si="30">N96</f>
        <v>0</v>
      </c>
      <c r="P96" s="1368">
        <f t="shared" si="30"/>
        <v>0</v>
      </c>
      <c r="Q96" s="1368">
        <f t="shared" si="30"/>
        <v>0</v>
      </c>
      <c r="R96" s="1368">
        <f t="shared" si="30"/>
        <v>0</v>
      </c>
      <c r="T96" s="1369">
        <v>-5.6000000000000001E-2</v>
      </c>
      <c r="U96" s="1369">
        <v>0.02</v>
      </c>
      <c r="V96" s="1369">
        <v>0.02</v>
      </c>
      <c r="W96" s="1369">
        <v>0.02</v>
      </c>
      <c r="X96" s="1369">
        <v>0.02</v>
      </c>
      <c r="Y96" s="1367"/>
      <c r="Z96" s="1370">
        <v>0</v>
      </c>
      <c r="AA96" s="1370">
        <v>0</v>
      </c>
      <c r="AB96" s="1370">
        <v>0</v>
      </c>
      <c r="AC96" s="1370">
        <v>0</v>
      </c>
      <c r="AD96" s="1370">
        <v>0</v>
      </c>
      <c r="AK96" s="1354">
        <f t="shared" si="19"/>
        <v>0</v>
      </c>
      <c r="AL96" s="1352">
        <f t="shared" ref="AL96:AL127" si="31">RANK(AM96,$AM$86:$AM$217,1)</f>
        <v>2</v>
      </c>
      <c r="AM96" s="1354">
        <f t="shared" si="17"/>
        <v>0</v>
      </c>
      <c r="AN96" s="1352" t="str">
        <f t="shared" si="18"/>
        <v>Licenses: Alcoholic Beverages</v>
      </c>
    </row>
    <row r="97" spans="1:40" x14ac:dyDescent="0.2">
      <c r="A97" s="1324" t="s">
        <v>519</v>
      </c>
      <c r="B97" s="1324" t="s">
        <v>5363</v>
      </c>
      <c r="C97" s="1353">
        <f>'Key Metrics'!C34</f>
        <v>0</v>
      </c>
      <c r="D97" s="1353">
        <f>'Key Metrics'!D34</f>
        <v>0</v>
      </c>
      <c r="E97" s="1351">
        <f t="shared" si="22"/>
        <v>0</v>
      </c>
      <c r="F97" s="1353">
        <f t="shared" si="23"/>
        <v>0</v>
      </c>
      <c r="G97" s="1353">
        <f t="shared" si="24"/>
        <v>0</v>
      </c>
      <c r="H97" s="1353">
        <f t="shared" si="25"/>
        <v>0</v>
      </c>
      <c r="I97" s="1353">
        <f t="shared" si="26"/>
        <v>0</v>
      </c>
      <c r="J97" s="1353">
        <f t="shared" si="27"/>
        <v>0</v>
      </c>
      <c r="M97" s="1324" t="str">
        <f t="shared" si="28"/>
        <v>Licenses: Other</v>
      </c>
      <c r="N97" s="1368">
        <f t="shared" si="29"/>
        <v>0</v>
      </c>
      <c r="O97" s="1368">
        <f t="shared" si="30"/>
        <v>0</v>
      </c>
      <c r="P97" s="1368">
        <f t="shared" si="30"/>
        <v>0</v>
      </c>
      <c r="Q97" s="1368">
        <f t="shared" si="30"/>
        <v>0</v>
      </c>
      <c r="R97" s="1368">
        <f t="shared" si="30"/>
        <v>0</v>
      </c>
      <c r="T97" s="1369">
        <v>-5.6000000000000001E-2</v>
      </c>
      <c r="U97" s="1369">
        <v>0.02</v>
      </c>
      <c r="V97" s="1369">
        <v>0.02</v>
      </c>
      <c r="W97" s="1369">
        <v>0.02</v>
      </c>
      <c r="X97" s="1369">
        <v>0.02</v>
      </c>
      <c r="Y97" s="1367"/>
      <c r="Z97" s="1370">
        <v>0</v>
      </c>
      <c r="AA97" s="1370">
        <v>0</v>
      </c>
      <c r="AB97" s="1370">
        <v>0</v>
      </c>
      <c r="AC97" s="1370">
        <v>0</v>
      </c>
      <c r="AD97" s="1370">
        <v>0</v>
      </c>
      <c r="AK97" s="1354">
        <f t="shared" si="19"/>
        <v>0</v>
      </c>
      <c r="AL97" s="1352">
        <f t="shared" si="31"/>
        <v>2</v>
      </c>
      <c r="AM97" s="1354">
        <f t="shared" si="17"/>
        <v>0</v>
      </c>
      <c r="AN97" s="1352" t="str">
        <f t="shared" si="18"/>
        <v>Licenses: Other</v>
      </c>
    </row>
    <row r="98" spans="1:40" x14ac:dyDescent="0.2">
      <c r="A98" s="1324" t="s">
        <v>520</v>
      </c>
      <c r="B98" s="1324" t="s">
        <v>5592</v>
      </c>
      <c r="C98" s="1353">
        <f>'Key Metrics'!C35</f>
        <v>915</v>
      </c>
      <c r="D98" s="1353">
        <f>'Key Metrics'!D35</f>
        <v>725</v>
      </c>
      <c r="E98" s="1351">
        <f t="shared" si="22"/>
        <v>-0.20765027322404372</v>
      </c>
      <c r="F98" s="1353">
        <f t="shared" si="23"/>
        <v>684.4</v>
      </c>
      <c r="G98" s="1353">
        <f t="shared" si="24"/>
        <v>698.08799999999997</v>
      </c>
      <c r="H98" s="1353">
        <f t="shared" si="25"/>
        <v>712.04975999999999</v>
      </c>
      <c r="I98" s="1353">
        <f t="shared" si="26"/>
        <v>726.29075520000004</v>
      </c>
      <c r="J98" s="1353">
        <f t="shared" si="27"/>
        <v>740.81657030400004</v>
      </c>
      <c r="M98" s="1324" t="str">
        <f t="shared" si="28"/>
        <v>County Clerk, Sheriff, Surrogate, and Other Fees and Permits</v>
      </c>
      <c r="N98" s="1368">
        <f t="shared" si="29"/>
        <v>-0.20765027322404372</v>
      </c>
      <c r="O98" s="1368">
        <f t="shared" si="30"/>
        <v>-0.20765027322404372</v>
      </c>
      <c r="P98" s="1368">
        <f t="shared" si="30"/>
        <v>-0.20765027322404372</v>
      </c>
      <c r="Q98" s="1368">
        <f t="shared" si="30"/>
        <v>-0.20765027322404372</v>
      </c>
      <c r="R98" s="1368">
        <f t="shared" si="30"/>
        <v>-0.20765027322404372</v>
      </c>
      <c r="T98" s="1369">
        <v>-5.6000000000000001E-2</v>
      </c>
      <c r="U98" s="1369">
        <v>0.02</v>
      </c>
      <c r="V98" s="1369">
        <v>0.02</v>
      </c>
      <c r="W98" s="1369">
        <v>0.02</v>
      </c>
      <c r="X98" s="1369">
        <v>0.02</v>
      </c>
      <c r="Y98" s="1367"/>
      <c r="Z98" s="1370">
        <v>0</v>
      </c>
      <c r="AA98" s="1370">
        <v>0</v>
      </c>
      <c r="AB98" s="1370">
        <v>0</v>
      </c>
      <c r="AC98" s="1370">
        <v>0</v>
      </c>
      <c r="AD98" s="1370">
        <v>0</v>
      </c>
      <c r="AK98" s="1354">
        <f t="shared" si="19"/>
        <v>5201.6450855040002</v>
      </c>
      <c r="AL98" s="1352">
        <f t="shared" si="31"/>
        <v>105</v>
      </c>
      <c r="AM98" s="1354">
        <f t="shared" si="17"/>
        <v>15.816570304000038</v>
      </c>
      <c r="AN98" s="1352" t="str">
        <f t="shared" si="18"/>
        <v>County Clerk, Sheriff, Surrogate, and Other Fees and Permits</v>
      </c>
    </row>
    <row r="99" spans="1:40" x14ac:dyDescent="0.2">
      <c r="A99" s="1324" t="s">
        <v>3386</v>
      </c>
      <c r="B99" s="1324" t="s">
        <v>5594</v>
      </c>
      <c r="C99" s="1353">
        <f>'Key Metrics'!C36</f>
        <v>0</v>
      </c>
      <c r="D99" s="1353">
        <f>'Key Metrics'!D36</f>
        <v>0</v>
      </c>
      <c r="E99" s="1351">
        <f t="shared" si="22"/>
        <v>0</v>
      </c>
      <c r="F99" s="1353">
        <f t="shared" si="23"/>
        <v>0</v>
      </c>
      <c r="G99" s="1353">
        <f t="shared" si="24"/>
        <v>0</v>
      </c>
      <c r="H99" s="1353">
        <f t="shared" si="25"/>
        <v>0</v>
      </c>
      <c r="I99" s="1353">
        <f t="shared" si="26"/>
        <v>0</v>
      </c>
      <c r="J99" s="1353">
        <f t="shared" si="27"/>
        <v>0</v>
      </c>
      <c r="M99" s="1324" t="str">
        <f t="shared" si="28"/>
        <v>Hotel Occupancy Tax (Section A &amp; G)</v>
      </c>
      <c r="N99" s="1368">
        <f t="shared" si="29"/>
        <v>0</v>
      </c>
      <c r="O99" s="1368">
        <f t="shared" si="30"/>
        <v>0</v>
      </c>
      <c r="P99" s="1368">
        <f t="shared" si="30"/>
        <v>0</v>
      </c>
      <c r="Q99" s="1368">
        <f t="shared" si="30"/>
        <v>0</v>
      </c>
      <c r="R99" s="1368">
        <f t="shared" si="30"/>
        <v>0</v>
      </c>
      <c r="T99" s="1369">
        <v>-5.6000000000000001E-2</v>
      </c>
      <c r="U99" s="1369">
        <v>0.02</v>
      </c>
      <c r="V99" s="1369">
        <v>0.02</v>
      </c>
      <c r="W99" s="1369">
        <v>0.02</v>
      </c>
      <c r="X99" s="1369">
        <v>0.02</v>
      </c>
      <c r="Y99" s="1367"/>
      <c r="Z99" s="1370">
        <v>0</v>
      </c>
      <c r="AA99" s="1370">
        <v>0</v>
      </c>
      <c r="AB99" s="1370">
        <v>0</v>
      </c>
      <c r="AC99" s="1370">
        <v>0</v>
      </c>
      <c r="AD99" s="1370">
        <v>0</v>
      </c>
      <c r="AK99" s="1354">
        <f t="shared" si="19"/>
        <v>0</v>
      </c>
      <c r="AL99" s="1352">
        <f t="shared" si="31"/>
        <v>2</v>
      </c>
      <c r="AM99" s="1354">
        <f t="shared" si="17"/>
        <v>0</v>
      </c>
      <c r="AN99" s="1352" t="str">
        <f t="shared" si="18"/>
        <v>Hotel Occupancy Tax (Section A &amp; G)</v>
      </c>
    </row>
    <row r="100" spans="1:40" x14ac:dyDescent="0.2">
      <c r="A100" s="1324" t="s">
        <v>3390</v>
      </c>
      <c r="B100" s="1324" t="s">
        <v>5364</v>
      </c>
      <c r="C100" s="1353">
        <f>'Key Metrics'!C37</f>
        <v>0</v>
      </c>
      <c r="D100" s="1353">
        <f>'Key Metrics'!D37</f>
        <v>0</v>
      </c>
      <c r="E100" s="1351">
        <f t="shared" si="22"/>
        <v>0</v>
      </c>
      <c r="F100" s="1353">
        <f t="shared" si="23"/>
        <v>0</v>
      </c>
      <c r="G100" s="1353">
        <f t="shared" si="24"/>
        <v>0</v>
      </c>
      <c r="H100" s="1353">
        <f t="shared" si="25"/>
        <v>0</v>
      </c>
      <c r="I100" s="1353">
        <f t="shared" si="26"/>
        <v>0</v>
      </c>
      <c r="J100" s="1353">
        <f t="shared" si="27"/>
        <v>0</v>
      </c>
      <c r="M100" s="1324" t="str">
        <f t="shared" si="28"/>
        <v>Beach Fees</v>
      </c>
      <c r="N100" s="1368">
        <f t="shared" si="29"/>
        <v>0</v>
      </c>
      <c r="O100" s="1368">
        <f t="shared" si="30"/>
        <v>0</v>
      </c>
      <c r="P100" s="1368">
        <f t="shared" si="30"/>
        <v>0</v>
      </c>
      <c r="Q100" s="1368">
        <f t="shared" si="30"/>
        <v>0</v>
      </c>
      <c r="R100" s="1368">
        <f t="shared" si="30"/>
        <v>0</v>
      </c>
      <c r="T100" s="1369">
        <v>-5.6000000000000001E-2</v>
      </c>
      <c r="U100" s="1369">
        <v>0.02</v>
      </c>
      <c r="V100" s="1369">
        <v>0.02</v>
      </c>
      <c r="W100" s="1369">
        <v>0.02</v>
      </c>
      <c r="X100" s="1369">
        <v>0.02</v>
      </c>
      <c r="Y100" s="1367"/>
      <c r="Z100" s="1370">
        <v>0</v>
      </c>
      <c r="AA100" s="1370">
        <v>0</v>
      </c>
      <c r="AB100" s="1370">
        <v>0</v>
      </c>
      <c r="AC100" s="1370">
        <v>0</v>
      </c>
      <c r="AD100" s="1370">
        <v>0</v>
      </c>
      <c r="AK100" s="1354">
        <f t="shared" si="19"/>
        <v>0</v>
      </c>
      <c r="AL100" s="1352">
        <f t="shared" si="31"/>
        <v>2</v>
      </c>
      <c r="AM100" s="1354">
        <f t="shared" si="17"/>
        <v>0</v>
      </c>
      <c r="AN100" s="1352" t="str">
        <f t="shared" si="18"/>
        <v>Beach Fees</v>
      </c>
    </row>
    <row r="101" spans="1:40" x14ac:dyDescent="0.2">
      <c r="A101" s="1324" t="s">
        <v>522</v>
      </c>
      <c r="B101" s="1324" t="s">
        <v>5365</v>
      </c>
      <c r="C101" s="1353">
        <f>'Key Metrics'!C38</f>
        <v>0</v>
      </c>
      <c r="D101" s="1353">
        <f>'Key Metrics'!D38</f>
        <v>0</v>
      </c>
      <c r="E101" s="1351">
        <f t="shared" si="22"/>
        <v>0</v>
      </c>
      <c r="F101" s="1353">
        <f t="shared" si="23"/>
        <v>0</v>
      </c>
      <c r="G101" s="1353">
        <f t="shared" si="24"/>
        <v>0</v>
      </c>
      <c r="H101" s="1353">
        <f t="shared" si="25"/>
        <v>0</v>
      </c>
      <c r="I101" s="1353">
        <f t="shared" si="26"/>
        <v>0</v>
      </c>
      <c r="J101" s="1353">
        <f t="shared" si="27"/>
        <v>0</v>
      </c>
      <c r="M101" s="1324" t="str">
        <f t="shared" si="28"/>
        <v>Other Fines and Costs</v>
      </c>
      <c r="N101" s="1368">
        <f t="shared" si="29"/>
        <v>0</v>
      </c>
      <c r="O101" s="1368">
        <f t="shared" si="30"/>
        <v>0</v>
      </c>
      <c r="P101" s="1368">
        <f t="shared" si="30"/>
        <v>0</v>
      </c>
      <c r="Q101" s="1368">
        <f t="shared" si="30"/>
        <v>0</v>
      </c>
      <c r="R101" s="1368">
        <f t="shared" si="30"/>
        <v>0</v>
      </c>
      <c r="T101" s="1369">
        <v>-5.6000000000000001E-2</v>
      </c>
      <c r="U101" s="1369">
        <v>0.02</v>
      </c>
      <c r="V101" s="1369">
        <v>0.02</v>
      </c>
      <c r="W101" s="1369">
        <v>0.02</v>
      </c>
      <c r="X101" s="1369">
        <v>0.02</v>
      </c>
      <c r="Y101" s="1367"/>
      <c r="Z101" s="1370">
        <v>0</v>
      </c>
      <c r="AA101" s="1370">
        <v>0</v>
      </c>
      <c r="AB101" s="1370">
        <v>0</v>
      </c>
      <c r="AC101" s="1370">
        <v>0</v>
      </c>
      <c r="AD101" s="1370">
        <v>0</v>
      </c>
      <c r="AK101" s="1354">
        <f t="shared" si="19"/>
        <v>0</v>
      </c>
      <c r="AL101" s="1352">
        <f t="shared" si="31"/>
        <v>2</v>
      </c>
      <c r="AM101" s="1354">
        <f t="shared" si="17"/>
        <v>0</v>
      </c>
      <c r="AN101" s="1352" t="str">
        <f t="shared" si="18"/>
        <v>Other Fines and Costs</v>
      </c>
    </row>
    <row r="102" spans="1:40" x14ac:dyDescent="0.2">
      <c r="A102" s="1324" t="s">
        <v>521</v>
      </c>
      <c r="B102" s="1324" t="s">
        <v>5366</v>
      </c>
      <c r="C102" s="1353">
        <f>'Key Metrics'!C39</f>
        <v>747.56</v>
      </c>
      <c r="D102" s="1353">
        <f>'Key Metrics'!D39</f>
        <v>500</v>
      </c>
      <c r="E102" s="1351">
        <f t="shared" si="22"/>
        <v>-0.33115736529509332</v>
      </c>
      <c r="F102" s="1353">
        <f t="shared" si="23"/>
        <v>472</v>
      </c>
      <c r="G102" s="1353">
        <f t="shared" si="24"/>
        <v>481.44</v>
      </c>
      <c r="H102" s="1353">
        <f t="shared" si="25"/>
        <v>491.06880000000001</v>
      </c>
      <c r="I102" s="1353">
        <f t="shared" si="26"/>
        <v>500.890176</v>
      </c>
      <c r="J102" s="1353">
        <f t="shared" si="27"/>
        <v>510.90797952000003</v>
      </c>
      <c r="M102" s="1324" t="str">
        <f t="shared" si="28"/>
        <v>Municipal/County Court Fines and Costs</v>
      </c>
      <c r="N102" s="1368">
        <f t="shared" si="29"/>
        <v>-0.33115736529509332</v>
      </c>
      <c r="O102" s="1368">
        <f t="shared" si="30"/>
        <v>-0.33115736529509332</v>
      </c>
      <c r="P102" s="1368">
        <f t="shared" si="30"/>
        <v>-0.33115736529509332</v>
      </c>
      <c r="Q102" s="1368">
        <f t="shared" si="30"/>
        <v>-0.33115736529509332</v>
      </c>
      <c r="R102" s="1368">
        <f t="shared" si="30"/>
        <v>-0.33115736529509332</v>
      </c>
      <c r="T102" s="1369">
        <v>-5.6000000000000001E-2</v>
      </c>
      <c r="U102" s="1369">
        <v>0.02</v>
      </c>
      <c r="V102" s="1369">
        <v>0.02</v>
      </c>
      <c r="W102" s="1369">
        <v>0.02</v>
      </c>
      <c r="X102" s="1369">
        <v>0.02</v>
      </c>
      <c r="Y102" s="1367"/>
      <c r="Z102" s="1370">
        <v>0</v>
      </c>
      <c r="AA102" s="1370">
        <v>0</v>
      </c>
      <c r="AB102" s="1370">
        <v>0</v>
      </c>
      <c r="AC102" s="1370">
        <v>0</v>
      </c>
      <c r="AD102" s="1370">
        <v>0</v>
      </c>
      <c r="AK102" s="1354">
        <f t="shared" si="19"/>
        <v>3703.8669555199999</v>
      </c>
      <c r="AL102" s="1352">
        <f t="shared" si="31"/>
        <v>104</v>
      </c>
      <c r="AM102" s="1354">
        <f t="shared" si="17"/>
        <v>10.907979520000026</v>
      </c>
      <c r="AN102" s="1352" t="str">
        <f t="shared" si="18"/>
        <v>Municipal/County Court Fines and Costs</v>
      </c>
    </row>
    <row r="103" spans="1:40" x14ac:dyDescent="0.2">
      <c r="A103" s="1324" t="s">
        <v>525</v>
      </c>
      <c r="B103" s="1324" t="s">
        <v>5367</v>
      </c>
      <c r="C103" s="1353">
        <f>'Key Metrics'!C40</f>
        <v>0</v>
      </c>
      <c r="D103" s="1353">
        <f>'Key Metrics'!D40</f>
        <v>0</v>
      </c>
      <c r="E103" s="1351">
        <f t="shared" si="22"/>
        <v>0</v>
      </c>
      <c r="F103" s="1353">
        <f t="shared" si="23"/>
        <v>0</v>
      </c>
      <c r="G103" s="1353">
        <f t="shared" si="24"/>
        <v>0</v>
      </c>
      <c r="H103" s="1353">
        <f t="shared" si="25"/>
        <v>0</v>
      </c>
      <c r="I103" s="1353">
        <f t="shared" si="26"/>
        <v>0</v>
      </c>
      <c r="J103" s="1353">
        <f t="shared" si="27"/>
        <v>0</v>
      </c>
      <c r="M103" s="1324" t="str">
        <f t="shared" si="28"/>
        <v>Parking Meter Revenue</v>
      </c>
      <c r="N103" s="1368">
        <f t="shared" si="29"/>
        <v>0</v>
      </c>
      <c r="O103" s="1368">
        <f t="shared" si="30"/>
        <v>0</v>
      </c>
      <c r="P103" s="1368">
        <f t="shared" si="30"/>
        <v>0</v>
      </c>
      <c r="Q103" s="1368">
        <f t="shared" si="30"/>
        <v>0</v>
      </c>
      <c r="R103" s="1368">
        <f t="shared" si="30"/>
        <v>0</v>
      </c>
      <c r="T103" s="1369">
        <v>-5.6000000000000001E-2</v>
      </c>
      <c r="U103" s="1369">
        <v>0.02</v>
      </c>
      <c r="V103" s="1369">
        <v>0.02</v>
      </c>
      <c r="W103" s="1369">
        <v>0.02</v>
      </c>
      <c r="X103" s="1369">
        <v>0.02</v>
      </c>
      <c r="Y103" s="1367"/>
      <c r="Z103" s="1370">
        <v>0</v>
      </c>
      <c r="AA103" s="1370">
        <v>0</v>
      </c>
      <c r="AB103" s="1370">
        <v>0</v>
      </c>
      <c r="AC103" s="1370">
        <v>0</v>
      </c>
      <c r="AD103" s="1370">
        <v>0</v>
      </c>
      <c r="AK103" s="1354">
        <f t="shared" si="19"/>
        <v>0</v>
      </c>
      <c r="AL103" s="1352">
        <f t="shared" si="31"/>
        <v>2</v>
      </c>
      <c r="AM103" s="1354">
        <f t="shared" si="17"/>
        <v>0</v>
      </c>
      <c r="AN103" s="1352" t="str">
        <f t="shared" si="18"/>
        <v>Parking Meter Revenue</v>
      </c>
    </row>
    <row r="104" spans="1:40" x14ac:dyDescent="0.2">
      <c r="A104" s="1324" t="s">
        <v>523</v>
      </c>
      <c r="B104" s="1324" t="s">
        <v>91</v>
      </c>
      <c r="C104" s="1353">
        <f>'Key Metrics'!C41</f>
        <v>27731.22</v>
      </c>
      <c r="D104" s="1353">
        <f>'Key Metrics'!D41</f>
        <v>12500</v>
      </c>
      <c r="E104" s="1351">
        <f t="shared" si="22"/>
        <v>-0.54924449771773476</v>
      </c>
      <c r="F104" s="1353">
        <f t="shared" si="23"/>
        <v>11800</v>
      </c>
      <c r="G104" s="1353">
        <f t="shared" si="24"/>
        <v>12036</v>
      </c>
      <c r="H104" s="1353">
        <f t="shared" si="25"/>
        <v>12276.72</v>
      </c>
      <c r="I104" s="1353">
        <f t="shared" si="26"/>
        <v>12522.2544</v>
      </c>
      <c r="J104" s="1353">
        <f t="shared" si="27"/>
        <v>12772.699488</v>
      </c>
      <c r="M104" s="1324" t="str">
        <f t="shared" si="28"/>
        <v>Interest and Costs on Taxes</v>
      </c>
      <c r="N104" s="1368">
        <f t="shared" si="29"/>
        <v>-0.54924449771773476</v>
      </c>
      <c r="O104" s="1368">
        <f t="shared" si="30"/>
        <v>-0.54924449771773476</v>
      </c>
      <c r="P104" s="1368">
        <f t="shared" si="30"/>
        <v>-0.54924449771773476</v>
      </c>
      <c r="Q104" s="1368">
        <f t="shared" si="30"/>
        <v>-0.54924449771773476</v>
      </c>
      <c r="R104" s="1368">
        <f t="shared" si="30"/>
        <v>-0.54924449771773476</v>
      </c>
      <c r="T104" s="1369">
        <v>-5.6000000000000001E-2</v>
      </c>
      <c r="U104" s="1369">
        <v>0.02</v>
      </c>
      <c r="V104" s="1369">
        <v>0.02</v>
      </c>
      <c r="W104" s="1369">
        <v>0.02</v>
      </c>
      <c r="X104" s="1369">
        <v>0.02</v>
      </c>
      <c r="Y104" s="1367"/>
      <c r="Z104" s="1370">
        <v>0</v>
      </c>
      <c r="AA104" s="1370">
        <v>0</v>
      </c>
      <c r="AB104" s="1370">
        <v>0</v>
      </c>
      <c r="AC104" s="1370">
        <v>0</v>
      </c>
      <c r="AD104" s="1370">
        <v>0</v>
      </c>
      <c r="AK104" s="1354">
        <f t="shared" si="19"/>
        <v>101638.89388800001</v>
      </c>
      <c r="AL104" s="1352">
        <f t="shared" si="31"/>
        <v>106</v>
      </c>
      <c r="AM104" s="1354">
        <f t="shared" si="17"/>
        <v>272.6994880000002</v>
      </c>
      <c r="AN104" s="1352" t="str">
        <f t="shared" si="18"/>
        <v>Interest and Costs on Taxes</v>
      </c>
    </row>
    <row r="105" spans="1:40" x14ac:dyDescent="0.2">
      <c r="A105" s="1324" t="s">
        <v>526</v>
      </c>
      <c r="B105" s="1324" t="s">
        <v>5368</v>
      </c>
      <c r="C105" s="1353">
        <f>'Key Metrics'!C42</f>
        <v>0</v>
      </c>
      <c r="D105" s="1353">
        <f>'Key Metrics'!D42</f>
        <v>0</v>
      </c>
      <c r="E105" s="1351">
        <f t="shared" si="22"/>
        <v>0</v>
      </c>
      <c r="F105" s="1353">
        <f t="shared" si="23"/>
        <v>0</v>
      </c>
      <c r="G105" s="1353">
        <f t="shared" si="24"/>
        <v>0</v>
      </c>
      <c r="H105" s="1353">
        <f t="shared" si="25"/>
        <v>0</v>
      </c>
      <c r="I105" s="1353">
        <f t="shared" si="26"/>
        <v>0</v>
      </c>
      <c r="J105" s="1353">
        <f t="shared" si="27"/>
        <v>0</v>
      </c>
      <c r="M105" s="1324" t="str">
        <f t="shared" si="28"/>
        <v>Interest on Investments</v>
      </c>
      <c r="N105" s="1368">
        <f t="shared" si="29"/>
        <v>0</v>
      </c>
      <c r="O105" s="1368">
        <f t="shared" si="30"/>
        <v>0</v>
      </c>
      <c r="P105" s="1368">
        <f t="shared" si="30"/>
        <v>0</v>
      </c>
      <c r="Q105" s="1368">
        <f t="shared" si="30"/>
        <v>0</v>
      </c>
      <c r="R105" s="1368">
        <f t="shared" si="30"/>
        <v>0</v>
      </c>
      <c r="T105" s="1369">
        <v>-5.6000000000000001E-2</v>
      </c>
      <c r="U105" s="1369">
        <v>0.02</v>
      </c>
      <c r="V105" s="1369">
        <v>0.02</v>
      </c>
      <c r="W105" s="1369">
        <v>0.02</v>
      </c>
      <c r="X105" s="1369">
        <v>0.02</v>
      </c>
      <c r="Y105" s="1367"/>
      <c r="Z105" s="1370">
        <v>0</v>
      </c>
      <c r="AA105" s="1370">
        <v>0</v>
      </c>
      <c r="AB105" s="1370">
        <v>0</v>
      </c>
      <c r="AC105" s="1370">
        <v>0</v>
      </c>
      <c r="AD105" s="1370">
        <v>0</v>
      </c>
      <c r="AK105" s="1354">
        <f t="shared" si="19"/>
        <v>0</v>
      </c>
      <c r="AL105" s="1352">
        <f t="shared" si="31"/>
        <v>2</v>
      </c>
      <c r="AM105" s="1354">
        <f t="shared" si="17"/>
        <v>0</v>
      </c>
      <c r="AN105" s="1352" t="str">
        <f t="shared" si="18"/>
        <v>Interest on Investments</v>
      </c>
    </row>
    <row r="106" spans="1:40" x14ac:dyDescent="0.2">
      <c r="A106" s="1324" t="s">
        <v>527</v>
      </c>
      <c r="B106" s="1324" t="s">
        <v>96</v>
      </c>
      <c r="C106" s="1353">
        <f>'Key Metrics'!C43</f>
        <v>0</v>
      </c>
      <c r="D106" s="1353">
        <f>'Key Metrics'!D43</f>
        <v>0</v>
      </c>
      <c r="E106" s="1351">
        <f t="shared" si="22"/>
        <v>0</v>
      </c>
      <c r="F106" s="1353">
        <f t="shared" si="23"/>
        <v>0</v>
      </c>
      <c r="G106" s="1353">
        <f t="shared" si="24"/>
        <v>0</v>
      </c>
      <c r="H106" s="1353">
        <f t="shared" si="25"/>
        <v>0</v>
      </c>
      <c r="I106" s="1353">
        <f t="shared" si="26"/>
        <v>0</v>
      </c>
      <c r="J106" s="1353">
        <f t="shared" si="27"/>
        <v>0</v>
      </c>
      <c r="M106" s="1324" t="str">
        <f t="shared" si="28"/>
        <v>Anticipated Utility Operating Surplus</v>
      </c>
      <c r="N106" s="1368">
        <f t="shared" si="29"/>
        <v>0</v>
      </c>
      <c r="O106" s="1368">
        <f t="shared" si="30"/>
        <v>0</v>
      </c>
      <c r="P106" s="1368">
        <f t="shared" si="30"/>
        <v>0</v>
      </c>
      <c r="Q106" s="1368">
        <f t="shared" si="30"/>
        <v>0</v>
      </c>
      <c r="R106" s="1368">
        <f t="shared" si="30"/>
        <v>0</v>
      </c>
      <c r="T106" s="1369">
        <v>-5.6000000000000001E-2</v>
      </c>
      <c r="U106" s="1369">
        <v>0.02</v>
      </c>
      <c r="V106" s="1369">
        <v>0.02</v>
      </c>
      <c r="W106" s="1369">
        <v>0.02</v>
      </c>
      <c r="X106" s="1369">
        <v>0.02</v>
      </c>
      <c r="Y106" s="1367"/>
      <c r="Z106" s="1370">
        <v>0</v>
      </c>
      <c r="AA106" s="1370">
        <v>0</v>
      </c>
      <c r="AB106" s="1370">
        <v>0</v>
      </c>
      <c r="AC106" s="1370">
        <v>0</v>
      </c>
      <c r="AD106" s="1370">
        <v>0</v>
      </c>
      <c r="AK106" s="1354">
        <f t="shared" si="19"/>
        <v>0</v>
      </c>
      <c r="AL106" s="1352">
        <f t="shared" si="31"/>
        <v>2</v>
      </c>
      <c r="AM106" s="1354">
        <f t="shared" si="17"/>
        <v>0</v>
      </c>
      <c r="AN106" s="1352" t="str">
        <f t="shared" si="18"/>
        <v>Anticipated Utility Operating Surplus</v>
      </c>
    </row>
    <row r="107" spans="1:40" x14ac:dyDescent="0.2">
      <c r="A107" s="1324" t="s">
        <v>524</v>
      </c>
      <c r="B107" s="1324" t="s">
        <v>92</v>
      </c>
      <c r="C107" s="1353">
        <f>'Key Metrics'!C44</f>
        <v>0</v>
      </c>
      <c r="D107" s="1353">
        <f>'Key Metrics'!D44</f>
        <v>0</v>
      </c>
      <c r="E107" s="1351">
        <f t="shared" si="22"/>
        <v>0</v>
      </c>
      <c r="F107" s="1353">
        <f t="shared" si="23"/>
        <v>0</v>
      </c>
      <c r="G107" s="1353">
        <f t="shared" si="24"/>
        <v>0</v>
      </c>
      <c r="H107" s="1353">
        <f t="shared" si="25"/>
        <v>0</v>
      </c>
      <c r="I107" s="1353">
        <f t="shared" si="26"/>
        <v>0</v>
      </c>
      <c r="J107" s="1353">
        <f t="shared" si="27"/>
        <v>0</v>
      </c>
      <c r="M107" s="1324" t="str">
        <f t="shared" si="28"/>
        <v>Interest and Costs on Assessments</v>
      </c>
      <c r="N107" s="1368">
        <f t="shared" si="29"/>
        <v>0</v>
      </c>
      <c r="O107" s="1368">
        <f t="shared" si="30"/>
        <v>0</v>
      </c>
      <c r="P107" s="1368">
        <f t="shared" si="30"/>
        <v>0</v>
      </c>
      <c r="Q107" s="1368">
        <f t="shared" si="30"/>
        <v>0</v>
      </c>
      <c r="R107" s="1368">
        <f t="shared" si="30"/>
        <v>0</v>
      </c>
      <c r="T107" s="1369">
        <v>-5.6000000000000001E-2</v>
      </c>
      <c r="U107" s="1369">
        <v>0.02</v>
      </c>
      <c r="V107" s="1369">
        <v>0.02</v>
      </c>
      <c r="W107" s="1369">
        <v>0.02</v>
      </c>
      <c r="X107" s="1369">
        <v>0.02</v>
      </c>
      <c r="Y107" s="1367"/>
      <c r="Z107" s="1370">
        <v>0</v>
      </c>
      <c r="AA107" s="1370">
        <v>0</v>
      </c>
      <c r="AB107" s="1370">
        <v>0</v>
      </c>
      <c r="AC107" s="1370">
        <v>0</v>
      </c>
      <c r="AD107" s="1370">
        <v>0</v>
      </c>
      <c r="AK107" s="1354">
        <f t="shared" si="19"/>
        <v>0</v>
      </c>
      <c r="AL107" s="1352">
        <f t="shared" si="31"/>
        <v>2</v>
      </c>
      <c r="AM107" s="1354">
        <f t="shared" si="17"/>
        <v>0</v>
      </c>
      <c r="AN107" s="1352" t="str">
        <f t="shared" si="18"/>
        <v>Interest and Costs on Assessments</v>
      </c>
    </row>
    <row r="108" spans="1:40" x14ac:dyDescent="0.2">
      <c r="A108" s="1324" t="s">
        <v>3393</v>
      </c>
      <c r="B108" s="1324" t="s">
        <v>5369</v>
      </c>
      <c r="C108" s="1353">
        <f>'Key Metrics'!C45</f>
        <v>0</v>
      </c>
      <c r="D108" s="1353">
        <f>'Key Metrics'!D45</f>
        <v>0</v>
      </c>
      <c r="E108" s="1351">
        <f t="shared" si="22"/>
        <v>0</v>
      </c>
      <c r="F108" s="1353">
        <f t="shared" si="23"/>
        <v>0</v>
      </c>
      <c r="G108" s="1353">
        <f t="shared" si="24"/>
        <v>0</v>
      </c>
      <c r="H108" s="1353">
        <f t="shared" si="25"/>
        <v>0</v>
      </c>
      <c r="I108" s="1353">
        <f t="shared" si="26"/>
        <v>0</v>
      </c>
      <c r="J108" s="1353">
        <f t="shared" si="27"/>
        <v>0</v>
      </c>
      <c r="M108" s="1324" t="str">
        <f t="shared" si="28"/>
        <v>Rental of Municipally Owned Property</v>
      </c>
      <c r="N108" s="1368">
        <f t="shared" si="29"/>
        <v>0</v>
      </c>
      <c r="O108" s="1368">
        <f t="shared" si="30"/>
        <v>0</v>
      </c>
      <c r="P108" s="1368">
        <f t="shared" si="30"/>
        <v>0</v>
      </c>
      <c r="Q108" s="1368">
        <f t="shared" si="30"/>
        <v>0</v>
      </c>
      <c r="R108" s="1368">
        <f t="shared" si="30"/>
        <v>0</v>
      </c>
      <c r="T108" s="1369">
        <v>-5.6000000000000001E-2</v>
      </c>
      <c r="U108" s="1369">
        <v>0.02</v>
      </c>
      <c r="V108" s="1369">
        <v>0.02</v>
      </c>
      <c r="W108" s="1369">
        <v>0.02</v>
      </c>
      <c r="X108" s="1369">
        <v>0.02</v>
      </c>
      <c r="Y108" s="1367"/>
      <c r="Z108" s="1370">
        <v>0</v>
      </c>
      <c r="AA108" s="1370">
        <v>0</v>
      </c>
      <c r="AB108" s="1370">
        <v>0</v>
      </c>
      <c r="AC108" s="1370">
        <v>0</v>
      </c>
      <c r="AD108" s="1370">
        <v>0</v>
      </c>
      <c r="AK108" s="1354">
        <f t="shared" si="19"/>
        <v>0</v>
      </c>
      <c r="AL108" s="1352">
        <f t="shared" si="31"/>
        <v>2</v>
      </c>
      <c r="AM108" s="1354">
        <f t="shared" si="17"/>
        <v>0</v>
      </c>
      <c r="AN108" s="1352" t="str">
        <f t="shared" si="18"/>
        <v>Rental of Municipally Owned Property</v>
      </c>
    </row>
    <row r="109" spans="1:40" x14ac:dyDescent="0.2">
      <c r="A109" s="1324" t="s">
        <v>3397</v>
      </c>
      <c r="B109" s="1324" t="s">
        <v>5370</v>
      </c>
      <c r="C109" s="1353">
        <f>'Key Metrics'!C46</f>
        <v>0</v>
      </c>
      <c r="D109" s="1353">
        <f>'Key Metrics'!D46</f>
        <v>0</v>
      </c>
      <c r="E109" s="1351">
        <f t="shared" si="22"/>
        <v>0</v>
      </c>
      <c r="F109" s="1353">
        <f t="shared" si="23"/>
        <v>0</v>
      </c>
      <c r="G109" s="1353">
        <f t="shared" si="24"/>
        <v>0</v>
      </c>
      <c r="H109" s="1353">
        <f t="shared" si="25"/>
        <v>0</v>
      </c>
      <c r="I109" s="1353">
        <f t="shared" si="26"/>
        <v>0</v>
      </c>
      <c r="J109" s="1353">
        <f t="shared" si="27"/>
        <v>0</v>
      </c>
      <c r="M109" s="1324" t="str">
        <f t="shared" si="28"/>
        <v>Rental Registration Fees</v>
      </c>
      <c r="N109" s="1368">
        <f t="shared" si="29"/>
        <v>0</v>
      </c>
      <c r="O109" s="1368">
        <f t="shared" si="30"/>
        <v>0</v>
      </c>
      <c r="P109" s="1368">
        <f t="shared" si="30"/>
        <v>0</v>
      </c>
      <c r="Q109" s="1368">
        <f t="shared" si="30"/>
        <v>0</v>
      </c>
      <c r="R109" s="1368">
        <f t="shared" si="30"/>
        <v>0</v>
      </c>
      <c r="T109" s="1369">
        <v>-5.6000000000000001E-2</v>
      </c>
      <c r="U109" s="1369">
        <v>0.02</v>
      </c>
      <c r="V109" s="1369">
        <v>0.02</v>
      </c>
      <c r="W109" s="1369">
        <v>0.02</v>
      </c>
      <c r="X109" s="1369">
        <v>0.02</v>
      </c>
      <c r="Y109" s="1367"/>
      <c r="Z109" s="1370">
        <v>0</v>
      </c>
      <c r="AA109" s="1370">
        <v>0</v>
      </c>
      <c r="AB109" s="1370">
        <v>0</v>
      </c>
      <c r="AC109" s="1370">
        <v>0</v>
      </c>
      <c r="AD109" s="1370">
        <v>0</v>
      </c>
      <c r="AK109" s="1354">
        <f t="shared" si="19"/>
        <v>0</v>
      </c>
      <c r="AL109" s="1352">
        <f t="shared" si="31"/>
        <v>2</v>
      </c>
      <c r="AM109" s="1354">
        <f t="shared" si="17"/>
        <v>0</v>
      </c>
      <c r="AN109" s="1352" t="str">
        <f t="shared" si="18"/>
        <v>Rental Registration Fees</v>
      </c>
    </row>
    <row r="110" spans="1:40" x14ac:dyDescent="0.2">
      <c r="A110" s="1324" t="s">
        <v>3401</v>
      </c>
      <c r="B110" s="1324" t="s">
        <v>5371</v>
      </c>
      <c r="C110" s="1353">
        <f>'Key Metrics'!C47</f>
        <v>0</v>
      </c>
      <c r="D110" s="1353">
        <f>'Key Metrics'!D47</f>
        <v>0</v>
      </c>
      <c r="E110" s="1351">
        <f t="shared" si="22"/>
        <v>0</v>
      </c>
      <c r="F110" s="1353">
        <f t="shared" si="23"/>
        <v>0</v>
      </c>
      <c r="G110" s="1353">
        <f t="shared" si="24"/>
        <v>0</v>
      </c>
      <c r="H110" s="1353">
        <f t="shared" si="25"/>
        <v>0</v>
      </c>
      <c r="I110" s="1353">
        <f t="shared" si="26"/>
        <v>0</v>
      </c>
      <c r="J110" s="1353">
        <f t="shared" si="27"/>
        <v>0</v>
      </c>
      <c r="M110" s="1324" t="str">
        <f t="shared" si="28"/>
        <v>Sewer Service Fees (No Sewer Utility)</v>
      </c>
      <c r="N110" s="1368">
        <f t="shared" si="29"/>
        <v>0</v>
      </c>
      <c r="O110" s="1368">
        <f t="shared" si="30"/>
        <v>0</v>
      </c>
      <c r="P110" s="1368">
        <f t="shared" si="30"/>
        <v>0</v>
      </c>
      <c r="Q110" s="1368">
        <f t="shared" si="30"/>
        <v>0</v>
      </c>
      <c r="R110" s="1368">
        <f t="shared" si="30"/>
        <v>0</v>
      </c>
      <c r="T110" s="1369">
        <v>-5.6000000000000001E-2</v>
      </c>
      <c r="U110" s="1369">
        <v>0.02</v>
      </c>
      <c r="V110" s="1369">
        <v>0.02</v>
      </c>
      <c r="W110" s="1369">
        <v>0.02</v>
      </c>
      <c r="X110" s="1369">
        <v>0.02</v>
      </c>
      <c r="Y110" s="1367"/>
      <c r="Z110" s="1370">
        <v>0</v>
      </c>
      <c r="AA110" s="1370">
        <v>0</v>
      </c>
      <c r="AB110" s="1370">
        <v>0</v>
      </c>
      <c r="AC110" s="1370">
        <v>0</v>
      </c>
      <c r="AD110" s="1370">
        <v>0</v>
      </c>
      <c r="AK110" s="1354">
        <f t="shared" si="19"/>
        <v>0</v>
      </c>
      <c r="AL110" s="1352">
        <f t="shared" si="31"/>
        <v>2</v>
      </c>
      <c r="AM110" s="1354">
        <f t="shared" si="17"/>
        <v>0</v>
      </c>
      <c r="AN110" s="1352" t="str">
        <f t="shared" si="18"/>
        <v>Sewer Service Fees (No Sewer Utility)</v>
      </c>
    </row>
    <row r="111" spans="1:40" x14ac:dyDescent="0.2">
      <c r="A111" s="1324" t="s">
        <v>3404</v>
      </c>
      <c r="B111" s="1324" t="s">
        <v>5372</v>
      </c>
      <c r="C111" s="1353">
        <f>'Key Metrics'!C48</f>
        <v>0</v>
      </c>
      <c r="D111" s="1353">
        <f>'Key Metrics'!D48</f>
        <v>0</v>
      </c>
      <c r="E111" s="1351">
        <f t="shared" si="22"/>
        <v>0</v>
      </c>
      <c r="F111" s="1353">
        <f t="shared" si="23"/>
        <v>0</v>
      </c>
      <c r="G111" s="1353">
        <f t="shared" si="24"/>
        <v>0</v>
      </c>
      <c r="H111" s="1353">
        <f t="shared" si="25"/>
        <v>0</v>
      </c>
      <c r="I111" s="1353">
        <f t="shared" si="26"/>
        <v>0</v>
      </c>
      <c r="J111" s="1353">
        <f t="shared" si="27"/>
        <v>0</v>
      </c>
      <c r="M111" s="1324" t="str">
        <f t="shared" si="28"/>
        <v>Board of Health Fees</v>
      </c>
      <c r="N111" s="1368">
        <f t="shared" si="29"/>
        <v>0</v>
      </c>
      <c r="O111" s="1368">
        <f t="shared" si="30"/>
        <v>0</v>
      </c>
      <c r="P111" s="1368">
        <f t="shared" si="30"/>
        <v>0</v>
      </c>
      <c r="Q111" s="1368">
        <f t="shared" si="30"/>
        <v>0</v>
      </c>
      <c r="R111" s="1368">
        <f t="shared" si="30"/>
        <v>0</v>
      </c>
      <c r="T111" s="1369">
        <v>-5.6000000000000001E-2</v>
      </c>
      <c r="U111" s="1369">
        <v>0.02</v>
      </c>
      <c r="V111" s="1369">
        <v>0.02</v>
      </c>
      <c r="W111" s="1369">
        <v>0.02</v>
      </c>
      <c r="X111" s="1369">
        <v>0.02</v>
      </c>
      <c r="Y111" s="1367"/>
      <c r="Z111" s="1370">
        <v>0</v>
      </c>
      <c r="AA111" s="1370">
        <v>0</v>
      </c>
      <c r="AB111" s="1370">
        <v>0</v>
      </c>
      <c r="AC111" s="1370">
        <v>0</v>
      </c>
      <c r="AD111" s="1370">
        <v>0</v>
      </c>
      <c r="AK111" s="1354">
        <f t="shared" si="19"/>
        <v>0</v>
      </c>
      <c r="AL111" s="1352">
        <f t="shared" si="31"/>
        <v>2</v>
      </c>
      <c r="AM111" s="1354">
        <f t="shared" si="17"/>
        <v>0</v>
      </c>
      <c r="AN111" s="1352" t="str">
        <f t="shared" si="18"/>
        <v>Board of Health Fees</v>
      </c>
    </row>
    <row r="112" spans="1:40" x14ac:dyDescent="0.2">
      <c r="A112" s="1324" t="s">
        <v>3407</v>
      </c>
      <c r="B112" s="1324" t="s">
        <v>5373</v>
      </c>
      <c r="C112" s="1353">
        <f>'Key Metrics'!C49</f>
        <v>0</v>
      </c>
      <c r="D112" s="1353">
        <f>'Key Metrics'!D49</f>
        <v>0</v>
      </c>
      <c r="E112" s="1351">
        <f t="shared" si="22"/>
        <v>0</v>
      </c>
      <c r="F112" s="1353">
        <f t="shared" si="23"/>
        <v>0</v>
      </c>
      <c r="G112" s="1353">
        <f t="shared" si="24"/>
        <v>0</v>
      </c>
      <c r="H112" s="1353">
        <f t="shared" si="25"/>
        <v>0</v>
      </c>
      <c r="I112" s="1353">
        <f t="shared" si="26"/>
        <v>0</v>
      </c>
      <c r="J112" s="1353">
        <f t="shared" si="27"/>
        <v>0</v>
      </c>
      <c r="M112" s="1324" t="str">
        <f t="shared" si="28"/>
        <v>Foreclosed Property Registration Fees</v>
      </c>
      <c r="N112" s="1368">
        <f t="shared" si="29"/>
        <v>0</v>
      </c>
      <c r="O112" s="1368">
        <f t="shared" ref="O112:R127" si="32">N112</f>
        <v>0</v>
      </c>
      <c r="P112" s="1368">
        <f t="shared" si="32"/>
        <v>0</v>
      </c>
      <c r="Q112" s="1368">
        <f t="shared" si="32"/>
        <v>0</v>
      </c>
      <c r="R112" s="1368">
        <f t="shared" si="32"/>
        <v>0</v>
      </c>
      <c r="T112" s="1369">
        <v>-5.6000000000000001E-2</v>
      </c>
      <c r="U112" s="1369">
        <v>0.02</v>
      </c>
      <c r="V112" s="1369">
        <v>0.02</v>
      </c>
      <c r="W112" s="1369">
        <v>0.02</v>
      </c>
      <c r="X112" s="1369">
        <v>0.02</v>
      </c>
      <c r="Y112" s="1367"/>
      <c r="Z112" s="1370">
        <v>0</v>
      </c>
      <c r="AA112" s="1370">
        <v>0</v>
      </c>
      <c r="AB112" s="1370">
        <v>0</v>
      </c>
      <c r="AC112" s="1370">
        <v>0</v>
      </c>
      <c r="AD112" s="1370">
        <v>0</v>
      </c>
      <c r="AK112" s="1354">
        <f t="shared" si="19"/>
        <v>0</v>
      </c>
      <c r="AL112" s="1352">
        <f t="shared" si="31"/>
        <v>2</v>
      </c>
      <c r="AM112" s="1354">
        <f t="shared" si="17"/>
        <v>0</v>
      </c>
      <c r="AN112" s="1352" t="str">
        <f t="shared" si="18"/>
        <v>Foreclosed Property Registration Fees</v>
      </c>
    </row>
    <row r="113" spans="1:40" x14ac:dyDescent="0.2">
      <c r="A113" s="1324" t="s">
        <v>3411</v>
      </c>
      <c r="B113" s="1324" t="s">
        <v>5374</v>
      </c>
      <c r="C113" s="1353">
        <f>'Key Metrics'!C51</f>
        <v>0</v>
      </c>
      <c r="D113" s="1353">
        <f>'Key Metrics'!D51</f>
        <v>0</v>
      </c>
      <c r="E113" s="1351">
        <f t="shared" si="22"/>
        <v>0</v>
      </c>
      <c r="F113" s="1353">
        <f t="shared" si="23"/>
        <v>0</v>
      </c>
      <c r="G113" s="1353">
        <f t="shared" si="24"/>
        <v>0</v>
      </c>
      <c r="H113" s="1353">
        <f t="shared" si="25"/>
        <v>0</v>
      </c>
      <c r="I113" s="1353">
        <f t="shared" si="26"/>
        <v>0</v>
      </c>
      <c r="J113" s="1353">
        <f t="shared" si="27"/>
        <v>0</v>
      </c>
      <c r="M113" s="1324" t="str">
        <f t="shared" si="28"/>
        <v>"User Defined" Fees</v>
      </c>
      <c r="N113" s="1368">
        <f t="shared" si="29"/>
        <v>0</v>
      </c>
      <c r="O113" s="1368">
        <f t="shared" si="32"/>
        <v>0</v>
      </c>
      <c r="P113" s="1368">
        <f t="shared" si="32"/>
        <v>0</v>
      </c>
      <c r="Q113" s="1368">
        <f t="shared" si="32"/>
        <v>0</v>
      </c>
      <c r="R113" s="1368">
        <f t="shared" si="32"/>
        <v>0</v>
      </c>
      <c r="T113" s="1369">
        <v>-5.6000000000000001E-2</v>
      </c>
      <c r="U113" s="1369">
        <v>0.02</v>
      </c>
      <c r="V113" s="1369">
        <v>0.02</v>
      </c>
      <c r="W113" s="1369">
        <v>0.02</v>
      </c>
      <c r="X113" s="1369">
        <v>0.02</v>
      </c>
      <c r="Y113" s="1367"/>
      <c r="Z113" s="1370">
        <v>0</v>
      </c>
      <c r="AA113" s="1370">
        <v>0</v>
      </c>
      <c r="AB113" s="1370">
        <v>0</v>
      </c>
      <c r="AC113" s="1370">
        <v>0</v>
      </c>
      <c r="AD113" s="1370">
        <v>0</v>
      </c>
      <c r="AK113" s="1354">
        <f t="shared" si="19"/>
        <v>0</v>
      </c>
      <c r="AL113" s="1352">
        <f t="shared" si="31"/>
        <v>2</v>
      </c>
      <c r="AM113" s="1354">
        <f t="shared" si="17"/>
        <v>0</v>
      </c>
      <c r="AN113" s="1352" t="str">
        <f t="shared" si="18"/>
        <v>"User Defined" Fees</v>
      </c>
    </row>
    <row r="114" spans="1:40" x14ac:dyDescent="0.2">
      <c r="A114" s="1324" t="s">
        <v>3414</v>
      </c>
      <c r="B114" s="1324" t="s">
        <v>5374</v>
      </c>
      <c r="C114" s="1353">
        <f>'Key Metrics'!C52</f>
        <v>0</v>
      </c>
      <c r="D114" s="1353">
        <f>'Key Metrics'!D52</f>
        <v>0</v>
      </c>
      <c r="E114" s="1351">
        <f t="shared" si="22"/>
        <v>0</v>
      </c>
      <c r="F114" s="1353">
        <f t="shared" si="23"/>
        <v>0</v>
      </c>
      <c r="G114" s="1353">
        <f t="shared" si="24"/>
        <v>0</v>
      </c>
      <c r="H114" s="1353">
        <f t="shared" si="25"/>
        <v>0</v>
      </c>
      <c r="I114" s="1353">
        <f t="shared" si="26"/>
        <v>0</v>
      </c>
      <c r="J114" s="1353">
        <f t="shared" si="27"/>
        <v>0</v>
      </c>
      <c r="M114" s="1324" t="str">
        <f t="shared" si="28"/>
        <v>"User Defined" Fees</v>
      </c>
      <c r="N114" s="1368">
        <f t="shared" si="29"/>
        <v>0</v>
      </c>
      <c r="O114" s="1368">
        <f t="shared" si="32"/>
        <v>0</v>
      </c>
      <c r="P114" s="1368">
        <f t="shared" si="32"/>
        <v>0</v>
      </c>
      <c r="Q114" s="1368">
        <f t="shared" si="32"/>
        <v>0</v>
      </c>
      <c r="R114" s="1368">
        <f t="shared" si="32"/>
        <v>0</v>
      </c>
      <c r="T114" s="1369">
        <v>-5.6000000000000001E-2</v>
      </c>
      <c r="U114" s="1369">
        <v>0.02</v>
      </c>
      <c r="V114" s="1369">
        <v>0.02</v>
      </c>
      <c r="W114" s="1369">
        <v>0.02</v>
      </c>
      <c r="X114" s="1369">
        <v>0.02</v>
      </c>
      <c r="Y114" s="1367"/>
      <c r="Z114" s="1370">
        <v>0</v>
      </c>
      <c r="AA114" s="1370">
        <v>0</v>
      </c>
      <c r="AB114" s="1370">
        <v>0</v>
      </c>
      <c r="AC114" s="1370">
        <v>0</v>
      </c>
      <c r="AD114" s="1370">
        <v>0</v>
      </c>
      <c r="AK114" s="1354">
        <f t="shared" si="19"/>
        <v>0</v>
      </c>
      <c r="AL114" s="1352">
        <f t="shared" si="31"/>
        <v>2</v>
      </c>
      <c r="AM114" s="1354">
        <f t="shared" si="17"/>
        <v>0</v>
      </c>
      <c r="AN114" s="1352" t="str">
        <f t="shared" si="18"/>
        <v>"User Defined" Fees</v>
      </c>
    </row>
    <row r="115" spans="1:40" x14ac:dyDescent="0.2">
      <c r="A115" s="1324" t="s">
        <v>3418</v>
      </c>
      <c r="B115" s="1324" t="s">
        <v>5375</v>
      </c>
      <c r="C115" s="1353">
        <f>'Key Metrics'!C53</f>
        <v>0</v>
      </c>
      <c r="D115" s="1353">
        <f>'Key Metrics'!D53</f>
        <v>0</v>
      </c>
      <c r="E115" s="1351">
        <f t="shared" si="22"/>
        <v>0</v>
      </c>
      <c r="F115" s="1353">
        <f t="shared" si="23"/>
        <v>0</v>
      </c>
      <c r="G115" s="1353">
        <f t="shared" si="24"/>
        <v>0</v>
      </c>
      <c r="H115" s="1353">
        <f t="shared" si="25"/>
        <v>0</v>
      </c>
      <c r="I115" s="1353">
        <f t="shared" si="26"/>
        <v>0</v>
      </c>
      <c r="J115" s="1353">
        <f t="shared" si="27"/>
        <v>0</v>
      </c>
      <c r="M115" s="1324" t="str">
        <f t="shared" si="28"/>
        <v>Planning &amp; Zoning Fees</v>
      </c>
      <c r="N115" s="1368">
        <f t="shared" si="29"/>
        <v>0</v>
      </c>
      <c r="O115" s="1368">
        <f t="shared" si="32"/>
        <v>0</v>
      </c>
      <c r="P115" s="1368">
        <f t="shared" si="32"/>
        <v>0</v>
      </c>
      <c r="Q115" s="1368">
        <f t="shared" si="32"/>
        <v>0</v>
      </c>
      <c r="R115" s="1368">
        <f t="shared" si="32"/>
        <v>0</v>
      </c>
      <c r="T115" s="1369">
        <v>-5.6000000000000001E-2</v>
      </c>
      <c r="U115" s="1369">
        <v>0.02</v>
      </c>
      <c r="V115" s="1369">
        <v>0.02</v>
      </c>
      <c r="W115" s="1369">
        <v>0.02</v>
      </c>
      <c r="X115" s="1369">
        <v>0.02</v>
      </c>
      <c r="Y115" s="1367"/>
      <c r="Z115" s="1370">
        <v>0</v>
      </c>
      <c r="AA115" s="1370">
        <v>0</v>
      </c>
      <c r="AB115" s="1370">
        <v>0</v>
      </c>
      <c r="AC115" s="1370">
        <v>0</v>
      </c>
      <c r="AD115" s="1370">
        <v>0</v>
      </c>
      <c r="AK115" s="1354">
        <f t="shared" si="19"/>
        <v>0</v>
      </c>
      <c r="AL115" s="1352">
        <f t="shared" si="31"/>
        <v>2</v>
      </c>
      <c r="AM115" s="1354">
        <f t="shared" si="17"/>
        <v>0</v>
      </c>
      <c r="AN115" s="1352" t="str">
        <f t="shared" si="18"/>
        <v>Planning &amp; Zoning Fees</v>
      </c>
    </row>
    <row r="116" spans="1:40" x14ac:dyDescent="0.2">
      <c r="A116" s="1324" t="s">
        <v>3421</v>
      </c>
      <c r="B116" s="1324" t="s">
        <v>5376</v>
      </c>
      <c r="C116" s="1353">
        <f>'Key Metrics'!C54</f>
        <v>0</v>
      </c>
      <c r="D116" s="1353">
        <f>'Key Metrics'!D54</f>
        <v>0</v>
      </c>
      <c r="E116" s="1351">
        <f t="shared" si="22"/>
        <v>0</v>
      </c>
      <c r="F116" s="1353">
        <f t="shared" si="23"/>
        <v>0</v>
      </c>
      <c r="G116" s="1353">
        <f t="shared" si="24"/>
        <v>0</v>
      </c>
      <c r="H116" s="1353">
        <f t="shared" si="25"/>
        <v>0</v>
      </c>
      <c r="I116" s="1353">
        <f t="shared" si="26"/>
        <v>0</v>
      </c>
      <c r="J116" s="1353">
        <f t="shared" si="27"/>
        <v>0</v>
      </c>
      <c r="M116" s="1324" t="str">
        <f t="shared" si="28"/>
        <v>Payments in Lieu of Taxes (PILOT) (Local Revenues)</v>
      </c>
      <c r="N116" s="1368">
        <f t="shared" si="29"/>
        <v>0</v>
      </c>
      <c r="O116" s="1368">
        <f t="shared" si="32"/>
        <v>0</v>
      </c>
      <c r="P116" s="1368">
        <f t="shared" si="32"/>
        <v>0</v>
      </c>
      <c r="Q116" s="1368">
        <f t="shared" si="32"/>
        <v>0</v>
      </c>
      <c r="R116" s="1368">
        <f t="shared" si="32"/>
        <v>0</v>
      </c>
      <c r="T116" s="1369">
        <v>-5.6000000000000001E-2</v>
      </c>
      <c r="U116" s="1369">
        <v>0.02</v>
      </c>
      <c r="V116" s="1369">
        <v>0.02</v>
      </c>
      <c r="W116" s="1369">
        <v>0.02</v>
      </c>
      <c r="X116" s="1369">
        <v>0.02</v>
      </c>
      <c r="Y116" s="1367"/>
      <c r="Z116" s="1370">
        <v>0</v>
      </c>
      <c r="AA116" s="1370">
        <v>0</v>
      </c>
      <c r="AB116" s="1370">
        <v>0</v>
      </c>
      <c r="AC116" s="1370">
        <v>0</v>
      </c>
      <c r="AD116" s="1370">
        <v>0</v>
      </c>
      <c r="AK116" s="1354">
        <f t="shared" si="19"/>
        <v>0</v>
      </c>
      <c r="AL116" s="1352">
        <f t="shared" si="31"/>
        <v>2</v>
      </c>
      <c r="AM116" s="1354">
        <f t="shared" si="17"/>
        <v>0</v>
      </c>
      <c r="AN116" s="1352" t="str">
        <f t="shared" si="18"/>
        <v>Payments in Lieu of Taxes (PILOT) (Local Revenues)</v>
      </c>
    </row>
    <row r="117" spans="1:40" x14ac:dyDescent="0.2">
      <c r="A117" s="1324" t="s">
        <v>3441</v>
      </c>
      <c r="B117" s="1324" t="s">
        <v>5377</v>
      </c>
      <c r="C117" s="1353">
        <f>'Key Metrics'!C56</f>
        <v>0</v>
      </c>
      <c r="D117" s="1353">
        <f>'Key Metrics'!D56</f>
        <v>0</v>
      </c>
      <c r="E117" s="1351">
        <f t="shared" si="22"/>
        <v>0</v>
      </c>
      <c r="F117" s="1353">
        <f t="shared" si="23"/>
        <v>0</v>
      </c>
      <c r="G117" s="1353">
        <f t="shared" si="24"/>
        <v>0</v>
      </c>
      <c r="H117" s="1353">
        <f t="shared" si="25"/>
        <v>0</v>
      </c>
      <c r="I117" s="1353">
        <f t="shared" si="26"/>
        <v>0</v>
      </c>
      <c r="J117" s="1353">
        <f t="shared" si="27"/>
        <v>0</v>
      </c>
      <c r="M117" s="1324" t="str">
        <f t="shared" si="28"/>
        <v>"User Defined" Local Revenue</v>
      </c>
      <c r="N117" s="1368">
        <f t="shared" si="29"/>
        <v>0</v>
      </c>
      <c r="O117" s="1368">
        <f t="shared" si="32"/>
        <v>0</v>
      </c>
      <c r="P117" s="1368">
        <f t="shared" si="32"/>
        <v>0</v>
      </c>
      <c r="Q117" s="1368">
        <f t="shared" si="32"/>
        <v>0</v>
      </c>
      <c r="R117" s="1368">
        <f t="shared" si="32"/>
        <v>0</v>
      </c>
      <c r="T117" s="1369">
        <v>-5.6000000000000001E-2</v>
      </c>
      <c r="U117" s="1369">
        <v>0.02</v>
      </c>
      <c r="V117" s="1369">
        <v>0.02</v>
      </c>
      <c r="W117" s="1369">
        <v>0.02</v>
      </c>
      <c r="X117" s="1369">
        <v>0.02</v>
      </c>
      <c r="Y117" s="1367"/>
      <c r="Z117" s="1370">
        <v>0</v>
      </c>
      <c r="AA117" s="1370">
        <v>0</v>
      </c>
      <c r="AB117" s="1370">
        <v>0</v>
      </c>
      <c r="AC117" s="1370">
        <v>0</v>
      </c>
      <c r="AD117" s="1370">
        <v>0</v>
      </c>
      <c r="AK117" s="1354">
        <f t="shared" si="19"/>
        <v>0</v>
      </c>
      <c r="AL117" s="1352">
        <f t="shared" si="31"/>
        <v>2</v>
      </c>
      <c r="AM117" s="1354">
        <f t="shared" si="17"/>
        <v>0</v>
      </c>
      <c r="AN117" s="1352" t="str">
        <f t="shared" si="18"/>
        <v>"User Defined" Local Revenue</v>
      </c>
    </row>
    <row r="118" spans="1:40" x14ac:dyDescent="0.2">
      <c r="A118" s="1324" t="s">
        <v>3444</v>
      </c>
      <c r="B118" s="1324" t="s">
        <v>5377</v>
      </c>
      <c r="C118" s="1353">
        <f>'Key Metrics'!C57</f>
        <v>0</v>
      </c>
      <c r="D118" s="1353">
        <f>'Key Metrics'!D57</f>
        <v>0</v>
      </c>
      <c r="E118" s="1351">
        <f t="shared" si="22"/>
        <v>0</v>
      </c>
      <c r="F118" s="1353">
        <f t="shared" si="23"/>
        <v>0</v>
      </c>
      <c r="G118" s="1353">
        <f t="shared" si="24"/>
        <v>0</v>
      </c>
      <c r="H118" s="1353">
        <f t="shared" si="25"/>
        <v>0</v>
      </c>
      <c r="I118" s="1353">
        <f t="shared" si="26"/>
        <v>0</v>
      </c>
      <c r="J118" s="1353">
        <f t="shared" si="27"/>
        <v>0</v>
      </c>
      <c r="M118" s="1324" t="str">
        <f t="shared" si="28"/>
        <v>"User Defined" Local Revenue</v>
      </c>
      <c r="N118" s="1368">
        <f t="shared" si="29"/>
        <v>0</v>
      </c>
      <c r="O118" s="1368">
        <f t="shared" si="32"/>
        <v>0</v>
      </c>
      <c r="P118" s="1368">
        <f t="shared" si="32"/>
        <v>0</v>
      </c>
      <c r="Q118" s="1368">
        <f t="shared" si="32"/>
        <v>0</v>
      </c>
      <c r="R118" s="1368">
        <f t="shared" si="32"/>
        <v>0</v>
      </c>
      <c r="T118" s="1369">
        <v>-5.6000000000000001E-2</v>
      </c>
      <c r="U118" s="1369">
        <v>0.02</v>
      </c>
      <c r="V118" s="1369">
        <v>0.02</v>
      </c>
      <c r="W118" s="1369">
        <v>0.02</v>
      </c>
      <c r="X118" s="1369">
        <v>0.02</v>
      </c>
      <c r="Y118" s="1367"/>
      <c r="Z118" s="1370">
        <v>0</v>
      </c>
      <c r="AA118" s="1370">
        <v>0</v>
      </c>
      <c r="AB118" s="1370">
        <v>0</v>
      </c>
      <c r="AC118" s="1370">
        <v>0</v>
      </c>
      <c r="AD118" s="1370">
        <v>0</v>
      </c>
      <c r="AK118" s="1354">
        <f t="shared" si="19"/>
        <v>0</v>
      </c>
      <c r="AL118" s="1352">
        <f t="shared" si="31"/>
        <v>2</v>
      </c>
      <c r="AM118" s="1354">
        <f t="shared" si="17"/>
        <v>0</v>
      </c>
      <c r="AN118" s="1352" t="str">
        <f t="shared" si="18"/>
        <v>"User Defined" Local Revenue</v>
      </c>
    </row>
    <row r="119" spans="1:40" x14ac:dyDescent="0.2">
      <c r="A119" s="1324" t="s">
        <v>3446</v>
      </c>
      <c r="B119" s="1324" t="s">
        <v>5377</v>
      </c>
      <c r="C119" s="1353">
        <f>'Key Metrics'!C58</f>
        <v>0</v>
      </c>
      <c r="D119" s="1353">
        <f>'Key Metrics'!D58</f>
        <v>0</v>
      </c>
      <c r="E119" s="1351">
        <f t="shared" si="22"/>
        <v>0</v>
      </c>
      <c r="F119" s="1353">
        <f t="shared" si="23"/>
        <v>0</v>
      </c>
      <c r="G119" s="1353">
        <f t="shared" si="24"/>
        <v>0</v>
      </c>
      <c r="H119" s="1353">
        <f t="shared" si="25"/>
        <v>0</v>
      </c>
      <c r="I119" s="1353">
        <f t="shared" si="26"/>
        <v>0</v>
      </c>
      <c r="J119" s="1353">
        <f t="shared" si="27"/>
        <v>0</v>
      </c>
      <c r="M119" s="1324" t="str">
        <f t="shared" si="28"/>
        <v>"User Defined" Local Revenue</v>
      </c>
      <c r="N119" s="1368">
        <f t="shared" si="29"/>
        <v>0</v>
      </c>
      <c r="O119" s="1368">
        <f t="shared" si="32"/>
        <v>0</v>
      </c>
      <c r="P119" s="1368">
        <f t="shared" si="32"/>
        <v>0</v>
      </c>
      <c r="Q119" s="1368">
        <f t="shared" si="32"/>
        <v>0</v>
      </c>
      <c r="R119" s="1368">
        <f t="shared" si="32"/>
        <v>0</v>
      </c>
      <c r="T119" s="1369">
        <v>-5.6000000000000001E-2</v>
      </c>
      <c r="U119" s="1369">
        <v>0.02</v>
      </c>
      <c r="V119" s="1369">
        <v>0.02</v>
      </c>
      <c r="W119" s="1369">
        <v>0.02</v>
      </c>
      <c r="X119" s="1369">
        <v>0.02</v>
      </c>
      <c r="Y119" s="1367"/>
      <c r="Z119" s="1370">
        <v>0</v>
      </c>
      <c r="AA119" s="1370">
        <v>0</v>
      </c>
      <c r="AB119" s="1370">
        <v>0</v>
      </c>
      <c r="AC119" s="1370">
        <v>0</v>
      </c>
      <c r="AD119" s="1370">
        <v>0</v>
      </c>
      <c r="AK119" s="1354">
        <f t="shared" si="19"/>
        <v>0</v>
      </c>
      <c r="AL119" s="1352">
        <f t="shared" si="31"/>
        <v>2</v>
      </c>
      <c r="AM119" s="1354">
        <f t="shared" si="17"/>
        <v>0</v>
      </c>
      <c r="AN119" s="1352" t="str">
        <f t="shared" si="18"/>
        <v>"User Defined" Local Revenue</v>
      </c>
    </row>
    <row r="120" spans="1:40" x14ac:dyDescent="0.2">
      <c r="A120" s="1324" t="s">
        <v>3448</v>
      </c>
      <c r="B120" s="1324" t="s">
        <v>5377</v>
      </c>
      <c r="C120" s="1353">
        <f>'Key Metrics'!C59</f>
        <v>0</v>
      </c>
      <c r="D120" s="1353">
        <f>'Key Metrics'!D59</f>
        <v>0</v>
      </c>
      <c r="E120" s="1351">
        <f t="shared" si="22"/>
        <v>0</v>
      </c>
      <c r="F120" s="1353">
        <f t="shared" si="23"/>
        <v>0</v>
      </c>
      <c r="G120" s="1353">
        <f t="shared" si="24"/>
        <v>0</v>
      </c>
      <c r="H120" s="1353">
        <f t="shared" si="25"/>
        <v>0</v>
      </c>
      <c r="I120" s="1353">
        <f t="shared" si="26"/>
        <v>0</v>
      </c>
      <c r="J120" s="1353">
        <f t="shared" si="27"/>
        <v>0</v>
      </c>
      <c r="M120" s="1324" t="str">
        <f t="shared" si="28"/>
        <v>"User Defined" Local Revenue</v>
      </c>
      <c r="N120" s="1368">
        <f t="shared" si="29"/>
        <v>0</v>
      </c>
      <c r="O120" s="1368">
        <f t="shared" si="32"/>
        <v>0</v>
      </c>
      <c r="P120" s="1368">
        <f t="shared" si="32"/>
        <v>0</v>
      </c>
      <c r="Q120" s="1368">
        <f t="shared" si="32"/>
        <v>0</v>
      </c>
      <c r="R120" s="1368">
        <f t="shared" si="32"/>
        <v>0</v>
      </c>
      <c r="T120" s="1369">
        <v>-5.6000000000000001E-2</v>
      </c>
      <c r="U120" s="1369">
        <v>0.02</v>
      </c>
      <c r="V120" s="1369">
        <v>0.02</v>
      </c>
      <c r="W120" s="1369">
        <v>0.02</v>
      </c>
      <c r="X120" s="1369">
        <v>0.02</v>
      </c>
      <c r="Y120" s="1367"/>
      <c r="Z120" s="1370">
        <v>0</v>
      </c>
      <c r="AA120" s="1370">
        <v>0</v>
      </c>
      <c r="AB120" s="1370">
        <v>0</v>
      </c>
      <c r="AC120" s="1370">
        <v>0</v>
      </c>
      <c r="AD120" s="1370">
        <v>0</v>
      </c>
      <c r="AK120" s="1354">
        <f t="shared" si="19"/>
        <v>0</v>
      </c>
      <c r="AL120" s="1352">
        <f t="shared" si="31"/>
        <v>2</v>
      </c>
      <c r="AM120" s="1354">
        <f t="shared" si="17"/>
        <v>0</v>
      </c>
      <c r="AN120" s="1352" t="str">
        <f t="shared" si="18"/>
        <v>"User Defined" Local Revenue</v>
      </c>
    </row>
    <row r="121" spans="1:40" x14ac:dyDescent="0.2">
      <c r="A121" s="1324" t="s">
        <v>3450</v>
      </c>
      <c r="B121" s="1324" t="s">
        <v>5377</v>
      </c>
      <c r="C121" s="1353">
        <f>'Key Metrics'!C60</f>
        <v>0</v>
      </c>
      <c r="D121" s="1353">
        <f>'Key Metrics'!D60</f>
        <v>0</v>
      </c>
      <c r="E121" s="1351">
        <f t="shared" si="22"/>
        <v>0</v>
      </c>
      <c r="F121" s="1353">
        <f t="shared" si="23"/>
        <v>0</v>
      </c>
      <c r="G121" s="1353">
        <f t="shared" si="24"/>
        <v>0</v>
      </c>
      <c r="H121" s="1353">
        <f t="shared" si="25"/>
        <v>0</v>
      </c>
      <c r="I121" s="1353">
        <f t="shared" si="26"/>
        <v>0</v>
      </c>
      <c r="J121" s="1353">
        <f t="shared" si="27"/>
        <v>0</v>
      </c>
      <c r="M121" s="1324" t="str">
        <f t="shared" si="28"/>
        <v>"User Defined" Local Revenue</v>
      </c>
      <c r="N121" s="1368">
        <f t="shared" si="29"/>
        <v>0</v>
      </c>
      <c r="O121" s="1368">
        <f t="shared" si="32"/>
        <v>0</v>
      </c>
      <c r="P121" s="1368">
        <f t="shared" si="32"/>
        <v>0</v>
      </c>
      <c r="Q121" s="1368">
        <f t="shared" si="32"/>
        <v>0</v>
      </c>
      <c r="R121" s="1368">
        <f t="shared" si="32"/>
        <v>0</v>
      </c>
      <c r="T121" s="1369">
        <v>-5.6000000000000001E-2</v>
      </c>
      <c r="U121" s="1369">
        <v>0.02</v>
      </c>
      <c r="V121" s="1369">
        <v>0.02</v>
      </c>
      <c r="W121" s="1369">
        <v>0.02</v>
      </c>
      <c r="X121" s="1369">
        <v>0.02</v>
      </c>
      <c r="Y121" s="1367"/>
      <c r="Z121" s="1370">
        <v>0</v>
      </c>
      <c r="AA121" s="1370">
        <v>0</v>
      </c>
      <c r="AB121" s="1370">
        <v>0</v>
      </c>
      <c r="AC121" s="1370">
        <v>0</v>
      </c>
      <c r="AD121" s="1370">
        <v>0</v>
      </c>
      <c r="AK121" s="1354">
        <f t="shared" si="19"/>
        <v>0</v>
      </c>
      <c r="AL121" s="1352">
        <f t="shared" si="31"/>
        <v>2</v>
      </c>
      <c r="AM121" s="1354">
        <f t="shared" si="17"/>
        <v>0</v>
      </c>
      <c r="AN121" s="1352" t="str">
        <f t="shared" si="18"/>
        <v>"User Defined" Local Revenue</v>
      </c>
    </row>
    <row r="122" spans="1:40" x14ac:dyDescent="0.2">
      <c r="A122" s="1324" t="s">
        <v>3452</v>
      </c>
      <c r="B122" s="1324" t="s">
        <v>5377</v>
      </c>
      <c r="C122" s="1353">
        <f>'Key Metrics'!C61</f>
        <v>0</v>
      </c>
      <c r="D122" s="1353">
        <f>'Key Metrics'!D61</f>
        <v>0</v>
      </c>
      <c r="E122" s="1351">
        <f t="shared" si="22"/>
        <v>0</v>
      </c>
      <c r="F122" s="1353">
        <f t="shared" si="23"/>
        <v>0</v>
      </c>
      <c r="G122" s="1353">
        <f t="shared" si="24"/>
        <v>0</v>
      </c>
      <c r="H122" s="1353">
        <f t="shared" si="25"/>
        <v>0</v>
      </c>
      <c r="I122" s="1353">
        <f t="shared" si="26"/>
        <v>0</v>
      </c>
      <c r="J122" s="1353">
        <f t="shared" si="27"/>
        <v>0</v>
      </c>
      <c r="M122" s="1324" t="str">
        <f t="shared" si="28"/>
        <v>"User Defined" Local Revenue</v>
      </c>
      <c r="N122" s="1368">
        <f t="shared" si="29"/>
        <v>0</v>
      </c>
      <c r="O122" s="1368">
        <f t="shared" si="32"/>
        <v>0</v>
      </c>
      <c r="P122" s="1368">
        <f t="shared" si="32"/>
        <v>0</v>
      </c>
      <c r="Q122" s="1368">
        <f t="shared" si="32"/>
        <v>0</v>
      </c>
      <c r="R122" s="1368">
        <f t="shared" si="32"/>
        <v>0</v>
      </c>
      <c r="T122" s="1369">
        <v>-5.6000000000000001E-2</v>
      </c>
      <c r="U122" s="1369">
        <v>0.02</v>
      </c>
      <c r="V122" s="1369">
        <v>0.02</v>
      </c>
      <c r="W122" s="1369">
        <v>0.02</v>
      </c>
      <c r="X122" s="1369">
        <v>0.02</v>
      </c>
      <c r="Y122" s="1367"/>
      <c r="Z122" s="1370">
        <v>0</v>
      </c>
      <c r="AA122" s="1370">
        <v>0</v>
      </c>
      <c r="AB122" s="1370">
        <v>0</v>
      </c>
      <c r="AC122" s="1370">
        <v>0</v>
      </c>
      <c r="AD122" s="1370">
        <v>0</v>
      </c>
      <c r="AK122" s="1354">
        <f t="shared" si="19"/>
        <v>0</v>
      </c>
      <c r="AL122" s="1352">
        <f t="shared" si="31"/>
        <v>2</v>
      </c>
      <c r="AM122" s="1354">
        <f t="shared" si="17"/>
        <v>0</v>
      </c>
      <c r="AN122" s="1352" t="str">
        <f t="shared" si="18"/>
        <v>"User Defined" Local Revenue</v>
      </c>
    </row>
    <row r="123" spans="1:40" x14ac:dyDescent="0.2">
      <c r="A123" s="1324" t="s">
        <v>3454</v>
      </c>
      <c r="B123" s="1324" t="s">
        <v>5377</v>
      </c>
      <c r="C123" s="1353">
        <f>'Key Metrics'!C62</f>
        <v>0</v>
      </c>
      <c r="D123" s="1353">
        <f>'Key Metrics'!D62</f>
        <v>0</v>
      </c>
      <c r="E123" s="1351">
        <f t="shared" si="22"/>
        <v>0</v>
      </c>
      <c r="F123" s="1353">
        <f t="shared" si="23"/>
        <v>0</v>
      </c>
      <c r="G123" s="1353">
        <f t="shared" si="24"/>
        <v>0</v>
      </c>
      <c r="H123" s="1353">
        <f t="shared" si="25"/>
        <v>0</v>
      </c>
      <c r="I123" s="1353">
        <f t="shared" si="26"/>
        <v>0</v>
      </c>
      <c r="J123" s="1353">
        <f t="shared" si="27"/>
        <v>0</v>
      </c>
      <c r="M123" s="1324" t="str">
        <f t="shared" si="28"/>
        <v>"User Defined" Local Revenue</v>
      </c>
      <c r="N123" s="1368">
        <f t="shared" si="29"/>
        <v>0</v>
      </c>
      <c r="O123" s="1368">
        <f t="shared" si="32"/>
        <v>0</v>
      </c>
      <c r="P123" s="1368">
        <f t="shared" si="32"/>
        <v>0</v>
      </c>
      <c r="Q123" s="1368">
        <f t="shared" si="32"/>
        <v>0</v>
      </c>
      <c r="R123" s="1368">
        <f t="shared" si="32"/>
        <v>0</v>
      </c>
      <c r="T123" s="1369">
        <v>-5.6000000000000001E-2</v>
      </c>
      <c r="U123" s="1369">
        <v>0.02</v>
      </c>
      <c r="V123" s="1369">
        <v>0.02</v>
      </c>
      <c r="W123" s="1369">
        <v>0.02</v>
      </c>
      <c r="X123" s="1369">
        <v>0.02</v>
      </c>
      <c r="Y123" s="1367"/>
      <c r="Z123" s="1370">
        <v>0</v>
      </c>
      <c r="AA123" s="1370">
        <v>0</v>
      </c>
      <c r="AB123" s="1370">
        <v>0</v>
      </c>
      <c r="AC123" s="1370">
        <v>0</v>
      </c>
      <c r="AD123" s="1370">
        <v>0</v>
      </c>
      <c r="AK123" s="1354">
        <f t="shared" si="19"/>
        <v>0</v>
      </c>
      <c r="AL123" s="1352">
        <f t="shared" si="31"/>
        <v>2</v>
      </c>
      <c r="AM123" s="1354">
        <f t="shared" si="17"/>
        <v>0</v>
      </c>
      <c r="AN123" s="1352" t="str">
        <f t="shared" si="18"/>
        <v>"User Defined" Local Revenue</v>
      </c>
    </row>
    <row r="124" spans="1:40" x14ac:dyDescent="0.2">
      <c r="A124" s="1324" t="s">
        <v>3456</v>
      </c>
      <c r="B124" s="1324" t="s">
        <v>5377</v>
      </c>
      <c r="C124" s="1353">
        <f>'Key Metrics'!C63</f>
        <v>0</v>
      </c>
      <c r="D124" s="1353">
        <f>'Key Metrics'!D63</f>
        <v>0</v>
      </c>
      <c r="E124" s="1351">
        <f t="shared" si="22"/>
        <v>0</v>
      </c>
      <c r="F124" s="1353">
        <f t="shared" si="23"/>
        <v>0</v>
      </c>
      <c r="G124" s="1353">
        <f t="shared" si="24"/>
        <v>0</v>
      </c>
      <c r="H124" s="1353">
        <f t="shared" si="25"/>
        <v>0</v>
      </c>
      <c r="I124" s="1353">
        <f t="shared" si="26"/>
        <v>0</v>
      </c>
      <c r="J124" s="1353">
        <f t="shared" si="27"/>
        <v>0</v>
      </c>
      <c r="M124" s="1324" t="str">
        <f t="shared" si="28"/>
        <v>"User Defined" Local Revenue</v>
      </c>
      <c r="N124" s="1368">
        <f t="shared" si="29"/>
        <v>0</v>
      </c>
      <c r="O124" s="1368">
        <f t="shared" si="32"/>
        <v>0</v>
      </c>
      <c r="P124" s="1368">
        <f t="shared" si="32"/>
        <v>0</v>
      </c>
      <c r="Q124" s="1368">
        <f t="shared" si="32"/>
        <v>0</v>
      </c>
      <c r="R124" s="1368">
        <f t="shared" si="32"/>
        <v>0</v>
      </c>
      <c r="T124" s="1369">
        <v>-5.6000000000000001E-2</v>
      </c>
      <c r="U124" s="1369">
        <v>0.02</v>
      </c>
      <c r="V124" s="1369">
        <v>0.02</v>
      </c>
      <c r="W124" s="1369">
        <v>0.02</v>
      </c>
      <c r="X124" s="1369">
        <v>0.02</v>
      </c>
      <c r="Y124" s="1367"/>
      <c r="Z124" s="1370">
        <v>0</v>
      </c>
      <c r="AA124" s="1370">
        <v>0</v>
      </c>
      <c r="AB124" s="1370">
        <v>0</v>
      </c>
      <c r="AC124" s="1370">
        <v>0</v>
      </c>
      <c r="AD124" s="1370">
        <v>0</v>
      </c>
      <c r="AK124" s="1354">
        <f t="shared" si="19"/>
        <v>0</v>
      </c>
      <c r="AL124" s="1352">
        <f t="shared" si="31"/>
        <v>2</v>
      </c>
      <c r="AM124" s="1354">
        <f t="shared" si="17"/>
        <v>0</v>
      </c>
      <c r="AN124" s="1352" t="str">
        <f t="shared" si="18"/>
        <v>"User Defined" Local Revenue</v>
      </c>
    </row>
    <row r="125" spans="1:40" x14ac:dyDescent="0.2">
      <c r="A125" s="1324" t="s">
        <v>3458</v>
      </c>
      <c r="B125" s="1324" t="s">
        <v>5377</v>
      </c>
      <c r="C125" s="1353">
        <f>'Key Metrics'!C64</f>
        <v>0</v>
      </c>
      <c r="D125" s="1353">
        <f>'Key Metrics'!D64</f>
        <v>0</v>
      </c>
      <c r="E125" s="1351">
        <f t="shared" si="22"/>
        <v>0</v>
      </c>
      <c r="F125" s="1353">
        <f t="shared" si="23"/>
        <v>0</v>
      </c>
      <c r="G125" s="1353">
        <f t="shared" si="24"/>
        <v>0</v>
      </c>
      <c r="H125" s="1353">
        <f t="shared" si="25"/>
        <v>0</v>
      </c>
      <c r="I125" s="1353">
        <f t="shared" si="26"/>
        <v>0</v>
      </c>
      <c r="J125" s="1353">
        <f t="shared" si="27"/>
        <v>0</v>
      </c>
      <c r="M125" s="1324" t="str">
        <f t="shared" si="28"/>
        <v>"User Defined" Local Revenue</v>
      </c>
      <c r="N125" s="1368">
        <f t="shared" si="29"/>
        <v>0</v>
      </c>
      <c r="O125" s="1368">
        <f t="shared" si="32"/>
        <v>0</v>
      </c>
      <c r="P125" s="1368">
        <f t="shared" si="32"/>
        <v>0</v>
      </c>
      <c r="Q125" s="1368">
        <f t="shared" si="32"/>
        <v>0</v>
      </c>
      <c r="R125" s="1368">
        <f t="shared" si="32"/>
        <v>0</v>
      </c>
      <c r="T125" s="1369">
        <v>-5.6000000000000001E-2</v>
      </c>
      <c r="U125" s="1369">
        <v>0.02</v>
      </c>
      <c r="V125" s="1369">
        <v>0.02</v>
      </c>
      <c r="W125" s="1369">
        <v>0.02</v>
      </c>
      <c r="X125" s="1369">
        <v>0.02</v>
      </c>
      <c r="Y125" s="1367"/>
      <c r="Z125" s="1370">
        <v>0</v>
      </c>
      <c r="AA125" s="1370">
        <v>0</v>
      </c>
      <c r="AB125" s="1370">
        <v>0</v>
      </c>
      <c r="AC125" s="1370">
        <v>0</v>
      </c>
      <c r="AD125" s="1370">
        <v>0</v>
      </c>
      <c r="AK125" s="1354">
        <f t="shared" si="19"/>
        <v>0</v>
      </c>
      <c r="AL125" s="1352">
        <f t="shared" si="31"/>
        <v>2</v>
      </c>
      <c r="AM125" s="1354">
        <f t="shared" si="17"/>
        <v>0</v>
      </c>
      <c r="AN125" s="1352" t="str">
        <f t="shared" si="18"/>
        <v>"User Defined" Local Revenue</v>
      </c>
    </row>
    <row r="126" spans="1:40" x14ac:dyDescent="0.2">
      <c r="A126" s="1324" t="s">
        <v>3460</v>
      </c>
      <c r="B126" s="1324" t="s">
        <v>5377</v>
      </c>
      <c r="C126" s="1353">
        <f>'Key Metrics'!C65</f>
        <v>0</v>
      </c>
      <c r="D126" s="1353">
        <f>'Key Metrics'!D65</f>
        <v>0</v>
      </c>
      <c r="E126" s="1351">
        <f t="shared" si="22"/>
        <v>0</v>
      </c>
      <c r="F126" s="1353">
        <f t="shared" si="23"/>
        <v>0</v>
      </c>
      <c r="G126" s="1353">
        <f t="shared" si="24"/>
        <v>0</v>
      </c>
      <c r="H126" s="1353">
        <f t="shared" si="25"/>
        <v>0</v>
      </c>
      <c r="I126" s="1353">
        <f t="shared" si="26"/>
        <v>0</v>
      </c>
      <c r="J126" s="1353">
        <f t="shared" si="27"/>
        <v>0</v>
      </c>
      <c r="M126" s="1324" t="str">
        <f t="shared" si="28"/>
        <v>"User Defined" Local Revenue</v>
      </c>
      <c r="N126" s="1368">
        <f t="shared" si="29"/>
        <v>0</v>
      </c>
      <c r="O126" s="1368">
        <f t="shared" si="32"/>
        <v>0</v>
      </c>
      <c r="P126" s="1368">
        <f t="shared" si="32"/>
        <v>0</v>
      </c>
      <c r="Q126" s="1368">
        <f t="shared" si="32"/>
        <v>0</v>
      </c>
      <c r="R126" s="1368">
        <f t="shared" si="32"/>
        <v>0</v>
      </c>
      <c r="T126" s="1369">
        <v>-5.6000000000000001E-2</v>
      </c>
      <c r="U126" s="1369">
        <v>0.02</v>
      </c>
      <c r="V126" s="1369">
        <v>0.02</v>
      </c>
      <c r="W126" s="1369">
        <v>0.02</v>
      </c>
      <c r="X126" s="1369">
        <v>0.02</v>
      </c>
      <c r="Y126" s="1367"/>
      <c r="Z126" s="1370">
        <v>0</v>
      </c>
      <c r="AA126" s="1370">
        <v>0</v>
      </c>
      <c r="AB126" s="1370">
        <v>0</v>
      </c>
      <c r="AC126" s="1370">
        <v>0</v>
      </c>
      <c r="AD126" s="1370">
        <v>0</v>
      </c>
      <c r="AK126" s="1354">
        <f t="shared" si="19"/>
        <v>0</v>
      </c>
      <c r="AL126" s="1352">
        <f t="shared" si="31"/>
        <v>2</v>
      </c>
      <c r="AM126" s="1354">
        <f t="shared" si="17"/>
        <v>0</v>
      </c>
      <c r="AN126" s="1352" t="str">
        <f t="shared" si="18"/>
        <v>"User Defined" Local Revenue</v>
      </c>
    </row>
    <row r="127" spans="1:40" x14ac:dyDescent="0.2">
      <c r="A127" s="1324" t="s">
        <v>3462</v>
      </c>
      <c r="B127" s="1324" t="s">
        <v>5377</v>
      </c>
      <c r="C127" s="1353">
        <f>'Key Metrics'!C66</f>
        <v>0</v>
      </c>
      <c r="D127" s="1353">
        <f>'Key Metrics'!D66</f>
        <v>0</v>
      </c>
      <c r="E127" s="1351">
        <f t="shared" si="22"/>
        <v>0</v>
      </c>
      <c r="F127" s="1353">
        <f t="shared" si="23"/>
        <v>0</v>
      </c>
      <c r="G127" s="1353">
        <f t="shared" si="24"/>
        <v>0</v>
      </c>
      <c r="H127" s="1353">
        <f t="shared" si="25"/>
        <v>0</v>
      </c>
      <c r="I127" s="1353">
        <f t="shared" si="26"/>
        <v>0</v>
      </c>
      <c r="J127" s="1353">
        <f t="shared" si="27"/>
        <v>0</v>
      </c>
      <c r="M127" s="1324" t="str">
        <f t="shared" si="28"/>
        <v>"User Defined" Local Revenue</v>
      </c>
      <c r="N127" s="1368">
        <f t="shared" si="29"/>
        <v>0</v>
      </c>
      <c r="O127" s="1368">
        <f t="shared" si="32"/>
        <v>0</v>
      </c>
      <c r="P127" s="1368">
        <f t="shared" si="32"/>
        <v>0</v>
      </c>
      <c r="Q127" s="1368">
        <f t="shared" si="32"/>
        <v>0</v>
      </c>
      <c r="R127" s="1368">
        <f t="shared" si="32"/>
        <v>0</v>
      </c>
      <c r="T127" s="1369">
        <v>-5.6000000000000001E-2</v>
      </c>
      <c r="U127" s="1369">
        <v>0.02</v>
      </c>
      <c r="V127" s="1369">
        <v>0.02</v>
      </c>
      <c r="W127" s="1369">
        <v>0.02</v>
      </c>
      <c r="X127" s="1369">
        <v>0.02</v>
      </c>
      <c r="Y127" s="1367"/>
      <c r="Z127" s="1370">
        <v>0</v>
      </c>
      <c r="AA127" s="1370">
        <v>0</v>
      </c>
      <c r="AB127" s="1370">
        <v>0</v>
      </c>
      <c r="AC127" s="1370">
        <v>0</v>
      </c>
      <c r="AD127" s="1370">
        <v>0</v>
      </c>
      <c r="AK127" s="1354">
        <f t="shared" si="19"/>
        <v>0</v>
      </c>
      <c r="AL127" s="1352">
        <f t="shared" si="31"/>
        <v>2</v>
      </c>
      <c r="AM127" s="1354">
        <f t="shared" si="17"/>
        <v>0</v>
      </c>
      <c r="AN127" s="1352" t="str">
        <f t="shared" si="18"/>
        <v>"User Defined" Local Revenue</v>
      </c>
    </row>
    <row r="128" spans="1:40" x14ac:dyDescent="0.2">
      <c r="B128" s="1357" t="s">
        <v>5607</v>
      </c>
      <c r="C128" s="1360">
        <f>SUM(C96:C127)</f>
        <v>29393.780000000002</v>
      </c>
      <c r="D128" s="1360">
        <f>SUM(D96:D127)</f>
        <v>13725</v>
      </c>
      <c r="E128" s="1356">
        <f t="shared" si="22"/>
        <v>-0.53306447826717085</v>
      </c>
      <c r="F128" s="1360">
        <f>SUM(F96:F127)</f>
        <v>12956.4</v>
      </c>
      <c r="G128" s="1360">
        <f>SUM(G96:G127)</f>
        <v>13215.528</v>
      </c>
      <c r="H128" s="1360">
        <f>SUM(H96:H127)</f>
        <v>13479.83856</v>
      </c>
      <c r="I128" s="1360">
        <f>SUM(I96:I127)</f>
        <v>13749.4353312</v>
      </c>
      <c r="J128" s="1360">
        <f>SUM(J96:J127)</f>
        <v>14024.424037823999</v>
      </c>
      <c r="N128" s="1328"/>
      <c r="O128" s="1328"/>
      <c r="P128" s="1328"/>
      <c r="Q128" s="1328"/>
      <c r="R128" s="1328"/>
      <c r="T128" s="1371"/>
      <c r="U128" s="1371"/>
      <c r="V128" s="1371"/>
      <c r="W128" s="1371"/>
      <c r="X128" s="1371"/>
      <c r="Y128" s="1367"/>
      <c r="Z128" s="1372"/>
      <c r="AA128" s="1372"/>
      <c r="AB128" s="1372"/>
      <c r="AC128" s="1372"/>
      <c r="AD128" s="1372"/>
      <c r="AK128" s="1354"/>
      <c r="AL128" s="1352"/>
      <c r="AM128" s="1354"/>
      <c r="AN128" s="1352"/>
    </row>
    <row r="129" spans="1:40" x14ac:dyDescent="0.2">
      <c r="E129" s="1351"/>
      <c r="N129" s="1328"/>
      <c r="O129" s="1328"/>
      <c r="P129" s="1328"/>
      <c r="Q129" s="1328"/>
      <c r="R129" s="1328"/>
      <c r="T129" s="1371"/>
      <c r="U129" s="1371"/>
      <c r="V129" s="1371"/>
      <c r="W129" s="1371"/>
      <c r="X129" s="1371"/>
      <c r="Y129" s="1367"/>
      <c r="Z129" s="1372"/>
      <c r="AA129" s="1372"/>
      <c r="AB129" s="1372"/>
      <c r="AC129" s="1372"/>
      <c r="AD129" s="1372"/>
      <c r="AK129" s="1354"/>
      <c r="AL129" s="1352"/>
      <c r="AM129" s="1354"/>
      <c r="AN129" s="1352"/>
    </row>
    <row r="130" spans="1:40" x14ac:dyDescent="0.2">
      <c r="A130" s="1364" t="s">
        <v>334</v>
      </c>
      <c r="B130" s="1365"/>
      <c r="C130" s="1364"/>
      <c r="D130" s="1364"/>
      <c r="E130" s="1366"/>
      <c r="F130" s="1364"/>
      <c r="G130" s="1364"/>
      <c r="H130" s="1364"/>
      <c r="I130" s="1364"/>
      <c r="J130" s="1364"/>
      <c r="M130" s="1364" t="s">
        <v>334</v>
      </c>
      <c r="N130" s="1365"/>
      <c r="O130" s="1364"/>
      <c r="P130" s="1364"/>
      <c r="Q130" s="1366"/>
      <c r="R130" s="1364"/>
      <c r="S130" s="1364"/>
      <c r="T130" s="1364"/>
      <c r="U130" s="1364"/>
      <c r="V130" s="1364"/>
      <c r="W130" s="1364"/>
      <c r="X130" s="1364"/>
      <c r="Y130" s="1364"/>
      <c r="Z130" s="1364"/>
      <c r="AA130" s="1364"/>
      <c r="AB130" s="1364"/>
      <c r="AC130" s="1364"/>
      <c r="AD130" s="1364"/>
      <c r="AK130" s="1354"/>
      <c r="AL130" s="1352"/>
      <c r="AM130" s="1354"/>
      <c r="AN130" s="1352"/>
    </row>
    <row r="131" spans="1:40" x14ac:dyDescent="0.2">
      <c r="A131" s="1324" t="s">
        <v>528</v>
      </c>
      <c r="B131" s="1324" t="s">
        <v>5378</v>
      </c>
      <c r="C131" s="1353">
        <f>'Key Metrics'!C70</f>
        <v>190</v>
      </c>
      <c r="D131" s="1353">
        <f>'Key Metrics'!D70</f>
        <v>190</v>
      </c>
      <c r="E131" s="1351">
        <f t="shared" ref="E131:E148" si="33">IFERROR(D131/C131-1,0)</f>
        <v>0</v>
      </c>
      <c r="F131" s="1353">
        <f t="shared" ref="F131:F147" si="34">IFERROR(IF($I$3=1,D131*(1+N131),IF($I$3=2,D131*(1+T131),IF($I$3=3,Z131,"--"))),0)</f>
        <v>190</v>
      </c>
      <c r="G131" s="1353">
        <f t="shared" ref="G131:G147" si="35">IFERROR(IF($I$3=1,F131*(1+O131),IF($I$3=2,F131*(1+U131),IF($I$3=3,AA131,"--"))),0)</f>
        <v>190</v>
      </c>
      <c r="H131" s="1353">
        <f t="shared" ref="H131:H147" si="36">IFERROR(IF($I$3=1,G131*(1+P131),IF($I$3=2,G131*(1+V131),IF($I$3=3,AB131,"--"))),0)</f>
        <v>190</v>
      </c>
      <c r="I131" s="1353">
        <f t="shared" ref="I131:I147" si="37">IFERROR(IF($I$3=1,H131*(1+Q131),IF($I$3=2,H131*(1+W131),IF($I$3=3,AC131,"--"))),0)</f>
        <v>190</v>
      </c>
      <c r="J131" s="1353">
        <f t="shared" ref="J131:J147" si="38">IFERROR(IF($I$3=1,I131*(1+R131),IF($I$3=2,I131*(1+X131),IF($I$3=3,AD131,"--"))),0)</f>
        <v>190</v>
      </c>
      <c r="M131" s="1324" t="str">
        <f t="shared" ref="M131:M147" si="39">B131</f>
        <v>Consolidated Municipal Property Tax Relief Aid (CMPTRA)</v>
      </c>
      <c r="N131" s="1368">
        <v>0</v>
      </c>
      <c r="O131" s="1368">
        <f t="shared" ref="O131:R146" si="40">N131</f>
        <v>0</v>
      </c>
      <c r="P131" s="1368">
        <f t="shared" si="40"/>
        <v>0</v>
      </c>
      <c r="Q131" s="1368">
        <f t="shared" si="40"/>
        <v>0</v>
      </c>
      <c r="R131" s="1368">
        <f t="shared" si="40"/>
        <v>0</v>
      </c>
      <c r="T131" s="1369">
        <v>0</v>
      </c>
      <c r="U131" s="1369">
        <v>0</v>
      </c>
      <c r="V131" s="1369">
        <v>0</v>
      </c>
      <c r="W131" s="1369">
        <v>0</v>
      </c>
      <c r="X131" s="1369">
        <v>0</v>
      </c>
      <c r="Y131" s="1367"/>
      <c r="Z131" s="1370">
        <v>0</v>
      </c>
      <c r="AA131" s="1370">
        <v>0</v>
      </c>
      <c r="AB131" s="1370">
        <v>0</v>
      </c>
      <c r="AC131" s="1370">
        <v>0</v>
      </c>
      <c r="AD131" s="1370">
        <v>0</v>
      </c>
      <c r="AK131" s="1354">
        <f t="shared" si="19"/>
        <v>1330</v>
      </c>
      <c r="AL131" s="1352">
        <f t="shared" ref="AL131:AL147" si="41">RANK(AM131,$AM$86:$AM$217,1)</f>
        <v>2</v>
      </c>
      <c r="AM131" s="1354">
        <f t="shared" si="17"/>
        <v>0</v>
      </c>
      <c r="AN131" s="1352" t="str">
        <f t="shared" si="18"/>
        <v>Consolidated Municipal Property Tax Relief Aid (CMPTRA)</v>
      </c>
    </row>
    <row r="132" spans="1:40" x14ac:dyDescent="0.2">
      <c r="A132" s="1324" t="s">
        <v>529</v>
      </c>
      <c r="B132" s="1324" t="s">
        <v>5379</v>
      </c>
      <c r="C132" s="1353">
        <f>'Key Metrics'!C71</f>
        <v>83267</v>
      </c>
      <c r="D132" s="1353">
        <f>'Key Metrics'!D71</f>
        <v>83267</v>
      </c>
      <c r="E132" s="1351">
        <f t="shared" si="33"/>
        <v>0</v>
      </c>
      <c r="F132" s="1353">
        <f t="shared" si="34"/>
        <v>83267</v>
      </c>
      <c r="G132" s="1353">
        <f t="shared" si="35"/>
        <v>83267</v>
      </c>
      <c r="H132" s="1353">
        <f t="shared" si="36"/>
        <v>83267</v>
      </c>
      <c r="I132" s="1353">
        <f t="shared" si="37"/>
        <v>83267</v>
      </c>
      <c r="J132" s="1353">
        <f t="shared" si="38"/>
        <v>83267</v>
      </c>
      <c r="M132" s="1324" t="str">
        <f t="shared" si="39"/>
        <v>Energy Tax Receipts</v>
      </c>
      <c r="N132" s="1368">
        <v>0</v>
      </c>
      <c r="O132" s="1368">
        <f t="shared" si="40"/>
        <v>0</v>
      </c>
      <c r="P132" s="1368">
        <f t="shared" si="40"/>
        <v>0</v>
      </c>
      <c r="Q132" s="1368">
        <f t="shared" si="40"/>
        <v>0</v>
      </c>
      <c r="R132" s="1368">
        <f t="shared" si="40"/>
        <v>0</v>
      </c>
      <c r="T132" s="1369">
        <v>0</v>
      </c>
      <c r="U132" s="1369">
        <v>0</v>
      </c>
      <c r="V132" s="1369">
        <v>0</v>
      </c>
      <c r="W132" s="1369">
        <v>0</v>
      </c>
      <c r="X132" s="1369">
        <v>0</v>
      </c>
      <c r="Y132" s="1367"/>
      <c r="Z132" s="1370">
        <v>0</v>
      </c>
      <c r="AA132" s="1370">
        <v>0</v>
      </c>
      <c r="AB132" s="1370">
        <v>0</v>
      </c>
      <c r="AC132" s="1370">
        <v>0</v>
      </c>
      <c r="AD132" s="1370">
        <v>0</v>
      </c>
      <c r="AK132" s="1354">
        <f t="shared" si="19"/>
        <v>582869</v>
      </c>
      <c r="AL132" s="1352">
        <f t="shared" si="41"/>
        <v>2</v>
      </c>
      <c r="AM132" s="1354">
        <f t="shared" si="17"/>
        <v>0</v>
      </c>
      <c r="AN132" s="1352" t="str">
        <f t="shared" si="18"/>
        <v>Energy Tax Receipts</v>
      </c>
    </row>
    <row r="133" spans="1:40" x14ac:dyDescent="0.2">
      <c r="A133" s="1324" t="s">
        <v>3384</v>
      </c>
      <c r="B133" s="1324" t="s">
        <v>5380</v>
      </c>
      <c r="C133" s="1353">
        <f>'Key Metrics'!C72</f>
        <v>0</v>
      </c>
      <c r="D133" s="1353">
        <f>'Key Metrics'!D72</f>
        <v>0</v>
      </c>
      <c r="E133" s="1351">
        <f t="shared" si="33"/>
        <v>0</v>
      </c>
      <c r="F133" s="1353">
        <f t="shared" si="34"/>
        <v>0</v>
      </c>
      <c r="G133" s="1353">
        <f t="shared" si="35"/>
        <v>0</v>
      </c>
      <c r="H133" s="1353">
        <f t="shared" si="36"/>
        <v>0</v>
      </c>
      <c r="I133" s="1353">
        <f t="shared" si="37"/>
        <v>0</v>
      </c>
      <c r="J133" s="1353">
        <f t="shared" si="38"/>
        <v>0</v>
      </c>
      <c r="M133" s="1324" t="str">
        <f t="shared" si="39"/>
        <v>Supplemental Energy Tax Receipts</v>
      </c>
      <c r="N133" s="1368">
        <v>0</v>
      </c>
      <c r="O133" s="1368">
        <f t="shared" si="40"/>
        <v>0</v>
      </c>
      <c r="P133" s="1368">
        <f t="shared" si="40"/>
        <v>0</v>
      </c>
      <c r="Q133" s="1368">
        <f t="shared" si="40"/>
        <v>0</v>
      </c>
      <c r="R133" s="1368">
        <f t="shared" si="40"/>
        <v>0</v>
      </c>
      <c r="T133" s="1369">
        <v>0</v>
      </c>
      <c r="U133" s="1369">
        <v>0</v>
      </c>
      <c r="V133" s="1369">
        <v>0</v>
      </c>
      <c r="W133" s="1369">
        <v>0</v>
      </c>
      <c r="X133" s="1369">
        <v>0</v>
      </c>
      <c r="Y133" s="1367"/>
      <c r="Z133" s="1370">
        <v>0</v>
      </c>
      <c r="AA133" s="1370">
        <v>0</v>
      </c>
      <c r="AB133" s="1370">
        <v>0</v>
      </c>
      <c r="AC133" s="1370">
        <v>0</v>
      </c>
      <c r="AD133" s="1370">
        <v>0</v>
      </c>
      <c r="AK133" s="1354">
        <f t="shared" si="19"/>
        <v>0</v>
      </c>
      <c r="AL133" s="1352">
        <f t="shared" si="41"/>
        <v>2</v>
      </c>
      <c r="AM133" s="1354">
        <f t="shared" si="17"/>
        <v>0</v>
      </c>
      <c r="AN133" s="1352" t="str">
        <f t="shared" si="18"/>
        <v>Supplemental Energy Tax Receipts</v>
      </c>
    </row>
    <row r="134" spans="1:40" x14ac:dyDescent="0.2">
      <c r="A134" s="1324" t="s">
        <v>3387</v>
      </c>
      <c r="B134" s="1324" t="s">
        <v>5381</v>
      </c>
      <c r="C134" s="1353">
        <f>'Key Metrics'!C73</f>
        <v>0</v>
      </c>
      <c r="D134" s="1353">
        <f>'Key Metrics'!D73</f>
        <v>0</v>
      </c>
      <c r="E134" s="1351">
        <f t="shared" si="33"/>
        <v>0</v>
      </c>
      <c r="F134" s="1353">
        <f t="shared" si="34"/>
        <v>0</v>
      </c>
      <c r="G134" s="1353">
        <f t="shared" si="35"/>
        <v>0</v>
      </c>
      <c r="H134" s="1353">
        <f t="shared" si="36"/>
        <v>0</v>
      </c>
      <c r="I134" s="1353">
        <f t="shared" si="37"/>
        <v>0</v>
      </c>
      <c r="J134" s="1353">
        <f t="shared" si="38"/>
        <v>0</v>
      </c>
      <c r="M134" s="1324" t="str">
        <f t="shared" si="39"/>
        <v>Extraordinary Aid</v>
      </c>
      <c r="N134" s="1368">
        <v>0</v>
      </c>
      <c r="O134" s="1368">
        <f t="shared" si="40"/>
        <v>0</v>
      </c>
      <c r="P134" s="1368">
        <f t="shared" si="40"/>
        <v>0</v>
      </c>
      <c r="Q134" s="1368">
        <f t="shared" si="40"/>
        <v>0</v>
      </c>
      <c r="R134" s="1368">
        <f t="shared" si="40"/>
        <v>0</v>
      </c>
      <c r="T134" s="1369">
        <v>0</v>
      </c>
      <c r="U134" s="1369">
        <v>0</v>
      </c>
      <c r="V134" s="1369">
        <v>0</v>
      </c>
      <c r="W134" s="1369">
        <v>0</v>
      </c>
      <c r="X134" s="1369">
        <v>0</v>
      </c>
      <c r="Y134" s="1367"/>
      <c r="Z134" s="1370">
        <v>0</v>
      </c>
      <c r="AA134" s="1370">
        <v>0</v>
      </c>
      <c r="AB134" s="1370">
        <v>0</v>
      </c>
      <c r="AC134" s="1370">
        <v>0</v>
      </c>
      <c r="AD134" s="1370">
        <v>0</v>
      </c>
      <c r="AK134" s="1354">
        <f t="shared" si="19"/>
        <v>0</v>
      </c>
      <c r="AL134" s="1352">
        <f t="shared" si="41"/>
        <v>2</v>
      </c>
      <c r="AM134" s="1354">
        <f t="shared" si="17"/>
        <v>0</v>
      </c>
      <c r="AN134" s="1352" t="str">
        <f t="shared" si="18"/>
        <v>Extraordinary Aid</v>
      </c>
    </row>
    <row r="135" spans="1:40" x14ac:dyDescent="0.2">
      <c r="A135" s="1324" t="s">
        <v>3391</v>
      </c>
      <c r="B135" s="1324" t="s">
        <v>5382</v>
      </c>
      <c r="C135" s="1353">
        <f>'Key Metrics'!C74</f>
        <v>0</v>
      </c>
      <c r="D135" s="1353">
        <f>'Key Metrics'!D74</f>
        <v>0</v>
      </c>
      <c r="E135" s="1351">
        <f t="shared" si="33"/>
        <v>0</v>
      </c>
      <c r="F135" s="1353">
        <f t="shared" si="34"/>
        <v>0</v>
      </c>
      <c r="G135" s="1353">
        <f t="shared" si="35"/>
        <v>0</v>
      </c>
      <c r="H135" s="1353">
        <f t="shared" si="36"/>
        <v>0</v>
      </c>
      <c r="I135" s="1353">
        <f t="shared" si="37"/>
        <v>0</v>
      </c>
      <c r="J135" s="1353">
        <f t="shared" si="38"/>
        <v>0</v>
      </c>
      <c r="M135" s="1324" t="str">
        <f t="shared" si="39"/>
        <v>Garden State Trust</v>
      </c>
      <c r="N135" s="1368">
        <v>0</v>
      </c>
      <c r="O135" s="1368">
        <f t="shared" si="40"/>
        <v>0</v>
      </c>
      <c r="P135" s="1368">
        <f t="shared" si="40"/>
        <v>0</v>
      </c>
      <c r="Q135" s="1368">
        <f t="shared" si="40"/>
        <v>0</v>
      </c>
      <c r="R135" s="1368">
        <f t="shared" si="40"/>
        <v>0</v>
      </c>
      <c r="T135" s="1369">
        <v>0</v>
      </c>
      <c r="U135" s="1369">
        <v>0</v>
      </c>
      <c r="V135" s="1369">
        <v>0</v>
      </c>
      <c r="W135" s="1369">
        <v>0</v>
      </c>
      <c r="X135" s="1369">
        <v>0</v>
      </c>
      <c r="Y135" s="1367"/>
      <c r="Z135" s="1370">
        <v>0</v>
      </c>
      <c r="AA135" s="1370">
        <v>0</v>
      </c>
      <c r="AB135" s="1370">
        <v>0</v>
      </c>
      <c r="AC135" s="1370">
        <v>0</v>
      </c>
      <c r="AD135" s="1370">
        <v>0</v>
      </c>
      <c r="AK135" s="1354">
        <f t="shared" si="19"/>
        <v>0</v>
      </c>
      <c r="AL135" s="1352">
        <f t="shared" si="41"/>
        <v>2</v>
      </c>
      <c r="AM135" s="1354">
        <f t="shared" si="17"/>
        <v>0</v>
      </c>
      <c r="AN135" s="1352" t="str">
        <f t="shared" si="18"/>
        <v>Garden State Trust</v>
      </c>
    </row>
    <row r="136" spans="1:40" x14ac:dyDescent="0.2">
      <c r="A136" s="1324" t="s">
        <v>3395</v>
      </c>
      <c r="B136" s="1324" t="s">
        <v>5383</v>
      </c>
      <c r="C136" s="1353">
        <f>'Key Metrics'!C75</f>
        <v>0</v>
      </c>
      <c r="D136" s="1353">
        <f>'Key Metrics'!D75</f>
        <v>0</v>
      </c>
      <c r="E136" s="1351">
        <f t="shared" si="33"/>
        <v>0</v>
      </c>
      <c r="F136" s="1353">
        <f t="shared" si="34"/>
        <v>0</v>
      </c>
      <c r="G136" s="1353">
        <f t="shared" si="35"/>
        <v>0</v>
      </c>
      <c r="H136" s="1353">
        <f t="shared" si="36"/>
        <v>0</v>
      </c>
      <c r="I136" s="1353">
        <f t="shared" si="37"/>
        <v>0</v>
      </c>
      <c r="J136" s="1353">
        <f t="shared" si="38"/>
        <v>0</v>
      </c>
      <c r="M136" s="1324" t="str">
        <f t="shared" si="39"/>
        <v>Watershed Aid</v>
      </c>
      <c r="N136" s="1368">
        <v>0</v>
      </c>
      <c r="O136" s="1368">
        <f t="shared" si="40"/>
        <v>0</v>
      </c>
      <c r="P136" s="1368">
        <f t="shared" si="40"/>
        <v>0</v>
      </c>
      <c r="Q136" s="1368">
        <f t="shared" si="40"/>
        <v>0</v>
      </c>
      <c r="R136" s="1368">
        <f t="shared" si="40"/>
        <v>0</v>
      </c>
      <c r="T136" s="1369">
        <v>0</v>
      </c>
      <c r="U136" s="1369">
        <v>0</v>
      </c>
      <c r="V136" s="1369">
        <v>0</v>
      </c>
      <c r="W136" s="1369">
        <v>0</v>
      </c>
      <c r="X136" s="1369">
        <v>0</v>
      </c>
      <c r="Y136" s="1367"/>
      <c r="Z136" s="1370">
        <v>0</v>
      </c>
      <c r="AA136" s="1370">
        <v>0</v>
      </c>
      <c r="AB136" s="1370">
        <v>0</v>
      </c>
      <c r="AC136" s="1370">
        <v>0</v>
      </c>
      <c r="AD136" s="1370">
        <v>0</v>
      </c>
      <c r="AK136" s="1354">
        <f t="shared" si="19"/>
        <v>0</v>
      </c>
      <c r="AL136" s="1352">
        <f t="shared" si="41"/>
        <v>2</v>
      </c>
      <c r="AM136" s="1354">
        <f t="shared" si="17"/>
        <v>0</v>
      </c>
      <c r="AN136" s="1352" t="str">
        <f t="shared" si="18"/>
        <v>Watershed Aid</v>
      </c>
    </row>
    <row r="137" spans="1:40" x14ac:dyDescent="0.2">
      <c r="A137" s="1324" t="s">
        <v>3399</v>
      </c>
      <c r="B137" s="1324" t="s">
        <v>5384</v>
      </c>
      <c r="C137" s="1353">
        <f>'Key Metrics'!C76</f>
        <v>0</v>
      </c>
      <c r="D137" s="1353">
        <f>'Key Metrics'!D76</f>
        <v>0</v>
      </c>
      <c r="E137" s="1351">
        <f t="shared" si="33"/>
        <v>0</v>
      </c>
      <c r="F137" s="1353">
        <f t="shared" si="34"/>
        <v>0</v>
      </c>
      <c r="G137" s="1353">
        <f t="shared" si="35"/>
        <v>0</v>
      </c>
      <c r="H137" s="1353">
        <f t="shared" si="36"/>
        <v>0</v>
      </c>
      <c r="I137" s="1353">
        <f t="shared" si="37"/>
        <v>0</v>
      </c>
      <c r="J137" s="1353">
        <f t="shared" si="38"/>
        <v>0</v>
      </c>
      <c r="M137" s="1324" t="str">
        <f t="shared" si="39"/>
        <v>Pinelands Aid</v>
      </c>
      <c r="N137" s="1368">
        <v>0</v>
      </c>
      <c r="O137" s="1368">
        <f t="shared" si="40"/>
        <v>0</v>
      </c>
      <c r="P137" s="1368">
        <f t="shared" si="40"/>
        <v>0</v>
      </c>
      <c r="Q137" s="1368">
        <f t="shared" si="40"/>
        <v>0</v>
      </c>
      <c r="R137" s="1368">
        <f t="shared" si="40"/>
        <v>0</v>
      </c>
      <c r="T137" s="1369">
        <v>0</v>
      </c>
      <c r="U137" s="1369">
        <v>0</v>
      </c>
      <c r="V137" s="1369">
        <v>0</v>
      </c>
      <c r="W137" s="1369">
        <v>0</v>
      </c>
      <c r="X137" s="1369">
        <v>0</v>
      </c>
      <c r="Y137" s="1367"/>
      <c r="Z137" s="1370">
        <v>0</v>
      </c>
      <c r="AA137" s="1370">
        <v>0</v>
      </c>
      <c r="AB137" s="1370">
        <v>0</v>
      </c>
      <c r="AC137" s="1370">
        <v>0</v>
      </c>
      <c r="AD137" s="1370">
        <v>0</v>
      </c>
      <c r="AK137" s="1354">
        <f t="shared" si="19"/>
        <v>0</v>
      </c>
      <c r="AL137" s="1352">
        <f t="shared" si="41"/>
        <v>2</v>
      </c>
      <c r="AM137" s="1354">
        <f t="shared" si="17"/>
        <v>0</v>
      </c>
      <c r="AN137" s="1352" t="str">
        <f t="shared" si="18"/>
        <v>Pinelands Aid</v>
      </c>
    </row>
    <row r="138" spans="1:40" x14ac:dyDescent="0.2">
      <c r="A138" s="1324" t="s">
        <v>3402</v>
      </c>
      <c r="B138" s="1324" t="s">
        <v>5385</v>
      </c>
      <c r="C138" s="1353">
        <f>'Key Metrics'!C77</f>
        <v>0</v>
      </c>
      <c r="D138" s="1353">
        <f>'Key Metrics'!D77</f>
        <v>0</v>
      </c>
      <c r="E138" s="1351">
        <f t="shared" si="33"/>
        <v>0</v>
      </c>
      <c r="F138" s="1353">
        <f t="shared" si="34"/>
        <v>0</v>
      </c>
      <c r="G138" s="1353">
        <f t="shared" si="35"/>
        <v>0</v>
      </c>
      <c r="H138" s="1353">
        <f t="shared" si="36"/>
        <v>0</v>
      </c>
      <c r="I138" s="1353">
        <f t="shared" si="37"/>
        <v>0</v>
      </c>
      <c r="J138" s="1353">
        <f t="shared" si="38"/>
        <v>0</v>
      </c>
      <c r="M138" s="1324" t="str">
        <f t="shared" si="39"/>
        <v>School Building Aid Allowance</v>
      </c>
      <c r="N138" s="1368">
        <v>0</v>
      </c>
      <c r="O138" s="1368">
        <f t="shared" si="40"/>
        <v>0</v>
      </c>
      <c r="P138" s="1368">
        <f t="shared" si="40"/>
        <v>0</v>
      </c>
      <c r="Q138" s="1368">
        <f t="shared" si="40"/>
        <v>0</v>
      </c>
      <c r="R138" s="1368">
        <f t="shared" si="40"/>
        <v>0</v>
      </c>
      <c r="T138" s="1369">
        <v>0</v>
      </c>
      <c r="U138" s="1369">
        <v>0</v>
      </c>
      <c r="V138" s="1369">
        <v>0</v>
      </c>
      <c r="W138" s="1369">
        <v>0</v>
      </c>
      <c r="X138" s="1369">
        <v>0</v>
      </c>
      <c r="Y138" s="1367"/>
      <c r="Z138" s="1370">
        <v>0</v>
      </c>
      <c r="AA138" s="1370">
        <v>0</v>
      </c>
      <c r="AB138" s="1370">
        <v>0</v>
      </c>
      <c r="AC138" s="1370">
        <v>0</v>
      </c>
      <c r="AD138" s="1370">
        <v>0</v>
      </c>
      <c r="AK138" s="1354">
        <f t="shared" si="19"/>
        <v>0</v>
      </c>
      <c r="AL138" s="1352">
        <f t="shared" si="41"/>
        <v>2</v>
      </c>
      <c r="AM138" s="1354">
        <f t="shared" si="17"/>
        <v>0</v>
      </c>
      <c r="AN138" s="1352" t="str">
        <f t="shared" si="18"/>
        <v>School Building Aid Allowance</v>
      </c>
    </row>
    <row r="139" spans="1:40" x14ac:dyDescent="0.2">
      <c r="A139" s="1324" t="s">
        <v>3405</v>
      </c>
      <c r="B139" s="1324" t="s">
        <v>5386</v>
      </c>
      <c r="C139" s="1353">
        <f>'Key Metrics'!C78</f>
        <v>0</v>
      </c>
      <c r="D139" s="1353">
        <f>'Key Metrics'!D78</f>
        <v>0</v>
      </c>
      <c r="E139" s="1351">
        <f t="shared" si="33"/>
        <v>0</v>
      </c>
      <c r="F139" s="1353">
        <f t="shared" si="34"/>
        <v>0</v>
      </c>
      <c r="G139" s="1353">
        <f t="shared" si="35"/>
        <v>0</v>
      </c>
      <c r="H139" s="1353">
        <f t="shared" si="36"/>
        <v>0</v>
      </c>
      <c r="I139" s="1353">
        <f t="shared" si="37"/>
        <v>0</v>
      </c>
      <c r="J139" s="1353">
        <f t="shared" si="38"/>
        <v>0</v>
      </c>
      <c r="M139" s="1324" t="str">
        <f t="shared" si="39"/>
        <v>Other PILOT (State Aid)</v>
      </c>
      <c r="N139" s="1368">
        <v>0</v>
      </c>
      <c r="O139" s="1368">
        <f t="shared" si="40"/>
        <v>0</v>
      </c>
      <c r="P139" s="1368">
        <f t="shared" si="40"/>
        <v>0</v>
      </c>
      <c r="Q139" s="1368">
        <f t="shared" si="40"/>
        <v>0</v>
      </c>
      <c r="R139" s="1368">
        <f t="shared" si="40"/>
        <v>0</v>
      </c>
      <c r="T139" s="1369">
        <v>0</v>
      </c>
      <c r="U139" s="1369">
        <v>0</v>
      </c>
      <c r="V139" s="1369">
        <v>0</v>
      </c>
      <c r="W139" s="1369">
        <v>0</v>
      </c>
      <c r="X139" s="1369">
        <v>0</v>
      </c>
      <c r="Y139" s="1367"/>
      <c r="Z139" s="1370">
        <v>0</v>
      </c>
      <c r="AA139" s="1370">
        <v>0</v>
      </c>
      <c r="AB139" s="1370">
        <v>0</v>
      </c>
      <c r="AC139" s="1370">
        <v>0</v>
      </c>
      <c r="AD139" s="1370">
        <v>0</v>
      </c>
      <c r="AK139" s="1354">
        <f t="shared" si="19"/>
        <v>0</v>
      </c>
      <c r="AL139" s="1352">
        <f t="shared" si="41"/>
        <v>2</v>
      </c>
      <c r="AM139" s="1354">
        <f t="shared" si="17"/>
        <v>0</v>
      </c>
      <c r="AN139" s="1352" t="str">
        <f t="shared" si="18"/>
        <v>Other PILOT (State Aid)</v>
      </c>
    </row>
    <row r="140" spans="1:40" x14ac:dyDescent="0.2">
      <c r="A140" s="1324" t="s">
        <v>950</v>
      </c>
      <c r="B140" s="1324" t="s">
        <v>949</v>
      </c>
      <c r="C140" s="1353">
        <f>'Key Metrics'!C79</f>
        <v>0</v>
      </c>
      <c r="D140" s="1353">
        <f>'Key Metrics'!D79</f>
        <v>0</v>
      </c>
      <c r="E140" s="1351">
        <f t="shared" si="33"/>
        <v>0</v>
      </c>
      <c r="F140" s="1353">
        <f t="shared" si="34"/>
        <v>0</v>
      </c>
      <c r="G140" s="1353">
        <f t="shared" si="35"/>
        <v>0</v>
      </c>
      <c r="H140" s="1353">
        <f t="shared" si="36"/>
        <v>0</v>
      </c>
      <c r="I140" s="1353">
        <f t="shared" si="37"/>
        <v>0</v>
      </c>
      <c r="J140" s="1353">
        <f t="shared" si="38"/>
        <v>0</v>
      </c>
      <c r="M140" s="1324" t="str">
        <f t="shared" si="39"/>
        <v>Transitional Aid</v>
      </c>
      <c r="N140" s="1368">
        <v>0</v>
      </c>
      <c r="O140" s="1368">
        <f t="shared" si="40"/>
        <v>0</v>
      </c>
      <c r="P140" s="1368">
        <f t="shared" si="40"/>
        <v>0</v>
      </c>
      <c r="Q140" s="1368">
        <f t="shared" si="40"/>
        <v>0</v>
      </c>
      <c r="R140" s="1368">
        <f t="shared" si="40"/>
        <v>0</v>
      </c>
      <c r="T140" s="1369">
        <v>0</v>
      </c>
      <c r="U140" s="1369">
        <v>0</v>
      </c>
      <c r="V140" s="1369">
        <v>0</v>
      </c>
      <c r="W140" s="1369">
        <v>0</v>
      </c>
      <c r="X140" s="1369">
        <v>0</v>
      </c>
      <c r="Y140" s="1367"/>
      <c r="Z140" s="1370">
        <v>0</v>
      </c>
      <c r="AA140" s="1370">
        <v>0</v>
      </c>
      <c r="AB140" s="1370">
        <v>0</v>
      </c>
      <c r="AC140" s="1370">
        <v>0</v>
      </c>
      <c r="AD140" s="1370">
        <v>0</v>
      </c>
      <c r="AK140" s="1354">
        <f t="shared" si="19"/>
        <v>0</v>
      </c>
      <c r="AL140" s="1352">
        <f t="shared" si="41"/>
        <v>2</v>
      </c>
      <c r="AM140" s="1354">
        <f t="shared" si="17"/>
        <v>0</v>
      </c>
      <c r="AN140" s="1352" t="str">
        <f t="shared" si="18"/>
        <v>Transitional Aid</v>
      </c>
    </row>
    <row r="141" spans="1:40" x14ac:dyDescent="0.2">
      <c r="A141" s="1324" t="s">
        <v>3409</v>
      </c>
      <c r="B141" s="1324" t="s">
        <v>5387</v>
      </c>
      <c r="C141" s="1353">
        <f>'Key Metrics'!C81</f>
        <v>0</v>
      </c>
      <c r="D141" s="1353">
        <f>'Key Metrics'!D81</f>
        <v>0</v>
      </c>
      <c r="E141" s="1351">
        <f t="shared" si="33"/>
        <v>0</v>
      </c>
      <c r="F141" s="1353">
        <f t="shared" si="34"/>
        <v>0</v>
      </c>
      <c r="G141" s="1353">
        <f t="shared" si="35"/>
        <v>0</v>
      </c>
      <c r="H141" s="1353">
        <f t="shared" si="36"/>
        <v>0</v>
      </c>
      <c r="I141" s="1353">
        <f t="shared" si="37"/>
        <v>0</v>
      </c>
      <c r="J141" s="1353">
        <f t="shared" si="38"/>
        <v>0</v>
      </c>
      <c r="M141" s="1324" t="str">
        <f t="shared" si="39"/>
        <v>"User Defined" State Aid Program</v>
      </c>
      <c r="N141" s="1368">
        <v>0</v>
      </c>
      <c r="O141" s="1368">
        <f t="shared" si="40"/>
        <v>0</v>
      </c>
      <c r="P141" s="1368">
        <f t="shared" si="40"/>
        <v>0</v>
      </c>
      <c r="Q141" s="1368">
        <f t="shared" si="40"/>
        <v>0</v>
      </c>
      <c r="R141" s="1368">
        <f t="shared" si="40"/>
        <v>0</v>
      </c>
      <c r="T141" s="1369">
        <v>0</v>
      </c>
      <c r="U141" s="1369">
        <v>0</v>
      </c>
      <c r="V141" s="1369">
        <v>0</v>
      </c>
      <c r="W141" s="1369">
        <v>0</v>
      </c>
      <c r="X141" s="1369">
        <v>0</v>
      </c>
      <c r="Y141" s="1367"/>
      <c r="Z141" s="1370">
        <v>0</v>
      </c>
      <c r="AA141" s="1370">
        <v>0</v>
      </c>
      <c r="AB141" s="1370">
        <v>0</v>
      </c>
      <c r="AC141" s="1370">
        <v>0</v>
      </c>
      <c r="AD141" s="1370">
        <v>0</v>
      </c>
      <c r="AK141" s="1354">
        <f t="shared" si="19"/>
        <v>0</v>
      </c>
      <c r="AL141" s="1352">
        <f t="shared" si="41"/>
        <v>2</v>
      </c>
      <c r="AM141" s="1354">
        <f t="shared" si="17"/>
        <v>0</v>
      </c>
      <c r="AN141" s="1352" t="str">
        <f t="shared" si="18"/>
        <v>"User Defined" State Aid Program</v>
      </c>
    </row>
    <row r="142" spans="1:40" x14ac:dyDescent="0.2">
      <c r="A142" s="1324" t="s">
        <v>3412</v>
      </c>
      <c r="B142" s="1324" t="s">
        <v>5387</v>
      </c>
      <c r="C142" s="1353">
        <f>'Key Metrics'!C82</f>
        <v>0</v>
      </c>
      <c r="D142" s="1353">
        <f>'Key Metrics'!D82</f>
        <v>0</v>
      </c>
      <c r="E142" s="1351">
        <f t="shared" si="33"/>
        <v>0</v>
      </c>
      <c r="F142" s="1353">
        <f t="shared" si="34"/>
        <v>0</v>
      </c>
      <c r="G142" s="1353">
        <f t="shared" si="35"/>
        <v>0</v>
      </c>
      <c r="H142" s="1353">
        <f t="shared" si="36"/>
        <v>0</v>
      </c>
      <c r="I142" s="1353">
        <f t="shared" si="37"/>
        <v>0</v>
      </c>
      <c r="J142" s="1353">
        <f t="shared" si="38"/>
        <v>0</v>
      </c>
      <c r="M142" s="1324" t="str">
        <f t="shared" si="39"/>
        <v>"User Defined" State Aid Program</v>
      </c>
      <c r="N142" s="1368">
        <v>0</v>
      </c>
      <c r="O142" s="1368">
        <f t="shared" si="40"/>
        <v>0</v>
      </c>
      <c r="P142" s="1368">
        <f t="shared" si="40"/>
        <v>0</v>
      </c>
      <c r="Q142" s="1368">
        <f t="shared" si="40"/>
        <v>0</v>
      </c>
      <c r="R142" s="1368">
        <f t="shared" si="40"/>
        <v>0</v>
      </c>
      <c r="T142" s="1369">
        <v>0</v>
      </c>
      <c r="U142" s="1369">
        <v>0</v>
      </c>
      <c r="V142" s="1369">
        <v>0</v>
      </c>
      <c r="W142" s="1369">
        <v>0</v>
      </c>
      <c r="X142" s="1369">
        <v>0</v>
      </c>
      <c r="Y142" s="1367"/>
      <c r="Z142" s="1370">
        <v>0</v>
      </c>
      <c r="AA142" s="1370">
        <v>0</v>
      </c>
      <c r="AB142" s="1370">
        <v>0</v>
      </c>
      <c r="AC142" s="1370">
        <v>0</v>
      </c>
      <c r="AD142" s="1370">
        <v>0</v>
      </c>
      <c r="AK142" s="1354">
        <f t="shared" si="19"/>
        <v>0</v>
      </c>
      <c r="AL142" s="1352">
        <f t="shared" si="41"/>
        <v>2</v>
      </c>
      <c r="AM142" s="1354">
        <f t="shared" si="17"/>
        <v>0</v>
      </c>
      <c r="AN142" s="1352" t="str">
        <f t="shared" si="18"/>
        <v>"User Defined" State Aid Program</v>
      </c>
    </row>
    <row r="143" spans="1:40" x14ac:dyDescent="0.2">
      <c r="A143" s="1324" t="s">
        <v>3416</v>
      </c>
      <c r="B143" s="1324" t="s">
        <v>5387</v>
      </c>
      <c r="C143" s="1353">
        <f>'Key Metrics'!C83</f>
        <v>0</v>
      </c>
      <c r="D143" s="1353">
        <f>'Key Metrics'!D83</f>
        <v>0</v>
      </c>
      <c r="E143" s="1351">
        <f t="shared" si="33"/>
        <v>0</v>
      </c>
      <c r="F143" s="1353">
        <f t="shared" si="34"/>
        <v>0</v>
      </c>
      <c r="G143" s="1353">
        <f t="shared" si="35"/>
        <v>0</v>
      </c>
      <c r="H143" s="1353">
        <f t="shared" si="36"/>
        <v>0</v>
      </c>
      <c r="I143" s="1353">
        <f t="shared" si="37"/>
        <v>0</v>
      </c>
      <c r="J143" s="1353">
        <f t="shared" si="38"/>
        <v>0</v>
      </c>
      <c r="M143" s="1324" t="str">
        <f t="shared" si="39"/>
        <v>"User Defined" State Aid Program</v>
      </c>
      <c r="N143" s="1368">
        <v>0</v>
      </c>
      <c r="O143" s="1368">
        <f t="shared" si="40"/>
        <v>0</v>
      </c>
      <c r="P143" s="1368">
        <f t="shared" si="40"/>
        <v>0</v>
      </c>
      <c r="Q143" s="1368">
        <f t="shared" si="40"/>
        <v>0</v>
      </c>
      <c r="R143" s="1368">
        <f t="shared" si="40"/>
        <v>0</v>
      </c>
      <c r="T143" s="1369">
        <v>0</v>
      </c>
      <c r="U143" s="1369">
        <v>0</v>
      </c>
      <c r="V143" s="1369">
        <v>0</v>
      </c>
      <c r="W143" s="1369">
        <v>0</v>
      </c>
      <c r="X143" s="1369">
        <v>0</v>
      </c>
      <c r="Y143" s="1367"/>
      <c r="Z143" s="1370">
        <v>0</v>
      </c>
      <c r="AA143" s="1370">
        <v>0</v>
      </c>
      <c r="AB143" s="1370">
        <v>0</v>
      </c>
      <c r="AC143" s="1370">
        <v>0</v>
      </c>
      <c r="AD143" s="1370">
        <v>0</v>
      </c>
      <c r="AK143" s="1354">
        <f t="shared" si="19"/>
        <v>0</v>
      </c>
      <c r="AL143" s="1352">
        <f t="shared" si="41"/>
        <v>2</v>
      </c>
      <c r="AM143" s="1354">
        <f t="shared" si="17"/>
        <v>0</v>
      </c>
      <c r="AN143" s="1352" t="str">
        <f t="shared" si="18"/>
        <v>"User Defined" State Aid Program</v>
      </c>
    </row>
    <row r="144" spans="1:40" x14ac:dyDescent="0.2">
      <c r="A144" s="1324" t="s">
        <v>3419</v>
      </c>
      <c r="B144" s="1324" t="s">
        <v>5388</v>
      </c>
      <c r="C144" s="1353">
        <f>'Key Metrics'!C84</f>
        <v>0</v>
      </c>
      <c r="D144" s="1353">
        <f>'Key Metrics'!D84</f>
        <v>0</v>
      </c>
      <c r="E144" s="1351">
        <f t="shared" si="33"/>
        <v>0</v>
      </c>
      <c r="F144" s="1353">
        <f t="shared" si="34"/>
        <v>0</v>
      </c>
      <c r="G144" s="1353">
        <f t="shared" si="35"/>
        <v>0</v>
      </c>
      <c r="H144" s="1353">
        <f t="shared" si="36"/>
        <v>0</v>
      </c>
      <c r="I144" s="1353">
        <f t="shared" si="37"/>
        <v>0</v>
      </c>
      <c r="J144" s="1353">
        <f t="shared" si="38"/>
        <v>0</v>
      </c>
      <c r="M144" s="1324" t="str">
        <f t="shared" si="39"/>
        <v>State Aid - County College Bonds</v>
      </c>
      <c r="N144" s="1368">
        <v>0</v>
      </c>
      <c r="O144" s="1368">
        <f t="shared" si="40"/>
        <v>0</v>
      </c>
      <c r="P144" s="1368">
        <f t="shared" si="40"/>
        <v>0</v>
      </c>
      <c r="Q144" s="1368">
        <f t="shared" si="40"/>
        <v>0</v>
      </c>
      <c r="R144" s="1368">
        <f t="shared" si="40"/>
        <v>0</v>
      </c>
      <c r="T144" s="1369">
        <v>0</v>
      </c>
      <c r="U144" s="1369">
        <v>0</v>
      </c>
      <c r="V144" s="1369">
        <v>0</v>
      </c>
      <c r="W144" s="1369">
        <v>0</v>
      </c>
      <c r="X144" s="1369">
        <v>0</v>
      </c>
      <c r="Y144" s="1367"/>
      <c r="Z144" s="1370">
        <v>0</v>
      </c>
      <c r="AA144" s="1370">
        <v>0</v>
      </c>
      <c r="AB144" s="1370">
        <v>0</v>
      </c>
      <c r="AC144" s="1370">
        <v>0</v>
      </c>
      <c r="AD144" s="1370">
        <v>0</v>
      </c>
      <c r="AK144" s="1354">
        <f t="shared" si="19"/>
        <v>0</v>
      </c>
      <c r="AL144" s="1352">
        <f t="shared" si="41"/>
        <v>2</v>
      </c>
      <c r="AM144" s="1354">
        <f t="shared" si="17"/>
        <v>0</v>
      </c>
      <c r="AN144" s="1352" t="str">
        <f t="shared" si="18"/>
        <v>State Aid - County College Bonds</v>
      </c>
    </row>
    <row r="145" spans="1:40" x14ac:dyDescent="0.2">
      <c r="A145" s="1324" t="s">
        <v>5356</v>
      </c>
      <c r="B145" s="1324" t="s">
        <v>5389</v>
      </c>
      <c r="C145" s="1353">
        <f>'Key Metrics'!C85</f>
        <v>0</v>
      </c>
      <c r="D145" s="1353">
        <f>'Key Metrics'!D85</f>
        <v>0</v>
      </c>
      <c r="E145" s="1351">
        <f t="shared" si="33"/>
        <v>0</v>
      </c>
      <c r="F145" s="1353">
        <f t="shared" si="34"/>
        <v>0</v>
      </c>
      <c r="G145" s="1353">
        <f t="shared" si="35"/>
        <v>0</v>
      </c>
      <c r="H145" s="1353">
        <f t="shared" si="36"/>
        <v>0</v>
      </c>
      <c r="I145" s="1353">
        <f t="shared" si="37"/>
        <v>0</v>
      </c>
      <c r="J145" s="1353">
        <f t="shared" si="38"/>
        <v>0</v>
      </c>
      <c r="M145" s="1324" t="str">
        <f t="shared" si="39"/>
        <v>Permanent Disability - Patients in County Institutions</v>
      </c>
      <c r="N145" s="1368">
        <v>0</v>
      </c>
      <c r="O145" s="1368">
        <f t="shared" si="40"/>
        <v>0</v>
      </c>
      <c r="P145" s="1368">
        <f t="shared" si="40"/>
        <v>0</v>
      </c>
      <c r="Q145" s="1368">
        <f t="shared" si="40"/>
        <v>0</v>
      </c>
      <c r="R145" s="1368">
        <f t="shared" si="40"/>
        <v>0</v>
      </c>
      <c r="T145" s="1369">
        <v>0</v>
      </c>
      <c r="U145" s="1369">
        <v>0</v>
      </c>
      <c r="V145" s="1369">
        <v>0</v>
      </c>
      <c r="W145" s="1369">
        <v>0</v>
      </c>
      <c r="X145" s="1369">
        <v>0</v>
      </c>
      <c r="Y145" s="1367"/>
      <c r="Z145" s="1370">
        <v>0</v>
      </c>
      <c r="AA145" s="1370">
        <v>0</v>
      </c>
      <c r="AB145" s="1370">
        <v>0</v>
      </c>
      <c r="AC145" s="1370">
        <v>0</v>
      </c>
      <c r="AD145" s="1370">
        <v>0</v>
      </c>
      <c r="AK145" s="1354">
        <f t="shared" si="19"/>
        <v>0</v>
      </c>
      <c r="AL145" s="1352">
        <f t="shared" si="41"/>
        <v>2</v>
      </c>
      <c r="AM145" s="1354">
        <f t="shared" si="17"/>
        <v>0</v>
      </c>
      <c r="AN145" s="1352" t="str">
        <f t="shared" si="18"/>
        <v>Permanent Disability - Patients in County Institutions</v>
      </c>
    </row>
    <row r="146" spans="1:40" x14ac:dyDescent="0.2">
      <c r="A146" s="1324" t="s">
        <v>5357</v>
      </c>
      <c r="B146" s="1324" t="s">
        <v>5390</v>
      </c>
      <c r="C146" s="1353">
        <f>'Key Metrics'!C86</f>
        <v>0</v>
      </c>
      <c r="D146" s="1353">
        <f>'Key Metrics'!D86</f>
        <v>0</v>
      </c>
      <c r="E146" s="1351">
        <f t="shared" si="33"/>
        <v>0</v>
      </c>
      <c r="F146" s="1353">
        <f t="shared" si="34"/>
        <v>0</v>
      </c>
      <c r="G146" s="1353">
        <f t="shared" si="35"/>
        <v>0</v>
      </c>
      <c r="H146" s="1353">
        <f t="shared" si="36"/>
        <v>0</v>
      </c>
      <c r="I146" s="1353">
        <f t="shared" si="37"/>
        <v>0</v>
      </c>
      <c r="J146" s="1353">
        <f t="shared" si="38"/>
        <v>0</v>
      </c>
      <c r="M146" s="1324" t="str">
        <f t="shared" si="39"/>
        <v>State Aid - County Vocational School Debt Service</v>
      </c>
      <c r="N146" s="1368">
        <v>0</v>
      </c>
      <c r="O146" s="1368">
        <f t="shared" si="40"/>
        <v>0</v>
      </c>
      <c r="P146" s="1368">
        <f t="shared" si="40"/>
        <v>0</v>
      </c>
      <c r="Q146" s="1368">
        <f t="shared" si="40"/>
        <v>0</v>
      </c>
      <c r="R146" s="1368">
        <f t="shared" si="40"/>
        <v>0</v>
      </c>
      <c r="T146" s="1369">
        <v>0</v>
      </c>
      <c r="U146" s="1369">
        <v>0</v>
      </c>
      <c r="V146" s="1369">
        <v>0</v>
      </c>
      <c r="W146" s="1369">
        <v>0</v>
      </c>
      <c r="X146" s="1369">
        <v>0</v>
      </c>
      <c r="Y146" s="1367"/>
      <c r="Z146" s="1370">
        <v>0</v>
      </c>
      <c r="AA146" s="1370">
        <v>0</v>
      </c>
      <c r="AB146" s="1370">
        <v>0</v>
      </c>
      <c r="AC146" s="1370">
        <v>0</v>
      </c>
      <c r="AD146" s="1370">
        <v>0</v>
      </c>
      <c r="AK146" s="1354">
        <f t="shared" si="19"/>
        <v>0</v>
      </c>
      <c r="AL146" s="1352">
        <f t="shared" si="41"/>
        <v>2</v>
      </c>
      <c r="AM146" s="1354">
        <f t="shared" si="17"/>
        <v>0</v>
      </c>
      <c r="AN146" s="1352" t="str">
        <f t="shared" si="18"/>
        <v>State Aid - County Vocational School Debt Service</v>
      </c>
    </row>
    <row r="147" spans="1:40" x14ac:dyDescent="0.2">
      <c r="A147" s="1324" t="s">
        <v>5358</v>
      </c>
      <c r="B147" s="1324" t="s">
        <v>165</v>
      </c>
      <c r="C147" s="1353">
        <f>'Key Metrics'!C87</f>
        <v>0</v>
      </c>
      <c r="D147" s="1353">
        <f>'Key Metrics'!D87</f>
        <v>0</v>
      </c>
      <c r="E147" s="1351">
        <f t="shared" si="33"/>
        <v>0</v>
      </c>
      <c r="F147" s="1353">
        <f t="shared" si="34"/>
        <v>0</v>
      </c>
      <c r="G147" s="1353">
        <f t="shared" si="35"/>
        <v>0</v>
      </c>
      <c r="H147" s="1353">
        <f t="shared" si="36"/>
        <v>0</v>
      </c>
      <c r="I147" s="1353">
        <f t="shared" si="37"/>
        <v>0</v>
      </c>
      <c r="J147" s="1353">
        <f t="shared" si="38"/>
        <v>0</v>
      </c>
      <c r="M147" s="1324" t="str">
        <f t="shared" si="39"/>
        <v>State Aid Without Offsetting Appropriations</v>
      </c>
      <c r="N147" s="1368">
        <v>0</v>
      </c>
      <c r="O147" s="1368">
        <f>N147</f>
        <v>0</v>
      </c>
      <c r="P147" s="1368">
        <f>O147</f>
        <v>0</v>
      </c>
      <c r="Q147" s="1368">
        <f>P147</f>
        <v>0</v>
      </c>
      <c r="R147" s="1368">
        <f>Q147</f>
        <v>0</v>
      </c>
      <c r="T147" s="1369">
        <v>0</v>
      </c>
      <c r="U147" s="1369">
        <v>0</v>
      </c>
      <c r="V147" s="1369">
        <v>0</v>
      </c>
      <c r="W147" s="1369">
        <v>0</v>
      </c>
      <c r="X147" s="1369">
        <v>0</v>
      </c>
      <c r="Y147" s="1367"/>
      <c r="Z147" s="1370">
        <v>0</v>
      </c>
      <c r="AA147" s="1370">
        <v>0</v>
      </c>
      <c r="AB147" s="1370">
        <v>0</v>
      </c>
      <c r="AC147" s="1370">
        <v>0</v>
      </c>
      <c r="AD147" s="1370">
        <v>0</v>
      </c>
      <c r="AK147" s="1354">
        <f t="shared" si="19"/>
        <v>0</v>
      </c>
      <c r="AL147" s="1352">
        <f t="shared" si="41"/>
        <v>2</v>
      </c>
      <c r="AM147" s="1354">
        <f t="shared" si="17"/>
        <v>0</v>
      </c>
      <c r="AN147" s="1352" t="str">
        <f t="shared" si="18"/>
        <v>State Aid Without Offsetting Appropriations</v>
      </c>
    </row>
    <row r="148" spans="1:40" x14ac:dyDescent="0.2">
      <c r="B148" s="1357" t="s">
        <v>5613</v>
      </c>
      <c r="C148" s="1360">
        <f>SUM(C131:C147)</f>
        <v>83457</v>
      </c>
      <c r="D148" s="1360">
        <f>SUM(D131:D147)</f>
        <v>83457</v>
      </c>
      <c r="E148" s="1356">
        <f t="shared" si="33"/>
        <v>0</v>
      </c>
      <c r="F148" s="1360">
        <f>SUM(F131:F147)</f>
        <v>83457</v>
      </c>
      <c r="G148" s="1360">
        <f>SUM(G131:G147)</f>
        <v>83457</v>
      </c>
      <c r="H148" s="1360">
        <f>SUM(H131:H147)</f>
        <v>83457</v>
      </c>
      <c r="I148" s="1360">
        <f>SUM(I131:I147)</f>
        <v>83457</v>
      </c>
      <c r="J148" s="1360">
        <f>SUM(J131:J147)</f>
        <v>83457</v>
      </c>
      <c r="N148" s="1328"/>
      <c r="O148" s="1328"/>
      <c r="P148" s="1328"/>
      <c r="Q148" s="1328"/>
      <c r="R148" s="1328"/>
      <c r="T148" s="1371"/>
      <c r="U148" s="1371"/>
      <c r="V148" s="1371"/>
      <c r="W148" s="1371"/>
      <c r="X148" s="1371"/>
      <c r="Y148" s="1367"/>
      <c r="Z148" s="1372"/>
      <c r="AA148" s="1372"/>
      <c r="AB148" s="1372"/>
      <c r="AC148" s="1372"/>
      <c r="AD148" s="1372"/>
      <c r="AK148" s="1354"/>
      <c r="AL148" s="1352"/>
      <c r="AM148" s="1354"/>
      <c r="AN148" s="1352"/>
    </row>
    <row r="149" spans="1:40" x14ac:dyDescent="0.2">
      <c r="E149" s="1351"/>
      <c r="N149" s="1328"/>
      <c r="O149" s="1328"/>
      <c r="P149" s="1328"/>
      <c r="Q149" s="1328"/>
      <c r="R149" s="1328"/>
      <c r="T149" s="1371"/>
      <c r="U149" s="1371"/>
      <c r="V149" s="1371"/>
      <c r="W149" s="1371"/>
      <c r="X149" s="1371"/>
      <c r="Y149" s="1367"/>
      <c r="Z149" s="1372"/>
      <c r="AA149" s="1372"/>
      <c r="AB149" s="1372"/>
      <c r="AC149" s="1372"/>
      <c r="AD149" s="1372"/>
      <c r="AK149" s="1354"/>
      <c r="AL149" s="1352"/>
      <c r="AM149" s="1354"/>
      <c r="AN149" s="1352"/>
    </row>
    <row r="150" spans="1:40" x14ac:dyDescent="0.2">
      <c r="A150" s="1364" t="s">
        <v>5432</v>
      </c>
      <c r="B150" s="1365"/>
      <c r="C150" s="1364"/>
      <c r="D150" s="1364"/>
      <c r="E150" s="1366"/>
      <c r="F150" s="1364"/>
      <c r="G150" s="1364"/>
      <c r="H150" s="1364"/>
      <c r="I150" s="1364"/>
      <c r="J150" s="1364"/>
      <c r="M150" s="1364" t="s">
        <v>5432</v>
      </c>
      <c r="N150" s="1365"/>
      <c r="O150" s="1364"/>
      <c r="P150" s="1364"/>
      <c r="Q150" s="1366"/>
      <c r="R150" s="1364"/>
      <c r="S150" s="1364"/>
      <c r="T150" s="1364"/>
      <c r="U150" s="1364"/>
      <c r="V150" s="1364"/>
      <c r="W150" s="1364"/>
      <c r="X150" s="1364"/>
      <c r="Y150" s="1364"/>
      <c r="Z150" s="1364"/>
      <c r="AA150" s="1364"/>
      <c r="AB150" s="1364"/>
      <c r="AC150" s="1364"/>
      <c r="AD150" s="1364"/>
      <c r="AK150" s="1354"/>
      <c r="AL150" s="1352"/>
      <c r="AM150" s="1354"/>
      <c r="AN150" s="1352"/>
    </row>
    <row r="151" spans="1:40" x14ac:dyDescent="0.2">
      <c r="A151" s="1324" t="s">
        <v>530</v>
      </c>
      <c r="B151" s="1324" t="s">
        <v>103</v>
      </c>
      <c r="C151" s="1353">
        <f>'Key Metrics'!C91</f>
        <v>0</v>
      </c>
      <c r="D151" s="1353">
        <f>'Key Metrics'!D91</f>
        <v>0</v>
      </c>
      <c r="E151" s="1351">
        <f>IFERROR(D151/C151-1,0)</f>
        <v>0</v>
      </c>
      <c r="F151" s="1353">
        <f>IFERROR(IF($I$3=1,D151*(1+N151),IF($I$3=2,D151*(1+T151),IF($I$3=3,Z151,"--"))),0)</f>
        <v>0</v>
      </c>
      <c r="G151" s="1353">
        <f t="shared" ref="G151:J153" si="42">IFERROR(IF($I$3=1,F151*(1+O151),IF($I$3=2,F151*(1+U151),IF($I$3=3,AA151,"--"))),0)</f>
        <v>0</v>
      </c>
      <c r="H151" s="1353">
        <f t="shared" si="42"/>
        <v>0</v>
      </c>
      <c r="I151" s="1353">
        <f t="shared" si="42"/>
        <v>0</v>
      </c>
      <c r="J151" s="1353">
        <f t="shared" si="42"/>
        <v>0</v>
      </c>
      <c r="M151" s="1324" t="str">
        <f>B151</f>
        <v>Uniform Construction Code Fees</v>
      </c>
      <c r="N151" s="1368">
        <f>E151</f>
        <v>0</v>
      </c>
      <c r="O151" s="1368">
        <f t="shared" ref="O151:R153" si="43">N151</f>
        <v>0</v>
      </c>
      <c r="P151" s="1368">
        <f t="shared" si="43"/>
        <v>0</v>
      </c>
      <c r="Q151" s="1368">
        <f t="shared" si="43"/>
        <v>0</v>
      </c>
      <c r="R151" s="1368">
        <f t="shared" si="43"/>
        <v>0</v>
      </c>
      <c r="T151" s="1369">
        <v>-5.6000000000000001E-2</v>
      </c>
      <c r="U151" s="1369">
        <v>0.02</v>
      </c>
      <c r="V151" s="1369">
        <v>0.02</v>
      </c>
      <c r="W151" s="1369">
        <v>0.02</v>
      </c>
      <c r="X151" s="1369">
        <v>0.02</v>
      </c>
      <c r="Y151" s="1367"/>
      <c r="Z151" s="1370">
        <v>0</v>
      </c>
      <c r="AA151" s="1370">
        <v>0</v>
      </c>
      <c r="AB151" s="1370">
        <v>0</v>
      </c>
      <c r="AC151" s="1370">
        <v>0</v>
      </c>
      <c r="AD151" s="1370">
        <v>0</v>
      </c>
      <c r="AK151" s="1354">
        <f t="shared" ref="AK151:AK214" si="44">SUM(C151:D151,F151:J151)</f>
        <v>0</v>
      </c>
      <c r="AL151" s="1352">
        <f>RANK(AM151,$AM$86:$AM$217,1)</f>
        <v>2</v>
      </c>
      <c r="AM151" s="1354">
        <f t="shared" ref="AM151:AM214" si="45">J151-D151</f>
        <v>0</v>
      </c>
      <c r="AN151" s="1352" t="str">
        <f t="shared" ref="AN151:AN214" si="46">B151</f>
        <v>Uniform Construction Code Fees</v>
      </c>
    </row>
    <row r="152" spans="1:40" x14ac:dyDescent="0.2">
      <c r="A152" s="1324" t="s">
        <v>3388</v>
      </c>
      <c r="B152" s="1324" t="s">
        <v>5391</v>
      </c>
      <c r="C152" s="1353">
        <f>'Key Metrics'!C92</f>
        <v>0</v>
      </c>
      <c r="D152" s="1353">
        <f>'Key Metrics'!D92</f>
        <v>0</v>
      </c>
      <c r="E152" s="1351">
        <f>IFERROR(D152/C152-1,0)</f>
        <v>0</v>
      </c>
      <c r="F152" s="1353">
        <f>IFERROR(IF($I$3=1,D152*(1+N152),IF($I$3=2,D152*(1+T152),IF($I$3=3,Z152,"--"))),0)</f>
        <v>0</v>
      </c>
      <c r="G152" s="1353">
        <f t="shared" si="42"/>
        <v>0</v>
      </c>
      <c r="H152" s="1353">
        <f t="shared" si="42"/>
        <v>0</v>
      </c>
      <c r="I152" s="1353">
        <f t="shared" si="42"/>
        <v>0</v>
      </c>
      <c r="J152" s="1353">
        <f t="shared" si="42"/>
        <v>0</v>
      </c>
      <c r="M152" s="1324" t="str">
        <f>B152</f>
        <v>Additional Uniform Construction Code Fees</v>
      </c>
      <c r="N152" s="1368">
        <f>E152</f>
        <v>0</v>
      </c>
      <c r="O152" s="1368">
        <f t="shared" si="43"/>
        <v>0</v>
      </c>
      <c r="P152" s="1368">
        <f t="shared" si="43"/>
        <v>0</v>
      </c>
      <c r="Q152" s="1368">
        <f t="shared" si="43"/>
        <v>0</v>
      </c>
      <c r="R152" s="1368">
        <f t="shared" si="43"/>
        <v>0</v>
      </c>
      <c r="T152" s="1369">
        <v>-5.6000000000000001E-2</v>
      </c>
      <c r="U152" s="1369">
        <v>0.02</v>
      </c>
      <c r="V152" s="1369">
        <v>0.02</v>
      </c>
      <c r="W152" s="1369">
        <v>0.02</v>
      </c>
      <c r="X152" s="1369">
        <v>0.02</v>
      </c>
      <c r="Y152" s="1367"/>
      <c r="Z152" s="1370">
        <v>0</v>
      </c>
      <c r="AA152" s="1370">
        <v>0</v>
      </c>
      <c r="AB152" s="1370">
        <v>0</v>
      </c>
      <c r="AC152" s="1370">
        <v>0</v>
      </c>
      <c r="AD152" s="1370">
        <v>0</v>
      </c>
      <c r="AK152" s="1354">
        <f t="shared" si="44"/>
        <v>0</v>
      </c>
      <c r="AL152" s="1352">
        <f>RANK(AM152,$AM$86:$AM$217,1)</f>
        <v>2</v>
      </c>
      <c r="AM152" s="1354">
        <f t="shared" si="45"/>
        <v>0</v>
      </c>
      <c r="AN152" s="1352" t="str">
        <f t="shared" si="46"/>
        <v>Additional Uniform Construction Code Fees</v>
      </c>
    </row>
    <row r="153" spans="1:40" x14ac:dyDescent="0.2">
      <c r="A153" s="1324" t="s">
        <v>5266</v>
      </c>
      <c r="B153" s="1324" t="s">
        <v>5429</v>
      </c>
      <c r="C153" s="1353">
        <v>0</v>
      </c>
      <c r="D153" s="1353">
        <v>0</v>
      </c>
      <c r="E153" s="1351">
        <f>IFERROR(D153/C153-1,0)</f>
        <v>0</v>
      </c>
      <c r="F153" s="1353">
        <f>IFERROR(IF($I$3=1,D153*(1+N153),IF($I$3=2,D153*(1+T153),IF($I$3=3,Z153,"--"))),0)</f>
        <v>0</v>
      </c>
      <c r="G153" s="1353">
        <f t="shared" si="42"/>
        <v>0</v>
      </c>
      <c r="H153" s="1353">
        <f t="shared" si="42"/>
        <v>0</v>
      </c>
      <c r="I153" s="1353">
        <f t="shared" si="42"/>
        <v>0</v>
      </c>
      <c r="J153" s="1353">
        <f t="shared" si="42"/>
        <v>0</v>
      </c>
      <c r="M153" s="1324" t="str">
        <f>B153</f>
        <v>Other Uniform Construction Code Revenue</v>
      </c>
      <c r="N153" s="1368">
        <f>E153</f>
        <v>0</v>
      </c>
      <c r="O153" s="1368">
        <f t="shared" si="43"/>
        <v>0</v>
      </c>
      <c r="P153" s="1368">
        <f t="shared" si="43"/>
        <v>0</v>
      </c>
      <c r="Q153" s="1368">
        <f t="shared" si="43"/>
        <v>0</v>
      </c>
      <c r="R153" s="1368">
        <f t="shared" si="43"/>
        <v>0</v>
      </c>
      <c r="T153" s="1369">
        <v>-5.6000000000000001E-2</v>
      </c>
      <c r="U153" s="1369">
        <v>0.02</v>
      </c>
      <c r="V153" s="1369">
        <v>0.02</v>
      </c>
      <c r="W153" s="1369">
        <v>0.02</v>
      </c>
      <c r="X153" s="1369">
        <v>0.02</v>
      </c>
      <c r="Y153" s="1367"/>
      <c r="Z153" s="1370">
        <v>0</v>
      </c>
      <c r="AA153" s="1370">
        <v>0</v>
      </c>
      <c r="AB153" s="1370">
        <v>0</v>
      </c>
      <c r="AC153" s="1370">
        <v>0</v>
      </c>
      <c r="AD153" s="1370">
        <v>0</v>
      </c>
      <c r="AK153" s="1354">
        <f t="shared" si="44"/>
        <v>0</v>
      </c>
      <c r="AL153" s="1352">
        <f>RANK(AM153,$AM$86:$AM$217,1)</f>
        <v>2</v>
      </c>
      <c r="AM153" s="1354">
        <f t="shared" si="45"/>
        <v>0</v>
      </c>
      <c r="AN153" s="1352" t="str">
        <f t="shared" si="46"/>
        <v>Other Uniform Construction Code Revenue</v>
      </c>
    </row>
    <row r="154" spans="1:40" x14ac:dyDescent="0.2">
      <c r="B154" s="1373" t="s">
        <v>5614</v>
      </c>
      <c r="C154" s="1360">
        <f>SUM(C151:C153)</f>
        <v>0</v>
      </c>
      <c r="D154" s="1360">
        <f>SUM(D151:D153)</f>
        <v>0</v>
      </c>
      <c r="E154" s="1356">
        <f>IFERROR(D154/C154-1,0)</f>
        <v>0</v>
      </c>
      <c r="F154" s="1360">
        <f>SUM(F151:F153)</f>
        <v>0</v>
      </c>
      <c r="G154" s="1360">
        <f>SUM(G151:G153)</f>
        <v>0</v>
      </c>
      <c r="H154" s="1360">
        <f>SUM(H151:H153)</f>
        <v>0</v>
      </c>
      <c r="I154" s="1360">
        <f>SUM(I151:I153)</f>
        <v>0</v>
      </c>
      <c r="J154" s="1360">
        <f>SUM(J151:J153)</f>
        <v>0</v>
      </c>
      <c r="N154" s="1328"/>
      <c r="O154" s="1328"/>
      <c r="P154" s="1328"/>
      <c r="Q154" s="1328"/>
      <c r="R154" s="1328"/>
      <c r="T154" s="1371"/>
      <c r="U154" s="1371"/>
      <c r="V154" s="1371"/>
      <c r="W154" s="1371"/>
      <c r="X154" s="1371"/>
      <c r="Y154" s="1367"/>
      <c r="Z154" s="1372"/>
      <c r="AA154" s="1372"/>
      <c r="AB154" s="1372"/>
      <c r="AC154" s="1372"/>
      <c r="AD154" s="1372"/>
      <c r="AK154" s="1354"/>
      <c r="AL154" s="1352"/>
      <c r="AM154" s="1354"/>
      <c r="AN154" s="1352"/>
    </row>
    <row r="155" spans="1:40" x14ac:dyDescent="0.2">
      <c r="E155" s="1351"/>
      <c r="N155" s="1328"/>
      <c r="O155" s="1328"/>
      <c r="P155" s="1328"/>
      <c r="Q155" s="1328"/>
      <c r="R155" s="1328"/>
      <c r="T155" s="1371"/>
      <c r="U155" s="1371"/>
      <c r="V155" s="1371"/>
      <c r="W155" s="1371"/>
      <c r="X155" s="1371"/>
      <c r="Y155" s="1367"/>
      <c r="Z155" s="1372"/>
      <c r="AA155" s="1372"/>
      <c r="AB155" s="1372"/>
      <c r="AC155" s="1372"/>
      <c r="AD155" s="1372"/>
      <c r="AK155" s="1354"/>
      <c r="AL155" s="1352"/>
      <c r="AM155" s="1354"/>
      <c r="AN155" s="1352"/>
    </row>
    <row r="156" spans="1:40" x14ac:dyDescent="0.2">
      <c r="A156" s="1364" t="s">
        <v>5433</v>
      </c>
      <c r="B156" s="1365"/>
      <c r="C156" s="1364"/>
      <c r="D156" s="1364"/>
      <c r="E156" s="1366"/>
      <c r="F156" s="1364"/>
      <c r="G156" s="1364"/>
      <c r="H156" s="1364"/>
      <c r="I156" s="1364"/>
      <c r="J156" s="1364"/>
      <c r="M156" s="1364" t="s">
        <v>5433</v>
      </c>
      <c r="N156" s="1365"/>
      <c r="O156" s="1364"/>
      <c r="P156" s="1364"/>
      <c r="Q156" s="1366"/>
      <c r="R156" s="1364"/>
      <c r="S156" s="1364"/>
      <c r="T156" s="1364"/>
      <c r="U156" s="1364"/>
      <c r="V156" s="1364"/>
      <c r="W156" s="1364"/>
      <c r="X156" s="1364"/>
      <c r="Y156" s="1364"/>
      <c r="Z156" s="1364"/>
      <c r="AA156" s="1364"/>
      <c r="AB156" s="1364"/>
      <c r="AC156" s="1364"/>
      <c r="AD156" s="1364"/>
      <c r="AK156" s="1354"/>
      <c r="AL156" s="1352"/>
      <c r="AM156" s="1354"/>
      <c r="AN156" s="1352"/>
    </row>
    <row r="157" spans="1:40" x14ac:dyDescent="0.2">
      <c r="A157" s="1324" t="s">
        <v>3385</v>
      </c>
      <c r="B157" s="1324" t="s">
        <v>5392</v>
      </c>
      <c r="C157" s="1353">
        <f>'Key Metrics'!C97</f>
        <v>0</v>
      </c>
      <c r="D157" s="1353">
        <f>'Key Metrics'!D97</f>
        <v>0</v>
      </c>
      <c r="E157" s="1351">
        <f t="shared" ref="E157:E181" si="47">IFERROR(D157/C157-1,0)</f>
        <v>0</v>
      </c>
      <c r="F157" s="1353">
        <f t="shared" ref="F157:F180" si="48">IFERROR(IF($I$3=1,D157*(1+N157),IF($I$3=2,D157*(1+T157),IF($I$3=3,Z157,"--"))),0)</f>
        <v>0</v>
      </c>
      <c r="G157" s="1353">
        <f t="shared" ref="G157:G180" si="49">IFERROR(IF($I$3=1,F157*(1+O157),IF($I$3=2,F157*(1+U157),IF($I$3=3,AA157,"--"))),0)</f>
        <v>0</v>
      </c>
      <c r="H157" s="1353">
        <f t="shared" ref="H157:H180" si="50">IFERROR(IF($I$3=1,G157*(1+P157),IF($I$3=2,G157*(1+V157),IF($I$3=3,AB157,"--"))),0)</f>
        <v>0</v>
      </c>
      <c r="I157" s="1353">
        <f t="shared" ref="I157:I180" si="51">IFERROR(IF($I$3=1,H157*(1+Q157),IF($I$3=2,H157*(1+W157),IF($I$3=3,AC157,"--"))),0)</f>
        <v>0</v>
      </c>
      <c r="J157" s="1353">
        <f t="shared" ref="J157:J180" si="52">IFERROR(IF($I$3=1,I157*(1+R157),IF($I$3=2,I157*(1+X157),IF($I$3=3,AD157,"--"))),0)</f>
        <v>0</v>
      </c>
      <c r="M157" s="1324" t="str">
        <f t="shared" ref="M157:M180" si="53">B157</f>
        <v>Shared Services - Tax Assessor</v>
      </c>
      <c r="N157" s="1368">
        <f t="shared" ref="N157:N180" si="54">E157</f>
        <v>0</v>
      </c>
      <c r="O157" s="1368">
        <f t="shared" ref="O157:R172" si="55">N157</f>
        <v>0</v>
      </c>
      <c r="P157" s="1368">
        <f t="shared" si="55"/>
        <v>0</v>
      </c>
      <c r="Q157" s="1368">
        <f t="shared" si="55"/>
        <v>0</v>
      </c>
      <c r="R157" s="1368">
        <f t="shared" si="55"/>
        <v>0</v>
      </c>
      <c r="T157" s="1369">
        <v>0.02</v>
      </c>
      <c r="U157" s="1369">
        <v>0.02</v>
      </c>
      <c r="V157" s="1369">
        <v>0.02</v>
      </c>
      <c r="W157" s="1369">
        <v>0.02</v>
      </c>
      <c r="X157" s="1369">
        <v>0.02</v>
      </c>
      <c r="Y157" s="1367"/>
      <c r="Z157" s="1370">
        <v>0</v>
      </c>
      <c r="AA157" s="1370">
        <v>0</v>
      </c>
      <c r="AB157" s="1370">
        <v>0</v>
      </c>
      <c r="AC157" s="1370">
        <v>0</v>
      </c>
      <c r="AD157" s="1370">
        <v>0</v>
      </c>
      <c r="AK157" s="1354">
        <f t="shared" si="44"/>
        <v>0</v>
      </c>
      <c r="AL157" s="1352">
        <f t="shared" ref="AL157:AL180" si="56">RANK(AM157,$AM$86:$AM$217,1)</f>
        <v>2</v>
      </c>
      <c r="AM157" s="1354">
        <f t="shared" si="45"/>
        <v>0</v>
      </c>
      <c r="AN157" s="1352" t="str">
        <f t="shared" si="46"/>
        <v>Shared Services - Tax Assessor</v>
      </c>
    </row>
    <row r="158" spans="1:40" x14ac:dyDescent="0.2">
      <c r="A158" s="1324" t="s">
        <v>3389</v>
      </c>
      <c r="B158" s="1324" t="s">
        <v>5393</v>
      </c>
      <c r="C158" s="1353">
        <f>'Key Metrics'!C98</f>
        <v>0</v>
      </c>
      <c r="D158" s="1353">
        <f>'Key Metrics'!D98</f>
        <v>0</v>
      </c>
      <c r="E158" s="1351">
        <f t="shared" si="47"/>
        <v>0</v>
      </c>
      <c r="F158" s="1353">
        <f t="shared" si="48"/>
        <v>0</v>
      </c>
      <c r="G158" s="1353">
        <f t="shared" si="49"/>
        <v>0</v>
      </c>
      <c r="H158" s="1353">
        <f t="shared" si="50"/>
        <v>0</v>
      </c>
      <c r="I158" s="1353">
        <f t="shared" si="51"/>
        <v>0</v>
      </c>
      <c r="J158" s="1353">
        <f t="shared" si="52"/>
        <v>0</v>
      </c>
      <c r="M158" s="1324" t="str">
        <f t="shared" si="53"/>
        <v>Shared Services - Tax Collector</v>
      </c>
      <c r="N158" s="1368">
        <f t="shared" si="54"/>
        <v>0</v>
      </c>
      <c r="O158" s="1368">
        <f t="shared" si="55"/>
        <v>0</v>
      </c>
      <c r="P158" s="1368">
        <f t="shared" si="55"/>
        <v>0</v>
      </c>
      <c r="Q158" s="1368">
        <f t="shared" si="55"/>
        <v>0</v>
      </c>
      <c r="R158" s="1368">
        <f t="shared" si="55"/>
        <v>0</v>
      </c>
      <c r="T158" s="1369">
        <v>0.02</v>
      </c>
      <c r="U158" s="1369">
        <v>0.02</v>
      </c>
      <c r="V158" s="1369">
        <v>0.02</v>
      </c>
      <c r="W158" s="1369">
        <v>0.02</v>
      </c>
      <c r="X158" s="1369">
        <v>0.02</v>
      </c>
      <c r="Y158" s="1367"/>
      <c r="Z158" s="1370">
        <v>0</v>
      </c>
      <c r="AA158" s="1370">
        <v>0</v>
      </c>
      <c r="AB158" s="1370">
        <v>0</v>
      </c>
      <c r="AC158" s="1370">
        <v>0</v>
      </c>
      <c r="AD158" s="1370">
        <v>0</v>
      </c>
      <c r="AK158" s="1354">
        <f t="shared" si="44"/>
        <v>0</v>
      </c>
      <c r="AL158" s="1352">
        <f t="shared" si="56"/>
        <v>2</v>
      </c>
      <c r="AM158" s="1354">
        <f t="shared" si="45"/>
        <v>0</v>
      </c>
      <c r="AN158" s="1352" t="str">
        <f t="shared" si="46"/>
        <v>Shared Services - Tax Collector</v>
      </c>
    </row>
    <row r="159" spans="1:40" x14ac:dyDescent="0.2">
      <c r="A159" s="1324" t="s">
        <v>3392</v>
      </c>
      <c r="B159" s="1324" t="s">
        <v>5394</v>
      </c>
      <c r="C159" s="1353">
        <f>'Key Metrics'!C99</f>
        <v>0</v>
      </c>
      <c r="D159" s="1353">
        <f>'Key Metrics'!D99</f>
        <v>0</v>
      </c>
      <c r="E159" s="1351">
        <f t="shared" si="47"/>
        <v>0</v>
      </c>
      <c r="F159" s="1353">
        <f t="shared" si="48"/>
        <v>0</v>
      </c>
      <c r="G159" s="1353">
        <f t="shared" si="49"/>
        <v>0</v>
      </c>
      <c r="H159" s="1353">
        <f t="shared" si="50"/>
        <v>0</v>
      </c>
      <c r="I159" s="1353">
        <f t="shared" si="51"/>
        <v>0</v>
      </c>
      <c r="J159" s="1353">
        <f t="shared" si="52"/>
        <v>0</v>
      </c>
      <c r="M159" s="1324" t="str">
        <f t="shared" si="53"/>
        <v>Shared Services - Chief Financial Officer</v>
      </c>
      <c r="N159" s="1368">
        <f t="shared" si="54"/>
        <v>0</v>
      </c>
      <c r="O159" s="1368">
        <f t="shared" si="55"/>
        <v>0</v>
      </c>
      <c r="P159" s="1368">
        <f t="shared" si="55"/>
        <v>0</v>
      </c>
      <c r="Q159" s="1368">
        <f t="shared" si="55"/>
        <v>0</v>
      </c>
      <c r="R159" s="1368">
        <f t="shared" si="55"/>
        <v>0</v>
      </c>
      <c r="T159" s="1369">
        <v>0.02</v>
      </c>
      <c r="U159" s="1369">
        <v>0.02</v>
      </c>
      <c r="V159" s="1369">
        <v>0.02</v>
      </c>
      <c r="W159" s="1369">
        <v>0.02</v>
      </c>
      <c r="X159" s="1369">
        <v>0.02</v>
      </c>
      <c r="Y159" s="1367"/>
      <c r="Z159" s="1370">
        <v>0</v>
      </c>
      <c r="AA159" s="1370">
        <v>0</v>
      </c>
      <c r="AB159" s="1370">
        <v>0</v>
      </c>
      <c r="AC159" s="1370">
        <v>0</v>
      </c>
      <c r="AD159" s="1370">
        <v>0</v>
      </c>
      <c r="AK159" s="1354">
        <f t="shared" si="44"/>
        <v>0</v>
      </c>
      <c r="AL159" s="1352">
        <f t="shared" si="56"/>
        <v>2</v>
      </c>
      <c r="AM159" s="1354">
        <f t="shared" si="45"/>
        <v>0</v>
      </c>
      <c r="AN159" s="1352" t="str">
        <f t="shared" si="46"/>
        <v>Shared Services - Chief Financial Officer</v>
      </c>
    </row>
    <row r="160" spans="1:40" x14ac:dyDescent="0.2">
      <c r="A160" s="1324" t="s">
        <v>3396</v>
      </c>
      <c r="B160" s="1324" t="s">
        <v>5395</v>
      </c>
      <c r="C160" s="1353">
        <f>'Key Metrics'!C100</f>
        <v>0</v>
      </c>
      <c r="D160" s="1353">
        <f>'Key Metrics'!D100</f>
        <v>0</v>
      </c>
      <c r="E160" s="1351">
        <f t="shared" si="47"/>
        <v>0</v>
      </c>
      <c r="F160" s="1353">
        <f t="shared" si="48"/>
        <v>0</v>
      </c>
      <c r="G160" s="1353">
        <f t="shared" si="49"/>
        <v>0</v>
      </c>
      <c r="H160" s="1353">
        <f t="shared" si="50"/>
        <v>0</v>
      </c>
      <c r="I160" s="1353">
        <f t="shared" si="51"/>
        <v>0</v>
      </c>
      <c r="J160" s="1353">
        <f t="shared" si="52"/>
        <v>0</v>
      </c>
      <c r="M160" s="1324" t="str">
        <f t="shared" si="53"/>
        <v>Shared Services - Public Works Department</v>
      </c>
      <c r="N160" s="1368">
        <f t="shared" si="54"/>
        <v>0</v>
      </c>
      <c r="O160" s="1368">
        <f t="shared" si="55"/>
        <v>0</v>
      </c>
      <c r="P160" s="1368">
        <f t="shared" si="55"/>
        <v>0</v>
      </c>
      <c r="Q160" s="1368">
        <f t="shared" si="55"/>
        <v>0</v>
      </c>
      <c r="R160" s="1368">
        <f t="shared" si="55"/>
        <v>0</v>
      </c>
      <c r="T160" s="1369">
        <v>0.02</v>
      </c>
      <c r="U160" s="1369">
        <v>0.02</v>
      </c>
      <c r="V160" s="1369">
        <v>0.02</v>
      </c>
      <c r="W160" s="1369">
        <v>0.02</v>
      </c>
      <c r="X160" s="1369">
        <v>0.02</v>
      </c>
      <c r="Y160" s="1367"/>
      <c r="Z160" s="1370">
        <v>0</v>
      </c>
      <c r="AA160" s="1370">
        <v>0</v>
      </c>
      <c r="AB160" s="1370">
        <v>0</v>
      </c>
      <c r="AC160" s="1370">
        <v>0</v>
      </c>
      <c r="AD160" s="1370">
        <v>0</v>
      </c>
      <c r="AK160" s="1354">
        <f t="shared" si="44"/>
        <v>0</v>
      </c>
      <c r="AL160" s="1352">
        <f t="shared" si="56"/>
        <v>2</v>
      </c>
      <c r="AM160" s="1354">
        <f t="shared" si="45"/>
        <v>0</v>
      </c>
      <c r="AN160" s="1352" t="str">
        <f t="shared" si="46"/>
        <v>Shared Services - Public Works Department</v>
      </c>
    </row>
    <row r="161" spans="1:40" x14ac:dyDescent="0.2">
      <c r="A161" s="1324" t="s">
        <v>3400</v>
      </c>
      <c r="B161" s="1324" t="s">
        <v>5396</v>
      </c>
      <c r="C161" s="1353">
        <f>'Key Metrics'!C101</f>
        <v>0</v>
      </c>
      <c r="D161" s="1353">
        <f>'Key Metrics'!D101</f>
        <v>0</v>
      </c>
      <c r="E161" s="1351">
        <f t="shared" si="47"/>
        <v>0</v>
      </c>
      <c r="F161" s="1353">
        <f t="shared" si="48"/>
        <v>0</v>
      </c>
      <c r="G161" s="1353">
        <f t="shared" si="49"/>
        <v>0</v>
      </c>
      <c r="H161" s="1353">
        <f t="shared" si="50"/>
        <v>0</v>
      </c>
      <c r="I161" s="1353">
        <f t="shared" si="51"/>
        <v>0</v>
      </c>
      <c r="J161" s="1353">
        <f t="shared" si="52"/>
        <v>0</v>
      </c>
      <c r="M161" s="1324" t="str">
        <f t="shared" si="53"/>
        <v>Shared Services - Police Department</v>
      </c>
      <c r="N161" s="1368">
        <f t="shared" si="54"/>
        <v>0</v>
      </c>
      <c r="O161" s="1368">
        <f t="shared" si="55"/>
        <v>0</v>
      </c>
      <c r="P161" s="1368">
        <f t="shared" si="55"/>
        <v>0</v>
      </c>
      <c r="Q161" s="1368">
        <f t="shared" si="55"/>
        <v>0</v>
      </c>
      <c r="R161" s="1368">
        <f t="shared" si="55"/>
        <v>0</v>
      </c>
      <c r="T161" s="1369">
        <v>0.02</v>
      </c>
      <c r="U161" s="1369">
        <v>0.02</v>
      </c>
      <c r="V161" s="1369">
        <v>0.02</v>
      </c>
      <c r="W161" s="1369">
        <v>0.02</v>
      </c>
      <c r="X161" s="1369">
        <v>0.02</v>
      </c>
      <c r="Y161" s="1367"/>
      <c r="Z161" s="1370">
        <v>0</v>
      </c>
      <c r="AA161" s="1370">
        <v>0</v>
      </c>
      <c r="AB161" s="1370">
        <v>0</v>
      </c>
      <c r="AC161" s="1370">
        <v>0</v>
      </c>
      <c r="AD161" s="1370">
        <v>0</v>
      </c>
      <c r="AK161" s="1354">
        <f t="shared" si="44"/>
        <v>0</v>
      </c>
      <c r="AL161" s="1352">
        <f t="shared" si="56"/>
        <v>2</v>
      </c>
      <c r="AM161" s="1354">
        <f t="shared" si="45"/>
        <v>0</v>
      </c>
      <c r="AN161" s="1352" t="str">
        <f t="shared" si="46"/>
        <v>Shared Services - Police Department</v>
      </c>
    </row>
    <row r="162" spans="1:40" x14ac:dyDescent="0.2">
      <c r="A162" s="1324" t="s">
        <v>3403</v>
      </c>
      <c r="B162" s="1324" t="s">
        <v>5397</v>
      </c>
      <c r="C162" s="1353">
        <f>'Key Metrics'!C102</f>
        <v>0</v>
      </c>
      <c r="D162" s="1353">
        <f>'Key Metrics'!D102</f>
        <v>0</v>
      </c>
      <c r="E162" s="1351">
        <f t="shared" si="47"/>
        <v>0</v>
      </c>
      <c r="F162" s="1353">
        <f t="shared" si="48"/>
        <v>0</v>
      </c>
      <c r="G162" s="1353">
        <f t="shared" si="49"/>
        <v>0</v>
      </c>
      <c r="H162" s="1353">
        <f t="shared" si="50"/>
        <v>0</v>
      </c>
      <c r="I162" s="1353">
        <f t="shared" si="51"/>
        <v>0</v>
      </c>
      <c r="J162" s="1353">
        <f t="shared" si="52"/>
        <v>0</v>
      </c>
      <c r="M162" s="1324" t="str">
        <f t="shared" si="53"/>
        <v>Shared Services - Trash and Recycling Collection</v>
      </c>
      <c r="N162" s="1368">
        <f t="shared" si="54"/>
        <v>0</v>
      </c>
      <c r="O162" s="1368">
        <f t="shared" si="55"/>
        <v>0</v>
      </c>
      <c r="P162" s="1368">
        <f t="shared" si="55"/>
        <v>0</v>
      </c>
      <c r="Q162" s="1368">
        <f t="shared" si="55"/>
        <v>0</v>
      </c>
      <c r="R162" s="1368">
        <f t="shared" si="55"/>
        <v>0</v>
      </c>
      <c r="T162" s="1369">
        <v>0.02</v>
      </c>
      <c r="U162" s="1369">
        <v>0.02</v>
      </c>
      <c r="V162" s="1369">
        <v>0.02</v>
      </c>
      <c r="W162" s="1369">
        <v>0.02</v>
      </c>
      <c r="X162" s="1369">
        <v>0.02</v>
      </c>
      <c r="Y162" s="1367"/>
      <c r="Z162" s="1370">
        <v>0</v>
      </c>
      <c r="AA162" s="1370">
        <v>0</v>
      </c>
      <c r="AB162" s="1370">
        <v>0</v>
      </c>
      <c r="AC162" s="1370">
        <v>0</v>
      </c>
      <c r="AD162" s="1370">
        <v>0</v>
      </c>
      <c r="AK162" s="1354">
        <f t="shared" si="44"/>
        <v>0</v>
      </c>
      <c r="AL162" s="1352">
        <f t="shared" si="56"/>
        <v>2</v>
      </c>
      <c r="AM162" s="1354">
        <f t="shared" si="45"/>
        <v>0</v>
      </c>
      <c r="AN162" s="1352" t="str">
        <f t="shared" si="46"/>
        <v>Shared Services - Trash and Recycling Collection</v>
      </c>
    </row>
    <row r="163" spans="1:40" x14ac:dyDescent="0.2">
      <c r="A163" s="1324" t="s">
        <v>3406</v>
      </c>
      <c r="B163" s="1324" t="s">
        <v>5398</v>
      </c>
      <c r="C163" s="1353">
        <f>'Key Metrics'!C103</f>
        <v>0</v>
      </c>
      <c r="D163" s="1353">
        <f>'Key Metrics'!D103</f>
        <v>0</v>
      </c>
      <c r="E163" s="1351">
        <f t="shared" si="47"/>
        <v>0</v>
      </c>
      <c r="F163" s="1353">
        <f t="shared" si="48"/>
        <v>0</v>
      </c>
      <c r="G163" s="1353">
        <f t="shared" si="49"/>
        <v>0</v>
      </c>
      <c r="H163" s="1353">
        <f t="shared" si="50"/>
        <v>0</v>
      </c>
      <c r="I163" s="1353">
        <f t="shared" si="51"/>
        <v>0</v>
      </c>
      <c r="J163" s="1353">
        <f t="shared" si="52"/>
        <v>0</v>
      </c>
      <c r="M163" s="1324" t="str">
        <f t="shared" si="53"/>
        <v>Shared Services - Municipal Court</v>
      </c>
      <c r="N163" s="1368">
        <f t="shared" si="54"/>
        <v>0</v>
      </c>
      <c r="O163" s="1368">
        <f t="shared" si="55"/>
        <v>0</v>
      </c>
      <c r="P163" s="1368">
        <f t="shared" si="55"/>
        <v>0</v>
      </c>
      <c r="Q163" s="1368">
        <f t="shared" si="55"/>
        <v>0</v>
      </c>
      <c r="R163" s="1368">
        <f t="shared" si="55"/>
        <v>0</v>
      </c>
      <c r="T163" s="1369">
        <v>0.02</v>
      </c>
      <c r="U163" s="1369">
        <v>0.02</v>
      </c>
      <c r="V163" s="1369">
        <v>0.02</v>
      </c>
      <c r="W163" s="1369">
        <v>0.02</v>
      </c>
      <c r="X163" s="1369">
        <v>0.02</v>
      </c>
      <c r="Y163" s="1367"/>
      <c r="Z163" s="1370">
        <v>0</v>
      </c>
      <c r="AA163" s="1370">
        <v>0</v>
      </c>
      <c r="AB163" s="1370">
        <v>0</v>
      </c>
      <c r="AC163" s="1370">
        <v>0</v>
      </c>
      <c r="AD163" s="1370">
        <v>0</v>
      </c>
      <c r="AK163" s="1354">
        <f t="shared" si="44"/>
        <v>0</v>
      </c>
      <c r="AL163" s="1352">
        <f t="shared" si="56"/>
        <v>2</v>
      </c>
      <c r="AM163" s="1354">
        <f t="shared" si="45"/>
        <v>0</v>
      </c>
      <c r="AN163" s="1352" t="str">
        <f t="shared" si="46"/>
        <v>Shared Services - Municipal Court</v>
      </c>
    </row>
    <row r="164" spans="1:40" x14ac:dyDescent="0.2">
      <c r="A164" s="1324" t="s">
        <v>3410</v>
      </c>
      <c r="B164" s="1324" t="s">
        <v>5399</v>
      </c>
      <c r="C164" s="1353">
        <f>'Key Metrics'!C104</f>
        <v>0</v>
      </c>
      <c r="D164" s="1353">
        <f>'Key Metrics'!D104</f>
        <v>0</v>
      </c>
      <c r="E164" s="1351">
        <f t="shared" si="47"/>
        <v>0</v>
      </c>
      <c r="F164" s="1353">
        <f t="shared" si="48"/>
        <v>0</v>
      </c>
      <c r="G164" s="1353">
        <f t="shared" si="49"/>
        <v>0</v>
      </c>
      <c r="H164" s="1353">
        <f t="shared" si="50"/>
        <v>0</v>
      </c>
      <c r="I164" s="1353">
        <f t="shared" si="51"/>
        <v>0</v>
      </c>
      <c r="J164" s="1353">
        <f t="shared" si="52"/>
        <v>0</v>
      </c>
      <c r="M164" s="1324" t="str">
        <f t="shared" si="53"/>
        <v>Shared Services - Fire Department/District</v>
      </c>
      <c r="N164" s="1368">
        <f t="shared" si="54"/>
        <v>0</v>
      </c>
      <c r="O164" s="1368">
        <f t="shared" si="55"/>
        <v>0</v>
      </c>
      <c r="P164" s="1368">
        <f t="shared" si="55"/>
        <v>0</v>
      </c>
      <c r="Q164" s="1368">
        <f t="shared" si="55"/>
        <v>0</v>
      </c>
      <c r="R164" s="1368">
        <f t="shared" si="55"/>
        <v>0</v>
      </c>
      <c r="T164" s="1369">
        <v>0.02</v>
      </c>
      <c r="U164" s="1369">
        <v>0.02</v>
      </c>
      <c r="V164" s="1369">
        <v>0.02</v>
      </c>
      <c r="W164" s="1369">
        <v>0.02</v>
      </c>
      <c r="X164" s="1369">
        <v>0.02</v>
      </c>
      <c r="Y164" s="1367"/>
      <c r="Z164" s="1370">
        <v>0</v>
      </c>
      <c r="AA164" s="1370">
        <v>0</v>
      </c>
      <c r="AB164" s="1370">
        <v>0</v>
      </c>
      <c r="AC164" s="1370">
        <v>0</v>
      </c>
      <c r="AD164" s="1370">
        <v>0</v>
      </c>
      <c r="AK164" s="1354">
        <f t="shared" si="44"/>
        <v>0</v>
      </c>
      <c r="AL164" s="1352">
        <f t="shared" si="56"/>
        <v>2</v>
      </c>
      <c r="AM164" s="1354">
        <f t="shared" si="45"/>
        <v>0</v>
      </c>
      <c r="AN164" s="1352" t="str">
        <f t="shared" si="46"/>
        <v>Shared Services - Fire Department/District</v>
      </c>
    </row>
    <row r="165" spans="1:40" x14ac:dyDescent="0.2">
      <c r="A165" s="1324" t="s">
        <v>3413</v>
      </c>
      <c r="B165" s="1324" t="s">
        <v>5400</v>
      </c>
      <c r="C165" s="1353">
        <f>'Key Metrics'!C105</f>
        <v>0</v>
      </c>
      <c r="D165" s="1353">
        <f>'Key Metrics'!D105</f>
        <v>0</v>
      </c>
      <c r="E165" s="1351">
        <f t="shared" si="47"/>
        <v>0</v>
      </c>
      <c r="F165" s="1353">
        <f t="shared" si="48"/>
        <v>0</v>
      </c>
      <c r="G165" s="1353">
        <f t="shared" si="49"/>
        <v>0</v>
      </c>
      <c r="H165" s="1353">
        <f t="shared" si="50"/>
        <v>0</v>
      </c>
      <c r="I165" s="1353">
        <f t="shared" si="51"/>
        <v>0</v>
      </c>
      <c r="J165" s="1353">
        <f t="shared" si="52"/>
        <v>0</v>
      </c>
      <c r="M165" s="1324" t="str">
        <f t="shared" si="53"/>
        <v>Shared Services - Board of Education</v>
      </c>
      <c r="N165" s="1368">
        <f t="shared" si="54"/>
        <v>0</v>
      </c>
      <c r="O165" s="1368">
        <f t="shared" si="55"/>
        <v>0</v>
      </c>
      <c r="P165" s="1368">
        <f t="shared" si="55"/>
        <v>0</v>
      </c>
      <c r="Q165" s="1368">
        <f t="shared" si="55"/>
        <v>0</v>
      </c>
      <c r="R165" s="1368">
        <f t="shared" si="55"/>
        <v>0</v>
      </c>
      <c r="T165" s="1369">
        <v>0.02</v>
      </c>
      <c r="U165" s="1369">
        <v>0.02</v>
      </c>
      <c r="V165" s="1369">
        <v>0.02</v>
      </c>
      <c r="W165" s="1369">
        <v>0.02</v>
      </c>
      <c r="X165" s="1369">
        <v>0.02</v>
      </c>
      <c r="Y165" s="1367"/>
      <c r="Z165" s="1370">
        <v>0</v>
      </c>
      <c r="AA165" s="1370">
        <v>0</v>
      </c>
      <c r="AB165" s="1370">
        <v>0</v>
      </c>
      <c r="AC165" s="1370">
        <v>0</v>
      </c>
      <c r="AD165" s="1370">
        <v>0</v>
      </c>
      <c r="AK165" s="1354">
        <f t="shared" si="44"/>
        <v>0</v>
      </c>
      <c r="AL165" s="1352">
        <f t="shared" si="56"/>
        <v>2</v>
      </c>
      <c r="AM165" s="1354">
        <f t="shared" si="45"/>
        <v>0</v>
      </c>
      <c r="AN165" s="1352" t="str">
        <f t="shared" si="46"/>
        <v>Shared Services - Board of Education</v>
      </c>
    </row>
    <row r="166" spans="1:40" x14ac:dyDescent="0.2">
      <c r="A166" s="1324" t="s">
        <v>3417</v>
      </c>
      <c r="B166" s="1324" t="s">
        <v>5401</v>
      </c>
      <c r="C166" s="1353">
        <f>'Key Metrics'!C106</f>
        <v>0</v>
      </c>
      <c r="D166" s="1353">
        <f>'Key Metrics'!D106</f>
        <v>0</v>
      </c>
      <c r="E166" s="1351">
        <f t="shared" si="47"/>
        <v>0</v>
      </c>
      <c r="F166" s="1353">
        <f t="shared" si="48"/>
        <v>0</v>
      </c>
      <c r="G166" s="1353">
        <f t="shared" si="49"/>
        <v>0</v>
      </c>
      <c r="H166" s="1353">
        <f t="shared" si="50"/>
        <v>0</v>
      </c>
      <c r="I166" s="1353">
        <f t="shared" si="51"/>
        <v>0</v>
      </c>
      <c r="J166" s="1353">
        <f t="shared" si="52"/>
        <v>0</v>
      </c>
      <c r="M166" s="1324" t="str">
        <f t="shared" si="53"/>
        <v>Shared Services - Social Service Functions</v>
      </c>
      <c r="N166" s="1368">
        <f t="shared" si="54"/>
        <v>0</v>
      </c>
      <c r="O166" s="1368">
        <f t="shared" si="55"/>
        <v>0</v>
      </c>
      <c r="P166" s="1368">
        <f t="shared" si="55"/>
        <v>0</v>
      </c>
      <c r="Q166" s="1368">
        <f t="shared" si="55"/>
        <v>0</v>
      </c>
      <c r="R166" s="1368">
        <f t="shared" si="55"/>
        <v>0</v>
      </c>
      <c r="T166" s="1369">
        <v>0.02</v>
      </c>
      <c r="U166" s="1369">
        <v>0.02</v>
      </c>
      <c r="V166" s="1369">
        <v>0.02</v>
      </c>
      <c r="W166" s="1369">
        <v>0.02</v>
      </c>
      <c r="X166" s="1369">
        <v>0.02</v>
      </c>
      <c r="Y166" s="1367"/>
      <c r="Z166" s="1370">
        <v>0</v>
      </c>
      <c r="AA166" s="1370">
        <v>0</v>
      </c>
      <c r="AB166" s="1370">
        <v>0</v>
      </c>
      <c r="AC166" s="1370">
        <v>0</v>
      </c>
      <c r="AD166" s="1370">
        <v>0</v>
      </c>
      <c r="AK166" s="1354">
        <f t="shared" si="44"/>
        <v>0</v>
      </c>
      <c r="AL166" s="1352">
        <f t="shared" si="56"/>
        <v>2</v>
      </c>
      <c r="AM166" s="1354">
        <f t="shared" si="45"/>
        <v>0</v>
      </c>
      <c r="AN166" s="1352" t="str">
        <f t="shared" si="46"/>
        <v>Shared Services - Social Service Functions</v>
      </c>
    </row>
    <row r="167" spans="1:40" x14ac:dyDescent="0.2">
      <c r="A167" s="1324" t="s">
        <v>3420</v>
      </c>
      <c r="B167" s="1324" t="s">
        <v>5402</v>
      </c>
      <c r="C167" s="1353">
        <f>'Key Metrics'!C107</f>
        <v>0</v>
      </c>
      <c r="D167" s="1353">
        <f>'Key Metrics'!D107</f>
        <v>0</v>
      </c>
      <c r="E167" s="1351">
        <f t="shared" si="47"/>
        <v>0</v>
      </c>
      <c r="F167" s="1353">
        <f t="shared" si="48"/>
        <v>0</v>
      </c>
      <c r="G167" s="1353">
        <f t="shared" si="49"/>
        <v>0</v>
      </c>
      <c r="H167" s="1353">
        <f t="shared" si="50"/>
        <v>0</v>
      </c>
      <c r="I167" s="1353">
        <f t="shared" si="51"/>
        <v>0</v>
      </c>
      <c r="J167" s="1353">
        <f t="shared" si="52"/>
        <v>0</v>
      </c>
      <c r="M167" s="1324" t="str">
        <f t="shared" si="53"/>
        <v>Shared Services - Purchasing</v>
      </c>
      <c r="N167" s="1368">
        <f t="shared" si="54"/>
        <v>0</v>
      </c>
      <c r="O167" s="1368">
        <f t="shared" si="55"/>
        <v>0</v>
      </c>
      <c r="P167" s="1368">
        <f t="shared" si="55"/>
        <v>0</v>
      </c>
      <c r="Q167" s="1368">
        <f t="shared" si="55"/>
        <v>0</v>
      </c>
      <c r="R167" s="1368">
        <f t="shared" si="55"/>
        <v>0</v>
      </c>
      <c r="T167" s="1369">
        <v>0.02</v>
      </c>
      <c r="U167" s="1369">
        <v>0.02</v>
      </c>
      <c r="V167" s="1369">
        <v>0.02</v>
      </c>
      <c r="W167" s="1369">
        <v>0.02</v>
      </c>
      <c r="X167" s="1369">
        <v>0.02</v>
      </c>
      <c r="Y167" s="1367"/>
      <c r="Z167" s="1370">
        <v>0</v>
      </c>
      <c r="AA167" s="1370">
        <v>0</v>
      </c>
      <c r="AB167" s="1370">
        <v>0</v>
      </c>
      <c r="AC167" s="1370">
        <v>0</v>
      </c>
      <c r="AD167" s="1370">
        <v>0</v>
      </c>
      <c r="AK167" s="1354">
        <f t="shared" si="44"/>
        <v>0</v>
      </c>
      <c r="AL167" s="1352">
        <f t="shared" si="56"/>
        <v>2</v>
      </c>
      <c r="AM167" s="1354">
        <f t="shared" si="45"/>
        <v>0</v>
      </c>
      <c r="AN167" s="1352" t="str">
        <f t="shared" si="46"/>
        <v>Shared Services - Purchasing</v>
      </c>
    </row>
    <row r="168" spans="1:40" x14ac:dyDescent="0.2">
      <c r="A168" s="1324" t="s">
        <v>3423</v>
      </c>
      <c r="B168" s="1324" t="s">
        <v>5403</v>
      </c>
      <c r="C168" s="1353">
        <f>'Key Metrics'!C108</f>
        <v>0</v>
      </c>
      <c r="D168" s="1353">
        <f>'Key Metrics'!D108</f>
        <v>0</v>
      </c>
      <c r="E168" s="1351">
        <f t="shared" si="47"/>
        <v>0</v>
      </c>
      <c r="F168" s="1353">
        <f t="shared" si="48"/>
        <v>0</v>
      </c>
      <c r="G168" s="1353">
        <f t="shared" si="49"/>
        <v>0</v>
      </c>
      <c r="H168" s="1353">
        <f t="shared" si="50"/>
        <v>0</v>
      </c>
      <c r="I168" s="1353">
        <f t="shared" si="51"/>
        <v>0</v>
      </c>
      <c r="J168" s="1353">
        <f t="shared" si="52"/>
        <v>0</v>
      </c>
      <c r="M168" s="1324" t="str">
        <f t="shared" si="53"/>
        <v>Shared Services - Animal Control Services</v>
      </c>
      <c r="N168" s="1368">
        <f t="shared" si="54"/>
        <v>0</v>
      </c>
      <c r="O168" s="1368">
        <f t="shared" si="55"/>
        <v>0</v>
      </c>
      <c r="P168" s="1368">
        <f t="shared" si="55"/>
        <v>0</v>
      </c>
      <c r="Q168" s="1368">
        <f t="shared" si="55"/>
        <v>0</v>
      </c>
      <c r="R168" s="1368">
        <f t="shared" si="55"/>
        <v>0</v>
      </c>
      <c r="T168" s="1369">
        <v>0.02</v>
      </c>
      <c r="U168" s="1369">
        <v>0.02</v>
      </c>
      <c r="V168" s="1369">
        <v>0.02</v>
      </c>
      <c r="W168" s="1369">
        <v>0.02</v>
      </c>
      <c r="X168" s="1369">
        <v>0.02</v>
      </c>
      <c r="Y168" s="1367"/>
      <c r="Z168" s="1370">
        <v>0</v>
      </c>
      <c r="AA168" s="1370">
        <v>0</v>
      </c>
      <c r="AB168" s="1370">
        <v>0</v>
      </c>
      <c r="AC168" s="1370">
        <v>0</v>
      </c>
      <c r="AD168" s="1370">
        <v>0</v>
      </c>
      <c r="AK168" s="1354">
        <f t="shared" si="44"/>
        <v>0</v>
      </c>
      <c r="AL168" s="1352">
        <f t="shared" si="56"/>
        <v>2</v>
      </c>
      <c r="AM168" s="1354">
        <f t="shared" si="45"/>
        <v>0</v>
      </c>
      <c r="AN168" s="1352" t="str">
        <f t="shared" si="46"/>
        <v>Shared Services - Animal Control Services</v>
      </c>
    </row>
    <row r="169" spans="1:40" x14ac:dyDescent="0.2">
      <c r="A169" s="1324" t="s">
        <v>3424</v>
      </c>
      <c r="B169" s="1324" t="s">
        <v>5404</v>
      </c>
      <c r="C169" s="1353">
        <f>'Key Metrics'!C109</f>
        <v>0</v>
      </c>
      <c r="D169" s="1353">
        <f>'Key Metrics'!D109</f>
        <v>0</v>
      </c>
      <c r="E169" s="1351">
        <f t="shared" si="47"/>
        <v>0</v>
      </c>
      <c r="F169" s="1353">
        <f t="shared" si="48"/>
        <v>0</v>
      </c>
      <c r="G169" s="1353">
        <f t="shared" si="49"/>
        <v>0</v>
      </c>
      <c r="H169" s="1353">
        <f t="shared" si="50"/>
        <v>0</v>
      </c>
      <c r="I169" s="1353">
        <f t="shared" si="51"/>
        <v>0</v>
      </c>
      <c r="J169" s="1353">
        <f t="shared" si="52"/>
        <v>0</v>
      </c>
      <c r="M169" s="1324" t="str">
        <f t="shared" si="53"/>
        <v>Shared Services - Health Services</v>
      </c>
      <c r="N169" s="1368">
        <f t="shared" si="54"/>
        <v>0</v>
      </c>
      <c r="O169" s="1368">
        <f t="shared" si="55"/>
        <v>0</v>
      </c>
      <c r="P169" s="1368">
        <f t="shared" si="55"/>
        <v>0</v>
      </c>
      <c r="Q169" s="1368">
        <f t="shared" si="55"/>
        <v>0</v>
      </c>
      <c r="R169" s="1368">
        <f t="shared" si="55"/>
        <v>0</v>
      </c>
      <c r="T169" s="1369">
        <v>0.1</v>
      </c>
      <c r="U169" s="1369">
        <v>0.02</v>
      </c>
      <c r="V169" s="1369">
        <v>0.02</v>
      </c>
      <c r="W169" s="1369">
        <v>0.02</v>
      </c>
      <c r="X169" s="1369">
        <v>0.02</v>
      </c>
      <c r="Y169" s="1367"/>
      <c r="Z169" s="1370">
        <v>0</v>
      </c>
      <c r="AA169" s="1370">
        <v>0</v>
      </c>
      <c r="AB169" s="1370">
        <v>0</v>
      </c>
      <c r="AC169" s="1370">
        <v>0</v>
      </c>
      <c r="AD169" s="1370">
        <v>0</v>
      </c>
      <c r="AK169" s="1354">
        <f t="shared" si="44"/>
        <v>0</v>
      </c>
      <c r="AL169" s="1352">
        <f t="shared" si="56"/>
        <v>2</v>
      </c>
      <c r="AM169" s="1354">
        <f t="shared" si="45"/>
        <v>0</v>
      </c>
      <c r="AN169" s="1352" t="str">
        <f t="shared" si="46"/>
        <v>Shared Services - Health Services</v>
      </c>
    </row>
    <row r="170" spans="1:40" x14ac:dyDescent="0.2">
      <c r="A170" s="1324" t="s">
        <v>3426</v>
      </c>
      <c r="B170" s="1324" t="s">
        <v>5405</v>
      </c>
      <c r="C170" s="1353">
        <f>'Key Metrics'!C110</f>
        <v>0</v>
      </c>
      <c r="D170" s="1353">
        <f>'Key Metrics'!D110</f>
        <v>0</v>
      </c>
      <c r="E170" s="1351">
        <f t="shared" si="47"/>
        <v>0</v>
      </c>
      <c r="F170" s="1353">
        <f t="shared" si="48"/>
        <v>0</v>
      </c>
      <c r="G170" s="1353">
        <f t="shared" si="49"/>
        <v>0</v>
      </c>
      <c r="H170" s="1353">
        <f t="shared" si="50"/>
        <v>0</v>
      </c>
      <c r="I170" s="1353">
        <f t="shared" si="51"/>
        <v>0</v>
      </c>
      <c r="J170" s="1353">
        <f t="shared" si="52"/>
        <v>0</v>
      </c>
      <c r="M170" s="1324" t="str">
        <f t="shared" si="53"/>
        <v>Shared Services - Dispatch / 911</v>
      </c>
      <c r="N170" s="1368">
        <f t="shared" si="54"/>
        <v>0</v>
      </c>
      <c r="O170" s="1368">
        <f t="shared" si="55"/>
        <v>0</v>
      </c>
      <c r="P170" s="1368">
        <f t="shared" si="55"/>
        <v>0</v>
      </c>
      <c r="Q170" s="1368">
        <f t="shared" si="55"/>
        <v>0</v>
      </c>
      <c r="R170" s="1368">
        <f t="shared" si="55"/>
        <v>0</v>
      </c>
      <c r="T170" s="1369">
        <v>0.02</v>
      </c>
      <c r="U170" s="1369">
        <v>0.02</v>
      </c>
      <c r="V170" s="1369">
        <v>0.02</v>
      </c>
      <c r="W170" s="1369">
        <v>0.02</v>
      </c>
      <c r="X170" s="1369">
        <v>0.02</v>
      </c>
      <c r="Y170" s="1367"/>
      <c r="Z170" s="1370">
        <v>0</v>
      </c>
      <c r="AA170" s="1370">
        <v>0</v>
      </c>
      <c r="AB170" s="1370">
        <v>0</v>
      </c>
      <c r="AC170" s="1370">
        <v>0</v>
      </c>
      <c r="AD170" s="1370">
        <v>0</v>
      </c>
      <c r="AK170" s="1354">
        <f t="shared" si="44"/>
        <v>0</v>
      </c>
      <c r="AL170" s="1352">
        <f t="shared" si="56"/>
        <v>2</v>
      </c>
      <c r="AM170" s="1354">
        <f t="shared" si="45"/>
        <v>0</v>
      </c>
      <c r="AN170" s="1352" t="str">
        <f t="shared" si="46"/>
        <v>Shared Services - Dispatch / 911</v>
      </c>
    </row>
    <row r="171" spans="1:40" x14ac:dyDescent="0.2">
      <c r="A171" s="1324" t="s">
        <v>3428</v>
      </c>
      <c r="B171" s="1324" t="s">
        <v>5406</v>
      </c>
      <c r="C171" s="1353">
        <f>'Key Metrics'!C111</f>
        <v>0</v>
      </c>
      <c r="D171" s="1353">
        <f>'Key Metrics'!D111</f>
        <v>0</v>
      </c>
      <c r="E171" s="1351">
        <f t="shared" si="47"/>
        <v>0</v>
      </c>
      <c r="F171" s="1353">
        <f t="shared" si="48"/>
        <v>0</v>
      </c>
      <c r="G171" s="1353">
        <f t="shared" si="49"/>
        <v>0</v>
      </c>
      <c r="H171" s="1353">
        <f t="shared" si="50"/>
        <v>0</v>
      </c>
      <c r="I171" s="1353">
        <f t="shared" si="51"/>
        <v>0</v>
      </c>
      <c r="J171" s="1353">
        <f t="shared" si="52"/>
        <v>0</v>
      </c>
      <c r="M171" s="1324" t="str">
        <f t="shared" si="53"/>
        <v>Shared Services - County</v>
      </c>
      <c r="N171" s="1368">
        <f t="shared" si="54"/>
        <v>0</v>
      </c>
      <c r="O171" s="1368">
        <f t="shared" si="55"/>
        <v>0</v>
      </c>
      <c r="P171" s="1368">
        <f t="shared" si="55"/>
        <v>0</v>
      </c>
      <c r="Q171" s="1368">
        <f t="shared" si="55"/>
        <v>0</v>
      </c>
      <c r="R171" s="1368">
        <f t="shared" si="55"/>
        <v>0</v>
      </c>
      <c r="T171" s="1369">
        <v>0.02</v>
      </c>
      <c r="U171" s="1369">
        <v>0.02</v>
      </c>
      <c r="V171" s="1369">
        <v>0.02</v>
      </c>
      <c r="W171" s="1369">
        <v>0.02</v>
      </c>
      <c r="X171" s="1369">
        <v>0.02</v>
      </c>
      <c r="Y171" s="1367"/>
      <c r="Z171" s="1370">
        <v>0</v>
      </c>
      <c r="AA171" s="1370">
        <v>0</v>
      </c>
      <c r="AB171" s="1370">
        <v>0</v>
      </c>
      <c r="AC171" s="1370">
        <v>0</v>
      </c>
      <c r="AD171" s="1370">
        <v>0</v>
      </c>
      <c r="AK171" s="1354">
        <f t="shared" si="44"/>
        <v>0</v>
      </c>
      <c r="AL171" s="1352">
        <f t="shared" si="56"/>
        <v>2</v>
      </c>
      <c r="AM171" s="1354">
        <f t="shared" si="45"/>
        <v>0</v>
      </c>
      <c r="AN171" s="1352" t="str">
        <f t="shared" si="46"/>
        <v>Shared Services - County</v>
      </c>
    </row>
    <row r="172" spans="1:40" x14ac:dyDescent="0.2">
      <c r="A172" s="1324" t="s">
        <v>3430</v>
      </c>
      <c r="B172" s="1324" t="s">
        <v>5407</v>
      </c>
      <c r="C172" s="1353">
        <f>'Key Metrics'!C112</f>
        <v>0</v>
      </c>
      <c r="D172" s="1353">
        <f>'Key Metrics'!D112</f>
        <v>0</v>
      </c>
      <c r="E172" s="1351">
        <f t="shared" si="47"/>
        <v>0</v>
      </c>
      <c r="F172" s="1353">
        <f t="shared" si="48"/>
        <v>0</v>
      </c>
      <c r="G172" s="1353">
        <f t="shared" si="49"/>
        <v>0</v>
      </c>
      <c r="H172" s="1353">
        <f t="shared" si="50"/>
        <v>0</v>
      </c>
      <c r="I172" s="1353">
        <f t="shared" si="51"/>
        <v>0</v>
      </c>
      <c r="J172" s="1353">
        <f t="shared" si="52"/>
        <v>0</v>
      </c>
      <c r="M172" s="1324" t="str">
        <f t="shared" si="53"/>
        <v>Shared Services - Transportation Services</v>
      </c>
      <c r="N172" s="1368">
        <f t="shared" si="54"/>
        <v>0</v>
      </c>
      <c r="O172" s="1368">
        <f t="shared" si="55"/>
        <v>0</v>
      </c>
      <c r="P172" s="1368">
        <f t="shared" si="55"/>
        <v>0</v>
      </c>
      <c r="Q172" s="1368">
        <f t="shared" si="55"/>
        <v>0</v>
      </c>
      <c r="R172" s="1368">
        <f t="shared" si="55"/>
        <v>0</v>
      </c>
      <c r="T172" s="1369">
        <v>0.02</v>
      </c>
      <c r="U172" s="1369">
        <v>0.02</v>
      </c>
      <c r="V172" s="1369">
        <v>0.02</v>
      </c>
      <c r="W172" s="1369">
        <v>0.02</v>
      </c>
      <c r="X172" s="1369">
        <v>0.02</v>
      </c>
      <c r="Y172" s="1367"/>
      <c r="Z172" s="1370">
        <v>0</v>
      </c>
      <c r="AA172" s="1370">
        <v>0</v>
      </c>
      <c r="AB172" s="1370">
        <v>0</v>
      </c>
      <c r="AC172" s="1370">
        <v>0</v>
      </c>
      <c r="AD172" s="1370">
        <v>0</v>
      </c>
      <c r="AK172" s="1354">
        <f t="shared" si="44"/>
        <v>0</v>
      </c>
      <c r="AL172" s="1352">
        <f t="shared" si="56"/>
        <v>2</v>
      </c>
      <c r="AM172" s="1354">
        <f t="shared" si="45"/>
        <v>0</v>
      </c>
      <c r="AN172" s="1352" t="str">
        <f t="shared" si="46"/>
        <v>Shared Services - Transportation Services</v>
      </c>
    </row>
    <row r="173" spans="1:40" x14ac:dyDescent="0.2">
      <c r="A173" s="1324" t="s">
        <v>3431</v>
      </c>
      <c r="B173" s="1324" t="s">
        <v>5408</v>
      </c>
      <c r="C173" s="1353">
        <f>'Key Metrics'!C113</f>
        <v>0</v>
      </c>
      <c r="D173" s="1353">
        <f>'Key Metrics'!D113</f>
        <v>0</v>
      </c>
      <c r="E173" s="1351">
        <f t="shared" si="47"/>
        <v>0</v>
      </c>
      <c r="F173" s="1353">
        <f t="shared" si="48"/>
        <v>0</v>
      </c>
      <c r="G173" s="1353">
        <f t="shared" si="49"/>
        <v>0</v>
      </c>
      <c r="H173" s="1353">
        <f t="shared" si="50"/>
        <v>0</v>
      </c>
      <c r="I173" s="1353">
        <f t="shared" si="51"/>
        <v>0</v>
      </c>
      <c r="J173" s="1353">
        <f t="shared" si="52"/>
        <v>0</v>
      </c>
      <c r="M173" s="1324" t="str">
        <f t="shared" si="53"/>
        <v>Shared Services - Construction Office</v>
      </c>
      <c r="N173" s="1368">
        <f t="shared" si="54"/>
        <v>0</v>
      </c>
      <c r="O173" s="1368">
        <f t="shared" ref="O173:R180" si="57">N173</f>
        <v>0</v>
      </c>
      <c r="P173" s="1368">
        <f t="shared" si="57"/>
        <v>0</v>
      </c>
      <c r="Q173" s="1368">
        <f t="shared" si="57"/>
        <v>0</v>
      </c>
      <c r="R173" s="1368">
        <f t="shared" si="57"/>
        <v>0</v>
      </c>
      <c r="T173" s="1369">
        <v>0.02</v>
      </c>
      <c r="U173" s="1369">
        <v>0.02</v>
      </c>
      <c r="V173" s="1369">
        <v>0.02</v>
      </c>
      <c r="W173" s="1369">
        <v>0.02</v>
      </c>
      <c r="X173" s="1369">
        <v>0.02</v>
      </c>
      <c r="Y173" s="1367"/>
      <c r="Z173" s="1370">
        <v>0</v>
      </c>
      <c r="AA173" s="1370">
        <v>0</v>
      </c>
      <c r="AB173" s="1370">
        <v>0</v>
      </c>
      <c r="AC173" s="1370">
        <v>0</v>
      </c>
      <c r="AD173" s="1370">
        <v>0</v>
      </c>
      <c r="AK173" s="1354">
        <f t="shared" si="44"/>
        <v>0</v>
      </c>
      <c r="AL173" s="1352">
        <f t="shared" si="56"/>
        <v>2</v>
      </c>
      <c r="AM173" s="1354">
        <f t="shared" si="45"/>
        <v>0</v>
      </c>
      <c r="AN173" s="1352" t="str">
        <f t="shared" si="46"/>
        <v>Shared Services - Construction Office</v>
      </c>
    </row>
    <row r="174" spans="1:40" x14ac:dyDescent="0.2">
      <c r="A174" s="1324" t="s">
        <v>3432</v>
      </c>
      <c r="B174" s="1324" t="s">
        <v>5409</v>
      </c>
      <c r="C174" s="1353">
        <f>'Key Metrics'!C115</f>
        <v>0</v>
      </c>
      <c r="D174" s="1353">
        <f>'Key Metrics'!D115</f>
        <v>0</v>
      </c>
      <c r="E174" s="1351">
        <f t="shared" si="47"/>
        <v>0</v>
      </c>
      <c r="F174" s="1353">
        <f t="shared" si="48"/>
        <v>0</v>
      </c>
      <c r="G174" s="1353">
        <f t="shared" si="49"/>
        <v>0</v>
      </c>
      <c r="H174" s="1353">
        <f t="shared" si="50"/>
        <v>0</v>
      </c>
      <c r="I174" s="1353">
        <f t="shared" si="51"/>
        <v>0</v>
      </c>
      <c r="J174" s="1353">
        <f t="shared" si="52"/>
        <v>0</v>
      </c>
      <c r="M174" s="1324" t="str">
        <f t="shared" si="53"/>
        <v>"User Defined" Shared Services</v>
      </c>
      <c r="N174" s="1368">
        <f t="shared" si="54"/>
        <v>0</v>
      </c>
      <c r="O174" s="1368">
        <f t="shared" si="57"/>
        <v>0</v>
      </c>
      <c r="P174" s="1368">
        <f t="shared" si="57"/>
        <v>0</v>
      </c>
      <c r="Q174" s="1368">
        <f t="shared" si="57"/>
        <v>0</v>
      </c>
      <c r="R174" s="1368">
        <f t="shared" si="57"/>
        <v>0</v>
      </c>
      <c r="T174" s="1369">
        <v>0.02</v>
      </c>
      <c r="U174" s="1369">
        <v>0.02</v>
      </c>
      <c r="V174" s="1369">
        <v>0.02</v>
      </c>
      <c r="W174" s="1369">
        <v>0.02</v>
      </c>
      <c r="X174" s="1369">
        <v>0.02</v>
      </c>
      <c r="Y174" s="1367"/>
      <c r="Z174" s="1370">
        <v>0</v>
      </c>
      <c r="AA174" s="1370">
        <v>0</v>
      </c>
      <c r="AB174" s="1370">
        <v>0</v>
      </c>
      <c r="AC174" s="1370">
        <v>0</v>
      </c>
      <c r="AD174" s="1370">
        <v>0</v>
      </c>
      <c r="AK174" s="1354">
        <f t="shared" si="44"/>
        <v>0</v>
      </c>
      <c r="AL174" s="1352">
        <f t="shared" si="56"/>
        <v>2</v>
      </c>
      <c r="AM174" s="1354">
        <f t="shared" si="45"/>
        <v>0</v>
      </c>
      <c r="AN174" s="1352" t="str">
        <f t="shared" si="46"/>
        <v>"User Defined" Shared Services</v>
      </c>
    </row>
    <row r="175" spans="1:40" x14ac:dyDescent="0.2">
      <c r="A175" s="1324" t="s">
        <v>3433</v>
      </c>
      <c r="B175" s="1324" t="s">
        <v>5409</v>
      </c>
      <c r="C175" s="1353">
        <f>'Key Metrics'!C116</f>
        <v>0</v>
      </c>
      <c r="D175" s="1353">
        <f>'Key Metrics'!D116</f>
        <v>0</v>
      </c>
      <c r="E175" s="1351">
        <f t="shared" si="47"/>
        <v>0</v>
      </c>
      <c r="F175" s="1353">
        <f t="shared" si="48"/>
        <v>0</v>
      </c>
      <c r="G175" s="1353">
        <f t="shared" si="49"/>
        <v>0</v>
      </c>
      <c r="H175" s="1353">
        <f t="shared" si="50"/>
        <v>0</v>
      </c>
      <c r="I175" s="1353">
        <f t="shared" si="51"/>
        <v>0</v>
      </c>
      <c r="J175" s="1353">
        <f t="shared" si="52"/>
        <v>0</v>
      </c>
      <c r="M175" s="1324" t="str">
        <f t="shared" si="53"/>
        <v>"User Defined" Shared Services</v>
      </c>
      <c r="N175" s="1368">
        <f t="shared" si="54"/>
        <v>0</v>
      </c>
      <c r="O175" s="1368">
        <f t="shared" si="57"/>
        <v>0</v>
      </c>
      <c r="P175" s="1368">
        <f t="shared" si="57"/>
        <v>0</v>
      </c>
      <c r="Q175" s="1368">
        <f t="shared" si="57"/>
        <v>0</v>
      </c>
      <c r="R175" s="1368">
        <f t="shared" si="57"/>
        <v>0</v>
      </c>
      <c r="T175" s="1369">
        <v>0.02</v>
      </c>
      <c r="U175" s="1369">
        <v>0.02</v>
      </c>
      <c r="V175" s="1369">
        <v>0.02</v>
      </c>
      <c r="W175" s="1369">
        <v>0.02</v>
      </c>
      <c r="X175" s="1369">
        <v>0.02</v>
      </c>
      <c r="Y175" s="1367"/>
      <c r="Z175" s="1370">
        <v>0</v>
      </c>
      <c r="AA175" s="1370">
        <v>0</v>
      </c>
      <c r="AB175" s="1370">
        <v>0</v>
      </c>
      <c r="AC175" s="1370">
        <v>0</v>
      </c>
      <c r="AD175" s="1370">
        <v>0</v>
      </c>
      <c r="AK175" s="1354">
        <f t="shared" si="44"/>
        <v>0</v>
      </c>
      <c r="AL175" s="1352">
        <f t="shared" si="56"/>
        <v>2</v>
      </c>
      <c r="AM175" s="1354">
        <f t="shared" si="45"/>
        <v>0</v>
      </c>
      <c r="AN175" s="1352" t="str">
        <f t="shared" si="46"/>
        <v>"User Defined" Shared Services</v>
      </c>
    </row>
    <row r="176" spans="1:40" x14ac:dyDescent="0.2">
      <c r="A176" s="1324" t="s">
        <v>3434</v>
      </c>
      <c r="B176" s="1324" t="s">
        <v>5409</v>
      </c>
      <c r="C176" s="1353">
        <f>'Key Metrics'!C117</f>
        <v>0</v>
      </c>
      <c r="D176" s="1353">
        <f>'Key Metrics'!D117</f>
        <v>0</v>
      </c>
      <c r="E176" s="1351">
        <f t="shared" si="47"/>
        <v>0</v>
      </c>
      <c r="F176" s="1353">
        <f t="shared" si="48"/>
        <v>0</v>
      </c>
      <c r="G176" s="1353">
        <f t="shared" si="49"/>
        <v>0</v>
      </c>
      <c r="H176" s="1353">
        <f t="shared" si="50"/>
        <v>0</v>
      </c>
      <c r="I176" s="1353">
        <f t="shared" si="51"/>
        <v>0</v>
      </c>
      <c r="J176" s="1353">
        <f t="shared" si="52"/>
        <v>0</v>
      </c>
      <c r="M176" s="1324" t="str">
        <f t="shared" si="53"/>
        <v>"User Defined" Shared Services</v>
      </c>
      <c r="N176" s="1368">
        <f t="shared" si="54"/>
        <v>0</v>
      </c>
      <c r="O176" s="1368">
        <f t="shared" si="57"/>
        <v>0</v>
      </c>
      <c r="P176" s="1368">
        <f t="shared" si="57"/>
        <v>0</v>
      </c>
      <c r="Q176" s="1368">
        <f t="shared" si="57"/>
        <v>0</v>
      </c>
      <c r="R176" s="1368">
        <f t="shared" si="57"/>
        <v>0</v>
      </c>
      <c r="T176" s="1369">
        <v>0.02</v>
      </c>
      <c r="U176" s="1369">
        <v>0.02</v>
      </c>
      <c r="V176" s="1369">
        <v>0.02</v>
      </c>
      <c r="W176" s="1369">
        <v>0.02</v>
      </c>
      <c r="X176" s="1369">
        <v>0.02</v>
      </c>
      <c r="Y176" s="1367"/>
      <c r="Z176" s="1370">
        <v>0</v>
      </c>
      <c r="AA176" s="1370">
        <v>0</v>
      </c>
      <c r="AB176" s="1370">
        <v>0</v>
      </c>
      <c r="AC176" s="1370">
        <v>0</v>
      </c>
      <c r="AD176" s="1370">
        <v>0</v>
      </c>
      <c r="AK176" s="1354">
        <f t="shared" si="44"/>
        <v>0</v>
      </c>
      <c r="AL176" s="1352">
        <f t="shared" si="56"/>
        <v>2</v>
      </c>
      <c r="AM176" s="1354">
        <f t="shared" si="45"/>
        <v>0</v>
      </c>
      <c r="AN176" s="1352" t="str">
        <f t="shared" si="46"/>
        <v>"User Defined" Shared Services</v>
      </c>
    </row>
    <row r="177" spans="1:40" x14ac:dyDescent="0.2">
      <c r="A177" s="1324" t="s">
        <v>3436</v>
      </c>
      <c r="B177" s="1324" t="s">
        <v>5409</v>
      </c>
      <c r="C177" s="1353">
        <f>'Key Metrics'!C118</f>
        <v>0</v>
      </c>
      <c r="D177" s="1353">
        <f>'Key Metrics'!D118</f>
        <v>0</v>
      </c>
      <c r="E177" s="1351">
        <f t="shared" si="47"/>
        <v>0</v>
      </c>
      <c r="F177" s="1353">
        <f t="shared" si="48"/>
        <v>0</v>
      </c>
      <c r="G177" s="1353">
        <f t="shared" si="49"/>
        <v>0</v>
      </c>
      <c r="H177" s="1353">
        <f t="shared" si="50"/>
        <v>0</v>
      </c>
      <c r="I177" s="1353">
        <f t="shared" si="51"/>
        <v>0</v>
      </c>
      <c r="J177" s="1353">
        <f t="shared" si="52"/>
        <v>0</v>
      </c>
      <c r="M177" s="1324" t="str">
        <f t="shared" si="53"/>
        <v>"User Defined" Shared Services</v>
      </c>
      <c r="N177" s="1368">
        <f t="shared" si="54"/>
        <v>0</v>
      </c>
      <c r="O177" s="1368">
        <f t="shared" si="57"/>
        <v>0</v>
      </c>
      <c r="P177" s="1368">
        <f t="shared" si="57"/>
        <v>0</v>
      </c>
      <c r="Q177" s="1368">
        <f t="shared" si="57"/>
        <v>0</v>
      </c>
      <c r="R177" s="1368">
        <f t="shared" si="57"/>
        <v>0</v>
      </c>
      <c r="T177" s="1369">
        <v>0.02</v>
      </c>
      <c r="U177" s="1369">
        <v>0.02</v>
      </c>
      <c r="V177" s="1369">
        <v>0.02</v>
      </c>
      <c r="W177" s="1369">
        <v>0.02</v>
      </c>
      <c r="X177" s="1369">
        <v>0.02</v>
      </c>
      <c r="Y177" s="1367"/>
      <c r="Z177" s="1370">
        <v>0</v>
      </c>
      <c r="AA177" s="1370">
        <v>0</v>
      </c>
      <c r="AB177" s="1370">
        <v>0</v>
      </c>
      <c r="AC177" s="1370">
        <v>0</v>
      </c>
      <c r="AD177" s="1370">
        <v>0</v>
      </c>
      <c r="AK177" s="1354">
        <f t="shared" si="44"/>
        <v>0</v>
      </c>
      <c r="AL177" s="1352">
        <f t="shared" si="56"/>
        <v>2</v>
      </c>
      <c r="AM177" s="1354">
        <f t="shared" si="45"/>
        <v>0</v>
      </c>
      <c r="AN177" s="1352" t="str">
        <f t="shared" si="46"/>
        <v>"User Defined" Shared Services</v>
      </c>
    </row>
    <row r="178" spans="1:40" x14ac:dyDescent="0.2">
      <c r="A178" s="1324" t="s">
        <v>3438</v>
      </c>
      <c r="B178" s="1324" t="s">
        <v>5409</v>
      </c>
      <c r="C178" s="1353">
        <f>'Key Metrics'!C119</f>
        <v>0</v>
      </c>
      <c r="D178" s="1353">
        <f>'Key Metrics'!D119</f>
        <v>0</v>
      </c>
      <c r="E178" s="1351">
        <f t="shared" si="47"/>
        <v>0</v>
      </c>
      <c r="F178" s="1353">
        <f t="shared" si="48"/>
        <v>0</v>
      </c>
      <c r="G178" s="1353">
        <f t="shared" si="49"/>
        <v>0</v>
      </c>
      <c r="H178" s="1353">
        <f t="shared" si="50"/>
        <v>0</v>
      </c>
      <c r="I178" s="1353">
        <f t="shared" si="51"/>
        <v>0</v>
      </c>
      <c r="J178" s="1353">
        <f t="shared" si="52"/>
        <v>0</v>
      </c>
      <c r="M178" s="1324" t="str">
        <f t="shared" si="53"/>
        <v>"User Defined" Shared Services</v>
      </c>
      <c r="N178" s="1368">
        <f t="shared" si="54"/>
        <v>0</v>
      </c>
      <c r="O178" s="1368">
        <f t="shared" si="57"/>
        <v>0</v>
      </c>
      <c r="P178" s="1368">
        <f t="shared" si="57"/>
        <v>0</v>
      </c>
      <c r="Q178" s="1368">
        <f t="shared" si="57"/>
        <v>0</v>
      </c>
      <c r="R178" s="1368">
        <f t="shared" si="57"/>
        <v>0</v>
      </c>
      <c r="T178" s="1369">
        <v>0.02</v>
      </c>
      <c r="U178" s="1369">
        <v>0.02</v>
      </c>
      <c r="V178" s="1369">
        <v>0.02</v>
      </c>
      <c r="W178" s="1369">
        <v>0.02</v>
      </c>
      <c r="X178" s="1369">
        <v>0.02</v>
      </c>
      <c r="Y178" s="1367"/>
      <c r="Z178" s="1370">
        <v>0</v>
      </c>
      <c r="AA178" s="1370">
        <v>0</v>
      </c>
      <c r="AB178" s="1370">
        <v>0</v>
      </c>
      <c r="AC178" s="1370">
        <v>0</v>
      </c>
      <c r="AD178" s="1370">
        <v>0</v>
      </c>
      <c r="AK178" s="1354">
        <f t="shared" si="44"/>
        <v>0</v>
      </c>
      <c r="AL178" s="1352">
        <f t="shared" si="56"/>
        <v>2</v>
      </c>
      <c r="AM178" s="1354">
        <f t="shared" si="45"/>
        <v>0</v>
      </c>
      <c r="AN178" s="1352" t="str">
        <f t="shared" si="46"/>
        <v>"User Defined" Shared Services</v>
      </c>
    </row>
    <row r="179" spans="1:40" x14ac:dyDescent="0.2">
      <c r="A179" s="1324" t="s">
        <v>3440</v>
      </c>
      <c r="B179" s="1324" t="s">
        <v>5409</v>
      </c>
      <c r="C179" s="1353">
        <f>'Key Metrics'!C120</f>
        <v>0</v>
      </c>
      <c r="D179" s="1353">
        <f>'Key Metrics'!D120</f>
        <v>0</v>
      </c>
      <c r="E179" s="1351">
        <f t="shared" si="47"/>
        <v>0</v>
      </c>
      <c r="F179" s="1353">
        <f t="shared" si="48"/>
        <v>0</v>
      </c>
      <c r="G179" s="1353">
        <f t="shared" si="49"/>
        <v>0</v>
      </c>
      <c r="H179" s="1353">
        <f t="shared" si="50"/>
        <v>0</v>
      </c>
      <c r="I179" s="1353">
        <f t="shared" si="51"/>
        <v>0</v>
      </c>
      <c r="J179" s="1353">
        <f t="shared" si="52"/>
        <v>0</v>
      </c>
      <c r="M179" s="1324" t="str">
        <f t="shared" si="53"/>
        <v>"User Defined" Shared Services</v>
      </c>
      <c r="N179" s="1368">
        <f t="shared" si="54"/>
        <v>0</v>
      </c>
      <c r="O179" s="1368">
        <f t="shared" si="57"/>
        <v>0</v>
      </c>
      <c r="P179" s="1368">
        <f t="shared" si="57"/>
        <v>0</v>
      </c>
      <c r="Q179" s="1368">
        <f t="shared" si="57"/>
        <v>0</v>
      </c>
      <c r="R179" s="1368">
        <f t="shared" si="57"/>
        <v>0</v>
      </c>
      <c r="T179" s="1369">
        <v>0.02</v>
      </c>
      <c r="U179" s="1369">
        <v>0.02</v>
      </c>
      <c r="V179" s="1369">
        <v>0.02</v>
      </c>
      <c r="W179" s="1369">
        <v>0.02</v>
      </c>
      <c r="X179" s="1369">
        <v>0.02</v>
      </c>
      <c r="Y179" s="1367"/>
      <c r="Z179" s="1370">
        <v>0</v>
      </c>
      <c r="AA179" s="1370">
        <v>0</v>
      </c>
      <c r="AB179" s="1370">
        <v>0</v>
      </c>
      <c r="AC179" s="1370">
        <v>0</v>
      </c>
      <c r="AD179" s="1370">
        <v>0</v>
      </c>
      <c r="AK179" s="1354">
        <f t="shared" si="44"/>
        <v>0</v>
      </c>
      <c r="AL179" s="1352">
        <f t="shared" si="56"/>
        <v>2</v>
      </c>
      <c r="AM179" s="1354">
        <f t="shared" si="45"/>
        <v>0</v>
      </c>
      <c r="AN179" s="1352" t="str">
        <f t="shared" si="46"/>
        <v>"User Defined" Shared Services</v>
      </c>
    </row>
    <row r="180" spans="1:40" x14ac:dyDescent="0.2">
      <c r="A180" s="1324" t="s">
        <v>3442</v>
      </c>
      <c r="B180" s="1324" t="s">
        <v>5409</v>
      </c>
      <c r="C180" s="1353">
        <f>'Key Metrics'!C121</f>
        <v>0</v>
      </c>
      <c r="D180" s="1353">
        <f>'Key Metrics'!D121</f>
        <v>0</v>
      </c>
      <c r="E180" s="1351">
        <f t="shared" si="47"/>
        <v>0</v>
      </c>
      <c r="F180" s="1353">
        <f t="shared" si="48"/>
        <v>0</v>
      </c>
      <c r="G180" s="1353">
        <f t="shared" si="49"/>
        <v>0</v>
      </c>
      <c r="H180" s="1353">
        <f t="shared" si="50"/>
        <v>0</v>
      </c>
      <c r="I180" s="1353">
        <f t="shared" si="51"/>
        <v>0</v>
      </c>
      <c r="J180" s="1353">
        <f t="shared" si="52"/>
        <v>0</v>
      </c>
      <c r="M180" s="1324" t="str">
        <f t="shared" si="53"/>
        <v>"User Defined" Shared Services</v>
      </c>
      <c r="N180" s="1368">
        <f t="shared" si="54"/>
        <v>0</v>
      </c>
      <c r="O180" s="1368">
        <f t="shared" si="57"/>
        <v>0</v>
      </c>
      <c r="P180" s="1368">
        <f t="shared" si="57"/>
        <v>0</v>
      </c>
      <c r="Q180" s="1368">
        <f t="shared" si="57"/>
        <v>0</v>
      </c>
      <c r="R180" s="1368">
        <f t="shared" si="57"/>
        <v>0</v>
      </c>
      <c r="T180" s="1369">
        <v>0.02</v>
      </c>
      <c r="U180" s="1369">
        <v>0.02</v>
      </c>
      <c r="V180" s="1369">
        <v>0.02</v>
      </c>
      <c r="W180" s="1369">
        <v>0.02</v>
      </c>
      <c r="X180" s="1369">
        <v>0.02</v>
      </c>
      <c r="Y180" s="1367"/>
      <c r="Z180" s="1370">
        <v>0</v>
      </c>
      <c r="AA180" s="1370">
        <v>0</v>
      </c>
      <c r="AB180" s="1370">
        <v>0</v>
      </c>
      <c r="AC180" s="1370">
        <v>0</v>
      </c>
      <c r="AD180" s="1370">
        <v>0</v>
      </c>
      <c r="AK180" s="1354">
        <f t="shared" si="44"/>
        <v>0</v>
      </c>
      <c r="AL180" s="1352">
        <f t="shared" si="56"/>
        <v>2</v>
      </c>
      <c r="AM180" s="1354">
        <f t="shared" si="45"/>
        <v>0</v>
      </c>
      <c r="AN180" s="1352" t="str">
        <f t="shared" si="46"/>
        <v>"User Defined" Shared Services</v>
      </c>
    </row>
    <row r="181" spans="1:40" x14ac:dyDescent="0.2">
      <c r="A181" s="1328"/>
      <c r="B181" s="1373" t="s">
        <v>5581</v>
      </c>
      <c r="C181" s="1360">
        <f>SUM(C157:C180)</f>
        <v>0</v>
      </c>
      <c r="D181" s="1360">
        <f>SUM(D157:D180)</f>
        <v>0</v>
      </c>
      <c r="E181" s="1356">
        <f t="shared" si="47"/>
        <v>0</v>
      </c>
      <c r="F181" s="1360">
        <f>SUM(F157:F180)</f>
        <v>0</v>
      </c>
      <c r="G181" s="1360">
        <f>SUM(G157:G180)</f>
        <v>0</v>
      </c>
      <c r="H181" s="1360">
        <f>SUM(H157:H180)</f>
        <v>0</v>
      </c>
      <c r="I181" s="1360">
        <f>SUM(I157:I180)</f>
        <v>0</v>
      </c>
      <c r="J181" s="1360">
        <f>SUM(J157:J180)</f>
        <v>0</v>
      </c>
      <c r="N181" s="1328"/>
      <c r="O181" s="1328"/>
      <c r="P181" s="1328"/>
      <c r="Q181" s="1328"/>
      <c r="R181" s="1328"/>
      <c r="T181" s="1371"/>
      <c r="U181" s="1371"/>
      <c r="V181" s="1371"/>
      <c r="W181" s="1371"/>
      <c r="X181" s="1371"/>
      <c r="Y181" s="1367"/>
      <c r="Z181" s="1372"/>
      <c r="AA181" s="1372"/>
      <c r="AB181" s="1372"/>
      <c r="AC181" s="1372"/>
      <c r="AD181" s="1372"/>
      <c r="AK181" s="1354"/>
      <c r="AL181" s="1352"/>
      <c r="AM181" s="1354"/>
      <c r="AN181" s="1352"/>
    </row>
    <row r="182" spans="1:40" x14ac:dyDescent="0.2">
      <c r="A182" s="1328"/>
      <c r="E182" s="1351"/>
      <c r="N182" s="1328"/>
      <c r="O182" s="1328"/>
      <c r="P182" s="1328"/>
      <c r="Q182" s="1328"/>
      <c r="R182" s="1328"/>
      <c r="T182" s="1371"/>
      <c r="U182" s="1371"/>
      <c r="V182" s="1371"/>
      <c r="W182" s="1371"/>
      <c r="X182" s="1371"/>
      <c r="Y182" s="1367"/>
      <c r="Z182" s="1372"/>
      <c r="AA182" s="1372"/>
      <c r="AB182" s="1372"/>
      <c r="AC182" s="1372"/>
      <c r="AD182" s="1372"/>
      <c r="AK182" s="1354"/>
      <c r="AL182" s="1352"/>
      <c r="AM182" s="1354"/>
      <c r="AN182" s="1352"/>
    </row>
    <row r="183" spans="1:40" x14ac:dyDescent="0.2">
      <c r="A183" s="1364" t="s">
        <v>5434</v>
      </c>
      <c r="B183" s="1365"/>
      <c r="C183" s="1364"/>
      <c r="D183" s="1364"/>
      <c r="E183" s="1366"/>
      <c r="F183" s="1364"/>
      <c r="G183" s="1364"/>
      <c r="H183" s="1364"/>
      <c r="I183" s="1364"/>
      <c r="J183" s="1364"/>
      <c r="M183" s="1364" t="s">
        <v>5434</v>
      </c>
      <c r="N183" s="1365"/>
      <c r="O183" s="1364"/>
      <c r="P183" s="1364"/>
      <c r="Q183" s="1366"/>
      <c r="R183" s="1364"/>
      <c r="S183" s="1364"/>
      <c r="T183" s="1364"/>
      <c r="U183" s="1364"/>
      <c r="V183" s="1364"/>
      <c r="W183" s="1364"/>
      <c r="X183" s="1364"/>
      <c r="Y183" s="1364"/>
      <c r="Z183" s="1364"/>
      <c r="AA183" s="1364"/>
      <c r="AB183" s="1364"/>
      <c r="AC183" s="1364"/>
      <c r="AD183" s="1364"/>
      <c r="AK183" s="1354"/>
      <c r="AL183" s="1352"/>
      <c r="AM183" s="1354"/>
      <c r="AN183" s="1352"/>
    </row>
    <row r="184" spans="1:40" x14ac:dyDescent="0.2">
      <c r="A184" s="1324" t="s">
        <v>5359</v>
      </c>
      <c r="B184" s="1324" t="s">
        <v>5410</v>
      </c>
      <c r="C184" s="1353">
        <f>'Key Metrics'!C125</f>
        <v>0</v>
      </c>
      <c r="D184" s="1353">
        <f>'Key Metrics'!D125</f>
        <v>0</v>
      </c>
      <c r="E184" s="1351">
        <f>IFERROR(D184/C184-1,0)</f>
        <v>0</v>
      </c>
      <c r="F184" s="1353">
        <f>IFERROR(IF($I$3=1,D184*(1+N184),IF($I$3=2,D184*(1+T184),IF($I$3=3,Z184,"--"))),0)</f>
        <v>0</v>
      </c>
      <c r="G184" s="1353">
        <f t="shared" ref="G184:J186" si="58">IFERROR(IF($I$3=1,F184*(1+O184),IF($I$3=2,F184*(1+U184),IF($I$3=3,AA184,"--"))),0)</f>
        <v>0</v>
      </c>
      <c r="H184" s="1353">
        <f t="shared" si="58"/>
        <v>0</v>
      </c>
      <c r="I184" s="1353">
        <f t="shared" si="58"/>
        <v>0</v>
      </c>
      <c r="J184" s="1353">
        <f t="shared" si="58"/>
        <v>0</v>
      </c>
      <c r="M184" s="1324" t="str">
        <f>B184</f>
        <v>Supplemental Social Security Income</v>
      </c>
      <c r="N184" s="1368">
        <f>E184</f>
        <v>0</v>
      </c>
      <c r="O184" s="1368">
        <f t="shared" ref="O184:R186" si="59">N184</f>
        <v>0</v>
      </c>
      <c r="P184" s="1368">
        <f t="shared" si="59"/>
        <v>0</v>
      </c>
      <c r="Q184" s="1368">
        <f t="shared" si="59"/>
        <v>0</v>
      </c>
      <c r="R184" s="1368">
        <f t="shared" si="59"/>
        <v>0</v>
      </c>
      <c r="T184" s="1369">
        <v>0</v>
      </c>
      <c r="U184" s="1369">
        <v>0</v>
      </c>
      <c r="V184" s="1369">
        <v>0</v>
      </c>
      <c r="W184" s="1369">
        <v>0</v>
      </c>
      <c r="X184" s="1369">
        <v>0</v>
      </c>
      <c r="Y184" s="1367"/>
      <c r="Z184" s="1370">
        <v>0</v>
      </c>
      <c r="AA184" s="1370">
        <v>0</v>
      </c>
      <c r="AB184" s="1370">
        <v>0</v>
      </c>
      <c r="AC184" s="1370">
        <v>0</v>
      </c>
      <c r="AD184" s="1370">
        <v>0</v>
      </c>
      <c r="AK184" s="1354">
        <f t="shared" si="44"/>
        <v>0</v>
      </c>
      <c r="AL184" s="1352">
        <f>RANK(AM184,$AM$86:$AM$217,1)</f>
        <v>2</v>
      </c>
      <c r="AM184" s="1354">
        <f t="shared" si="45"/>
        <v>0</v>
      </c>
      <c r="AN184" s="1352" t="str">
        <f t="shared" si="46"/>
        <v>Supplemental Social Security Income</v>
      </c>
    </row>
    <row r="185" spans="1:40" x14ac:dyDescent="0.2">
      <c r="A185" s="1324" t="s">
        <v>5360</v>
      </c>
      <c r="B185" s="1324" t="s">
        <v>5411</v>
      </c>
      <c r="C185" s="1353">
        <f>'Key Metrics'!C126</f>
        <v>0</v>
      </c>
      <c r="D185" s="1353">
        <f>'Key Metrics'!D126</f>
        <v>0</v>
      </c>
      <c r="E185" s="1351">
        <f>IFERROR(D185/C185-1,0)</f>
        <v>0</v>
      </c>
      <c r="F185" s="1353">
        <f>IFERROR(IF($I$3=1,D185*(1+N185),IF($I$3=2,D185*(1+T185),IF($I$3=3,Z185,"--"))),0)</f>
        <v>0</v>
      </c>
      <c r="G185" s="1353">
        <f t="shared" si="58"/>
        <v>0</v>
      </c>
      <c r="H185" s="1353">
        <f t="shared" si="58"/>
        <v>0</v>
      </c>
      <c r="I185" s="1353">
        <f t="shared" si="58"/>
        <v>0</v>
      </c>
      <c r="J185" s="1353">
        <f t="shared" si="58"/>
        <v>0</v>
      </c>
      <c r="M185" s="1324" t="str">
        <f>B185</f>
        <v>Division of Developmental Disabilities (DDD) Assessment Program</v>
      </c>
      <c r="N185" s="1368">
        <f>E185</f>
        <v>0</v>
      </c>
      <c r="O185" s="1368">
        <f t="shared" si="59"/>
        <v>0</v>
      </c>
      <c r="P185" s="1368">
        <f t="shared" si="59"/>
        <v>0</v>
      </c>
      <c r="Q185" s="1368">
        <f t="shared" si="59"/>
        <v>0</v>
      </c>
      <c r="R185" s="1368">
        <f t="shared" si="59"/>
        <v>0</v>
      </c>
      <c r="T185" s="1369">
        <v>0</v>
      </c>
      <c r="U185" s="1369">
        <v>0</v>
      </c>
      <c r="V185" s="1369">
        <v>0</v>
      </c>
      <c r="W185" s="1369">
        <v>0</v>
      </c>
      <c r="X185" s="1369">
        <v>0</v>
      </c>
      <c r="Y185" s="1367"/>
      <c r="Z185" s="1370">
        <v>0</v>
      </c>
      <c r="AA185" s="1370">
        <v>0</v>
      </c>
      <c r="AB185" s="1370">
        <v>0</v>
      </c>
      <c r="AC185" s="1370">
        <v>0</v>
      </c>
      <c r="AD185" s="1370">
        <v>0</v>
      </c>
      <c r="AK185" s="1354">
        <f t="shared" si="44"/>
        <v>0</v>
      </c>
      <c r="AL185" s="1352">
        <f>RANK(AM185,$AM$86:$AM$217,1)</f>
        <v>2</v>
      </c>
      <c r="AM185" s="1354">
        <f t="shared" si="45"/>
        <v>0</v>
      </c>
      <c r="AN185" s="1352" t="str">
        <f t="shared" si="46"/>
        <v>Division of Developmental Disabilities (DDD) Assessment Program</v>
      </c>
    </row>
    <row r="186" spans="1:40" x14ac:dyDescent="0.2">
      <c r="A186" s="1324" t="s">
        <v>5361</v>
      </c>
      <c r="B186" s="1324" t="s">
        <v>5437</v>
      </c>
      <c r="C186" s="1353">
        <f>'Key Metrics'!C127</f>
        <v>0</v>
      </c>
      <c r="D186" s="1353">
        <f>'Key Metrics'!D127</f>
        <v>0</v>
      </c>
      <c r="E186" s="1351">
        <f>IFERROR(D186/C186-1,0)</f>
        <v>0</v>
      </c>
      <c r="F186" s="1353">
        <f>IFERROR(IF($I$3=1,D186*(1+N186),IF($I$3=2,D186*(1+T186),IF($I$3=3,Z186,"--"))),0)</f>
        <v>0</v>
      </c>
      <c r="G186" s="1353">
        <f t="shared" si="58"/>
        <v>0</v>
      </c>
      <c r="H186" s="1353">
        <f t="shared" si="58"/>
        <v>0</v>
      </c>
      <c r="I186" s="1353">
        <f t="shared" si="58"/>
        <v>0</v>
      </c>
      <c r="J186" s="1353">
        <f t="shared" si="58"/>
        <v>0</v>
      </c>
      <c r="M186" s="1324" t="str">
        <f>B186</f>
        <v>State Assumption of Costs of County Social &amp; Welfare Services &amp; Psychiatric Facilities - Other</v>
      </c>
      <c r="N186" s="1368">
        <f>E186</f>
        <v>0</v>
      </c>
      <c r="O186" s="1368">
        <f t="shared" si="59"/>
        <v>0</v>
      </c>
      <c r="P186" s="1368">
        <f t="shared" si="59"/>
        <v>0</v>
      </c>
      <c r="Q186" s="1368">
        <f t="shared" si="59"/>
        <v>0</v>
      </c>
      <c r="R186" s="1368">
        <f t="shared" si="59"/>
        <v>0</v>
      </c>
      <c r="T186" s="1369">
        <v>0</v>
      </c>
      <c r="U186" s="1369">
        <v>0</v>
      </c>
      <c r="V186" s="1369">
        <v>0</v>
      </c>
      <c r="W186" s="1369">
        <v>0</v>
      </c>
      <c r="X186" s="1369">
        <v>0</v>
      </c>
      <c r="Y186" s="1367"/>
      <c r="Z186" s="1370">
        <v>0</v>
      </c>
      <c r="AA186" s="1370">
        <v>0</v>
      </c>
      <c r="AB186" s="1370">
        <v>0</v>
      </c>
      <c r="AC186" s="1370">
        <v>0</v>
      </c>
      <c r="AD186" s="1370">
        <v>0</v>
      </c>
      <c r="AK186" s="1354">
        <f t="shared" si="44"/>
        <v>0</v>
      </c>
      <c r="AL186" s="1352">
        <f>RANK(AM186,$AM$86:$AM$217,1)</f>
        <v>2</v>
      </c>
      <c r="AM186" s="1354">
        <f t="shared" si="45"/>
        <v>0</v>
      </c>
      <c r="AN186" s="1352" t="str">
        <f t="shared" si="46"/>
        <v>State Assumption of Costs of County Social &amp; Welfare Services &amp; Psychiatric Facilities - Other</v>
      </c>
    </row>
    <row r="187" spans="1:40" x14ac:dyDescent="0.2">
      <c r="B187" s="1373" t="s">
        <v>5615</v>
      </c>
      <c r="C187" s="1360">
        <f>SUM(C184:C186)</f>
        <v>0</v>
      </c>
      <c r="D187" s="1360">
        <f>SUM(D184:D186)</f>
        <v>0</v>
      </c>
      <c r="E187" s="1356">
        <f>IFERROR(D187/C187-1,0)</f>
        <v>0</v>
      </c>
      <c r="F187" s="1360">
        <f>SUM(F184:F186)</f>
        <v>0</v>
      </c>
      <c r="G187" s="1360">
        <f>SUM(G184:G186)</f>
        <v>0</v>
      </c>
      <c r="H187" s="1360">
        <f>SUM(H184:H186)</f>
        <v>0</v>
      </c>
      <c r="I187" s="1360">
        <f>SUM(I184:I186)</f>
        <v>0</v>
      </c>
      <c r="J187" s="1360">
        <f>SUM(J184:J186)</f>
        <v>0</v>
      </c>
      <c r="N187" s="1328"/>
      <c r="O187" s="1328"/>
      <c r="P187" s="1328"/>
      <c r="Q187" s="1328"/>
      <c r="R187" s="1328"/>
      <c r="T187" s="1371"/>
      <c r="U187" s="1371"/>
      <c r="V187" s="1371"/>
      <c r="W187" s="1371"/>
      <c r="X187" s="1371"/>
      <c r="Y187" s="1367"/>
      <c r="Z187" s="1372"/>
      <c r="AA187" s="1372"/>
      <c r="AB187" s="1372"/>
      <c r="AC187" s="1372"/>
      <c r="AD187" s="1372"/>
      <c r="AK187" s="1354"/>
      <c r="AL187" s="1352"/>
      <c r="AM187" s="1354"/>
      <c r="AN187" s="1352"/>
    </row>
    <row r="188" spans="1:40" x14ac:dyDescent="0.2">
      <c r="B188" s="1373"/>
      <c r="E188" s="1351"/>
      <c r="N188" s="1328"/>
      <c r="O188" s="1328"/>
      <c r="P188" s="1328"/>
      <c r="Q188" s="1328"/>
      <c r="R188" s="1328"/>
      <c r="T188" s="1371"/>
      <c r="U188" s="1371"/>
      <c r="V188" s="1371"/>
      <c r="W188" s="1371"/>
      <c r="X188" s="1371"/>
      <c r="Y188" s="1367"/>
      <c r="Z188" s="1372"/>
      <c r="AA188" s="1372"/>
      <c r="AB188" s="1372"/>
      <c r="AC188" s="1372"/>
      <c r="AD188" s="1372"/>
      <c r="AK188" s="1354"/>
      <c r="AL188" s="1352"/>
      <c r="AM188" s="1354"/>
      <c r="AN188" s="1352"/>
    </row>
    <row r="189" spans="1:40" x14ac:dyDescent="0.2">
      <c r="A189" s="1364" t="s">
        <v>5600</v>
      </c>
      <c r="B189" s="1365"/>
      <c r="C189" s="1364"/>
      <c r="D189" s="1364"/>
      <c r="E189" s="1366"/>
      <c r="F189" s="1364"/>
      <c r="G189" s="1364"/>
      <c r="H189" s="1364"/>
      <c r="I189" s="1364"/>
      <c r="J189" s="1364"/>
      <c r="M189" s="1324" t="s">
        <v>5600</v>
      </c>
      <c r="N189" s="1328"/>
      <c r="O189" s="1328"/>
      <c r="P189" s="1328"/>
      <c r="Q189" s="1328"/>
      <c r="R189" s="1328"/>
      <c r="T189" s="1371"/>
      <c r="U189" s="1371"/>
      <c r="V189" s="1371"/>
      <c r="W189" s="1371"/>
      <c r="X189" s="1371"/>
      <c r="Y189" s="1367"/>
      <c r="Z189" s="1372"/>
      <c r="AA189" s="1372"/>
      <c r="AB189" s="1372"/>
      <c r="AC189" s="1372"/>
      <c r="AD189" s="1372"/>
      <c r="AK189" s="1354"/>
      <c r="AL189" s="1352"/>
      <c r="AM189" s="1354"/>
      <c r="AN189" s="1352"/>
    </row>
    <row r="190" spans="1:40" x14ac:dyDescent="0.2">
      <c r="B190" s="1324" t="s">
        <v>5353</v>
      </c>
      <c r="C190" s="1353">
        <f>'Key Metrics'!C131</f>
        <v>5119.84</v>
      </c>
      <c r="D190" s="1353">
        <f>'Key Metrics'!D131</f>
        <v>5119.84</v>
      </c>
      <c r="E190" s="1351">
        <f>IFERROR(D190/C190-1,0)</f>
        <v>0</v>
      </c>
      <c r="F190" s="1353">
        <f>IFERROR(IF($I$3=1,D190*(1+N190),IF($I$3=2,D190*(1+T190),IF($I$3=3,Z190,"--"))),0)</f>
        <v>5119.84</v>
      </c>
      <c r="G190" s="1353">
        <f>IFERROR(IF($I$3=1,F190*(1+O190),IF($I$3=2,F190*(1+U190),IF($I$3=3,AA190,"--"))),0)</f>
        <v>5119.84</v>
      </c>
      <c r="H190" s="1353">
        <f>IFERROR(IF($I$3=1,G190*(1+P190),IF($I$3=2,G190*(1+V190),IF($I$3=3,AB190,"--"))),0)</f>
        <v>5119.84</v>
      </c>
      <c r="I190" s="1353">
        <f>IFERROR(IF($I$3=1,H190*(1+Q190),IF($I$3=2,H190*(1+W190),IF($I$3=3,AC190,"--"))),0)</f>
        <v>5119.84</v>
      </c>
      <c r="J190" s="1353">
        <f>IFERROR(IF($I$3=1,I190*(1+R190),IF($I$3=2,I190*(1+X190),IF($I$3=3,AD190,"--"))),0)</f>
        <v>5119.84</v>
      </c>
      <c r="M190" s="1324" t="str">
        <f>B190</f>
        <v xml:space="preserve">Public and Private Programs Offset by Revenues </v>
      </c>
      <c r="N190" s="1368">
        <v>0</v>
      </c>
      <c r="O190" s="1368">
        <f>N190</f>
        <v>0</v>
      </c>
      <c r="P190" s="1368">
        <f>O190</f>
        <v>0</v>
      </c>
      <c r="Q190" s="1368">
        <f>P190</f>
        <v>0</v>
      </c>
      <c r="R190" s="1368">
        <f>Q190</f>
        <v>0</v>
      </c>
      <c r="T190" s="1369">
        <v>0</v>
      </c>
      <c r="U190" s="1369">
        <v>0</v>
      </c>
      <c r="V190" s="1369">
        <v>0</v>
      </c>
      <c r="W190" s="1369">
        <v>0</v>
      </c>
      <c r="X190" s="1369">
        <v>0</v>
      </c>
      <c r="Y190" s="1367"/>
      <c r="Z190" s="1370">
        <v>0</v>
      </c>
      <c r="AA190" s="1370">
        <v>0</v>
      </c>
      <c r="AB190" s="1370">
        <v>0</v>
      </c>
      <c r="AC190" s="1370">
        <v>0</v>
      </c>
      <c r="AD190" s="1370">
        <v>0</v>
      </c>
      <c r="AK190" s="1354">
        <f t="shared" si="44"/>
        <v>35838.880000000005</v>
      </c>
      <c r="AL190" s="1352">
        <f>RANK(AM190,$AM$86:$AM$217,1)</f>
        <v>2</v>
      </c>
      <c r="AM190" s="1354">
        <f t="shared" si="45"/>
        <v>0</v>
      </c>
      <c r="AN190" s="1352" t="str">
        <f t="shared" si="46"/>
        <v xml:space="preserve">Public and Private Programs Offset by Revenues </v>
      </c>
    </row>
    <row r="191" spans="1:40" x14ac:dyDescent="0.2">
      <c r="B191" s="1373" t="s">
        <v>5616</v>
      </c>
      <c r="C191" s="1360">
        <f>C190</f>
        <v>5119.84</v>
      </c>
      <c r="D191" s="1360">
        <f>D190</f>
        <v>5119.84</v>
      </c>
      <c r="E191" s="1356">
        <f>IFERROR(D191/C191-1,0)</f>
        <v>0</v>
      </c>
      <c r="F191" s="1360">
        <f>F190</f>
        <v>5119.84</v>
      </c>
      <c r="G191" s="1360">
        <f>G190</f>
        <v>5119.84</v>
      </c>
      <c r="H191" s="1360">
        <f>H190</f>
        <v>5119.84</v>
      </c>
      <c r="I191" s="1360">
        <f>I190</f>
        <v>5119.84</v>
      </c>
      <c r="J191" s="1360">
        <f>J190</f>
        <v>5119.84</v>
      </c>
      <c r="N191" s="1328"/>
      <c r="O191" s="1328"/>
      <c r="P191" s="1328"/>
      <c r="Q191" s="1328"/>
      <c r="R191" s="1328"/>
      <c r="T191" s="1371"/>
      <c r="U191" s="1371"/>
      <c r="V191" s="1371"/>
      <c r="W191" s="1371"/>
      <c r="X191" s="1371"/>
      <c r="Y191" s="1367"/>
      <c r="Z191" s="1372"/>
      <c r="AA191" s="1372"/>
      <c r="AB191" s="1372"/>
      <c r="AC191" s="1372"/>
      <c r="AD191" s="1372"/>
      <c r="AK191" s="1354"/>
      <c r="AL191" s="1352"/>
      <c r="AM191" s="1354"/>
      <c r="AN191" s="1352"/>
    </row>
    <row r="192" spans="1:40" x14ac:dyDescent="0.2">
      <c r="E192" s="1351"/>
      <c r="N192" s="1328"/>
      <c r="O192" s="1328"/>
      <c r="P192" s="1328"/>
      <c r="Q192" s="1328"/>
      <c r="R192" s="1328"/>
      <c r="T192" s="1371"/>
      <c r="U192" s="1371"/>
      <c r="V192" s="1371"/>
      <c r="W192" s="1371"/>
      <c r="X192" s="1371"/>
      <c r="Y192" s="1367"/>
      <c r="Z192" s="1372"/>
      <c r="AA192" s="1372"/>
      <c r="AB192" s="1372"/>
      <c r="AC192" s="1372"/>
      <c r="AD192" s="1372"/>
      <c r="AK192" s="1354"/>
      <c r="AL192" s="1352"/>
      <c r="AM192" s="1354"/>
      <c r="AN192" s="1352"/>
    </row>
    <row r="193" spans="1:40" x14ac:dyDescent="0.2">
      <c r="A193" s="1364" t="s">
        <v>5435</v>
      </c>
      <c r="B193" s="1365"/>
      <c r="C193" s="1364"/>
      <c r="D193" s="1364"/>
      <c r="E193" s="1366"/>
      <c r="F193" s="1364"/>
      <c r="G193" s="1364"/>
      <c r="H193" s="1364"/>
      <c r="I193" s="1364"/>
      <c r="J193" s="1364"/>
      <c r="M193" s="1364" t="s">
        <v>5435</v>
      </c>
      <c r="N193" s="1365"/>
      <c r="O193" s="1364"/>
      <c r="P193" s="1364"/>
      <c r="Q193" s="1366"/>
      <c r="R193" s="1364"/>
      <c r="S193" s="1364"/>
      <c r="T193" s="1364"/>
      <c r="U193" s="1364"/>
      <c r="V193" s="1364"/>
      <c r="W193" s="1364"/>
      <c r="X193" s="1364"/>
      <c r="Y193" s="1364"/>
      <c r="Z193" s="1364"/>
      <c r="AA193" s="1364"/>
      <c r="AB193" s="1364"/>
      <c r="AC193" s="1364"/>
      <c r="AD193" s="1364"/>
      <c r="AK193" s="1354"/>
      <c r="AL193" s="1352"/>
      <c r="AM193" s="1354"/>
      <c r="AN193" s="1352"/>
    </row>
    <row r="194" spans="1:40" x14ac:dyDescent="0.2">
      <c r="A194" s="1324" t="s">
        <v>517</v>
      </c>
      <c r="B194" s="1324" t="s">
        <v>5412</v>
      </c>
      <c r="C194" s="1353">
        <f>'Key Metrics'!C135</f>
        <v>0</v>
      </c>
      <c r="D194" s="1353">
        <f>'Key Metrics'!D135</f>
        <v>0</v>
      </c>
      <c r="E194" s="1351">
        <f t="shared" ref="E194:E218" si="60">IFERROR(D194/C194-1,0)</f>
        <v>0</v>
      </c>
      <c r="F194" s="1353">
        <f t="shared" ref="F194:F217" si="61">IFERROR(IF($I$3=1,D194*(1+N194),IF($I$3=2,D194*(1+T194),IF($I$3=3,Z194,"--"))),0)</f>
        <v>0</v>
      </c>
      <c r="G194" s="1353">
        <f t="shared" ref="G194:G217" si="62">IFERROR(IF($I$3=1,F194*(1+O194),IF($I$3=2,F194*(1+U194),IF($I$3=3,AA194,"--"))),0)</f>
        <v>0</v>
      </c>
      <c r="H194" s="1353">
        <f t="shared" ref="H194:H217" si="63">IFERROR(IF($I$3=1,G194*(1+P194),IF($I$3=2,G194*(1+V194),IF($I$3=3,AB194,"--"))),0)</f>
        <v>0</v>
      </c>
      <c r="I194" s="1353">
        <f t="shared" ref="I194:I217" si="64">IFERROR(IF($I$3=1,H194*(1+Q194),IF($I$3=2,H194*(1+W194),IF($I$3=3,AC194,"--"))),0)</f>
        <v>0</v>
      </c>
      <c r="J194" s="1353">
        <f t="shared" ref="J194:J217" si="65">IFERROR(IF($I$3=1,I194*(1+R194),IF($I$3=2,I194*(1+X194),IF($I$3=3,AD194,"--"))),0)</f>
        <v>0</v>
      </c>
      <c r="M194" s="1324" t="str">
        <f t="shared" ref="M194:M217" si="66">B194</f>
        <v>Other Special Items</v>
      </c>
      <c r="N194" s="1368">
        <f>E194</f>
        <v>0</v>
      </c>
      <c r="O194" s="1368">
        <f t="shared" ref="O194:R209" si="67">N194</f>
        <v>0</v>
      </c>
      <c r="P194" s="1368">
        <f t="shared" si="67"/>
        <v>0</v>
      </c>
      <c r="Q194" s="1368">
        <f t="shared" si="67"/>
        <v>0</v>
      </c>
      <c r="R194" s="1368">
        <f t="shared" si="67"/>
        <v>0</v>
      </c>
      <c r="T194" s="1369">
        <v>0.02</v>
      </c>
      <c r="U194" s="1369">
        <v>0.02</v>
      </c>
      <c r="V194" s="1369">
        <v>0.02</v>
      </c>
      <c r="W194" s="1369">
        <v>0.02</v>
      </c>
      <c r="X194" s="1369">
        <v>0.02</v>
      </c>
      <c r="Y194" s="1367"/>
      <c r="Z194" s="1370"/>
      <c r="AA194" s="1370"/>
      <c r="AB194" s="1370"/>
      <c r="AC194" s="1370"/>
      <c r="AD194" s="1370"/>
      <c r="AK194" s="1354">
        <f t="shared" si="44"/>
        <v>0</v>
      </c>
      <c r="AL194" s="1352">
        <f t="shared" ref="AL194:AL217" si="68">RANK(AM194,$AM$86:$AM$217,1)</f>
        <v>2</v>
      </c>
      <c r="AM194" s="1354">
        <f t="shared" si="45"/>
        <v>0</v>
      </c>
      <c r="AN194" s="1352" t="str">
        <f t="shared" si="46"/>
        <v>Other Special Items</v>
      </c>
    </row>
    <row r="195" spans="1:40" x14ac:dyDescent="0.2">
      <c r="A195" s="1324" t="s">
        <v>5264</v>
      </c>
      <c r="B195" s="1324" t="s">
        <v>5413</v>
      </c>
      <c r="C195" s="1353">
        <f>'Key Metrics'!C136</f>
        <v>0</v>
      </c>
      <c r="D195" s="1353">
        <f>'Key Metrics'!D136</f>
        <v>0</v>
      </c>
      <c r="E195" s="1351">
        <f t="shared" si="60"/>
        <v>0</v>
      </c>
      <c r="F195" s="1353">
        <f t="shared" si="61"/>
        <v>0</v>
      </c>
      <c r="G195" s="1353">
        <f t="shared" si="62"/>
        <v>0</v>
      </c>
      <c r="H195" s="1353">
        <f t="shared" si="63"/>
        <v>0</v>
      </c>
      <c r="I195" s="1353">
        <f t="shared" si="64"/>
        <v>0</v>
      </c>
      <c r="J195" s="1353">
        <f t="shared" si="65"/>
        <v>0</v>
      </c>
      <c r="M195" s="1324" t="str">
        <f t="shared" si="66"/>
        <v>Uniform Fire Safety Act</v>
      </c>
      <c r="N195" s="1368">
        <f>E195</f>
        <v>0</v>
      </c>
      <c r="O195" s="1368">
        <f t="shared" si="67"/>
        <v>0</v>
      </c>
      <c r="P195" s="1368">
        <f t="shared" si="67"/>
        <v>0</v>
      </c>
      <c r="Q195" s="1368">
        <f t="shared" si="67"/>
        <v>0</v>
      </c>
      <c r="R195" s="1368">
        <f t="shared" si="67"/>
        <v>0</v>
      </c>
      <c r="T195" s="1369">
        <v>0.02</v>
      </c>
      <c r="U195" s="1369">
        <v>0.02</v>
      </c>
      <c r="V195" s="1369">
        <v>0.02</v>
      </c>
      <c r="W195" s="1369">
        <v>0.02</v>
      </c>
      <c r="X195" s="1369">
        <v>0.02</v>
      </c>
      <c r="Y195" s="1367"/>
      <c r="Z195" s="1370">
        <v>0</v>
      </c>
      <c r="AA195" s="1370">
        <v>0</v>
      </c>
      <c r="AB195" s="1370">
        <v>0</v>
      </c>
      <c r="AC195" s="1370">
        <v>0</v>
      </c>
      <c r="AD195" s="1370">
        <v>0</v>
      </c>
      <c r="AK195" s="1354">
        <f t="shared" si="44"/>
        <v>0</v>
      </c>
      <c r="AL195" s="1352">
        <f t="shared" si="68"/>
        <v>2</v>
      </c>
      <c r="AM195" s="1354">
        <f t="shared" si="45"/>
        <v>0</v>
      </c>
      <c r="AN195" s="1352" t="str">
        <f t="shared" si="46"/>
        <v>Uniform Fire Safety Act</v>
      </c>
    </row>
    <row r="196" spans="1:40" x14ac:dyDescent="0.2">
      <c r="A196" s="1324" t="s">
        <v>3394</v>
      </c>
      <c r="B196" s="1324" t="s">
        <v>5228</v>
      </c>
      <c r="C196" s="1353">
        <f>'Key Metrics'!C137</f>
        <v>0</v>
      </c>
      <c r="D196" s="1353">
        <f>'Key Metrics'!D137</f>
        <v>0</v>
      </c>
      <c r="E196" s="1351">
        <f t="shared" si="60"/>
        <v>0</v>
      </c>
      <c r="F196" s="1353">
        <f t="shared" si="61"/>
        <v>0</v>
      </c>
      <c r="G196" s="1353">
        <f t="shared" si="62"/>
        <v>0</v>
      </c>
      <c r="H196" s="1353">
        <f t="shared" si="63"/>
        <v>0</v>
      </c>
      <c r="I196" s="1353">
        <f t="shared" si="64"/>
        <v>0</v>
      </c>
      <c r="J196" s="1353">
        <f t="shared" si="65"/>
        <v>0</v>
      </c>
      <c r="M196" s="1324" t="str">
        <f t="shared" si="66"/>
        <v>Utility Operating Surplus of Prior Year</v>
      </c>
      <c r="N196" s="1368">
        <v>0</v>
      </c>
      <c r="O196" s="1368">
        <f t="shared" si="67"/>
        <v>0</v>
      </c>
      <c r="P196" s="1368">
        <f t="shared" si="67"/>
        <v>0</v>
      </c>
      <c r="Q196" s="1368">
        <f t="shared" si="67"/>
        <v>0</v>
      </c>
      <c r="R196" s="1368">
        <f t="shared" si="67"/>
        <v>0</v>
      </c>
      <c r="T196" s="1369">
        <v>0.02</v>
      </c>
      <c r="U196" s="1369">
        <v>0.02</v>
      </c>
      <c r="V196" s="1369">
        <v>0.02</v>
      </c>
      <c r="W196" s="1369">
        <v>0.02</v>
      </c>
      <c r="X196" s="1369">
        <v>0.02</v>
      </c>
      <c r="Y196" s="1367"/>
      <c r="Z196" s="1370">
        <v>0</v>
      </c>
      <c r="AA196" s="1370">
        <v>0</v>
      </c>
      <c r="AB196" s="1370">
        <v>0</v>
      </c>
      <c r="AC196" s="1370">
        <v>0</v>
      </c>
      <c r="AD196" s="1370">
        <v>0</v>
      </c>
      <c r="AK196" s="1354">
        <f t="shared" si="44"/>
        <v>0</v>
      </c>
      <c r="AL196" s="1352">
        <f t="shared" si="68"/>
        <v>2</v>
      </c>
      <c r="AM196" s="1354">
        <f t="shared" si="45"/>
        <v>0</v>
      </c>
      <c r="AN196" s="1352" t="str">
        <f t="shared" si="46"/>
        <v>Utility Operating Surplus of Prior Year</v>
      </c>
    </row>
    <row r="197" spans="1:40" x14ac:dyDescent="0.2">
      <c r="A197" s="1324" t="s">
        <v>3398</v>
      </c>
      <c r="B197" s="1324" t="s">
        <v>5414</v>
      </c>
      <c r="C197" s="1353">
        <f>'Key Metrics'!C138</f>
        <v>0</v>
      </c>
      <c r="D197" s="1353">
        <f>'Key Metrics'!D138</f>
        <v>0</v>
      </c>
      <c r="E197" s="1351">
        <f t="shared" si="60"/>
        <v>0</v>
      </c>
      <c r="F197" s="1353">
        <f t="shared" si="61"/>
        <v>0</v>
      </c>
      <c r="G197" s="1353">
        <f t="shared" si="62"/>
        <v>0</v>
      </c>
      <c r="H197" s="1353">
        <f t="shared" si="63"/>
        <v>0</v>
      </c>
      <c r="I197" s="1353">
        <f t="shared" si="64"/>
        <v>0</v>
      </c>
      <c r="J197" s="1353">
        <f t="shared" si="65"/>
        <v>0</v>
      </c>
      <c r="M197" s="1324" t="str">
        <f t="shared" si="66"/>
        <v>Cable TV Franchise Fee</v>
      </c>
      <c r="N197" s="1368">
        <f>E197</f>
        <v>0</v>
      </c>
      <c r="O197" s="1368">
        <f t="shared" si="67"/>
        <v>0</v>
      </c>
      <c r="P197" s="1368">
        <f t="shared" si="67"/>
        <v>0</v>
      </c>
      <c r="Q197" s="1368">
        <f t="shared" si="67"/>
        <v>0</v>
      </c>
      <c r="R197" s="1368">
        <f t="shared" si="67"/>
        <v>0</v>
      </c>
      <c r="T197" s="1369">
        <v>0.02</v>
      </c>
      <c r="U197" s="1369">
        <v>0.02</v>
      </c>
      <c r="V197" s="1369">
        <v>0.02</v>
      </c>
      <c r="W197" s="1369">
        <v>0.02</v>
      </c>
      <c r="X197" s="1369">
        <v>0.02</v>
      </c>
      <c r="Y197" s="1367"/>
      <c r="Z197" s="1370">
        <v>0</v>
      </c>
      <c r="AA197" s="1370">
        <v>0</v>
      </c>
      <c r="AB197" s="1370">
        <v>0</v>
      </c>
      <c r="AC197" s="1370">
        <v>0</v>
      </c>
      <c r="AD197" s="1370">
        <v>0</v>
      </c>
      <c r="AK197" s="1354">
        <f t="shared" si="44"/>
        <v>0</v>
      </c>
      <c r="AL197" s="1352">
        <f t="shared" si="68"/>
        <v>2</v>
      </c>
      <c r="AM197" s="1354">
        <f t="shared" si="45"/>
        <v>0</v>
      </c>
      <c r="AN197" s="1352" t="str">
        <f t="shared" si="46"/>
        <v>Cable TV Franchise Fee</v>
      </c>
    </row>
    <row r="198" spans="1:40" x14ac:dyDescent="0.2">
      <c r="A198" s="1324" t="s">
        <v>3408</v>
      </c>
      <c r="B198" s="1324" t="s">
        <v>5415</v>
      </c>
      <c r="C198" s="1353">
        <f>'Key Metrics'!C139</f>
        <v>0</v>
      </c>
      <c r="D198" s="1353">
        <f>'Key Metrics'!D139</f>
        <v>0</v>
      </c>
      <c r="E198" s="1351">
        <f t="shared" si="60"/>
        <v>0</v>
      </c>
      <c r="F198" s="1353">
        <f t="shared" si="61"/>
        <v>0</v>
      </c>
      <c r="G198" s="1353">
        <f t="shared" si="62"/>
        <v>0</v>
      </c>
      <c r="H198" s="1353">
        <f t="shared" si="63"/>
        <v>0</v>
      </c>
      <c r="I198" s="1353">
        <f t="shared" si="64"/>
        <v>0</v>
      </c>
      <c r="J198" s="1353">
        <f t="shared" si="65"/>
        <v>0</v>
      </c>
      <c r="M198" s="1324" t="str">
        <f t="shared" si="66"/>
        <v>Water &amp; Sewer Utility Operating Fund - Management Fee</v>
      </c>
      <c r="N198" s="1368">
        <f>E198</f>
        <v>0</v>
      </c>
      <c r="O198" s="1368">
        <f t="shared" si="67"/>
        <v>0</v>
      </c>
      <c r="P198" s="1368">
        <f t="shared" si="67"/>
        <v>0</v>
      </c>
      <c r="Q198" s="1368">
        <f t="shared" si="67"/>
        <v>0</v>
      </c>
      <c r="R198" s="1368">
        <f t="shared" si="67"/>
        <v>0</v>
      </c>
      <c r="T198" s="1369">
        <v>0.02</v>
      </c>
      <c r="U198" s="1369">
        <v>0.02</v>
      </c>
      <c r="V198" s="1369">
        <v>0.02</v>
      </c>
      <c r="W198" s="1369">
        <v>0.02</v>
      </c>
      <c r="X198" s="1369">
        <v>0.02</v>
      </c>
      <c r="Y198" s="1367"/>
      <c r="Z198" s="1370">
        <v>0</v>
      </c>
      <c r="AA198" s="1370">
        <v>0</v>
      </c>
      <c r="AB198" s="1370">
        <v>0</v>
      </c>
      <c r="AC198" s="1370">
        <v>0</v>
      </c>
      <c r="AD198" s="1370">
        <v>0</v>
      </c>
      <c r="AK198" s="1354">
        <f t="shared" si="44"/>
        <v>0</v>
      </c>
      <c r="AL198" s="1352">
        <f t="shared" si="68"/>
        <v>2</v>
      </c>
      <c r="AM198" s="1354">
        <f t="shared" si="45"/>
        <v>0</v>
      </c>
      <c r="AN198" s="1352" t="str">
        <f t="shared" si="46"/>
        <v>Water &amp; Sewer Utility Operating Fund - Management Fee</v>
      </c>
    </row>
    <row r="199" spans="1:40" x14ac:dyDescent="0.2">
      <c r="A199" s="1324" t="s">
        <v>3415</v>
      </c>
      <c r="B199" s="1324" t="s">
        <v>5416</v>
      </c>
      <c r="C199" s="1353">
        <f>'Key Metrics'!C140</f>
        <v>0</v>
      </c>
      <c r="D199" s="1353">
        <f>'Key Metrics'!D140</f>
        <v>0</v>
      </c>
      <c r="E199" s="1351">
        <f t="shared" si="60"/>
        <v>0</v>
      </c>
      <c r="F199" s="1353">
        <f t="shared" si="61"/>
        <v>0</v>
      </c>
      <c r="G199" s="1353">
        <f t="shared" si="62"/>
        <v>0</v>
      </c>
      <c r="H199" s="1353">
        <f t="shared" si="63"/>
        <v>0</v>
      </c>
      <c r="I199" s="1353">
        <f t="shared" si="64"/>
        <v>0</v>
      </c>
      <c r="J199" s="1353">
        <f t="shared" si="65"/>
        <v>0</v>
      </c>
      <c r="M199" s="1324" t="str">
        <f t="shared" si="66"/>
        <v>Reserve for Sale of Municipal Assets</v>
      </c>
      <c r="N199" s="1368">
        <v>0</v>
      </c>
      <c r="O199" s="1368">
        <f t="shared" si="67"/>
        <v>0</v>
      </c>
      <c r="P199" s="1368">
        <f t="shared" si="67"/>
        <v>0</v>
      </c>
      <c r="Q199" s="1368">
        <f t="shared" si="67"/>
        <v>0</v>
      </c>
      <c r="R199" s="1368">
        <f t="shared" si="67"/>
        <v>0</v>
      </c>
      <c r="T199" s="1369">
        <v>0</v>
      </c>
      <c r="U199" s="1369">
        <v>0</v>
      </c>
      <c r="V199" s="1369">
        <v>0</v>
      </c>
      <c r="W199" s="1369">
        <v>0</v>
      </c>
      <c r="X199" s="1369">
        <v>0</v>
      </c>
      <c r="Y199" s="1367"/>
      <c r="Z199" s="1370">
        <v>0</v>
      </c>
      <c r="AA199" s="1370">
        <v>0</v>
      </c>
      <c r="AB199" s="1370">
        <v>0</v>
      </c>
      <c r="AC199" s="1370">
        <v>0</v>
      </c>
      <c r="AD199" s="1370">
        <v>0</v>
      </c>
      <c r="AK199" s="1354">
        <f t="shared" si="44"/>
        <v>0</v>
      </c>
      <c r="AL199" s="1352">
        <f t="shared" si="68"/>
        <v>2</v>
      </c>
      <c r="AM199" s="1354">
        <f t="shared" si="45"/>
        <v>0</v>
      </c>
      <c r="AN199" s="1352" t="str">
        <f t="shared" si="46"/>
        <v>Reserve for Sale of Municipal Assets</v>
      </c>
    </row>
    <row r="200" spans="1:40" x14ac:dyDescent="0.2">
      <c r="A200" s="1324" t="s">
        <v>3422</v>
      </c>
      <c r="B200" s="1324" t="s">
        <v>5417</v>
      </c>
      <c r="C200" s="1353">
        <f>'Key Metrics'!C141</f>
        <v>0</v>
      </c>
      <c r="D200" s="1353">
        <f>'Key Metrics'!D141</f>
        <v>0</v>
      </c>
      <c r="E200" s="1351">
        <f t="shared" si="60"/>
        <v>0</v>
      </c>
      <c r="F200" s="1353">
        <f t="shared" si="61"/>
        <v>0</v>
      </c>
      <c r="G200" s="1353">
        <f t="shared" si="62"/>
        <v>0</v>
      </c>
      <c r="H200" s="1353">
        <f t="shared" si="63"/>
        <v>0</v>
      </c>
      <c r="I200" s="1353">
        <f t="shared" si="64"/>
        <v>0</v>
      </c>
      <c r="J200" s="1353">
        <f t="shared" si="65"/>
        <v>0</v>
      </c>
      <c r="M200" s="1324" t="str">
        <f t="shared" si="66"/>
        <v>School Resource Officer Revenue</v>
      </c>
      <c r="N200" s="1368">
        <f>E200</f>
        <v>0</v>
      </c>
      <c r="O200" s="1368">
        <f t="shared" si="67"/>
        <v>0</v>
      </c>
      <c r="P200" s="1368">
        <f t="shared" si="67"/>
        <v>0</v>
      </c>
      <c r="Q200" s="1368">
        <f t="shared" si="67"/>
        <v>0</v>
      </c>
      <c r="R200" s="1368">
        <f t="shared" si="67"/>
        <v>0</v>
      </c>
      <c r="T200" s="1369">
        <v>0.02</v>
      </c>
      <c r="U200" s="1369">
        <v>0.02</v>
      </c>
      <c r="V200" s="1369">
        <v>0.02</v>
      </c>
      <c r="W200" s="1369">
        <v>0.02</v>
      </c>
      <c r="X200" s="1369">
        <v>0.02</v>
      </c>
      <c r="Y200" s="1367"/>
      <c r="Z200" s="1370">
        <v>0</v>
      </c>
      <c r="AA200" s="1370">
        <v>0</v>
      </c>
      <c r="AB200" s="1370">
        <v>0</v>
      </c>
      <c r="AC200" s="1370">
        <v>0</v>
      </c>
      <c r="AD200" s="1370">
        <v>0</v>
      </c>
      <c r="AK200" s="1354">
        <f t="shared" si="44"/>
        <v>0</v>
      </c>
      <c r="AL200" s="1352">
        <f t="shared" si="68"/>
        <v>2</v>
      </c>
      <c r="AM200" s="1354">
        <f t="shared" si="45"/>
        <v>0</v>
      </c>
      <c r="AN200" s="1352" t="str">
        <f t="shared" si="46"/>
        <v>School Resource Officer Revenue</v>
      </c>
    </row>
    <row r="201" spans="1:40" x14ac:dyDescent="0.2">
      <c r="A201" s="1324" t="s">
        <v>3425</v>
      </c>
      <c r="B201" s="1324" t="s">
        <v>5418</v>
      </c>
      <c r="C201" s="1353">
        <f>'Key Metrics'!C142</f>
        <v>0</v>
      </c>
      <c r="D201" s="1353">
        <f>'Key Metrics'!D142</f>
        <v>0</v>
      </c>
      <c r="E201" s="1351">
        <f t="shared" si="60"/>
        <v>0</v>
      </c>
      <c r="F201" s="1353">
        <f t="shared" si="61"/>
        <v>0</v>
      </c>
      <c r="G201" s="1353">
        <f t="shared" si="62"/>
        <v>0</v>
      </c>
      <c r="H201" s="1353">
        <f t="shared" si="63"/>
        <v>0</v>
      </c>
      <c r="I201" s="1353">
        <f t="shared" si="64"/>
        <v>0</v>
      </c>
      <c r="J201" s="1353">
        <f t="shared" si="65"/>
        <v>0</v>
      </c>
      <c r="M201" s="1324" t="str">
        <f t="shared" si="66"/>
        <v>Payments in Lieu of Taxes (PILOT) (Section G)</v>
      </c>
      <c r="N201" s="1368">
        <f>E201</f>
        <v>0</v>
      </c>
      <c r="O201" s="1368">
        <f t="shared" si="67"/>
        <v>0</v>
      </c>
      <c r="P201" s="1368">
        <f t="shared" si="67"/>
        <v>0</v>
      </c>
      <c r="Q201" s="1368">
        <f t="shared" si="67"/>
        <v>0</v>
      </c>
      <c r="R201" s="1368">
        <f t="shared" si="67"/>
        <v>0</v>
      </c>
      <c r="T201" s="1369">
        <v>0.02</v>
      </c>
      <c r="U201" s="1369">
        <v>0.02</v>
      </c>
      <c r="V201" s="1369">
        <v>0.02</v>
      </c>
      <c r="W201" s="1369">
        <v>0.02</v>
      </c>
      <c r="X201" s="1369">
        <v>0.02</v>
      </c>
      <c r="Y201" s="1367"/>
      <c r="Z201" s="1370">
        <v>0</v>
      </c>
      <c r="AA201" s="1370">
        <v>0</v>
      </c>
      <c r="AB201" s="1370">
        <v>0</v>
      </c>
      <c r="AC201" s="1370">
        <v>0</v>
      </c>
      <c r="AD201" s="1370">
        <v>0</v>
      </c>
      <c r="AK201" s="1354">
        <f t="shared" si="44"/>
        <v>0</v>
      </c>
      <c r="AL201" s="1352">
        <f t="shared" si="68"/>
        <v>2</v>
      </c>
      <c r="AM201" s="1354">
        <f t="shared" si="45"/>
        <v>0</v>
      </c>
      <c r="AN201" s="1352" t="str">
        <f t="shared" si="46"/>
        <v>Payments in Lieu of Taxes (PILOT) (Section G)</v>
      </c>
    </row>
    <row r="202" spans="1:40" x14ac:dyDescent="0.2">
      <c r="A202" s="1324" t="s">
        <v>3427</v>
      </c>
      <c r="B202" s="1324" t="s">
        <v>5419</v>
      </c>
      <c r="C202" s="1353">
        <f>'Key Metrics'!C143</f>
        <v>0</v>
      </c>
      <c r="D202" s="1353">
        <f>'Key Metrics'!D143</f>
        <v>0</v>
      </c>
      <c r="E202" s="1351">
        <f t="shared" si="60"/>
        <v>0</v>
      </c>
      <c r="F202" s="1353">
        <f t="shared" si="61"/>
        <v>0</v>
      </c>
      <c r="G202" s="1353">
        <f t="shared" si="62"/>
        <v>0</v>
      </c>
      <c r="H202" s="1353">
        <f t="shared" si="63"/>
        <v>0</v>
      </c>
      <c r="I202" s="1353">
        <f t="shared" si="64"/>
        <v>0</v>
      </c>
      <c r="J202" s="1353">
        <f t="shared" si="65"/>
        <v>0</v>
      </c>
      <c r="M202" s="1324" t="str">
        <f t="shared" si="66"/>
        <v>Host Benefit Fee</v>
      </c>
      <c r="N202" s="1368">
        <f>E202</f>
        <v>0</v>
      </c>
      <c r="O202" s="1368">
        <f t="shared" si="67"/>
        <v>0</v>
      </c>
      <c r="P202" s="1368">
        <f t="shared" si="67"/>
        <v>0</v>
      </c>
      <c r="Q202" s="1368">
        <f t="shared" si="67"/>
        <v>0</v>
      </c>
      <c r="R202" s="1368">
        <f t="shared" si="67"/>
        <v>0</v>
      </c>
      <c r="T202" s="1369">
        <v>0.02</v>
      </c>
      <c r="U202" s="1369">
        <v>0.02</v>
      </c>
      <c r="V202" s="1369">
        <v>0.02</v>
      </c>
      <c r="W202" s="1369">
        <v>0.02</v>
      </c>
      <c r="X202" s="1369">
        <v>0.02</v>
      </c>
      <c r="Y202" s="1367"/>
      <c r="Z202" s="1370">
        <v>0</v>
      </c>
      <c r="AA202" s="1370">
        <v>0</v>
      </c>
      <c r="AB202" s="1370">
        <v>0</v>
      </c>
      <c r="AC202" s="1370">
        <v>0</v>
      </c>
      <c r="AD202" s="1370">
        <v>0</v>
      </c>
      <c r="AK202" s="1354">
        <f t="shared" si="44"/>
        <v>0</v>
      </c>
      <c r="AL202" s="1352">
        <f t="shared" si="68"/>
        <v>2</v>
      </c>
      <c r="AM202" s="1354">
        <f t="shared" si="45"/>
        <v>0</v>
      </c>
      <c r="AN202" s="1352" t="str">
        <f t="shared" si="46"/>
        <v>Host Benefit Fee</v>
      </c>
    </row>
    <row r="203" spans="1:40" x14ac:dyDescent="0.2">
      <c r="A203" s="1324" t="s">
        <v>3429</v>
      </c>
      <c r="B203" s="1324" t="s">
        <v>5420</v>
      </c>
      <c r="C203" s="1353">
        <f>'Key Metrics'!C144</f>
        <v>0</v>
      </c>
      <c r="D203" s="1353">
        <f>'Key Metrics'!D144</f>
        <v>0</v>
      </c>
      <c r="E203" s="1351">
        <f t="shared" si="60"/>
        <v>0</v>
      </c>
      <c r="F203" s="1353">
        <f t="shared" si="61"/>
        <v>0</v>
      </c>
      <c r="G203" s="1353">
        <f t="shared" si="62"/>
        <v>0</v>
      </c>
      <c r="H203" s="1353">
        <f t="shared" si="63"/>
        <v>0</v>
      </c>
      <c r="I203" s="1353">
        <f t="shared" si="64"/>
        <v>0</v>
      </c>
      <c r="J203" s="1353">
        <f t="shared" si="65"/>
        <v>0</v>
      </c>
      <c r="M203" s="1324" t="str">
        <f t="shared" si="66"/>
        <v>Off-Duty Police Administrative Fees</v>
      </c>
      <c r="N203" s="1368">
        <f>E203</f>
        <v>0</v>
      </c>
      <c r="O203" s="1368">
        <f t="shared" si="67"/>
        <v>0</v>
      </c>
      <c r="P203" s="1368">
        <f t="shared" si="67"/>
        <v>0</v>
      </c>
      <c r="Q203" s="1368">
        <f t="shared" si="67"/>
        <v>0</v>
      </c>
      <c r="R203" s="1368">
        <f t="shared" si="67"/>
        <v>0</v>
      </c>
      <c r="T203" s="1369">
        <v>0.02</v>
      </c>
      <c r="U203" s="1369">
        <v>0.02</v>
      </c>
      <c r="V203" s="1369">
        <v>0.02</v>
      </c>
      <c r="W203" s="1369">
        <v>0.02</v>
      </c>
      <c r="X203" s="1369">
        <v>0.02</v>
      </c>
      <c r="Y203" s="1367"/>
      <c r="Z203" s="1370">
        <v>0</v>
      </c>
      <c r="AA203" s="1370">
        <v>0</v>
      </c>
      <c r="AB203" s="1370">
        <v>0</v>
      </c>
      <c r="AC203" s="1370">
        <v>0</v>
      </c>
      <c r="AD203" s="1370">
        <v>0</v>
      </c>
      <c r="AK203" s="1354">
        <f t="shared" si="44"/>
        <v>0</v>
      </c>
      <c r="AL203" s="1352">
        <f t="shared" si="68"/>
        <v>2</v>
      </c>
      <c r="AM203" s="1354">
        <f t="shared" si="45"/>
        <v>0</v>
      </c>
      <c r="AN203" s="1352" t="str">
        <f t="shared" si="46"/>
        <v>Off-Duty Police Administrative Fees</v>
      </c>
    </row>
    <row r="204" spans="1:40" x14ac:dyDescent="0.2">
      <c r="A204" s="1324" t="s">
        <v>3435</v>
      </c>
      <c r="B204" s="1324" t="s">
        <v>5421</v>
      </c>
      <c r="C204" s="1353">
        <f>'Key Metrics'!C145</f>
        <v>0</v>
      </c>
      <c r="D204" s="1353">
        <f>'Key Metrics'!D145</f>
        <v>0</v>
      </c>
      <c r="E204" s="1351">
        <f t="shared" si="60"/>
        <v>0</v>
      </c>
      <c r="F204" s="1353">
        <f t="shared" si="61"/>
        <v>0</v>
      </c>
      <c r="G204" s="1353">
        <f t="shared" si="62"/>
        <v>0</v>
      </c>
      <c r="H204" s="1353">
        <f t="shared" si="63"/>
        <v>0</v>
      </c>
      <c r="I204" s="1353">
        <f t="shared" si="64"/>
        <v>0</v>
      </c>
      <c r="J204" s="1353">
        <f t="shared" si="65"/>
        <v>0</v>
      </c>
      <c r="M204" s="1324" t="str">
        <f t="shared" si="66"/>
        <v>Open Space Trust Fund - Debt Service</v>
      </c>
      <c r="N204" s="1368">
        <v>0</v>
      </c>
      <c r="O204" s="1368">
        <f t="shared" si="67"/>
        <v>0</v>
      </c>
      <c r="P204" s="1368">
        <f t="shared" si="67"/>
        <v>0</v>
      </c>
      <c r="Q204" s="1368">
        <f t="shared" si="67"/>
        <v>0</v>
      </c>
      <c r="R204" s="1368">
        <f t="shared" si="67"/>
        <v>0</v>
      </c>
      <c r="T204" s="1369">
        <v>0</v>
      </c>
      <c r="U204" s="1369">
        <v>0</v>
      </c>
      <c r="V204" s="1369">
        <v>0</v>
      </c>
      <c r="W204" s="1369">
        <v>0</v>
      </c>
      <c r="X204" s="1369">
        <v>0</v>
      </c>
      <c r="Y204" s="1367"/>
      <c r="Z204" s="1370">
        <v>0</v>
      </c>
      <c r="AA204" s="1370">
        <v>0</v>
      </c>
      <c r="AB204" s="1370">
        <v>0</v>
      </c>
      <c r="AC204" s="1370">
        <v>0</v>
      </c>
      <c r="AD204" s="1370">
        <v>0</v>
      </c>
      <c r="AK204" s="1354">
        <f t="shared" si="44"/>
        <v>0</v>
      </c>
      <c r="AL204" s="1352">
        <f t="shared" si="68"/>
        <v>2</v>
      </c>
      <c r="AM204" s="1354">
        <f t="shared" si="45"/>
        <v>0</v>
      </c>
      <c r="AN204" s="1352" t="str">
        <f t="shared" si="46"/>
        <v>Open Space Trust Fund - Debt Service</v>
      </c>
    </row>
    <row r="205" spans="1:40" x14ac:dyDescent="0.2">
      <c r="A205" s="1324" t="s">
        <v>3437</v>
      </c>
      <c r="B205" s="1324" t="s">
        <v>5422</v>
      </c>
      <c r="C205" s="1353">
        <f>'Key Metrics'!C146</f>
        <v>0</v>
      </c>
      <c r="D205" s="1353">
        <f>'Key Metrics'!D146</f>
        <v>0</v>
      </c>
      <c r="E205" s="1351">
        <f t="shared" si="60"/>
        <v>0</v>
      </c>
      <c r="F205" s="1353">
        <f t="shared" si="61"/>
        <v>0</v>
      </c>
      <c r="G205" s="1353">
        <f t="shared" si="62"/>
        <v>0</v>
      </c>
      <c r="H205" s="1353">
        <f t="shared" si="63"/>
        <v>0</v>
      </c>
      <c r="I205" s="1353">
        <f t="shared" si="64"/>
        <v>0</v>
      </c>
      <c r="J205" s="1353">
        <f t="shared" si="65"/>
        <v>0</v>
      </c>
      <c r="M205" s="1324" t="str">
        <f t="shared" si="66"/>
        <v>Reserve for Payment of Debt</v>
      </c>
      <c r="N205" s="1368">
        <v>0</v>
      </c>
      <c r="O205" s="1368">
        <f t="shared" si="67"/>
        <v>0</v>
      </c>
      <c r="P205" s="1368">
        <f t="shared" si="67"/>
        <v>0</v>
      </c>
      <c r="Q205" s="1368">
        <f t="shared" si="67"/>
        <v>0</v>
      </c>
      <c r="R205" s="1368">
        <f t="shared" si="67"/>
        <v>0</v>
      </c>
      <c r="T205" s="1369">
        <v>0</v>
      </c>
      <c r="U205" s="1369">
        <v>0</v>
      </c>
      <c r="V205" s="1369">
        <v>0</v>
      </c>
      <c r="W205" s="1369">
        <v>0</v>
      </c>
      <c r="X205" s="1369">
        <v>0</v>
      </c>
      <c r="Y205" s="1367"/>
      <c r="Z205" s="1370">
        <v>0</v>
      </c>
      <c r="AA205" s="1370">
        <v>0</v>
      </c>
      <c r="AB205" s="1370">
        <v>0</v>
      </c>
      <c r="AC205" s="1370">
        <v>0</v>
      </c>
      <c r="AD205" s="1370">
        <v>0</v>
      </c>
      <c r="AK205" s="1354">
        <f t="shared" si="44"/>
        <v>0</v>
      </c>
      <c r="AL205" s="1352">
        <f t="shared" si="68"/>
        <v>2</v>
      </c>
      <c r="AM205" s="1354">
        <f t="shared" si="45"/>
        <v>0</v>
      </c>
      <c r="AN205" s="1352" t="str">
        <f t="shared" si="46"/>
        <v>Reserve for Payment of Debt</v>
      </c>
    </row>
    <row r="206" spans="1:40" x14ac:dyDescent="0.2">
      <c r="A206" s="1324" t="s">
        <v>3439</v>
      </c>
      <c r="B206" s="1324" t="s">
        <v>5423</v>
      </c>
      <c r="C206" s="1353">
        <f>'Key Metrics'!C147</f>
        <v>0</v>
      </c>
      <c r="D206" s="1353">
        <f>'Key Metrics'!D147</f>
        <v>0</v>
      </c>
      <c r="E206" s="1351">
        <f t="shared" si="60"/>
        <v>0</v>
      </c>
      <c r="F206" s="1353">
        <f t="shared" si="61"/>
        <v>0</v>
      </c>
      <c r="G206" s="1353">
        <f t="shared" si="62"/>
        <v>0</v>
      </c>
      <c r="H206" s="1353">
        <f t="shared" si="63"/>
        <v>0</v>
      </c>
      <c r="I206" s="1353">
        <f t="shared" si="64"/>
        <v>0</v>
      </c>
      <c r="J206" s="1353">
        <f t="shared" si="65"/>
        <v>0</v>
      </c>
      <c r="M206" s="1324" t="str">
        <f t="shared" si="66"/>
        <v>General Capital Fund Balance</v>
      </c>
      <c r="N206" s="1368">
        <v>0</v>
      </c>
      <c r="O206" s="1368">
        <f t="shared" si="67"/>
        <v>0</v>
      </c>
      <c r="P206" s="1368">
        <f t="shared" si="67"/>
        <v>0</v>
      </c>
      <c r="Q206" s="1368">
        <f t="shared" si="67"/>
        <v>0</v>
      </c>
      <c r="R206" s="1368">
        <f t="shared" si="67"/>
        <v>0</v>
      </c>
      <c r="T206" s="1369">
        <v>0</v>
      </c>
      <c r="U206" s="1369">
        <v>0</v>
      </c>
      <c r="V206" s="1369">
        <v>0</v>
      </c>
      <c r="W206" s="1369">
        <v>0</v>
      </c>
      <c r="X206" s="1369">
        <v>0</v>
      </c>
      <c r="Y206" s="1367"/>
      <c r="Z206" s="1370">
        <v>0</v>
      </c>
      <c r="AA206" s="1370">
        <v>0</v>
      </c>
      <c r="AB206" s="1370">
        <v>0</v>
      </c>
      <c r="AC206" s="1370">
        <v>0</v>
      </c>
      <c r="AD206" s="1370">
        <v>0</v>
      </c>
      <c r="AK206" s="1354">
        <f t="shared" si="44"/>
        <v>0</v>
      </c>
      <c r="AL206" s="1352">
        <f t="shared" si="68"/>
        <v>2</v>
      </c>
      <c r="AM206" s="1354">
        <f t="shared" si="45"/>
        <v>0</v>
      </c>
      <c r="AN206" s="1352" t="str">
        <f t="shared" si="46"/>
        <v>General Capital Fund Balance</v>
      </c>
    </row>
    <row r="207" spans="1:40" x14ac:dyDescent="0.2">
      <c r="A207" s="1324" t="s">
        <v>3443</v>
      </c>
      <c r="B207" s="1324" t="s">
        <v>5424</v>
      </c>
      <c r="C207" s="1353">
        <f>'Key Metrics'!C149</f>
        <v>0</v>
      </c>
      <c r="D207" s="1353">
        <f>'Key Metrics'!D149</f>
        <v>0</v>
      </c>
      <c r="E207" s="1351">
        <f t="shared" si="60"/>
        <v>0</v>
      </c>
      <c r="F207" s="1353">
        <f t="shared" si="61"/>
        <v>0</v>
      </c>
      <c r="G207" s="1353">
        <f t="shared" si="62"/>
        <v>0</v>
      </c>
      <c r="H207" s="1353">
        <f t="shared" si="63"/>
        <v>0</v>
      </c>
      <c r="I207" s="1353">
        <f t="shared" si="64"/>
        <v>0</v>
      </c>
      <c r="J207" s="1353">
        <f t="shared" si="65"/>
        <v>0</v>
      </c>
      <c r="M207" s="1324" t="str">
        <f t="shared" si="66"/>
        <v>"User Defined" Other Special Item</v>
      </c>
      <c r="N207" s="1368">
        <f t="shared" ref="N207:N217" si="69">E207</f>
        <v>0</v>
      </c>
      <c r="O207" s="1368">
        <f t="shared" si="67"/>
        <v>0</v>
      </c>
      <c r="P207" s="1368">
        <f t="shared" si="67"/>
        <v>0</v>
      </c>
      <c r="Q207" s="1368">
        <f t="shared" si="67"/>
        <v>0</v>
      </c>
      <c r="R207" s="1368">
        <f t="shared" si="67"/>
        <v>0</v>
      </c>
      <c r="T207" s="1369">
        <v>0.02</v>
      </c>
      <c r="U207" s="1369">
        <v>0.02</v>
      </c>
      <c r="V207" s="1369">
        <v>0.02</v>
      </c>
      <c r="W207" s="1369">
        <v>0.02</v>
      </c>
      <c r="X207" s="1369">
        <v>0.02</v>
      </c>
      <c r="Y207" s="1367"/>
      <c r="Z207" s="1370">
        <v>0</v>
      </c>
      <c r="AA207" s="1370">
        <v>0</v>
      </c>
      <c r="AB207" s="1370">
        <v>0</v>
      </c>
      <c r="AC207" s="1370">
        <v>0</v>
      </c>
      <c r="AD207" s="1370">
        <v>0</v>
      </c>
      <c r="AK207" s="1354">
        <f t="shared" si="44"/>
        <v>0</v>
      </c>
      <c r="AL207" s="1352">
        <f t="shared" si="68"/>
        <v>2</v>
      </c>
      <c r="AM207" s="1354">
        <f t="shared" si="45"/>
        <v>0</v>
      </c>
      <c r="AN207" s="1352" t="str">
        <f t="shared" si="46"/>
        <v>"User Defined" Other Special Item</v>
      </c>
    </row>
    <row r="208" spans="1:40" x14ac:dyDescent="0.2">
      <c r="A208" s="1324" t="s">
        <v>3445</v>
      </c>
      <c r="B208" s="1324" t="s">
        <v>5424</v>
      </c>
      <c r="C208" s="1353">
        <f>'Key Metrics'!C150</f>
        <v>0</v>
      </c>
      <c r="D208" s="1353">
        <f>'Key Metrics'!D150</f>
        <v>0</v>
      </c>
      <c r="E208" s="1351">
        <f t="shared" si="60"/>
        <v>0</v>
      </c>
      <c r="F208" s="1353">
        <f t="shared" si="61"/>
        <v>0</v>
      </c>
      <c r="G208" s="1353">
        <f t="shared" si="62"/>
        <v>0</v>
      </c>
      <c r="H208" s="1353">
        <f t="shared" si="63"/>
        <v>0</v>
      </c>
      <c r="I208" s="1353">
        <f t="shared" si="64"/>
        <v>0</v>
      </c>
      <c r="J208" s="1353">
        <f t="shared" si="65"/>
        <v>0</v>
      </c>
      <c r="M208" s="1324" t="str">
        <f t="shared" si="66"/>
        <v>"User Defined" Other Special Item</v>
      </c>
      <c r="N208" s="1368">
        <f t="shared" si="69"/>
        <v>0</v>
      </c>
      <c r="O208" s="1368">
        <f t="shared" si="67"/>
        <v>0</v>
      </c>
      <c r="P208" s="1368">
        <f t="shared" si="67"/>
        <v>0</v>
      </c>
      <c r="Q208" s="1368">
        <f t="shared" si="67"/>
        <v>0</v>
      </c>
      <c r="R208" s="1368">
        <f t="shared" si="67"/>
        <v>0</v>
      </c>
      <c r="T208" s="1369">
        <v>0.02</v>
      </c>
      <c r="U208" s="1369">
        <v>0.02</v>
      </c>
      <c r="V208" s="1369">
        <v>0.02</v>
      </c>
      <c r="W208" s="1369">
        <v>0.02</v>
      </c>
      <c r="X208" s="1369">
        <v>0.02</v>
      </c>
      <c r="Y208" s="1367"/>
      <c r="Z208" s="1370">
        <v>0</v>
      </c>
      <c r="AA208" s="1370">
        <v>0</v>
      </c>
      <c r="AB208" s="1370">
        <v>0</v>
      </c>
      <c r="AC208" s="1370">
        <v>0</v>
      </c>
      <c r="AD208" s="1370">
        <v>0</v>
      </c>
      <c r="AK208" s="1354">
        <f t="shared" si="44"/>
        <v>0</v>
      </c>
      <c r="AL208" s="1352">
        <f t="shared" si="68"/>
        <v>2</v>
      </c>
      <c r="AM208" s="1354">
        <f t="shared" si="45"/>
        <v>0</v>
      </c>
      <c r="AN208" s="1352" t="str">
        <f t="shared" si="46"/>
        <v>"User Defined" Other Special Item</v>
      </c>
    </row>
    <row r="209" spans="1:40" x14ac:dyDescent="0.2">
      <c r="A209" s="1324" t="s">
        <v>3447</v>
      </c>
      <c r="B209" s="1324" t="s">
        <v>5424</v>
      </c>
      <c r="C209" s="1353">
        <f>'Key Metrics'!C151</f>
        <v>0</v>
      </c>
      <c r="D209" s="1353">
        <f>'Key Metrics'!D151</f>
        <v>0</v>
      </c>
      <c r="E209" s="1351">
        <f t="shared" si="60"/>
        <v>0</v>
      </c>
      <c r="F209" s="1353">
        <f t="shared" si="61"/>
        <v>0</v>
      </c>
      <c r="G209" s="1353">
        <f t="shared" si="62"/>
        <v>0</v>
      </c>
      <c r="H209" s="1353">
        <f t="shared" si="63"/>
        <v>0</v>
      </c>
      <c r="I209" s="1353">
        <f t="shared" si="64"/>
        <v>0</v>
      </c>
      <c r="J209" s="1353">
        <f t="shared" si="65"/>
        <v>0</v>
      </c>
      <c r="M209" s="1324" t="str">
        <f t="shared" si="66"/>
        <v>"User Defined" Other Special Item</v>
      </c>
      <c r="N209" s="1368">
        <f t="shared" si="69"/>
        <v>0</v>
      </c>
      <c r="O209" s="1368">
        <f t="shared" si="67"/>
        <v>0</v>
      </c>
      <c r="P209" s="1368">
        <f t="shared" si="67"/>
        <v>0</v>
      </c>
      <c r="Q209" s="1368">
        <f t="shared" si="67"/>
        <v>0</v>
      </c>
      <c r="R209" s="1368">
        <f t="shared" si="67"/>
        <v>0</v>
      </c>
      <c r="T209" s="1369">
        <v>0.02</v>
      </c>
      <c r="U209" s="1369">
        <v>0.02</v>
      </c>
      <c r="V209" s="1369">
        <v>0.02</v>
      </c>
      <c r="W209" s="1369">
        <v>0.02</v>
      </c>
      <c r="X209" s="1369">
        <v>0.02</v>
      </c>
      <c r="Y209" s="1367"/>
      <c r="Z209" s="1370">
        <v>0</v>
      </c>
      <c r="AA209" s="1370">
        <v>0</v>
      </c>
      <c r="AB209" s="1370">
        <v>0</v>
      </c>
      <c r="AC209" s="1370">
        <v>0</v>
      </c>
      <c r="AD209" s="1370">
        <v>0</v>
      </c>
      <c r="AK209" s="1354">
        <f t="shared" si="44"/>
        <v>0</v>
      </c>
      <c r="AL209" s="1352">
        <f t="shared" si="68"/>
        <v>2</v>
      </c>
      <c r="AM209" s="1354">
        <f t="shared" si="45"/>
        <v>0</v>
      </c>
      <c r="AN209" s="1352" t="str">
        <f t="shared" si="46"/>
        <v>"User Defined" Other Special Item</v>
      </c>
    </row>
    <row r="210" spans="1:40" x14ac:dyDescent="0.2">
      <c r="A210" s="1324" t="s">
        <v>3449</v>
      </c>
      <c r="B210" s="1324" t="s">
        <v>5424</v>
      </c>
      <c r="C210" s="1353">
        <f>'Key Metrics'!C152</f>
        <v>0</v>
      </c>
      <c r="D210" s="1353">
        <f>'Key Metrics'!D152</f>
        <v>0</v>
      </c>
      <c r="E210" s="1351">
        <f t="shared" si="60"/>
        <v>0</v>
      </c>
      <c r="F210" s="1353">
        <f t="shared" si="61"/>
        <v>0</v>
      </c>
      <c r="G210" s="1353">
        <f t="shared" si="62"/>
        <v>0</v>
      </c>
      <c r="H210" s="1353">
        <f t="shared" si="63"/>
        <v>0</v>
      </c>
      <c r="I210" s="1353">
        <f t="shared" si="64"/>
        <v>0</v>
      </c>
      <c r="J210" s="1353">
        <f t="shared" si="65"/>
        <v>0</v>
      </c>
      <c r="M210" s="1324" t="str">
        <f t="shared" si="66"/>
        <v>"User Defined" Other Special Item</v>
      </c>
      <c r="N210" s="1368">
        <f t="shared" si="69"/>
        <v>0</v>
      </c>
      <c r="O210" s="1368">
        <f t="shared" ref="O210:R217" si="70">N210</f>
        <v>0</v>
      </c>
      <c r="P210" s="1368">
        <f t="shared" si="70"/>
        <v>0</v>
      </c>
      <c r="Q210" s="1368">
        <f t="shared" si="70"/>
        <v>0</v>
      </c>
      <c r="R210" s="1368">
        <f t="shared" si="70"/>
        <v>0</v>
      </c>
      <c r="T210" s="1369">
        <v>0.02</v>
      </c>
      <c r="U210" s="1369">
        <v>0.02</v>
      </c>
      <c r="V210" s="1369">
        <v>0.02</v>
      </c>
      <c r="W210" s="1369">
        <v>0.02</v>
      </c>
      <c r="X210" s="1369">
        <v>0.02</v>
      </c>
      <c r="Y210" s="1367"/>
      <c r="Z210" s="1370">
        <v>0</v>
      </c>
      <c r="AA210" s="1370">
        <v>0</v>
      </c>
      <c r="AB210" s="1370">
        <v>0</v>
      </c>
      <c r="AC210" s="1370">
        <v>0</v>
      </c>
      <c r="AD210" s="1370">
        <v>0</v>
      </c>
      <c r="AK210" s="1354">
        <f t="shared" si="44"/>
        <v>0</v>
      </c>
      <c r="AL210" s="1352">
        <f t="shared" si="68"/>
        <v>2</v>
      </c>
      <c r="AM210" s="1354">
        <f t="shared" si="45"/>
        <v>0</v>
      </c>
      <c r="AN210" s="1352" t="str">
        <f t="shared" si="46"/>
        <v>"User Defined" Other Special Item</v>
      </c>
    </row>
    <row r="211" spans="1:40" x14ac:dyDescent="0.2">
      <c r="A211" s="1324" t="s">
        <v>3451</v>
      </c>
      <c r="B211" s="1324" t="s">
        <v>5424</v>
      </c>
      <c r="C211" s="1353">
        <f>'Key Metrics'!C153</f>
        <v>0</v>
      </c>
      <c r="D211" s="1353">
        <f>'Key Metrics'!D153</f>
        <v>0</v>
      </c>
      <c r="E211" s="1351">
        <f t="shared" si="60"/>
        <v>0</v>
      </c>
      <c r="F211" s="1353">
        <f t="shared" si="61"/>
        <v>0</v>
      </c>
      <c r="G211" s="1353">
        <f t="shared" si="62"/>
        <v>0</v>
      </c>
      <c r="H211" s="1353">
        <f t="shared" si="63"/>
        <v>0</v>
      </c>
      <c r="I211" s="1353">
        <f t="shared" si="64"/>
        <v>0</v>
      </c>
      <c r="J211" s="1353">
        <f t="shared" si="65"/>
        <v>0</v>
      </c>
      <c r="M211" s="1324" t="str">
        <f t="shared" si="66"/>
        <v>"User Defined" Other Special Item</v>
      </c>
      <c r="N211" s="1368">
        <f t="shared" si="69"/>
        <v>0</v>
      </c>
      <c r="O211" s="1368">
        <f t="shared" si="70"/>
        <v>0</v>
      </c>
      <c r="P211" s="1368">
        <f t="shared" si="70"/>
        <v>0</v>
      </c>
      <c r="Q211" s="1368">
        <f t="shared" si="70"/>
        <v>0</v>
      </c>
      <c r="R211" s="1368">
        <f t="shared" si="70"/>
        <v>0</v>
      </c>
      <c r="T211" s="1369">
        <v>0.02</v>
      </c>
      <c r="U211" s="1369">
        <v>0.02</v>
      </c>
      <c r="V211" s="1369">
        <v>0.02</v>
      </c>
      <c r="W211" s="1369">
        <v>0.02</v>
      </c>
      <c r="X211" s="1369">
        <v>0.02</v>
      </c>
      <c r="Y211" s="1367"/>
      <c r="Z211" s="1370">
        <v>0</v>
      </c>
      <c r="AA211" s="1370">
        <v>0</v>
      </c>
      <c r="AB211" s="1370">
        <v>0</v>
      </c>
      <c r="AC211" s="1370">
        <v>0</v>
      </c>
      <c r="AD211" s="1370">
        <v>0</v>
      </c>
      <c r="AK211" s="1354">
        <f t="shared" si="44"/>
        <v>0</v>
      </c>
      <c r="AL211" s="1352">
        <f t="shared" si="68"/>
        <v>2</v>
      </c>
      <c r="AM211" s="1354">
        <f t="shared" si="45"/>
        <v>0</v>
      </c>
      <c r="AN211" s="1352" t="str">
        <f t="shared" si="46"/>
        <v>"User Defined" Other Special Item</v>
      </c>
    </row>
    <row r="212" spans="1:40" x14ac:dyDescent="0.2">
      <c r="A212" s="1324" t="s">
        <v>3453</v>
      </c>
      <c r="B212" s="1324" t="s">
        <v>5424</v>
      </c>
      <c r="C212" s="1353">
        <f>'Key Metrics'!C154</f>
        <v>0</v>
      </c>
      <c r="D212" s="1353">
        <f>'Key Metrics'!D154</f>
        <v>0</v>
      </c>
      <c r="E212" s="1351">
        <f t="shared" si="60"/>
        <v>0</v>
      </c>
      <c r="F212" s="1353">
        <f t="shared" si="61"/>
        <v>0</v>
      </c>
      <c r="G212" s="1353">
        <f t="shared" si="62"/>
        <v>0</v>
      </c>
      <c r="H212" s="1353">
        <f t="shared" si="63"/>
        <v>0</v>
      </c>
      <c r="I212" s="1353">
        <f t="shared" si="64"/>
        <v>0</v>
      </c>
      <c r="J212" s="1353">
        <f t="shared" si="65"/>
        <v>0</v>
      </c>
      <c r="M212" s="1324" t="str">
        <f t="shared" si="66"/>
        <v>"User Defined" Other Special Item</v>
      </c>
      <c r="N212" s="1368">
        <f t="shared" si="69"/>
        <v>0</v>
      </c>
      <c r="O212" s="1368">
        <f t="shared" si="70"/>
        <v>0</v>
      </c>
      <c r="P212" s="1368">
        <f t="shared" si="70"/>
        <v>0</v>
      </c>
      <c r="Q212" s="1368">
        <f t="shared" si="70"/>
        <v>0</v>
      </c>
      <c r="R212" s="1368">
        <f t="shared" si="70"/>
        <v>0</v>
      </c>
      <c r="T212" s="1369">
        <v>0.02</v>
      </c>
      <c r="U212" s="1369">
        <v>0.02</v>
      </c>
      <c r="V212" s="1369">
        <v>0.02</v>
      </c>
      <c r="W212" s="1369">
        <v>0.02</v>
      </c>
      <c r="X212" s="1369">
        <v>0.02</v>
      </c>
      <c r="Y212" s="1367"/>
      <c r="Z212" s="1370">
        <v>0</v>
      </c>
      <c r="AA212" s="1370">
        <v>0</v>
      </c>
      <c r="AB212" s="1370">
        <v>0</v>
      </c>
      <c r="AC212" s="1370">
        <v>0</v>
      </c>
      <c r="AD212" s="1370">
        <v>0</v>
      </c>
      <c r="AK212" s="1354">
        <f t="shared" si="44"/>
        <v>0</v>
      </c>
      <c r="AL212" s="1352">
        <f t="shared" si="68"/>
        <v>2</v>
      </c>
      <c r="AM212" s="1354">
        <f t="shared" si="45"/>
        <v>0</v>
      </c>
      <c r="AN212" s="1352" t="str">
        <f t="shared" si="46"/>
        <v>"User Defined" Other Special Item</v>
      </c>
    </row>
    <row r="213" spans="1:40" x14ac:dyDescent="0.2">
      <c r="A213" s="1324" t="s">
        <v>3455</v>
      </c>
      <c r="B213" s="1324" t="s">
        <v>5424</v>
      </c>
      <c r="C213" s="1353">
        <f>'Key Metrics'!C155</f>
        <v>0</v>
      </c>
      <c r="D213" s="1353">
        <f>'Key Metrics'!D155</f>
        <v>0</v>
      </c>
      <c r="E213" s="1351">
        <f t="shared" si="60"/>
        <v>0</v>
      </c>
      <c r="F213" s="1353">
        <f t="shared" si="61"/>
        <v>0</v>
      </c>
      <c r="G213" s="1353">
        <f t="shared" si="62"/>
        <v>0</v>
      </c>
      <c r="H213" s="1353">
        <f t="shared" si="63"/>
        <v>0</v>
      </c>
      <c r="I213" s="1353">
        <f t="shared" si="64"/>
        <v>0</v>
      </c>
      <c r="J213" s="1353">
        <f t="shared" si="65"/>
        <v>0</v>
      </c>
      <c r="M213" s="1324" t="str">
        <f t="shared" si="66"/>
        <v>"User Defined" Other Special Item</v>
      </c>
      <c r="N213" s="1368">
        <f t="shared" si="69"/>
        <v>0</v>
      </c>
      <c r="O213" s="1368">
        <f t="shared" si="70"/>
        <v>0</v>
      </c>
      <c r="P213" s="1368">
        <f t="shared" si="70"/>
        <v>0</v>
      </c>
      <c r="Q213" s="1368">
        <f t="shared" si="70"/>
        <v>0</v>
      </c>
      <c r="R213" s="1368">
        <f t="shared" si="70"/>
        <v>0</v>
      </c>
      <c r="T213" s="1369">
        <v>0.02</v>
      </c>
      <c r="U213" s="1369">
        <v>0.02</v>
      </c>
      <c r="V213" s="1369">
        <v>0.02</v>
      </c>
      <c r="W213" s="1369">
        <v>0.02</v>
      </c>
      <c r="X213" s="1369">
        <v>0.02</v>
      </c>
      <c r="Y213" s="1367"/>
      <c r="Z213" s="1370">
        <v>0</v>
      </c>
      <c r="AA213" s="1370">
        <v>0</v>
      </c>
      <c r="AB213" s="1370">
        <v>0</v>
      </c>
      <c r="AC213" s="1370">
        <v>0</v>
      </c>
      <c r="AD213" s="1370">
        <v>0</v>
      </c>
      <c r="AK213" s="1354">
        <f t="shared" si="44"/>
        <v>0</v>
      </c>
      <c r="AL213" s="1352">
        <f t="shared" si="68"/>
        <v>2</v>
      </c>
      <c r="AM213" s="1354">
        <f t="shared" si="45"/>
        <v>0</v>
      </c>
      <c r="AN213" s="1352" t="str">
        <f t="shared" si="46"/>
        <v>"User Defined" Other Special Item</v>
      </c>
    </row>
    <row r="214" spans="1:40" x14ac:dyDescent="0.2">
      <c r="A214" s="1324" t="s">
        <v>3457</v>
      </c>
      <c r="B214" s="1324" t="s">
        <v>5424</v>
      </c>
      <c r="C214" s="1353">
        <f>'Key Metrics'!C156</f>
        <v>0</v>
      </c>
      <c r="D214" s="1353">
        <f>'Key Metrics'!D156</f>
        <v>0</v>
      </c>
      <c r="E214" s="1351">
        <f t="shared" si="60"/>
        <v>0</v>
      </c>
      <c r="F214" s="1353">
        <f t="shared" si="61"/>
        <v>0</v>
      </c>
      <c r="G214" s="1353">
        <f t="shared" si="62"/>
        <v>0</v>
      </c>
      <c r="H214" s="1353">
        <f t="shared" si="63"/>
        <v>0</v>
      </c>
      <c r="I214" s="1353">
        <f t="shared" si="64"/>
        <v>0</v>
      </c>
      <c r="J214" s="1353">
        <f t="shared" si="65"/>
        <v>0</v>
      </c>
      <c r="M214" s="1324" t="str">
        <f t="shared" si="66"/>
        <v>"User Defined" Other Special Item</v>
      </c>
      <c r="N214" s="1368">
        <f t="shared" si="69"/>
        <v>0</v>
      </c>
      <c r="O214" s="1368">
        <f t="shared" si="70"/>
        <v>0</v>
      </c>
      <c r="P214" s="1368">
        <f t="shared" si="70"/>
        <v>0</v>
      </c>
      <c r="Q214" s="1368">
        <f t="shared" si="70"/>
        <v>0</v>
      </c>
      <c r="R214" s="1368">
        <f t="shared" si="70"/>
        <v>0</v>
      </c>
      <c r="T214" s="1369">
        <v>0.02</v>
      </c>
      <c r="U214" s="1369">
        <v>0.02</v>
      </c>
      <c r="V214" s="1369">
        <v>0.02</v>
      </c>
      <c r="W214" s="1369">
        <v>0.02</v>
      </c>
      <c r="X214" s="1369">
        <v>0.02</v>
      </c>
      <c r="Y214" s="1367"/>
      <c r="Z214" s="1370">
        <v>0</v>
      </c>
      <c r="AA214" s="1370">
        <v>0</v>
      </c>
      <c r="AB214" s="1370">
        <v>0</v>
      </c>
      <c r="AC214" s="1370">
        <v>0</v>
      </c>
      <c r="AD214" s="1370">
        <v>0</v>
      </c>
      <c r="AK214" s="1354">
        <f t="shared" si="44"/>
        <v>0</v>
      </c>
      <c r="AL214" s="1352">
        <f t="shared" si="68"/>
        <v>2</v>
      </c>
      <c r="AM214" s="1354">
        <f t="shared" si="45"/>
        <v>0</v>
      </c>
      <c r="AN214" s="1352" t="str">
        <f t="shared" si="46"/>
        <v>"User Defined" Other Special Item</v>
      </c>
    </row>
    <row r="215" spans="1:40" x14ac:dyDescent="0.2">
      <c r="A215" s="1324" t="s">
        <v>3459</v>
      </c>
      <c r="B215" s="1324" t="s">
        <v>5424</v>
      </c>
      <c r="C215" s="1353">
        <f>'Key Metrics'!C157</f>
        <v>0</v>
      </c>
      <c r="D215" s="1353">
        <f>'Key Metrics'!D157</f>
        <v>0</v>
      </c>
      <c r="E215" s="1351">
        <f t="shared" si="60"/>
        <v>0</v>
      </c>
      <c r="F215" s="1353">
        <f t="shared" si="61"/>
        <v>0</v>
      </c>
      <c r="G215" s="1353">
        <f t="shared" si="62"/>
        <v>0</v>
      </c>
      <c r="H215" s="1353">
        <f t="shared" si="63"/>
        <v>0</v>
      </c>
      <c r="I215" s="1353">
        <f t="shared" si="64"/>
        <v>0</v>
      </c>
      <c r="J215" s="1353">
        <f t="shared" si="65"/>
        <v>0</v>
      </c>
      <c r="M215" s="1324" t="str">
        <f t="shared" si="66"/>
        <v>"User Defined" Other Special Item</v>
      </c>
      <c r="N215" s="1368">
        <f t="shared" si="69"/>
        <v>0</v>
      </c>
      <c r="O215" s="1368">
        <f t="shared" si="70"/>
        <v>0</v>
      </c>
      <c r="P215" s="1368">
        <f t="shared" si="70"/>
        <v>0</v>
      </c>
      <c r="Q215" s="1368">
        <f t="shared" si="70"/>
        <v>0</v>
      </c>
      <c r="R215" s="1368">
        <f t="shared" si="70"/>
        <v>0</v>
      </c>
      <c r="T215" s="1369">
        <v>0.02</v>
      </c>
      <c r="U215" s="1369">
        <v>0.02</v>
      </c>
      <c r="V215" s="1369">
        <v>0.02</v>
      </c>
      <c r="W215" s="1369">
        <v>0.02</v>
      </c>
      <c r="X215" s="1369">
        <v>0.02</v>
      </c>
      <c r="Y215" s="1367"/>
      <c r="Z215" s="1370">
        <v>0</v>
      </c>
      <c r="AA215" s="1370">
        <v>0</v>
      </c>
      <c r="AB215" s="1370">
        <v>0</v>
      </c>
      <c r="AC215" s="1370">
        <v>0</v>
      </c>
      <c r="AD215" s="1370">
        <v>0</v>
      </c>
      <c r="AK215" s="1354">
        <f t="shared" ref="AK215:AK278" si="71">SUM(C215:D215,F215:J215)</f>
        <v>0</v>
      </c>
      <c r="AL215" s="1352">
        <f t="shared" si="68"/>
        <v>2</v>
      </c>
      <c r="AM215" s="1354">
        <f t="shared" ref="AM215:AM278" si="72">J215-D215</f>
        <v>0</v>
      </c>
      <c r="AN215" s="1352" t="str">
        <f t="shared" ref="AN215:AN278" si="73">B215</f>
        <v>"User Defined" Other Special Item</v>
      </c>
    </row>
    <row r="216" spans="1:40" x14ac:dyDescent="0.2">
      <c r="A216" s="1324" t="s">
        <v>3461</v>
      </c>
      <c r="B216" s="1324" t="s">
        <v>5424</v>
      </c>
      <c r="C216" s="1353">
        <f>'Key Metrics'!C158</f>
        <v>0</v>
      </c>
      <c r="D216" s="1353">
        <f>'Key Metrics'!D158</f>
        <v>0</v>
      </c>
      <c r="E216" s="1351">
        <f t="shared" si="60"/>
        <v>0</v>
      </c>
      <c r="F216" s="1353">
        <f t="shared" si="61"/>
        <v>0</v>
      </c>
      <c r="G216" s="1353">
        <f t="shared" si="62"/>
        <v>0</v>
      </c>
      <c r="H216" s="1353">
        <f t="shared" si="63"/>
        <v>0</v>
      </c>
      <c r="I216" s="1353">
        <f t="shared" si="64"/>
        <v>0</v>
      </c>
      <c r="J216" s="1353">
        <f t="shared" si="65"/>
        <v>0</v>
      </c>
      <c r="M216" s="1324" t="str">
        <f t="shared" si="66"/>
        <v>"User Defined" Other Special Item</v>
      </c>
      <c r="N216" s="1368">
        <f t="shared" si="69"/>
        <v>0</v>
      </c>
      <c r="O216" s="1368">
        <f t="shared" si="70"/>
        <v>0</v>
      </c>
      <c r="P216" s="1368">
        <f t="shared" si="70"/>
        <v>0</v>
      </c>
      <c r="Q216" s="1368">
        <f t="shared" si="70"/>
        <v>0</v>
      </c>
      <c r="R216" s="1368">
        <f t="shared" si="70"/>
        <v>0</v>
      </c>
      <c r="T216" s="1369">
        <v>0.02</v>
      </c>
      <c r="U216" s="1369">
        <v>0.02</v>
      </c>
      <c r="V216" s="1369">
        <v>0.02</v>
      </c>
      <c r="W216" s="1369">
        <v>0.02</v>
      </c>
      <c r="X216" s="1369">
        <v>0.02</v>
      </c>
      <c r="Y216" s="1367"/>
      <c r="Z216" s="1370">
        <v>0</v>
      </c>
      <c r="AA216" s="1370">
        <v>0</v>
      </c>
      <c r="AB216" s="1370">
        <v>0</v>
      </c>
      <c r="AC216" s="1370">
        <v>0</v>
      </c>
      <c r="AD216" s="1370">
        <v>0</v>
      </c>
      <c r="AK216" s="1354">
        <f t="shared" si="71"/>
        <v>0</v>
      </c>
      <c r="AL216" s="1352">
        <f t="shared" si="68"/>
        <v>2</v>
      </c>
      <c r="AM216" s="1354">
        <f t="shared" si="72"/>
        <v>0</v>
      </c>
      <c r="AN216" s="1352" t="str">
        <f t="shared" si="73"/>
        <v>"User Defined" Other Special Item</v>
      </c>
    </row>
    <row r="217" spans="1:40" x14ac:dyDescent="0.2">
      <c r="A217" s="1324" t="s">
        <v>3463</v>
      </c>
      <c r="B217" s="1324" t="s">
        <v>5424</v>
      </c>
      <c r="C217" s="1353">
        <f>'Key Metrics'!C159</f>
        <v>0</v>
      </c>
      <c r="D217" s="1353">
        <f>'Key Metrics'!D159</f>
        <v>0</v>
      </c>
      <c r="E217" s="1351">
        <f t="shared" si="60"/>
        <v>0</v>
      </c>
      <c r="F217" s="1353">
        <f t="shared" si="61"/>
        <v>0</v>
      </c>
      <c r="G217" s="1353">
        <f t="shared" si="62"/>
        <v>0</v>
      </c>
      <c r="H217" s="1353">
        <f t="shared" si="63"/>
        <v>0</v>
      </c>
      <c r="I217" s="1353">
        <f t="shared" si="64"/>
        <v>0</v>
      </c>
      <c r="J217" s="1353">
        <f t="shared" si="65"/>
        <v>0</v>
      </c>
      <c r="M217" s="1324" t="str">
        <f t="shared" si="66"/>
        <v>"User Defined" Other Special Item</v>
      </c>
      <c r="N217" s="1368">
        <f t="shared" si="69"/>
        <v>0</v>
      </c>
      <c r="O217" s="1368">
        <f t="shared" si="70"/>
        <v>0</v>
      </c>
      <c r="P217" s="1368">
        <f t="shared" si="70"/>
        <v>0</v>
      </c>
      <c r="Q217" s="1368">
        <f t="shared" si="70"/>
        <v>0</v>
      </c>
      <c r="R217" s="1368">
        <f t="shared" si="70"/>
        <v>0</v>
      </c>
      <c r="T217" s="1369">
        <v>0.02</v>
      </c>
      <c r="U217" s="1369">
        <v>0.02</v>
      </c>
      <c r="V217" s="1369">
        <v>0.02</v>
      </c>
      <c r="W217" s="1369">
        <v>0.02</v>
      </c>
      <c r="X217" s="1369">
        <v>0.02</v>
      </c>
      <c r="Y217" s="1367"/>
      <c r="Z217" s="1370">
        <v>0</v>
      </c>
      <c r="AA217" s="1370">
        <v>0</v>
      </c>
      <c r="AB217" s="1370">
        <v>0</v>
      </c>
      <c r="AC217" s="1370">
        <v>0</v>
      </c>
      <c r="AD217" s="1370">
        <v>0</v>
      </c>
      <c r="AK217" s="1354">
        <f t="shared" si="71"/>
        <v>0</v>
      </c>
      <c r="AL217" s="1352">
        <f t="shared" si="68"/>
        <v>2</v>
      </c>
      <c r="AM217" s="1354">
        <f t="shared" si="72"/>
        <v>0</v>
      </c>
      <c r="AN217" s="1352" t="str">
        <f t="shared" si="73"/>
        <v>"User Defined" Other Special Item</v>
      </c>
    </row>
    <row r="218" spans="1:40" x14ac:dyDescent="0.2">
      <c r="B218" s="1373" t="s">
        <v>5617</v>
      </c>
      <c r="C218" s="1360">
        <f>SUM(C194:C217)</f>
        <v>0</v>
      </c>
      <c r="D218" s="1360">
        <f>SUM(D194:D217)</f>
        <v>0</v>
      </c>
      <c r="E218" s="1356">
        <f t="shared" si="60"/>
        <v>0</v>
      </c>
      <c r="F218" s="1360">
        <f>SUM(F194:F217)</f>
        <v>0</v>
      </c>
      <c r="G218" s="1360">
        <f>SUM(G194:G217)</f>
        <v>0</v>
      </c>
      <c r="H218" s="1360">
        <f>SUM(H194:H217)</f>
        <v>0</v>
      </c>
      <c r="I218" s="1360">
        <f>SUM(I194:I217)</f>
        <v>0</v>
      </c>
      <c r="J218" s="1360">
        <f>SUM(J194:J217)</f>
        <v>0</v>
      </c>
      <c r="T218" s="1374"/>
      <c r="U218" s="1374"/>
      <c r="V218" s="1374"/>
      <c r="W218" s="1374"/>
      <c r="X218" s="1374"/>
      <c r="Z218" s="1372"/>
      <c r="AA218" s="1372"/>
      <c r="AB218" s="1372"/>
      <c r="AC218" s="1372"/>
      <c r="AD218" s="1372"/>
      <c r="AK218" s="1354"/>
      <c r="AL218" s="1352"/>
      <c r="AM218" s="1354"/>
      <c r="AN218" s="1352"/>
    </row>
    <row r="219" spans="1:40" x14ac:dyDescent="0.2">
      <c r="E219" s="1351"/>
      <c r="T219" s="1374"/>
      <c r="U219" s="1374"/>
      <c r="V219" s="1374"/>
      <c r="W219" s="1374"/>
      <c r="X219" s="1374"/>
      <c r="Z219" s="1375"/>
      <c r="AA219" s="1375"/>
      <c r="AB219" s="1375"/>
      <c r="AC219" s="1375"/>
      <c r="AD219" s="1375"/>
      <c r="AK219" s="1354"/>
      <c r="AL219" s="1352"/>
      <c r="AM219" s="1354"/>
      <c r="AN219" s="1352"/>
    </row>
    <row r="220" spans="1:40" x14ac:dyDescent="0.2">
      <c r="A220" s="1364"/>
      <c r="B220" s="1364" t="s">
        <v>6127</v>
      </c>
      <c r="C220" s="1376">
        <f>C218+C191+C187+C181+C154+C148+C128+C93+C88</f>
        <v>1006164.42</v>
      </c>
      <c r="D220" s="1376">
        <f>D218+D191+D187+D181+D154+D148+D128+D93+D88</f>
        <v>828754.4911582591</v>
      </c>
      <c r="E220" s="1366">
        <f>IFERROR(D220/C220-1,0)</f>
        <v>-0.17632299981522004</v>
      </c>
      <c r="F220" s="1376">
        <f>F218+F191+F187+F181+F154+F148+F128+F93+F88</f>
        <v>525785.89115825912</v>
      </c>
      <c r="G220" s="1376">
        <f>G218+G191+G187+G181+G154+G148+G128+G93+G88</f>
        <v>534530.07218142436</v>
      </c>
      <c r="H220" s="1376">
        <f>H218+H191+H187+H181+H154+H148+H128+H93+H88</f>
        <v>543449.13682505279</v>
      </c>
      <c r="I220" s="1376">
        <f>I218+I191+I187+I181+I154+I148+I128+I93+I88</f>
        <v>552546.58276155381</v>
      </c>
      <c r="J220" s="1376">
        <f>J218+J191+J187+J181+J154+J148+J128+J93+J88</f>
        <v>561825.97761678486</v>
      </c>
      <c r="T220" s="1374"/>
      <c r="U220" s="1374"/>
      <c r="V220" s="1374"/>
      <c r="W220" s="1374"/>
      <c r="X220" s="1374"/>
      <c r="Z220" s="1375"/>
      <c r="AA220" s="1375"/>
      <c r="AB220" s="1375"/>
      <c r="AC220" s="1375"/>
      <c r="AD220" s="1375"/>
      <c r="AK220" s="1354"/>
      <c r="AL220" s="1352"/>
      <c r="AM220" s="1354"/>
      <c r="AN220" s="1352"/>
    </row>
    <row r="221" spans="1:40" x14ac:dyDescent="0.2">
      <c r="A221" s="1328"/>
      <c r="B221" s="1328"/>
      <c r="C221" s="1328"/>
      <c r="D221" s="1328"/>
      <c r="E221" s="1377"/>
      <c r="F221" s="1328"/>
      <c r="T221" s="1374"/>
      <c r="U221" s="1374"/>
      <c r="V221" s="1374"/>
      <c r="W221" s="1374"/>
      <c r="X221" s="1374"/>
      <c r="Z221" s="1375"/>
      <c r="AA221" s="1375"/>
      <c r="AB221" s="1375"/>
      <c r="AC221" s="1375"/>
      <c r="AD221" s="1375"/>
      <c r="AK221" s="1354"/>
      <c r="AL221" s="1352"/>
      <c r="AM221" s="1354"/>
      <c r="AN221" s="1352"/>
    </row>
    <row r="222" spans="1:40" x14ac:dyDescent="0.2">
      <c r="A222" s="1328"/>
      <c r="B222" s="1328"/>
      <c r="C222" s="1328"/>
      <c r="D222" s="1328"/>
      <c r="E222" s="1377"/>
      <c r="F222" s="1328"/>
      <c r="T222" s="1374"/>
      <c r="U222" s="1374"/>
      <c r="V222" s="1374"/>
      <c r="W222" s="1374"/>
      <c r="X222" s="1374"/>
      <c r="Z222" s="1375"/>
      <c r="AA222" s="1375"/>
      <c r="AB222" s="1375"/>
      <c r="AC222" s="1375"/>
      <c r="AD222" s="1375"/>
      <c r="AK222" s="1354"/>
      <c r="AL222" s="1352"/>
      <c r="AM222" s="1354"/>
      <c r="AN222" s="1352"/>
    </row>
    <row r="223" spans="1:40" ht="15.75" x14ac:dyDescent="0.25">
      <c r="A223" s="1350" t="s">
        <v>6093</v>
      </c>
      <c r="B223" s="1328"/>
      <c r="C223" s="1328"/>
      <c r="D223" s="1328"/>
      <c r="E223" s="1356"/>
      <c r="F223" s="1328"/>
      <c r="T223" s="1374"/>
      <c r="U223" s="1374"/>
      <c r="V223" s="1374"/>
      <c r="W223" s="1374"/>
      <c r="X223" s="1374"/>
      <c r="Z223" s="1375"/>
      <c r="AA223" s="1375"/>
      <c r="AB223" s="1375"/>
      <c r="AC223" s="1375"/>
      <c r="AD223" s="1375"/>
      <c r="AK223" s="1354"/>
      <c r="AL223" s="1352"/>
      <c r="AM223" s="1354"/>
      <c r="AN223" s="1352"/>
    </row>
    <row r="224" spans="1:40" x14ac:dyDescent="0.2">
      <c r="E224" s="1351"/>
      <c r="T224" s="1374"/>
      <c r="U224" s="1374"/>
      <c r="V224" s="1374"/>
      <c r="W224" s="1374"/>
      <c r="X224" s="1374"/>
      <c r="Z224" s="1375"/>
      <c r="AA224" s="1375"/>
      <c r="AB224" s="1375"/>
      <c r="AC224" s="1375"/>
      <c r="AD224" s="1375"/>
      <c r="AK224" s="1354"/>
      <c r="AL224" s="1352"/>
      <c r="AM224" s="1354"/>
      <c r="AN224" s="1352"/>
    </row>
    <row r="225" spans="1:40" x14ac:dyDescent="0.2">
      <c r="A225" s="1364" t="s">
        <v>5439</v>
      </c>
      <c r="B225" s="1365"/>
      <c r="C225" s="1364"/>
      <c r="D225" s="1364"/>
      <c r="E225" s="1366"/>
      <c r="F225" s="1364"/>
      <c r="G225" s="1364"/>
      <c r="H225" s="1364"/>
      <c r="I225" s="1364"/>
      <c r="J225" s="1364"/>
      <c r="T225" s="1374"/>
      <c r="U225" s="1374"/>
      <c r="V225" s="1374"/>
      <c r="W225" s="1374"/>
      <c r="X225" s="1374"/>
      <c r="Z225" s="1375"/>
      <c r="AA225" s="1375"/>
      <c r="AB225" s="1375"/>
      <c r="AC225" s="1375"/>
      <c r="AD225" s="1375"/>
      <c r="AK225" s="1354"/>
      <c r="AL225" s="1352"/>
      <c r="AM225" s="1354"/>
      <c r="AN225" s="1352"/>
    </row>
    <row r="226" spans="1:40" x14ac:dyDescent="0.2">
      <c r="A226" s="1324" t="s">
        <v>5065</v>
      </c>
      <c r="B226" s="1324" t="s">
        <v>5464</v>
      </c>
      <c r="C226" s="1353">
        <f t="shared" ref="C226:D243" si="74">SUMIF($A$504:$A$1172,$A226,C$504:C$1172)</f>
        <v>0</v>
      </c>
      <c r="D226" s="1353">
        <f t="shared" si="74"/>
        <v>100</v>
      </c>
      <c r="E226" s="1351">
        <f t="shared" ref="E226:E244" si="75">IFERROR(D226/C226-1,0)</f>
        <v>0</v>
      </c>
      <c r="F226" s="1353">
        <f t="shared" ref="F226:J235" si="76">SUMIF($A$504:$A$1172,$A226,F$504:F$1172)</f>
        <v>102</v>
      </c>
      <c r="G226" s="1353">
        <f t="shared" si="76"/>
        <v>104.04</v>
      </c>
      <c r="H226" s="1353">
        <f t="shared" si="76"/>
        <v>106.1208</v>
      </c>
      <c r="I226" s="1353">
        <f t="shared" si="76"/>
        <v>108.243216</v>
      </c>
      <c r="J226" s="1353">
        <f t="shared" si="76"/>
        <v>110.40808032000001</v>
      </c>
      <c r="T226" s="1374"/>
      <c r="U226" s="1374"/>
      <c r="V226" s="1374"/>
      <c r="W226" s="1374"/>
      <c r="X226" s="1374"/>
      <c r="Z226" s="1375"/>
      <c r="AA226" s="1375"/>
      <c r="AB226" s="1375"/>
      <c r="AC226" s="1375"/>
      <c r="AD226" s="1375"/>
      <c r="AK226" s="1354">
        <f t="shared" si="71"/>
        <v>630.81209631999991</v>
      </c>
      <c r="AL226" s="1352">
        <f>RANK(AM226,$AM$226:$AM$494,0)</f>
        <v>36</v>
      </c>
      <c r="AM226" s="1354">
        <f t="shared" si="72"/>
        <v>10.40808032000001</v>
      </c>
      <c r="AN226" s="1352" t="str">
        <f t="shared" si="73"/>
        <v>General Administration</v>
      </c>
    </row>
    <row r="227" spans="1:40" x14ac:dyDescent="0.2">
      <c r="A227" s="1324" t="s">
        <v>5074</v>
      </c>
      <c r="B227" s="1324" t="s">
        <v>5465</v>
      </c>
      <c r="C227" s="1353">
        <f t="shared" si="74"/>
        <v>0</v>
      </c>
      <c r="D227" s="1353">
        <f t="shared" si="74"/>
        <v>0</v>
      </c>
      <c r="E227" s="1351">
        <f t="shared" si="75"/>
        <v>0</v>
      </c>
      <c r="F227" s="1353">
        <f t="shared" si="76"/>
        <v>0</v>
      </c>
      <c r="G227" s="1353">
        <f t="shared" si="76"/>
        <v>0</v>
      </c>
      <c r="H227" s="1353">
        <f t="shared" si="76"/>
        <v>0</v>
      </c>
      <c r="I227" s="1353">
        <f t="shared" si="76"/>
        <v>0</v>
      </c>
      <c r="J227" s="1353">
        <f t="shared" si="76"/>
        <v>0</v>
      </c>
      <c r="T227" s="1374"/>
      <c r="U227" s="1374"/>
      <c r="V227" s="1374"/>
      <c r="W227" s="1374"/>
      <c r="X227" s="1374"/>
      <c r="Z227" s="1375"/>
      <c r="AA227" s="1375"/>
      <c r="AB227" s="1375"/>
      <c r="AC227" s="1375"/>
      <c r="AD227" s="1375"/>
      <c r="AK227" s="1354">
        <f t="shared" si="71"/>
        <v>0</v>
      </c>
      <c r="AL227" s="1352">
        <f t="shared" ref="AL227:AL243" si="77">RANK(AM227,$AM$226:$AM$494,0)</f>
        <v>42</v>
      </c>
      <c r="AM227" s="1354">
        <f t="shared" si="72"/>
        <v>0</v>
      </c>
      <c r="AN227" s="1352" t="str">
        <f t="shared" si="73"/>
        <v>"User Defined" General Government</v>
      </c>
    </row>
    <row r="228" spans="1:40" x14ac:dyDescent="0.2">
      <c r="A228" s="1324" t="s">
        <v>5081</v>
      </c>
      <c r="B228" s="1324" t="s">
        <v>5465</v>
      </c>
      <c r="C228" s="1353">
        <f t="shared" si="74"/>
        <v>0</v>
      </c>
      <c r="D228" s="1353">
        <f t="shared" si="74"/>
        <v>0</v>
      </c>
      <c r="E228" s="1351">
        <f t="shared" si="75"/>
        <v>0</v>
      </c>
      <c r="F228" s="1353">
        <f t="shared" si="76"/>
        <v>0</v>
      </c>
      <c r="G228" s="1353">
        <f t="shared" si="76"/>
        <v>0</v>
      </c>
      <c r="H228" s="1353">
        <f t="shared" si="76"/>
        <v>0</v>
      </c>
      <c r="I228" s="1353">
        <f t="shared" si="76"/>
        <v>0</v>
      </c>
      <c r="J228" s="1353">
        <f t="shared" si="76"/>
        <v>0</v>
      </c>
      <c r="T228" s="1374"/>
      <c r="U228" s="1374"/>
      <c r="V228" s="1374"/>
      <c r="W228" s="1374"/>
      <c r="X228" s="1374"/>
      <c r="Z228" s="1375"/>
      <c r="AA228" s="1375"/>
      <c r="AB228" s="1375"/>
      <c r="AC228" s="1375"/>
      <c r="AD228" s="1375"/>
      <c r="AK228" s="1354">
        <f t="shared" si="71"/>
        <v>0</v>
      </c>
      <c r="AL228" s="1352">
        <f t="shared" si="77"/>
        <v>42</v>
      </c>
      <c r="AM228" s="1354">
        <f t="shared" si="72"/>
        <v>0</v>
      </c>
      <c r="AN228" s="1352" t="str">
        <f t="shared" si="73"/>
        <v>"User Defined" General Government</v>
      </c>
    </row>
    <row r="229" spans="1:40" x14ac:dyDescent="0.2">
      <c r="A229" s="1324" t="s">
        <v>5088</v>
      </c>
      <c r="B229" s="1324" t="s">
        <v>5465</v>
      </c>
      <c r="C229" s="1353">
        <f t="shared" si="74"/>
        <v>0</v>
      </c>
      <c r="D229" s="1353">
        <f t="shared" si="74"/>
        <v>0</v>
      </c>
      <c r="E229" s="1351">
        <f t="shared" si="75"/>
        <v>0</v>
      </c>
      <c r="F229" s="1353">
        <f t="shared" si="76"/>
        <v>0</v>
      </c>
      <c r="G229" s="1353">
        <f t="shared" si="76"/>
        <v>0</v>
      </c>
      <c r="H229" s="1353">
        <f t="shared" si="76"/>
        <v>0</v>
      </c>
      <c r="I229" s="1353">
        <f t="shared" si="76"/>
        <v>0</v>
      </c>
      <c r="J229" s="1353">
        <f t="shared" si="76"/>
        <v>0</v>
      </c>
      <c r="T229" s="1374"/>
      <c r="U229" s="1374"/>
      <c r="V229" s="1374"/>
      <c r="W229" s="1374"/>
      <c r="X229" s="1374"/>
      <c r="Z229" s="1375"/>
      <c r="AA229" s="1375"/>
      <c r="AB229" s="1375"/>
      <c r="AC229" s="1375"/>
      <c r="AD229" s="1375"/>
      <c r="AK229" s="1354">
        <f t="shared" si="71"/>
        <v>0</v>
      </c>
      <c r="AL229" s="1352">
        <f t="shared" si="77"/>
        <v>42</v>
      </c>
      <c r="AM229" s="1354">
        <f t="shared" si="72"/>
        <v>0</v>
      </c>
      <c r="AN229" s="1352" t="str">
        <f t="shared" si="73"/>
        <v>"User Defined" General Government</v>
      </c>
    </row>
    <row r="230" spans="1:40" x14ac:dyDescent="0.2">
      <c r="A230" s="1324" t="s">
        <v>5094</v>
      </c>
      <c r="B230" s="1324" t="s">
        <v>5465</v>
      </c>
      <c r="C230" s="1353">
        <f t="shared" si="74"/>
        <v>0</v>
      </c>
      <c r="D230" s="1353">
        <f t="shared" si="74"/>
        <v>0</v>
      </c>
      <c r="E230" s="1351">
        <f t="shared" si="75"/>
        <v>0</v>
      </c>
      <c r="F230" s="1353">
        <f t="shared" si="76"/>
        <v>0</v>
      </c>
      <c r="G230" s="1353">
        <f t="shared" si="76"/>
        <v>0</v>
      </c>
      <c r="H230" s="1353">
        <f t="shared" si="76"/>
        <v>0</v>
      </c>
      <c r="I230" s="1353">
        <f t="shared" si="76"/>
        <v>0</v>
      </c>
      <c r="J230" s="1353">
        <f t="shared" si="76"/>
        <v>0</v>
      </c>
      <c r="T230" s="1374"/>
      <c r="U230" s="1374"/>
      <c r="V230" s="1374"/>
      <c r="W230" s="1374"/>
      <c r="X230" s="1374"/>
      <c r="Z230" s="1375"/>
      <c r="AA230" s="1375"/>
      <c r="AB230" s="1375"/>
      <c r="AC230" s="1375"/>
      <c r="AD230" s="1375"/>
      <c r="AK230" s="1354">
        <f t="shared" si="71"/>
        <v>0</v>
      </c>
      <c r="AL230" s="1352">
        <f t="shared" si="77"/>
        <v>42</v>
      </c>
      <c r="AM230" s="1354">
        <f t="shared" si="72"/>
        <v>0</v>
      </c>
      <c r="AN230" s="1352" t="str">
        <f t="shared" si="73"/>
        <v>"User Defined" General Government</v>
      </c>
    </row>
    <row r="231" spans="1:40" x14ac:dyDescent="0.2">
      <c r="A231" s="1324" t="s">
        <v>5100</v>
      </c>
      <c r="B231" s="1324" t="s">
        <v>5466</v>
      </c>
      <c r="C231" s="1353">
        <f t="shared" si="74"/>
        <v>0</v>
      </c>
      <c r="D231" s="1353">
        <f t="shared" si="74"/>
        <v>0</v>
      </c>
      <c r="E231" s="1351">
        <f t="shared" si="75"/>
        <v>0</v>
      </c>
      <c r="F231" s="1353">
        <f t="shared" si="76"/>
        <v>0</v>
      </c>
      <c r="G231" s="1353">
        <f t="shared" si="76"/>
        <v>0</v>
      </c>
      <c r="H231" s="1353">
        <f t="shared" si="76"/>
        <v>0</v>
      </c>
      <c r="I231" s="1353">
        <f t="shared" si="76"/>
        <v>0</v>
      </c>
      <c r="J231" s="1353">
        <f t="shared" si="76"/>
        <v>0</v>
      </c>
      <c r="T231" s="1374"/>
      <c r="U231" s="1374"/>
      <c r="V231" s="1374"/>
      <c r="W231" s="1374"/>
      <c r="X231" s="1374"/>
      <c r="Z231" s="1375"/>
      <c r="AA231" s="1375"/>
      <c r="AB231" s="1375"/>
      <c r="AC231" s="1375"/>
      <c r="AD231" s="1375"/>
      <c r="AK231" s="1354">
        <f t="shared" si="71"/>
        <v>0</v>
      </c>
      <c r="AL231" s="1352">
        <f t="shared" si="77"/>
        <v>42</v>
      </c>
      <c r="AM231" s="1354">
        <f t="shared" si="72"/>
        <v>0</v>
      </c>
      <c r="AN231" s="1352" t="str">
        <f t="shared" si="73"/>
        <v>Human Resources (Personnel)</v>
      </c>
    </row>
    <row r="232" spans="1:40" x14ac:dyDescent="0.2">
      <c r="A232" s="1324" t="s">
        <v>5105</v>
      </c>
      <c r="B232" s="1324" t="s">
        <v>5582</v>
      </c>
      <c r="C232" s="1353">
        <f t="shared" si="74"/>
        <v>6900</v>
      </c>
      <c r="D232" s="1353">
        <f t="shared" si="74"/>
        <v>7700</v>
      </c>
      <c r="E232" s="1351">
        <f t="shared" si="75"/>
        <v>0.11594202898550732</v>
      </c>
      <c r="F232" s="1353">
        <f t="shared" si="76"/>
        <v>7854</v>
      </c>
      <c r="G232" s="1353">
        <f t="shared" si="76"/>
        <v>8011.08</v>
      </c>
      <c r="H232" s="1353">
        <f t="shared" si="76"/>
        <v>8171.3015999999998</v>
      </c>
      <c r="I232" s="1353">
        <f t="shared" si="76"/>
        <v>8334.7276320000001</v>
      </c>
      <c r="J232" s="1353">
        <f t="shared" si="76"/>
        <v>8501.4221846399996</v>
      </c>
      <c r="T232" s="1374"/>
      <c r="U232" s="1374"/>
      <c r="V232" s="1374"/>
      <c r="W232" s="1374"/>
      <c r="X232" s="1374"/>
      <c r="Z232" s="1375"/>
      <c r="AA232" s="1375"/>
      <c r="AB232" s="1375"/>
      <c r="AC232" s="1375"/>
      <c r="AD232" s="1375"/>
      <c r="AK232" s="1354">
        <f t="shared" si="71"/>
        <v>55472.531416640006</v>
      </c>
      <c r="AL232" s="1352">
        <f t="shared" si="77"/>
        <v>15</v>
      </c>
      <c r="AM232" s="1354">
        <f t="shared" si="72"/>
        <v>801.42218463999961</v>
      </c>
      <c r="AN232" s="1352" t="str">
        <f t="shared" si="73"/>
        <v>Mayor/Governing Body</v>
      </c>
    </row>
    <row r="233" spans="1:40" x14ac:dyDescent="0.2">
      <c r="A233" s="1324" t="s">
        <v>5108</v>
      </c>
      <c r="B233" s="1324" t="s">
        <v>5583</v>
      </c>
      <c r="C233" s="1353">
        <f t="shared" si="74"/>
        <v>11911.1</v>
      </c>
      <c r="D233" s="1353">
        <f t="shared" si="74"/>
        <v>18835</v>
      </c>
      <c r="E233" s="1351">
        <f t="shared" si="75"/>
        <v>0.58129811688257171</v>
      </c>
      <c r="F233" s="1353">
        <f t="shared" si="76"/>
        <v>19211.7</v>
      </c>
      <c r="G233" s="1353">
        <f t="shared" si="76"/>
        <v>19595.934000000001</v>
      </c>
      <c r="H233" s="1353">
        <f t="shared" si="76"/>
        <v>19987.852680000004</v>
      </c>
      <c r="I233" s="1353">
        <f t="shared" si="76"/>
        <v>20387.609733600002</v>
      </c>
      <c r="J233" s="1353">
        <f t="shared" si="76"/>
        <v>20795.361928272003</v>
      </c>
      <c r="T233" s="1374"/>
      <c r="U233" s="1374"/>
      <c r="V233" s="1374"/>
      <c r="W233" s="1374"/>
      <c r="X233" s="1374"/>
      <c r="Z233" s="1375"/>
      <c r="AA233" s="1375"/>
      <c r="AB233" s="1375"/>
      <c r="AC233" s="1375"/>
      <c r="AD233" s="1375"/>
      <c r="AK233" s="1354">
        <f t="shared" si="71"/>
        <v>130724.55834187201</v>
      </c>
      <c r="AL233" s="1352">
        <f t="shared" si="77"/>
        <v>8</v>
      </c>
      <c r="AM233" s="1354">
        <f t="shared" si="72"/>
        <v>1960.3619282720028</v>
      </c>
      <c r="AN233" s="1352" t="str">
        <f t="shared" si="73"/>
        <v>Municipal or County Clerk</v>
      </c>
    </row>
    <row r="234" spans="1:40" x14ac:dyDescent="0.2">
      <c r="A234" s="1324" t="s">
        <v>5111</v>
      </c>
      <c r="B234" s="1324" t="s">
        <v>5467</v>
      </c>
      <c r="C234" s="1353">
        <f t="shared" si="74"/>
        <v>12743.92</v>
      </c>
      <c r="D234" s="1353">
        <f t="shared" si="74"/>
        <v>15399</v>
      </c>
      <c r="E234" s="1351">
        <f t="shared" si="75"/>
        <v>0.20834091864983462</v>
      </c>
      <c r="F234" s="1353">
        <f t="shared" si="76"/>
        <v>15706.98</v>
      </c>
      <c r="G234" s="1353">
        <f t="shared" si="76"/>
        <v>16021.1196</v>
      </c>
      <c r="H234" s="1353">
        <f t="shared" si="76"/>
        <v>16341.541992</v>
      </c>
      <c r="I234" s="1353">
        <f t="shared" si="76"/>
        <v>16668.372831839999</v>
      </c>
      <c r="J234" s="1353">
        <f t="shared" si="76"/>
        <v>17001.740288476802</v>
      </c>
      <c r="T234" s="1374"/>
      <c r="U234" s="1374"/>
      <c r="V234" s="1374"/>
      <c r="W234" s="1374"/>
      <c r="X234" s="1374"/>
      <c r="Z234" s="1375"/>
      <c r="AA234" s="1375"/>
      <c r="AB234" s="1375"/>
      <c r="AC234" s="1375"/>
      <c r="AD234" s="1375"/>
      <c r="AK234" s="1354">
        <f t="shared" si="71"/>
        <v>109882.6747123168</v>
      </c>
      <c r="AL234" s="1352">
        <f t="shared" si="77"/>
        <v>10</v>
      </c>
      <c r="AM234" s="1354">
        <f t="shared" si="72"/>
        <v>1602.7402884768017</v>
      </c>
      <c r="AN234" s="1352" t="str">
        <f t="shared" si="73"/>
        <v>Financial Administration (Treasury)</v>
      </c>
    </row>
    <row r="235" spans="1:40" x14ac:dyDescent="0.2">
      <c r="A235" s="1324" t="s">
        <v>5114</v>
      </c>
      <c r="B235" s="1324" t="s">
        <v>5468</v>
      </c>
      <c r="C235" s="1353">
        <f t="shared" si="74"/>
        <v>20175</v>
      </c>
      <c r="D235" s="1353">
        <f t="shared" si="74"/>
        <v>20600</v>
      </c>
      <c r="E235" s="1351">
        <f t="shared" si="75"/>
        <v>2.1065675340768308E-2</v>
      </c>
      <c r="F235" s="1353">
        <f t="shared" si="76"/>
        <v>21012</v>
      </c>
      <c r="G235" s="1353">
        <f t="shared" si="76"/>
        <v>21432.240000000002</v>
      </c>
      <c r="H235" s="1353">
        <f t="shared" si="76"/>
        <v>21860.884800000003</v>
      </c>
      <c r="I235" s="1353">
        <f t="shared" si="76"/>
        <v>22298.102496000003</v>
      </c>
      <c r="J235" s="1353">
        <f t="shared" si="76"/>
        <v>22744.064545920002</v>
      </c>
      <c r="T235" s="1374"/>
      <c r="U235" s="1374"/>
      <c r="V235" s="1374"/>
      <c r="W235" s="1374"/>
      <c r="X235" s="1374"/>
      <c r="Z235" s="1375"/>
      <c r="AA235" s="1375"/>
      <c r="AB235" s="1375"/>
      <c r="AC235" s="1375"/>
      <c r="AD235" s="1375"/>
      <c r="AK235" s="1354">
        <f t="shared" si="71"/>
        <v>150122.29184192</v>
      </c>
      <c r="AL235" s="1352">
        <f t="shared" si="77"/>
        <v>5</v>
      </c>
      <c r="AM235" s="1354">
        <f t="shared" si="72"/>
        <v>2144.0645459200023</v>
      </c>
      <c r="AN235" s="1352" t="str">
        <f t="shared" si="73"/>
        <v>Audit Services</v>
      </c>
    </row>
    <row r="236" spans="1:40" x14ac:dyDescent="0.2">
      <c r="A236" s="1324" t="s">
        <v>5117</v>
      </c>
      <c r="B236" s="1324" t="s">
        <v>5469</v>
      </c>
      <c r="C236" s="1353">
        <f t="shared" si="74"/>
        <v>0</v>
      </c>
      <c r="D236" s="1353">
        <f t="shared" si="74"/>
        <v>0</v>
      </c>
      <c r="E236" s="1351">
        <f t="shared" si="75"/>
        <v>0</v>
      </c>
      <c r="F236" s="1353">
        <f t="shared" ref="F236:J243" si="78">SUMIF($A$504:$A$1172,$A236,F$504:F$1172)</f>
        <v>0</v>
      </c>
      <c r="G236" s="1353">
        <f t="shared" si="78"/>
        <v>0</v>
      </c>
      <c r="H236" s="1353">
        <f t="shared" si="78"/>
        <v>0</v>
      </c>
      <c r="I236" s="1353">
        <f t="shared" si="78"/>
        <v>0</v>
      </c>
      <c r="J236" s="1353">
        <f t="shared" si="78"/>
        <v>0</v>
      </c>
      <c r="T236" s="1374"/>
      <c r="U236" s="1374"/>
      <c r="V236" s="1374"/>
      <c r="W236" s="1374"/>
      <c r="X236" s="1374"/>
      <c r="Z236" s="1375"/>
      <c r="AA236" s="1375"/>
      <c r="AB236" s="1375"/>
      <c r="AC236" s="1375"/>
      <c r="AD236" s="1375"/>
      <c r="AK236" s="1354">
        <f t="shared" si="71"/>
        <v>0</v>
      </c>
      <c r="AL236" s="1352">
        <f t="shared" si="77"/>
        <v>42</v>
      </c>
      <c r="AM236" s="1354">
        <f t="shared" si="72"/>
        <v>0</v>
      </c>
      <c r="AN236" s="1352" t="str">
        <f t="shared" si="73"/>
        <v>Computerized Data Processing</v>
      </c>
    </row>
    <row r="237" spans="1:40" x14ac:dyDescent="0.2">
      <c r="A237" s="1324" t="s">
        <v>5120</v>
      </c>
      <c r="B237" s="1324" t="s">
        <v>5470</v>
      </c>
      <c r="C237" s="1353">
        <f t="shared" si="74"/>
        <v>9528</v>
      </c>
      <c r="D237" s="1353">
        <f t="shared" si="74"/>
        <v>15239.119999999999</v>
      </c>
      <c r="E237" s="1351">
        <f t="shared" si="75"/>
        <v>0.59940386230058773</v>
      </c>
      <c r="F237" s="1353">
        <f t="shared" si="78"/>
        <v>15543.902399999999</v>
      </c>
      <c r="G237" s="1353">
        <f t="shared" si="78"/>
        <v>15854.780448000001</v>
      </c>
      <c r="H237" s="1353">
        <f t="shared" si="78"/>
        <v>16171.876056960002</v>
      </c>
      <c r="I237" s="1353">
        <f t="shared" si="78"/>
        <v>16495.313578099202</v>
      </c>
      <c r="J237" s="1353">
        <f t="shared" si="78"/>
        <v>16825.219849661185</v>
      </c>
      <c r="T237" s="1374"/>
      <c r="U237" s="1374"/>
      <c r="V237" s="1374"/>
      <c r="W237" s="1374"/>
      <c r="X237" s="1374"/>
      <c r="Z237" s="1375"/>
      <c r="AA237" s="1375"/>
      <c r="AB237" s="1375"/>
      <c r="AC237" s="1375"/>
      <c r="AD237" s="1375"/>
      <c r="AK237" s="1354">
        <f t="shared" si="71"/>
        <v>105658.21233272039</v>
      </c>
      <c r="AL237" s="1352">
        <f t="shared" si="77"/>
        <v>11</v>
      </c>
      <c r="AM237" s="1354">
        <f t="shared" si="72"/>
        <v>1586.0998496611865</v>
      </c>
      <c r="AN237" s="1352" t="str">
        <f t="shared" si="73"/>
        <v>Revenue Administration (Tax Collection)</v>
      </c>
    </row>
    <row r="238" spans="1:40" x14ac:dyDescent="0.2">
      <c r="A238" s="1324" t="s">
        <v>5066</v>
      </c>
      <c r="B238" s="1324" t="s">
        <v>5584</v>
      </c>
      <c r="C238" s="1353">
        <f t="shared" si="74"/>
        <v>10305.5</v>
      </c>
      <c r="D238" s="1353">
        <f t="shared" si="74"/>
        <v>10618</v>
      </c>
      <c r="E238" s="1351">
        <f t="shared" si="75"/>
        <v>3.0323613604386068E-2</v>
      </c>
      <c r="F238" s="1353">
        <f t="shared" si="78"/>
        <v>10830.36</v>
      </c>
      <c r="G238" s="1353">
        <f t="shared" si="78"/>
        <v>11046.967199999999</v>
      </c>
      <c r="H238" s="1353">
        <f t="shared" si="78"/>
        <v>11267.906544000001</v>
      </c>
      <c r="I238" s="1353">
        <f t="shared" si="78"/>
        <v>11493.26467488</v>
      </c>
      <c r="J238" s="1353">
        <f t="shared" si="78"/>
        <v>11723.129968377601</v>
      </c>
      <c r="T238" s="1374"/>
      <c r="U238" s="1374"/>
      <c r="V238" s="1374"/>
      <c r="W238" s="1374"/>
      <c r="X238" s="1374"/>
      <c r="Z238" s="1375"/>
      <c r="AA238" s="1375"/>
      <c r="AB238" s="1375"/>
      <c r="AC238" s="1375"/>
      <c r="AD238" s="1375"/>
      <c r="AK238" s="1354">
        <f t="shared" si="71"/>
        <v>77285.128387257602</v>
      </c>
      <c r="AL238" s="1352">
        <f t="shared" si="77"/>
        <v>12</v>
      </c>
      <c r="AM238" s="1354">
        <f t="shared" si="72"/>
        <v>1105.1299683776015</v>
      </c>
      <c r="AN238" s="1352" t="str">
        <f t="shared" si="73"/>
        <v>Tax Appeals/Tax Assessment Administration</v>
      </c>
    </row>
    <row r="239" spans="1:40" x14ac:dyDescent="0.2">
      <c r="A239" s="1324" t="s">
        <v>5125</v>
      </c>
      <c r="B239" s="1324" t="s">
        <v>5471</v>
      </c>
      <c r="C239" s="1353">
        <f t="shared" si="74"/>
        <v>18736.669999999998</v>
      </c>
      <c r="D239" s="1353">
        <f t="shared" si="74"/>
        <v>27060.799999999999</v>
      </c>
      <c r="E239" s="1351">
        <f t="shared" si="75"/>
        <v>0.44426944595811335</v>
      </c>
      <c r="F239" s="1353">
        <f t="shared" si="78"/>
        <v>27602.016</v>
      </c>
      <c r="G239" s="1353">
        <f t="shared" si="78"/>
        <v>28154.05632</v>
      </c>
      <c r="H239" s="1353">
        <f t="shared" si="78"/>
        <v>28717.1374464</v>
      </c>
      <c r="I239" s="1353">
        <f t="shared" si="78"/>
        <v>29291.480195328</v>
      </c>
      <c r="J239" s="1353">
        <f t="shared" si="78"/>
        <v>29877.309799234561</v>
      </c>
      <c r="T239" s="1374"/>
      <c r="U239" s="1374"/>
      <c r="V239" s="1374"/>
      <c r="W239" s="1374"/>
      <c r="X239" s="1374"/>
      <c r="Z239" s="1375"/>
      <c r="AA239" s="1375"/>
      <c r="AB239" s="1375"/>
      <c r="AC239" s="1375"/>
      <c r="AD239" s="1375"/>
      <c r="AK239" s="1354">
        <f t="shared" si="71"/>
        <v>189439.46976096256</v>
      </c>
      <c r="AL239" s="1352">
        <f t="shared" si="77"/>
        <v>3</v>
      </c>
      <c r="AM239" s="1354">
        <f t="shared" si="72"/>
        <v>2816.5097992345618</v>
      </c>
      <c r="AN239" s="1352" t="str">
        <f t="shared" si="73"/>
        <v>Legal Services (Legal Dept.)</v>
      </c>
    </row>
    <row r="240" spans="1:40" x14ac:dyDescent="0.2">
      <c r="A240" s="1324" t="s">
        <v>5128</v>
      </c>
      <c r="B240" s="1324" t="s">
        <v>5472</v>
      </c>
      <c r="C240" s="1353">
        <f t="shared" si="74"/>
        <v>0</v>
      </c>
      <c r="D240" s="1353">
        <f t="shared" si="74"/>
        <v>0</v>
      </c>
      <c r="E240" s="1351">
        <f t="shared" si="75"/>
        <v>0</v>
      </c>
      <c r="F240" s="1353">
        <f t="shared" si="78"/>
        <v>0</v>
      </c>
      <c r="G240" s="1353">
        <f t="shared" si="78"/>
        <v>0</v>
      </c>
      <c r="H240" s="1353">
        <f t="shared" si="78"/>
        <v>0</v>
      </c>
      <c r="I240" s="1353">
        <f t="shared" si="78"/>
        <v>0</v>
      </c>
      <c r="J240" s="1353">
        <f t="shared" si="78"/>
        <v>0</v>
      </c>
      <c r="T240" s="1374"/>
      <c r="U240" s="1374"/>
      <c r="V240" s="1374"/>
      <c r="W240" s="1374"/>
      <c r="X240" s="1374"/>
      <c r="Z240" s="1375"/>
      <c r="AA240" s="1375"/>
      <c r="AB240" s="1375"/>
      <c r="AC240" s="1375"/>
      <c r="AD240" s="1375"/>
      <c r="AK240" s="1354">
        <f t="shared" si="71"/>
        <v>0</v>
      </c>
      <c r="AL240" s="1352">
        <f t="shared" si="77"/>
        <v>42</v>
      </c>
      <c r="AM240" s="1354">
        <f t="shared" si="72"/>
        <v>0</v>
      </c>
      <c r="AN240" s="1352" t="str">
        <f t="shared" si="73"/>
        <v>County Surrogate's Office</v>
      </c>
    </row>
    <row r="241" spans="1:40" x14ac:dyDescent="0.2">
      <c r="A241" s="1324" t="s">
        <v>5130</v>
      </c>
      <c r="B241" s="1324" t="s">
        <v>5473</v>
      </c>
      <c r="C241" s="1353">
        <f t="shared" si="74"/>
        <v>1620.3</v>
      </c>
      <c r="D241" s="1353">
        <f t="shared" si="74"/>
        <v>4161.6000000000004</v>
      </c>
      <c r="E241" s="1351">
        <f t="shared" si="75"/>
        <v>1.5684132568042957</v>
      </c>
      <c r="F241" s="1353">
        <f t="shared" si="78"/>
        <v>4244.8320000000003</v>
      </c>
      <c r="G241" s="1353">
        <f t="shared" si="78"/>
        <v>4329.7286400000003</v>
      </c>
      <c r="H241" s="1353">
        <f t="shared" si="78"/>
        <v>4416.3232128</v>
      </c>
      <c r="I241" s="1353">
        <f t="shared" si="78"/>
        <v>4504.6496770559997</v>
      </c>
      <c r="J241" s="1353">
        <f t="shared" si="78"/>
        <v>4594.7426705971202</v>
      </c>
      <c r="T241" s="1374"/>
      <c r="U241" s="1374"/>
      <c r="V241" s="1374"/>
      <c r="W241" s="1374"/>
      <c r="X241" s="1374"/>
      <c r="Z241" s="1375"/>
      <c r="AA241" s="1375"/>
      <c r="AB241" s="1375"/>
      <c r="AC241" s="1375"/>
      <c r="AD241" s="1375"/>
      <c r="AK241" s="1354">
        <f t="shared" si="71"/>
        <v>27872.176200453119</v>
      </c>
      <c r="AL241" s="1352">
        <f t="shared" si="77"/>
        <v>28</v>
      </c>
      <c r="AM241" s="1354">
        <f t="shared" si="72"/>
        <v>433.14267059711983</v>
      </c>
      <c r="AN241" s="1352" t="str">
        <f t="shared" si="73"/>
        <v>Engineering Services</v>
      </c>
    </row>
    <row r="242" spans="1:40" x14ac:dyDescent="0.2">
      <c r="A242" s="1324" t="s">
        <v>5132</v>
      </c>
      <c r="B242" s="1324" t="s">
        <v>5474</v>
      </c>
      <c r="C242" s="1353">
        <f t="shared" si="74"/>
        <v>0</v>
      </c>
      <c r="D242" s="1353">
        <f t="shared" si="74"/>
        <v>100</v>
      </c>
      <c r="E242" s="1351">
        <f t="shared" si="75"/>
        <v>0</v>
      </c>
      <c r="F242" s="1353">
        <f t="shared" si="78"/>
        <v>102</v>
      </c>
      <c r="G242" s="1353">
        <f t="shared" si="78"/>
        <v>104.04</v>
      </c>
      <c r="H242" s="1353">
        <f t="shared" si="78"/>
        <v>106.1208</v>
      </c>
      <c r="I242" s="1353">
        <f t="shared" si="78"/>
        <v>108.243216</v>
      </c>
      <c r="J242" s="1353">
        <f t="shared" si="78"/>
        <v>110.40808032000001</v>
      </c>
      <c r="T242" s="1374"/>
      <c r="U242" s="1374"/>
      <c r="V242" s="1374"/>
      <c r="W242" s="1374"/>
      <c r="X242" s="1374"/>
      <c r="Z242" s="1375"/>
      <c r="AA242" s="1375"/>
      <c r="AB242" s="1375"/>
      <c r="AC242" s="1375"/>
      <c r="AD242" s="1375"/>
      <c r="AK242" s="1354">
        <f t="shared" si="71"/>
        <v>630.81209631999991</v>
      </c>
      <c r="AL242" s="1352">
        <f t="shared" si="77"/>
        <v>36</v>
      </c>
      <c r="AM242" s="1354">
        <f t="shared" si="72"/>
        <v>10.40808032000001</v>
      </c>
      <c r="AN242" s="1352" t="str">
        <f t="shared" si="73"/>
        <v>Economic Development Agencies</v>
      </c>
    </row>
    <row r="243" spans="1:40" x14ac:dyDescent="0.2">
      <c r="A243" s="1324" t="s">
        <v>5134</v>
      </c>
      <c r="B243" s="1324" t="s">
        <v>5475</v>
      </c>
      <c r="C243" s="1353">
        <f t="shared" si="74"/>
        <v>0</v>
      </c>
      <c r="D243" s="1353">
        <f t="shared" si="74"/>
        <v>0</v>
      </c>
      <c r="E243" s="1351">
        <f t="shared" si="75"/>
        <v>0</v>
      </c>
      <c r="F243" s="1353">
        <f t="shared" si="78"/>
        <v>0</v>
      </c>
      <c r="G243" s="1353">
        <f t="shared" si="78"/>
        <v>0</v>
      </c>
      <c r="H243" s="1353">
        <f t="shared" si="78"/>
        <v>0</v>
      </c>
      <c r="I243" s="1353">
        <f t="shared" si="78"/>
        <v>0</v>
      </c>
      <c r="J243" s="1353">
        <f t="shared" si="78"/>
        <v>0</v>
      </c>
      <c r="T243" s="1374"/>
      <c r="U243" s="1374"/>
      <c r="V243" s="1374"/>
      <c r="W243" s="1374"/>
      <c r="X243" s="1374"/>
      <c r="Z243" s="1375"/>
      <c r="AA243" s="1375"/>
      <c r="AB243" s="1375"/>
      <c r="AC243" s="1375"/>
      <c r="AD243" s="1375"/>
      <c r="AK243" s="1354">
        <f t="shared" si="71"/>
        <v>0</v>
      </c>
      <c r="AL243" s="1352">
        <f t="shared" si="77"/>
        <v>42</v>
      </c>
      <c r="AM243" s="1354">
        <f t="shared" si="72"/>
        <v>0</v>
      </c>
      <c r="AN243" s="1352" t="str">
        <f t="shared" si="73"/>
        <v>Historical Sites Office</v>
      </c>
    </row>
    <row r="244" spans="1:40" x14ac:dyDescent="0.2">
      <c r="B244" s="1373" t="str">
        <f>"Total- "&amp;A225</f>
        <v>Total- General Government</v>
      </c>
      <c r="C244" s="1360">
        <f>SUM(C226:C243)</f>
        <v>91920.489999999991</v>
      </c>
      <c r="D244" s="1360">
        <f>SUM(D226:D243)</f>
        <v>119813.52</v>
      </c>
      <c r="E244" s="1356">
        <f t="shared" si="75"/>
        <v>0.30344735977799964</v>
      </c>
      <c r="F244" s="1360">
        <f>SUM(F226:F243)</f>
        <v>122209.7904</v>
      </c>
      <c r="G244" s="1360">
        <f>SUM(G226:G243)</f>
        <v>124653.986208</v>
      </c>
      <c r="H244" s="1360">
        <f>SUM(H226:H243)</f>
        <v>127147.06593216</v>
      </c>
      <c r="I244" s="1360">
        <f>SUM(I226:I243)</f>
        <v>129690.00725080322</v>
      </c>
      <c r="J244" s="1360">
        <f>SUM(J226:J243)</f>
        <v>132283.80739581925</v>
      </c>
      <c r="T244" s="1374"/>
      <c r="U244" s="1374"/>
      <c r="V244" s="1374"/>
      <c r="W244" s="1374"/>
      <c r="X244" s="1374"/>
      <c r="Z244" s="1375"/>
      <c r="AA244" s="1375"/>
      <c r="AB244" s="1375"/>
      <c r="AC244" s="1375"/>
      <c r="AD244" s="1375"/>
      <c r="AK244" s="1354"/>
      <c r="AL244" s="1352"/>
      <c r="AM244" s="1354"/>
      <c r="AN244" s="1352"/>
    </row>
    <row r="245" spans="1:40" x14ac:dyDescent="0.2">
      <c r="E245" s="1351"/>
      <c r="T245" s="1374"/>
      <c r="U245" s="1374"/>
      <c r="V245" s="1374"/>
      <c r="W245" s="1374"/>
      <c r="X245" s="1374"/>
      <c r="Z245" s="1375"/>
      <c r="AA245" s="1375"/>
      <c r="AB245" s="1375"/>
      <c r="AC245" s="1375"/>
      <c r="AD245" s="1375"/>
      <c r="AK245" s="1354"/>
      <c r="AL245" s="1352"/>
      <c r="AM245" s="1354"/>
      <c r="AN245" s="1352"/>
    </row>
    <row r="246" spans="1:40" x14ac:dyDescent="0.2">
      <c r="A246" s="1364" t="s">
        <v>5440</v>
      </c>
      <c r="B246" s="1365"/>
      <c r="C246" s="1364"/>
      <c r="D246" s="1364"/>
      <c r="E246" s="1366"/>
      <c r="F246" s="1364"/>
      <c r="G246" s="1364"/>
      <c r="H246" s="1364"/>
      <c r="I246" s="1364"/>
      <c r="J246" s="1364"/>
      <c r="T246" s="1374"/>
      <c r="U246" s="1374"/>
      <c r="V246" s="1374"/>
      <c r="W246" s="1374"/>
      <c r="X246" s="1374"/>
      <c r="Z246" s="1375"/>
      <c r="AA246" s="1375"/>
      <c r="AB246" s="1375"/>
      <c r="AC246" s="1375"/>
      <c r="AD246" s="1375"/>
      <c r="AK246" s="1354"/>
      <c r="AL246" s="1352"/>
      <c r="AM246" s="1354"/>
      <c r="AN246" s="1352"/>
    </row>
    <row r="247" spans="1:40" x14ac:dyDescent="0.2">
      <c r="A247" s="1324" t="s">
        <v>5136</v>
      </c>
      <c r="B247" s="1324" t="s">
        <v>5477</v>
      </c>
      <c r="C247" s="1353">
        <f t="shared" ref="C247:D254" si="79">SUMIF($A$504:$A$1172,$A247,C$504:C$1172)</f>
        <v>6339.12</v>
      </c>
      <c r="D247" s="1353">
        <f t="shared" si="79"/>
        <v>6458</v>
      </c>
      <c r="E247" s="1351">
        <f t="shared" ref="E247:E255" si="80">IFERROR(D247/C247-1,0)</f>
        <v>1.8753391637956085E-2</v>
      </c>
      <c r="F247" s="1353">
        <f t="shared" ref="F247:J254" si="81">SUMIF($A$504:$A$1172,$A247,F$504:F$1172)</f>
        <v>6587.16</v>
      </c>
      <c r="G247" s="1353">
        <f t="shared" si="81"/>
        <v>6718.9032000000007</v>
      </c>
      <c r="H247" s="1353">
        <f t="shared" si="81"/>
        <v>6853.2812640000002</v>
      </c>
      <c r="I247" s="1353">
        <f t="shared" si="81"/>
        <v>6990.3468892800001</v>
      </c>
      <c r="J247" s="1353">
        <f t="shared" si="81"/>
        <v>7130.1538270656001</v>
      </c>
      <c r="T247" s="1374"/>
      <c r="U247" s="1374"/>
      <c r="V247" s="1374"/>
      <c r="W247" s="1374"/>
      <c r="X247" s="1374"/>
      <c r="Z247" s="1375"/>
      <c r="AA247" s="1375"/>
      <c r="AB247" s="1375"/>
      <c r="AC247" s="1375"/>
      <c r="AD247" s="1375"/>
      <c r="AK247" s="1354">
        <f t="shared" si="71"/>
        <v>47076.9651803456</v>
      </c>
      <c r="AL247" s="1352">
        <f>RANK(AM247,$AM$226:$AM$494,0)</f>
        <v>18</v>
      </c>
      <c r="AM247" s="1354">
        <f t="shared" si="72"/>
        <v>672.15382706560013</v>
      </c>
      <c r="AN247" s="1352" t="str">
        <f t="shared" si="73"/>
        <v>Planning Board</v>
      </c>
    </row>
    <row r="248" spans="1:40" x14ac:dyDescent="0.2">
      <c r="A248" s="1324" t="s">
        <v>5138</v>
      </c>
      <c r="B248" s="1324" t="s">
        <v>5478</v>
      </c>
      <c r="C248" s="1353">
        <f t="shared" si="79"/>
        <v>0</v>
      </c>
      <c r="D248" s="1353">
        <f t="shared" si="79"/>
        <v>208.08</v>
      </c>
      <c r="E248" s="1351">
        <f t="shared" si="80"/>
        <v>0</v>
      </c>
      <c r="F248" s="1353">
        <f t="shared" si="81"/>
        <v>212.24160000000001</v>
      </c>
      <c r="G248" s="1353">
        <f t="shared" si="81"/>
        <v>216.48643200000001</v>
      </c>
      <c r="H248" s="1353">
        <f t="shared" si="81"/>
        <v>220.81616064000002</v>
      </c>
      <c r="I248" s="1353">
        <f t="shared" si="81"/>
        <v>225.23248385280002</v>
      </c>
      <c r="J248" s="1353">
        <f t="shared" si="81"/>
        <v>229.73713352985601</v>
      </c>
      <c r="T248" s="1374"/>
      <c r="U248" s="1374"/>
      <c r="V248" s="1374"/>
      <c r="W248" s="1374"/>
      <c r="X248" s="1374"/>
      <c r="Z248" s="1375"/>
      <c r="AA248" s="1375"/>
      <c r="AB248" s="1375"/>
      <c r="AC248" s="1375"/>
      <c r="AD248" s="1375"/>
      <c r="AK248" s="1354">
        <f t="shared" si="71"/>
        <v>1312.593810022656</v>
      </c>
      <c r="AL248" s="1352">
        <f t="shared" ref="AL248:AL311" si="82">RANK(AM248,$AM$226:$AM$494,0)</f>
        <v>34</v>
      </c>
      <c r="AM248" s="1354">
        <f t="shared" si="72"/>
        <v>21.657133529855997</v>
      </c>
      <c r="AN248" s="1352" t="str">
        <f t="shared" si="73"/>
        <v>"User Defined" Land Use</v>
      </c>
    </row>
    <row r="249" spans="1:40" x14ac:dyDescent="0.2">
      <c r="A249" s="1324" t="s">
        <v>5140</v>
      </c>
      <c r="B249" s="1324" t="s">
        <v>5478</v>
      </c>
      <c r="C249" s="1353">
        <f t="shared" si="79"/>
        <v>0</v>
      </c>
      <c r="D249" s="1353">
        <f t="shared" si="79"/>
        <v>0</v>
      </c>
      <c r="E249" s="1351">
        <f t="shared" si="80"/>
        <v>0</v>
      </c>
      <c r="F249" s="1353">
        <f t="shared" si="81"/>
        <v>0</v>
      </c>
      <c r="G249" s="1353">
        <f t="shared" si="81"/>
        <v>0</v>
      </c>
      <c r="H249" s="1353">
        <f t="shared" si="81"/>
        <v>0</v>
      </c>
      <c r="I249" s="1353">
        <f t="shared" si="81"/>
        <v>0</v>
      </c>
      <c r="J249" s="1353">
        <f t="shared" si="81"/>
        <v>0</v>
      </c>
      <c r="T249" s="1374"/>
      <c r="U249" s="1374"/>
      <c r="V249" s="1374"/>
      <c r="W249" s="1374"/>
      <c r="X249" s="1374"/>
      <c r="Z249" s="1375"/>
      <c r="AA249" s="1375"/>
      <c r="AB249" s="1375"/>
      <c r="AC249" s="1375"/>
      <c r="AD249" s="1375"/>
      <c r="AK249" s="1354">
        <f t="shared" si="71"/>
        <v>0</v>
      </c>
      <c r="AL249" s="1352">
        <f t="shared" si="82"/>
        <v>42</v>
      </c>
      <c r="AM249" s="1354">
        <f t="shared" si="72"/>
        <v>0</v>
      </c>
      <c r="AN249" s="1352" t="str">
        <f t="shared" si="73"/>
        <v>"User Defined" Land Use</v>
      </c>
    </row>
    <row r="250" spans="1:40" x14ac:dyDescent="0.2">
      <c r="A250" s="1324" t="s">
        <v>5142</v>
      </c>
      <c r="B250" s="1324" t="s">
        <v>5478</v>
      </c>
      <c r="C250" s="1353">
        <f t="shared" si="79"/>
        <v>0</v>
      </c>
      <c r="D250" s="1353">
        <f t="shared" si="79"/>
        <v>0</v>
      </c>
      <c r="E250" s="1351">
        <f t="shared" si="80"/>
        <v>0</v>
      </c>
      <c r="F250" s="1353">
        <f t="shared" si="81"/>
        <v>0</v>
      </c>
      <c r="G250" s="1353">
        <f t="shared" si="81"/>
        <v>0</v>
      </c>
      <c r="H250" s="1353">
        <f t="shared" si="81"/>
        <v>0</v>
      </c>
      <c r="I250" s="1353">
        <f t="shared" si="81"/>
        <v>0</v>
      </c>
      <c r="J250" s="1353">
        <f t="shared" si="81"/>
        <v>0</v>
      </c>
      <c r="T250" s="1374"/>
      <c r="U250" s="1374"/>
      <c r="V250" s="1374"/>
      <c r="W250" s="1374"/>
      <c r="X250" s="1374"/>
      <c r="Z250" s="1375"/>
      <c r="AA250" s="1375"/>
      <c r="AB250" s="1375"/>
      <c r="AC250" s="1375"/>
      <c r="AD250" s="1375"/>
      <c r="AK250" s="1354">
        <f t="shared" si="71"/>
        <v>0</v>
      </c>
      <c r="AL250" s="1352">
        <f t="shared" si="82"/>
        <v>42</v>
      </c>
      <c r="AM250" s="1354">
        <f t="shared" si="72"/>
        <v>0</v>
      </c>
      <c r="AN250" s="1352" t="str">
        <f t="shared" si="73"/>
        <v>"User Defined" Land Use</v>
      </c>
    </row>
    <row r="251" spans="1:40" x14ac:dyDescent="0.2">
      <c r="A251" s="1324" t="s">
        <v>5144</v>
      </c>
      <c r="B251" s="1324" t="s">
        <v>5478</v>
      </c>
      <c r="C251" s="1353">
        <f t="shared" si="79"/>
        <v>0</v>
      </c>
      <c r="D251" s="1353">
        <f t="shared" si="79"/>
        <v>0</v>
      </c>
      <c r="E251" s="1351">
        <f t="shared" si="80"/>
        <v>0</v>
      </c>
      <c r="F251" s="1353">
        <f t="shared" si="81"/>
        <v>0</v>
      </c>
      <c r="G251" s="1353">
        <f t="shared" si="81"/>
        <v>0</v>
      </c>
      <c r="H251" s="1353">
        <f t="shared" si="81"/>
        <v>0</v>
      </c>
      <c r="I251" s="1353">
        <f t="shared" si="81"/>
        <v>0</v>
      </c>
      <c r="J251" s="1353">
        <f t="shared" si="81"/>
        <v>0</v>
      </c>
      <c r="T251" s="1374"/>
      <c r="U251" s="1374"/>
      <c r="V251" s="1374"/>
      <c r="W251" s="1374"/>
      <c r="X251" s="1374"/>
      <c r="Z251" s="1375"/>
      <c r="AA251" s="1375"/>
      <c r="AB251" s="1375"/>
      <c r="AC251" s="1375"/>
      <c r="AD251" s="1375"/>
      <c r="AK251" s="1354">
        <f t="shared" si="71"/>
        <v>0</v>
      </c>
      <c r="AL251" s="1352">
        <f t="shared" si="82"/>
        <v>42</v>
      </c>
      <c r="AM251" s="1354">
        <f t="shared" si="72"/>
        <v>0</v>
      </c>
      <c r="AN251" s="1352" t="str">
        <f t="shared" si="73"/>
        <v>"User Defined" Land Use</v>
      </c>
    </row>
    <row r="252" spans="1:40" x14ac:dyDescent="0.2">
      <c r="A252" s="1324" t="s">
        <v>5146</v>
      </c>
      <c r="B252" s="1324" t="s">
        <v>5479</v>
      </c>
      <c r="C252" s="1353">
        <f t="shared" si="79"/>
        <v>0</v>
      </c>
      <c r="D252" s="1353">
        <f t="shared" si="79"/>
        <v>5000</v>
      </c>
      <c r="E252" s="1351">
        <f t="shared" si="80"/>
        <v>0</v>
      </c>
      <c r="F252" s="1353">
        <f t="shared" si="81"/>
        <v>5100</v>
      </c>
      <c r="G252" s="1353">
        <f t="shared" si="81"/>
        <v>5202</v>
      </c>
      <c r="H252" s="1353">
        <f t="shared" si="81"/>
        <v>5306.04</v>
      </c>
      <c r="I252" s="1353">
        <f t="shared" si="81"/>
        <v>5412.1607999999997</v>
      </c>
      <c r="J252" s="1353">
        <f t="shared" si="81"/>
        <v>5520.4040159999995</v>
      </c>
      <c r="T252" s="1374"/>
      <c r="U252" s="1374"/>
      <c r="V252" s="1374"/>
      <c r="W252" s="1374"/>
      <c r="X252" s="1374"/>
      <c r="Z252" s="1375"/>
      <c r="AA252" s="1375"/>
      <c r="AB252" s="1375"/>
      <c r="AC252" s="1375"/>
      <c r="AD252" s="1375"/>
      <c r="AK252" s="1354">
        <f t="shared" si="71"/>
        <v>31540.604815999999</v>
      </c>
      <c r="AL252" s="1352">
        <f t="shared" si="82"/>
        <v>22</v>
      </c>
      <c r="AM252" s="1354">
        <f t="shared" si="72"/>
        <v>520.4040159999995</v>
      </c>
      <c r="AN252" s="1352" t="str">
        <f t="shared" si="73"/>
        <v>Zoning Board of Adjustment</v>
      </c>
    </row>
    <row r="253" spans="1:40" x14ac:dyDescent="0.2">
      <c r="A253" s="1324" t="s">
        <v>5148</v>
      </c>
      <c r="B253" s="1324" t="s">
        <v>5480</v>
      </c>
      <c r="C253" s="1353">
        <f t="shared" si="79"/>
        <v>0</v>
      </c>
      <c r="D253" s="1353">
        <f t="shared" si="79"/>
        <v>0</v>
      </c>
      <c r="E253" s="1351">
        <f t="shared" si="80"/>
        <v>0</v>
      </c>
      <c r="F253" s="1353">
        <f t="shared" si="81"/>
        <v>0</v>
      </c>
      <c r="G253" s="1353">
        <f t="shared" si="81"/>
        <v>0</v>
      </c>
      <c r="H253" s="1353">
        <f t="shared" si="81"/>
        <v>0</v>
      </c>
      <c r="I253" s="1353">
        <f t="shared" si="81"/>
        <v>0</v>
      </c>
      <c r="J253" s="1353">
        <f t="shared" si="81"/>
        <v>0</v>
      </c>
      <c r="T253" s="1374"/>
      <c r="U253" s="1374"/>
      <c r="V253" s="1374"/>
      <c r="W253" s="1374"/>
      <c r="X253" s="1374"/>
      <c r="Z253" s="1375"/>
      <c r="AA253" s="1375"/>
      <c r="AB253" s="1375"/>
      <c r="AC253" s="1375"/>
      <c r="AD253" s="1375"/>
      <c r="AK253" s="1354">
        <f t="shared" si="71"/>
        <v>0</v>
      </c>
      <c r="AL253" s="1352">
        <f t="shared" si="82"/>
        <v>42</v>
      </c>
      <c r="AM253" s="1354">
        <f t="shared" si="72"/>
        <v>0</v>
      </c>
      <c r="AN253" s="1352" t="str">
        <f t="shared" si="73"/>
        <v>Council on Affordable Housing (COAH) (Inside CAPS)</v>
      </c>
    </row>
    <row r="254" spans="1:40" x14ac:dyDescent="0.2">
      <c r="A254" s="1324" t="s">
        <v>5075</v>
      </c>
      <c r="B254" s="1324" t="s">
        <v>5481</v>
      </c>
      <c r="C254" s="1353">
        <f t="shared" si="79"/>
        <v>0</v>
      </c>
      <c r="D254" s="1353">
        <f t="shared" si="79"/>
        <v>0</v>
      </c>
      <c r="E254" s="1351">
        <f t="shared" si="80"/>
        <v>0</v>
      </c>
      <c r="F254" s="1353">
        <f t="shared" si="81"/>
        <v>0</v>
      </c>
      <c r="G254" s="1353">
        <f t="shared" si="81"/>
        <v>0</v>
      </c>
      <c r="H254" s="1353">
        <f t="shared" si="81"/>
        <v>0</v>
      </c>
      <c r="I254" s="1353">
        <f t="shared" si="81"/>
        <v>0</v>
      </c>
      <c r="J254" s="1353">
        <f t="shared" si="81"/>
        <v>0</v>
      </c>
      <c r="T254" s="1374"/>
      <c r="U254" s="1374"/>
      <c r="V254" s="1374"/>
      <c r="W254" s="1374"/>
      <c r="X254" s="1374"/>
      <c r="Z254" s="1375"/>
      <c r="AA254" s="1375"/>
      <c r="AB254" s="1375"/>
      <c r="AC254" s="1375"/>
      <c r="AD254" s="1375"/>
      <c r="AK254" s="1354">
        <f t="shared" si="71"/>
        <v>0</v>
      </c>
      <c r="AL254" s="1352">
        <f t="shared" si="82"/>
        <v>42</v>
      </c>
      <c r="AM254" s="1354">
        <f t="shared" si="72"/>
        <v>0</v>
      </c>
      <c r="AN254" s="1352" t="str">
        <f t="shared" si="73"/>
        <v>Council on Affordable Housing (COAH) (Outside CAPS)</v>
      </c>
    </row>
    <row r="255" spans="1:40" x14ac:dyDescent="0.2">
      <c r="B255" s="1373" t="str">
        <f>"Total- "&amp;A246</f>
        <v>Total- Land Use Administration</v>
      </c>
      <c r="C255" s="1360">
        <f>SUM(C247:C254)</f>
        <v>6339.12</v>
      </c>
      <c r="D255" s="1360">
        <f>SUM(D247:D254)</f>
        <v>11666.08</v>
      </c>
      <c r="E255" s="1356">
        <f t="shared" si="80"/>
        <v>0.84033115006499326</v>
      </c>
      <c r="F255" s="1360">
        <f>SUM(F247:F254)</f>
        <v>11899.401600000001</v>
      </c>
      <c r="G255" s="1360">
        <f>SUM(G247:G254)</f>
        <v>12137.389632</v>
      </c>
      <c r="H255" s="1360">
        <f>SUM(H247:H254)</f>
        <v>12380.137424640001</v>
      </c>
      <c r="I255" s="1360">
        <f>SUM(I247:I254)</f>
        <v>12627.740173132799</v>
      </c>
      <c r="J255" s="1360">
        <f>SUM(J247:J254)</f>
        <v>12880.294976595455</v>
      </c>
      <c r="T255" s="1374"/>
      <c r="U255" s="1374"/>
      <c r="V255" s="1374"/>
      <c r="W255" s="1374"/>
      <c r="X255" s="1374"/>
      <c r="Z255" s="1375"/>
      <c r="AA255" s="1375"/>
      <c r="AB255" s="1375"/>
      <c r="AC255" s="1375"/>
      <c r="AD255" s="1375"/>
      <c r="AK255" s="1354"/>
      <c r="AL255" s="1352"/>
      <c r="AM255" s="1354"/>
      <c r="AN255" s="1352"/>
    </row>
    <row r="256" spans="1:40" x14ac:dyDescent="0.2">
      <c r="E256" s="1351"/>
      <c r="T256" s="1374"/>
      <c r="U256" s="1374"/>
      <c r="V256" s="1374"/>
      <c r="W256" s="1374"/>
      <c r="X256" s="1374"/>
      <c r="Z256" s="1375"/>
      <c r="AA256" s="1375"/>
      <c r="AB256" s="1375"/>
      <c r="AC256" s="1375"/>
      <c r="AD256" s="1375"/>
      <c r="AK256" s="1354"/>
      <c r="AL256" s="1352"/>
      <c r="AM256" s="1354"/>
      <c r="AN256" s="1352"/>
    </row>
    <row r="257" spans="1:40" x14ac:dyDescent="0.2">
      <c r="A257" s="1364" t="s">
        <v>5441</v>
      </c>
      <c r="B257" s="1365"/>
      <c r="C257" s="1364"/>
      <c r="D257" s="1364"/>
      <c r="E257" s="1366"/>
      <c r="F257" s="1364"/>
      <c r="G257" s="1364"/>
      <c r="H257" s="1364"/>
      <c r="I257" s="1364"/>
      <c r="J257" s="1364"/>
      <c r="T257" s="1374"/>
      <c r="U257" s="1374"/>
      <c r="V257" s="1374"/>
      <c r="W257" s="1374"/>
      <c r="X257" s="1374"/>
      <c r="Z257" s="1375"/>
      <c r="AA257" s="1375"/>
      <c r="AB257" s="1375"/>
      <c r="AC257" s="1375"/>
      <c r="AD257" s="1375"/>
      <c r="AK257" s="1354"/>
      <c r="AL257" s="1352"/>
      <c r="AM257" s="1354"/>
      <c r="AN257" s="1352"/>
    </row>
    <row r="258" spans="1:40" x14ac:dyDescent="0.2">
      <c r="A258" s="1324" t="s">
        <v>830</v>
      </c>
      <c r="B258" s="1324" t="s">
        <v>294</v>
      </c>
      <c r="C258" s="1353">
        <f t="shared" ref="C258:D272" si="83">SUMIF($A$504:$A$1172,$A258,C$504:C$1172)</f>
        <v>0</v>
      </c>
      <c r="D258" s="1353">
        <f t="shared" si="83"/>
        <v>0</v>
      </c>
      <c r="E258" s="1351">
        <f t="shared" ref="E258:E273" si="84">IFERROR(D258/C258-1,0)</f>
        <v>0</v>
      </c>
      <c r="F258" s="1353">
        <f t="shared" ref="F258:J272" si="85">SUMIF($A$504:$A$1172,$A258,F$504:F$1172)</f>
        <v>0</v>
      </c>
      <c r="G258" s="1353">
        <f t="shared" si="85"/>
        <v>0</v>
      </c>
      <c r="H258" s="1353">
        <f t="shared" si="85"/>
        <v>0</v>
      </c>
      <c r="I258" s="1353">
        <f t="shared" si="85"/>
        <v>0</v>
      </c>
      <c r="J258" s="1353">
        <f t="shared" si="85"/>
        <v>0</v>
      </c>
      <c r="T258" s="1374"/>
      <c r="U258" s="1374"/>
      <c r="V258" s="1374"/>
      <c r="W258" s="1374"/>
      <c r="X258" s="1374"/>
      <c r="Z258" s="1375"/>
      <c r="AA258" s="1375"/>
      <c r="AB258" s="1375"/>
      <c r="AC258" s="1375"/>
      <c r="AD258" s="1375"/>
      <c r="AK258" s="1354">
        <f t="shared" si="71"/>
        <v>0</v>
      </c>
      <c r="AL258" s="1352">
        <f t="shared" si="82"/>
        <v>42</v>
      </c>
      <c r="AM258" s="1354">
        <f t="shared" si="72"/>
        <v>0</v>
      </c>
      <c r="AN258" s="1352" t="str">
        <f t="shared" si="73"/>
        <v>Uniform Construction Code</v>
      </c>
    </row>
    <row r="259" spans="1:40" x14ac:dyDescent="0.2">
      <c r="A259" s="1324" t="s">
        <v>5268</v>
      </c>
      <c r="B259" s="1324" t="s">
        <v>5482</v>
      </c>
      <c r="C259" s="1353">
        <f t="shared" si="83"/>
        <v>0</v>
      </c>
      <c r="D259" s="1353">
        <f t="shared" si="83"/>
        <v>5000</v>
      </c>
      <c r="E259" s="1351">
        <f t="shared" si="84"/>
        <v>0</v>
      </c>
      <c r="F259" s="1353">
        <f t="shared" si="85"/>
        <v>5100</v>
      </c>
      <c r="G259" s="1353">
        <f t="shared" si="85"/>
        <v>5202</v>
      </c>
      <c r="H259" s="1353">
        <f t="shared" si="85"/>
        <v>5306.04</v>
      </c>
      <c r="I259" s="1353">
        <f t="shared" si="85"/>
        <v>5412.1607999999997</v>
      </c>
      <c r="J259" s="1353">
        <f t="shared" si="85"/>
        <v>5520.4040159999995</v>
      </c>
      <c r="T259" s="1374"/>
      <c r="U259" s="1374"/>
      <c r="V259" s="1374"/>
      <c r="W259" s="1374"/>
      <c r="X259" s="1374"/>
      <c r="Z259" s="1375"/>
      <c r="AA259" s="1375"/>
      <c r="AB259" s="1375"/>
      <c r="AC259" s="1375"/>
      <c r="AD259" s="1375"/>
      <c r="AK259" s="1354">
        <f t="shared" si="71"/>
        <v>31540.604815999999</v>
      </c>
      <c r="AL259" s="1352">
        <f t="shared" si="82"/>
        <v>22</v>
      </c>
      <c r="AM259" s="1354">
        <f t="shared" si="72"/>
        <v>520.4040159999995</v>
      </c>
      <c r="AN259" s="1352" t="str">
        <f t="shared" si="73"/>
        <v>"User Defined" Other Code Enforcement</v>
      </c>
    </row>
    <row r="260" spans="1:40" x14ac:dyDescent="0.2">
      <c r="A260" s="1324" t="s">
        <v>5269</v>
      </c>
      <c r="B260" s="1324" t="s">
        <v>5482</v>
      </c>
      <c r="C260" s="1353">
        <f t="shared" si="83"/>
        <v>0</v>
      </c>
      <c r="D260" s="1353">
        <f t="shared" si="83"/>
        <v>0</v>
      </c>
      <c r="E260" s="1351">
        <f t="shared" si="84"/>
        <v>0</v>
      </c>
      <c r="F260" s="1353">
        <f t="shared" si="85"/>
        <v>0</v>
      </c>
      <c r="G260" s="1353">
        <f t="shared" si="85"/>
        <v>0</v>
      </c>
      <c r="H260" s="1353">
        <f t="shared" si="85"/>
        <v>0</v>
      </c>
      <c r="I260" s="1353">
        <f t="shared" si="85"/>
        <v>0</v>
      </c>
      <c r="J260" s="1353">
        <f t="shared" si="85"/>
        <v>0</v>
      </c>
      <c r="T260" s="1374"/>
      <c r="U260" s="1374"/>
      <c r="V260" s="1374"/>
      <c r="W260" s="1374"/>
      <c r="X260" s="1374"/>
      <c r="Z260" s="1375"/>
      <c r="AA260" s="1375"/>
      <c r="AB260" s="1375"/>
      <c r="AC260" s="1375"/>
      <c r="AD260" s="1375"/>
      <c r="AK260" s="1354">
        <f t="shared" si="71"/>
        <v>0</v>
      </c>
      <c r="AL260" s="1352">
        <f t="shared" si="82"/>
        <v>42</v>
      </c>
      <c r="AM260" s="1354">
        <f t="shared" si="72"/>
        <v>0</v>
      </c>
      <c r="AN260" s="1352" t="str">
        <f t="shared" si="73"/>
        <v>"User Defined" Other Code Enforcement</v>
      </c>
    </row>
    <row r="261" spans="1:40" x14ac:dyDescent="0.2">
      <c r="A261" s="1324" t="s">
        <v>5270</v>
      </c>
      <c r="B261" s="1324" t="s">
        <v>5482</v>
      </c>
      <c r="C261" s="1353">
        <f t="shared" si="83"/>
        <v>0</v>
      </c>
      <c r="D261" s="1353">
        <f t="shared" si="83"/>
        <v>0</v>
      </c>
      <c r="E261" s="1351">
        <f t="shared" si="84"/>
        <v>0</v>
      </c>
      <c r="F261" s="1353">
        <f t="shared" si="85"/>
        <v>0</v>
      </c>
      <c r="G261" s="1353">
        <f t="shared" si="85"/>
        <v>0</v>
      </c>
      <c r="H261" s="1353">
        <f t="shared" si="85"/>
        <v>0</v>
      </c>
      <c r="I261" s="1353">
        <f t="shared" si="85"/>
        <v>0</v>
      </c>
      <c r="J261" s="1353">
        <f t="shared" si="85"/>
        <v>0</v>
      </c>
      <c r="T261" s="1374"/>
      <c r="U261" s="1374"/>
      <c r="V261" s="1374"/>
      <c r="W261" s="1374"/>
      <c r="X261" s="1374"/>
      <c r="Z261" s="1375"/>
      <c r="AA261" s="1375"/>
      <c r="AB261" s="1375"/>
      <c r="AC261" s="1375"/>
      <c r="AD261" s="1375"/>
      <c r="AK261" s="1354">
        <f t="shared" si="71"/>
        <v>0</v>
      </c>
      <c r="AL261" s="1352">
        <f t="shared" si="82"/>
        <v>42</v>
      </c>
      <c r="AM261" s="1354">
        <f t="shared" si="72"/>
        <v>0</v>
      </c>
      <c r="AN261" s="1352" t="str">
        <f t="shared" si="73"/>
        <v>"User Defined" Other Code Enforcement</v>
      </c>
    </row>
    <row r="262" spans="1:40" x14ac:dyDescent="0.2">
      <c r="A262" s="1324" t="s">
        <v>5271</v>
      </c>
      <c r="B262" s="1324" t="s">
        <v>5482</v>
      </c>
      <c r="C262" s="1353">
        <f t="shared" si="83"/>
        <v>0</v>
      </c>
      <c r="D262" s="1353">
        <f t="shared" si="83"/>
        <v>0</v>
      </c>
      <c r="E262" s="1351">
        <f t="shared" si="84"/>
        <v>0</v>
      </c>
      <c r="F262" s="1353">
        <f t="shared" si="85"/>
        <v>0</v>
      </c>
      <c r="G262" s="1353">
        <f t="shared" si="85"/>
        <v>0</v>
      </c>
      <c r="H262" s="1353">
        <f t="shared" si="85"/>
        <v>0</v>
      </c>
      <c r="I262" s="1353">
        <f t="shared" si="85"/>
        <v>0</v>
      </c>
      <c r="J262" s="1353">
        <f t="shared" si="85"/>
        <v>0</v>
      </c>
      <c r="T262" s="1374"/>
      <c r="U262" s="1374"/>
      <c r="V262" s="1374"/>
      <c r="W262" s="1374"/>
      <c r="X262" s="1374"/>
      <c r="Z262" s="1375"/>
      <c r="AA262" s="1375"/>
      <c r="AB262" s="1375"/>
      <c r="AC262" s="1375"/>
      <c r="AD262" s="1375"/>
      <c r="AK262" s="1354">
        <f t="shared" si="71"/>
        <v>0</v>
      </c>
      <c r="AL262" s="1352">
        <f t="shared" si="82"/>
        <v>42</v>
      </c>
      <c r="AM262" s="1354">
        <f t="shared" si="72"/>
        <v>0</v>
      </c>
      <c r="AN262" s="1352" t="str">
        <f t="shared" si="73"/>
        <v>"User Defined" Other Code Enforcement</v>
      </c>
    </row>
    <row r="263" spans="1:40" x14ac:dyDescent="0.2">
      <c r="A263" s="1324" t="s">
        <v>5272</v>
      </c>
      <c r="B263" s="1324" t="s">
        <v>5482</v>
      </c>
      <c r="C263" s="1353">
        <f t="shared" si="83"/>
        <v>3885.71</v>
      </c>
      <c r="D263" s="1353">
        <f t="shared" si="83"/>
        <v>4017</v>
      </c>
      <c r="E263" s="1351">
        <f t="shared" si="84"/>
        <v>3.378790491313044E-2</v>
      </c>
      <c r="F263" s="1353">
        <f t="shared" si="85"/>
        <v>4097.34</v>
      </c>
      <c r="G263" s="1353">
        <f t="shared" si="85"/>
        <v>4179.2868000000008</v>
      </c>
      <c r="H263" s="1353">
        <f t="shared" si="85"/>
        <v>4262.8725359999999</v>
      </c>
      <c r="I263" s="1353">
        <f t="shared" si="85"/>
        <v>4348.1299867200005</v>
      </c>
      <c r="J263" s="1353">
        <f t="shared" si="85"/>
        <v>4435.0925864544015</v>
      </c>
      <c r="T263" s="1374"/>
      <c r="U263" s="1374"/>
      <c r="V263" s="1374"/>
      <c r="W263" s="1374"/>
      <c r="X263" s="1374"/>
      <c r="Z263" s="1375"/>
      <c r="AA263" s="1375"/>
      <c r="AB263" s="1375"/>
      <c r="AC263" s="1375"/>
      <c r="AD263" s="1375"/>
      <c r="AK263" s="1354">
        <f t="shared" si="71"/>
        <v>29225.4319091744</v>
      </c>
      <c r="AL263" s="1352">
        <f t="shared" si="82"/>
        <v>29</v>
      </c>
      <c r="AM263" s="1354">
        <f t="shared" si="72"/>
        <v>418.0925864544015</v>
      </c>
      <c r="AN263" s="1352" t="str">
        <f t="shared" si="73"/>
        <v>"User Defined" Other Code Enforcement</v>
      </c>
    </row>
    <row r="264" spans="1:40" x14ac:dyDescent="0.2">
      <c r="A264" s="1324" t="s">
        <v>5273</v>
      </c>
      <c r="B264" s="1324" t="s">
        <v>5482</v>
      </c>
      <c r="C264" s="1353">
        <f t="shared" si="83"/>
        <v>0</v>
      </c>
      <c r="D264" s="1353">
        <f t="shared" si="83"/>
        <v>0</v>
      </c>
      <c r="E264" s="1351">
        <f t="shared" si="84"/>
        <v>0</v>
      </c>
      <c r="F264" s="1353">
        <f t="shared" si="85"/>
        <v>0</v>
      </c>
      <c r="G264" s="1353">
        <f t="shared" si="85"/>
        <v>0</v>
      </c>
      <c r="H264" s="1353">
        <f t="shared" si="85"/>
        <v>0</v>
      </c>
      <c r="I264" s="1353">
        <f t="shared" si="85"/>
        <v>0</v>
      </c>
      <c r="J264" s="1353">
        <f t="shared" si="85"/>
        <v>0</v>
      </c>
      <c r="T264" s="1374"/>
      <c r="U264" s="1374"/>
      <c r="V264" s="1374"/>
      <c r="W264" s="1374"/>
      <c r="X264" s="1374"/>
      <c r="Z264" s="1375"/>
      <c r="AA264" s="1375"/>
      <c r="AB264" s="1375"/>
      <c r="AC264" s="1375"/>
      <c r="AD264" s="1375"/>
      <c r="AK264" s="1354">
        <f t="shared" si="71"/>
        <v>0</v>
      </c>
      <c r="AL264" s="1352">
        <f t="shared" si="82"/>
        <v>42</v>
      </c>
      <c r="AM264" s="1354">
        <f t="shared" si="72"/>
        <v>0</v>
      </c>
      <c r="AN264" s="1352" t="str">
        <f t="shared" si="73"/>
        <v>"User Defined" Other Code Enforcement</v>
      </c>
    </row>
    <row r="265" spans="1:40" x14ac:dyDescent="0.2">
      <c r="A265" s="1324" t="s">
        <v>5274</v>
      </c>
      <c r="B265" s="1324" t="s">
        <v>5482</v>
      </c>
      <c r="C265" s="1353">
        <f t="shared" si="83"/>
        <v>0</v>
      </c>
      <c r="D265" s="1353">
        <f t="shared" si="83"/>
        <v>0</v>
      </c>
      <c r="E265" s="1351">
        <f t="shared" si="84"/>
        <v>0</v>
      </c>
      <c r="F265" s="1353">
        <f t="shared" si="85"/>
        <v>0</v>
      </c>
      <c r="G265" s="1353">
        <f t="shared" si="85"/>
        <v>0</v>
      </c>
      <c r="H265" s="1353">
        <f t="shared" si="85"/>
        <v>0</v>
      </c>
      <c r="I265" s="1353">
        <f t="shared" si="85"/>
        <v>0</v>
      </c>
      <c r="J265" s="1353">
        <f t="shared" si="85"/>
        <v>0</v>
      </c>
      <c r="T265" s="1374"/>
      <c r="U265" s="1374"/>
      <c r="V265" s="1374"/>
      <c r="W265" s="1374"/>
      <c r="X265" s="1374"/>
      <c r="Z265" s="1375"/>
      <c r="AA265" s="1375"/>
      <c r="AB265" s="1375"/>
      <c r="AC265" s="1375"/>
      <c r="AD265" s="1375"/>
      <c r="AK265" s="1354">
        <f t="shared" si="71"/>
        <v>0</v>
      </c>
      <c r="AL265" s="1352">
        <f t="shared" si="82"/>
        <v>42</v>
      </c>
      <c r="AM265" s="1354">
        <f t="shared" si="72"/>
        <v>0</v>
      </c>
      <c r="AN265" s="1352" t="str">
        <f t="shared" si="73"/>
        <v>"User Defined" Other Code Enforcement</v>
      </c>
    </row>
    <row r="266" spans="1:40" x14ac:dyDescent="0.2">
      <c r="A266" s="1324" t="s">
        <v>5275</v>
      </c>
      <c r="B266" s="1324" t="s">
        <v>5482</v>
      </c>
      <c r="C266" s="1353">
        <f t="shared" si="83"/>
        <v>0</v>
      </c>
      <c r="D266" s="1353">
        <f t="shared" si="83"/>
        <v>0</v>
      </c>
      <c r="E266" s="1351">
        <f t="shared" si="84"/>
        <v>0</v>
      </c>
      <c r="F266" s="1353">
        <f t="shared" si="85"/>
        <v>0</v>
      </c>
      <c r="G266" s="1353">
        <f t="shared" si="85"/>
        <v>0</v>
      </c>
      <c r="H266" s="1353">
        <f t="shared" si="85"/>
        <v>0</v>
      </c>
      <c r="I266" s="1353">
        <f t="shared" si="85"/>
        <v>0</v>
      </c>
      <c r="J266" s="1353">
        <f t="shared" si="85"/>
        <v>0</v>
      </c>
      <c r="T266" s="1374"/>
      <c r="U266" s="1374"/>
      <c r="V266" s="1374"/>
      <c r="W266" s="1374"/>
      <c r="X266" s="1374"/>
      <c r="Z266" s="1375"/>
      <c r="AA266" s="1375"/>
      <c r="AB266" s="1375"/>
      <c r="AC266" s="1375"/>
      <c r="AD266" s="1375"/>
      <c r="AK266" s="1354">
        <f t="shared" si="71"/>
        <v>0</v>
      </c>
      <c r="AL266" s="1352">
        <f t="shared" si="82"/>
        <v>42</v>
      </c>
      <c r="AM266" s="1354">
        <f t="shared" si="72"/>
        <v>0</v>
      </c>
      <c r="AN266" s="1352" t="str">
        <f t="shared" si="73"/>
        <v>"User Defined" Other Code Enforcement</v>
      </c>
    </row>
    <row r="267" spans="1:40" x14ac:dyDescent="0.2">
      <c r="A267" s="1324" t="s">
        <v>5276</v>
      </c>
      <c r="B267" s="1324" t="s">
        <v>5482</v>
      </c>
      <c r="C267" s="1353">
        <f t="shared" si="83"/>
        <v>0</v>
      </c>
      <c r="D267" s="1353">
        <f t="shared" si="83"/>
        <v>0</v>
      </c>
      <c r="E267" s="1351">
        <f t="shared" si="84"/>
        <v>0</v>
      </c>
      <c r="F267" s="1353">
        <f t="shared" si="85"/>
        <v>0</v>
      </c>
      <c r="G267" s="1353">
        <f t="shared" si="85"/>
        <v>0</v>
      </c>
      <c r="H267" s="1353">
        <f t="shared" si="85"/>
        <v>0</v>
      </c>
      <c r="I267" s="1353">
        <f t="shared" si="85"/>
        <v>0</v>
      </c>
      <c r="J267" s="1353">
        <f t="shared" si="85"/>
        <v>0</v>
      </c>
      <c r="T267" s="1374"/>
      <c r="U267" s="1374"/>
      <c r="V267" s="1374"/>
      <c r="W267" s="1374"/>
      <c r="X267" s="1374"/>
      <c r="Z267" s="1375"/>
      <c r="AA267" s="1375"/>
      <c r="AB267" s="1375"/>
      <c r="AC267" s="1375"/>
      <c r="AD267" s="1375"/>
      <c r="AK267" s="1354">
        <f t="shared" si="71"/>
        <v>0</v>
      </c>
      <c r="AL267" s="1352">
        <f t="shared" si="82"/>
        <v>42</v>
      </c>
      <c r="AM267" s="1354">
        <f t="shared" si="72"/>
        <v>0</v>
      </c>
      <c r="AN267" s="1352" t="str">
        <f t="shared" si="73"/>
        <v>"User Defined" Other Code Enforcement</v>
      </c>
    </row>
    <row r="268" spans="1:40" x14ac:dyDescent="0.2">
      <c r="A268" s="1324" t="s">
        <v>5277</v>
      </c>
      <c r="B268" s="1324" t="s">
        <v>5482</v>
      </c>
      <c r="C268" s="1353">
        <f t="shared" si="83"/>
        <v>0</v>
      </c>
      <c r="D268" s="1353">
        <f t="shared" si="83"/>
        <v>0</v>
      </c>
      <c r="E268" s="1351">
        <f t="shared" si="84"/>
        <v>0</v>
      </c>
      <c r="F268" s="1353">
        <f t="shared" si="85"/>
        <v>0</v>
      </c>
      <c r="G268" s="1353">
        <f t="shared" si="85"/>
        <v>0</v>
      </c>
      <c r="H268" s="1353">
        <f t="shared" si="85"/>
        <v>0</v>
      </c>
      <c r="I268" s="1353">
        <f t="shared" si="85"/>
        <v>0</v>
      </c>
      <c r="J268" s="1353">
        <f t="shared" si="85"/>
        <v>0</v>
      </c>
      <c r="T268" s="1374"/>
      <c r="U268" s="1374"/>
      <c r="V268" s="1374"/>
      <c r="W268" s="1374"/>
      <c r="X268" s="1374"/>
      <c r="Z268" s="1375"/>
      <c r="AA268" s="1375"/>
      <c r="AB268" s="1375"/>
      <c r="AC268" s="1375"/>
      <c r="AD268" s="1375"/>
      <c r="AK268" s="1354">
        <f t="shared" si="71"/>
        <v>0</v>
      </c>
      <c r="AL268" s="1352">
        <f t="shared" si="82"/>
        <v>42</v>
      </c>
      <c r="AM268" s="1354">
        <f t="shared" si="72"/>
        <v>0</v>
      </c>
      <c r="AN268" s="1352" t="str">
        <f t="shared" si="73"/>
        <v>"User Defined" Other Code Enforcement</v>
      </c>
    </row>
    <row r="269" spans="1:40" x14ac:dyDescent="0.2">
      <c r="A269" s="1324" t="s">
        <v>5278</v>
      </c>
      <c r="B269" s="1324" t="s">
        <v>5482</v>
      </c>
      <c r="C269" s="1353">
        <f t="shared" si="83"/>
        <v>0</v>
      </c>
      <c r="D269" s="1353">
        <f t="shared" si="83"/>
        <v>0</v>
      </c>
      <c r="E269" s="1351">
        <f t="shared" si="84"/>
        <v>0</v>
      </c>
      <c r="F269" s="1353">
        <f t="shared" si="85"/>
        <v>0</v>
      </c>
      <c r="G269" s="1353">
        <f t="shared" si="85"/>
        <v>0</v>
      </c>
      <c r="H269" s="1353">
        <f t="shared" si="85"/>
        <v>0</v>
      </c>
      <c r="I269" s="1353">
        <f t="shared" si="85"/>
        <v>0</v>
      </c>
      <c r="J269" s="1353">
        <f t="shared" si="85"/>
        <v>0</v>
      </c>
      <c r="T269" s="1374"/>
      <c r="U269" s="1374"/>
      <c r="V269" s="1374"/>
      <c r="W269" s="1374"/>
      <c r="X269" s="1374"/>
      <c r="Z269" s="1375"/>
      <c r="AA269" s="1375"/>
      <c r="AB269" s="1375"/>
      <c r="AC269" s="1375"/>
      <c r="AD269" s="1375"/>
      <c r="AK269" s="1354">
        <f t="shared" si="71"/>
        <v>0</v>
      </c>
      <c r="AL269" s="1352">
        <f t="shared" si="82"/>
        <v>42</v>
      </c>
      <c r="AM269" s="1354">
        <f t="shared" si="72"/>
        <v>0</v>
      </c>
      <c r="AN269" s="1352" t="str">
        <f t="shared" si="73"/>
        <v>"User Defined" Other Code Enforcement</v>
      </c>
    </row>
    <row r="270" spans="1:40" x14ac:dyDescent="0.2">
      <c r="A270" s="1324" t="s">
        <v>5279</v>
      </c>
      <c r="B270" s="1324" t="s">
        <v>5482</v>
      </c>
      <c r="C270" s="1353">
        <f t="shared" si="83"/>
        <v>0</v>
      </c>
      <c r="D270" s="1353">
        <f t="shared" si="83"/>
        <v>0</v>
      </c>
      <c r="E270" s="1351">
        <f t="shared" si="84"/>
        <v>0</v>
      </c>
      <c r="F270" s="1353">
        <f t="shared" si="85"/>
        <v>0</v>
      </c>
      <c r="G270" s="1353">
        <f t="shared" si="85"/>
        <v>0</v>
      </c>
      <c r="H270" s="1353">
        <f t="shared" si="85"/>
        <v>0</v>
      </c>
      <c r="I270" s="1353">
        <f t="shared" si="85"/>
        <v>0</v>
      </c>
      <c r="J270" s="1353">
        <f t="shared" si="85"/>
        <v>0</v>
      </c>
      <c r="T270" s="1374"/>
      <c r="U270" s="1374"/>
      <c r="V270" s="1374"/>
      <c r="W270" s="1374"/>
      <c r="X270" s="1374"/>
      <c r="Z270" s="1375"/>
      <c r="AA270" s="1375"/>
      <c r="AB270" s="1375"/>
      <c r="AC270" s="1375"/>
      <c r="AD270" s="1375"/>
      <c r="AK270" s="1354">
        <f t="shared" si="71"/>
        <v>0</v>
      </c>
      <c r="AL270" s="1352">
        <f t="shared" si="82"/>
        <v>42</v>
      </c>
      <c r="AM270" s="1354">
        <f t="shared" si="72"/>
        <v>0</v>
      </c>
      <c r="AN270" s="1352" t="str">
        <f t="shared" si="73"/>
        <v>"User Defined" Other Code Enforcement</v>
      </c>
    </row>
    <row r="271" spans="1:40" x14ac:dyDescent="0.2">
      <c r="A271" s="1324" t="s">
        <v>5280</v>
      </c>
      <c r="B271" s="1324" t="s">
        <v>5482</v>
      </c>
      <c r="C271" s="1353">
        <f t="shared" si="83"/>
        <v>0</v>
      </c>
      <c r="D271" s="1353">
        <f t="shared" si="83"/>
        <v>0</v>
      </c>
      <c r="E271" s="1351">
        <f t="shared" si="84"/>
        <v>0</v>
      </c>
      <c r="F271" s="1353">
        <f t="shared" si="85"/>
        <v>0</v>
      </c>
      <c r="G271" s="1353">
        <f t="shared" si="85"/>
        <v>0</v>
      </c>
      <c r="H271" s="1353">
        <f t="shared" si="85"/>
        <v>0</v>
      </c>
      <c r="I271" s="1353">
        <f t="shared" si="85"/>
        <v>0</v>
      </c>
      <c r="J271" s="1353">
        <f t="shared" si="85"/>
        <v>0</v>
      </c>
      <c r="T271" s="1374"/>
      <c r="U271" s="1374"/>
      <c r="V271" s="1374"/>
      <c r="W271" s="1374"/>
      <c r="X271" s="1374"/>
      <c r="Z271" s="1375"/>
      <c r="AA271" s="1375"/>
      <c r="AB271" s="1375"/>
      <c r="AC271" s="1375"/>
      <c r="AD271" s="1375"/>
      <c r="AK271" s="1354">
        <f t="shared" si="71"/>
        <v>0</v>
      </c>
      <c r="AL271" s="1352">
        <f t="shared" si="82"/>
        <v>42</v>
      </c>
      <c r="AM271" s="1354">
        <f t="shared" si="72"/>
        <v>0</v>
      </c>
      <c r="AN271" s="1352" t="str">
        <f t="shared" si="73"/>
        <v>"User Defined" Other Code Enforcement</v>
      </c>
    </row>
    <row r="272" spans="1:40" x14ac:dyDescent="0.2">
      <c r="A272" s="1324" t="s">
        <v>5281</v>
      </c>
      <c r="B272" s="1324" t="s">
        <v>5482</v>
      </c>
      <c r="C272" s="1353">
        <f t="shared" si="83"/>
        <v>0</v>
      </c>
      <c r="D272" s="1353">
        <f t="shared" si="83"/>
        <v>0</v>
      </c>
      <c r="E272" s="1351">
        <f t="shared" si="84"/>
        <v>0</v>
      </c>
      <c r="F272" s="1353">
        <f t="shared" si="85"/>
        <v>0</v>
      </c>
      <c r="G272" s="1353">
        <f t="shared" si="85"/>
        <v>0</v>
      </c>
      <c r="H272" s="1353">
        <f t="shared" si="85"/>
        <v>0</v>
      </c>
      <c r="I272" s="1353">
        <f t="shared" si="85"/>
        <v>0</v>
      </c>
      <c r="J272" s="1353">
        <f t="shared" si="85"/>
        <v>0</v>
      </c>
      <c r="T272" s="1374"/>
      <c r="U272" s="1374"/>
      <c r="V272" s="1374"/>
      <c r="W272" s="1374"/>
      <c r="X272" s="1374"/>
      <c r="Z272" s="1375"/>
      <c r="AA272" s="1375"/>
      <c r="AB272" s="1375"/>
      <c r="AC272" s="1375"/>
      <c r="AD272" s="1375"/>
      <c r="AK272" s="1354">
        <f t="shared" si="71"/>
        <v>0</v>
      </c>
      <c r="AL272" s="1352">
        <f t="shared" si="82"/>
        <v>42</v>
      </c>
      <c r="AM272" s="1354">
        <f t="shared" si="72"/>
        <v>0</v>
      </c>
      <c r="AN272" s="1352" t="str">
        <f t="shared" si="73"/>
        <v>"User Defined" Other Code Enforcement</v>
      </c>
    </row>
    <row r="273" spans="1:40" x14ac:dyDescent="0.2">
      <c r="B273" s="1373" t="str">
        <f>"Total- "&amp;A257</f>
        <v>Total- Uniform Construction Code/Code Enforcement</v>
      </c>
      <c r="C273" s="1360">
        <f>SUM(C258:C272)</f>
        <v>3885.71</v>
      </c>
      <c r="D273" s="1360">
        <f>SUM(D258:D272)</f>
        <v>9017</v>
      </c>
      <c r="E273" s="1356">
        <f t="shared" si="84"/>
        <v>1.3205540300228273</v>
      </c>
      <c r="F273" s="1360">
        <f>SUM(F258:F272)</f>
        <v>9197.34</v>
      </c>
      <c r="G273" s="1360">
        <f>SUM(G258:G272)</f>
        <v>9381.2868000000017</v>
      </c>
      <c r="H273" s="1360">
        <f>SUM(H258:H272)</f>
        <v>9568.9125359999998</v>
      </c>
      <c r="I273" s="1360">
        <f>SUM(I258:I272)</f>
        <v>9760.2907867200011</v>
      </c>
      <c r="J273" s="1360">
        <f>SUM(J258:J272)</f>
        <v>9955.496602454401</v>
      </c>
      <c r="T273" s="1374"/>
      <c r="U273" s="1374"/>
      <c r="V273" s="1374"/>
      <c r="W273" s="1374"/>
      <c r="X273" s="1374"/>
      <c r="Z273" s="1375"/>
      <c r="AA273" s="1375"/>
      <c r="AB273" s="1375"/>
      <c r="AC273" s="1375"/>
      <c r="AD273" s="1375"/>
      <c r="AK273" s="1354"/>
      <c r="AL273" s="1352"/>
      <c r="AM273" s="1354"/>
      <c r="AN273" s="1352"/>
    </row>
    <row r="274" spans="1:40" x14ac:dyDescent="0.2">
      <c r="E274" s="1351"/>
      <c r="T274" s="1374"/>
      <c r="U274" s="1374"/>
      <c r="V274" s="1374"/>
      <c r="W274" s="1374"/>
      <c r="X274" s="1374"/>
      <c r="Z274" s="1375"/>
      <c r="AA274" s="1375"/>
      <c r="AB274" s="1375"/>
      <c r="AC274" s="1375"/>
      <c r="AD274" s="1375"/>
      <c r="AK274" s="1354"/>
      <c r="AL274" s="1352"/>
      <c r="AM274" s="1354"/>
      <c r="AN274" s="1352"/>
    </row>
    <row r="275" spans="1:40" x14ac:dyDescent="0.2">
      <c r="A275" s="1546" t="s">
        <v>453</v>
      </c>
      <c r="B275" s="1546"/>
      <c r="C275" s="1364"/>
      <c r="D275" s="1364"/>
      <c r="E275" s="1366"/>
      <c r="F275" s="1364"/>
      <c r="G275" s="1364"/>
      <c r="H275" s="1364"/>
      <c r="I275" s="1364"/>
      <c r="J275" s="1364"/>
      <c r="T275" s="1374"/>
      <c r="U275" s="1374"/>
      <c r="V275" s="1374"/>
      <c r="W275" s="1374"/>
      <c r="X275" s="1374"/>
      <c r="Z275" s="1375"/>
      <c r="AA275" s="1375"/>
      <c r="AB275" s="1375"/>
      <c r="AC275" s="1375"/>
      <c r="AD275" s="1375"/>
      <c r="AK275" s="1354"/>
      <c r="AL275" s="1352"/>
      <c r="AM275" s="1354"/>
      <c r="AN275" s="1352"/>
    </row>
    <row r="276" spans="1:40" x14ac:dyDescent="0.2">
      <c r="A276" s="1324" t="s">
        <v>5149</v>
      </c>
      <c r="B276" s="1324" t="s">
        <v>5483</v>
      </c>
      <c r="C276" s="1353">
        <f t="shared" ref="C276:D282" si="86">SUMIF($A$504:$A$1172,$A276,C$504:C$1172)</f>
        <v>68257.440000000002</v>
      </c>
      <c r="D276" s="1353">
        <f t="shared" si="86"/>
        <v>104974.51</v>
      </c>
      <c r="E276" s="1351">
        <f t="shared" ref="E276:E283" si="87">IFERROR(D276/C276-1,0)</f>
        <v>0.53792040838332045</v>
      </c>
      <c r="F276" s="1353">
        <f t="shared" ref="F276:J282" si="88">SUMIF($A$504:$A$1172,$A276,F$504:F$1172)</f>
        <v>107074.00019999999</v>
      </c>
      <c r="G276" s="1353">
        <f t="shared" si="88"/>
        <v>109215.48020399999</v>
      </c>
      <c r="H276" s="1353">
        <f t="shared" si="88"/>
        <v>111399.78980807999</v>
      </c>
      <c r="I276" s="1353">
        <f t="shared" si="88"/>
        <v>113627.7856042416</v>
      </c>
      <c r="J276" s="1353">
        <f t="shared" si="88"/>
        <v>115900.34131632643</v>
      </c>
      <c r="T276" s="1374"/>
      <c r="U276" s="1374"/>
      <c r="V276" s="1374"/>
      <c r="W276" s="1374"/>
      <c r="X276" s="1374"/>
      <c r="Z276" s="1375"/>
      <c r="AA276" s="1375"/>
      <c r="AB276" s="1375"/>
      <c r="AC276" s="1375"/>
      <c r="AD276" s="1375"/>
      <c r="AK276" s="1354">
        <f t="shared" si="71"/>
        <v>730449.34713264799</v>
      </c>
      <c r="AL276" s="1352">
        <f t="shared" si="82"/>
        <v>1</v>
      </c>
      <c r="AM276" s="1354">
        <f t="shared" si="72"/>
        <v>10925.831316326439</v>
      </c>
      <c r="AN276" s="1352" t="str">
        <f t="shared" si="73"/>
        <v>Liability Insurance</v>
      </c>
    </row>
    <row r="277" spans="1:40" x14ac:dyDescent="0.2">
      <c r="A277" s="1324" t="s">
        <v>5150</v>
      </c>
      <c r="B277" s="1324" t="s">
        <v>5608</v>
      </c>
      <c r="C277" s="1353">
        <f t="shared" si="86"/>
        <v>0</v>
      </c>
      <c r="D277" s="1353">
        <f t="shared" si="86"/>
        <v>0</v>
      </c>
      <c r="E277" s="1351">
        <f t="shared" si="87"/>
        <v>0</v>
      </c>
      <c r="F277" s="1353">
        <f t="shared" si="88"/>
        <v>0</v>
      </c>
      <c r="G277" s="1353">
        <f t="shared" si="88"/>
        <v>0</v>
      </c>
      <c r="H277" s="1353">
        <f t="shared" si="88"/>
        <v>0</v>
      </c>
      <c r="I277" s="1353">
        <f t="shared" si="88"/>
        <v>0</v>
      </c>
      <c r="J277" s="1353">
        <f t="shared" si="88"/>
        <v>0</v>
      </c>
      <c r="T277" s="1374"/>
      <c r="U277" s="1374"/>
      <c r="V277" s="1374"/>
      <c r="W277" s="1374"/>
      <c r="X277" s="1374"/>
      <c r="Z277" s="1375"/>
      <c r="AA277" s="1375"/>
      <c r="AB277" s="1375"/>
      <c r="AC277" s="1375"/>
      <c r="AD277" s="1375"/>
      <c r="AK277" s="1354">
        <f t="shared" si="71"/>
        <v>0</v>
      </c>
      <c r="AL277" s="1352">
        <f t="shared" si="82"/>
        <v>42</v>
      </c>
      <c r="AM277" s="1354">
        <f t="shared" si="72"/>
        <v>0</v>
      </c>
      <c r="AN277" s="1352" t="str">
        <f t="shared" si="73"/>
        <v>Other Insurance</v>
      </c>
    </row>
    <row r="278" spans="1:40" x14ac:dyDescent="0.2">
      <c r="A278" s="1324" t="s">
        <v>5151</v>
      </c>
      <c r="B278" s="1324" t="s">
        <v>5484</v>
      </c>
      <c r="C278" s="1353">
        <f t="shared" si="86"/>
        <v>0</v>
      </c>
      <c r="D278" s="1353">
        <f t="shared" si="86"/>
        <v>0</v>
      </c>
      <c r="E278" s="1351">
        <f t="shared" si="87"/>
        <v>0</v>
      </c>
      <c r="F278" s="1353">
        <f t="shared" si="88"/>
        <v>0</v>
      </c>
      <c r="G278" s="1353">
        <f t="shared" si="88"/>
        <v>0</v>
      </c>
      <c r="H278" s="1353">
        <f t="shared" si="88"/>
        <v>0</v>
      </c>
      <c r="I278" s="1353">
        <f t="shared" si="88"/>
        <v>0</v>
      </c>
      <c r="J278" s="1353">
        <f t="shared" si="88"/>
        <v>0</v>
      </c>
      <c r="T278" s="1374"/>
      <c r="U278" s="1374"/>
      <c r="V278" s="1374"/>
      <c r="W278" s="1374"/>
      <c r="X278" s="1374"/>
      <c r="Z278" s="1375"/>
      <c r="AA278" s="1375"/>
      <c r="AB278" s="1375"/>
      <c r="AC278" s="1375"/>
      <c r="AD278" s="1375"/>
      <c r="AK278" s="1354">
        <f t="shared" si="71"/>
        <v>0</v>
      </c>
      <c r="AL278" s="1352">
        <f t="shared" si="82"/>
        <v>42</v>
      </c>
      <c r="AM278" s="1354">
        <f t="shared" si="72"/>
        <v>0</v>
      </c>
      <c r="AN278" s="1352" t="str">
        <f t="shared" si="73"/>
        <v>Workers Compensation Insurance</v>
      </c>
    </row>
    <row r="279" spans="1:40" x14ac:dyDescent="0.2">
      <c r="A279" s="1324" t="s">
        <v>5152</v>
      </c>
      <c r="B279" s="1324" t="s">
        <v>5485</v>
      </c>
      <c r="C279" s="1353">
        <f t="shared" si="86"/>
        <v>0</v>
      </c>
      <c r="D279" s="1353">
        <f t="shared" si="86"/>
        <v>0</v>
      </c>
      <c r="E279" s="1351">
        <f t="shared" si="87"/>
        <v>0</v>
      </c>
      <c r="F279" s="1353">
        <f t="shared" si="88"/>
        <v>0</v>
      </c>
      <c r="G279" s="1353">
        <f t="shared" si="88"/>
        <v>0</v>
      </c>
      <c r="H279" s="1353">
        <f t="shared" si="88"/>
        <v>0</v>
      </c>
      <c r="I279" s="1353">
        <f t="shared" si="88"/>
        <v>0</v>
      </c>
      <c r="J279" s="1353">
        <f t="shared" si="88"/>
        <v>0</v>
      </c>
      <c r="T279" s="1374"/>
      <c r="U279" s="1374"/>
      <c r="V279" s="1374"/>
      <c r="W279" s="1374"/>
      <c r="X279" s="1374"/>
      <c r="Z279" s="1375"/>
      <c r="AA279" s="1375"/>
      <c r="AB279" s="1375"/>
      <c r="AC279" s="1375"/>
      <c r="AD279" s="1375"/>
      <c r="AK279" s="1354">
        <f t="shared" ref="AK279:AK342" si="89">SUM(C279:D279,F279:J279)</f>
        <v>0</v>
      </c>
      <c r="AL279" s="1352">
        <f t="shared" si="82"/>
        <v>42</v>
      </c>
      <c r="AM279" s="1354">
        <f t="shared" ref="AM279:AM342" si="90">J279-D279</f>
        <v>0</v>
      </c>
      <c r="AN279" s="1352" t="str">
        <f t="shared" ref="AN279:AN342" si="91">B279</f>
        <v>Employee Group Insurance (Inside CAPS)</v>
      </c>
    </row>
    <row r="280" spans="1:40" x14ac:dyDescent="0.2">
      <c r="A280" s="1324" t="s">
        <v>5082</v>
      </c>
      <c r="B280" s="1324" t="s">
        <v>5486</v>
      </c>
      <c r="C280" s="1353">
        <f t="shared" si="86"/>
        <v>0</v>
      </c>
      <c r="D280" s="1353">
        <f t="shared" si="86"/>
        <v>0</v>
      </c>
      <c r="E280" s="1351">
        <f t="shared" si="87"/>
        <v>0</v>
      </c>
      <c r="F280" s="1353">
        <f t="shared" si="88"/>
        <v>0</v>
      </c>
      <c r="G280" s="1353">
        <f t="shared" si="88"/>
        <v>0</v>
      </c>
      <c r="H280" s="1353">
        <f t="shared" si="88"/>
        <v>0</v>
      </c>
      <c r="I280" s="1353">
        <f t="shared" si="88"/>
        <v>0</v>
      </c>
      <c r="J280" s="1353">
        <f t="shared" si="88"/>
        <v>0</v>
      </c>
      <c r="T280" s="1374"/>
      <c r="U280" s="1374"/>
      <c r="V280" s="1374"/>
      <c r="W280" s="1374"/>
      <c r="X280" s="1374"/>
      <c r="Z280" s="1375"/>
      <c r="AA280" s="1375"/>
      <c r="AB280" s="1375"/>
      <c r="AC280" s="1375"/>
      <c r="AD280" s="1375"/>
      <c r="AK280" s="1354">
        <f t="shared" si="89"/>
        <v>0</v>
      </c>
      <c r="AL280" s="1352">
        <f t="shared" si="82"/>
        <v>42</v>
      </c>
      <c r="AM280" s="1354">
        <f t="shared" si="90"/>
        <v>0</v>
      </c>
      <c r="AN280" s="1352" t="str">
        <f t="shared" si="91"/>
        <v>Employee Group Insurance (Outside CAPS)</v>
      </c>
    </row>
    <row r="281" spans="1:40" x14ac:dyDescent="0.2">
      <c r="A281" s="1324" t="s">
        <v>5153</v>
      </c>
      <c r="B281" s="1324" t="s">
        <v>947</v>
      </c>
      <c r="C281" s="1353">
        <f t="shared" si="86"/>
        <v>0</v>
      </c>
      <c r="D281" s="1353">
        <f t="shared" si="86"/>
        <v>0</v>
      </c>
      <c r="E281" s="1351">
        <f t="shared" si="87"/>
        <v>0</v>
      </c>
      <c r="F281" s="1353">
        <f t="shared" si="88"/>
        <v>0</v>
      </c>
      <c r="G281" s="1353">
        <f t="shared" si="88"/>
        <v>0</v>
      </c>
      <c r="H281" s="1353">
        <f t="shared" si="88"/>
        <v>0</v>
      </c>
      <c r="I281" s="1353">
        <f t="shared" si="88"/>
        <v>0</v>
      </c>
      <c r="J281" s="1353">
        <f t="shared" si="88"/>
        <v>0</v>
      </c>
      <c r="T281" s="1374"/>
      <c r="U281" s="1374"/>
      <c r="V281" s="1374"/>
      <c r="W281" s="1374"/>
      <c r="X281" s="1374"/>
      <c r="Z281" s="1375"/>
      <c r="AA281" s="1375"/>
      <c r="AB281" s="1375"/>
      <c r="AC281" s="1375"/>
      <c r="AD281" s="1375"/>
      <c r="AK281" s="1354">
        <f t="shared" si="89"/>
        <v>0</v>
      </c>
      <c r="AL281" s="1352">
        <f t="shared" si="82"/>
        <v>42</v>
      </c>
      <c r="AM281" s="1354">
        <f t="shared" si="90"/>
        <v>0</v>
      </c>
      <c r="AN281" s="1352" t="str">
        <f t="shared" si="91"/>
        <v>Health Benefits Waiver</v>
      </c>
    </row>
    <row r="282" spans="1:40" x14ac:dyDescent="0.2">
      <c r="A282" s="1324" t="s">
        <v>124</v>
      </c>
      <c r="B282" s="1324" t="s">
        <v>5585</v>
      </c>
      <c r="C282" s="1353">
        <f t="shared" si="86"/>
        <v>0</v>
      </c>
      <c r="D282" s="1353">
        <f t="shared" si="86"/>
        <v>0</v>
      </c>
      <c r="E282" s="1351">
        <f t="shared" si="87"/>
        <v>0</v>
      </c>
      <c r="F282" s="1353">
        <f t="shared" si="88"/>
        <v>0</v>
      </c>
      <c r="G282" s="1353">
        <f t="shared" si="88"/>
        <v>0</v>
      </c>
      <c r="H282" s="1353">
        <f t="shared" si="88"/>
        <v>0</v>
      </c>
      <c r="I282" s="1353">
        <f t="shared" si="88"/>
        <v>0</v>
      </c>
      <c r="J282" s="1353">
        <f t="shared" si="88"/>
        <v>0</v>
      </c>
      <c r="T282" s="1374"/>
      <c r="U282" s="1374"/>
      <c r="V282" s="1374"/>
      <c r="W282" s="1374"/>
      <c r="X282" s="1374"/>
      <c r="Z282" s="1375"/>
      <c r="AA282" s="1375"/>
      <c r="AB282" s="1375"/>
      <c r="AC282" s="1375"/>
      <c r="AD282" s="1375"/>
      <c r="AK282" s="1354">
        <f t="shared" si="89"/>
        <v>0</v>
      </c>
      <c r="AL282" s="1352">
        <f t="shared" si="82"/>
        <v>42</v>
      </c>
      <c r="AM282" s="1354">
        <f t="shared" si="90"/>
        <v>0</v>
      </c>
      <c r="AN282" s="1352" t="str">
        <f t="shared" si="91"/>
        <v>Unemployment Insurance (Inside CAPS or Statutory)</v>
      </c>
    </row>
    <row r="283" spans="1:40" x14ac:dyDescent="0.2">
      <c r="B283" s="1373" t="str">
        <f>"Total- "&amp;A275</f>
        <v>Total- Insurance</v>
      </c>
      <c r="C283" s="1360">
        <f>SUM(C276:C282)</f>
        <v>68257.440000000002</v>
      </c>
      <c r="D283" s="1360">
        <f>SUM(D276:D282)</f>
        <v>104974.51</v>
      </c>
      <c r="E283" s="1356">
        <f t="shared" si="87"/>
        <v>0.53792040838332045</v>
      </c>
      <c r="F283" s="1360">
        <f>SUM(F276:F282)</f>
        <v>107074.00019999999</v>
      </c>
      <c r="G283" s="1360">
        <f>SUM(G276:G282)</f>
        <v>109215.48020399999</v>
      </c>
      <c r="H283" s="1360">
        <f>SUM(H276:H282)</f>
        <v>111399.78980807999</v>
      </c>
      <c r="I283" s="1360">
        <f>SUM(I276:I282)</f>
        <v>113627.7856042416</v>
      </c>
      <c r="J283" s="1360">
        <f>SUM(J276:J282)</f>
        <v>115900.34131632643</v>
      </c>
      <c r="T283" s="1374"/>
      <c r="U283" s="1374"/>
      <c r="V283" s="1374"/>
      <c r="W283" s="1374"/>
      <c r="X283" s="1374"/>
      <c r="Z283" s="1375"/>
      <c r="AA283" s="1375"/>
      <c r="AB283" s="1375"/>
      <c r="AC283" s="1375"/>
      <c r="AD283" s="1375"/>
      <c r="AK283" s="1354"/>
      <c r="AL283" s="1352"/>
      <c r="AM283" s="1354"/>
      <c r="AN283" s="1352"/>
    </row>
    <row r="284" spans="1:40" x14ac:dyDescent="0.2">
      <c r="E284" s="1351"/>
      <c r="T284" s="1374"/>
      <c r="U284" s="1374"/>
      <c r="V284" s="1374"/>
      <c r="W284" s="1374"/>
      <c r="X284" s="1374"/>
      <c r="Z284" s="1375"/>
      <c r="AA284" s="1375"/>
      <c r="AB284" s="1375"/>
      <c r="AC284" s="1375"/>
      <c r="AD284" s="1375"/>
      <c r="AK284" s="1354"/>
      <c r="AL284" s="1352"/>
      <c r="AM284" s="1354"/>
      <c r="AN284" s="1352"/>
    </row>
    <row r="285" spans="1:40" x14ac:dyDescent="0.2">
      <c r="A285" s="1364" t="s">
        <v>5442</v>
      </c>
      <c r="B285" s="1365"/>
      <c r="C285" s="1365"/>
      <c r="D285" s="1365"/>
      <c r="E285" s="1365"/>
      <c r="F285" s="1365"/>
      <c r="G285" s="1365"/>
      <c r="H285" s="1365"/>
      <c r="I285" s="1365"/>
      <c r="J285" s="1365"/>
      <c r="T285" s="1374"/>
      <c r="U285" s="1374"/>
      <c r="V285" s="1374"/>
      <c r="W285" s="1374"/>
      <c r="X285" s="1374"/>
      <c r="Z285" s="1375"/>
      <c r="AA285" s="1375"/>
      <c r="AB285" s="1375"/>
      <c r="AC285" s="1375"/>
      <c r="AD285" s="1375"/>
      <c r="AK285" s="1354"/>
      <c r="AL285" s="1352"/>
      <c r="AM285" s="1354"/>
      <c r="AN285" s="1352"/>
    </row>
    <row r="286" spans="1:40" x14ac:dyDescent="0.2">
      <c r="A286" s="1324" t="s">
        <v>5154</v>
      </c>
      <c r="B286" s="1324" t="s">
        <v>5487</v>
      </c>
      <c r="C286" s="1353">
        <f t="shared" ref="C286:D302" si="92">SUMIF($A$504:$A$1172,$A286,C$504:C$1172)</f>
        <v>0</v>
      </c>
      <c r="D286" s="1353">
        <f t="shared" si="92"/>
        <v>100</v>
      </c>
      <c r="E286" s="1351">
        <f t="shared" ref="E286:E303" si="93">IFERROR(D286/C286-1,0)</f>
        <v>0</v>
      </c>
      <c r="F286" s="1353">
        <f t="shared" ref="F286:J295" si="94">SUMIF($A$504:$A$1172,$A286,F$504:F$1172)</f>
        <v>102</v>
      </c>
      <c r="G286" s="1353">
        <f t="shared" si="94"/>
        <v>104.04</v>
      </c>
      <c r="H286" s="1353">
        <f t="shared" si="94"/>
        <v>106.1208</v>
      </c>
      <c r="I286" s="1353">
        <f t="shared" si="94"/>
        <v>108.243216</v>
      </c>
      <c r="J286" s="1353">
        <f t="shared" si="94"/>
        <v>110.40808032000001</v>
      </c>
      <c r="T286" s="1374"/>
      <c r="U286" s="1374"/>
      <c r="V286" s="1374"/>
      <c r="W286" s="1374"/>
      <c r="X286" s="1374"/>
      <c r="Z286" s="1375"/>
      <c r="AA286" s="1375"/>
      <c r="AB286" s="1375"/>
      <c r="AC286" s="1375"/>
      <c r="AD286" s="1375"/>
      <c r="AK286" s="1354">
        <f t="shared" si="89"/>
        <v>630.81209631999991</v>
      </c>
      <c r="AL286" s="1352">
        <f t="shared" si="82"/>
        <v>36</v>
      </c>
      <c r="AM286" s="1354">
        <f t="shared" si="90"/>
        <v>10.40808032000001</v>
      </c>
      <c r="AN286" s="1352" t="str">
        <f t="shared" si="91"/>
        <v>Police Department</v>
      </c>
    </row>
    <row r="287" spans="1:40" x14ac:dyDescent="0.2">
      <c r="A287" s="1324" t="s">
        <v>5155</v>
      </c>
      <c r="B287" s="1324" t="s">
        <v>5488</v>
      </c>
      <c r="C287" s="1353">
        <f t="shared" si="92"/>
        <v>0</v>
      </c>
      <c r="D287" s="1353">
        <f t="shared" si="92"/>
        <v>0</v>
      </c>
      <c r="E287" s="1351">
        <f t="shared" si="93"/>
        <v>0</v>
      </c>
      <c r="F287" s="1353">
        <f t="shared" si="94"/>
        <v>0</v>
      </c>
      <c r="G287" s="1353">
        <f t="shared" si="94"/>
        <v>0</v>
      </c>
      <c r="H287" s="1353">
        <f t="shared" si="94"/>
        <v>0</v>
      </c>
      <c r="I287" s="1353">
        <f t="shared" si="94"/>
        <v>0</v>
      </c>
      <c r="J287" s="1353">
        <f t="shared" si="94"/>
        <v>0</v>
      </c>
      <c r="T287" s="1374"/>
      <c r="U287" s="1374"/>
      <c r="V287" s="1374"/>
      <c r="W287" s="1374"/>
      <c r="X287" s="1374"/>
      <c r="Z287" s="1375"/>
      <c r="AA287" s="1375"/>
      <c r="AB287" s="1375"/>
      <c r="AC287" s="1375"/>
      <c r="AD287" s="1375"/>
      <c r="AK287" s="1354">
        <f t="shared" si="89"/>
        <v>0</v>
      </c>
      <c r="AL287" s="1352">
        <f t="shared" si="82"/>
        <v>42</v>
      </c>
      <c r="AM287" s="1354">
        <f t="shared" si="90"/>
        <v>0</v>
      </c>
      <c r="AN287" s="1352" t="str">
        <f t="shared" si="91"/>
        <v>"User Defined" Public Safety</v>
      </c>
    </row>
    <row r="288" spans="1:40" x14ac:dyDescent="0.2">
      <c r="A288" s="1324" t="s">
        <v>5156</v>
      </c>
      <c r="B288" s="1324" t="s">
        <v>5488</v>
      </c>
      <c r="C288" s="1353">
        <f t="shared" si="92"/>
        <v>0</v>
      </c>
      <c r="D288" s="1353">
        <f t="shared" si="92"/>
        <v>0</v>
      </c>
      <c r="E288" s="1351">
        <f t="shared" si="93"/>
        <v>0</v>
      </c>
      <c r="F288" s="1353">
        <f t="shared" si="94"/>
        <v>0</v>
      </c>
      <c r="G288" s="1353">
        <f t="shared" si="94"/>
        <v>0</v>
      </c>
      <c r="H288" s="1353">
        <f t="shared" si="94"/>
        <v>0</v>
      </c>
      <c r="I288" s="1353">
        <f t="shared" si="94"/>
        <v>0</v>
      </c>
      <c r="J288" s="1353">
        <f t="shared" si="94"/>
        <v>0</v>
      </c>
      <c r="T288" s="1374"/>
      <c r="U288" s="1374"/>
      <c r="V288" s="1374"/>
      <c r="W288" s="1374"/>
      <c r="X288" s="1374"/>
      <c r="Z288" s="1375"/>
      <c r="AA288" s="1375"/>
      <c r="AB288" s="1375"/>
      <c r="AC288" s="1375"/>
      <c r="AD288" s="1375"/>
      <c r="AK288" s="1354">
        <f t="shared" si="89"/>
        <v>0</v>
      </c>
      <c r="AL288" s="1352">
        <f t="shared" si="82"/>
        <v>42</v>
      </c>
      <c r="AM288" s="1354">
        <f t="shared" si="90"/>
        <v>0</v>
      </c>
      <c r="AN288" s="1352" t="str">
        <f t="shared" si="91"/>
        <v>"User Defined" Public Safety</v>
      </c>
    </row>
    <row r="289" spans="1:40" x14ac:dyDescent="0.2">
      <c r="A289" s="1324" t="s">
        <v>5157</v>
      </c>
      <c r="B289" s="1324" t="s">
        <v>5488</v>
      </c>
      <c r="C289" s="1353">
        <f t="shared" si="92"/>
        <v>0</v>
      </c>
      <c r="D289" s="1353">
        <f t="shared" si="92"/>
        <v>0</v>
      </c>
      <c r="E289" s="1351">
        <f t="shared" si="93"/>
        <v>0</v>
      </c>
      <c r="F289" s="1353">
        <f t="shared" si="94"/>
        <v>0</v>
      </c>
      <c r="G289" s="1353">
        <f t="shared" si="94"/>
        <v>0</v>
      </c>
      <c r="H289" s="1353">
        <f t="shared" si="94"/>
        <v>0</v>
      </c>
      <c r="I289" s="1353">
        <f t="shared" si="94"/>
        <v>0</v>
      </c>
      <c r="J289" s="1353">
        <f t="shared" si="94"/>
        <v>0</v>
      </c>
      <c r="T289" s="1374"/>
      <c r="U289" s="1374"/>
      <c r="V289" s="1374"/>
      <c r="W289" s="1374"/>
      <c r="X289" s="1374"/>
      <c r="Z289" s="1375"/>
      <c r="AA289" s="1375"/>
      <c r="AB289" s="1375"/>
      <c r="AC289" s="1375"/>
      <c r="AD289" s="1375"/>
      <c r="AK289" s="1354">
        <f t="shared" si="89"/>
        <v>0</v>
      </c>
      <c r="AL289" s="1352">
        <f t="shared" si="82"/>
        <v>42</v>
      </c>
      <c r="AM289" s="1354">
        <f t="shared" si="90"/>
        <v>0</v>
      </c>
      <c r="AN289" s="1352" t="str">
        <f t="shared" si="91"/>
        <v>"User Defined" Public Safety</v>
      </c>
    </row>
    <row r="290" spans="1:40" x14ac:dyDescent="0.2">
      <c r="A290" s="1324" t="s">
        <v>5158</v>
      </c>
      <c r="B290" s="1324" t="s">
        <v>5488</v>
      </c>
      <c r="C290" s="1353">
        <f t="shared" si="92"/>
        <v>0</v>
      </c>
      <c r="D290" s="1353">
        <f t="shared" si="92"/>
        <v>0</v>
      </c>
      <c r="E290" s="1351">
        <f t="shared" si="93"/>
        <v>0</v>
      </c>
      <c r="F290" s="1353">
        <f t="shared" si="94"/>
        <v>0</v>
      </c>
      <c r="G290" s="1353">
        <f t="shared" si="94"/>
        <v>0</v>
      </c>
      <c r="H290" s="1353">
        <f t="shared" si="94"/>
        <v>0</v>
      </c>
      <c r="I290" s="1353">
        <f t="shared" si="94"/>
        <v>0</v>
      </c>
      <c r="J290" s="1353">
        <f t="shared" si="94"/>
        <v>0</v>
      </c>
      <c r="T290" s="1374"/>
      <c r="U290" s="1374"/>
      <c r="V290" s="1374"/>
      <c r="W290" s="1374"/>
      <c r="X290" s="1374"/>
      <c r="Z290" s="1375"/>
      <c r="AA290" s="1375"/>
      <c r="AB290" s="1375"/>
      <c r="AC290" s="1375"/>
      <c r="AD290" s="1375"/>
      <c r="AK290" s="1354">
        <f t="shared" si="89"/>
        <v>0</v>
      </c>
      <c r="AL290" s="1352">
        <f t="shared" si="82"/>
        <v>42</v>
      </c>
      <c r="AM290" s="1354">
        <f t="shared" si="90"/>
        <v>0</v>
      </c>
      <c r="AN290" s="1352" t="str">
        <f t="shared" si="91"/>
        <v>"User Defined" Public Safety</v>
      </c>
    </row>
    <row r="291" spans="1:40" x14ac:dyDescent="0.2">
      <c r="A291" s="1324" t="s">
        <v>5159</v>
      </c>
      <c r="B291" s="1324" t="s">
        <v>5488</v>
      </c>
      <c r="C291" s="1353">
        <f t="shared" si="92"/>
        <v>0</v>
      </c>
      <c r="D291" s="1353">
        <f t="shared" si="92"/>
        <v>0</v>
      </c>
      <c r="E291" s="1351">
        <f t="shared" si="93"/>
        <v>0</v>
      </c>
      <c r="F291" s="1353">
        <f t="shared" si="94"/>
        <v>0</v>
      </c>
      <c r="G291" s="1353">
        <f t="shared" si="94"/>
        <v>0</v>
      </c>
      <c r="H291" s="1353">
        <f t="shared" si="94"/>
        <v>0</v>
      </c>
      <c r="I291" s="1353">
        <f t="shared" si="94"/>
        <v>0</v>
      </c>
      <c r="J291" s="1353">
        <f t="shared" si="94"/>
        <v>0</v>
      </c>
      <c r="T291" s="1374"/>
      <c r="U291" s="1374"/>
      <c r="V291" s="1374"/>
      <c r="W291" s="1374"/>
      <c r="X291" s="1374"/>
      <c r="Z291" s="1375"/>
      <c r="AA291" s="1375"/>
      <c r="AB291" s="1375"/>
      <c r="AC291" s="1375"/>
      <c r="AD291" s="1375"/>
      <c r="AK291" s="1354">
        <f t="shared" si="89"/>
        <v>0</v>
      </c>
      <c r="AL291" s="1352">
        <f t="shared" si="82"/>
        <v>42</v>
      </c>
      <c r="AM291" s="1354">
        <f t="shared" si="90"/>
        <v>0</v>
      </c>
      <c r="AN291" s="1352" t="str">
        <f t="shared" si="91"/>
        <v>"User Defined" Public Safety</v>
      </c>
    </row>
    <row r="292" spans="1:40" x14ac:dyDescent="0.2">
      <c r="A292" s="1324" t="s">
        <v>5160</v>
      </c>
      <c r="B292" s="1324" t="s">
        <v>5489</v>
      </c>
      <c r="C292" s="1353">
        <f t="shared" si="92"/>
        <v>0</v>
      </c>
      <c r="D292" s="1353">
        <f t="shared" si="92"/>
        <v>0</v>
      </c>
      <c r="E292" s="1351">
        <f t="shared" si="93"/>
        <v>0</v>
      </c>
      <c r="F292" s="1353">
        <f t="shared" si="94"/>
        <v>0</v>
      </c>
      <c r="G292" s="1353">
        <f t="shared" si="94"/>
        <v>0</v>
      </c>
      <c r="H292" s="1353">
        <f t="shared" si="94"/>
        <v>0</v>
      </c>
      <c r="I292" s="1353">
        <f t="shared" si="94"/>
        <v>0</v>
      </c>
      <c r="J292" s="1353">
        <f t="shared" si="94"/>
        <v>0</v>
      </c>
      <c r="T292" s="1374"/>
      <c r="U292" s="1374"/>
      <c r="V292" s="1374"/>
      <c r="W292" s="1374"/>
      <c r="X292" s="1374"/>
      <c r="Z292" s="1375"/>
      <c r="AA292" s="1375"/>
      <c r="AB292" s="1375"/>
      <c r="AC292" s="1375"/>
      <c r="AD292" s="1375"/>
      <c r="AK292" s="1354">
        <f t="shared" si="89"/>
        <v>0</v>
      </c>
      <c r="AL292" s="1352">
        <f t="shared" si="82"/>
        <v>42</v>
      </c>
      <c r="AM292" s="1354">
        <f t="shared" si="90"/>
        <v>0</v>
      </c>
      <c r="AN292" s="1352" t="str">
        <f t="shared" si="91"/>
        <v>Police Dispatch/911 (Inside CAP)</v>
      </c>
    </row>
    <row r="293" spans="1:40" x14ac:dyDescent="0.2">
      <c r="A293" s="1324" t="s">
        <v>5089</v>
      </c>
      <c r="B293" s="1324" t="s">
        <v>5490</v>
      </c>
      <c r="C293" s="1353">
        <f t="shared" si="92"/>
        <v>0</v>
      </c>
      <c r="D293" s="1353">
        <f t="shared" si="92"/>
        <v>0</v>
      </c>
      <c r="E293" s="1351">
        <f t="shared" si="93"/>
        <v>0</v>
      </c>
      <c r="F293" s="1353">
        <f t="shared" si="94"/>
        <v>0</v>
      </c>
      <c r="G293" s="1353">
        <f t="shared" si="94"/>
        <v>0</v>
      </c>
      <c r="H293" s="1353">
        <f t="shared" si="94"/>
        <v>0</v>
      </c>
      <c r="I293" s="1353">
        <f t="shared" si="94"/>
        <v>0</v>
      </c>
      <c r="J293" s="1353">
        <f t="shared" si="94"/>
        <v>0</v>
      </c>
      <c r="T293" s="1374"/>
      <c r="U293" s="1374"/>
      <c r="V293" s="1374"/>
      <c r="W293" s="1374"/>
      <c r="X293" s="1374"/>
      <c r="Z293" s="1375"/>
      <c r="AA293" s="1375"/>
      <c r="AB293" s="1375"/>
      <c r="AC293" s="1375"/>
      <c r="AD293" s="1375"/>
      <c r="AK293" s="1354">
        <f t="shared" si="89"/>
        <v>0</v>
      </c>
      <c r="AL293" s="1352">
        <f t="shared" si="82"/>
        <v>42</v>
      </c>
      <c r="AM293" s="1354">
        <f t="shared" si="90"/>
        <v>0</v>
      </c>
      <c r="AN293" s="1352" t="str">
        <f t="shared" si="91"/>
        <v>Police Dispatch/911 (Outside CAP)</v>
      </c>
    </row>
    <row r="294" spans="1:40" x14ac:dyDescent="0.2">
      <c r="A294" s="1324" t="s">
        <v>5161</v>
      </c>
      <c r="B294" s="1324" t="s">
        <v>5491</v>
      </c>
      <c r="C294" s="1353">
        <f t="shared" si="92"/>
        <v>4100</v>
      </c>
      <c r="D294" s="1353">
        <f t="shared" si="92"/>
        <v>5160.8</v>
      </c>
      <c r="E294" s="1351">
        <f t="shared" si="93"/>
        <v>0.25873170731707318</v>
      </c>
      <c r="F294" s="1353">
        <f t="shared" si="94"/>
        <v>5264.0159999999996</v>
      </c>
      <c r="G294" s="1353">
        <f t="shared" si="94"/>
        <v>5369.2963199999995</v>
      </c>
      <c r="H294" s="1353">
        <f t="shared" si="94"/>
        <v>5476.6822463999997</v>
      </c>
      <c r="I294" s="1353">
        <f t="shared" si="94"/>
        <v>5586.215891328</v>
      </c>
      <c r="J294" s="1353">
        <f t="shared" si="94"/>
        <v>5697.9402091545599</v>
      </c>
      <c r="T294" s="1374"/>
      <c r="U294" s="1374"/>
      <c r="V294" s="1374"/>
      <c r="W294" s="1374"/>
      <c r="X294" s="1374"/>
      <c r="Z294" s="1375"/>
      <c r="AA294" s="1375"/>
      <c r="AB294" s="1375"/>
      <c r="AC294" s="1375"/>
      <c r="AD294" s="1375"/>
      <c r="AK294" s="1354">
        <f t="shared" si="89"/>
        <v>36654.950666882563</v>
      </c>
      <c r="AL294" s="1352">
        <f t="shared" si="82"/>
        <v>21</v>
      </c>
      <c r="AM294" s="1354">
        <f t="shared" si="90"/>
        <v>537.14020915455967</v>
      </c>
      <c r="AN294" s="1352" t="str">
        <f t="shared" si="91"/>
        <v>Office of Emergency Management (OEM)</v>
      </c>
    </row>
    <row r="295" spans="1:40" x14ac:dyDescent="0.2">
      <c r="A295" s="1324" t="s">
        <v>5162</v>
      </c>
      <c r="B295" s="1324" t="s">
        <v>5492</v>
      </c>
      <c r="C295" s="1353">
        <f t="shared" si="92"/>
        <v>18353.87</v>
      </c>
      <c r="D295" s="1353">
        <f t="shared" si="92"/>
        <v>18727.2</v>
      </c>
      <c r="E295" s="1351">
        <f t="shared" si="93"/>
        <v>2.0340669297537861E-2</v>
      </c>
      <c r="F295" s="1353">
        <f t="shared" si="94"/>
        <v>19101.744000000002</v>
      </c>
      <c r="G295" s="1353">
        <f t="shared" si="94"/>
        <v>19483.778880000002</v>
      </c>
      <c r="H295" s="1353">
        <f t="shared" si="94"/>
        <v>19873.454457600001</v>
      </c>
      <c r="I295" s="1353">
        <f t="shared" si="94"/>
        <v>20270.923546752001</v>
      </c>
      <c r="J295" s="1353">
        <f t="shared" si="94"/>
        <v>20676.342017687042</v>
      </c>
      <c r="T295" s="1374"/>
      <c r="U295" s="1374"/>
      <c r="V295" s="1374"/>
      <c r="W295" s="1374"/>
      <c r="X295" s="1374"/>
      <c r="Z295" s="1375"/>
      <c r="AA295" s="1375"/>
      <c r="AB295" s="1375"/>
      <c r="AC295" s="1375"/>
      <c r="AD295" s="1375"/>
      <c r="AK295" s="1354">
        <f t="shared" si="89"/>
        <v>136487.31290203903</v>
      </c>
      <c r="AL295" s="1352">
        <f t="shared" si="82"/>
        <v>9</v>
      </c>
      <c r="AM295" s="1354">
        <f t="shared" si="90"/>
        <v>1949.1420176870415</v>
      </c>
      <c r="AN295" s="1352" t="str">
        <f t="shared" si="91"/>
        <v>Aid to Volunteer Fire Companies (Inside CAP)</v>
      </c>
    </row>
    <row r="296" spans="1:40" x14ac:dyDescent="0.2">
      <c r="A296" s="1324" t="s">
        <v>5163</v>
      </c>
      <c r="B296" s="1324" t="s">
        <v>5493</v>
      </c>
      <c r="C296" s="1353">
        <f t="shared" si="92"/>
        <v>0</v>
      </c>
      <c r="D296" s="1353">
        <f t="shared" si="92"/>
        <v>0</v>
      </c>
      <c r="E296" s="1351">
        <f t="shared" si="93"/>
        <v>0</v>
      </c>
      <c r="F296" s="1353">
        <f t="shared" ref="F296:J302" si="95">SUMIF($A$504:$A$1172,$A296,F$504:F$1172)</f>
        <v>0</v>
      </c>
      <c r="G296" s="1353">
        <f t="shared" si="95"/>
        <v>0</v>
      </c>
      <c r="H296" s="1353">
        <f t="shared" si="95"/>
        <v>0</v>
      </c>
      <c r="I296" s="1353">
        <f t="shared" si="95"/>
        <v>0</v>
      </c>
      <c r="J296" s="1353">
        <f t="shared" si="95"/>
        <v>0</v>
      </c>
      <c r="T296" s="1374"/>
      <c r="U296" s="1374"/>
      <c r="V296" s="1374"/>
      <c r="W296" s="1374"/>
      <c r="X296" s="1374"/>
      <c r="Z296" s="1375"/>
      <c r="AA296" s="1375"/>
      <c r="AB296" s="1375"/>
      <c r="AC296" s="1375"/>
      <c r="AD296" s="1375"/>
      <c r="AK296" s="1354">
        <f t="shared" si="89"/>
        <v>0</v>
      </c>
      <c r="AL296" s="1352">
        <f t="shared" si="82"/>
        <v>42</v>
      </c>
      <c r="AM296" s="1354">
        <f t="shared" si="90"/>
        <v>0</v>
      </c>
      <c r="AN296" s="1352" t="str">
        <f t="shared" si="91"/>
        <v>Aid to Volunteer Ambulance Companies</v>
      </c>
    </row>
    <row r="297" spans="1:40" x14ac:dyDescent="0.2">
      <c r="A297" s="1324" t="s">
        <v>5164</v>
      </c>
      <c r="B297" s="1324" t="s">
        <v>5494</v>
      </c>
      <c r="C297" s="1353">
        <f t="shared" si="92"/>
        <v>0</v>
      </c>
      <c r="D297" s="1353">
        <f t="shared" si="92"/>
        <v>0</v>
      </c>
      <c r="E297" s="1351">
        <f t="shared" si="93"/>
        <v>0</v>
      </c>
      <c r="F297" s="1353">
        <f t="shared" si="95"/>
        <v>0</v>
      </c>
      <c r="G297" s="1353">
        <f t="shared" si="95"/>
        <v>0</v>
      </c>
      <c r="H297" s="1353">
        <f t="shared" si="95"/>
        <v>0</v>
      </c>
      <c r="I297" s="1353">
        <f t="shared" si="95"/>
        <v>0</v>
      </c>
      <c r="J297" s="1353">
        <f t="shared" si="95"/>
        <v>0</v>
      </c>
      <c r="T297" s="1374"/>
      <c r="U297" s="1374"/>
      <c r="V297" s="1374"/>
      <c r="W297" s="1374"/>
      <c r="X297" s="1374"/>
      <c r="Z297" s="1375"/>
      <c r="AA297" s="1375"/>
      <c r="AB297" s="1375"/>
      <c r="AC297" s="1375"/>
      <c r="AD297" s="1375"/>
      <c r="AK297" s="1354">
        <f t="shared" si="89"/>
        <v>0</v>
      </c>
      <c r="AL297" s="1352">
        <f t="shared" si="82"/>
        <v>42</v>
      </c>
      <c r="AM297" s="1354">
        <f t="shared" si="90"/>
        <v>0</v>
      </c>
      <c r="AN297" s="1352" t="str">
        <f t="shared" si="91"/>
        <v>Emergency Medical Services (EMS)</v>
      </c>
    </row>
    <row r="298" spans="1:40" x14ac:dyDescent="0.2">
      <c r="A298" s="1324" t="s">
        <v>5165</v>
      </c>
      <c r="B298" s="1324" t="s">
        <v>5495</v>
      </c>
      <c r="C298" s="1353">
        <f t="shared" si="92"/>
        <v>0</v>
      </c>
      <c r="D298" s="1353">
        <f t="shared" si="92"/>
        <v>0</v>
      </c>
      <c r="E298" s="1351">
        <f t="shared" si="93"/>
        <v>0</v>
      </c>
      <c r="F298" s="1353">
        <f t="shared" si="95"/>
        <v>0</v>
      </c>
      <c r="G298" s="1353">
        <f t="shared" si="95"/>
        <v>0</v>
      </c>
      <c r="H298" s="1353">
        <f t="shared" si="95"/>
        <v>0</v>
      </c>
      <c r="I298" s="1353">
        <f t="shared" si="95"/>
        <v>0</v>
      </c>
      <c r="J298" s="1353">
        <f t="shared" si="95"/>
        <v>0</v>
      </c>
      <c r="T298" s="1374"/>
      <c r="U298" s="1374"/>
      <c r="V298" s="1374"/>
      <c r="W298" s="1374"/>
      <c r="X298" s="1374"/>
      <c r="Z298" s="1375"/>
      <c r="AA298" s="1375"/>
      <c r="AB298" s="1375"/>
      <c r="AC298" s="1375"/>
      <c r="AD298" s="1375"/>
      <c r="AK298" s="1354">
        <f t="shared" si="89"/>
        <v>0</v>
      </c>
      <c r="AL298" s="1352">
        <f t="shared" si="82"/>
        <v>42</v>
      </c>
      <c r="AM298" s="1354">
        <f t="shared" si="90"/>
        <v>0</v>
      </c>
      <c r="AN298" s="1352" t="str">
        <f t="shared" si="91"/>
        <v>Fire Department (Fire Prevention, Uniform Fire Code) (Inside CAP)</v>
      </c>
    </row>
    <row r="299" spans="1:40" x14ac:dyDescent="0.2">
      <c r="A299" s="1324" t="s">
        <v>5455</v>
      </c>
      <c r="B299" s="1324" t="s">
        <v>5496</v>
      </c>
      <c r="C299" s="1353">
        <f t="shared" si="92"/>
        <v>0</v>
      </c>
      <c r="D299" s="1353">
        <f t="shared" si="92"/>
        <v>0</v>
      </c>
      <c r="E299" s="1351">
        <f t="shared" si="93"/>
        <v>0</v>
      </c>
      <c r="F299" s="1353">
        <f t="shared" si="95"/>
        <v>0</v>
      </c>
      <c r="G299" s="1353">
        <f t="shared" si="95"/>
        <v>0</v>
      </c>
      <c r="H299" s="1353">
        <f t="shared" si="95"/>
        <v>0</v>
      </c>
      <c r="I299" s="1353">
        <f t="shared" si="95"/>
        <v>0</v>
      </c>
      <c r="J299" s="1353">
        <f t="shared" si="95"/>
        <v>0</v>
      </c>
      <c r="T299" s="1374"/>
      <c r="U299" s="1374"/>
      <c r="V299" s="1374"/>
      <c r="W299" s="1374"/>
      <c r="X299" s="1374"/>
      <c r="Z299" s="1375"/>
      <c r="AA299" s="1375"/>
      <c r="AB299" s="1375"/>
      <c r="AC299" s="1375"/>
      <c r="AD299" s="1375"/>
      <c r="AK299" s="1354">
        <f t="shared" si="89"/>
        <v>0</v>
      </c>
      <c r="AL299" s="1352">
        <f t="shared" si="82"/>
        <v>42</v>
      </c>
      <c r="AM299" s="1354">
        <f t="shared" si="90"/>
        <v>0</v>
      </c>
      <c r="AN299" s="1352" t="str">
        <f t="shared" si="91"/>
        <v>County Sheriff's Department</v>
      </c>
    </row>
    <row r="300" spans="1:40" x14ac:dyDescent="0.2">
      <c r="A300" s="1324" t="s">
        <v>5166</v>
      </c>
      <c r="B300" s="1324" t="s">
        <v>5586</v>
      </c>
      <c r="C300" s="1353">
        <f t="shared" si="92"/>
        <v>0</v>
      </c>
      <c r="D300" s="1353">
        <f t="shared" si="92"/>
        <v>0</v>
      </c>
      <c r="E300" s="1351">
        <f t="shared" si="93"/>
        <v>0</v>
      </c>
      <c r="F300" s="1353">
        <f t="shared" si="95"/>
        <v>0</v>
      </c>
      <c r="G300" s="1353">
        <f t="shared" si="95"/>
        <v>0</v>
      </c>
      <c r="H300" s="1353">
        <f t="shared" si="95"/>
        <v>0</v>
      </c>
      <c r="I300" s="1353">
        <f t="shared" si="95"/>
        <v>0</v>
      </c>
      <c r="J300" s="1353">
        <f t="shared" si="95"/>
        <v>0</v>
      </c>
      <c r="T300" s="1374"/>
      <c r="U300" s="1374"/>
      <c r="V300" s="1374"/>
      <c r="W300" s="1374"/>
      <c r="X300" s="1374"/>
      <c r="Z300" s="1375"/>
      <c r="AA300" s="1375"/>
      <c r="AB300" s="1375"/>
      <c r="AC300" s="1375"/>
      <c r="AD300" s="1375"/>
      <c r="AK300" s="1354">
        <f t="shared" si="89"/>
        <v>0</v>
      </c>
      <c r="AL300" s="1352">
        <f t="shared" si="82"/>
        <v>42</v>
      </c>
      <c r="AM300" s="1354">
        <f t="shared" si="90"/>
        <v>0</v>
      </c>
      <c r="AN300" s="1352" t="str">
        <f t="shared" si="91"/>
        <v>Municipal/County Prosecutor's Office</v>
      </c>
    </row>
    <row r="301" spans="1:40" x14ac:dyDescent="0.2">
      <c r="A301" s="1324" t="s">
        <v>5167</v>
      </c>
      <c r="B301" s="1324" t="s">
        <v>5593</v>
      </c>
      <c r="C301" s="1353">
        <f t="shared" si="92"/>
        <v>0</v>
      </c>
      <c r="D301" s="1353">
        <f t="shared" si="92"/>
        <v>0</v>
      </c>
      <c r="E301" s="1351">
        <f t="shared" si="93"/>
        <v>0</v>
      </c>
      <c r="F301" s="1353">
        <f t="shared" si="95"/>
        <v>0</v>
      </c>
      <c r="G301" s="1353">
        <f t="shared" si="95"/>
        <v>0</v>
      </c>
      <c r="H301" s="1353">
        <f t="shared" si="95"/>
        <v>0</v>
      </c>
      <c r="I301" s="1353">
        <f t="shared" si="95"/>
        <v>0</v>
      </c>
      <c r="J301" s="1353">
        <f t="shared" si="95"/>
        <v>0</v>
      </c>
      <c r="T301" s="1374"/>
      <c r="U301" s="1374"/>
      <c r="V301" s="1374"/>
      <c r="W301" s="1374"/>
      <c r="X301" s="1374"/>
      <c r="Z301" s="1375"/>
      <c r="AA301" s="1375"/>
      <c r="AB301" s="1375"/>
      <c r="AC301" s="1375"/>
      <c r="AD301" s="1375"/>
      <c r="AK301" s="1354">
        <f t="shared" si="89"/>
        <v>0</v>
      </c>
      <c r="AL301" s="1352">
        <f t="shared" si="82"/>
        <v>42</v>
      </c>
      <c r="AM301" s="1354">
        <f t="shared" si="90"/>
        <v>0</v>
      </c>
      <c r="AN301" s="1352" t="str">
        <f t="shared" si="91"/>
        <v>Operation of Municipal/County Jail System</v>
      </c>
    </row>
    <row r="302" spans="1:40" x14ac:dyDescent="0.2">
      <c r="A302" s="1324" t="s">
        <v>5095</v>
      </c>
      <c r="B302" s="1324" t="s">
        <v>5497</v>
      </c>
      <c r="C302" s="1353">
        <f t="shared" si="92"/>
        <v>0</v>
      </c>
      <c r="D302" s="1353">
        <f t="shared" si="92"/>
        <v>0</v>
      </c>
      <c r="E302" s="1351">
        <f t="shared" si="93"/>
        <v>0</v>
      </c>
      <c r="F302" s="1353">
        <f t="shared" si="95"/>
        <v>0</v>
      </c>
      <c r="G302" s="1353">
        <f t="shared" si="95"/>
        <v>0</v>
      </c>
      <c r="H302" s="1353">
        <f t="shared" si="95"/>
        <v>0</v>
      </c>
      <c r="I302" s="1353">
        <f t="shared" si="95"/>
        <v>0</v>
      </c>
      <c r="J302" s="1353">
        <f t="shared" si="95"/>
        <v>0</v>
      </c>
      <c r="T302" s="1374"/>
      <c r="U302" s="1374"/>
      <c r="V302" s="1374"/>
      <c r="W302" s="1374"/>
      <c r="X302" s="1374"/>
      <c r="Z302" s="1375"/>
      <c r="AA302" s="1375"/>
      <c r="AB302" s="1375"/>
      <c r="AC302" s="1375"/>
      <c r="AD302" s="1375"/>
      <c r="AK302" s="1354">
        <f t="shared" si="89"/>
        <v>0</v>
      </c>
      <c r="AL302" s="1352">
        <f t="shared" si="82"/>
        <v>42</v>
      </c>
      <c r="AM302" s="1354">
        <f t="shared" si="90"/>
        <v>0</v>
      </c>
      <c r="AN302" s="1352" t="str">
        <f t="shared" si="91"/>
        <v>Length of Service Awards Program (LOSAP) (Outside CAP)</v>
      </c>
    </row>
    <row r="303" spans="1:40" x14ac:dyDescent="0.2">
      <c r="B303" s="1373" t="str">
        <f>"Total- "&amp;A285</f>
        <v>Total- Public Safety</v>
      </c>
      <c r="C303" s="1360">
        <f>SUM(C286:C302)</f>
        <v>22453.87</v>
      </c>
      <c r="D303" s="1360">
        <f>SUM(D286:D302)</f>
        <v>23988</v>
      </c>
      <c r="E303" s="1356">
        <f t="shared" si="93"/>
        <v>6.8323634188672155E-2</v>
      </c>
      <c r="F303" s="1360">
        <f>SUM(F286:F302)</f>
        <v>24467.760000000002</v>
      </c>
      <c r="G303" s="1360">
        <f>SUM(G286:G302)</f>
        <v>24957.1152</v>
      </c>
      <c r="H303" s="1360">
        <f>SUM(H286:H302)</f>
        <v>25456.257504000001</v>
      </c>
      <c r="I303" s="1360">
        <f>SUM(I286:I302)</f>
        <v>25965.38265408</v>
      </c>
      <c r="J303" s="1360">
        <f>SUM(J286:J302)</f>
        <v>26484.690307161603</v>
      </c>
      <c r="T303" s="1374"/>
      <c r="U303" s="1374"/>
      <c r="V303" s="1374"/>
      <c r="W303" s="1374"/>
      <c r="X303" s="1374"/>
      <c r="Z303" s="1375"/>
      <c r="AA303" s="1375"/>
      <c r="AB303" s="1375"/>
      <c r="AC303" s="1375"/>
      <c r="AD303" s="1375"/>
      <c r="AK303" s="1354"/>
      <c r="AL303" s="1352"/>
      <c r="AM303" s="1354"/>
      <c r="AN303" s="1352"/>
    </row>
    <row r="304" spans="1:40" x14ac:dyDescent="0.2">
      <c r="E304" s="1351"/>
      <c r="T304" s="1374"/>
      <c r="U304" s="1374"/>
      <c r="V304" s="1374"/>
      <c r="W304" s="1374"/>
      <c r="X304" s="1374"/>
      <c r="Z304" s="1375"/>
      <c r="AA304" s="1375"/>
      <c r="AB304" s="1375"/>
      <c r="AC304" s="1375"/>
      <c r="AD304" s="1375"/>
      <c r="AK304" s="1354"/>
      <c r="AL304" s="1352"/>
      <c r="AM304" s="1354"/>
      <c r="AN304" s="1352"/>
    </row>
    <row r="305" spans="1:40" x14ac:dyDescent="0.2">
      <c r="A305" s="1364" t="s">
        <v>5443</v>
      </c>
      <c r="B305" s="1365"/>
      <c r="C305" s="1364"/>
      <c r="D305" s="1364"/>
      <c r="E305" s="1366"/>
      <c r="F305" s="1364"/>
      <c r="G305" s="1364"/>
      <c r="H305" s="1364"/>
      <c r="I305" s="1364"/>
      <c r="J305" s="1364"/>
      <c r="T305" s="1374"/>
      <c r="U305" s="1374"/>
      <c r="V305" s="1374"/>
      <c r="W305" s="1374"/>
      <c r="X305" s="1374"/>
      <c r="Z305" s="1375"/>
      <c r="AA305" s="1375"/>
      <c r="AB305" s="1375"/>
      <c r="AC305" s="1375"/>
      <c r="AD305" s="1375"/>
      <c r="AK305" s="1354"/>
      <c r="AL305" s="1352"/>
      <c r="AM305" s="1354"/>
      <c r="AN305" s="1352"/>
    </row>
    <row r="306" spans="1:40" x14ac:dyDescent="0.2">
      <c r="A306" s="1324" t="s">
        <v>5168</v>
      </c>
      <c r="B306" s="1324" t="s">
        <v>5498</v>
      </c>
      <c r="C306" s="1353">
        <f t="shared" ref="C306:D319" si="96">SUMIF($A$504:$A$1172,$A306,C$504:C$1172)</f>
        <v>17263.599999999999</v>
      </c>
      <c r="D306" s="1353">
        <f t="shared" si="96"/>
        <v>19116.55</v>
      </c>
      <c r="E306" s="1351">
        <f t="shared" ref="E306:E320" si="97">IFERROR(D306/C306-1,0)</f>
        <v>0.10733276952663418</v>
      </c>
      <c r="F306" s="1353">
        <f t="shared" ref="F306:J319" si="98">SUMIF($A$504:$A$1172,$A306,F$504:F$1172)</f>
        <v>19498.881000000001</v>
      </c>
      <c r="G306" s="1353">
        <f t="shared" si="98"/>
        <v>19888.858620000003</v>
      </c>
      <c r="H306" s="1353">
        <f t="shared" si="98"/>
        <v>20286.635792400004</v>
      </c>
      <c r="I306" s="1353">
        <f t="shared" si="98"/>
        <v>20692.368508248004</v>
      </c>
      <c r="J306" s="1353">
        <f t="shared" si="98"/>
        <v>21106.215878412968</v>
      </c>
      <c r="T306" s="1374"/>
      <c r="U306" s="1374"/>
      <c r="V306" s="1374"/>
      <c r="W306" s="1374"/>
      <c r="X306" s="1374"/>
      <c r="Z306" s="1375"/>
      <c r="AA306" s="1375"/>
      <c r="AB306" s="1375"/>
      <c r="AC306" s="1375"/>
      <c r="AD306" s="1375"/>
      <c r="AK306" s="1354">
        <f t="shared" si="89"/>
        <v>137853.10979906097</v>
      </c>
      <c r="AL306" s="1352">
        <f t="shared" si="82"/>
        <v>7</v>
      </c>
      <c r="AM306" s="1354">
        <f t="shared" si="90"/>
        <v>1989.6658784129686</v>
      </c>
      <c r="AN306" s="1352" t="str">
        <f t="shared" si="91"/>
        <v>Streets and Road Maintenance</v>
      </c>
    </row>
    <row r="307" spans="1:40" x14ac:dyDescent="0.2">
      <c r="A307" s="1324" t="s">
        <v>5169</v>
      </c>
      <c r="B307" s="1324" t="s">
        <v>5499</v>
      </c>
      <c r="C307" s="1353">
        <f t="shared" si="96"/>
        <v>0</v>
      </c>
      <c r="D307" s="1353">
        <f t="shared" si="96"/>
        <v>2000</v>
      </c>
      <c r="E307" s="1351">
        <f t="shared" si="97"/>
        <v>0</v>
      </c>
      <c r="F307" s="1353">
        <f t="shared" si="98"/>
        <v>2040</v>
      </c>
      <c r="G307" s="1353">
        <f t="shared" si="98"/>
        <v>2080.8000000000002</v>
      </c>
      <c r="H307" s="1353">
        <f t="shared" si="98"/>
        <v>2122.4160000000002</v>
      </c>
      <c r="I307" s="1353">
        <f t="shared" si="98"/>
        <v>2164.8643200000001</v>
      </c>
      <c r="J307" s="1353">
        <f t="shared" si="98"/>
        <v>2208.1616064</v>
      </c>
      <c r="T307" s="1374"/>
      <c r="U307" s="1374"/>
      <c r="V307" s="1374"/>
      <c r="W307" s="1374"/>
      <c r="X307" s="1374"/>
      <c r="Z307" s="1375"/>
      <c r="AA307" s="1375"/>
      <c r="AB307" s="1375"/>
      <c r="AC307" s="1375"/>
      <c r="AD307" s="1375"/>
      <c r="AK307" s="1354">
        <f t="shared" si="89"/>
        <v>12616.241926400002</v>
      </c>
      <c r="AL307" s="1352">
        <f t="shared" si="82"/>
        <v>30</v>
      </c>
      <c r="AM307" s="1354">
        <f t="shared" si="90"/>
        <v>208.16160639999998</v>
      </c>
      <c r="AN307" s="1352" t="str">
        <f t="shared" si="91"/>
        <v>"User Defined" Public Works</v>
      </c>
    </row>
    <row r="308" spans="1:40" x14ac:dyDescent="0.2">
      <c r="A308" s="1324" t="s">
        <v>5170</v>
      </c>
      <c r="B308" s="1324" t="s">
        <v>5499</v>
      </c>
      <c r="C308" s="1353">
        <f t="shared" si="96"/>
        <v>0</v>
      </c>
      <c r="D308" s="1353">
        <f t="shared" si="96"/>
        <v>0</v>
      </c>
      <c r="E308" s="1351">
        <f t="shared" si="97"/>
        <v>0</v>
      </c>
      <c r="F308" s="1353">
        <f t="shared" si="98"/>
        <v>0</v>
      </c>
      <c r="G308" s="1353">
        <f t="shared" si="98"/>
        <v>0</v>
      </c>
      <c r="H308" s="1353">
        <f t="shared" si="98"/>
        <v>0</v>
      </c>
      <c r="I308" s="1353">
        <f t="shared" si="98"/>
        <v>0</v>
      </c>
      <c r="J308" s="1353">
        <f t="shared" si="98"/>
        <v>0</v>
      </c>
      <c r="T308" s="1374"/>
      <c r="U308" s="1374"/>
      <c r="V308" s="1374"/>
      <c r="W308" s="1374"/>
      <c r="X308" s="1374"/>
      <c r="Z308" s="1375"/>
      <c r="AA308" s="1375"/>
      <c r="AB308" s="1375"/>
      <c r="AC308" s="1375"/>
      <c r="AD308" s="1375"/>
      <c r="AK308" s="1354">
        <f t="shared" si="89"/>
        <v>0</v>
      </c>
      <c r="AL308" s="1352">
        <f t="shared" si="82"/>
        <v>42</v>
      </c>
      <c r="AM308" s="1354">
        <f t="shared" si="90"/>
        <v>0</v>
      </c>
      <c r="AN308" s="1352" t="str">
        <f t="shared" si="91"/>
        <v>"User Defined" Public Works</v>
      </c>
    </row>
    <row r="309" spans="1:40" x14ac:dyDescent="0.2">
      <c r="A309" s="1324" t="s">
        <v>5171</v>
      </c>
      <c r="B309" s="1324" t="s">
        <v>5499</v>
      </c>
      <c r="C309" s="1353">
        <f t="shared" si="96"/>
        <v>0</v>
      </c>
      <c r="D309" s="1353">
        <f t="shared" si="96"/>
        <v>0</v>
      </c>
      <c r="E309" s="1351">
        <f t="shared" si="97"/>
        <v>0</v>
      </c>
      <c r="F309" s="1353">
        <f t="shared" si="98"/>
        <v>0</v>
      </c>
      <c r="G309" s="1353">
        <f t="shared" si="98"/>
        <v>0</v>
      </c>
      <c r="H309" s="1353">
        <f t="shared" si="98"/>
        <v>0</v>
      </c>
      <c r="I309" s="1353">
        <f t="shared" si="98"/>
        <v>0</v>
      </c>
      <c r="J309" s="1353">
        <f t="shared" si="98"/>
        <v>0</v>
      </c>
      <c r="T309" s="1374"/>
      <c r="U309" s="1374"/>
      <c r="V309" s="1374"/>
      <c r="W309" s="1374"/>
      <c r="X309" s="1374"/>
      <c r="Z309" s="1375"/>
      <c r="AA309" s="1375"/>
      <c r="AB309" s="1375"/>
      <c r="AC309" s="1375"/>
      <c r="AD309" s="1375"/>
      <c r="AK309" s="1354">
        <f t="shared" si="89"/>
        <v>0</v>
      </c>
      <c r="AL309" s="1352">
        <f t="shared" si="82"/>
        <v>42</v>
      </c>
      <c r="AM309" s="1354">
        <f t="shared" si="90"/>
        <v>0</v>
      </c>
      <c r="AN309" s="1352" t="str">
        <f t="shared" si="91"/>
        <v>"User Defined" Public Works</v>
      </c>
    </row>
    <row r="310" spans="1:40" x14ac:dyDescent="0.2">
      <c r="A310" s="1324" t="s">
        <v>5172</v>
      </c>
      <c r="B310" s="1324" t="s">
        <v>5499</v>
      </c>
      <c r="C310" s="1353">
        <f t="shared" si="96"/>
        <v>0</v>
      </c>
      <c r="D310" s="1353">
        <f t="shared" si="96"/>
        <v>0</v>
      </c>
      <c r="E310" s="1351">
        <f t="shared" si="97"/>
        <v>0</v>
      </c>
      <c r="F310" s="1353">
        <f t="shared" si="98"/>
        <v>0</v>
      </c>
      <c r="G310" s="1353">
        <f t="shared" si="98"/>
        <v>0</v>
      </c>
      <c r="H310" s="1353">
        <f t="shared" si="98"/>
        <v>0</v>
      </c>
      <c r="I310" s="1353">
        <f t="shared" si="98"/>
        <v>0</v>
      </c>
      <c r="J310" s="1353">
        <f t="shared" si="98"/>
        <v>0</v>
      </c>
      <c r="T310" s="1374"/>
      <c r="U310" s="1374"/>
      <c r="V310" s="1374"/>
      <c r="W310" s="1374"/>
      <c r="X310" s="1374"/>
      <c r="Z310" s="1375"/>
      <c r="AA310" s="1375"/>
      <c r="AB310" s="1375"/>
      <c r="AC310" s="1375"/>
      <c r="AD310" s="1375"/>
      <c r="AK310" s="1354">
        <f t="shared" si="89"/>
        <v>0</v>
      </c>
      <c r="AL310" s="1352">
        <f t="shared" si="82"/>
        <v>42</v>
      </c>
      <c r="AM310" s="1354">
        <f t="shared" si="90"/>
        <v>0</v>
      </c>
      <c r="AN310" s="1352" t="str">
        <f t="shared" si="91"/>
        <v>"User Defined" Public Works</v>
      </c>
    </row>
    <row r="311" spans="1:40" x14ac:dyDescent="0.2">
      <c r="A311" s="1324" t="s">
        <v>5173</v>
      </c>
      <c r="B311" s="1324" t="s">
        <v>5500</v>
      </c>
      <c r="C311" s="1353">
        <f t="shared" si="96"/>
        <v>0</v>
      </c>
      <c r="D311" s="1353">
        <f t="shared" si="96"/>
        <v>0</v>
      </c>
      <c r="E311" s="1351">
        <f t="shared" si="97"/>
        <v>0</v>
      </c>
      <c r="F311" s="1353">
        <f t="shared" si="98"/>
        <v>0</v>
      </c>
      <c r="G311" s="1353">
        <f t="shared" si="98"/>
        <v>0</v>
      </c>
      <c r="H311" s="1353">
        <f t="shared" si="98"/>
        <v>0</v>
      </c>
      <c r="I311" s="1353">
        <f t="shared" si="98"/>
        <v>0</v>
      </c>
      <c r="J311" s="1353">
        <f t="shared" si="98"/>
        <v>0</v>
      </c>
      <c r="T311" s="1374"/>
      <c r="U311" s="1374"/>
      <c r="V311" s="1374"/>
      <c r="W311" s="1374"/>
      <c r="X311" s="1374"/>
      <c r="Z311" s="1375"/>
      <c r="AA311" s="1375"/>
      <c r="AB311" s="1375"/>
      <c r="AC311" s="1375"/>
      <c r="AD311" s="1375"/>
      <c r="AK311" s="1354">
        <f t="shared" si="89"/>
        <v>0</v>
      </c>
      <c r="AL311" s="1352">
        <f t="shared" si="82"/>
        <v>42</v>
      </c>
      <c r="AM311" s="1354">
        <f t="shared" si="90"/>
        <v>0</v>
      </c>
      <c r="AN311" s="1352" t="str">
        <f t="shared" si="91"/>
        <v>Sewer Maintenance</v>
      </c>
    </row>
    <row r="312" spans="1:40" x14ac:dyDescent="0.2">
      <c r="A312" s="1324" t="s">
        <v>5174</v>
      </c>
      <c r="B312" s="1324" t="s">
        <v>5501</v>
      </c>
      <c r="C312" s="1353">
        <f t="shared" si="96"/>
        <v>0</v>
      </c>
      <c r="D312" s="1353">
        <f t="shared" si="96"/>
        <v>0</v>
      </c>
      <c r="E312" s="1351">
        <f t="shared" si="97"/>
        <v>0</v>
      </c>
      <c r="F312" s="1353">
        <f t="shared" si="98"/>
        <v>0</v>
      </c>
      <c r="G312" s="1353">
        <f t="shared" si="98"/>
        <v>0</v>
      </c>
      <c r="H312" s="1353">
        <f t="shared" si="98"/>
        <v>0</v>
      </c>
      <c r="I312" s="1353">
        <f t="shared" si="98"/>
        <v>0</v>
      </c>
      <c r="J312" s="1353">
        <f t="shared" si="98"/>
        <v>0</v>
      </c>
      <c r="T312" s="1374"/>
      <c r="U312" s="1374"/>
      <c r="V312" s="1374"/>
      <c r="W312" s="1374"/>
      <c r="X312" s="1374"/>
      <c r="Z312" s="1375"/>
      <c r="AA312" s="1375"/>
      <c r="AB312" s="1375"/>
      <c r="AC312" s="1375"/>
      <c r="AD312" s="1375"/>
      <c r="AK312" s="1354">
        <f t="shared" si="89"/>
        <v>0</v>
      </c>
      <c r="AL312" s="1352">
        <f t="shared" ref="AL312:AL371" si="99">RANK(AM312,$AM$226:$AM$494,0)</f>
        <v>42</v>
      </c>
      <c r="AM312" s="1354">
        <f t="shared" si="90"/>
        <v>0</v>
      </c>
      <c r="AN312" s="1352" t="str">
        <f t="shared" si="91"/>
        <v>Stormwater Maintenance</v>
      </c>
    </row>
    <row r="313" spans="1:40" x14ac:dyDescent="0.2">
      <c r="A313" s="1324" t="s">
        <v>5101</v>
      </c>
      <c r="B313" s="1324" t="s">
        <v>5502</v>
      </c>
      <c r="C313" s="1353">
        <f t="shared" si="96"/>
        <v>0</v>
      </c>
      <c r="D313" s="1353">
        <f t="shared" si="96"/>
        <v>0</v>
      </c>
      <c r="E313" s="1351">
        <f t="shared" si="97"/>
        <v>0</v>
      </c>
      <c r="F313" s="1353">
        <f t="shared" si="98"/>
        <v>0</v>
      </c>
      <c r="G313" s="1353">
        <f t="shared" si="98"/>
        <v>0</v>
      </c>
      <c r="H313" s="1353">
        <f t="shared" si="98"/>
        <v>0</v>
      </c>
      <c r="I313" s="1353">
        <f t="shared" si="98"/>
        <v>0</v>
      </c>
      <c r="J313" s="1353">
        <f t="shared" si="98"/>
        <v>0</v>
      </c>
      <c r="T313" s="1374"/>
      <c r="U313" s="1374"/>
      <c r="V313" s="1374"/>
      <c r="W313" s="1374"/>
      <c r="X313" s="1374"/>
      <c r="Z313" s="1375"/>
      <c r="AA313" s="1375"/>
      <c r="AB313" s="1375"/>
      <c r="AC313" s="1375"/>
      <c r="AD313" s="1375"/>
      <c r="AK313" s="1354">
        <f t="shared" si="89"/>
        <v>0</v>
      </c>
      <c r="AL313" s="1352">
        <f t="shared" si="99"/>
        <v>42</v>
      </c>
      <c r="AM313" s="1354">
        <f t="shared" si="90"/>
        <v>0</v>
      </c>
      <c r="AN313" s="1352" t="str">
        <f t="shared" si="91"/>
        <v>Stormwater Maintenance (Outside CAPS)</v>
      </c>
    </row>
    <row r="314" spans="1:40" x14ac:dyDescent="0.2">
      <c r="A314" s="1324" t="s">
        <v>5175</v>
      </c>
      <c r="B314" s="1324" t="s">
        <v>5503</v>
      </c>
      <c r="C314" s="1353">
        <f t="shared" si="96"/>
        <v>300</v>
      </c>
      <c r="D314" s="1353">
        <f t="shared" si="96"/>
        <v>5000</v>
      </c>
      <c r="E314" s="1351">
        <f t="shared" si="97"/>
        <v>15.666666666666668</v>
      </c>
      <c r="F314" s="1353">
        <f t="shared" si="98"/>
        <v>5100</v>
      </c>
      <c r="G314" s="1353">
        <f t="shared" si="98"/>
        <v>5202</v>
      </c>
      <c r="H314" s="1353">
        <f t="shared" si="98"/>
        <v>5306.04</v>
      </c>
      <c r="I314" s="1353">
        <f t="shared" si="98"/>
        <v>5412.1607999999997</v>
      </c>
      <c r="J314" s="1353">
        <f t="shared" si="98"/>
        <v>5520.4040159999995</v>
      </c>
      <c r="T314" s="1374"/>
      <c r="U314" s="1374"/>
      <c r="V314" s="1374"/>
      <c r="W314" s="1374"/>
      <c r="X314" s="1374"/>
      <c r="Z314" s="1375"/>
      <c r="AA314" s="1375"/>
      <c r="AB314" s="1375"/>
      <c r="AC314" s="1375"/>
      <c r="AD314" s="1375"/>
      <c r="AK314" s="1354">
        <f t="shared" si="89"/>
        <v>31840.604815999999</v>
      </c>
      <c r="AL314" s="1352">
        <f t="shared" si="99"/>
        <v>22</v>
      </c>
      <c r="AM314" s="1354">
        <f t="shared" si="90"/>
        <v>520.4040159999995</v>
      </c>
      <c r="AN314" s="1352" t="str">
        <f t="shared" si="91"/>
        <v>Other Public Works Functions (Inside CAP)</v>
      </c>
    </row>
    <row r="315" spans="1:40" x14ac:dyDescent="0.2">
      <c r="A315" s="1324" t="s">
        <v>5176</v>
      </c>
      <c r="B315" s="1324" t="s">
        <v>5504</v>
      </c>
      <c r="C315" s="1353">
        <f t="shared" si="96"/>
        <v>0</v>
      </c>
      <c r="D315" s="1353">
        <f t="shared" si="96"/>
        <v>0</v>
      </c>
      <c r="E315" s="1351">
        <f t="shared" si="97"/>
        <v>0</v>
      </c>
      <c r="F315" s="1353">
        <f t="shared" si="98"/>
        <v>0</v>
      </c>
      <c r="G315" s="1353">
        <f t="shared" si="98"/>
        <v>0</v>
      </c>
      <c r="H315" s="1353">
        <f t="shared" si="98"/>
        <v>0</v>
      </c>
      <c r="I315" s="1353">
        <f t="shared" si="98"/>
        <v>0</v>
      </c>
      <c r="J315" s="1353">
        <f t="shared" si="98"/>
        <v>0</v>
      </c>
      <c r="T315" s="1374"/>
      <c r="U315" s="1374"/>
      <c r="V315" s="1374"/>
      <c r="W315" s="1374"/>
      <c r="X315" s="1374"/>
      <c r="Z315" s="1375"/>
      <c r="AA315" s="1375"/>
      <c r="AB315" s="1375"/>
      <c r="AC315" s="1375"/>
      <c r="AD315" s="1375"/>
      <c r="AK315" s="1354">
        <f t="shared" si="89"/>
        <v>0</v>
      </c>
      <c r="AL315" s="1352">
        <f t="shared" si="99"/>
        <v>42</v>
      </c>
      <c r="AM315" s="1354">
        <f t="shared" si="90"/>
        <v>0</v>
      </c>
      <c r="AN315" s="1352" t="str">
        <f t="shared" si="91"/>
        <v>Solid Waste Collection</v>
      </c>
    </row>
    <row r="316" spans="1:40" x14ac:dyDescent="0.2">
      <c r="A316" s="1324" t="s">
        <v>5177</v>
      </c>
      <c r="B316" s="1324" t="s">
        <v>5505</v>
      </c>
      <c r="C316" s="1353">
        <f t="shared" si="96"/>
        <v>15545.03</v>
      </c>
      <c r="D316" s="1353">
        <f t="shared" si="96"/>
        <v>20100</v>
      </c>
      <c r="E316" s="1351">
        <f t="shared" si="97"/>
        <v>0.29301776837999016</v>
      </c>
      <c r="F316" s="1353">
        <f t="shared" si="98"/>
        <v>20502</v>
      </c>
      <c r="G316" s="1353">
        <f t="shared" si="98"/>
        <v>20912.04</v>
      </c>
      <c r="H316" s="1353">
        <f t="shared" si="98"/>
        <v>21330.2808</v>
      </c>
      <c r="I316" s="1353">
        <f t="shared" si="98"/>
        <v>21756.886415999998</v>
      </c>
      <c r="J316" s="1353">
        <f t="shared" si="98"/>
        <v>22192.024144319999</v>
      </c>
      <c r="T316" s="1374"/>
      <c r="U316" s="1374"/>
      <c r="V316" s="1374"/>
      <c r="W316" s="1374"/>
      <c r="X316" s="1374"/>
      <c r="Z316" s="1375"/>
      <c r="AA316" s="1375"/>
      <c r="AB316" s="1375"/>
      <c r="AC316" s="1375"/>
      <c r="AD316" s="1375"/>
      <c r="AK316" s="1354">
        <f t="shared" si="89"/>
        <v>142338.26136032</v>
      </c>
      <c r="AL316" s="1352">
        <f t="shared" si="99"/>
        <v>6</v>
      </c>
      <c r="AM316" s="1354">
        <f t="shared" si="90"/>
        <v>2092.0241443199993</v>
      </c>
      <c r="AN316" s="1352" t="str">
        <f t="shared" si="91"/>
        <v>Buildings and Grounds</v>
      </c>
    </row>
    <row r="317" spans="1:40" x14ac:dyDescent="0.2">
      <c r="A317" s="1324" t="s">
        <v>5178</v>
      </c>
      <c r="B317" s="1324" t="s">
        <v>5506</v>
      </c>
      <c r="C317" s="1353">
        <f t="shared" si="96"/>
        <v>0</v>
      </c>
      <c r="D317" s="1353">
        <f t="shared" si="96"/>
        <v>0</v>
      </c>
      <c r="E317" s="1351">
        <f t="shared" si="97"/>
        <v>0</v>
      </c>
      <c r="F317" s="1353">
        <f t="shared" si="98"/>
        <v>0</v>
      </c>
      <c r="G317" s="1353">
        <f t="shared" si="98"/>
        <v>0</v>
      </c>
      <c r="H317" s="1353">
        <f t="shared" si="98"/>
        <v>0</v>
      </c>
      <c r="I317" s="1353">
        <f t="shared" si="98"/>
        <v>0</v>
      </c>
      <c r="J317" s="1353">
        <f t="shared" si="98"/>
        <v>0</v>
      </c>
      <c r="T317" s="1374"/>
      <c r="U317" s="1374"/>
      <c r="V317" s="1374"/>
      <c r="W317" s="1374"/>
      <c r="X317" s="1374"/>
      <c r="Z317" s="1375"/>
      <c r="AA317" s="1375"/>
      <c r="AB317" s="1375"/>
      <c r="AC317" s="1375"/>
      <c r="AD317" s="1375"/>
      <c r="AK317" s="1354">
        <f t="shared" si="89"/>
        <v>0</v>
      </c>
      <c r="AL317" s="1352">
        <f t="shared" si="99"/>
        <v>42</v>
      </c>
      <c r="AM317" s="1354">
        <f t="shared" si="90"/>
        <v>0</v>
      </c>
      <c r="AN317" s="1352" t="str">
        <f t="shared" si="91"/>
        <v>Vehicle Maintenance (includes Police Vehicles)</v>
      </c>
    </row>
    <row r="318" spans="1:40" x14ac:dyDescent="0.2">
      <c r="A318" s="1324" t="s">
        <v>5179</v>
      </c>
      <c r="B318" s="1324" t="s">
        <v>5507</v>
      </c>
      <c r="C318" s="1353">
        <f t="shared" si="96"/>
        <v>0</v>
      </c>
      <c r="D318" s="1353">
        <f t="shared" si="96"/>
        <v>0</v>
      </c>
      <c r="E318" s="1351">
        <f t="shared" si="97"/>
        <v>0</v>
      </c>
      <c r="F318" s="1353">
        <f t="shared" si="98"/>
        <v>0</v>
      </c>
      <c r="G318" s="1353">
        <f t="shared" si="98"/>
        <v>0</v>
      </c>
      <c r="H318" s="1353">
        <f t="shared" si="98"/>
        <v>0</v>
      </c>
      <c r="I318" s="1353">
        <f t="shared" si="98"/>
        <v>0</v>
      </c>
      <c r="J318" s="1353">
        <f t="shared" si="98"/>
        <v>0</v>
      </c>
      <c r="T318" s="1374"/>
      <c r="U318" s="1374"/>
      <c r="V318" s="1374"/>
      <c r="W318" s="1374"/>
      <c r="X318" s="1374"/>
      <c r="Z318" s="1375"/>
      <c r="AA318" s="1375"/>
      <c r="AB318" s="1375"/>
      <c r="AC318" s="1375"/>
      <c r="AD318" s="1375"/>
      <c r="AK318" s="1354">
        <f t="shared" si="89"/>
        <v>0</v>
      </c>
      <c r="AL318" s="1352">
        <f t="shared" si="99"/>
        <v>42</v>
      </c>
      <c r="AM318" s="1354">
        <f t="shared" si="90"/>
        <v>0</v>
      </c>
      <c r="AN318" s="1352" t="str">
        <f t="shared" si="91"/>
        <v>Mosquito Control</v>
      </c>
    </row>
    <row r="319" spans="1:40" x14ac:dyDescent="0.2">
      <c r="A319" s="1324" t="s">
        <v>5180</v>
      </c>
      <c r="B319" s="1324" t="s">
        <v>5508</v>
      </c>
      <c r="C319" s="1353">
        <f t="shared" si="96"/>
        <v>0</v>
      </c>
      <c r="D319" s="1353">
        <f t="shared" si="96"/>
        <v>0</v>
      </c>
      <c r="E319" s="1351">
        <f t="shared" si="97"/>
        <v>0</v>
      </c>
      <c r="F319" s="1353">
        <f t="shared" si="98"/>
        <v>0</v>
      </c>
      <c r="G319" s="1353">
        <f t="shared" si="98"/>
        <v>0</v>
      </c>
      <c r="H319" s="1353">
        <f t="shared" si="98"/>
        <v>0</v>
      </c>
      <c r="I319" s="1353">
        <f t="shared" si="98"/>
        <v>0</v>
      </c>
      <c r="J319" s="1353">
        <f t="shared" si="98"/>
        <v>0</v>
      </c>
      <c r="T319" s="1374"/>
      <c r="U319" s="1374"/>
      <c r="V319" s="1374"/>
      <c r="W319" s="1374"/>
      <c r="X319" s="1374"/>
      <c r="Z319" s="1375"/>
      <c r="AA319" s="1375"/>
      <c r="AB319" s="1375"/>
      <c r="AC319" s="1375"/>
      <c r="AD319" s="1375"/>
      <c r="AK319" s="1354">
        <f t="shared" si="89"/>
        <v>0</v>
      </c>
      <c r="AL319" s="1352">
        <f t="shared" si="99"/>
        <v>42</v>
      </c>
      <c r="AM319" s="1354">
        <f t="shared" si="90"/>
        <v>0</v>
      </c>
      <c r="AN319" s="1352" t="str">
        <f t="shared" si="91"/>
        <v>Community Services Act (Condominium Community Costs)</v>
      </c>
    </row>
    <row r="320" spans="1:40" x14ac:dyDescent="0.2">
      <c r="B320" s="1373" t="str">
        <f>"Total- "&amp;A305</f>
        <v>Total- Public Works</v>
      </c>
      <c r="C320" s="1360">
        <f>SUM(C306:C319)</f>
        <v>33108.629999999997</v>
      </c>
      <c r="D320" s="1360">
        <f>SUM(D306:D319)</f>
        <v>46216.55</v>
      </c>
      <c r="E320" s="1356">
        <f t="shared" si="97"/>
        <v>0.39590644493595795</v>
      </c>
      <c r="F320" s="1360">
        <f>SUM(F306:F319)</f>
        <v>47140.881000000001</v>
      </c>
      <c r="G320" s="1360">
        <f>SUM(G306:G319)</f>
        <v>48083.698620000003</v>
      </c>
      <c r="H320" s="1360">
        <f>SUM(H306:H319)</f>
        <v>49045.372592400003</v>
      </c>
      <c r="I320" s="1360">
        <f>SUM(I306:I319)</f>
        <v>50026.280044248007</v>
      </c>
      <c r="J320" s="1360">
        <f>SUM(J306:J319)</f>
        <v>51026.805645132968</v>
      </c>
      <c r="T320" s="1374"/>
      <c r="U320" s="1374"/>
      <c r="V320" s="1374"/>
      <c r="W320" s="1374"/>
      <c r="X320" s="1374"/>
      <c r="Z320" s="1375"/>
      <c r="AA320" s="1375"/>
      <c r="AB320" s="1375"/>
      <c r="AC320" s="1375"/>
      <c r="AD320" s="1375"/>
      <c r="AK320" s="1354"/>
      <c r="AL320" s="1352"/>
      <c r="AM320" s="1354"/>
      <c r="AN320" s="1352"/>
    </row>
    <row r="321" spans="1:40" x14ac:dyDescent="0.2">
      <c r="E321" s="1351"/>
      <c r="T321" s="1374"/>
      <c r="U321" s="1374"/>
      <c r="V321" s="1374"/>
      <c r="W321" s="1374"/>
      <c r="X321" s="1374"/>
      <c r="Z321" s="1375"/>
      <c r="AA321" s="1375"/>
      <c r="AB321" s="1375"/>
      <c r="AC321" s="1375"/>
      <c r="AD321" s="1375"/>
      <c r="AK321" s="1354"/>
      <c r="AL321" s="1352"/>
      <c r="AM321" s="1354"/>
      <c r="AN321" s="1352"/>
    </row>
    <row r="322" spans="1:40" x14ac:dyDescent="0.2">
      <c r="A322" s="1364" t="s">
        <v>5444</v>
      </c>
      <c r="B322" s="1365"/>
      <c r="C322" s="1364"/>
      <c r="D322" s="1364"/>
      <c r="E322" s="1366"/>
      <c r="F322" s="1364"/>
      <c r="G322" s="1364"/>
      <c r="H322" s="1364"/>
      <c r="I322" s="1364"/>
      <c r="J322" s="1364"/>
      <c r="T322" s="1374"/>
      <c r="U322" s="1374"/>
      <c r="V322" s="1374"/>
      <c r="W322" s="1374"/>
      <c r="X322" s="1374"/>
      <c r="Z322" s="1375"/>
      <c r="AA322" s="1375"/>
      <c r="AB322" s="1375"/>
      <c r="AC322" s="1375"/>
      <c r="AD322" s="1375"/>
      <c r="AK322" s="1354"/>
      <c r="AL322" s="1352"/>
      <c r="AM322" s="1354"/>
      <c r="AN322" s="1352"/>
    </row>
    <row r="323" spans="1:40" x14ac:dyDescent="0.2">
      <c r="A323" s="1324" t="s">
        <v>5181</v>
      </c>
      <c r="B323" s="1324" t="s">
        <v>5509</v>
      </c>
      <c r="C323" s="1353">
        <f t="shared" ref="C323:D333" si="100">SUMIF($A$504:$A$1172,$A323,C$504:C$1172)</f>
        <v>0</v>
      </c>
      <c r="D323" s="1353">
        <f t="shared" si="100"/>
        <v>100</v>
      </c>
      <c r="E323" s="1351">
        <f t="shared" ref="E323:E334" si="101">IFERROR(D323/C323-1,0)</f>
        <v>0</v>
      </c>
      <c r="F323" s="1353">
        <f t="shared" ref="F323:J333" si="102">SUMIF($A$504:$A$1172,$A323,F$504:F$1172)</f>
        <v>110.00000000000001</v>
      </c>
      <c r="G323" s="1353">
        <f t="shared" si="102"/>
        <v>112.20000000000002</v>
      </c>
      <c r="H323" s="1353">
        <f t="shared" si="102"/>
        <v>114.44400000000002</v>
      </c>
      <c r="I323" s="1353">
        <f t="shared" si="102"/>
        <v>116.73288000000002</v>
      </c>
      <c r="J323" s="1353">
        <f t="shared" si="102"/>
        <v>119.06753760000002</v>
      </c>
      <c r="T323" s="1374"/>
      <c r="U323" s="1374"/>
      <c r="V323" s="1374"/>
      <c r="W323" s="1374"/>
      <c r="X323" s="1374"/>
      <c r="Z323" s="1375"/>
      <c r="AA323" s="1375"/>
      <c r="AB323" s="1375"/>
      <c r="AC323" s="1375"/>
      <c r="AD323" s="1375"/>
      <c r="AK323" s="1354">
        <f t="shared" si="89"/>
        <v>672.44441760000007</v>
      </c>
      <c r="AL323" s="1352">
        <f t="shared" si="99"/>
        <v>35</v>
      </c>
      <c r="AM323" s="1354">
        <f t="shared" si="90"/>
        <v>19.067537600000023</v>
      </c>
      <c r="AN323" s="1352" t="str">
        <f t="shared" si="91"/>
        <v>Public Health Services (Board of Health)</v>
      </c>
    </row>
    <row r="324" spans="1:40" x14ac:dyDescent="0.2">
      <c r="A324" s="1324" t="s">
        <v>5182</v>
      </c>
      <c r="B324" s="1324" t="s">
        <v>5510</v>
      </c>
      <c r="C324" s="1353">
        <f t="shared" si="100"/>
        <v>0</v>
      </c>
      <c r="D324" s="1353">
        <f t="shared" si="100"/>
        <v>100</v>
      </c>
      <c r="E324" s="1351">
        <f t="shared" si="101"/>
        <v>0</v>
      </c>
      <c r="F324" s="1353">
        <f t="shared" si="102"/>
        <v>102</v>
      </c>
      <c r="G324" s="1353">
        <f t="shared" si="102"/>
        <v>104.04</v>
      </c>
      <c r="H324" s="1353">
        <f t="shared" si="102"/>
        <v>106.1208</v>
      </c>
      <c r="I324" s="1353">
        <f t="shared" si="102"/>
        <v>108.243216</v>
      </c>
      <c r="J324" s="1353">
        <f t="shared" si="102"/>
        <v>110.40808032000001</v>
      </c>
      <c r="T324" s="1374"/>
      <c r="U324" s="1374"/>
      <c r="V324" s="1374"/>
      <c r="W324" s="1374"/>
      <c r="X324" s="1374"/>
      <c r="Z324" s="1375"/>
      <c r="AA324" s="1375"/>
      <c r="AB324" s="1375"/>
      <c r="AC324" s="1375"/>
      <c r="AD324" s="1375"/>
      <c r="AK324" s="1354">
        <f t="shared" si="89"/>
        <v>630.81209631999991</v>
      </c>
      <c r="AL324" s="1352">
        <f t="shared" si="99"/>
        <v>36</v>
      </c>
      <c r="AM324" s="1354">
        <f t="shared" si="90"/>
        <v>10.40808032000001</v>
      </c>
      <c r="AN324" s="1352" t="str">
        <f t="shared" si="91"/>
        <v>"User Defined" Health &amp; Human Services</v>
      </c>
    </row>
    <row r="325" spans="1:40" x14ac:dyDescent="0.2">
      <c r="A325" s="1324" t="s">
        <v>5183</v>
      </c>
      <c r="B325" s="1324" t="s">
        <v>5510</v>
      </c>
      <c r="C325" s="1353">
        <f t="shared" si="100"/>
        <v>0</v>
      </c>
      <c r="D325" s="1353">
        <f t="shared" si="100"/>
        <v>0</v>
      </c>
      <c r="E325" s="1351">
        <f t="shared" si="101"/>
        <v>0</v>
      </c>
      <c r="F325" s="1353">
        <f t="shared" si="102"/>
        <v>0</v>
      </c>
      <c r="G325" s="1353">
        <f t="shared" si="102"/>
        <v>0</v>
      </c>
      <c r="H325" s="1353">
        <f t="shared" si="102"/>
        <v>0</v>
      </c>
      <c r="I325" s="1353">
        <f t="shared" si="102"/>
        <v>0</v>
      </c>
      <c r="J325" s="1353">
        <f t="shared" si="102"/>
        <v>0</v>
      </c>
      <c r="T325" s="1374"/>
      <c r="U325" s="1374"/>
      <c r="V325" s="1374"/>
      <c r="W325" s="1374"/>
      <c r="X325" s="1374"/>
      <c r="Z325" s="1375"/>
      <c r="AA325" s="1375"/>
      <c r="AB325" s="1375"/>
      <c r="AC325" s="1375"/>
      <c r="AD325" s="1375"/>
      <c r="AK325" s="1354">
        <f t="shared" si="89"/>
        <v>0</v>
      </c>
      <c r="AL325" s="1352">
        <f t="shared" si="99"/>
        <v>42</v>
      </c>
      <c r="AM325" s="1354">
        <f t="shared" si="90"/>
        <v>0</v>
      </c>
      <c r="AN325" s="1352" t="str">
        <f t="shared" si="91"/>
        <v>"User Defined" Health &amp; Human Services</v>
      </c>
    </row>
    <row r="326" spans="1:40" x14ac:dyDescent="0.2">
      <c r="A326" s="1324" t="s">
        <v>5184</v>
      </c>
      <c r="B326" s="1324" t="s">
        <v>5510</v>
      </c>
      <c r="C326" s="1353">
        <f t="shared" si="100"/>
        <v>0</v>
      </c>
      <c r="D326" s="1353">
        <f t="shared" si="100"/>
        <v>0</v>
      </c>
      <c r="E326" s="1351">
        <f t="shared" si="101"/>
        <v>0</v>
      </c>
      <c r="F326" s="1353">
        <f t="shared" si="102"/>
        <v>0</v>
      </c>
      <c r="G326" s="1353">
        <f t="shared" si="102"/>
        <v>0</v>
      </c>
      <c r="H326" s="1353">
        <f t="shared" si="102"/>
        <v>0</v>
      </c>
      <c r="I326" s="1353">
        <f t="shared" si="102"/>
        <v>0</v>
      </c>
      <c r="J326" s="1353">
        <f t="shared" si="102"/>
        <v>0</v>
      </c>
      <c r="T326" s="1374"/>
      <c r="U326" s="1374"/>
      <c r="V326" s="1374"/>
      <c r="W326" s="1374"/>
      <c r="X326" s="1374"/>
      <c r="Z326" s="1375"/>
      <c r="AA326" s="1375"/>
      <c r="AB326" s="1375"/>
      <c r="AC326" s="1375"/>
      <c r="AD326" s="1375"/>
      <c r="AK326" s="1354">
        <f t="shared" si="89"/>
        <v>0</v>
      </c>
      <c r="AL326" s="1352">
        <f t="shared" si="99"/>
        <v>42</v>
      </c>
      <c r="AM326" s="1354">
        <f t="shared" si="90"/>
        <v>0</v>
      </c>
      <c r="AN326" s="1352" t="str">
        <f t="shared" si="91"/>
        <v>"User Defined" Health &amp; Human Services</v>
      </c>
    </row>
    <row r="327" spans="1:40" x14ac:dyDescent="0.2">
      <c r="A327" s="1324" t="s">
        <v>5185</v>
      </c>
      <c r="B327" s="1324" t="s">
        <v>5510</v>
      </c>
      <c r="C327" s="1353">
        <f t="shared" si="100"/>
        <v>0</v>
      </c>
      <c r="D327" s="1353">
        <f t="shared" si="100"/>
        <v>0</v>
      </c>
      <c r="E327" s="1351">
        <f t="shared" si="101"/>
        <v>0</v>
      </c>
      <c r="F327" s="1353">
        <f t="shared" si="102"/>
        <v>0</v>
      </c>
      <c r="G327" s="1353">
        <f t="shared" si="102"/>
        <v>0</v>
      </c>
      <c r="H327" s="1353">
        <f t="shared" si="102"/>
        <v>0</v>
      </c>
      <c r="I327" s="1353">
        <f t="shared" si="102"/>
        <v>0</v>
      </c>
      <c r="J327" s="1353">
        <f t="shared" si="102"/>
        <v>0</v>
      </c>
      <c r="T327" s="1374"/>
      <c r="U327" s="1374"/>
      <c r="V327" s="1374"/>
      <c r="W327" s="1374"/>
      <c r="X327" s="1374"/>
      <c r="Z327" s="1375"/>
      <c r="AA327" s="1375"/>
      <c r="AB327" s="1375"/>
      <c r="AC327" s="1375"/>
      <c r="AD327" s="1375"/>
      <c r="AK327" s="1354">
        <f t="shared" si="89"/>
        <v>0</v>
      </c>
      <c r="AL327" s="1352">
        <f t="shared" si="99"/>
        <v>42</v>
      </c>
      <c r="AM327" s="1354">
        <f t="shared" si="90"/>
        <v>0</v>
      </c>
      <c r="AN327" s="1352" t="str">
        <f t="shared" si="91"/>
        <v>"User Defined" Health &amp; Human Services</v>
      </c>
    </row>
    <row r="328" spans="1:40" x14ac:dyDescent="0.2">
      <c r="A328" s="1324" t="s">
        <v>5186</v>
      </c>
      <c r="B328" s="1324" t="s">
        <v>5511</v>
      </c>
      <c r="C328" s="1353">
        <f t="shared" si="100"/>
        <v>0</v>
      </c>
      <c r="D328" s="1353">
        <f t="shared" si="100"/>
        <v>100</v>
      </c>
      <c r="E328" s="1351">
        <f t="shared" si="101"/>
        <v>0</v>
      </c>
      <c r="F328" s="1353">
        <f t="shared" si="102"/>
        <v>102</v>
      </c>
      <c r="G328" s="1353">
        <f t="shared" si="102"/>
        <v>104.04</v>
      </c>
      <c r="H328" s="1353">
        <f t="shared" si="102"/>
        <v>106.1208</v>
      </c>
      <c r="I328" s="1353">
        <f t="shared" si="102"/>
        <v>108.243216</v>
      </c>
      <c r="J328" s="1353">
        <f t="shared" si="102"/>
        <v>110.40808032000001</v>
      </c>
      <c r="T328" s="1374"/>
      <c r="U328" s="1374"/>
      <c r="V328" s="1374"/>
      <c r="W328" s="1374"/>
      <c r="X328" s="1374"/>
      <c r="Z328" s="1375"/>
      <c r="AA328" s="1375"/>
      <c r="AB328" s="1375"/>
      <c r="AC328" s="1375"/>
      <c r="AD328" s="1375"/>
      <c r="AK328" s="1354">
        <f t="shared" si="89"/>
        <v>630.81209631999991</v>
      </c>
      <c r="AL328" s="1352">
        <f t="shared" si="99"/>
        <v>36</v>
      </c>
      <c r="AM328" s="1354">
        <f t="shared" si="90"/>
        <v>10.40808032000001</v>
      </c>
      <c r="AN328" s="1352" t="str">
        <f t="shared" si="91"/>
        <v>Environmental Health Services</v>
      </c>
    </row>
    <row r="329" spans="1:40" x14ac:dyDescent="0.2">
      <c r="A329" s="1324" t="s">
        <v>5187</v>
      </c>
      <c r="B329" s="1324" t="s">
        <v>5512</v>
      </c>
      <c r="C329" s="1353">
        <f t="shared" si="100"/>
        <v>6313</v>
      </c>
      <c r="D329" s="1353">
        <f t="shared" si="100"/>
        <v>6755.6</v>
      </c>
      <c r="E329" s="1351">
        <f t="shared" si="101"/>
        <v>7.0109298273404175E-2</v>
      </c>
      <c r="F329" s="1353">
        <f t="shared" si="102"/>
        <v>6890.7119999999995</v>
      </c>
      <c r="G329" s="1353">
        <f t="shared" si="102"/>
        <v>7028.5262400000001</v>
      </c>
      <c r="H329" s="1353">
        <f t="shared" si="102"/>
        <v>7169.0967648000005</v>
      </c>
      <c r="I329" s="1353">
        <f t="shared" si="102"/>
        <v>7312.4787000960005</v>
      </c>
      <c r="J329" s="1353">
        <f t="shared" si="102"/>
        <v>7458.7282740979199</v>
      </c>
      <c r="T329" s="1374"/>
      <c r="U329" s="1374"/>
      <c r="V329" s="1374"/>
      <c r="W329" s="1374"/>
      <c r="X329" s="1374"/>
      <c r="Z329" s="1375"/>
      <c r="AA329" s="1375"/>
      <c r="AB329" s="1375"/>
      <c r="AC329" s="1375"/>
      <c r="AD329" s="1375"/>
      <c r="AK329" s="1354">
        <f t="shared" si="89"/>
        <v>48928.141978993917</v>
      </c>
      <c r="AL329" s="1352">
        <f t="shared" si="99"/>
        <v>17</v>
      </c>
      <c r="AM329" s="1354">
        <f t="shared" si="90"/>
        <v>703.12827409791953</v>
      </c>
      <c r="AN329" s="1352" t="str">
        <f t="shared" si="91"/>
        <v>Animal Control Services</v>
      </c>
    </row>
    <row r="330" spans="1:40" x14ac:dyDescent="0.2">
      <c r="A330" s="1324" t="s">
        <v>5456</v>
      </c>
      <c r="B330" s="1324" t="s">
        <v>5513</v>
      </c>
      <c r="C330" s="1353">
        <f t="shared" si="100"/>
        <v>0</v>
      </c>
      <c r="D330" s="1353">
        <f t="shared" si="100"/>
        <v>0</v>
      </c>
      <c r="E330" s="1351">
        <f t="shared" si="101"/>
        <v>0</v>
      </c>
      <c r="F330" s="1353">
        <f t="shared" si="102"/>
        <v>0</v>
      </c>
      <c r="G330" s="1353">
        <f t="shared" si="102"/>
        <v>0</v>
      </c>
      <c r="H330" s="1353">
        <f t="shared" si="102"/>
        <v>0</v>
      </c>
      <c r="I330" s="1353">
        <f t="shared" si="102"/>
        <v>0</v>
      </c>
      <c r="J330" s="1353">
        <f t="shared" si="102"/>
        <v>0</v>
      </c>
      <c r="T330" s="1374"/>
      <c r="U330" s="1374"/>
      <c r="V330" s="1374"/>
      <c r="W330" s="1374"/>
      <c r="X330" s="1374"/>
      <c r="Z330" s="1378"/>
      <c r="AA330" s="1378"/>
      <c r="AB330" s="1378"/>
      <c r="AC330" s="1378"/>
      <c r="AD330" s="1378"/>
      <c r="AK330" s="1354">
        <f t="shared" si="89"/>
        <v>0</v>
      </c>
      <c r="AL330" s="1352">
        <f t="shared" si="99"/>
        <v>42</v>
      </c>
      <c r="AM330" s="1354">
        <f t="shared" si="90"/>
        <v>0</v>
      </c>
      <c r="AN330" s="1352" t="str">
        <f t="shared" si="91"/>
        <v>Welfare/Administration of Public Service</v>
      </c>
    </row>
    <row r="331" spans="1:40" x14ac:dyDescent="0.2">
      <c r="A331" s="1324" t="s">
        <v>5457</v>
      </c>
      <c r="B331" s="1324" t="s">
        <v>5514</v>
      </c>
      <c r="C331" s="1353">
        <f t="shared" si="100"/>
        <v>0</v>
      </c>
      <c r="D331" s="1353">
        <f t="shared" si="100"/>
        <v>0</v>
      </c>
      <c r="E331" s="1351">
        <f t="shared" si="101"/>
        <v>0</v>
      </c>
      <c r="F331" s="1353">
        <f t="shared" si="102"/>
        <v>0</v>
      </c>
      <c r="G331" s="1353">
        <f t="shared" si="102"/>
        <v>0</v>
      </c>
      <c r="H331" s="1353">
        <f t="shared" si="102"/>
        <v>0</v>
      </c>
      <c r="I331" s="1353">
        <f t="shared" si="102"/>
        <v>0</v>
      </c>
      <c r="J331" s="1353">
        <f t="shared" si="102"/>
        <v>0</v>
      </c>
      <c r="T331" s="1374"/>
      <c r="U331" s="1374"/>
      <c r="V331" s="1374"/>
      <c r="W331" s="1374"/>
      <c r="X331" s="1374"/>
      <c r="Z331" s="1378"/>
      <c r="AA331" s="1378"/>
      <c r="AB331" s="1378"/>
      <c r="AC331" s="1378"/>
      <c r="AD331" s="1378"/>
      <c r="AK331" s="1354">
        <f t="shared" si="89"/>
        <v>0</v>
      </c>
      <c r="AL331" s="1352">
        <f t="shared" si="99"/>
        <v>42</v>
      </c>
      <c r="AM331" s="1354">
        <f t="shared" si="90"/>
        <v>0</v>
      </c>
      <c r="AN331" s="1352" t="str">
        <f t="shared" si="91"/>
        <v>Operation of a Health Facility (County)</v>
      </c>
    </row>
    <row r="332" spans="1:40" x14ac:dyDescent="0.2">
      <c r="A332" s="1324" t="s">
        <v>5458</v>
      </c>
      <c r="B332" s="1324" t="s">
        <v>5515</v>
      </c>
      <c r="C332" s="1353">
        <f t="shared" si="100"/>
        <v>0</v>
      </c>
      <c r="D332" s="1353">
        <f t="shared" si="100"/>
        <v>0</v>
      </c>
      <c r="E332" s="1351">
        <f t="shared" si="101"/>
        <v>0</v>
      </c>
      <c r="F332" s="1353">
        <f t="shared" si="102"/>
        <v>0</v>
      </c>
      <c r="G332" s="1353">
        <f t="shared" si="102"/>
        <v>0</v>
      </c>
      <c r="H332" s="1353">
        <f t="shared" si="102"/>
        <v>0</v>
      </c>
      <c r="I332" s="1353">
        <f t="shared" si="102"/>
        <v>0</v>
      </c>
      <c r="J332" s="1353">
        <f t="shared" si="102"/>
        <v>0</v>
      </c>
      <c r="T332" s="1374"/>
      <c r="U332" s="1374"/>
      <c r="V332" s="1374"/>
      <c r="W332" s="1374"/>
      <c r="X332" s="1374"/>
      <c r="Z332" s="1378"/>
      <c r="AA332" s="1378"/>
      <c r="AB332" s="1378"/>
      <c r="AC332" s="1378"/>
      <c r="AD332" s="1378"/>
      <c r="AK332" s="1354">
        <f t="shared" si="89"/>
        <v>0</v>
      </c>
      <c r="AL332" s="1352">
        <f t="shared" si="99"/>
        <v>42</v>
      </c>
      <c r="AM332" s="1354">
        <f t="shared" si="90"/>
        <v>0</v>
      </c>
      <c r="AN332" s="1352" t="str">
        <f t="shared" si="91"/>
        <v>Contributions to Social Service Agencies</v>
      </c>
    </row>
    <row r="333" spans="1:40" x14ac:dyDescent="0.2">
      <c r="A333" s="1324" t="s">
        <v>5188</v>
      </c>
      <c r="B333" s="1324" t="s">
        <v>5516</v>
      </c>
      <c r="C333" s="1353">
        <f t="shared" si="100"/>
        <v>0</v>
      </c>
      <c r="D333" s="1353">
        <f t="shared" si="100"/>
        <v>0</v>
      </c>
      <c r="E333" s="1351">
        <f t="shared" si="101"/>
        <v>0</v>
      </c>
      <c r="F333" s="1353">
        <f t="shared" si="102"/>
        <v>0</v>
      </c>
      <c r="G333" s="1353">
        <f t="shared" si="102"/>
        <v>0</v>
      </c>
      <c r="H333" s="1353">
        <f t="shared" si="102"/>
        <v>0</v>
      </c>
      <c r="I333" s="1353">
        <f t="shared" si="102"/>
        <v>0</v>
      </c>
      <c r="J333" s="1353">
        <f t="shared" si="102"/>
        <v>0</v>
      </c>
      <c r="T333" s="1374"/>
      <c r="U333" s="1374"/>
      <c r="V333" s="1374"/>
      <c r="W333" s="1374"/>
      <c r="X333" s="1374"/>
      <c r="Z333" s="1378"/>
      <c r="AA333" s="1378"/>
      <c r="AB333" s="1378"/>
      <c r="AC333" s="1378"/>
      <c r="AD333" s="1378"/>
      <c r="AK333" s="1354">
        <f t="shared" si="89"/>
        <v>0</v>
      </c>
      <c r="AL333" s="1352">
        <f t="shared" si="99"/>
        <v>42</v>
      </c>
      <c r="AM333" s="1354">
        <f t="shared" si="90"/>
        <v>0</v>
      </c>
      <c r="AN333" s="1352" t="str">
        <f t="shared" si="91"/>
        <v>Senior Citizen Services and Programs</v>
      </c>
    </row>
    <row r="334" spans="1:40" x14ac:dyDescent="0.2">
      <c r="B334" s="1373" t="str">
        <f>"Total- "&amp;A322</f>
        <v>Total- Health and Human Services</v>
      </c>
      <c r="C334" s="1360">
        <f>SUM(C323:C333)</f>
        <v>6313</v>
      </c>
      <c r="D334" s="1360">
        <f>SUM(D323:D333)</f>
        <v>7055.6</v>
      </c>
      <c r="E334" s="1356">
        <f t="shared" si="101"/>
        <v>0.11763028670996367</v>
      </c>
      <c r="F334" s="1360">
        <f>SUM(F323:F333)</f>
        <v>7204.7119999999995</v>
      </c>
      <c r="G334" s="1360">
        <f>SUM(G323:G333)</f>
        <v>7348.8062399999999</v>
      </c>
      <c r="H334" s="1360">
        <f>SUM(H323:H333)</f>
        <v>7495.7823648000003</v>
      </c>
      <c r="I334" s="1360">
        <f>SUM(I323:I333)</f>
        <v>7645.6980120960006</v>
      </c>
      <c r="J334" s="1360">
        <f>SUM(J323:J333)</f>
        <v>7798.6119723379197</v>
      </c>
      <c r="T334" s="1374"/>
      <c r="U334" s="1374"/>
      <c r="V334" s="1374"/>
      <c r="W334" s="1374"/>
      <c r="X334" s="1374"/>
      <c r="Z334" s="1378"/>
      <c r="AA334" s="1378"/>
      <c r="AB334" s="1378"/>
      <c r="AC334" s="1378"/>
      <c r="AD334" s="1378"/>
      <c r="AK334" s="1354"/>
      <c r="AL334" s="1352"/>
      <c r="AM334" s="1354"/>
      <c r="AN334" s="1352"/>
    </row>
    <row r="335" spans="1:40" x14ac:dyDescent="0.2">
      <c r="E335" s="1351"/>
      <c r="T335" s="1374"/>
      <c r="U335" s="1374"/>
      <c r="V335" s="1374"/>
      <c r="W335" s="1374"/>
      <c r="X335" s="1374"/>
      <c r="Z335" s="1378"/>
      <c r="AA335" s="1378"/>
      <c r="AB335" s="1378"/>
      <c r="AC335" s="1378"/>
      <c r="AD335" s="1378"/>
      <c r="AK335" s="1354"/>
      <c r="AL335" s="1352"/>
      <c r="AM335" s="1354"/>
      <c r="AN335" s="1352"/>
    </row>
    <row r="336" spans="1:40" x14ac:dyDescent="0.2">
      <c r="A336" s="1364" t="s">
        <v>5445</v>
      </c>
      <c r="B336" s="1365"/>
      <c r="C336" s="1364"/>
      <c r="D336" s="1364"/>
      <c r="E336" s="1366"/>
      <c r="F336" s="1364"/>
      <c r="G336" s="1364"/>
      <c r="H336" s="1364"/>
      <c r="I336" s="1364"/>
      <c r="J336" s="1364"/>
      <c r="T336" s="1374"/>
      <c r="U336" s="1374"/>
      <c r="V336" s="1374"/>
      <c r="W336" s="1374"/>
      <c r="X336" s="1374"/>
      <c r="Z336" s="1378"/>
      <c r="AA336" s="1378"/>
      <c r="AB336" s="1378"/>
      <c r="AC336" s="1378"/>
      <c r="AD336" s="1378"/>
      <c r="AK336" s="1354"/>
      <c r="AL336" s="1352"/>
      <c r="AM336" s="1354"/>
      <c r="AN336" s="1352"/>
    </row>
    <row r="337" spans="1:40" x14ac:dyDescent="0.2">
      <c r="A337" s="1324" t="s">
        <v>5189</v>
      </c>
      <c r="B337" s="1324" t="s">
        <v>5517</v>
      </c>
      <c r="C337" s="1353">
        <f t="shared" ref="C337:D343" si="103">SUMIF($A$504:$A$1172,$A337,C$504:C$1172)</f>
        <v>0</v>
      </c>
      <c r="D337" s="1353">
        <f t="shared" si="103"/>
        <v>100</v>
      </c>
      <c r="E337" s="1351">
        <f t="shared" ref="E337:E344" si="104">IFERROR(D337/C337-1,0)</f>
        <v>0</v>
      </c>
      <c r="F337" s="1353">
        <f t="shared" ref="F337:J343" si="105">SUMIF($A$504:$A$1172,$A337,F$504:F$1172)</f>
        <v>102</v>
      </c>
      <c r="G337" s="1353">
        <f t="shared" si="105"/>
        <v>104.04</v>
      </c>
      <c r="H337" s="1353">
        <f t="shared" si="105"/>
        <v>106.1208</v>
      </c>
      <c r="I337" s="1353">
        <f t="shared" si="105"/>
        <v>108.243216</v>
      </c>
      <c r="J337" s="1353">
        <f t="shared" si="105"/>
        <v>110.40808032000001</v>
      </c>
      <c r="T337" s="1374"/>
      <c r="U337" s="1374"/>
      <c r="V337" s="1374"/>
      <c r="W337" s="1374"/>
      <c r="X337" s="1374"/>
      <c r="Z337" s="1378"/>
      <c r="AA337" s="1378"/>
      <c r="AB337" s="1378"/>
      <c r="AC337" s="1378"/>
      <c r="AD337" s="1378"/>
      <c r="AK337" s="1354">
        <f t="shared" si="89"/>
        <v>630.81209631999991</v>
      </c>
      <c r="AL337" s="1352">
        <f t="shared" si="99"/>
        <v>36</v>
      </c>
      <c r="AM337" s="1354">
        <f t="shared" si="90"/>
        <v>10.40808032000001</v>
      </c>
      <c r="AN337" s="1352" t="str">
        <f t="shared" si="91"/>
        <v>Recreation Services and Programs</v>
      </c>
    </row>
    <row r="338" spans="1:40" x14ac:dyDescent="0.2">
      <c r="A338" s="1324" t="s">
        <v>5190</v>
      </c>
      <c r="B338" s="1324" t="s">
        <v>5518</v>
      </c>
      <c r="C338" s="1353">
        <f t="shared" si="103"/>
        <v>0</v>
      </c>
      <c r="D338" s="1353">
        <f t="shared" si="103"/>
        <v>0</v>
      </c>
      <c r="E338" s="1351">
        <f t="shared" si="104"/>
        <v>0</v>
      </c>
      <c r="F338" s="1353">
        <f t="shared" si="105"/>
        <v>0</v>
      </c>
      <c r="G338" s="1353">
        <f t="shared" si="105"/>
        <v>0</v>
      </c>
      <c r="H338" s="1353">
        <f t="shared" si="105"/>
        <v>0</v>
      </c>
      <c r="I338" s="1353">
        <f t="shared" si="105"/>
        <v>0</v>
      </c>
      <c r="J338" s="1353">
        <f t="shared" si="105"/>
        <v>0</v>
      </c>
      <c r="T338" s="1374"/>
      <c r="U338" s="1374"/>
      <c r="V338" s="1374"/>
      <c r="W338" s="1374"/>
      <c r="X338" s="1374"/>
      <c r="Z338" s="1378"/>
      <c r="AA338" s="1378"/>
      <c r="AB338" s="1378"/>
      <c r="AC338" s="1378"/>
      <c r="AD338" s="1378"/>
      <c r="AK338" s="1354">
        <f t="shared" si="89"/>
        <v>0</v>
      </c>
      <c r="AL338" s="1352">
        <f t="shared" si="99"/>
        <v>42</v>
      </c>
      <c r="AM338" s="1354">
        <f t="shared" si="90"/>
        <v>0</v>
      </c>
      <c r="AN338" s="1352" t="str">
        <f t="shared" si="91"/>
        <v>"User Defined" Recreation</v>
      </c>
    </row>
    <row r="339" spans="1:40" x14ac:dyDescent="0.2">
      <c r="A339" s="1324" t="s">
        <v>5191</v>
      </c>
      <c r="B339" s="1324" t="s">
        <v>5518</v>
      </c>
      <c r="C339" s="1353">
        <f t="shared" si="103"/>
        <v>0</v>
      </c>
      <c r="D339" s="1353">
        <f t="shared" si="103"/>
        <v>0</v>
      </c>
      <c r="E339" s="1351">
        <f t="shared" si="104"/>
        <v>0</v>
      </c>
      <c r="F339" s="1353">
        <f t="shared" si="105"/>
        <v>0</v>
      </c>
      <c r="G339" s="1353">
        <f t="shared" si="105"/>
        <v>0</v>
      </c>
      <c r="H339" s="1353">
        <f t="shared" si="105"/>
        <v>0</v>
      </c>
      <c r="I339" s="1353">
        <f t="shared" si="105"/>
        <v>0</v>
      </c>
      <c r="J339" s="1353">
        <f t="shared" si="105"/>
        <v>0</v>
      </c>
      <c r="T339" s="1374"/>
      <c r="U339" s="1374"/>
      <c r="V339" s="1374"/>
      <c r="W339" s="1374"/>
      <c r="X339" s="1374"/>
      <c r="Z339" s="1378"/>
      <c r="AA339" s="1378"/>
      <c r="AB339" s="1378"/>
      <c r="AC339" s="1378"/>
      <c r="AD339" s="1378"/>
      <c r="AK339" s="1354">
        <f t="shared" si="89"/>
        <v>0</v>
      </c>
      <c r="AL339" s="1352">
        <f t="shared" si="99"/>
        <v>42</v>
      </c>
      <c r="AM339" s="1354">
        <f t="shared" si="90"/>
        <v>0</v>
      </c>
      <c r="AN339" s="1352" t="str">
        <f t="shared" si="91"/>
        <v>"User Defined" Recreation</v>
      </c>
    </row>
    <row r="340" spans="1:40" x14ac:dyDescent="0.2">
      <c r="A340" s="1324" t="s">
        <v>5192</v>
      </c>
      <c r="B340" s="1324" t="s">
        <v>5518</v>
      </c>
      <c r="C340" s="1353">
        <f t="shared" si="103"/>
        <v>0</v>
      </c>
      <c r="D340" s="1353">
        <f t="shared" si="103"/>
        <v>0</v>
      </c>
      <c r="E340" s="1351">
        <f t="shared" si="104"/>
        <v>0</v>
      </c>
      <c r="F340" s="1353">
        <f t="shared" si="105"/>
        <v>0</v>
      </c>
      <c r="G340" s="1353">
        <f t="shared" si="105"/>
        <v>0</v>
      </c>
      <c r="H340" s="1353">
        <f t="shared" si="105"/>
        <v>0</v>
      </c>
      <c r="I340" s="1353">
        <f t="shared" si="105"/>
        <v>0</v>
      </c>
      <c r="J340" s="1353">
        <f t="shared" si="105"/>
        <v>0</v>
      </c>
      <c r="T340" s="1374"/>
      <c r="U340" s="1374"/>
      <c r="V340" s="1374"/>
      <c r="W340" s="1374"/>
      <c r="X340" s="1374"/>
      <c r="Z340" s="1378"/>
      <c r="AA340" s="1378"/>
      <c r="AB340" s="1378"/>
      <c r="AC340" s="1378"/>
      <c r="AD340" s="1378"/>
      <c r="AK340" s="1354">
        <f t="shared" si="89"/>
        <v>0</v>
      </c>
      <c r="AL340" s="1352">
        <f t="shared" si="99"/>
        <v>42</v>
      </c>
      <c r="AM340" s="1354">
        <f t="shared" si="90"/>
        <v>0</v>
      </c>
      <c r="AN340" s="1352" t="str">
        <f t="shared" si="91"/>
        <v>"User Defined" Recreation</v>
      </c>
    </row>
    <row r="341" spans="1:40" x14ac:dyDescent="0.2">
      <c r="A341" s="1324" t="s">
        <v>5193</v>
      </c>
      <c r="B341" s="1324" t="s">
        <v>5518</v>
      </c>
      <c r="C341" s="1353">
        <f t="shared" si="103"/>
        <v>0</v>
      </c>
      <c r="D341" s="1353">
        <f t="shared" si="103"/>
        <v>0</v>
      </c>
      <c r="E341" s="1351">
        <f t="shared" si="104"/>
        <v>0</v>
      </c>
      <c r="F341" s="1353">
        <f t="shared" si="105"/>
        <v>0</v>
      </c>
      <c r="G341" s="1353">
        <f t="shared" si="105"/>
        <v>0</v>
      </c>
      <c r="H341" s="1353">
        <f t="shared" si="105"/>
        <v>0</v>
      </c>
      <c r="I341" s="1353">
        <f t="shared" si="105"/>
        <v>0</v>
      </c>
      <c r="J341" s="1353">
        <f t="shared" si="105"/>
        <v>0</v>
      </c>
      <c r="T341" s="1374"/>
      <c r="U341" s="1374"/>
      <c r="V341" s="1374"/>
      <c r="W341" s="1374"/>
      <c r="X341" s="1374"/>
      <c r="Z341" s="1378"/>
      <c r="AA341" s="1378"/>
      <c r="AB341" s="1378"/>
      <c r="AC341" s="1378"/>
      <c r="AD341" s="1378"/>
      <c r="AK341" s="1354">
        <f t="shared" si="89"/>
        <v>0</v>
      </c>
      <c r="AL341" s="1352">
        <f t="shared" si="99"/>
        <v>42</v>
      </c>
      <c r="AM341" s="1354">
        <f t="shared" si="90"/>
        <v>0</v>
      </c>
      <c r="AN341" s="1352" t="str">
        <f t="shared" si="91"/>
        <v>"User Defined" Recreation</v>
      </c>
    </row>
    <row r="342" spans="1:40" x14ac:dyDescent="0.2">
      <c r="A342" s="1324" t="s">
        <v>5194</v>
      </c>
      <c r="B342" s="1324" t="s">
        <v>5519</v>
      </c>
      <c r="C342" s="1353">
        <f t="shared" si="103"/>
        <v>0</v>
      </c>
      <c r="D342" s="1353">
        <f t="shared" si="103"/>
        <v>0</v>
      </c>
      <c r="E342" s="1351">
        <f t="shared" si="104"/>
        <v>0</v>
      </c>
      <c r="F342" s="1353">
        <f t="shared" si="105"/>
        <v>0</v>
      </c>
      <c r="G342" s="1353">
        <f t="shared" si="105"/>
        <v>0</v>
      </c>
      <c r="H342" s="1353">
        <f t="shared" si="105"/>
        <v>0</v>
      </c>
      <c r="I342" s="1353">
        <f t="shared" si="105"/>
        <v>0</v>
      </c>
      <c r="J342" s="1353">
        <f t="shared" si="105"/>
        <v>0</v>
      </c>
      <c r="T342" s="1374"/>
      <c r="U342" s="1374"/>
      <c r="V342" s="1374"/>
      <c r="W342" s="1374"/>
      <c r="X342" s="1374"/>
      <c r="Z342" s="1378"/>
      <c r="AA342" s="1378"/>
      <c r="AB342" s="1378"/>
      <c r="AC342" s="1378"/>
      <c r="AD342" s="1378"/>
      <c r="AK342" s="1354">
        <f t="shared" si="89"/>
        <v>0</v>
      </c>
      <c r="AL342" s="1352">
        <f t="shared" si="99"/>
        <v>42</v>
      </c>
      <c r="AM342" s="1354">
        <f t="shared" si="90"/>
        <v>0</v>
      </c>
      <c r="AN342" s="1352" t="str">
        <f t="shared" si="91"/>
        <v>Maintenance of Parks</v>
      </c>
    </row>
    <row r="343" spans="1:40" x14ac:dyDescent="0.2">
      <c r="A343" s="1324" t="s">
        <v>5195</v>
      </c>
      <c r="B343" s="1324" t="s">
        <v>5520</v>
      </c>
      <c r="C343" s="1353">
        <f t="shared" si="103"/>
        <v>0</v>
      </c>
      <c r="D343" s="1353">
        <f t="shared" si="103"/>
        <v>0</v>
      </c>
      <c r="E343" s="1351">
        <f t="shared" si="104"/>
        <v>0</v>
      </c>
      <c r="F343" s="1353">
        <f t="shared" si="105"/>
        <v>0</v>
      </c>
      <c r="G343" s="1353">
        <f t="shared" si="105"/>
        <v>0</v>
      </c>
      <c r="H343" s="1353">
        <f t="shared" si="105"/>
        <v>0</v>
      </c>
      <c r="I343" s="1353">
        <f t="shared" si="105"/>
        <v>0</v>
      </c>
      <c r="J343" s="1353">
        <f t="shared" si="105"/>
        <v>0</v>
      </c>
      <c r="T343" s="1374"/>
      <c r="U343" s="1374"/>
      <c r="V343" s="1374"/>
      <c r="W343" s="1374"/>
      <c r="X343" s="1374"/>
      <c r="Z343" s="1378"/>
      <c r="AA343" s="1378"/>
      <c r="AB343" s="1378"/>
      <c r="AC343" s="1378"/>
      <c r="AD343" s="1378"/>
      <c r="AK343" s="1354">
        <f t="shared" ref="AK343:AK406" si="106">SUM(C343:D343,F343:J343)</f>
        <v>0</v>
      </c>
      <c r="AL343" s="1352">
        <f t="shared" si="99"/>
        <v>42</v>
      </c>
      <c r="AM343" s="1354">
        <f t="shared" ref="AM343:AM406" si="107">J343-D343</f>
        <v>0</v>
      </c>
      <c r="AN343" s="1352" t="str">
        <f t="shared" ref="AN343:AN406" si="108">B343</f>
        <v>Beach and Boardwalk Operations</v>
      </c>
    </row>
    <row r="344" spans="1:40" x14ac:dyDescent="0.2">
      <c r="B344" s="1373" t="str">
        <f>"Total- "&amp;A336</f>
        <v>Total- Recreation</v>
      </c>
      <c r="C344" s="1360">
        <f>SUM(C337:C343)</f>
        <v>0</v>
      </c>
      <c r="D344" s="1360">
        <f>SUM(D337:D343)</f>
        <v>100</v>
      </c>
      <c r="E344" s="1356">
        <f t="shared" si="104"/>
        <v>0</v>
      </c>
      <c r="F344" s="1360">
        <f>SUM(F337:F343)</f>
        <v>102</v>
      </c>
      <c r="G344" s="1360">
        <f>SUM(G337:G343)</f>
        <v>104.04</v>
      </c>
      <c r="H344" s="1360">
        <f>SUM(H337:H343)</f>
        <v>106.1208</v>
      </c>
      <c r="I344" s="1360">
        <f>SUM(I337:I343)</f>
        <v>108.243216</v>
      </c>
      <c r="J344" s="1360">
        <f>SUM(J337:J343)</f>
        <v>110.40808032000001</v>
      </c>
      <c r="T344" s="1374"/>
      <c r="U344" s="1374"/>
      <c r="V344" s="1374"/>
      <c r="W344" s="1374"/>
      <c r="X344" s="1374"/>
      <c r="Z344" s="1378"/>
      <c r="AA344" s="1378"/>
      <c r="AB344" s="1378"/>
      <c r="AC344" s="1378"/>
      <c r="AD344" s="1378"/>
      <c r="AK344" s="1354"/>
      <c r="AL344" s="1352"/>
      <c r="AM344" s="1354"/>
      <c r="AN344" s="1352"/>
    </row>
    <row r="345" spans="1:40" x14ac:dyDescent="0.2">
      <c r="E345" s="1351"/>
      <c r="T345" s="1374"/>
      <c r="U345" s="1374"/>
      <c r="V345" s="1374"/>
      <c r="W345" s="1374"/>
      <c r="X345" s="1374"/>
      <c r="Z345" s="1378"/>
      <c r="AA345" s="1378"/>
      <c r="AB345" s="1378"/>
      <c r="AC345" s="1378"/>
      <c r="AD345" s="1378"/>
      <c r="AK345" s="1354"/>
      <c r="AL345" s="1352"/>
      <c r="AM345" s="1354"/>
      <c r="AN345" s="1352"/>
    </row>
    <row r="346" spans="1:40" x14ac:dyDescent="0.2">
      <c r="A346" s="1364" t="s">
        <v>5446</v>
      </c>
      <c r="B346" s="1365"/>
      <c r="C346" s="1364"/>
      <c r="D346" s="1364"/>
      <c r="E346" s="1366"/>
      <c r="F346" s="1364"/>
      <c r="G346" s="1364"/>
      <c r="H346" s="1364"/>
      <c r="I346" s="1364"/>
      <c r="J346" s="1364"/>
      <c r="T346" s="1374"/>
      <c r="U346" s="1374"/>
      <c r="V346" s="1374"/>
      <c r="W346" s="1374"/>
      <c r="X346" s="1374"/>
      <c r="Z346" s="1378"/>
      <c r="AA346" s="1378"/>
      <c r="AB346" s="1378"/>
      <c r="AC346" s="1378"/>
      <c r="AD346" s="1378"/>
      <c r="AK346" s="1354"/>
      <c r="AL346" s="1352"/>
      <c r="AM346" s="1354"/>
      <c r="AN346" s="1352"/>
    </row>
    <row r="347" spans="1:40" x14ac:dyDescent="0.2">
      <c r="A347" s="1324" t="s">
        <v>5106</v>
      </c>
      <c r="B347" s="1324" t="s">
        <v>5521</v>
      </c>
      <c r="C347" s="1353">
        <f t="shared" ref="C347:D355" si="109">SUMIF($A$504:$A$1172,$A347,C$504:C$1172)</f>
        <v>0</v>
      </c>
      <c r="D347" s="1353">
        <f t="shared" si="109"/>
        <v>0</v>
      </c>
      <c r="E347" s="1351">
        <f t="shared" ref="E347:E356" si="110">IFERROR(D347/C347-1,0)</f>
        <v>0</v>
      </c>
      <c r="F347" s="1353">
        <f t="shared" ref="F347:J355" si="111">SUMIF($A$504:$A$1172,$A347,F$504:F$1172)</f>
        <v>0</v>
      </c>
      <c r="G347" s="1353">
        <f t="shared" si="111"/>
        <v>0</v>
      </c>
      <c r="H347" s="1353">
        <f t="shared" si="111"/>
        <v>0</v>
      </c>
      <c r="I347" s="1353">
        <f t="shared" si="111"/>
        <v>0</v>
      </c>
      <c r="J347" s="1353">
        <f t="shared" si="111"/>
        <v>0</v>
      </c>
      <c r="T347" s="1374"/>
      <c r="U347" s="1374"/>
      <c r="V347" s="1374"/>
      <c r="W347" s="1374"/>
      <c r="X347" s="1374"/>
      <c r="Z347" s="1378"/>
      <c r="AA347" s="1378"/>
      <c r="AB347" s="1378"/>
      <c r="AC347" s="1378"/>
      <c r="AD347" s="1378"/>
      <c r="AK347" s="1354">
        <f t="shared" si="106"/>
        <v>0</v>
      </c>
      <c r="AL347" s="1352">
        <f t="shared" si="99"/>
        <v>42</v>
      </c>
      <c r="AM347" s="1354">
        <f t="shared" si="107"/>
        <v>0</v>
      </c>
      <c r="AN347" s="1352" t="str">
        <f t="shared" si="108"/>
        <v>Maintenance of Free Public Library (Outside CAP)</v>
      </c>
    </row>
    <row r="348" spans="1:40" x14ac:dyDescent="0.2">
      <c r="A348" s="1324" t="s">
        <v>5196</v>
      </c>
      <c r="B348" s="1324" t="s">
        <v>5522</v>
      </c>
      <c r="C348" s="1353">
        <f t="shared" si="109"/>
        <v>0</v>
      </c>
      <c r="D348" s="1353">
        <f t="shared" si="109"/>
        <v>0</v>
      </c>
      <c r="E348" s="1351">
        <f t="shared" si="110"/>
        <v>0</v>
      </c>
      <c r="F348" s="1353">
        <f t="shared" si="111"/>
        <v>0</v>
      </c>
      <c r="G348" s="1353">
        <f t="shared" si="111"/>
        <v>0</v>
      </c>
      <c r="H348" s="1353">
        <f t="shared" si="111"/>
        <v>0</v>
      </c>
      <c r="I348" s="1353">
        <f t="shared" si="111"/>
        <v>0</v>
      </c>
      <c r="J348" s="1353">
        <f t="shared" si="111"/>
        <v>0</v>
      </c>
      <c r="T348" s="1374"/>
      <c r="U348" s="1374"/>
      <c r="V348" s="1374"/>
      <c r="W348" s="1374"/>
      <c r="X348" s="1374"/>
      <c r="Z348" s="1378"/>
      <c r="AA348" s="1378"/>
      <c r="AB348" s="1378"/>
      <c r="AC348" s="1378"/>
      <c r="AD348" s="1378"/>
      <c r="AK348" s="1354">
        <f t="shared" si="106"/>
        <v>0</v>
      </c>
      <c r="AL348" s="1352">
        <f t="shared" si="99"/>
        <v>42</v>
      </c>
      <c r="AM348" s="1354">
        <f t="shared" si="107"/>
        <v>0</v>
      </c>
      <c r="AN348" s="1352" t="str">
        <f t="shared" si="108"/>
        <v>Additional Aid to Municipal Library (Outside CAP)</v>
      </c>
    </row>
    <row r="349" spans="1:40" x14ac:dyDescent="0.2">
      <c r="A349" s="1324" t="s">
        <v>5197</v>
      </c>
      <c r="B349" s="1324" t="s">
        <v>5523</v>
      </c>
      <c r="C349" s="1353">
        <f t="shared" si="109"/>
        <v>0</v>
      </c>
      <c r="D349" s="1353">
        <f t="shared" si="109"/>
        <v>0</v>
      </c>
      <c r="E349" s="1351">
        <f t="shared" si="110"/>
        <v>0</v>
      </c>
      <c r="F349" s="1353">
        <f t="shared" si="111"/>
        <v>0</v>
      </c>
      <c r="G349" s="1353">
        <f t="shared" si="111"/>
        <v>0</v>
      </c>
      <c r="H349" s="1353">
        <f t="shared" si="111"/>
        <v>0</v>
      </c>
      <c r="I349" s="1353">
        <f t="shared" si="111"/>
        <v>0</v>
      </c>
      <c r="J349" s="1353">
        <f t="shared" si="111"/>
        <v>0</v>
      </c>
      <c r="T349" s="1374"/>
      <c r="U349" s="1374"/>
      <c r="V349" s="1374"/>
      <c r="W349" s="1374"/>
      <c r="X349" s="1374"/>
      <c r="Z349" s="1378"/>
      <c r="AA349" s="1378"/>
      <c r="AB349" s="1378"/>
      <c r="AC349" s="1378"/>
      <c r="AD349" s="1378"/>
      <c r="AK349" s="1354">
        <f t="shared" si="106"/>
        <v>0</v>
      </c>
      <c r="AL349" s="1352">
        <f t="shared" si="99"/>
        <v>42</v>
      </c>
      <c r="AM349" s="1354">
        <f t="shared" si="107"/>
        <v>0</v>
      </c>
      <c r="AN349" s="1352" t="str">
        <f t="shared" si="108"/>
        <v>County Library (Inside CAP)</v>
      </c>
    </row>
    <row r="350" spans="1:40" x14ac:dyDescent="0.2">
      <c r="A350" s="1324" t="s">
        <v>5284</v>
      </c>
      <c r="B350" s="1324" t="s">
        <v>5524</v>
      </c>
      <c r="C350" s="1353">
        <f t="shared" si="109"/>
        <v>0</v>
      </c>
      <c r="D350" s="1353">
        <f t="shared" si="109"/>
        <v>0</v>
      </c>
      <c r="E350" s="1351">
        <f t="shared" si="110"/>
        <v>0</v>
      </c>
      <c r="F350" s="1353">
        <f t="shared" si="111"/>
        <v>0</v>
      </c>
      <c r="G350" s="1353">
        <f t="shared" si="111"/>
        <v>0</v>
      </c>
      <c r="H350" s="1353">
        <f t="shared" si="111"/>
        <v>0</v>
      </c>
      <c r="I350" s="1353">
        <f t="shared" si="111"/>
        <v>0</v>
      </c>
      <c r="J350" s="1353">
        <f t="shared" si="111"/>
        <v>0</v>
      </c>
      <c r="T350" s="1374"/>
      <c r="U350" s="1374"/>
      <c r="V350" s="1374"/>
      <c r="W350" s="1374"/>
      <c r="X350" s="1374"/>
      <c r="Z350" s="1378"/>
      <c r="AA350" s="1378"/>
      <c r="AB350" s="1378"/>
      <c r="AC350" s="1378"/>
      <c r="AD350" s="1378"/>
      <c r="AK350" s="1354">
        <f t="shared" si="106"/>
        <v>0</v>
      </c>
      <c r="AL350" s="1352">
        <f t="shared" si="99"/>
        <v>42</v>
      </c>
      <c r="AM350" s="1354">
        <f t="shared" si="107"/>
        <v>0</v>
      </c>
      <c r="AN350" s="1352" t="str">
        <f t="shared" si="108"/>
        <v>Aid to Private Library</v>
      </c>
    </row>
    <row r="351" spans="1:40" x14ac:dyDescent="0.2">
      <c r="A351" s="1324" t="s">
        <v>5459</v>
      </c>
      <c r="B351" s="1324" t="s">
        <v>5525</v>
      </c>
      <c r="C351" s="1353">
        <f t="shared" si="109"/>
        <v>0</v>
      </c>
      <c r="D351" s="1353">
        <f t="shared" si="109"/>
        <v>0</v>
      </c>
      <c r="E351" s="1351">
        <f t="shared" si="110"/>
        <v>0</v>
      </c>
      <c r="F351" s="1353">
        <f t="shared" si="111"/>
        <v>0</v>
      </c>
      <c r="G351" s="1353">
        <f t="shared" si="111"/>
        <v>0</v>
      </c>
      <c r="H351" s="1353">
        <f t="shared" si="111"/>
        <v>0</v>
      </c>
      <c r="I351" s="1353">
        <f t="shared" si="111"/>
        <v>0</v>
      </c>
      <c r="J351" s="1353">
        <f t="shared" si="111"/>
        <v>0</v>
      </c>
      <c r="T351" s="1374"/>
      <c r="U351" s="1374"/>
      <c r="V351" s="1374"/>
      <c r="W351" s="1374"/>
      <c r="X351" s="1374"/>
      <c r="Z351" s="1378"/>
      <c r="AA351" s="1378"/>
      <c r="AB351" s="1378"/>
      <c r="AC351" s="1378"/>
      <c r="AD351" s="1378"/>
      <c r="AK351" s="1354">
        <f t="shared" si="106"/>
        <v>0</v>
      </c>
      <c r="AL351" s="1352">
        <f t="shared" si="99"/>
        <v>42</v>
      </c>
      <c r="AM351" s="1354">
        <f t="shared" si="107"/>
        <v>0</v>
      </c>
      <c r="AN351" s="1352" t="str">
        <f t="shared" si="108"/>
        <v>Contribution to County College</v>
      </c>
    </row>
    <row r="352" spans="1:40" x14ac:dyDescent="0.2">
      <c r="A352" s="1324" t="s">
        <v>5460</v>
      </c>
      <c r="B352" s="1324" t="s">
        <v>5526</v>
      </c>
      <c r="C352" s="1353">
        <f t="shared" si="109"/>
        <v>0</v>
      </c>
      <c r="D352" s="1353">
        <f t="shared" si="109"/>
        <v>0</v>
      </c>
      <c r="E352" s="1351">
        <f t="shared" si="110"/>
        <v>0</v>
      </c>
      <c r="F352" s="1353">
        <f t="shared" si="111"/>
        <v>0</v>
      </c>
      <c r="G352" s="1353">
        <f t="shared" si="111"/>
        <v>0</v>
      </c>
      <c r="H352" s="1353">
        <f t="shared" si="111"/>
        <v>0</v>
      </c>
      <c r="I352" s="1353">
        <f t="shared" si="111"/>
        <v>0</v>
      </c>
      <c r="J352" s="1353">
        <f t="shared" si="111"/>
        <v>0</v>
      </c>
      <c r="T352" s="1374"/>
      <c r="U352" s="1374"/>
      <c r="V352" s="1374"/>
      <c r="W352" s="1374"/>
      <c r="X352" s="1374"/>
      <c r="Z352" s="1378"/>
      <c r="AA352" s="1378"/>
      <c r="AB352" s="1378"/>
      <c r="AC352" s="1378"/>
      <c r="AD352" s="1378"/>
      <c r="AK352" s="1354">
        <f t="shared" si="106"/>
        <v>0</v>
      </c>
      <c r="AL352" s="1352">
        <f t="shared" si="99"/>
        <v>42</v>
      </c>
      <c r="AM352" s="1354">
        <f t="shared" si="107"/>
        <v>0</v>
      </c>
      <c r="AN352" s="1352" t="str">
        <f t="shared" si="108"/>
        <v>Contribution to County Technical School</v>
      </c>
    </row>
    <row r="353" spans="1:40" x14ac:dyDescent="0.2">
      <c r="A353" s="1324" t="s">
        <v>550</v>
      </c>
      <c r="B353" s="1324" t="s">
        <v>5527</v>
      </c>
      <c r="C353" s="1353">
        <f t="shared" si="109"/>
        <v>0</v>
      </c>
      <c r="D353" s="1353">
        <f t="shared" si="109"/>
        <v>0</v>
      </c>
      <c r="E353" s="1351">
        <f t="shared" si="110"/>
        <v>0</v>
      </c>
      <c r="F353" s="1353">
        <f t="shared" si="111"/>
        <v>0</v>
      </c>
      <c r="G353" s="1353">
        <f t="shared" si="111"/>
        <v>0</v>
      </c>
      <c r="H353" s="1353">
        <f t="shared" si="111"/>
        <v>0</v>
      </c>
      <c r="I353" s="1353">
        <f t="shared" si="111"/>
        <v>0</v>
      </c>
      <c r="J353" s="1353">
        <f t="shared" si="111"/>
        <v>0</v>
      </c>
      <c r="T353" s="1374"/>
      <c r="U353" s="1374"/>
      <c r="V353" s="1374"/>
      <c r="W353" s="1374"/>
      <c r="X353" s="1374"/>
      <c r="Z353" s="1378"/>
      <c r="AA353" s="1378"/>
      <c r="AB353" s="1378"/>
      <c r="AC353" s="1378"/>
      <c r="AD353" s="1378"/>
      <c r="AK353" s="1354">
        <f t="shared" si="106"/>
        <v>0</v>
      </c>
      <c r="AL353" s="1352">
        <f t="shared" si="99"/>
        <v>42</v>
      </c>
      <c r="AM353" s="1354">
        <f t="shared" si="107"/>
        <v>0</v>
      </c>
      <c r="AN353" s="1352" t="str">
        <f t="shared" si="108"/>
        <v>Contribution to Local School Board</v>
      </c>
    </row>
    <row r="354" spans="1:40" x14ac:dyDescent="0.2">
      <c r="A354" s="1324" t="s">
        <v>556</v>
      </c>
      <c r="B354" s="1324" t="s">
        <v>279</v>
      </c>
      <c r="C354" s="1353">
        <f t="shared" si="109"/>
        <v>0</v>
      </c>
      <c r="D354" s="1353">
        <f t="shared" si="109"/>
        <v>0</v>
      </c>
      <c r="E354" s="1351">
        <f t="shared" si="110"/>
        <v>0</v>
      </c>
      <c r="F354" s="1353">
        <f t="shared" si="111"/>
        <v>0</v>
      </c>
      <c r="G354" s="1353">
        <f t="shared" si="111"/>
        <v>0</v>
      </c>
      <c r="H354" s="1353">
        <f t="shared" si="111"/>
        <v>0</v>
      </c>
      <c r="I354" s="1353">
        <f t="shared" si="111"/>
        <v>0</v>
      </c>
      <c r="J354" s="1353">
        <f t="shared" si="111"/>
        <v>0</v>
      </c>
      <c r="T354" s="1374"/>
      <c r="U354" s="1374"/>
      <c r="V354" s="1374"/>
      <c r="W354" s="1374"/>
      <c r="X354" s="1374"/>
      <c r="Z354" s="1378"/>
      <c r="AA354" s="1378"/>
      <c r="AB354" s="1378"/>
      <c r="AC354" s="1378"/>
      <c r="AD354" s="1378"/>
      <c r="AK354" s="1354">
        <f t="shared" si="106"/>
        <v>0</v>
      </c>
      <c r="AL354" s="1352">
        <f t="shared" si="99"/>
        <v>42</v>
      </c>
      <c r="AM354" s="1354">
        <f t="shared" si="107"/>
        <v>0</v>
      </c>
      <c r="AN354" s="1352" t="str">
        <f t="shared" si="108"/>
        <v>Emergency Authorizations - Schools</v>
      </c>
    </row>
    <row r="355" spans="1:40" x14ac:dyDescent="0.2">
      <c r="A355" s="1324" t="s">
        <v>557</v>
      </c>
      <c r="B355" s="1324" t="s">
        <v>5528</v>
      </c>
      <c r="C355" s="1353">
        <f t="shared" si="109"/>
        <v>0</v>
      </c>
      <c r="D355" s="1353">
        <f t="shared" si="109"/>
        <v>0</v>
      </c>
      <c r="E355" s="1351">
        <f t="shared" si="110"/>
        <v>0</v>
      </c>
      <c r="F355" s="1353">
        <f t="shared" si="111"/>
        <v>0</v>
      </c>
      <c r="G355" s="1353">
        <f t="shared" si="111"/>
        <v>0</v>
      </c>
      <c r="H355" s="1353">
        <f t="shared" si="111"/>
        <v>0</v>
      </c>
      <c r="I355" s="1353">
        <f t="shared" si="111"/>
        <v>0</v>
      </c>
      <c r="J355" s="1353">
        <f t="shared" si="111"/>
        <v>0</v>
      </c>
      <c r="T355" s="1374"/>
      <c r="U355" s="1374"/>
      <c r="V355" s="1374"/>
      <c r="W355" s="1374"/>
      <c r="X355" s="1374"/>
      <c r="Z355" s="1378"/>
      <c r="AA355" s="1378"/>
      <c r="AB355" s="1378"/>
      <c r="AC355" s="1378"/>
      <c r="AD355" s="1378"/>
      <c r="AK355" s="1354">
        <f t="shared" si="106"/>
        <v>0</v>
      </c>
      <c r="AL355" s="1352">
        <f t="shared" si="99"/>
        <v>42</v>
      </c>
      <c r="AM355" s="1354">
        <f t="shared" si="107"/>
        <v>0</v>
      </c>
      <c r="AN355" s="1352" t="str">
        <f t="shared" si="108"/>
        <v>Capital Projects - Schools</v>
      </c>
    </row>
    <row r="356" spans="1:40" x14ac:dyDescent="0.2">
      <c r="B356" s="1373" t="str">
        <f>"Total- "&amp;A346</f>
        <v>Total- Education (Including Library)</v>
      </c>
      <c r="C356" s="1360">
        <f>SUM(C347:C355)</f>
        <v>0</v>
      </c>
      <c r="D356" s="1360">
        <f>SUM(D347:D355)</f>
        <v>0</v>
      </c>
      <c r="E356" s="1356">
        <f t="shared" si="110"/>
        <v>0</v>
      </c>
      <c r="F356" s="1360">
        <f>SUM(F347:F355)</f>
        <v>0</v>
      </c>
      <c r="G356" s="1360">
        <f>SUM(G347:G355)</f>
        <v>0</v>
      </c>
      <c r="H356" s="1360">
        <f>SUM(H347:H355)</f>
        <v>0</v>
      </c>
      <c r="I356" s="1360">
        <f>SUM(I347:I355)</f>
        <v>0</v>
      </c>
      <c r="J356" s="1360">
        <f>SUM(J347:J355)</f>
        <v>0</v>
      </c>
      <c r="T356" s="1374"/>
      <c r="U356" s="1374"/>
      <c r="V356" s="1374"/>
      <c r="W356" s="1374"/>
      <c r="X356" s="1374"/>
      <c r="Z356" s="1378"/>
      <c r="AA356" s="1378"/>
      <c r="AB356" s="1378"/>
      <c r="AC356" s="1378"/>
      <c r="AD356" s="1378"/>
      <c r="AK356" s="1354"/>
      <c r="AL356" s="1352"/>
      <c r="AM356" s="1354"/>
      <c r="AN356" s="1352"/>
    </row>
    <row r="357" spans="1:40" x14ac:dyDescent="0.2">
      <c r="E357" s="1351"/>
      <c r="T357" s="1374"/>
      <c r="U357" s="1374"/>
      <c r="V357" s="1374"/>
      <c r="W357" s="1374"/>
      <c r="X357" s="1374"/>
      <c r="Z357" s="1378"/>
      <c r="AA357" s="1378"/>
      <c r="AB357" s="1378"/>
      <c r="AC357" s="1378"/>
      <c r="AD357" s="1378"/>
      <c r="AK357" s="1354"/>
      <c r="AL357" s="1352"/>
      <c r="AM357" s="1354"/>
      <c r="AN357" s="1352"/>
    </row>
    <row r="358" spans="1:40" x14ac:dyDescent="0.2">
      <c r="A358" s="1364" t="s">
        <v>5447</v>
      </c>
      <c r="B358" s="1365"/>
      <c r="C358" s="1364"/>
      <c r="D358" s="1364"/>
      <c r="E358" s="1366"/>
      <c r="F358" s="1364"/>
      <c r="G358" s="1364"/>
      <c r="H358" s="1364"/>
      <c r="I358" s="1364"/>
      <c r="J358" s="1364"/>
      <c r="T358" s="1374"/>
      <c r="U358" s="1374"/>
      <c r="V358" s="1374"/>
      <c r="W358" s="1374"/>
      <c r="X358" s="1374"/>
      <c r="Z358" s="1378"/>
      <c r="AA358" s="1378"/>
      <c r="AB358" s="1378"/>
      <c r="AC358" s="1378"/>
      <c r="AD358" s="1378"/>
      <c r="AK358" s="1354"/>
      <c r="AL358" s="1352"/>
      <c r="AM358" s="1354"/>
      <c r="AN358" s="1352"/>
    </row>
    <row r="359" spans="1:40" x14ac:dyDescent="0.2">
      <c r="A359" s="1324" t="s">
        <v>5068</v>
      </c>
      <c r="B359" s="1324" t="s">
        <v>5529</v>
      </c>
      <c r="C359" s="1353">
        <f t="shared" ref="C359:D371" si="112">SUMIF($A$504:$A$1172,$A359,C$504:C$1172)</f>
        <v>0</v>
      </c>
      <c r="D359" s="1353">
        <f t="shared" si="112"/>
        <v>0</v>
      </c>
      <c r="E359" s="1351">
        <f t="shared" ref="E359:E372" si="113">IFERROR(D359/C359-1,0)</f>
        <v>0</v>
      </c>
      <c r="F359" s="1353">
        <f t="shared" ref="F359:J371" si="114">SUMIF($A$504:$A$1172,$A359,F$504:F$1172)</f>
        <v>0</v>
      </c>
      <c r="G359" s="1353">
        <f t="shared" si="114"/>
        <v>0</v>
      </c>
      <c r="H359" s="1353">
        <f t="shared" si="114"/>
        <v>0</v>
      </c>
      <c r="I359" s="1353">
        <f t="shared" si="114"/>
        <v>0</v>
      </c>
      <c r="J359" s="1353">
        <f t="shared" si="114"/>
        <v>0</v>
      </c>
      <c r="T359" s="1374"/>
      <c r="U359" s="1374"/>
      <c r="V359" s="1374"/>
      <c r="W359" s="1374"/>
      <c r="X359" s="1374"/>
      <c r="Z359" s="1378"/>
      <c r="AA359" s="1378"/>
      <c r="AB359" s="1378"/>
      <c r="AC359" s="1378"/>
      <c r="AD359" s="1378"/>
      <c r="AK359" s="1354">
        <f t="shared" si="106"/>
        <v>0</v>
      </c>
      <c r="AL359" s="1352">
        <f t="shared" si="99"/>
        <v>42</v>
      </c>
      <c r="AM359" s="1354">
        <f t="shared" si="107"/>
        <v>0</v>
      </c>
      <c r="AN359" s="1352" t="str">
        <f t="shared" si="108"/>
        <v>Prior Year's Bills</v>
      </c>
    </row>
    <row r="360" spans="1:40" x14ac:dyDescent="0.2">
      <c r="A360" s="1324" t="s">
        <v>5285</v>
      </c>
      <c r="B360" s="1324" t="s">
        <v>5463</v>
      </c>
      <c r="C360" s="1353">
        <f t="shared" si="112"/>
        <v>0</v>
      </c>
      <c r="D360" s="1353">
        <f t="shared" si="112"/>
        <v>0</v>
      </c>
      <c r="E360" s="1351">
        <f t="shared" si="113"/>
        <v>0</v>
      </c>
      <c r="F360" s="1353">
        <f t="shared" si="114"/>
        <v>0</v>
      </c>
      <c r="G360" s="1353">
        <f t="shared" si="114"/>
        <v>0</v>
      </c>
      <c r="H360" s="1353">
        <f t="shared" si="114"/>
        <v>0</v>
      </c>
      <c r="I360" s="1353">
        <f t="shared" si="114"/>
        <v>0</v>
      </c>
      <c r="J360" s="1353">
        <f t="shared" si="114"/>
        <v>0</v>
      </c>
      <c r="T360" s="1374"/>
      <c r="U360" s="1374"/>
      <c r="V360" s="1374"/>
      <c r="W360" s="1374"/>
      <c r="X360" s="1374"/>
      <c r="Z360" s="1378"/>
      <c r="AA360" s="1378"/>
      <c r="AB360" s="1378"/>
      <c r="AC360" s="1378"/>
      <c r="AD360" s="1378"/>
      <c r="AK360" s="1354">
        <f t="shared" si="106"/>
        <v>0</v>
      </c>
      <c r="AL360" s="1352">
        <f t="shared" si="99"/>
        <v>42</v>
      </c>
      <c r="AM360" s="1354">
        <f t="shared" si="107"/>
        <v>0</v>
      </c>
      <c r="AN360" s="1352" t="str">
        <f t="shared" si="108"/>
        <v>"User Defined" Unclassified</v>
      </c>
    </row>
    <row r="361" spans="1:40" x14ac:dyDescent="0.2">
      <c r="A361" s="1324" t="s">
        <v>5286</v>
      </c>
      <c r="B361" s="1324" t="s">
        <v>5463</v>
      </c>
      <c r="C361" s="1353">
        <f t="shared" si="112"/>
        <v>0</v>
      </c>
      <c r="D361" s="1353">
        <f t="shared" si="112"/>
        <v>0</v>
      </c>
      <c r="E361" s="1351">
        <f t="shared" si="113"/>
        <v>0</v>
      </c>
      <c r="F361" s="1353">
        <f t="shared" si="114"/>
        <v>0</v>
      </c>
      <c r="G361" s="1353">
        <f t="shared" si="114"/>
        <v>0</v>
      </c>
      <c r="H361" s="1353">
        <f t="shared" si="114"/>
        <v>0</v>
      </c>
      <c r="I361" s="1353">
        <f t="shared" si="114"/>
        <v>0</v>
      </c>
      <c r="J361" s="1353">
        <f t="shared" si="114"/>
        <v>0</v>
      </c>
      <c r="T361" s="1374"/>
      <c r="U361" s="1374"/>
      <c r="V361" s="1374"/>
      <c r="W361" s="1374"/>
      <c r="X361" s="1374"/>
      <c r="Z361" s="1378"/>
      <c r="AA361" s="1378"/>
      <c r="AB361" s="1378"/>
      <c r="AC361" s="1378"/>
      <c r="AD361" s="1378"/>
      <c r="AK361" s="1354">
        <f t="shared" si="106"/>
        <v>0</v>
      </c>
      <c r="AL361" s="1352">
        <f t="shared" si="99"/>
        <v>42</v>
      </c>
      <c r="AM361" s="1354">
        <f t="shared" si="107"/>
        <v>0</v>
      </c>
      <c r="AN361" s="1352" t="str">
        <f t="shared" si="108"/>
        <v>"User Defined" Unclassified</v>
      </c>
    </row>
    <row r="362" spans="1:40" x14ac:dyDescent="0.2">
      <c r="A362" s="1324" t="s">
        <v>5287</v>
      </c>
      <c r="B362" s="1324" t="s">
        <v>5463</v>
      </c>
      <c r="C362" s="1353">
        <f t="shared" si="112"/>
        <v>0</v>
      </c>
      <c r="D362" s="1353">
        <f t="shared" si="112"/>
        <v>0</v>
      </c>
      <c r="E362" s="1351">
        <f t="shared" si="113"/>
        <v>0</v>
      </c>
      <c r="F362" s="1353">
        <f t="shared" si="114"/>
        <v>0</v>
      </c>
      <c r="G362" s="1353">
        <f t="shared" si="114"/>
        <v>0</v>
      </c>
      <c r="H362" s="1353">
        <f t="shared" si="114"/>
        <v>0</v>
      </c>
      <c r="I362" s="1353">
        <f t="shared" si="114"/>
        <v>0</v>
      </c>
      <c r="J362" s="1353">
        <f t="shared" si="114"/>
        <v>0</v>
      </c>
      <c r="T362" s="1374"/>
      <c r="U362" s="1374"/>
      <c r="V362" s="1374"/>
      <c r="W362" s="1374"/>
      <c r="X362" s="1374"/>
      <c r="Z362" s="1378"/>
      <c r="AA362" s="1378"/>
      <c r="AB362" s="1378"/>
      <c r="AC362" s="1378"/>
      <c r="AD362" s="1378"/>
      <c r="AK362" s="1354">
        <f t="shared" si="106"/>
        <v>0</v>
      </c>
      <c r="AL362" s="1352">
        <f t="shared" si="99"/>
        <v>42</v>
      </c>
      <c r="AM362" s="1354">
        <f t="shared" si="107"/>
        <v>0</v>
      </c>
      <c r="AN362" s="1352" t="str">
        <f t="shared" si="108"/>
        <v>"User Defined" Unclassified</v>
      </c>
    </row>
    <row r="363" spans="1:40" x14ac:dyDescent="0.2">
      <c r="A363" s="1324" t="s">
        <v>5288</v>
      </c>
      <c r="B363" s="1324" t="s">
        <v>5463</v>
      </c>
      <c r="C363" s="1353">
        <f t="shared" si="112"/>
        <v>0</v>
      </c>
      <c r="D363" s="1353">
        <f t="shared" si="112"/>
        <v>0</v>
      </c>
      <c r="E363" s="1351">
        <f t="shared" si="113"/>
        <v>0</v>
      </c>
      <c r="F363" s="1353">
        <f t="shared" si="114"/>
        <v>0</v>
      </c>
      <c r="G363" s="1353">
        <f t="shared" si="114"/>
        <v>0</v>
      </c>
      <c r="H363" s="1353">
        <f t="shared" si="114"/>
        <v>0</v>
      </c>
      <c r="I363" s="1353">
        <f t="shared" si="114"/>
        <v>0</v>
      </c>
      <c r="J363" s="1353">
        <f t="shared" si="114"/>
        <v>0</v>
      </c>
      <c r="T363" s="1374"/>
      <c r="U363" s="1374"/>
      <c r="V363" s="1374"/>
      <c r="W363" s="1374"/>
      <c r="X363" s="1374"/>
      <c r="Z363" s="1378"/>
      <c r="AA363" s="1378"/>
      <c r="AB363" s="1378"/>
      <c r="AC363" s="1378"/>
      <c r="AD363" s="1378"/>
      <c r="AK363" s="1354">
        <f t="shared" si="106"/>
        <v>0</v>
      </c>
      <c r="AL363" s="1352">
        <f t="shared" si="99"/>
        <v>42</v>
      </c>
      <c r="AM363" s="1354">
        <f t="shared" si="107"/>
        <v>0</v>
      </c>
      <c r="AN363" s="1352" t="str">
        <f t="shared" si="108"/>
        <v>"User Defined" Unclassified</v>
      </c>
    </row>
    <row r="364" spans="1:40" x14ac:dyDescent="0.2">
      <c r="A364" s="1324" t="s">
        <v>5093</v>
      </c>
      <c r="B364" s="1324" t="s">
        <v>5463</v>
      </c>
      <c r="C364" s="1353">
        <f t="shared" si="112"/>
        <v>0</v>
      </c>
      <c r="D364" s="1353">
        <f t="shared" si="112"/>
        <v>0</v>
      </c>
      <c r="E364" s="1351">
        <f t="shared" si="113"/>
        <v>0</v>
      </c>
      <c r="F364" s="1353">
        <f t="shared" si="114"/>
        <v>0</v>
      </c>
      <c r="G364" s="1353">
        <f t="shared" si="114"/>
        <v>0</v>
      </c>
      <c r="H364" s="1353">
        <f t="shared" si="114"/>
        <v>0</v>
      </c>
      <c r="I364" s="1353">
        <f t="shared" si="114"/>
        <v>0</v>
      </c>
      <c r="J364" s="1353">
        <f t="shared" si="114"/>
        <v>0</v>
      </c>
      <c r="T364" s="1374"/>
      <c r="U364" s="1374"/>
      <c r="V364" s="1374"/>
      <c r="W364" s="1374"/>
      <c r="X364" s="1374"/>
      <c r="Z364" s="1378"/>
      <c r="AA364" s="1378"/>
      <c r="AB364" s="1378"/>
      <c r="AC364" s="1378"/>
      <c r="AD364" s="1378"/>
      <c r="AK364" s="1354">
        <f t="shared" si="106"/>
        <v>0</v>
      </c>
      <c r="AL364" s="1352">
        <f t="shared" si="99"/>
        <v>42</v>
      </c>
      <c r="AM364" s="1354">
        <f t="shared" si="107"/>
        <v>0</v>
      </c>
      <c r="AN364" s="1352" t="str">
        <f t="shared" si="108"/>
        <v>"User Defined" Unclassified</v>
      </c>
    </row>
    <row r="365" spans="1:40" x14ac:dyDescent="0.2">
      <c r="A365" s="1324" t="s">
        <v>5073</v>
      </c>
      <c r="B365" s="1324" t="s">
        <v>5530</v>
      </c>
      <c r="C365" s="1353">
        <f t="shared" si="112"/>
        <v>0</v>
      </c>
      <c r="D365" s="1353">
        <f t="shared" si="112"/>
        <v>0</v>
      </c>
      <c r="E365" s="1351">
        <f t="shared" si="113"/>
        <v>0</v>
      </c>
      <c r="F365" s="1353">
        <f t="shared" si="114"/>
        <v>0</v>
      </c>
      <c r="G365" s="1353">
        <f t="shared" si="114"/>
        <v>0</v>
      </c>
      <c r="H365" s="1353">
        <f t="shared" si="114"/>
        <v>0</v>
      </c>
      <c r="I365" s="1353">
        <f t="shared" si="114"/>
        <v>0</v>
      </c>
      <c r="J365" s="1353">
        <f t="shared" si="114"/>
        <v>0</v>
      </c>
      <c r="T365" s="1374"/>
      <c r="U365" s="1374"/>
      <c r="V365" s="1374"/>
      <c r="W365" s="1374"/>
      <c r="X365" s="1374"/>
      <c r="Z365" s="1378"/>
      <c r="AA365" s="1378"/>
      <c r="AB365" s="1378"/>
      <c r="AC365" s="1378"/>
      <c r="AD365" s="1378"/>
      <c r="AK365" s="1354">
        <f t="shared" si="106"/>
        <v>0</v>
      </c>
      <c r="AL365" s="1352">
        <f t="shared" si="99"/>
        <v>42</v>
      </c>
      <c r="AM365" s="1354">
        <f t="shared" si="107"/>
        <v>0</v>
      </c>
      <c r="AN365" s="1352" t="str">
        <f t="shared" si="108"/>
        <v>Accumulated Leave Compensation</v>
      </c>
    </row>
    <row r="366" spans="1:40" x14ac:dyDescent="0.2">
      <c r="A366" s="1324" t="s">
        <v>5080</v>
      </c>
      <c r="B366" s="1324" t="s">
        <v>5531</v>
      </c>
      <c r="C366" s="1353">
        <f t="shared" si="112"/>
        <v>0</v>
      </c>
      <c r="D366" s="1353">
        <f t="shared" si="112"/>
        <v>500</v>
      </c>
      <c r="E366" s="1351">
        <f t="shared" si="113"/>
        <v>0</v>
      </c>
      <c r="F366" s="1353">
        <f t="shared" si="114"/>
        <v>500</v>
      </c>
      <c r="G366" s="1353">
        <f t="shared" si="114"/>
        <v>500</v>
      </c>
      <c r="H366" s="1353">
        <f t="shared" si="114"/>
        <v>500</v>
      </c>
      <c r="I366" s="1353">
        <f t="shared" si="114"/>
        <v>500</v>
      </c>
      <c r="J366" s="1353">
        <f t="shared" si="114"/>
        <v>500</v>
      </c>
      <c r="T366" s="1374"/>
      <c r="U366" s="1374"/>
      <c r="V366" s="1374"/>
      <c r="W366" s="1374"/>
      <c r="X366" s="1374"/>
      <c r="Z366" s="1378"/>
      <c r="AA366" s="1378"/>
      <c r="AB366" s="1378"/>
      <c r="AC366" s="1378"/>
      <c r="AD366" s="1378"/>
      <c r="AK366" s="1354">
        <f t="shared" si="106"/>
        <v>3000</v>
      </c>
      <c r="AL366" s="1352">
        <f t="shared" si="99"/>
        <v>42</v>
      </c>
      <c r="AM366" s="1354">
        <f t="shared" si="107"/>
        <v>0</v>
      </c>
      <c r="AN366" s="1352" t="str">
        <f t="shared" si="108"/>
        <v>Celebration of Public Events</v>
      </c>
    </row>
    <row r="367" spans="1:40" x14ac:dyDescent="0.2">
      <c r="A367" s="1324" t="s">
        <v>5087</v>
      </c>
      <c r="B367" s="1324" t="s">
        <v>5532</v>
      </c>
      <c r="C367" s="1353">
        <f t="shared" si="112"/>
        <v>0</v>
      </c>
      <c r="D367" s="1353">
        <f t="shared" si="112"/>
        <v>0</v>
      </c>
      <c r="E367" s="1351">
        <f t="shared" si="113"/>
        <v>0</v>
      </c>
      <c r="F367" s="1353">
        <f t="shared" si="114"/>
        <v>0</v>
      </c>
      <c r="G367" s="1353">
        <f t="shared" si="114"/>
        <v>0</v>
      </c>
      <c r="H367" s="1353">
        <f t="shared" si="114"/>
        <v>0</v>
      </c>
      <c r="I367" s="1353">
        <f t="shared" si="114"/>
        <v>0</v>
      </c>
      <c r="J367" s="1353">
        <f t="shared" si="114"/>
        <v>0</v>
      </c>
      <c r="T367" s="1374"/>
      <c r="U367" s="1374"/>
      <c r="V367" s="1374"/>
      <c r="W367" s="1374"/>
      <c r="X367" s="1374"/>
      <c r="Z367" s="1378"/>
      <c r="AA367" s="1378"/>
      <c r="AB367" s="1378"/>
      <c r="AC367" s="1378"/>
      <c r="AD367" s="1378"/>
      <c r="AK367" s="1354">
        <f t="shared" si="106"/>
        <v>0</v>
      </c>
      <c r="AL367" s="1352">
        <f t="shared" si="99"/>
        <v>42</v>
      </c>
      <c r="AM367" s="1354">
        <f t="shared" si="107"/>
        <v>0</v>
      </c>
      <c r="AN367" s="1352" t="str">
        <f t="shared" si="108"/>
        <v>Salary and Wage Adjustments</v>
      </c>
    </row>
    <row r="368" spans="1:40" x14ac:dyDescent="0.2">
      <c r="A368" s="1324" t="s">
        <v>5109</v>
      </c>
      <c r="B368" s="1324" t="s">
        <v>5533</v>
      </c>
      <c r="C368" s="1353">
        <f t="shared" si="112"/>
        <v>0</v>
      </c>
      <c r="D368" s="1353">
        <f t="shared" si="112"/>
        <v>0</v>
      </c>
      <c r="E368" s="1351">
        <f t="shared" si="113"/>
        <v>0</v>
      </c>
      <c r="F368" s="1353">
        <f t="shared" si="114"/>
        <v>0</v>
      </c>
      <c r="G368" s="1353">
        <f t="shared" si="114"/>
        <v>0</v>
      </c>
      <c r="H368" s="1353">
        <f t="shared" si="114"/>
        <v>0</v>
      </c>
      <c r="I368" s="1353">
        <f t="shared" si="114"/>
        <v>0</v>
      </c>
      <c r="J368" s="1353">
        <f t="shared" si="114"/>
        <v>0</v>
      </c>
      <c r="T368" s="1374"/>
      <c r="U368" s="1374"/>
      <c r="V368" s="1374"/>
      <c r="W368" s="1374"/>
      <c r="X368" s="1374"/>
      <c r="Z368" s="1378"/>
      <c r="AA368" s="1378"/>
      <c r="AB368" s="1378"/>
      <c r="AC368" s="1378"/>
      <c r="AD368" s="1378"/>
      <c r="AK368" s="1354">
        <f t="shared" si="106"/>
        <v>0</v>
      </c>
      <c r="AL368" s="1352">
        <f t="shared" si="99"/>
        <v>42</v>
      </c>
      <c r="AM368" s="1354">
        <f t="shared" si="107"/>
        <v>0</v>
      </c>
      <c r="AN368" s="1352" t="str">
        <f t="shared" si="108"/>
        <v>Tax Appeal Refunds (Outside CAP)</v>
      </c>
    </row>
    <row r="369" spans="1:40" x14ac:dyDescent="0.2">
      <c r="A369" s="1324" t="s">
        <v>5112</v>
      </c>
      <c r="B369" s="1324" t="s">
        <v>5534</v>
      </c>
      <c r="C369" s="1353">
        <f t="shared" si="112"/>
        <v>0</v>
      </c>
      <c r="D369" s="1353">
        <f t="shared" si="112"/>
        <v>0</v>
      </c>
      <c r="E369" s="1351">
        <f t="shared" si="113"/>
        <v>0</v>
      </c>
      <c r="F369" s="1353">
        <f t="shared" si="114"/>
        <v>0</v>
      </c>
      <c r="G369" s="1353">
        <f t="shared" si="114"/>
        <v>0</v>
      </c>
      <c r="H369" s="1353">
        <f t="shared" si="114"/>
        <v>0</v>
      </c>
      <c r="I369" s="1353">
        <f t="shared" si="114"/>
        <v>0</v>
      </c>
      <c r="J369" s="1353">
        <f t="shared" si="114"/>
        <v>0</v>
      </c>
      <c r="T369" s="1374"/>
      <c r="U369" s="1374"/>
      <c r="V369" s="1374"/>
      <c r="W369" s="1374"/>
      <c r="X369" s="1374"/>
      <c r="Z369" s="1378"/>
      <c r="AA369" s="1378"/>
      <c r="AB369" s="1378"/>
      <c r="AC369" s="1378"/>
      <c r="AD369" s="1378"/>
      <c r="AK369" s="1354">
        <f t="shared" si="106"/>
        <v>0</v>
      </c>
      <c r="AL369" s="1352">
        <f t="shared" si="99"/>
        <v>42</v>
      </c>
      <c r="AM369" s="1354">
        <f t="shared" si="107"/>
        <v>0</v>
      </c>
      <c r="AN369" s="1352" t="str">
        <f t="shared" si="108"/>
        <v>County Pass-Through</v>
      </c>
    </row>
    <row r="370" spans="1:40" x14ac:dyDescent="0.2">
      <c r="A370" s="1324" t="s">
        <v>5115</v>
      </c>
      <c r="B370" s="1324" t="s">
        <v>5535</v>
      </c>
      <c r="C370" s="1353">
        <f t="shared" si="112"/>
        <v>0</v>
      </c>
      <c r="D370" s="1353">
        <f t="shared" si="112"/>
        <v>0</v>
      </c>
      <c r="E370" s="1351">
        <f t="shared" si="113"/>
        <v>0</v>
      </c>
      <c r="F370" s="1353">
        <f t="shared" si="114"/>
        <v>0</v>
      </c>
      <c r="G370" s="1353">
        <f t="shared" si="114"/>
        <v>0</v>
      </c>
      <c r="H370" s="1353">
        <f t="shared" si="114"/>
        <v>0</v>
      </c>
      <c r="I370" s="1353">
        <f t="shared" si="114"/>
        <v>0</v>
      </c>
      <c r="J370" s="1353">
        <f t="shared" si="114"/>
        <v>0</v>
      </c>
      <c r="T370" s="1374"/>
      <c r="U370" s="1374"/>
      <c r="V370" s="1374"/>
      <c r="W370" s="1374"/>
      <c r="X370" s="1374"/>
      <c r="Z370" s="1378"/>
      <c r="AA370" s="1378"/>
      <c r="AB370" s="1378"/>
      <c r="AC370" s="1378"/>
      <c r="AD370" s="1378"/>
      <c r="AK370" s="1354">
        <f t="shared" si="106"/>
        <v>0</v>
      </c>
      <c r="AL370" s="1352">
        <f t="shared" si="99"/>
        <v>42</v>
      </c>
      <c r="AM370" s="1354">
        <f t="shared" si="107"/>
        <v>0</v>
      </c>
      <c r="AN370" s="1352" t="str">
        <f t="shared" si="108"/>
        <v>School District Pass-Through</v>
      </c>
    </row>
    <row r="371" spans="1:40" x14ac:dyDescent="0.2">
      <c r="A371" s="1324" t="s">
        <v>5118</v>
      </c>
      <c r="B371" s="1324" t="s">
        <v>5536</v>
      </c>
      <c r="C371" s="1353">
        <f t="shared" si="112"/>
        <v>0</v>
      </c>
      <c r="D371" s="1353">
        <f t="shared" si="112"/>
        <v>0</v>
      </c>
      <c r="E371" s="1351">
        <f t="shared" si="113"/>
        <v>0</v>
      </c>
      <c r="F371" s="1353">
        <f t="shared" si="114"/>
        <v>0</v>
      </c>
      <c r="G371" s="1353">
        <f t="shared" si="114"/>
        <v>0</v>
      </c>
      <c r="H371" s="1353">
        <f t="shared" si="114"/>
        <v>0</v>
      </c>
      <c r="I371" s="1353">
        <f t="shared" si="114"/>
        <v>0</v>
      </c>
      <c r="J371" s="1353">
        <f t="shared" si="114"/>
        <v>0</v>
      </c>
      <c r="T371" s="1374"/>
      <c r="U371" s="1374"/>
      <c r="V371" s="1374"/>
      <c r="W371" s="1374"/>
      <c r="X371" s="1374"/>
      <c r="Z371" s="1378"/>
      <c r="AA371" s="1378"/>
      <c r="AB371" s="1378"/>
      <c r="AC371" s="1378"/>
      <c r="AD371" s="1378"/>
      <c r="AK371" s="1354">
        <f t="shared" si="106"/>
        <v>0</v>
      </c>
      <c r="AL371" s="1352">
        <f t="shared" si="99"/>
        <v>42</v>
      </c>
      <c r="AM371" s="1354">
        <f t="shared" si="107"/>
        <v>0</v>
      </c>
      <c r="AN371" s="1352" t="str">
        <f t="shared" si="108"/>
        <v>Declared State of Emergency - Snow Removal (Outside CAP)</v>
      </c>
    </row>
    <row r="372" spans="1:40" x14ac:dyDescent="0.2">
      <c r="B372" s="1373" t="str">
        <f>"Total- "&amp;A358</f>
        <v>Total- Unclassified</v>
      </c>
      <c r="C372" s="1360">
        <f>SUM(C359:C371)</f>
        <v>0</v>
      </c>
      <c r="D372" s="1360">
        <f>SUM(D359:D371)</f>
        <v>500</v>
      </c>
      <c r="E372" s="1356">
        <f t="shared" si="113"/>
        <v>0</v>
      </c>
      <c r="F372" s="1360">
        <f>SUM(F359:F371)</f>
        <v>500</v>
      </c>
      <c r="G372" s="1360">
        <f>SUM(G359:G371)</f>
        <v>500</v>
      </c>
      <c r="H372" s="1360">
        <f>SUM(H359:H371)</f>
        <v>500</v>
      </c>
      <c r="I372" s="1360">
        <f>SUM(I359:I371)</f>
        <v>500</v>
      </c>
      <c r="J372" s="1360">
        <f>SUM(J359:J371)</f>
        <v>500</v>
      </c>
      <c r="T372" s="1374"/>
      <c r="U372" s="1374"/>
      <c r="V372" s="1374"/>
      <c r="W372" s="1374"/>
      <c r="X372" s="1374"/>
      <c r="Z372" s="1378"/>
      <c r="AA372" s="1378"/>
      <c r="AB372" s="1378"/>
      <c r="AC372" s="1378"/>
      <c r="AD372" s="1378"/>
      <c r="AK372" s="1354"/>
      <c r="AL372" s="1352"/>
      <c r="AM372" s="1354"/>
      <c r="AN372" s="1352"/>
    </row>
    <row r="373" spans="1:40" x14ac:dyDescent="0.2">
      <c r="E373" s="1351"/>
      <c r="T373" s="1374"/>
      <c r="U373" s="1374"/>
      <c r="V373" s="1374"/>
      <c r="W373" s="1374"/>
      <c r="X373" s="1374"/>
      <c r="Z373" s="1378"/>
      <c r="AA373" s="1378"/>
      <c r="AB373" s="1378"/>
      <c r="AC373" s="1378"/>
      <c r="AD373" s="1378"/>
      <c r="AK373" s="1354"/>
      <c r="AL373" s="1352"/>
      <c r="AM373" s="1354"/>
      <c r="AN373" s="1352"/>
    </row>
    <row r="374" spans="1:40" x14ac:dyDescent="0.2">
      <c r="A374" s="1364" t="s">
        <v>5448</v>
      </c>
      <c r="B374" s="1365"/>
      <c r="C374" s="1364"/>
      <c r="D374" s="1364"/>
      <c r="E374" s="1366"/>
      <c r="F374" s="1364"/>
      <c r="G374" s="1364"/>
      <c r="H374" s="1364"/>
      <c r="I374" s="1364"/>
      <c r="J374" s="1364"/>
      <c r="T374" s="1374"/>
      <c r="U374" s="1374"/>
      <c r="V374" s="1374"/>
      <c r="W374" s="1374"/>
      <c r="X374" s="1374"/>
      <c r="Z374" s="1378"/>
      <c r="AA374" s="1378"/>
      <c r="AB374" s="1378"/>
      <c r="AC374" s="1378"/>
      <c r="AD374" s="1378"/>
      <c r="AK374" s="1354"/>
      <c r="AL374" s="1352"/>
      <c r="AM374" s="1354"/>
      <c r="AN374" s="1352"/>
    </row>
    <row r="375" spans="1:40" x14ac:dyDescent="0.2">
      <c r="A375" s="1324" t="s">
        <v>5198</v>
      </c>
      <c r="B375" s="1324" t="s">
        <v>5537</v>
      </c>
      <c r="C375" s="1353">
        <f t="shared" ref="C375:D384" si="115">SUMIF($A$504:$A$1172,$A375,C$504:C$1172)</f>
        <v>4163.3100000000004</v>
      </c>
      <c r="D375" s="1353">
        <f t="shared" si="115"/>
        <v>6367.25</v>
      </c>
      <c r="E375" s="1351">
        <f t="shared" ref="E375:E385" si="116">IFERROR(D375/C375-1,0)</f>
        <v>0.5293720621332545</v>
      </c>
      <c r="F375" s="1353">
        <f t="shared" ref="F375:J384" si="117">SUMIF($A$504:$A$1172,$A375,F$504:F$1172)</f>
        <v>6494.5950000000003</v>
      </c>
      <c r="G375" s="1353">
        <f t="shared" si="117"/>
        <v>6624.4869000000008</v>
      </c>
      <c r="H375" s="1353">
        <f t="shared" si="117"/>
        <v>6756.976638000001</v>
      </c>
      <c r="I375" s="1353">
        <f t="shared" si="117"/>
        <v>6892.1161707600013</v>
      </c>
      <c r="J375" s="1353">
        <f t="shared" si="117"/>
        <v>7029.9584941752018</v>
      </c>
      <c r="T375" s="1374"/>
      <c r="U375" s="1374"/>
      <c r="V375" s="1374"/>
      <c r="W375" s="1374"/>
      <c r="X375" s="1374"/>
      <c r="Z375" s="1378"/>
      <c r="AA375" s="1378"/>
      <c r="AB375" s="1378"/>
      <c r="AC375" s="1378"/>
      <c r="AD375" s="1378"/>
      <c r="AK375" s="1354">
        <f t="shared" si="106"/>
        <v>44328.69320293521</v>
      </c>
      <c r="AL375" s="1352">
        <f t="shared" ref="AL375:AL438" si="118">RANK(AM375,$AM$226:$AM$494,0)</f>
        <v>19</v>
      </c>
      <c r="AM375" s="1354">
        <f t="shared" si="107"/>
        <v>662.70849417520185</v>
      </c>
      <c r="AN375" s="1352" t="str">
        <f t="shared" si="108"/>
        <v>Electricity</v>
      </c>
    </row>
    <row r="376" spans="1:40" x14ac:dyDescent="0.2">
      <c r="A376" s="1324" t="s">
        <v>5199</v>
      </c>
      <c r="B376" s="1324" t="s">
        <v>5538</v>
      </c>
      <c r="C376" s="1353">
        <f t="shared" si="115"/>
        <v>9882.61</v>
      </c>
      <c r="D376" s="1353">
        <f t="shared" si="115"/>
        <v>10404</v>
      </c>
      <c r="E376" s="1351">
        <f t="shared" si="116"/>
        <v>5.2758330036295931E-2</v>
      </c>
      <c r="F376" s="1353">
        <f t="shared" si="117"/>
        <v>10612.08</v>
      </c>
      <c r="G376" s="1353">
        <f t="shared" si="117"/>
        <v>10824.321599999999</v>
      </c>
      <c r="H376" s="1353">
        <f t="shared" si="117"/>
        <v>11040.808031999999</v>
      </c>
      <c r="I376" s="1353">
        <f t="shared" si="117"/>
        <v>11261.62419264</v>
      </c>
      <c r="J376" s="1353">
        <f t="shared" si="117"/>
        <v>11486.8566764928</v>
      </c>
      <c r="T376" s="1374"/>
      <c r="U376" s="1374"/>
      <c r="V376" s="1374"/>
      <c r="W376" s="1374"/>
      <c r="X376" s="1374"/>
      <c r="Z376" s="1378"/>
      <c r="AA376" s="1378"/>
      <c r="AB376" s="1378"/>
      <c r="AC376" s="1378"/>
      <c r="AD376" s="1378"/>
      <c r="AK376" s="1354">
        <f t="shared" si="106"/>
        <v>75512.300501132791</v>
      </c>
      <c r="AL376" s="1352">
        <f t="shared" si="118"/>
        <v>13</v>
      </c>
      <c r="AM376" s="1354">
        <f t="shared" si="107"/>
        <v>1082.8566764928</v>
      </c>
      <c r="AN376" s="1352" t="str">
        <f t="shared" si="108"/>
        <v>Street Lighting</v>
      </c>
    </row>
    <row r="377" spans="1:40" x14ac:dyDescent="0.2">
      <c r="A377" s="1324" t="s">
        <v>5200</v>
      </c>
      <c r="B377" s="1324" t="s">
        <v>5539</v>
      </c>
      <c r="C377" s="1353">
        <f t="shared" si="115"/>
        <v>4181.54</v>
      </c>
      <c r="D377" s="1353">
        <f t="shared" si="115"/>
        <v>4890.92</v>
      </c>
      <c r="E377" s="1351">
        <f t="shared" si="116"/>
        <v>0.16964563294862667</v>
      </c>
      <c r="F377" s="1353">
        <f t="shared" si="117"/>
        <v>4988.7384000000002</v>
      </c>
      <c r="G377" s="1353">
        <f t="shared" si="117"/>
        <v>5088.5131680000004</v>
      </c>
      <c r="H377" s="1353">
        <f t="shared" si="117"/>
        <v>5190.2834313600006</v>
      </c>
      <c r="I377" s="1353">
        <f t="shared" si="117"/>
        <v>5294.0890999872008</v>
      </c>
      <c r="J377" s="1353">
        <f t="shared" si="117"/>
        <v>5399.9708819869447</v>
      </c>
      <c r="T377" s="1374"/>
      <c r="U377" s="1374"/>
      <c r="V377" s="1374"/>
      <c r="W377" s="1374"/>
      <c r="X377" s="1374"/>
      <c r="Z377" s="1378"/>
      <c r="AA377" s="1378"/>
      <c r="AB377" s="1378"/>
      <c r="AC377" s="1378"/>
      <c r="AD377" s="1378"/>
      <c r="AK377" s="1354">
        <f t="shared" si="106"/>
        <v>35034.054981334149</v>
      </c>
      <c r="AL377" s="1352">
        <f t="shared" si="118"/>
        <v>26</v>
      </c>
      <c r="AM377" s="1354">
        <f t="shared" si="107"/>
        <v>509.05088198694466</v>
      </c>
      <c r="AN377" s="1352" t="str">
        <f t="shared" si="108"/>
        <v>Telephone</v>
      </c>
    </row>
    <row r="378" spans="1:40" x14ac:dyDescent="0.2">
      <c r="A378" s="1324" t="s">
        <v>5201</v>
      </c>
      <c r="B378" s="1324" t="s">
        <v>5540</v>
      </c>
      <c r="C378" s="1353">
        <f t="shared" si="115"/>
        <v>0</v>
      </c>
      <c r="D378" s="1353">
        <f t="shared" si="115"/>
        <v>0</v>
      </c>
      <c r="E378" s="1351">
        <f t="shared" si="116"/>
        <v>0</v>
      </c>
      <c r="F378" s="1353">
        <f t="shared" si="117"/>
        <v>0</v>
      </c>
      <c r="G378" s="1353">
        <f t="shared" si="117"/>
        <v>0</v>
      </c>
      <c r="H378" s="1353">
        <f t="shared" si="117"/>
        <v>0</v>
      </c>
      <c r="I378" s="1353">
        <f t="shared" si="117"/>
        <v>0</v>
      </c>
      <c r="J378" s="1353">
        <f t="shared" si="117"/>
        <v>0</v>
      </c>
      <c r="T378" s="1374"/>
      <c r="U378" s="1374"/>
      <c r="V378" s="1374"/>
      <c r="W378" s="1374"/>
      <c r="X378" s="1374"/>
      <c r="Z378" s="1378"/>
      <c r="AA378" s="1378"/>
      <c r="AB378" s="1378"/>
      <c r="AC378" s="1378"/>
      <c r="AD378" s="1378"/>
      <c r="AK378" s="1354">
        <f t="shared" si="106"/>
        <v>0</v>
      </c>
      <c r="AL378" s="1352">
        <f t="shared" si="118"/>
        <v>42</v>
      </c>
      <c r="AM378" s="1354">
        <f t="shared" si="107"/>
        <v>0</v>
      </c>
      <c r="AN378" s="1352" t="str">
        <f t="shared" si="108"/>
        <v>Water</v>
      </c>
    </row>
    <row r="379" spans="1:40" x14ac:dyDescent="0.2">
      <c r="A379" s="1324" t="s">
        <v>5282</v>
      </c>
      <c r="B379" s="1324" t="s">
        <v>5541</v>
      </c>
      <c r="C379" s="1353">
        <f t="shared" si="115"/>
        <v>0</v>
      </c>
      <c r="D379" s="1353">
        <f t="shared" si="115"/>
        <v>0</v>
      </c>
      <c r="E379" s="1351">
        <f t="shared" si="116"/>
        <v>0</v>
      </c>
      <c r="F379" s="1353">
        <f t="shared" si="117"/>
        <v>0</v>
      </c>
      <c r="G379" s="1353">
        <f t="shared" si="117"/>
        <v>0</v>
      </c>
      <c r="H379" s="1353">
        <f t="shared" si="117"/>
        <v>0</v>
      </c>
      <c r="I379" s="1353">
        <f t="shared" si="117"/>
        <v>0</v>
      </c>
      <c r="J379" s="1353">
        <f t="shared" si="117"/>
        <v>0</v>
      </c>
      <c r="T379" s="1374"/>
      <c r="U379" s="1374"/>
      <c r="V379" s="1374"/>
      <c r="W379" s="1374"/>
      <c r="X379" s="1374"/>
      <c r="Z379" s="1378"/>
      <c r="AA379" s="1378"/>
      <c r="AB379" s="1378"/>
      <c r="AC379" s="1378"/>
      <c r="AD379" s="1378"/>
      <c r="AK379" s="1354">
        <f t="shared" si="106"/>
        <v>0</v>
      </c>
      <c r="AL379" s="1352">
        <f t="shared" si="118"/>
        <v>42</v>
      </c>
      <c r="AM379" s="1354">
        <f t="shared" si="107"/>
        <v>0</v>
      </c>
      <c r="AN379" s="1352" t="str">
        <f t="shared" si="108"/>
        <v>Natural Gas</v>
      </c>
    </row>
    <row r="380" spans="1:40" x14ac:dyDescent="0.2">
      <c r="A380" s="1324" t="s">
        <v>5202</v>
      </c>
      <c r="B380" s="1324" t="s">
        <v>5542</v>
      </c>
      <c r="C380" s="1353">
        <f t="shared" si="115"/>
        <v>1768.64</v>
      </c>
      <c r="D380" s="1353">
        <f t="shared" si="115"/>
        <v>5360.14</v>
      </c>
      <c r="E380" s="1351">
        <f t="shared" si="116"/>
        <v>2.0306563235028046</v>
      </c>
      <c r="F380" s="1353">
        <f t="shared" si="117"/>
        <v>5467.3428000000004</v>
      </c>
      <c r="G380" s="1353">
        <f t="shared" si="117"/>
        <v>5576.6896560000005</v>
      </c>
      <c r="H380" s="1353">
        <f t="shared" si="117"/>
        <v>5688.2234491200006</v>
      </c>
      <c r="I380" s="1353">
        <f t="shared" si="117"/>
        <v>5801.9879181024007</v>
      </c>
      <c r="J380" s="1353">
        <f t="shared" si="117"/>
        <v>5918.0276764644486</v>
      </c>
      <c r="T380" s="1374"/>
      <c r="U380" s="1374"/>
      <c r="V380" s="1374"/>
      <c r="W380" s="1374"/>
      <c r="X380" s="1374"/>
      <c r="Z380" s="1378"/>
      <c r="AA380" s="1378"/>
      <c r="AB380" s="1378"/>
      <c r="AC380" s="1378"/>
      <c r="AD380" s="1378"/>
      <c r="AK380" s="1354">
        <f t="shared" si="106"/>
        <v>35581.051499686851</v>
      </c>
      <c r="AL380" s="1352">
        <f t="shared" si="118"/>
        <v>20</v>
      </c>
      <c r="AM380" s="1354">
        <f t="shared" si="107"/>
        <v>557.8876764644483</v>
      </c>
      <c r="AN380" s="1352" t="str">
        <f t="shared" si="108"/>
        <v>Petroleum Products</v>
      </c>
    </row>
    <row r="381" spans="1:40" x14ac:dyDescent="0.2">
      <c r="A381" s="1324" t="s">
        <v>5283</v>
      </c>
      <c r="B381" s="1324" t="s">
        <v>5543</v>
      </c>
      <c r="C381" s="1353">
        <f t="shared" si="115"/>
        <v>0</v>
      </c>
      <c r="D381" s="1353">
        <f t="shared" si="115"/>
        <v>0</v>
      </c>
      <c r="E381" s="1351">
        <f t="shared" si="116"/>
        <v>0</v>
      </c>
      <c r="F381" s="1353">
        <f t="shared" si="117"/>
        <v>0</v>
      </c>
      <c r="G381" s="1353">
        <f t="shared" si="117"/>
        <v>0</v>
      </c>
      <c r="H381" s="1353">
        <f t="shared" si="117"/>
        <v>0</v>
      </c>
      <c r="I381" s="1353">
        <f t="shared" si="117"/>
        <v>0</v>
      </c>
      <c r="J381" s="1353">
        <f t="shared" si="117"/>
        <v>0</v>
      </c>
      <c r="T381" s="1374"/>
      <c r="U381" s="1374"/>
      <c r="V381" s="1374"/>
      <c r="W381" s="1374"/>
      <c r="X381" s="1374"/>
      <c r="Z381" s="1378"/>
      <c r="AA381" s="1378"/>
      <c r="AB381" s="1378"/>
      <c r="AC381" s="1378"/>
      <c r="AD381" s="1378"/>
      <c r="AK381" s="1354">
        <f t="shared" si="106"/>
        <v>0</v>
      </c>
      <c r="AL381" s="1352">
        <f t="shared" si="118"/>
        <v>42</v>
      </c>
      <c r="AM381" s="1354">
        <f t="shared" si="107"/>
        <v>0</v>
      </c>
      <c r="AN381" s="1352" t="str">
        <f t="shared" si="108"/>
        <v>Telecommunications (Cell Phone)</v>
      </c>
    </row>
    <row r="382" spans="1:40" x14ac:dyDescent="0.2">
      <c r="A382" s="1324" t="s">
        <v>5203</v>
      </c>
      <c r="B382" s="1324" t="s">
        <v>5544</v>
      </c>
      <c r="C382" s="1353">
        <f t="shared" si="115"/>
        <v>0</v>
      </c>
      <c r="D382" s="1353">
        <f t="shared" si="115"/>
        <v>0</v>
      </c>
      <c r="E382" s="1351">
        <f t="shared" si="116"/>
        <v>0</v>
      </c>
      <c r="F382" s="1353">
        <f t="shared" si="117"/>
        <v>0</v>
      </c>
      <c r="G382" s="1353">
        <f t="shared" si="117"/>
        <v>0</v>
      </c>
      <c r="H382" s="1353">
        <f t="shared" si="117"/>
        <v>0</v>
      </c>
      <c r="I382" s="1353">
        <f t="shared" si="117"/>
        <v>0</v>
      </c>
      <c r="J382" s="1353">
        <f t="shared" si="117"/>
        <v>0</v>
      </c>
      <c r="T382" s="1374"/>
      <c r="U382" s="1374"/>
      <c r="V382" s="1374"/>
      <c r="W382" s="1374"/>
      <c r="X382" s="1374"/>
      <c r="Z382" s="1378"/>
      <c r="AA382" s="1378"/>
      <c r="AB382" s="1378"/>
      <c r="AC382" s="1378"/>
      <c r="AD382" s="1378"/>
      <c r="AK382" s="1354">
        <f t="shared" si="106"/>
        <v>0</v>
      </c>
      <c r="AL382" s="1352">
        <f t="shared" si="118"/>
        <v>42</v>
      </c>
      <c r="AM382" s="1354">
        <f t="shared" si="107"/>
        <v>0</v>
      </c>
      <c r="AN382" s="1352" t="str">
        <f t="shared" si="108"/>
        <v>Sewerage Processing and Disposal</v>
      </c>
    </row>
    <row r="383" spans="1:40" x14ac:dyDescent="0.2">
      <c r="A383" s="1324" t="s">
        <v>5121</v>
      </c>
      <c r="B383" s="1324" t="s">
        <v>5545</v>
      </c>
      <c r="C383" s="1353">
        <f t="shared" si="115"/>
        <v>0</v>
      </c>
      <c r="D383" s="1353">
        <f t="shared" si="115"/>
        <v>0</v>
      </c>
      <c r="E383" s="1351">
        <f t="shared" si="116"/>
        <v>0</v>
      </c>
      <c r="F383" s="1353">
        <f t="shared" si="117"/>
        <v>0</v>
      </c>
      <c r="G383" s="1353">
        <f t="shared" si="117"/>
        <v>0</v>
      </c>
      <c r="H383" s="1353">
        <f t="shared" si="117"/>
        <v>0</v>
      </c>
      <c r="I383" s="1353">
        <f t="shared" si="117"/>
        <v>0</v>
      </c>
      <c r="J383" s="1353">
        <f t="shared" si="117"/>
        <v>0</v>
      </c>
      <c r="T383" s="1374"/>
      <c r="U383" s="1374"/>
      <c r="V383" s="1374"/>
      <c r="W383" s="1374"/>
      <c r="X383" s="1374"/>
      <c r="Z383" s="1378"/>
      <c r="AA383" s="1378"/>
      <c r="AB383" s="1378"/>
      <c r="AC383" s="1378"/>
      <c r="AD383" s="1378"/>
      <c r="AK383" s="1354">
        <f t="shared" si="106"/>
        <v>0</v>
      </c>
      <c r="AL383" s="1352">
        <f t="shared" si="118"/>
        <v>42</v>
      </c>
      <c r="AM383" s="1354">
        <f t="shared" si="107"/>
        <v>0</v>
      </c>
      <c r="AN383" s="1352" t="str">
        <f t="shared" si="108"/>
        <v>Authority Share of Cost (Outside CAP)</v>
      </c>
    </row>
    <row r="384" spans="1:40" x14ac:dyDescent="0.2">
      <c r="A384" s="1324" t="s">
        <v>5204</v>
      </c>
      <c r="B384" s="1324" t="s">
        <v>5595</v>
      </c>
      <c r="C384" s="1353">
        <f t="shared" si="115"/>
        <v>0</v>
      </c>
      <c r="D384" s="1353">
        <f t="shared" si="115"/>
        <v>0</v>
      </c>
      <c r="E384" s="1351">
        <f t="shared" si="116"/>
        <v>0</v>
      </c>
      <c r="F384" s="1353">
        <f t="shared" si="117"/>
        <v>0</v>
      </c>
      <c r="G384" s="1353">
        <f t="shared" si="117"/>
        <v>0</v>
      </c>
      <c r="H384" s="1353">
        <f t="shared" si="117"/>
        <v>0</v>
      </c>
      <c r="I384" s="1353">
        <f t="shared" si="117"/>
        <v>0</v>
      </c>
      <c r="J384" s="1353">
        <f t="shared" si="117"/>
        <v>0</v>
      </c>
      <c r="T384" s="1374"/>
      <c r="U384" s="1374"/>
      <c r="V384" s="1374"/>
      <c r="W384" s="1374"/>
      <c r="X384" s="1374"/>
      <c r="Z384" s="1378"/>
      <c r="AA384" s="1378"/>
      <c r="AB384" s="1378"/>
      <c r="AC384" s="1378"/>
      <c r="AD384" s="1378"/>
      <c r="AK384" s="1354">
        <f t="shared" si="106"/>
        <v>0</v>
      </c>
      <c r="AL384" s="1352">
        <f t="shared" si="118"/>
        <v>42</v>
      </c>
      <c r="AM384" s="1354">
        <f t="shared" si="107"/>
        <v>0</v>
      </c>
      <c r="AN384" s="1352" t="str">
        <f t="shared" si="108"/>
        <v>Other Utilities and Bulk Purchases</v>
      </c>
    </row>
    <row r="385" spans="1:40" x14ac:dyDescent="0.2">
      <c r="B385" s="1373" t="str">
        <f>"Total- "&amp;A374</f>
        <v>Total- Utilities and Bulk Purchases</v>
      </c>
      <c r="C385" s="1360">
        <f>SUM(C375:C384)</f>
        <v>19996.100000000002</v>
      </c>
      <c r="D385" s="1360">
        <f>SUM(D375:D384)</f>
        <v>27022.309999999998</v>
      </c>
      <c r="E385" s="1356">
        <f t="shared" si="116"/>
        <v>0.35137901890868695</v>
      </c>
      <c r="F385" s="1360">
        <f>SUM(F375:F384)</f>
        <v>27562.756199999996</v>
      </c>
      <c r="G385" s="1360">
        <f>SUM(G375:G384)</f>
        <v>28114.011323999999</v>
      </c>
      <c r="H385" s="1360">
        <f>SUM(H375:H384)</f>
        <v>28676.29155048</v>
      </c>
      <c r="I385" s="1360">
        <f>SUM(I375:I384)</f>
        <v>29249.8173814896</v>
      </c>
      <c r="J385" s="1360">
        <f>SUM(J375:J384)</f>
        <v>29834.813729119393</v>
      </c>
      <c r="T385" s="1374"/>
      <c r="U385" s="1374"/>
      <c r="V385" s="1374"/>
      <c r="W385" s="1374"/>
      <c r="X385" s="1374"/>
      <c r="Z385" s="1378"/>
      <c r="AA385" s="1378"/>
      <c r="AB385" s="1378"/>
      <c r="AC385" s="1378"/>
      <c r="AD385" s="1378"/>
      <c r="AK385" s="1354"/>
      <c r="AL385" s="1352"/>
      <c r="AM385" s="1354"/>
      <c r="AN385" s="1352"/>
    </row>
    <row r="386" spans="1:40" x14ac:dyDescent="0.2">
      <c r="E386" s="1351"/>
      <c r="T386" s="1374"/>
      <c r="U386" s="1374"/>
      <c r="V386" s="1374"/>
      <c r="W386" s="1374"/>
      <c r="X386" s="1374"/>
      <c r="Z386" s="1378"/>
      <c r="AA386" s="1378"/>
      <c r="AB386" s="1378"/>
      <c r="AC386" s="1378"/>
      <c r="AD386" s="1378"/>
      <c r="AK386" s="1354"/>
      <c r="AL386" s="1352"/>
      <c r="AM386" s="1354"/>
      <c r="AN386" s="1352"/>
    </row>
    <row r="387" spans="1:40" x14ac:dyDescent="0.2">
      <c r="A387" s="1364" t="s">
        <v>5449</v>
      </c>
      <c r="B387" s="1365"/>
      <c r="C387" s="1364"/>
      <c r="D387" s="1364"/>
      <c r="E387" s="1366"/>
      <c r="F387" s="1364"/>
      <c r="G387" s="1364"/>
      <c r="H387" s="1364"/>
      <c r="I387" s="1364"/>
      <c r="J387" s="1364"/>
      <c r="T387" s="1374"/>
      <c r="U387" s="1374"/>
      <c r="V387" s="1374"/>
      <c r="W387" s="1374"/>
      <c r="X387" s="1374"/>
      <c r="Z387" s="1378"/>
      <c r="AA387" s="1378"/>
      <c r="AB387" s="1378"/>
      <c r="AC387" s="1378"/>
      <c r="AD387" s="1378"/>
      <c r="AK387" s="1354"/>
      <c r="AL387" s="1352"/>
      <c r="AM387" s="1354"/>
      <c r="AN387" s="1352"/>
    </row>
    <row r="388" spans="1:40" x14ac:dyDescent="0.2">
      <c r="A388" s="1324" t="s">
        <v>5123</v>
      </c>
      <c r="B388" s="1324" t="s">
        <v>5587</v>
      </c>
      <c r="C388" s="1353">
        <f>SUMIF($A$504:$A$1172,$A388,C$504:C$1172)</f>
        <v>33018.44</v>
      </c>
      <c r="D388" s="1353">
        <f>SUMIF($A$504:$A$1172,$A388,D$504:D$1172)</f>
        <v>38000</v>
      </c>
      <c r="E388" s="1351">
        <f>IFERROR(D388/C388-1,0)</f>
        <v>0.15087205815901661</v>
      </c>
      <c r="F388" s="1353">
        <f>SUMIF($A$504:$A$1172,$A388,F$504:F$1172)</f>
        <v>38760</v>
      </c>
      <c r="G388" s="1353">
        <f>SUMIF($A$504:$A$1172,$A388,G$504:G$1172)</f>
        <v>39535.199999999997</v>
      </c>
      <c r="H388" s="1353">
        <f>SUMIF($A$504:$A$1172,$A388,H$504:H$1172)</f>
        <v>40325.903999999995</v>
      </c>
      <c r="I388" s="1353">
        <f>SUMIF($A$504:$A$1172,$A388,I$504:I$1172)</f>
        <v>41132.422079999997</v>
      </c>
      <c r="J388" s="1353">
        <f>SUMIF($A$504:$A$1172,$A388,J$504:J$1172)</f>
        <v>41955.070521599999</v>
      </c>
      <c r="T388" s="1374"/>
      <c r="U388" s="1374"/>
      <c r="V388" s="1374"/>
      <c r="W388" s="1374"/>
      <c r="X388" s="1374"/>
      <c r="Z388" s="1378"/>
      <c r="AA388" s="1378"/>
      <c r="AB388" s="1378"/>
      <c r="AC388" s="1378"/>
      <c r="AD388" s="1378"/>
      <c r="AK388" s="1354">
        <f t="shared" si="106"/>
        <v>272727.0366016</v>
      </c>
      <c r="AL388" s="1352">
        <f t="shared" si="118"/>
        <v>2</v>
      </c>
      <c r="AM388" s="1354">
        <f t="shared" si="107"/>
        <v>3955.0705215999988</v>
      </c>
      <c r="AN388" s="1352" t="str">
        <f t="shared" si="108"/>
        <v>Landfill/Solid Waste Disposal Cost/Recycling Tax (Outside CAP)</v>
      </c>
    </row>
    <row r="389" spans="1:40" x14ac:dyDescent="0.2">
      <c r="B389" s="1373" t="str">
        <f>"Total- "&amp;A387</f>
        <v>Total- Recycling and Landfill</v>
      </c>
      <c r="C389" s="1360">
        <f>C388</f>
        <v>33018.44</v>
      </c>
      <c r="D389" s="1360">
        <f>D388</f>
        <v>38000</v>
      </c>
      <c r="E389" s="1356">
        <f>IFERROR(D389/C389-1,0)</f>
        <v>0.15087205815901661</v>
      </c>
      <c r="F389" s="1360">
        <f>F388</f>
        <v>38760</v>
      </c>
      <c r="G389" s="1360">
        <f>G388</f>
        <v>39535.199999999997</v>
      </c>
      <c r="H389" s="1360">
        <f>H388</f>
        <v>40325.903999999995</v>
      </c>
      <c r="I389" s="1360">
        <f>I388</f>
        <v>41132.422079999997</v>
      </c>
      <c r="J389" s="1360">
        <f>J388</f>
        <v>41955.070521599999</v>
      </c>
      <c r="T389" s="1374"/>
      <c r="U389" s="1374"/>
      <c r="V389" s="1374"/>
      <c r="W389" s="1374"/>
      <c r="X389" s="1374"/>
      <c r="Z389" s="1378"/>
      <c r="AA389" s="1378"/>
      <c r="AB389" s="1378"/>
      <c r="AC389" s="1378"/>
      <c r="AD389" s="1378"/>
      <c r="AK389" s="1354"/>
      <c r="AL389" s="1352"/>
      <c r="AM389" s="1354"/>
      <c r="AN389" s="1352"/>
    </row>
    <row r="390" spans="1:40" x14ac:dyDescent="0.2">
      <c r="E390" s="1351"/>
      <c r="T390" s="1374"/>
      <c r="U390" s="1374"/>
      <c r="V390" s="1374"/>
      <c r="W390" s="1374"/>
      <c r="X390" s="1374"/>
      <c r="Z390" s="1378"/>
      <c r="AA390" s="1378"/>
      <c r="AB390" s="1378"/>
      <c r="AC390" s="1378"/>
      <c r="AD390" s="1378"/>
      <c r="AK390" s="1354"/>
      <c r="AL390" s="1352"/>
      <c r="AM390" s="1354"/>
      <c r="AN390" s="1352"/>
    </row>
    <row r="391" spans="1:40" x14ac:dyDescent="0.2">
      <c r="A391" s="1364" t="s">
        <v>508</v>
      </c>
      <c r="B391" s="1365"/>
      <c r="C391" s="1364"/>
      <c r="D391" s="1364"/>
      <c r="E391" s="1366"/>
      <c r="F391" s="1364"/>
      <c r="G391" s="1364"/>
      <c r="H391" s="1364"/>
      <c r="I391" s="1364"/>
      <c r="J391" s="1364"/>
      <c r="T391" s="1374"/>
      <c r="U391" s="1374"/>
      <c r="V391" s="1374"/>
      <c r="W391" s="1374"/>
      <c r="X391" s="1374"/>
      <c r="Z391" s="1378"/>
      <c r="AA391" s="1378"/>
      <c r="AB391" s="1378"/>
      <c r="AC391" s="1378"/>
      <c r="AD391" s="1378"/>
      <c r="AK391" s="1354"/>
      <c r="AL391" s="1352"/>
      <c r="AM391" s="1354"/>
      <c r="AN391" s="1352"/>
    </row>
    <row r="392" spans="1:40" x14ac:dyDescent="0.2">
      <c r="A392" s="1324" t="s">
        <v>5461</v>
      </c>
      <c r="B392" s="1324" t="s">
        <v>508</v>
      </c>
      <c r="C392" s="1353">
        <f>SUMIF($A$504:$A$1172,$A392,C$504:C$1172)</f>
        <v>0</v>
      </c>
      <c r="D392" s="1353">
        <f>SUMIF($A$504:$A$1172,$A392,D$504:D$1172)</f>
        <v>0</v>
      </c>
      <c r="E392" s="1351">
        <f>IFERROR(D392/C392-1,0)</f>
        <v>0</v>
      </c>
      <c r="F392" s="1353">
        <f>SUMIF($A$504:$A$1172,$A392,F$504:F$1172)</f>
        <v>0</v>
      </c>
      <c r="G392" s="1353">
        <f>SUMIF($A$504:$A$1172,$A392,G$504:G$1172)</f>
        <v>0</v>
      </c>
      <c r="H392" s="1353">
        <f>SUMIF($A$504:$A$1172,$A392,H$504:H$1172)</f>
        <v>0</v>
      </c>
      <c r="I392" s="1353">
        <f>SUMIF($A$504:$A$1172,$A392,I$504:I$1172)</f>
        <v>0</v>
      </c>
      <c r="J392" s="1353">
        <f>SUMIF($A$504:$A$1172,$A392,J$504:J$1172)</f>
        <v>0</v>
      </c>
      <c r="T392" s="1374"/>
      <c r="U392" s="1374"/>
      <c r="V392" s="1374"/>
      <c r="W392" s="1374"/>
      <c r="X392" s="1374"/>
      <c r="Z392" s="1378"/>
      <c r="AA392" s="1378"/>
      <c r="AB392" s="1378"/>
      <c r="AC392" s="1378"/>
      <c r="AD392" s="1378"/>
      <c r="AK392" s="1354">
        <f t="shared" si="106"/>
        <v>0</v>
      </c>
      <c r="AL392" s="1352">
        <f t="shared" si="118"/>
        <v>42</v>
      </c>
      <c r="AM392" s="1354">
        <f t="shared" si="107"/>
        <v>0</v>
      </c>
      <c r="AN392" s="1352" t="str">
        <f t="shared" si="108"/>
        <v>Additional Appropriations Offset by Revenues</v>
      </c>
    </row>
    <row r="393" spans="1:40" x14ac:dyDescent="0.2">
      <c r="B393" s="1373" t="str">
        <f>"Total- "&amp;A391</f>
        <v>Total- Additional Appropriations Offset by Revenues</v>
      </c>
      <c r="C393" s="1360">
        <f>C392</f>
        <v>0</v>
      </c>
      <c r="D393" s="1360">
        <f>D392</f>
        <v>0</v>
      </c>
      <c r="E393" s="1356">
        <f>IFERROR(D393/C393-1,0)</f>
        <v>0</v>
      </c>
      <c r="F393" s="1360">
        <f>F392</f>
        <v>0</v>
      </c>
      <c r="G393" s="1360">
        <f>G392</f>
        <v>0</v>
      </c>
      <c r="H393" s="1360">
        <f>H392</f>
        <v>0</v>
      </c>
      <c r="I393" s="1360">
        <f>I392</f>
        <v>0</v>
      </c>
      <c r="J393" s="1360">
        <f>J392</f>
        <v>0</v>
      </c>
      <c r="T393" s="1374"/>
      <c r="U393" s="1374"/>
      <c r="V393" s="1374"/>
      <c r="W393" s="1374"/>
      <c r="X393" s="1374"/>
      <c r="Z393" s="1378"/>
      <c r="AA393" s="1378"/>
      <c r="AB393" s="1378"/>
      <c r="AC393" s="1378"/>
      <c r="AD393" s="1378"/>
      <c r="AK393" s="1354"/>
      <c r="AL393" s="1352"/>
      <c r="AM393" s="1354"/>
      <c r="AN393" s="1352"/>
    </row>
    <row r="394" spans="1:40" x14ac:dyDescent="0.2">
      <c r="E394" s="1351"/>
      <c r="T394" s="1374"/>
      <c r="U394" s="1374"/>
      <c r="V394" s="1374"/>
      <c r="W394" s="1374"/>
      <c r="X394" s="1374"/>
      <c r="Z394" s="1378"/>
      <c r="AA394" s="1378"/>
      <c r="AB394" s="1378"/>
      <c r="AC394" s="1378"/>
      <c r="AD394" s="1378"/>
      <c r="AK394" s="1354"/>
      <c r="AL394" s="1352"/>
      <c r="AM394" s="1354"/>
      <c r="AN394" s="1352"/>
    </row>
    <row r="395" spans="1:40" x14ac:dyDescent="0.2">
      <c r="A395" s="1364" t="s">
        <v>208</v>
      </c>
      <c r="B395" s="1365"/>
      <c r="C395" s="1364"/>
      <c r="D395" s="1364"/>
      <c r="E395" s="1366"/>
      <c r="F395" s="1364"/>
      <c r="G395" s="1364"/>
      <c r="H395" s="1364"/>
      <c r="I395" s="1364"/>
      <c r="J395" s="1364"/>
      <c r="T395" s="1374"/>
      <c r="U395" s="1374"/>
      <c r="V395" s="1374"/>
      <c r="W395" s="1374"/>
      <c r="X395" s="1374"/>
      <c r="Z395" s="1378"/>
      <c r="AA395" s="1378"/>
      <c r="AB395" s="1378"/>
      <c r="AC395" s="1378"/>
      <c r="AD395" s="1378"/>
      <c r="AK395" s="1354"/>
      <c r="AL395" s="1352"/>
      <c r="AM395" s="1354"/>
      <c r="AN395" s="1352"/>
    </row>
    <row r="396" spans="1:40" x14ac:dyDescent="0.2">
      <c r="A396" s="1324" t="s">
        <v>534</v>
      </c>
      <c r="B396" s="1324" t="s">
        <v>208</v>
      </c>
      <c r="C396" s="1353">
        <f>SUMIF($A$504:$A$1172,$A396,C$504:C$1172)</f>
        <v>0</v>
      </c>
      <c r="D396" s="1353">
        <f>SUMIF($A$504:$A$1172,$A396,D$504:D$1172)</f>
        <v>0</v>
      </c>
      <c r="E396" s="1351">
        <f>IFERROR(D396/C396-1,0)</f>
        <v>0</v>
      </c>
      <c r="F396" s="1353">
        <f>SUMIF($A$504:$A$1172,$A396,F$504:F$1172)</f>
        <v>0</v>
      </c>
      <c r="G396" s="1353">
        <f>SUMIF($A$504:$A$1172,$A396,G$504:G$1172)</f>
        <v>0</v>
      </c>
      <c r="H396" s="1353">
        <f>SUMIF($A$504:$A$1172,$A396,H$504:H$1172)</f>
        <v>0</v>
      </c>
      <c r="I396" s="1353">
        <f>SUMIF($A$504:$A$1172,$A396,I$504:I$1172)</f>
        <v>0</v>
      </c>
      <c r="J396" s="1353">
        <f>SUMIF($A$504:$A$1172,$A396,J$504:J$1172)</f>
        <v>0</v>
      </c>
      <c r="T396" s="1374"/>
      <c r="U396" s="1374"/>
      <c r="V396" s="1374"/>
      <c r="W396" s="1374"/>
      <c r="X396" s="1374"/>
      <c r="Z396" s="1378"/>
      <c r="AA396" s="1378"/>
      <c r="AB396" s="1378"/>
      <c r="AC396" s="1378"/>
      <c r="AD396" s="1378"/>
      <c r="AK396" s="1354">
        <f t="shared" si="106"/>
        <v>0</v>
      </c>
      <c r="AL396" s="1352">
        <f t="shared" si="118"/>
        <v>42</v>
      </c>
      <c r="AM396" s="1354">
        <f t="shared" si="107"/>
        <v>0</v>
      </c>
      <c r="AN396" s="1352" t="str">
        <f t="shared" si="108"/>
        <v>Contingent</v>
      </c>
    </row>
    <row r="397" spans="1:40" x14ac:dyDescent="0.2">
      <c r="B397" s="1373" t="str">
        <f>"Total- "&amp;A395</f>
        <v>Total- Contingent</v>
      </c>
      <c r="C397" s="1360">
        <f>C396</f>
        <v>0</v>
      </c>
      <c r="D397" s="1360">
        <f>D396</f>
        <v>0</v>
      </c>
      <c r="E397" s="1356">
        <f>IFERROR(D397/C397-1,0)</f>
        <v>0</v>
      </c>
      <c r="F397" s="1360">
        <f>F396</f>
        <v>0</v>
      </c>
      <c r="G397" s="1360">
        <f>G396</f>
        <v>0</v>
      </c>
      <c r="H397" s="1360">
        <f>H396</f>
        <v>0</v>
      </c>
      <c r="I397" s="1360">
        <f>I396</f>
        <v>0</v>
      </c>
      <c r="J397" s="1360">
        <f>J396</f>
        <v>0</v>
      </c>
      <c r="T397" s="1374"/>
      <c r="U397" s="1374"/>
      <c r="V397" s="1374"/>
      <c r="W397" s="1374"/>
      <c r="X397" s="1374"/>
      <c r="Z397" s="1378"/>
      <c r="AA397" s="1378"/>
      <c r="AB397" s="1378"/>
      <c r="AC397" s="1378"/>
      <c r="AD397" s="1378"/>
      <c r="AK397" s="1354"/>
      <c r="AL397" s="1352"/>
      <c r="AM397" s="1354"/>
      <c r="AN397" s="1352"/>
    </row>
    <row r="398" spans="1:40" x14ac:dyDescent="0.2">
      <c r="E398" s="1351"/>
      <c r="T398" s="1374"/>
      <c r="U398" s="1374"/>
      <c r="V398" s="1374"/>
      <c r="W398" s="1374"/>
      <c r="X398" s="1374"/>
      <c r="Z398" s="1378"/>
      <c r="AA398" s="1378"/>
      <c r="AB398" s="1378"/>
      <c r="AC398" s="1378"/>
      <c r="AD398" s="1378"/>
      <c r="AK398" s="1354"/>
      <c r="AL398" s="1352"/>
      <c r="AM398" s="1354"/>
      <c r="AN398" s="1352"/>
    </row>
    <row r="399" spans="1:40" x14ac:dyDescent="0.2">
      <c r="A399" s="1364" t="s">
        <v>5450</v>
      </c>
      <c r="B399" s="1365"/>
      <c r="C399" s="1364"/>
      <c r="D399" s="1364"/>
      <c r="E399" s="1366"/>
      <c r="F399" s="1364"/>
      <c r="G399" s="1364"/>
      <c r="H399" s="1364"/>
      <c r="I399" s="1364"/>
      <c r="J399" s="1364"/>
      <c r="T399" s="1374"/>
      <c r="U399" s="1374"/>
      <c r="V399" s="1374"/>
      <c r="W399" s="1374"/>
      <c r="X399" s="1374"/>
      <c r="Z399" s="1378"/>
      <c r="AA399" s="1378"/>
      <c r="AB399" s="1378"/>
      <c r="AC399" s="1378"/>
      <c r="AD399" s="1378"/>
      <c r="AK399" s="1354"/>
      <c r="AL399" s="1352"/>
      <c r="AM399" s="1354"/>
      <c r="AN399" s="1352"/>
    </row>
    <row r="400" spans="1:40" x14ac:dyDescent="0.2">
      <c r="A400" s="1324" t="s">
        <v>536</v>
      </c>
      <c r="B400" s="1324" t="s">
        <v>5546</v>
      </c>
      <c r="C400" s="1353">
        <f t="shared" ref="C400:D406" si="119">SUMIF($A$504:$A$1172,$A400,C$504:C$1172)</f>
        <v>1720</v>
      </c>
      <c r="D400" s="1353">
        <f t="shared" si="119"/>
        <v>1720</v>
      </c>
      <c r="E400" s="1351">
        <f t="shared" ref="E400:E407" si="120">IFERROR(D400/C400-1,0)</f>
        <v>0</v>
      </c>
      <c r="F400" s="1353">
        <f t="shared" ref="F400:J406" si="121">SUMIF($A$504:$A$1172,$A400,F$504:F$1172)</f>
        <v>1812.88</v>
      </c>
      <c r="G400" s="1353">
        <f t="shared" si="121"/>
        <v>1910.7755200000001</v>
      </c>
      <c r="H400" s="1353">
        <f t="shared" si="121"/>
        <v>2013.9573980800003</v>
      </c>
      <c r="I400" s="1353">
        <f t="shared" si="121"/>
        <v>2122.7110975763203</v>
      </c>
      <c r="J400" s="1353">
        <f t="shared" si="121"/>
        <v>2237.3374968454418</v>
      </c>
      <c r="T400" s="1374"/>
      <c r="U400" s="1374"/>
      <c r="V400" s="1374"/>
      <c r="W400" s="1374"/>
      <c r="X400" s="1374"/>
      <c r="Z400" s="1378"/>
      <c r="AA400" s="1378"/>
      <c r="AB400" s="1378"/>
      <c r="AC400" s="1378"/>
      <c r="AD400" s="1378"/>
      <c r="AK400" s="1354">
        <f t="shared" si="106"/>
        <v>13537.661512501763</v>
      </c>
      <c r="AL400" s="1352">
        <f t="shared" si="118"/>
        <v>25</v>
      </c>
      <c r="AM400" s="1354">
        <f t="shared" si="107"/>
        <v>517.33749684544182</v>
      </c>
      <c r="AN400" s="1352" t="str">
        <f t="shared" si="108"/>
        <v>Public Employees Retirement System (PERS)</v>
      </c>
    </row>
    <row r="401" spans="1:40" x14ac:dyDescent="0.2">
      <c r="A401" s="1324" t="s">
        <v>537</v>
      </c>
      <c r="B401" s="1324" t="s">
        <v>905</v>
      </c>
      <c r="C401" s="1353">
        <f t="shared" si="119"/>
        <v>3964.09</v>
      </c>
      <c r="D401" s="1353">
        <f t="shared" si="119"/>
        <v>4596.49</v>
      </c>
      <c r="E401" s="1351">
        <f t="shared" si="120"/>
        <v>0.1595322003284485</v>
      </c>
      <c r="F401" s="1353">
        <f t="shared" si="121"/>
        <v>4688.4197999999997</v>
      </c>
      <c r="G401" s="1353">
        <f t="shared" si="121"/>
        <v>4782.1881960000001</v>
      </c>
      <c r="H401" s="1353">
        <f t="shared" si="121"/>
        <v>4877.8319599200004</v>
      </c>
      <c r="I401" s="1353">
        <f t="shared" si="121"/>
        <v>4975.3885991184006</v>
      </c>
      <c r="J401" s="1353">
        <f t="shared" si="121"/>
        <v>5074.8963711007691</v>
      </c>
      <c r="T401" s="1374"/>
      <c r="U401" s="1374"/>
      <c r="V401" s="1374"/>
      <c r="W401" s="1374"/>
      <c r="X401" s="1374"/>
      <c r="Z401" s="1378"/>
      <c r="AA401" s="1378"/>
      <c r="AB401" s="1378"/>
      <c r="AC401" s="1378"/>
      <c r="AD401" s="1378"/>
      <c r="AK401" s="1354">
        <f t="shared" si="106"/>
        <v>32959.304926139172</v>
      </c>
      <c r="AL401" s="1352">
        <f t="shared" si="118"/>
        <v>27</v>
      </c>
      <c r="AM401" s="1354">
        <f t="shared" si="107"/>
        <v>478.40637110076932</v>
      </c>
      <c r="AN401" s="1352" t="str">
        <f t="shared" si="108"/>
        <v>Social Security</v>
      </c>
    </row>
    <row r="402" spans="1:40" x14ac:dyDescent="0.2">
      <c r="A402" s="1324" t="s">
        <v>5072</v>
      </c>
      <c r="B402" s="1324" t="s">
        <v>5596</v>
      </c>
      <c r="C402" s="1353">
        <f t="shared" si="119"/>
        <v>0</v>
      </c>
      <c r="D402" s="1353">
        <f t="shared" si="119"/>
        <v>0</v>
      </c>
      <c r="E402" s="1351">
        <f t="shared" si="120"/>
        <v>0</v>
      </c>
      <c r="F402" s="1353">
        <f t="shared" si="121"/>
        <v>0</v>
      </c>
      <c r="G402" s="1353">
        <f t="shared" si="121"/>
        <v>0</v>
      </c>
      <c r="H402" s="1353">
        <f t="shared" si="121"/>
        <v>0</v>
      </c>
      <c r="I402" s="1353">
        <f t="shared" si="121"/>
        <v>0</v>
      </c>
      <c r="J402" s="1353">
        <f t="shared" si="121"/>
        <v>0</v>
      </c>
      <c r="T402" s="1374"/>
      <c r="U402" s="1374"/>
      <c r="V402" s="1374"/>
      <c r="W402" s="1374"/>
      <c r="X402" s="1374"/>
      <c r="Z402" s="1378"/>
      <c r="AA402" s="1378"/>
      <c r="AB402" s="1378"/>
      <c r="AC402" s="1378"/>
      <c r="AD402" s="1378"/>
      <c r="AK402" s="1354">
        <f t="shared" si="106"/>
        <v>0</v>
      </c>
      <c r="AL402" s="1352">
        <f t="shared" si="118"/>
        <v>42</v>
      </c>
      <c r="AM402" s="1354">
        <f t="shared" si="107"/>
        <v>0</v>
      </c>
      <c r="AN402" s="1352" t="str">
        <f t="shared" si="108"/>
        <v>Other Statutory Expenditure</v>
      </c>
    </row>
    <row r="403" spans="1:40" x14ac:dyDescent="0.2">
      <c r="A403" s="1324" t="s">
        <v>538</v>
      </c>
      <c r="B403" s="1324" t="s">
        <v>5547</v>
      </c>
      <c r="C403" s="1353">
        <f t="shared" si="119"/>
        <v>0</v>
      </c>
      <c r="D403" s="1353">
        <f t="shared" si="119"/>
        <v>0</v>
      </c>
      <c r="E403" s="1351">
        <f t="shared" si="120"/>
        <v>0</v>
      </c>
      <c r="F403" s="1353">
        <f t="shared" si="121"/>
        <v>0</v>
      </c>
      <c r="G403" s="1353">
        <f t="shared" si="121"/>
        <v>0</v>
      </c>
      <c r="H403" s="1353">
        <f t="shared" si="121"/>
        <v>0</v>
      </c>
      <c r="I403" s="1353">
        <f t="shared" si="121"/>
        <v>0</v>
      </c>
      <c r="J403" s="1353">
        <f t="shared" si="121"/>
        <v>0</v>
      </c>
      <c r="T403" s="1374"/>
      <c r="U403" s="1374"/>
      <c r="V403" s="1374"/>
      <c r="W403" s="1374"/>
      <c r="X403" s="1374"/>
      <c r="Z403" s="1378"/>
      <c r="AA403" s="1378"/>
      <c r="AB403" s="1378"/>
      <c r="AC403" s="1378"/>
      <c r="AD403" s="1378"/>
      <c r="AK403" s="1354">
        <f t="shared" si="106"/>
        <v>0</v>
      </c>
      <c r="AL403" s="1352">
        <f t="shared" si="118"/>
        <v>42</v>
      </c>
      <c r="AM403" s="1354">
        <f t="shared" si="107"/>
        <v>0</v>
      </c>
      <c r="AN403" s="1352" t="str">
        <f t="shared" si="108"/>
        <v>Consolidated Police and Fire Retirement System</v>
      </c>
    </row>
    <row r="404" spans="1:40" x14ac:dyDescent="0.2">
      <c r="A404" s="1324" t="s">
        <v>539</v>
      </c>
      <c r="B404" s="1324" t="s">
        <v>5548</v>
      </c>
      <c r="C404" s="1353">
        <f t="shared" si="119"/>
        <v>0</v>
      </c>
      <c r="D404" s="1353">
        <f t="shared" si="119"/>
        <v>0</v>
      </c>
      <c r="E404" s="1351">
        <f t="shared" si="120"/>
        <v>0</v>
      </c>
      <c r="F404" s="1353">
        <f t="shared" si="121"/>
        <v>0</v>
      </c>
      <c r="G404" s="1353">
        <f t="shared" si="121"/>
        <v>0</v>
      </c>
      <c r="H404" s="1353">
        <f t="shared" si="121"/>
        <v>0</v>
      </c>
      <c r="I404" s="1353">
        <f t="shared" si="121"/>
        <v>0</v>
      </c>
      <c r="J404" s="1353">
        <f t="shared" si="121"/>
        <v>0</v>
      </c>
      <c r="T404" s="1374"/>
      <c r="U404" s="1374"/>
      <c r="V404" s="1374"/>
      <c r="W404" s="1374"/>
      <c r="X404" s="1374"/>
      <c r="Z404" s="1378"/>
      <c r="AA404" s="1378"/>
      <c r="AB404" s="1378"/>
      <c r="AC404" s="1378"/>
      <c r="AD404" s="1378"/>
      <c r="AK404" s="1354">
        <f t="shared" si="106"/>
        <v>0</v>
      </c>
      <c r="AL404" s="1352">
        <f t="shared" si="118"/>
        <v>42</v>
      </c>
      <c r="AM404" s="1354">
        <f t="shared" si="107"/>
        <v>0</v>
      </c>
      <c r="AN404" s="1352" t="str">
        <f t="shared" si="108"/>
        <v>Police and Firemen's Retirement System</v>
      </c>
    </row>
    <row r="405" spans="1:40" x14ac:dyDescent="0.2">
      <c r="A405" s="1324" t="s">
        <v>5079</v>
      </c>
      <c r="B405" s="1324" t="s">
        <v>5549</v>
      </c>
      <c r="C405" s="1353">
        <f t="shared" si="119"/>
        <v>0</v>
      </c>
      <c r="D405" s="1353">
        <f t="shared" si="119"/>
        <v>0</v>
      </c>
      <c r="E405" s="1351">
        <f t="shared" si="120"/>
        <v>0</v>
      </c>
      <c r="F405" s="1353">
        <f t="shared" si="121"/>
        <v>0</v>
      </c>
      <c r="G405" s="1353">
        <f t="shared" si="121"/>
        <v>0</v>
      </c>
      <c r="H405" s="1353">
        <f t="shared" si="121"/>
        <v>0</v>
      </c>
      <c r="I405" s="1353">
        <f t="shared" si="121"/>
        <v>0</v>
      </c>
      <c r="J405" s="1353">
        <f t="shared" si="121"/>
        <v>0</v>
      </c>
      <c r="T405" s="1374"/>
      <c r="U405" s="1374"/>
      <c r="V405" s="1374"/>
      <c r="W405" s="1374"/>
      <c r="X405" s="1374"/>
      <c r="Z405" s="1378"/>
      <c r="AA405" s="1378"/>
      <c r="AB405" s="1378"/>
      <c r="AC405" s="1378"/>
      <c r="AD405" s="1378"/>
      <c r="AK405" s="1354">
        <f t="shared" si="106"/>
        <v>0</v>
      </c>
      <c r="AL405" s="1352">
        <f t="shared" si="118"/>
        <v>42</v>
      </c>
      <c r="AM405" s="1354">
        <f t="shared" si="107"/>
        <v>0</v>
      </c>
      <c r="AN405" s="1352" t="str">
        <f t="shared" si="108"/>
        <v>Other Pension</v>
      </c>
    </row>
    <row r="406" spans="1:40" x14ac:dyDescent="0.2">
      <c r="A406" s="1324" t="s">
        <v>161</v>
      </c>
      <c r="B406" s="1324" t="s">
        <v>3347</v>
      </c>
      <c r="C406" s="1353">
        <f t="shared" si="119"/>
        <v>0</v>
      </c>
      <c r="D406" s="1353">
        <f t="shared" si="119"/>
        <v>0</v>
      </c>
      <c r="E406" s="1351">
        <f t="shared" si="120"/>
        <v>0</v>
      </c>
      <c r="F406" s="1353">
        <f t="shared" si="121"/>
        <v>0</v>
      </c>
      <c r="G406" s="1353">
        <f t="shared" si="121"/>
        <v>0</v>
      </c>
      <c r="H406" s="1353">
        <f t="shared" si="121"/>
        <v>0</v>
      </c>
      <c r="I406" s="1353">
        <f t="shared" si="121"/>
        <v>0</v>
      </c>
      <c r="J406" s="1353">
        <f t="shared" si="121"/>
        <v>0</v>
      </c>
      <c r="T406" s="1374"/>
      <c r="U406" s="1374"/>
      <c r="V406" s="1374"/>
      <c r="W406" s="1374"/>
      <c r="X406" s="1374"/>
      <c r="Z406" s="1378"/>
      <c r="AA406" s="1378"/>
      <c r="AB406" s="1378"/>
      <c r="AC406" s="1378"/>
      <c r="AD406" s="1378"/>
      <c r="AK406" s="1354">
        <f t="shared" si="106"/>
        <v>0</v>
      </c>
      <c r="AL406" s="1352">
        <f t="shared" si="118"/>
        <v>42</v>
      </c>
      <c r="AM406" s="1354">
        <f t="shared" si="107"/>
        <v>0</v>
      </c>
      <c r="AN406" s="1352" t="str">
        <f t="shared" si="108"/>
        <v>Defined Contribution Retirement Program (DCRP)</v>
      </c>
    </row>
    <row r="407" spans="1:40" x14ac:dyDescent="0.2">
      <c r="B407" s="1373" t="str">
        <f>"Total- "&amp;A399</f>
        <v>Total- Statutory Expenditures</v>
      </c>
      <c r="C407" s="1360">
        <f>SUM(C400:C406)</f>
        <v>5684.09</v>
      </c>
      <c r="D407" s="1360">
        <f>SUM(D400:D406)</f>
        <v>6316.49</v>
      </c>
      <c r="E407" s="1356">
        <f t="shared" si="120"/>
        <v>0.11125791463541201</v>
      </c>
      <c r="F407" s="1360">
        <f>SUM(F400:F406)</f>
        <v>6501.2997999999998</v>
      </c>
      <c r="G407" s="1360">
        <f>SUM(G400:G406)</f>
        <v>6692.9637160000002</v>
      </c>
      <c r="H407" s="1360">
        <f>SUM(H400:H406)</f>
        <v>6891.7893580000009</v>
      </c>
      <c r="I407" s="1360">
        <f>SUM(I400:I406)</f>
        <v>7098.0996966947205</v>
      </c>
      <c r="J407" s="1360">
        <f>SUM(J400:J406)</f>
        <v>7312.2338679462109</v>
      </c>
      <c r="T407" s="1374"/>
      <c r="U407" s="1374"/>
      <c r="V407" s="1374"/>
      <c r="W407" s="1374"/>
      <c r="X407" s="1374"/>
      <c r="Z407" s="1378"/>
      <c r="AA407" s="1378"/>
      <c r="AB407" s="1378"/>
      <c r="AC407" s="1378"/>
      <c r="AD407" s="1378"/>
      <c r="AK407" s="1354"/>
      <c r="AL407" s="1352"/>
      <c r="AM407" s="1354"/>
      <c r="AN407" s="1352"/>
    </row>
    <row r="408" spans="1:40" x14ac:dyDescent="0.2">
      <c r="E408" s="1351"/>
      <c r="T408" s="1374"/>
      <c r="U408" s="1374"/>
      <c r="V408" s="1374"/>
      <c r="W408" s="1374"/>
      <c r="X408" s="1374"/>
      <c r="Z408" s="1378"/>
      <c r="AA408" s="1378"/>
      <c r="AB408" s="1378"/>
      <c r="AC408" s="1378"/>
      <c r="AD408" s="1378"/>
      <c r="AK408" s="1354"/>
      <c r="AL408" s="1352"/>
      <c r="AM408" s="1354"/>
      <c r="AN408" s="1352"/>
    </row>
    <row r="409" spans="1:40" x14ac:dyDescent="0.2">
      <c r="A409" s="1364" t="s">
        <v>326</v>
      </c>
      <c r="B409" s="1365"/>
      <c r="C409" s="1364"/>
      <c r="D409" s="1364"/>
      <c r="E409" s="1366"/>
      <c r="F409" s="1364"/>
      <c r="G409" s="1364"/>
      <c r="H409" s="1364"/>
      <c r="I409" s="1364"/>
      <c r="J409" s="1364"/>
      <c r="T409" s="1374"/>
      <c r="U409" s="1374"/>
      <c r="V409" s="1374"/>
      <c r="W409" s="1374"/>
      <c r="X409" s="1374"/>
      <c r="Z409" s="1378"/>
      <c r="AA409" s="1378"/>
      <c r="AB409" s="1378"/>
      <c r="AC409" s="1378"/>
      <c r="AD409" s="1378"/>
      <c r="AK409" s="1354"/>
      <c r="AL409" s="1352"/>
      <c r="AM409" s="1354"/>
      <c r="AN409" s="1352"/>
    </row>
    <row r="410" spans="1:40" x14ac:dyDescent="0.2">
      <c r="A410" s="1324" t="s">
        <v>559</v>
      </c>
      <c r="B410" s="1324" t="s">
        <v>5588</v>
      </c>
      <c r="C410" s="1324">
        <f>SUMIF($A$504:$A$1172,$A410,C$504:C$1172)</f>
        <v>0</v>
      </c>
      <c r="D410" s="1324">
        <f>SUMIF($A$504:$A$1172,$A410,D$504:D$1172)</f>
        <v>0</v>
      </c>
      <c r="E410" s="1351">
        <f>IFERROR(D410/C410-1,0)</f>
        <v>0</v>
      </c>
      <c r="F410" s="1324">
        <f>SUMIF($A$504:$A$1172,$A410,F$504:F$1172)</f>
        <v>0</v>
      </c>
      <c r="G410" s="1324">
        <f>SUMIF($A$504:$A$1172,$A410,G$504:G$1172)</f>
        <v>0</v>
      </c>
      <c r="H410" s="1324">
        <f>SUMIF($A$504:$A$1172,$A410,H$504:H$1172)</f>
        <v>0</v>
      </c>
      <c r="I410" s="1324">
        <f>SUMIF($A$504:$A$1172,$A410,I$504:I$1172)</f>
        <v>0</v>
      </c>
      <c r="J410" s="1324">
        <f>SUMIF($A$504:$A$1172,$A410,J$504:J$1172)</f>
        <v>0</v>
      </c>
      <c r="T410" s="1374"/>
      <c r="U410" s="1374"/>
      <c r="V410" s="1374"/>
      <c r="W410" s="1374"/>
      <c r="X410" s="1374"/>
      <c r="Z410" s="1378"/>
      <c r="AA410" s="1378"/>
      <c r="AB410" s="1378"/>
      <c r="AC410" s="1378"/>
      <c r="AD410" s="1378"/>
      <c r="AK410" s="1354">
        <f t="shared" ref="AK410:AK467" si="122">SUM(C410:D410,F410:J410)</f>
        <v>0</v>
      </c>
      <c r="AL410" s="1352">
        <f t="shared" si="118"/>
        <v>42</v>
      </c>
      <c r="AM410" s="1354">
        <f t="shared" ref="AM410:AM467" si="123">J410-D410</f>
        <v>0</v>
      </c>
      <c r="AN410" s="1352" t="str">
        <f t="shared" ref="AN410:AN467" si="124">B410</f>
        <v>Judgments (Inside or Outside CAP)</v>
      </c>
    </row>
    <row r="411" spans="1:40" x14ac:dyDescent="0.2">
      <c r="B411" s="1373" t="str">
        <f>"Total- "&amp;A409</f>
        <v>Total- Judgements</v>
      </c>
      <c r="C411" s="1360">
        <f>C410</f>
        <v>0</v>
      </c>
      <c r="D411" s="1360">
        <f>D410</f>
        <v>0</v>
      </c>
      <c r="E411" s="1356">
        <f>IFERROR(D411/C411-1,0)</f>
        <v>0</v>
      </c>
      <c r="F411" s="1360">
        <f>F410</f>
        <v>0</v>
      </c>
      <c r="G411" s="1360">
        <f>G410</f>
        <v>0</v>
      </c>
      <c r="H411" s="1360">
        <f>H410</f>
        <v>0</v>
      </c>
      <c r="I411" s="1360">
        <f>I410</f>
        <v>0</v>
      </c>
      <c r="J411" s="1360">
        <f>J410</f>
        <v>0</v>
      </c>
      <c r="T411" s="1374"/>
      <c r="U411" s="1374"/>
      <c r="V411" s="1374"/>
      <c r="W411" s="1374"/>
      <c r="X411" s="1374"/>
      <c r="Z411" s="1378"/>
      <c r="AA411" s="1378"/>
      <c r="AB411" s="1378"/>
      <c r="AC411" s="1378"/>
      <c r="AD411" s="1378"/>
      <c r="AK411" s="1354"/>
      <c r="AL411" s="1352"/>
      <c r="AM411" s="1354"/>
      <c r="AN411" s="1352"/>
    </row>
    <row r="412" spans="1:40" x14ac:dyDescent="0.2">
      <c r="B412" s="1379"/>
      <c r="E412" s="1351"/>
      <c r="T412" s="1374"/>
      <c r="U412" s="1374"/>
      <c r="V412" s="1374"/>
      <c r="W412" s="1374"/>
      <c r="X412" s="1374"/>
      <c r="Z412" s="1378"/>
      <c r="AA412" s="1378"/>
      <c r="AB412" s="1378"/>
      <c r="AC412" s="1378"/>
      <c r="AD412" s="1378"/>
      <c r="AK412" s="1354"/>
      <c r="AL412" s="1352"/>
      <c r="AM412" s="1354"/>
      <c r="AN412" s="1352"/>
    </row>
    <row r="413" spans="1:40" x14ac:dyDescent="0.2">
      <c r="A413" s="1364" t="s">
        <v>5609</v>
      </c>
      <c r="B413" s="1365"/>
      <c r="C413" s="1364"/>
      <c r="D413" s="1364"/>
      <c r="E413" s="1366"/>
      <c r="F413" s="1364"/>
      <c r="G413" s="1364"/>
      <c r="H413" s="1364"/>
      <c r="I413" s="1364"/>
      <c r="J413" s="1364"/>
      <c r="T413" s="1374"/>
      <c r="U413" s="1374"/>
      <c r="V413" s="1374"/>
      <c r="W413" s="1374"/>
      <c r="X413" s="1374"/>
      <c r="Z413" s="1378"/>
      <c r="AA413" s="1378"/>
      <c r="AB413" s="1378"/>
      <c r="AC413" s="1378"/>
      <c r="AD413" s="1378"/>
      <c r="AK413" s="1354"/>
      <c r="AL413" s="1352"/>
      <c r="AM413" s="1354"/>
      <c r="AN413" s="1352"/>
    </row>
    <row r="414" spans="1:40" x14ac:dyDescent="0.2">
      <c r="A414" s="1324" t="s">
        <v>386</v>
      </c>
      <c r="B414" s="1324" t="s">
        <v>5609</v>
      </c>
      <c r="C414" s="1353">
        <f>SUMIF($A$504:$A$1172,$A414,C$504:C$1172)</f>
        <v>5119.84</v>
      </c>
      <c r="D414" s="1353">
        <f>SUMIF($A$504:$A$1172,$A414,D$504:D$1172)</f>
        <v>20119.84</v>
      </c>
      <c r="E414" s="1351">
        <f>IFERROR(D414/C414-1,0)</f>
        <v>2.9297790555954872</v>
      </c>
      <c r="F414" s="1353">
        <f>SUMIF($A$504:$A$1172,$A414,F$504:F$1172)</f>
        <v>20119.84</v>
      </c>
      <c r="G414" s="1353">
        <f>SUMIF($A$504:$A$1172,$A414,G$504:G$1172)</f>
        <v>20119.84</v>
      </c>
      <c r="H414" s="1353">
        <f>SUMIF($A$504:$A$1172,$A414,H$504:H$1172)</f>
        <v>20119.84</v>
      </c>
      <c r="I414" s="1353">
        <f>SUMIF($A$504:$A$1172,$A414,I$504:I$1172)</f>
        <v>20119.84</v>
      </c>
      <c r="J414" s="1353">
        <f>SUMIF($A$504:$A$1172,$A414,J$504:J$1172)</f>
        <v>20119.84</v>
      </c>
      <c r="T414" s="1374"/>
      <c r="U414" s="1374"/>
      <c r="V414" s="1374"/>
      <c r="W414" s="1374"/>
      <c r="X414" s="1374"/>
      <c r="Z414" s="1378"/>
      <c r="AA414" s="1378"/>
      <c r="AB414" s="1378"/>
      <c r="AC414" s="1378"/>
      <c r="AD414" s="1378"/>
      <c r="AK414" s="1354">
        <f t="shared" si="122"/>
        <v>125838.87999999999</v>
      </c>
      <c r="AL414" s="1352">
        <f t="shared" si="118"/>
        <v>42</v>
      </c>
      <c r="AM414" s="1354">
        <f t="shared" si="123"/>
        <v>0</v>
      </c>
      <c r="AN414" s="1352" t="str">
        <f t="shared" si="124"/>
        <v>Public and Private Programs Offset by Revenues (Grants)</v>
      </c>
    </row>
    <row r="415" spans="1:40" x14ac:dyDescent="0.2">
      <c r="B415" s="1373" t="str">
        <f>"Total- "&amp;A413</f>
        <v>Total- Public and Private Programs Offset by Revenues (Grants)</v>
      </c>
      <c r="C415" s="1360">
        <f>C414</f>
        <v>5119.84</v>
      </c>
      <c r="D415" s="1360">
        <f>D414</f>
        <v>20119.84</v>
      </c>
      <c r="E415" s="1356">
        <f>IFERROR(D415/C415-1,0)</f>
        <v>2.9297790555954872</v>
      </c>
      <c r="F415" s="1360">
        <f>F414</f>
        <v>20119.84</v>
      </c>
      <c r="G415" s="1360">
        <f>G414</f>
        <v>20119.84</v>
      </c>
      <c r="H415" s="1360">
        <f>H414</f>
        <v>20119.84</v>
      </c>
      <c r="I415" s="1360">
        <f>I414</f>
        <v>20119.84</v>
      </c>
      <c r="J415" s="1360">
        <f>J414</f>
        <v>20119.84</v>
      </c>
      <c r="T415" s="1374"/>
      <c r="U415" s="1374"/>
      <c r="V415" s="1374"/>
      <c r="W415" s="1374"/>
      <c r="X415" s="1374"/>
      <c r="Z415" s="1378"/>
      <c r="AA415" s="1378"/>
      <c r="AB415" s="1378"/>
      <c r="AC415" s="1378"/>
      <c r="AD415" s="1378"/>
      <c r="AK415" s="1354"/>
      <c r="AL415" s="1352"/>
      <c r="AM415" s="1354"/>
      <c r="AN415" s="1352"/>
    </row>
    <row r="416" spans="1:40" x14ac:dyDescent="0.2">
      <c r="E416" s="1351"/>
      <c r="T416" s="1374"/>
      <c r="U416" s="1374"/>
      <c r="V416" s="1374"/>
      <c r="W416" s="1374"/>
      <c r="X416" s="1374"/>
      <c r="Z416" s="1378"/>
      <c r="AA416" s="1378"/>
      <c r="AB416" s="1378"/>
      <c r="AC416" s="1378"/>
      <c r="AD416" s="1378"/>
      <c r="AK416" s="1354"/>
      <c r="AL416" s="1352"/>
      <c r="AM416" s="1354"/>
      <c r="AN416" s="1352"/>
    </row>
    <row r="417" spans="1:40" x14ac:dyDescent="0.2">
      <c r="A417" s="1364" t="s">
        <v>5451</v>
      </c>
      <c r="B417" s="1365"/>
      <c r="C417" s="1364"/>
      <c r="D417" s="1364"/>
      <c r="E417" s="1366"/>
      <c r="F417" s="1364"/>
      <c r="G417" s="1364"/>
      <c r="H417" s="1364"/>
      <c r="I417" s="1364"/>
      <c r="J417" s="1364"/>
      <c r="T417" s="1374"/>
      <c r="U417" s="1374"/>
      <c r="V417" s="1374"/>
      <c r="W417" s="1374"/>
      <c r="X417" s="1374"/>
      <c r="Z417" s="1378"/>
      <c r="AA417" s="1378"/>
      <c r="AB417" s="1378"/>
      <c r="AC417" s="1378"/>
      <c r="AD417" s="1378"/>
      <c r="AK417" s="1354"/>
      <c r="AL417" s="1352"/>
      <c r="AM417" s="1354"/>
      <c r="AN417" s="1352"/>
    </row>
    <row r="418" spans="1:40" x14ac:dyDescent="0.2">
      <c r="A418" s="1324" t="s">
        <v>5071</v>
      </c>
      <c r="B418" s="1324" t="s">
        <v>5392</v>
      </c>
      <c r="C418" s="1353">
        <f t="shared" ref="C418:D441" si="125">SUMIF($A$504:$A$1172,$A418,C$504:C$1172)</f>
        <v>0</v>
      </c>
      <c r="D418" s="1353">
        <f t="shared" si="125"/>
        <v>0</v>
      </c>
      <c r="E418" s="1351">
        <f t="shared" ref="E418:E442" si="126">IFERROR(D418/C418-1,0)</f>
        <v>0</v>
      </c>
      <c r="F418" s="1353">
        <f t="shared" ref="F418:J427" si="127">SUMIF($A$504:$A$1172,$A418,F$504:F$1172)</f>
        <v>0</v>
      </c>
      <c r="G418" s="1353">
        <f t="shared" si="127"/>
        <v>0</v>
      </c>
      <c r="H418" s="1353">
        <f t="shared" si="127"/>
        <v>0</v>
      </c>
      <c r="I418" s="1353">
        <f t="shared" si="127"/>
        <v>0</v>
      </c>
      <c r="J418" s="1353">
        <f t="shared" si="127"/>
        <v>0</v>
      </c>
      <c r="T418" s="1374"/>
      <c r="U418" s="1374"/>
      <c r="V418" s="1374"/>
      <c r="W418" s="1374"/>
      <c r="X418" s="1374"/>
      <c r="Z418" s="1378"/>
      <c r="AA418" s="1378"/>
      <c r="AB418" s="1378"/>
      <c r="AC418" s="1378"/>
      <c r="AD418" s="1378"/>
      <c r="AK418" s="1354">
        <f t="shared" si="122"/>
        <v>0</v>
      </c>
      <c r="AL418" s="1352">
        <f t="shared" si="118"/>
        <v>42</v>
      </c>
      <c r="AM418" s="1354">
        <f t="shared" si="123"/>
        <v>0</v>
      </c>
      <c r="AN418" s="1352" t="str">
        <f t="shared" si="124"/>
        <v>Shared Services - Tax Assessor</v>
      </c>
    </row>
    <row r="419" spans="1:40" x14ac:dyDescent="0.2">
      <c r="A419" s="1324" t="s">
        <v>5078</v>
      </c>
      <c r="B419" s="1324" t="s">
        <v>5393</v>
      </c>
      <c r="C419" s="1353">
        <f t="shared" si="125"/>
        <v>0</v>
      </c>
      <c r="D419" s="1353">
        <f t="shared" si="125"/>
        <v>0</v>
      </c>
      <c r="E419" s="1351">
        <f t="shared" si="126"/>
        <v>0</v>
      </c>
      <c r="F419" s="1353">
        <f t="shared" si="127"/>
        <v>0</v>
      </c>
      <c r="G419" s="1353">
        <f t="shared" si="127"/>
        <v>0</v>
      </c>
      <c r="H419" s="1353">
        <f t="shared" si="127"/>
        <v>0</v>
      </c>
      <c r="I419" s="1353">
        <f t="shared" si="127"/>
        <v>0</v>
      </c>
      <c r="J419" s="1353">
        <f t="shared" si="127"/>
        <v>0</v>
      </c>
      <c r="T419" s="1374"/>
      <c r="U419" s="1374"/>
      <c r="V419" s="1374"/>
      <c r="W419" s="1374"/>
      <c r="X419" s="1374"/>
      <c r="Z419" s="1378"/>
      <c r="AA419" s="1378"/>
      <c r="AB419" s="1378"/>
      <c r="AC419" s="1378"/>
      <c r="AD419" s="1378"/>
      <c r="AK419" s="1354">
        <f t="shared" si="122"/>
        <v>0</v>
      </c>
      <c r="AL419" s="1352">
        <f t="shared" si="118"/>
        <v>42</v>
      </c>
      <c r="AM419" s="1354">
        <f t="shared" si="123"/>
        <v>0</v>
      </c>
      <c r="AN419" s="1352" t="str">
        <f t="shared" si="124"/>
        <v>Shared Services - Tax Collector</v>
      </c>
    </row>
    <row r="420" spans="1:40" x14ac:dyDescent="0.2">
      <c r="A420" s="1324" t="s">
        <v>5086</v>
      </c>
      <c r="B420" s="1324" t="s">
        <v>5394</v>
      </c>
      <c r="C420" s="1353">
        <f t="shared" si="125"/>
        <v>0</v>
      </c>
      <c r="D420" s="1353">
        <f t="shared" si="125"/>
        <v>0</v>
      </c>
      <c r="E420" s="1351">
        <f t="shared" si="126"/>
        <v>0</v>
      </c>
      <c r="F420" s="1353">
        <f t="shared" si="127"/>
        <v>0</v>
      </c>
      <c r="G420" s="1353">
        <f t="shared" si="127"/>
        <v>0</v>
      </c>
      <c r="H420" s="1353">
        <f t="shared" si="127"/>
        <v>0</v>
      </c>
      <c r="I420" s="1353">
        <f t="shared" si="127"/>
        <v>0</v>
      </c>
      <c r="J420" s="1353">
        <f t="shared" si="127"/>
        <v>0</v>
      </c>
      <c r="T420" s="1374"/>
      <c r="U420" s="1374"/>
      <c r="V420" s="1374"/>
      <c r="W420" s="1374"/>
      <c r="X420" s="1374"/>
      <c r="Z420" s="1378"/>
      <c r="AA420" s="1378"/>
      <c r="AB420" s="1378"/>
      <c r="AC420" s="1378"/>
      <c r="AD420" s="1378"/>
      <c r="AK420" s="1354">
        <f t="shared" si="122"/>
        <v>0</v>
      </c>
      <c r="AL420" s="1352">
        <f t="shared" si="118"/>
        <v>42</v>
      </c>
      <c r="AM420" s="1354">
        <f t="shared" si="123"/>
        <v>0</v>
      </c>
      <c r="AN420" s="1352" t="str">
        <f t="shared" si="124"/>
        <v>Shared Services - Chief Financial Officer</v>
      </c>
    </row>
    <row r="421" spans="1:40" x14ac:dyDescent="0.2">
      <c r="A421" s="1324" t="s">
        <v>5092</v>
      </c>
      <c r="B421" s="1324" t="s">
        <v>5395</v>
      </c>
      <c r="C421" s="1353">
        <f t="shared" si="125"/>
        <v>0</v>
      </c>
      <c r="D421" s="1353">
        <f t="shared" si="125"/>
        <v>0</v>
      </c>
      <c r="E421" s="1351">
        <f t="shared" si="126"/>
        <v>0</v>
      </c>
      <c r="F421" s="1353">
        <f t="shared" si="127"/>
        <v>0</v>
      </c>
      <c r="G421" s="1353">
        <f t="shared" si="127"/>
        <v>0</v>
      </c>
      <c r="H421" s="1353">
        <f t="shared" si="127"/>
        <v>0</v>
      </c>
      <c r="I421" s="1353">
        <f t="shared" si="127"/>
        <v>0</v>
      </c>
      <c r="J421" s="1353">
        <f t="shared" si="127"/>
        <v>0</v>
      </c>
      <c r="T421" s="1374"/>
      <c r="U421" s="1374"/>
      <c r="V421" s="1374"/>
      <c r="W421" s="1374"/>
      <c r="X421" s="1374"/>
      <c r="Z421" s="1378"/>
      <c r="AA421" s="1378"/>
      <c r="AB421" s="1378"/>
      <c r="AC421" s="1378"/>
      <c r="AD421" s="1378"/>
      <c r="AK421" s="1354">
        <f t="shared" si="122"/>
        <v>0</v>
      </c>
      <c r="AL421" s="1352">
        <f t="shared" si="118"/>
        <v>42</v>
      </c>
      <c r="AM421" s="1354">
        <f t="shared" si="123"/>
        <v>0</v>
      </c>
      <c r="AN421" s="1352" t="str">
        <f t="shared" si="124"/>
        <v>Shared Services - Public Works Department</v>
      </c>
    </row>
    <row r="422" spans="1:40" x14ac:dyDescent="0.2">
      <c r="A422" s="1324" t="s">
        <v>5099</v>
      </c>
      <c r="B422" s="1324" t="s">
        <v>5396</v>
      </c>
      <c r="C422" s="1353">
        <f t="shared" si="125"/>
        <v>0</v>
      </c>
      <c r="D422" s="1353">
        <f t="shared" si="125"/>
        <v>0</v>
      </c>
      <c r="E422" s="1351">
        <f t="shared" si="126"/>
        <v>0</v>
      </c>
      <c r="F422" s="1353">
        <f t="shared" si="127"/>
        <v>0</v>
      </c>
      <c r="G422" s="1353">
        <f t="shared" si="127"/>
        <v>0</v>
      </c>
      <c r="H422" s="1353">
        <f t="shared" si="127"/>
        <v>0</v>
      </c>
      <c r="I422" s="1353">
        <f t="shared" si="127"/>
        <v>0</v>
      </c>
      <c r="J422" s="1353">
        <f t="shared" si="127"/>
        <v>0</v>
      </c>
      <c r="T422" s="1374"/>
      <c r="U422" s="1374"/>
      <c r="V422" s="1374"/>
      <c r="W422" s="1374"/>
      <c r="X422" s="1374"/>
      <c r="Z422" s="1378"/>
      <c r="AA422" s="1378"/>
      <c r="AB422" s="1378"/>
      <c r="AC422" s="1378"/>
      <c r="AD422" s="1378"/>
      <c r="AK422" s="1354">
        <f t="shared" si="122"/>
        <v>0</v>
      </c>
      <c r="AL422" s="1352">
        <f t="shared" si="118"/>
        <v>42</v>
      </c>
      <c r="AM422" s="1354">
        <f t="shared" si="123"/>
        <v>0</v>
      </c>
      <c r="AN422" s="1352" t="str">
        <f t="shared" si="124"/>
        <v>Shared Services - Police Department</v>
      </c>
    </row>
    <row r="423" spans="1:40" x14ac:dyDescent="0.2">
      <c r="A423" s="1324" t="s">
        <v>5104</v>
      </c>
      <c r="B423" s="1324" t="s">
        <v>5397</v>
      </c>
      <c r="C423" s="1353">
        <f t="shared" si="125"/>
        <v>0</v>
      </c>
      <c r="D423" s="1353">
        <f t="shared" si="125"/>
        <v>0</v>
      </c>
      <c r="E423" s="1351">
        <f t="shared" si="126"/>
        <v>0</v>
      </c>
      <c r="F423" s="1353">
        <f t="shared" si="127"/>
        <v>0</v>
      </c>
      <c r="G423" s="1353">
        <f t="shared" si="127"/>
        <v>0</v>
      </c>
      <c r="H423" s="1353">
        <f t="shared" si="127"/>
        <v>0</v>
      </c>
      <c r="I423" s="1353">
        <f t="shared" si="127"/>
        <v>0</v>
      </c>
      <c r="J423" s="1353">
        <f t="shared" si="127"/>
        <v>0</v>
      </c>
      <c r="T423" s="1374"/>
      <c r="U423" s="1374"/>
      <c r="V423" s="1374"/>
      <c r="W423" s="1374"/>
      <c r="X423" s="1374"/>
      <c r="Z423" s="1378"/>
      <c r="AA423" s="1378"/>
      <c r="AB423" s="1378"/>
      <c r="AC423" s="1378"/>
      <c r="AD423" s="1378"/>
      <c r="AK423" s="1354">
        <f t="shared" si="122"/>
        <v>0</v>
      </c>
      <c r="AL423" s="1352">
        <f t="shared" si="118"/>
        <v>42</v>
      </c>
      <c r="AM423" s="1354">
        <f t="shared" si="123"/>
        <v>0</v>
      </c>
      <c r="AN423" s="1352" t="str">
        <f t="shared" si="124"/>
        <v>Shared Services - Trash and Recycling Collection</v>
      </c>
    </row>
    <row r="424" spans="1:40" x14ac:dyDescent="0.2">
      <c r="A424" s="1324" t="s">
        <v>5107</v>
      </c>
      <c r="B424" s="1324" t="s">
        <v>5398</v>
      </c>
      <c r="C424" s="1353">
        <f t="shared" si="125"/>
        <v>1246.04</v>
      </c>
      <c r="D424" s="1353">
        <f t="shared" si="125"/>
        <v>1500</v>
      </c>
      <c r="E424" s="1351">
        <f t="shared" si="126"/>
        <v>0.20381368174376435</v>
      </c>
      <c r="F424" s="1353">
        <f t="shared" si="127"/>
        <v>1530</v>
      </c>
      <c r="G424" s="1353">
        <f t="shared" si="127"/>
        <v>1560.6000000000001</v>
      </c>
      <c r="H424" s="1353">
        <f t="shared" si="127"/>
        <v>1591.8120000000001</v>
      </c>
      <c r="I424" s="1353">
        <f t="shared" si="127"/>
        <v>1623.6482400000002</v>
      </c>
      <c r="J424" s="1353">
        <f t="shared" si="127"/>
        <v>1656.1212048000002</v>
      </c>
      <c r="T424" s="1374"/>
      <c r="U424" s="1374"/>
      <c r="V424" s="1374"/>
      <c r="W424" s="1374"/>
      <c r="X424" s="1374"/>
      <c r="Z424" s="1378"/>
      <c r="AA424" s="1378"/>
      <c r="AB424" s="1378"/>
      <c r="AC424" s="1378"/>
      <c r="AD424" s="1378"/>
      <c r="AK424" s="1354">
        <f t="shared" si="122"/>
        <v>10708.2214448</v>
      </c>
      <c r="AL424" s="1352">
        <f t="shared" si="118"/>
        <v>31</v>
      </c>
      <c r="AM424" s="1354">
        <f t="shared" si="123"/>
        <v>156.12120480000021</v>
      </c>
      <c r="AN424" s="1352" t="str">
        <f t="shared" si="124"/>
        <v>Shared Services - Municipal Court</v>
      </c>
    </row>
    <row r="425" spans="1:40" x14ac:dyDescent="0.2">
      <c r="A425" s="1324" t="s">
        <v>5110</v>
      </c>
      <c r="B425" s="1324" t="s">
        <v>5399</v>
      </c>
      <c r="C425" s="1353">
        <f t="shared" si="125"/>
        <v>0</v>
      </c>
      <c r="D425" s="1353">
        <f t="shared" si="125"/>
        <v>0</v>
      </c>
      <c r="E425" s="1351">
        <f t="shared" si="126"/>
        <v>0</v>
      </c>
      <c r="F425" s="1353">
        <f t="shared" si="127"/>
        <v>0</v>
      </c>
      <c r="G425" s="1353">
        <f t="shared" si="127"/>
        <v>0</v>
      </c>
      <c r="H425" s="1353">
        <f t="shared" si="127"/>
        <v>0</v>
      </c>
      <c r="I425" s="1353">
        <f t="shared" si="127"/>
        <v>0</v>
      </c>
      <c r="J425" s="1353">
        <f t="shared" si="127"/>
        <v>0</v>
      </c>
      <c r="T425" s="1374"/>
      <c r="U425" s="1374"/>
      <c r="V425" s="1374"/>
      <c r="W425" s="1374"/>
      <c r="X425" s="1374"/>
      <c r="Z425" s="1378"/>
      <c r="AA425" s="1378"/>
      <c r="AB425" s="1378"/>
      <c r="AC425" s="1378"/>
      <c r="AD425" s="1378"/>
      <c r="AK425" s="1354">
        <f t="shared" si="122"/>
        <v>0</v>
      </c>
      <c r="AL425" s="1352">
        <f t="shared" si="118"/>
        <v>42</v>
      </c>
      <c r="AM425" s="1354">
        <f t="shared" si="123"/>
        <v>0</v>
      </c>
      <c r="AN425" s="1352" t="str">
        <f t="shared" si="124"/>
        <v>Shared Services - Fire Department/District</v>
      </c>
    </row>
    <row r="426" spans="1:40" x14ac:dyDescent="0.2">
      <c r="A426" s="1324" t="s">
        <v>5113</v>
      </c>
      <c r="B426" s="1324" t="s">
        <v>5400</v>
      </c>
      <c r="C426" s="1353">
        <f t="shared" si="125"/>
        <v>0</v>
      </c>
      <c r="D426" s="1353">
        <f t="shared" si="125"/>
        <v>0</v>
      </c>
      <c r="E426" s="1351">
        <f t="shared" si="126"/>
        <v>0</v>
      </c>
      <c r="F426" s="1353">
        <f t="shared" si="127"/>
        <v>0</v>
      </c>
      <c r="G426" s="1353">
        <f t="shared" si="127"/>
        <v>0</v>
      </c>
      <c r="H426" s="1353">
        <f t="shared" si="127"/>
        <v>0</v>
      </c>
      <c r="I426" s="1353">
        <f t="shared" si="127"/>
        <v>0</v>
      </c>
      <c r="J426" s="1353">
        <f t="shared" si="127"/>
        <v>0</v>
      </c>
      <c r="T426" s="1374"/>
      <c r="U426" s="1374"/>
      <c r="V426" s="1374"/>
      <c r="W426" s="1374"/>
      <c r="X426" s="1374"/>
      <c r="Z426" s="1378"/>
      <c r="AA426" s="1378"/>
      <c r="AB426" s="1378"/>
      <c r="AC426" s="1378"/>
      <c r="AD426" s="1378"/>
      <c r="AK426" s="1354">
        <f t="shared" si="122"/>
        <v>0</v>
      </c>
      <c r="AL426" s="1352">
        <f t="shared" si="118"/>
        <v>42</v>
      </c>
      <c r="AM426" s="1354">
        <f t="shared" si="123"/>
        <v>0</v>
      </c>
      <c r="AN426" s="1352" t="str">
        <f t="shared" si="124"/>
        <v>Shared Services - Board of Education</v>
      </c>
    </row>
    <row r="427" spans="1:40" x14ac:dyDescent="0.2">
      <c r="A427" s="1324" t="s">
        <v>5116</v>
      </c>
      <c r="B427" s="1324" t="s">
        <v>5401</v>
      </c>
      <c r="C427" s="1353">
        <f t="shared" si="125"/>
        <v>0</v>
      </c>
      <c r="D427" s="1353">
        <f t="shared" si="125"/>
        <v>0</v>
      </c>
      <c r="E427" s="1351">
        <f t="shared" si="126"/>
        <v>0</v>
      </c>
      <c r="F427" s="1353">
        <f t="shared" si="127"/>
        <v>0</v>
      </c>
      <c r="G427" s="1353">
        <f t="shared" si="127"/>
        <v>0</v>
      </c>
      <c r="H427" s="1353">
        <f t="shared" si="127"/>
        <v>0</v>
      </c>
      <c r="I427" s="1353">
        <f t="shared" si="127"/>
        <v>0</v>
      </c>
      <c r="J427" s="1353">
        <f t="shared" si="127"/>
        <v>0</v>
      </c>
      <c r="T427" s="1374"/>
      <c r="U427" s="1374"/>
      <c r="V427" s="1374"/>
      <c r="W427" s="1374"/>
      <c r="X427" s="1374"/>
      <c r="Z427" s="1378"/>
      <c r="AA427" s="1378"/>
      <c r="AB427" s="1378"/>
      <c r="AC427" s="1378"/>
      <c r="AD427" s="1378"/>
      <c r="AK427" s="1354">
        <f t="shared" si="122"/>
        <v>0</v>
      </c>
      <c r="AL427" s="1352">
        <f t="shared" si="118"/>
        <v>42</v>
      </c>
      <c r="AM427" s="1354">
        <f t="shared" si="123"/>
        <v>0</v>
      </c>
      <c r="AN427" s="1352" t="str">
        <f t="shared" si="124"/>
        <v>Shared Services - Social Service Functions</v>
      </c>
    </row>
    <row r="428" spans="1:40" x14ac:dyDescent="0.2">
      <c r="A428" s="1324" t="s">
        <v>5119</v>
      </c>
      <c r="B428" s="1324" t="s">
        <v>5402</v>
      </c>
      <c r="C428" s="1353">
        <f t="shared" si="125"/>
        <v>0</v>
      </c>
      <c r="D428" s="1353">
        <f t="shared" si="125"/>
        <v>0</v>
      </c>
      <c r="E428" s="1351">
        <f t="shared" si="126"/>
        <v>0</v>
      </c>
      <c r="F428" s="1353">
        <f t="shared" ref="F428:J441" si="128">SUMIF($A$504:$A$1172,$A428,F$504:F$1172)</f>
        <v>0</v>
      </c>
      <c r="G428" s="1353">
        <f t="shared" si="128"/>
        <v>0</v>
      </c>
      <c r="H428" s="1353">
        <f t="shared" si="128"/>
        <v>0</v>
      </c>
      <c r="I428" s="1353">
        <f t="shared" si="128"/>
        <v>0</v>
      </c>
      <c r="J428" s="1353">
        <f t="shared" si="128"/>
        <v>0</v>
      </c>
      <c r="T428" s="1374"/>
      <c r="U428" s="1374"/>
      <c r="V428" s="1374"/>
      <c r="W428" s="1374"/>
      <c r="X428" s="1374"/>
      <c r="Z428" s="1378"/>
      <c r="AA428" s="1378"/>
      <c r="AB428" s="1378"/>
      <c r="AC428" s="1378"/>
      <c r="AD428" s="1378"/>
      <c r="AK428" s="1354">
        <f t="shared" si="122"/>
        <v>0</v>
      </c>
      <c r="AL428" s="1352">
        <f t="shared" si="118"/>
        <v>42</v>
      </c>
      <c r="AM428" s="1354">
        <f t="shared" si="123"/>
        <v>0</v>
      </c>
      <c r="AN428" s="1352" t="str">
        <f t="shared" si="124"/>
        <v>Shared Services - Purchasing</v>
      </c>
    </row>
    <row r="429" spans="1:40" x14ac:dyDescent="0.2">
      <c r="A429" s="1324" t="s">
        <v>5122</v>
      </c>
      <c r="B429" s="1324" t="s">
        <v>5403</v>
      </c>
      <c r="C429" s="1353">
        <f t="shared" si="125"/>
        <v>0</v>
      </c>
      <c r="D429" s="1353">
        <f t="shared" si="125"/>
        <v>0</v>
      </c>
      <c r="E429" s="1351">
        <f t="shared" si="126"/>
        <v>0</v>
      </c>
      <c r="F429" s="1353">
        <f t="shared" si="128"/>
        <v>0</v>
      </c>
      <c r="G429" s="1353">
        <f t="shared" si="128"/>
        <v>0</v>
      </c>
      <c r="H429" s="1353">
        <f t="shared" si="128"/>
        <v>0</v>
      </c>
      <c r="I429" s="1353">
        <f t="shared" si="128"/>
        <v>0</v>
      </c>
      <c r="J429" s="1353">
        <f t="shared" si="128"/>
        <v>0</v>
      </c>
      <c r="T429" s="1374"/>
      <c r="U429" s="1374"/>
      <c r="V429" s="1374"/>
      <c r="W429" s="1374"/>
      <c r="X429" s="1374"/>
      <c r="Z429" s="1378"/>
      <c r="AA429" s="1378"/>
      <c r="AB429" s="1378"/>
      <c r="AC429" s="1378"/>
      <c r="AD429" s="1378"/>
      <c r="AK429" s="1354">
        <f t="shared" si="122"/>
        <v>0</v>
      </c>
      <c r="AL429" s="1352">
        <f t="shared" si="118"/>
        <v>42</v>
      </c>
      <c r="AM429" s="1354">
        <f t="shared" si="123"/>
        <v>0</v>
      </c>
      <c r="AN429" s="1352" t="str">
        <f t="shared" si="124"/>
        <v>Shared Services - Animal Control Services</v>
      </c>
    </row>
    <row r="430" spans="1:40" x14ac:dyDescent="0.2">
      <c r="A430" s="1324" t="s">
        <v>5124</v>
      </c>
      <c r="B430" s="1324" t="s">
        <v>5404</v>
      </c>
      <c r="C430" s="1353">
        <f t="shared" si="125"/>
        <v>0</v>
      </c>
      <c r="D430" s="1353">
        <f t="shared" si="125"/>
        <v>0</v>
      </c>
      <c r="E430" s="1351">
        <f t="shared" si="126"/>
        <v>0</v>
      </c>
      <c r="F430" s="1353">
        <f t="shared" si="128"/>
        <v>0</v>
      </c>
      <c r="G430" s="1353">
        <f t="shared" si="128"/>
        <v>0</v>
      </c>
      <c r="H430" s="1353">
        <f t="shared" si="128"/>
        <v>0</v>
      </c>
      <c r="I430" s="1353">
        <f t="shared" si="128"/>
        <v>0</v>
      </c>
      <c r="J430" s="1353">
        <f t="shared" si="128"/>
        <v>0</v>
      </c>
      <c r="T430" s="1374"/>
      <c r="U430" s="1374"/>
      <c r="V430" s="1374"/>
      <c r="W430" s="1374"/>
      <c r="X430" s="1374"/>
      <c r="Z430" s="1378"/>
      <c r="AA430" s="1378"/>
      <c r="AB430" s="1378"/>
      <c r="AC430" s="1378"/>
      <c r="AD430" s="1378"/>
      <c r="AK430" s="1354">
        <f t="shared" si="122"/>
        <v>0</v>
      </c>
      <c r="AL430" s="1352">
        <f t="shared" si="118"/>
        <v>42</v>
      </c>
      <c r="AM430" s="1354">
        <f t="shared" si="123"/>
        <v>0</v>
      </c>
      <c r="AN430" s="1352" t="str">
        <f t="shared" si="124"/>
        <v>Shared Services - Health Services</v>
      </c>
    </row>
    <row r="431" spans="1:40" x14ac:dyDescent="0.2">
      <c r="A431" s="1324" t="s">
        <v>5127</v>
      </c>
      <c r="B431" s="1324" t="s">
        <v>5550</v>
      </c>
      <c r="C431" s="1353">
        <f t="shared" si="125"/>
        <v>0</v>
      </c>
      <c r="D431" s="1353">
        <f t="shared" si="125"/>
        <v>0</v>
      </c>
      <c r="E431" s="1351">
        <f t="shared" si="126"/>
        <v>0</v>
      </c>
      <c r="F431" s="1353">
        <f t="shared" si="128"/>
        <v>0</v>
      </c>
      <c r="G431" s="1353">
        <f t="shared" si="128"/>
        <v>0</v>
      </c>
      <c r="H431" s="1353">
        <f t="shared" si="128"/>
        <v>0</v>
      </c>
      <c r="I431" s="1353">
        <f t="shared" si="128"/>
        <v>0</v>
      </c>
      <c r="J431" s="1353">
        <f t="shared" si="128"/>
        <v>0</v>
      </c>
      <c r="T431" s="1374"/>
      <c r="U431" s="1374"/>
      <c r="V431" s="1374"/>
      <c r="W431" s="1374"/>
      <c r="X431" s="1374"/>
      <c r="Z431" s="1378"/>
      <c r="AA431" s="1378"/>
      <c r="AB431" s="1378"/>
      <c r="AC431" s="1378"/>
      <c r="AD431" s="1378"/>
      <c r="AK431" s="1354">
        <f t="shared" si="122"/>
        <v>0</v>
      </c>
      <c r="AL431" s="1352">
        <f t="shared" si="118"/>
        <v>42</v>
      </c>
      <c r="AM431" s="1354">
        <f t="shared" si="123"/>
        <v>0</v>
      </c>
      <c r="AN431" s="1352" t="str">
        <f t="shared" si="124"/>
        <v>Shared Services - Dispatch/911</v>
      </c>
    </row>
    <row r="432" spans="1:40" x14ac:dyDescent="0.2">
      <c r="A432" s="1324" t="s">
        <v>5129</v>
      </c>
      <c r="B432" s="1324" t="s">
        <v>5406</v>
      </c>
      <c r="C432" s="1353">
        <f t="shared" si="125"/>
        <v>0</v>
      </c>
      <c r="D432" s="1353">
        <f t="shared" si="125"/>
        <v>0</v>
      </c>
      <c r="E432" s="1351">
        <f t="shared" si="126"/>
        <v>0</v>
      </c>
      <c r="F432" s="1353">
        <f t="shared" si="128"/>
        <v>0</v>
      </c>
      <c r="G432" s="1353">
        <f t="shared" si="128"/>
        <v>0</v>
      </c>
      <c r="H432" s="1353">
        <f t="shared" si="128"/>
        <v>0</v>
      </c>
      <c r="I432" s="1353">
        <f t="shared" si="128"/>
        <v>0</v>
      </c>
      <c r="J432" s="1353">
        <f t="shared" si="128"/>
        <v>0</v>
      </c>
      <c r="T432" s="1374"/>
      <c r="U432" s="1374"/>
      <c r="V432" s="1374"/>
      <c r="W432" s="1374"/>
      <c r="X432" s="1374"/>
      <c r="Z432" s="1378"/>
      <c r="AA432" s="1378"/>
      <c r="AB432" s="1378"/>
      <c r="AC432" s="1378"/>
      <c r="AD432" s="1378"/>
      <c r="AK432" s="1354">
        <f t="shared" si="122"/>
        <v>0</v>
      </c>
      <c r="AL432" s="1352">
        <f t="shared" si="118"/>
        <v>42</v>
      </c>
      <c r="AM432" s="1354">
        <f t="shared" si="123"/>
        <v>0</v>
      </c>
      <c r="AN432" s="1352" t="str">
        <f t="shared" si="124"/>
        <v>Shared Services - County</v>
      </c>
    </row>
    <row r="433" spans="1:40" x14ac:dyDescent="0.2">
      <c r="A433" s="1324" t="s">
        <v>5131</v>
      </c>
      <c r="B433" s="1324" t="s">
        <v>5407</v>
      </c>
      <c r="C433" s="1353">
        <f t="shared" si="125"/>
        <v>0</v>
      </c>
      <c r="D433" s="1353">
        <f t="shared" si="125"/>
        <v>0</v>
      </c>
      <c r="E433" s="1351">
        <f t="shared" si="126"/>
        <v>0</v>
      </c>
      <c r="F433" s="1353">
        <f t="shared" si="128"/>
        <v>0</v>
      </c>
      <c r="G433" s="1353">
        <f t="shared" si="128"/>
        <v>0</v>
      </c>
      <c r="H433" s="1353">
        <f t="shared" si="128"/>
        <v>0</v>
      </c>
      <c r="I433" s="1353">
        <f t="shared" si="128"/>
        <v>0</v>
      </c>
      <c r="J433" s="1353">
        <f t="shared" si="128"/>
        <v>0</v>
      </c>
      <c r="T433" s="1374"/>
      <c r="U433" s="1374"/>
      <c r="V433" s="1374"/>
      <c r="W433" s="1374"/>
      <c r="X433" s="1374"/>
      <c r="Z433" s="1378"/>
      <c r="AA433" s="1378"/>
      <c r="AB433" s="1378"/>
      <c r="AC433" s="1378"/>
      <c r="AD433" s="1378"/>
      <c r="AK433" s="1354">
        <f t="shared" si="122"/>
        <v>0</v>
      </c>
      <c r="AL433" s="1352">
        <f t="shared" si="118"/>
        <v>42</v>
      </c>
      <c r="AM433" s="1354">
        <f t="shared" si="123"/>
        <v>0</v>
      </c>
      <c r="AN433" s="1352" t="str">
        <f t="shared" si="124"/>
        <v>Shared Services - Transportation Services</v>
      </c>
    </row>
    <row r="434" spans="1:40" x14ac:dyDescent="0.2">
      <c r="A434" s="1324" t="s">
        <v>5133</v>
      </c>
      <c r="B434" s="1324" t="s">
        <v>5408</v>
      </c>
      <c r="C434" s="1353">
        <f t="shared" si="125"/>
        <v>0</v>
      </c>
      <c r="D434" s="1353">
        <f t="shared" si="125"/>
        <v>0</v>
      </c>
      <c r="E434" s="1351">
        <f t="shared" si="126"/>
        <v>0</v>
      </c>
      <c r="F434" s="1353">
        <f t="shared" si="128"/>
        <v>0</v>
      </c>
      <c r="G434" s="1353">
        <f t="shared" si="128"/>
        <v>0</v>
      </c>
      <c r="H434" s="1353">
        <f t="shared" si="128"/>
        <v>0</v>
      </c>
      <c r="I434" s="1353">
        <f t="shared" si="128"/>
        <v>0</v>
      </c>
      <c r="J434" s="1353">
        <f t="shared" si="128"/>
        <v>0</v>
      </c>
      <c r="T434" s="1374"/>
      <c r="U434" s="1374"/>
      <c r="V434" s="1374"/>
      <c r="W434" s="1374"/>
      <c r="X434" s="1374"/>
      <c r="Z434" s="1378"/>
      <c r="AA434" s="1378"/>
      <c r="AB434" s="1378"/>
      <c r="AC434" s="1378"/>
      <c r="AD434" s="1378"/>
      <c r="AK434" s="1354">
        <f t="shared" si="122"/>
        <v>0</v>
      </c>
      <c r="AL434" s="1352">
        <f t="shared" si="118"/>
        <v>42</v>
      </c>
      <c r="AM434" s="1354">
        <f t="shared" si="123"/>
        <v>0</v>
      </c>
      <c r="AN434" s="1352" t="str">
        <f t="shared" si="124"/>
        <v>Shared Services - Construction Office</v>
      </c>
    </row>
    <row r="435" spans="1:40" x14ac:dyDescent="0.2">
      <c r="A435" s="1324" t="s">
        <v>5135</v>
      </c>
      <c r="B435" s="1324" t="s">
        <v>5409</v>
      </c>
      <c r="C435" s="1353">
        <f t="shared" si="125"/>
        <v>0</v>
      </c>
      <c r="D435" s="1353">
        <f t="shared" si="125"/>
        <v>0</v>
      </c>
      <c r="E435" s="1351">
        <f t="shared" si="126"/>
        <v>0</v>
      </c>
      <c r="F435" s="1353">
        <f t="shared" si="128"/>
        <v>0</v>
      </c>
      <c r="G435" s="1353">
        <f t="shared" si="128"/>
        <v>0</v>
      </c>
      <c r="H435" s="1353">
        <f t="shared" si="128"/>
        <v>0</v>
      </c>
      <c r="I435" s="1353">
        <f t="shared" si="128"/>
        <v>0</v>
      </c>
      <c r="J435" s="1353">
        <f t="shared" si="128"/>
        <v>0</v>
      </c>
      <c r="T435" s="1374"/>
      <c r="U435" s="1374"/>
      <c r="V435" s="1374"/>
      <c r="W435" s="1374"/>
      <c r="X435" s="1374"/>
      <c r="Z435" s="1378"/>
      <c r="AA435" s="1378"/>
      <c r="AB435" s="1378"/>
      <c r="AC435" s="1378"/>
      <c r="AD435" s="1378"/>
      <c r="AK435" s="1354">
        <f t="shared" si="122"/>
        <v>0</v>
      </c>
      <c r="AL435" s="1352">
        <f t="shared" si="118"/>
        <v>42</v>
      </c>
      <c r="AM435" s="1354">
        <f t="shared" si="123"/>
        <v>0</v>
      </c>
      <c r="AN435" s="1352" t="str">
        <f t="shared" si="124"/>
        <v>"User Defined" Shared Services</v>
      </c>
    </row>
    <row r="436" spans="1:40" x14ac:dyDescent="0.2">
      <c r="A436" s="1324" t="s">
        <v>5137</v>
      </c>
      <c r="B436" s="1324" t="s">
        <v>5409</v>
      </c>
      <c r="C436" s="1353">
        <f t="shared" si="125"/>
        <v>20093.97</v>
      </c>
      <c r="D436" s="1353">
        <f t="shared" si="125"/>
        <v>23700</v>
      </c>
      <c r="E436" s="1351">
        <f t="shared" si="126"/>
        <v>0.17945831510647214</v>
      </c>
      <c r="F436" s="1353">
        <f t="shared" si="128"/>
        <v>24174</v>
      </c>
      <c r="G436" s="1353">
        <f t="shared" si="128"/>
        <v>24657.48</v>
      </c>
      <c r="H436" s="1353">
        <f t="shared" si="128"/>
        <v>25150.6296</v>
      </c>
      <c r="I436" s="1353">
        <f t="shared" si="128"/>
        <v>25653.642191999999</v>
      </c>
      <c r="J436" s="1353">
        <f t="shared" si="128"/>
        <v>26166.715035839999</v>
      </c>
      <c r="T436" s="1374"/>
      <c r="U436" s="1374"/>
      <c r="V436" s="1374"/>
      <c r="W436" s="1374"/>
      <c r="X436" s="1374"/>
      <c r="Z436" s="1378"/>
      <c r="AA436" s="1378"/>
      <c r="AB436" s="1378"/>
      <c r="AC436" s="1378"/>
      <c r="AD436" s="1378"/>
      <c r="AK436" s="1354">
        <f t="shared" si="122"/>
        <v>169596.43682783999</v>
      </c>
      <c r="AL436" s="1352">
        <f t="shared" si="118"/>
        <v>4</v>
      </c>
      <c r="AM436" s="1354">
        <f t="shared" si="123"/>
        <v>2466.7150358399995</v>
      </c>
      <c r="AN436" s="1352" t="str">
        <f t="shared" si="124"/>
        <v>"User Defined" Shared Services</v>
      </c>
    </row>
    <row r="437" spans="1:40" x14ac:dyDescent="0.2">
      <c r="A437" s="1324" t="s">
        <v>5139</v>
      </c>
      <c r="B437" s="1324" t="s">
        <v>5409</v>
      </c>
      <c r="C437" s="1353">
        <f t="shared" si="125"/>
        <v>5175.66</v>
      </c>
      <c r="D437" s="1353">
        <f t="shared" si="125"/>
        <v>8000</v>
      </c>
      <c r="E437" s="1351">
        <f t="shared" si="126"/>
        <v>0.54569658748835903</v>
      </c>
      <c r="F437" s="1353">
        <f t="shared" si="128"/>
        <v>8160</v>
      </c>
      <c r="G437" s="1353">
        <f t="shared" si="128"/>
        <v>8323.2000000000007</v>
      </c>
      <c r="H437" s="1353">
        <f t="shared" si="128"/>
        <v>8489.6640000000007</v>
      </c>
      <c r="I437" s="1353">
        <f t="shared" si="128"/>
        <v>8659.4572800000005</v>
      </c>
      <c r="J437" s="1353">
        <f t="shared" si="128"/>
        <v>8832.6464255999999</v>
      </c>
      <c r="T437" s="1374"/>
      <c r="U437" s="1374"/>
      <c r="V437" s="1374"/>
      <c r="W437" s="1374"/>
      <c r="X437" s="1374"/>
      <c r="Z437" s="1378"/>
      <c r="AA437" s="1378"/>
      <c r="AB437" s="1378"/>
      <c r="AC437" s="1378"/>
      <c r="AD437" s="1378"/>
      <c r="AK437" s="1354">
        <f t="shared" si="122"/>
        <v>55640.627705600011</v>
      </c>
      <c r="AL437" s="1352">
        <f t="shared" si="118"/>
        <v>14</v>
      </c>
      <c r="AM437" s="1354">
        <f t="shared" si="123"/>
        <v>832.64642559999993</v>
      </c>
      <c r="AN437" s="1352" t="str">
        <f t="shared" si="124"/>
        <v>"User Defined" Shared Services</v>
      </c>
    </row>
    <row r="438" spans="1:40" x14ac:dyDescent="0.2">
      <c r="A438" s="1324" t="s">
        <v>5141</v>
      </c>
      <c r="B438" s="1324" t="s">
        <v>5409</v>
      </c>
      <c r="C438" s="1353">
        <f t="shared" si="125"/>
        <v>7600</v>
      </c>
      <c r="D438" s="1353">
        <f t="shared" si="125"/>
        <v>7600</v>
      </c>
      <c r="E438" s="1351">
        <f t="shared" si="126"/>
        <v>0</v>
      </c>
      <c r="F438" s="1353">
        <f t="shared" si="128"/>
        <v>7752</v>
      </c>
      <c r="G438" s="1353">
        <f t="shared" si="128"/>
        <v>7907.04</v>
      </c>
      <c r="H438" s="1353">
        <f t="shared" si="128"/>
        <v>8065.1808000000001</v>
      </c>
      <c r="I438" s="1353">
        <f t="shared" si="128"/>
        <v>8226.4844159999993</v>
      </c>
      <c r="J438" s="1353">
        <f t="shared" si="128"/>
        <v>8391.0141043200001</v>
      </c>
      <c r="T438" s="1374"/>
      <c r="U438" s="1374"/>
      <c r="V438" s="1374"/>
      <c r="W438" s="1374"/>
      <c r="X438" s="1374"/>
      <c r="Z438" s="1378"/>
      <c r="AA438" s="1378"/>
      <c r="AB438" s="1378"/>
      <c r="AC438" s="1378"/>
      <c r="AD438" s="1378"/>
      <c r="AK438" s="1354">
        <f t="shared" si="122"/>
        <v>55541.71932032</v>
      </c>
      <c r="AL438" s="1352">
        <f t="shared" si="118"/>
        <v>16</v>
      </c>
      <c r="AM438" s="1354">
        <f t="shared" si="123"/>
        <v>791.01410432000011</v>
      </c>
      <c r="AN438" s="1352" t="str">
        <f t="shared" si="124"/>
        <v>"User Defined" Shared Services</v>
      </c>
    </row>
    <row r="439" spans="1:40" x14ac:dyDescent="0.2">
      <c r="A439" s="1324" t="s">
        <v>5143</v>
      </c>
      <c r="B439" s="1324" t="s">
        <v>5409</v>
      </c>
      <c r="C439" s="1353">
        <f t="shared" si="125"/>
        <v>548</v>
      </c>
      <c r="D439" s="1353">
        <f t="shared" si="125"/>
        <v>550</v>
      </c>
      <c r="E439" s="1351">
        <f t="shared" si="126"/>
        <v>3.6496350364962904E-3</v>
      </c>
      <c r="F439" s="1353">
        <f t="shared" si="128"/>
        <v>561</v>
      </c>
      <c r="G439" s="1353">
        <f t="shared" si="128"/>
        <v>572.22</v>
      </c>
      <c r="H439" s="1353">
        <f t="shared" si="128"/>
        <v>583.6644</v>
      </c>
      <c r="I439" s="1353">
        <f t="shared" si="128"/>
        <v>595.33768799999996</v>
      </c>
      <c r="J439" s="1353">
        <f t="shared" si="128"/>
        <v>607.24444175999997</v>
      </c>
      <c r="T439" s="1374"/>
      <c r="U439" s="1374"/>
      <c r="V439" s="1374"/>
      <c r="W439" s="1374"/>
      <c r="X439" s="1374"/>
      <c r="Z439" s="1378"/>
      <c r="AA439" s="1378"/>
      <c r="AB439" s="1378"/>
      <c r="AC439" s="1378"/>
      <c r="AD439" s="1378"/>
      <c r="AK439" s="1354">
        <f t="shared" si="122"/>
        <v>4017.4665297600004</v>
      </c>
      <c r="AL439" s="1352">
        <f t="shared" ref="AL439:AL490" si="129">RANK(AM439,$AM$226:$AM$494,0)</f>
        <v>33</v>
      </c>
      <c r="AM439" s="1354">
        <f t="shared" si="123"/>
        <v>57.244441759999972</v>
      </c>
      <c r="AN439" s="1352" t="str">
        <f t="shared" si="124"/>
        <v>"User Defined" Shared Services</v>
      </c>
    </row>
    <row r="440" spans="1:40" x14ac:dyDescent="0.2">
      <c r="A440" s="1324" t="s">
        <v>5145</v>
      </c>
      <c r="B440" s="1324" t="s">
        <v>5409</v>
      </c>
      <c r="C440" s="1353">
        <f t="shared" si="125"/>
        <v>0</v>
      </c>
      <c r="D440" s="1353">
        <f t="shared" si="125"/>
        <v>1500</v>
      </c>
      <c r="E440" s="1351">
        <f t="shared" si="126"/>
        <v>0</v>
      </c>
      <c r="F440" s="1353">
        <f t="shared" si="128"/>
        <v>1530</v>
      </c>
      <c r="G440" s="1353">
        <f t="shared" si="128"/>
        <v>1560.6000000000001</v>
      </c>
      <c r="H440" s="1353">
        <f t="shared" si="128"/>
        <v>1591.8120000000001</v>
      </c>
      <c r="I440" s="1353">
        <f t="shared" si="128"/>
        <v>1623.6482400000002</v>
      </c>
      <c r="J440" s="1353">
        <f t="shared" si="128"/>
        <v>1656.1212048000002</v>
      </c>
      <c r="T440" s="1374"/>
      <c r="U440" s="1374"/>
      <c r="V440" s="1374"/>
      <c r="W440" s="1374"/>
      <c r="X440" s="1374"/>
      <c r="Z440" s="1378"/>
      <c r="AA440" s="1378"/>
      <c r="AB440" s="1378"/>
      <c r="AC440" s="1378"/>
      <c r="AD440" s="1378"/>
      <c r="AK440" s="1354">
        <f t="shared" si="122"/>
        <v>9462.1814448000005</v>
      </c>
      <c r="AL440" s="1352">
        <f t="shared" si="129"/>
        <v>31</v>
      </c>
      <c r="AM440" s="1354">
        <f t="shared" si="123"/>
        <v>156.12120480000021</v>
      </c>
      <c r="AN440" s="1352" t="str">
        <f t="shared" si="124"/>
        <v>"User Defined" Shared Services</v>
      </c>
    </row>
    <row r="441" spans="1:40" x14ac:dyDescent="0.2">
      <c r="A441" s="1324" t="s">
        <v>5147</v>
      </c>
      <c r="B441" s="1324" t="s">
        <v>5409</v>
      </c>
      <c r="C441" s="1353">
        <f t="shared" si="125"/>
        <v>0</v>
      </c>
      <c r="D441" s="1353">
        <f t="shared" si="125"/>
        <v>0</v>
      </c>
      <c r="E441" s="1351">
        <f t="shared" si="126"/>
        <v>0</v>
      </c>
      <c r="F441" s="1353">
        <f t="shared" si="128"/>
        <v>0</v>
      </c>
      <c r="G441" s="1353">
        <f t="shared" si="128"/>
        <v>0</v>
      </c>
      <c r="H441" s="1353">
        <f t="shared" si="128"/>
        <v>0</v>
      </c>
      <c r="I441" s="1353">
        <f t="shared" si="128"/>
        <v>0</v>
      </c>
      <c r="J441" s="1353">
        <f t="shared" si="128"/>
        <v>0</v>
      </c>
      <c r="T441" s="1374"/>
      <c r="U441" s="1374"/>
      <c r="V441" s="1374"/>
      <c r="W441" s="1374"/>
      <c r="X441" s="1374"/>
      <c r="Z441" s="1378"/>
      <c r="AA441" s="1378"/>
      <c r="AB441" s="1378"/>
      <c r="AC441" s="1378"/>
      <c r="AD441" s="1378"/>
      <c r="AK441" s="1354">
        <f t="shared" si="122"/>
        <v>0</v>
      </c>
      <c r="AL441" s="1352">
        <f t="shared" si="129"/>
        <v>42</v>
      </c>
      <c r="AM441" s="1354">
        <f t="shared" si="123"/>
        <v>0</v>
      </c>
      <c r="AN441" s="1352" t="str">
        <f t="shared" si="124"/>
        <v>"User Defined" Shared Services</v>
      </c>
    </row>
    <row r="442" spans="1:40" x14ac:dyDescent="0.2">
      <c r="B442" s="1373" t="str">
        <f>"Total- "&amp;A417</f>
        <v>Total- Shared Services</v>
      </c>
      <c r="C442" s="1360">
        <f>SUM(C418:C441)</f>
        <v>34663.67</v>
      </c>
      <c r="D442" s="1360">
        <f>SUM(D418:D441)</f>
        <v>42850</v>
      </c>
      <c r="E442" s="1356">
        <f t="shared" si="126"/>
        <v>0.23616454922401475</v>
      </c>
      <c r="F442" s="1360">
        <f>SUM(F418:F441)</f>
        <v>43707</v>
      </c>
      <c r="G442" s="1360">
        <f>SUM(G418:G441)</f>
        <v>44581.14</v>
      </c>
      <c r="H442" s="1360">
        <f>SUM(H418:H441)</f>
        <v>45472.762800000004</v>
      </c>
      <c r="I442" s="1360">
        <f>SUM(I418:I441)</f>
        <v>46382.218055999998</v>
      </c>
      <c r="J442" s="1360">
        <f>SUM(J418:J441)</f>
        <v>47309.862417119999</v>
      </c>
      <c r="T442" s="1374"/>
      <c r="U442" s="1374"/>
      <c r="V442" s="1374"/>
      <c r="W442" s="1374"/>
      <c r="X442" s="1374"/>
      <c r="Z442" s="1378"/>
      <c r="AA442" s="1378"/>
      <c r="AB442" s="1378"/>
      <c r="AC442" s="1378"/>
      <c r="AD442" s="1378"/>
      <c r="AK442" s="1354"/>
      <c r="AL442" s="1352"/>
      <c r="AM442" s="1354"/>
      <c r="AN442" s="1352"/>
    </row>
    <row r="443" spans="1:40" x14ac:dyDescent="0.2">
      <c r="E443" s="1351"/>
      <c r="T443" s="1374"/>
      <c r="U443" s="1374"/>
      <c r="V443" s="1374"/>
      <c r="W443" s="1374"/>
      <c r="X443" s="1374"/>
      <c r="Z443" s="1378"/>
      <c r="AA443" s="1378"/>
      <c r="AB443" s="1378"/>
      <c r="AC443" s="1378"/>
      <c r="AD443" s="1378"/>
      <c r="AK443" s="1354"/>
      <c r="AL443" s="1352"/>
      <c r="AM443" s="1354"/>
      <c r="AN443" s="1352"/>
    </row>
    <row r="444" spans="1:40" x14ac:dyDescent="0.2">
      <c r="A444" s="1364" t="s">
        <v>5452</v>
      </c>
      <c r="B444" s="1365"/>
      <c r="C444" s="1364"/>
      <c r="D444" s="1364"/>
      <c r="E444" s="1366"/>
      <c r="F444" s="1364"/>
      <c r="G444" s="1364"/>
      <c r="H444" s="1364"/>
      <c r="I444" s="1364"/>
      <c r="J444" s="1364"/>
      <c r="T444" s="1374"/>
      <c r="U444" s="1374"/>
      <c r="V444" s="1374"/>
      <c r="W444" s="1374"/>
      <c r="X444" s="1374"/>
      <c r="Z444" s="1378"/>
      <c r="AA444" s="1378"/>
      <c r="AB444" s="1378"/>
      <c r="AC444" s="1378"/>
      <c r="AD444" s="1378"/>
      <c r="AK444" s="1354"/>
      <c r="AL444" s="1352"/>
      <c r="AM444" s="1354"/>
      <c r="AN444" s="1352"/>
    </row>
    <row r="445" spans="1:40" x14ac:dyDescent="0.2">
      <c r="A445" s="1324" t="s">
        <v>5126</v>
      </c>
      <c r="B445" s="1324" t="s">
        <v>5589</v>
      </c>
      <c r="C445" s="1353">
        <f>SUMIF($A$504:$A$1172,$A445,C$504:C$1172)</f>
        <v>0</v>
      </c>
      <c r="D445" s="1353">
        <f>SUMIF($A$504:$A$1172,$A445,D$504:D$1172)</f>
        <v>0</v>
      </c>
      <c r="E445" s="1351">
        <f>IFERROR(D445/C445-1,0)</f>
        <v>0</v>
      </c>
      <c r="F445" s="1353">
        <f t="shared" ref="F445:J446" si="130">SUMIF($A$504:$A$1172,$A445,F$504:F$1172)</f>
        <v>0</v>
      </c>
      <c r="G445" s="1353">
        <f t="shared" si="130"/>
        <v>0</v>
      </c>
      <c r="H445" s="1353">
        <f t="shared" si="130"/>
        <v>0</v>
      </c>
      <c r="I445" s="1353">
        <f t="shared" si="130"/>
        <v>0</v>
      </c>
      <c r="J445" s="1353">
        <f t="shared" si="130"/>
        <v>0</v>
      </c>
      <c r="T445" s="1374"/>
      <c r="U445" s="1374"/>
      <c r="V445" s="1374"/>
      <c r="W445" s="1374"/>
      <c r="X445" s="1374"/>
      <c r="Z445" s="1378"/>
      <c r="AA445" s="1378"/>
      <c r="AB445" s="1378"/>
      <c r="AC445" s="1378"/>
      <c r="AD445" s="1378"/>
      <c r="AK445" s="1354">
        <f t="shared" si="122"/>
        <v>0</v>
      </c>
      <c r="AL445" s="1352">
        <f t="shared" si="129"/>
        <v>42</v>
      </c>
      <c r="AM445" s="1354">
        <f t="shared" si="123"/>
        <v>0</v>
      </c>
      <c r="AN445" s="1352" t="str">
        <f t="shared" si="124"/>
        <v>Municipal/County Court (Inside or Outside CAP)</v>
      </c>
    </row>
    <row r="446" spans="1:40" x14ac:dyDescent="0.2">
      <c r="A446" s="1324" t="s">
        <v>5205</v>
      </c>
      <c r="B446" s="1324" t="s">
        <v>5551</v>
      </c>
      <c r="C446" s="1353">
        <f>SUMIF($A$504:$A$1172,$A446,C$504:C$1172)</f>
        <v>0</v>
      </c>
      <c r="D446" s="1353">
        <f>SUMIF($A$504:$A$1172,$A446,D$504:D$1172)</f>
        <v>0</v>
      </c>
      <c r="E446" s="1351">
        <f>IFERROR(D446/C446-1,0)</f>
        <v>0</v>
      </c>
      <c r="F446" s="1353">
        <f t="shared" si="130"/>
        <v>0</v>
      </c>
      <c r="G446" s="1353">
        <f t="shared" si="130"/>
        <v>0</v>
      </c>
      <c r="H446" s="1353">
        <f t="shared" si="130"/>
        <v>0</v>
      </c>
      <c r="I446" s="1353">
        <f t="shared" si="130"/>
        <v>0</v>
      </c>
      <c r="J446" s="1353">
        <f t="shared" si="130"/>
        <v>0</v>
      </c>
      <c r="T446" s="1374"/>
      <c r="U446" s="1374"/>
      <c r="V446" s="1374"/>
      <c r="W446" s="1374"/>
      <c r="X446" s="1374"/>
      <c r="Z446" s="1378"/>
      <c r="AA446" s="1378"/>
      <c r="AB446" s="1378"/>
      <c r="AC446" s="1378"/>
      <c r="AD446" s="1378"/>
      <c r="AK446" s="1354">
        <f t="shared" si="122"/>
        <v>0</v>
      </c>
      <c r="AL446" s="1352">
        <f t="shared" si="129"/>
        <v>42</v>
      </c>
      <c r="AM446" s="1354">
        <f t="shared" si="123"/>
        <v>0</v>
      </c>
      <c r="AN446" s="1352" t="str">
        <f t="shared" si="124"/>
        <v>Public Defender</v>
      </c>
    </row>
    <row r="447" spans="1:40" x14ac:dyDescent="0.2">
      <c r="B447" s="1373" t="str">
        <f>"Total- "&amp;A444</f>
        <v>Total- Court and Public Defender</v>
      </c>
      <c r="C447" s="1360">
        <f>SUM(C445:C446)</f>
        <v>0</v>
      </c>
      <c r="D447" s="1360">
        <f>SUM(D445:D446)</f>
        <v>0</v>
      </c>
      <c r="E447" s="1356">
        <f>IFERROR(D447/C447-1,0)</f>
        <v>0</v>
      </c>
      <c r="F447" s="1360">
        <f>SUM(F445:F446)</f>
        <v>0</v>
      </c>
      <c r="G447" s="1360">
        <f>SUM(G445:G446)</f>
        <v>0</v>
      </c>
      <c r="H447" s="1360">
        <f>SUM(H445:H446)</f>
        <v>0</v>
      </c>
      <c r="I447" s="1360">
        <f>SUM(I445:I446)</f>
        <v>0</v>
      </c>
      <c r="J447" s="1360">
        <f>SUM(J445:J446)</f>
        <v>0</v>
      </c>
      <c r="T447" s="1374"/>
      <c r="U447" s="1374"/>
      <c r="V447" s="1374"/>
      <c r="W447" s="1374"/>
      <c r="X447" s="1374"/>
      <c r="Z447" s="1378"/>
      <c r="AA447" s="1378"/>
      <c r="AB447" s="1378"/>
      <c r="AC447" s="1378"/>
      <c r="AD447" s="1378"/>
      <c r="AK447" s="1354"/>
      <c r="AL447" s="1352">
        <f t="shared" si="129"/>
        <v>42</v>
      </c>
      <c r="AM447" s="1354"/>
      <c r="AN447" s="1352"/>
    </row>
    <row r="448" spans="1:40" x14ac:dyDescent="0.2">
      <c r="E448" s="1351"/>
      <c r="T448" s="1374"/>
      <c r="U448" s="1374"/>
      <c r="V448" s="1374"/>
      <c r="W448" s="1374"/>
      <c r="X448" s="1374"/>
      <c r="Z448" s="1378"/>
      <c r="AA448" s="1378"/>
      <c r="AB448" s="1378"/>
      <c r="AC448" s="1378"/>
      <c r="AD448" s="1378"/>
      <c r="AK448" s="1354"/>
      <c r="AL448" s="1352">
        <f t="shared" si="129"/>
        <v>42</v>
      </c>
      <c r="AM448" s="1354"/>
      <c r="AN448" s="1352"/>
    </row>
    <row r="449" spans="1:40" x14ac:dyDescent="0.2">
      <c r="A449" s="1364" t="s">
        <v>342</v>
      </c>
      <c r="B449" s="1365"/>
      <c r="C449" s="1364"/>
      <c r="D449" s="1364"/>
      <c r="E449" s="1366"/>
      <c r="F449" s="1364"/>
      <c r="G449" s="1364"/>
      <c r="H449" s="1364"/>
      <c r="I449" s="1364"/>
      <c r="J449" s="1364"/>
      <c r="T449" s="1374"/>
      <c r="U449" s="1374"/>
      <c r="V449" s="1374"/>
      <c r="W449" s="1374"/>
      <c r="X449" s="1374"/>
      <c r="Z449" s="1378"/>
      <c r="AA449" s="1378"/>
      <c r="AB449" s="1378"/>
      <c r="AC449" s="1378"/>
      <c r="AD449" s="1378"/>
      <c r="AK449" s="1354"/>
      <c r="AL449" s="1352">
        <f t="shared" si="129"/>
        <v>42</v>
      </c>
      <c r="AM449" s="1354"/>
      <c r="AN449" s="1352"/>
    </row>
    <row r="450" spans="1:40" x14ac:dyDescent="0.2">
      <c r="A450" s="1324" t="s">
        <v>543</v>
      </c>
      <c r="B450" s="1324" t="s">
        <v>247</v>
      </c>
      <c r="C450" s="1353">
        <f t="shared" ref="C450:D455" si="131">SUMIF($A$504:$A$1172,$A450,C$504:C$1172)</f>
        <v>0</v>
      </c>
      <c r="D450" s="1353">
        <f t="shared" si="131"/>
        <v>0</v>
      </c>
      <c r="E450" s="1351">
        <f t="shared" ref="E450:E456" si="132">IFERROR(D450/C450-1,0)</f>
        <v>0</v>
      </c>
      <c r="F450" s="1353">
        <f t="shared" ref="F450:J455" si="133">SUMIF($A$504:$A$1172,$A450,F$504:F$1172)</f>
        <v>0</v>
      </c>
      <c r="G450" s="1353">
        <f t="shared" si="133"/>
        <v>0</v>
      </c>
      <c r="H450" s="1353">
        <f t="shared" si="133"/>
        <v>0</v>
      </c>
      <c r="I450" s="1353">
        <f t="shared" si="133"/>
        <v>0</v>
      </c>
      <c r="J450" s="1353">
        <f t="shared" si="133"/>
        <v>0</v>
      </c>
      <c r="T450" s="1374"/>
      <c r="U450" s="1374"/>
      <c r="V450" s="1374"/>
      <c r="W450" s="1374"/>
      <c r="X450" s="1374"/>
      <c r="Z450" s="1378"/>
      <c r="AA450" s="1378"/>
      <c r="AB450" s="1378"/>
      <c r="AC450" s="1378"/>
      <c r="AD450" s="1378"/>
      <c r="AK450" s="1354">
        <f t="shared" si="122"/>
        <v>0</v>
      </c>
      <c r="AL450" s="1352">
        <f t="shared" si="129"/>
        <v>42</v>
      </c>
      <c r="AM450" s="1354">
        <f t="shared" si="123"/>
        <v>0</v>
      </c>
      <c r="AN450" s="1352" t="str">
        <f t="shared" si="124"/>
        <v>New Jersey Transportation Trust Fund Authority Act</v>
      </c>
    </row>
    <row r="451" spans="1:40" x14ac:dyDescent="0.2">
      <c r="A451" s="1324" t="s">
        <v>542</v>
      </c>
      <c r="B451" s="1324" t="s">
        <v>244</v>
      </c>
      <c r="C451" s="1353">
        <f t="shared" si="131"/>
        <v>60100</v>
      </c>
      <c r="D451" s="1353">
        <f t="shared" si="131"/>
        <v>60100</v>
      </c>
      <c r="E451" s="1351">
        <f t="shared" si="132"/>
        <v>0</v>
      </c>
      <c r="F451" s="1353">
        <f t="shared" si="133"/>
        <v>60100</v>
      </c>
      <c r="G451" s="1353">
        <f t="shared" si="133"/>
        <v>60100</v>
      </c>
      <c r="H451" s="1353">
        <f t="shared" si="133"/>
        <v>60100</v>
      </c>
      <c r="I451" s="1353">
        <f t="shared" si="133"/>
        <v>60100</v>
      </c>
      <c r="J451" s="1353">
        <f t="shared" si="133"/>
        <v>60100</v>
      </c>
      <c r="T451" s="1374"/>
      <c r="U451" s="1374"/>
      <c r="V451" s="1374"/>
      <c r="W451" s="1374"/>
      <c r="X451" s="1374"/>
      <c r="Z451" s="1378"/>
      <c r="AA451" s="1378"/>
      <c r="AB451" s="1378"/>
      <c r="AC451" s="1378"/>
      <c r="AD451" s="1378"/>
      <c r="AK451" s="1354">
        <f t="shared" si="122"/>
        <v>420700</v>
      </c>
      <c r="AL451" s="1352">
        <f t="shared" si="129"/>
        <v>42</v>
      </c>
      <c r="AM451" s="1354">
        <f t="shared" si="123"/>
        <v>0</v>
      </c>
      <c r="AN451" s="1352" t="str">
        <f t="shared" si="124"/>
        <v>Capital Improvement Fund</v>
      </c>
    </row>
    <row r="452" spans="1:40" x14ac:dyDescent="0.2">
      <c r="A452" s="1324" t="s">
        <v>541</v>
      </c>
      <c r="B452" s="1324" t="s">
        <v>243</v>
      </c>
      <c r="C452" s="1353">
        <f t="shared" si="131"/>
        <v>0</v>
      </c>
      <c r="D452" s="1353">
        <f t="shared" si="131"/>
        <v>0</v>
      </c>
      <c r="E452" s="1351">
        <f t="shared" si="132"/>
        <v>0</v>
      </c>
      <c r="F452" s="1353">
        <f t="shared" si="133"/>
        <v>0</v>
      </c>
      <c r="G452" s="1353">
        <f t="shared" si="133"/>
        <v>0</v>
      </c>
      <c r="H452" s="1353">
        <f t="shared" si="133"/>
        <v>0</v>
      </c>
      <c r="I452" s="1353">
        <f t="shared" si="133"/>
        <v>0</v>
      </c>
      <c r="J452" s="1353">
        <f t="shared" si="133"/>
        <v>0</v>
      </c>
      <c r="T452" s="1374"/>
      <c r="U452" s="1374"/>
      <c r="V452" s="1374"/>
      <c r="W452" s="1374"/>
      <c r="X452" s="1374"/>
      <c r="Z452" s="1378"/>
      <c r="AA452" s="1378"/>
      <c r="AB452" s="1378"/>
      <c r="AC452" s="1378"/>
      <c r="AD452" s="1378"/>
      <c r="AK452" s="1354">
        <f t="shared" si="122"/>
        <v>0</v>
      </c>
      <c r="AL452" s="1352">
        <f t="shared" si="129"/>
        <v>42</v>
      </c>
      <c r="AM452" s="1354">
        <f t="shared" si="123"/>
        <v>0</v>
      </c>
      <c r="AN452" s="1352" t="str">
        <f t="shared" si="124"/>
        <v>Down Payments on Improvements</v>
      </c>
    </row>
    <row r="453" spans="1:40" x14ac:dyDescent="0.2">
      <c r="A453" s="1324" t="s">
        <v>5069</v>
      </c>
      <c r="B453" s="1324" t="s">
        <v>5552</v>
      </c>
      <c r="C453" s="1353">
        <f t="shared" si="131"/>
        <v>0</v>
      </c>
      <c r="D453" s="1353">
        <f t="shared" si="131"/>
        <v>0</v>
      </c>
      <c r="E453" s="1351">
        <f t="shared" si="132"/>
        <v>0</v>
      </c>
      <c r="F453" s="1353">
        <f t="shared" si="133"/>
        <v>0</v>
      </c>
      <c r="G453" s="1353">
        <f t="shared" si="133"/>
        <v>0</v>
      </c>
      <c r="H453" s="1353">
        <f t="shared" si="133"/>
        <v>0</v>
      </c>
      <c r="I453" s="1353">
        <f t="shared" si="133"/>
        <v>0</v>
      </c>
      <c r="J453" s="1353">
        <f t="shared" si="133"/>
        <v>0</v>
      </c>
      <c r="T453" s="1374"/>
      <c r="U453" s="1374"/>
      <c r="V453" s="1374"/>
      <c r="W453" s="1374"/>
      <c r="X453" s="1374"/>
      <c r="Z453" s="1378"/>
      <c r="AA453" s="1378"/>
      <c r="AB453" s="1378"/>
      <c r="AC453" s="1378"/>
      <c r="AD453" s="1378"/>
      <c r="AK453" s="1354">
        <f t="shared" si="122"/>
        <v>0</v>
      </c>
      <c r="AL453" s="1352">
        <f t="shared" si="129"/>
        <v>42</v>
      </c>
      <c r="AM453" s="1354">
        <f t="shared" si="123"/>
        <v>0</v>
      </c>
      <c r="AN453" s="1352" t="str">
        <f t="shared" si="124"/>
        <v>"User Defined" Capital Improvement</v>
      </c>
    </row>
    <row r="454" spans="1:40" x14ac:dyDescent="0.2">
      <c r="A454" s="1324" t="s">
        <v>5076</v>
      </c>
      <c r="B454" s="1324" t="s">
        <v>5552</v>
      </c>
      <c r="C454" s="1353">
        <f t="shared" si="131"/>
        <v>0</v>
      </c>
      <c r="D454" s="1353">
        <f t="shared" si="131"/>
        <v>0</v>
      </c>
      <c r="E454" s="1351">
        <f t="shared" si="132"/>
        <v>0</v>
      </c>
      <c r="F454" s="1353">
        <f t="shared" si="133"/>
        <v>0</v>
      </c>
      <c r="G454" s="1353">
        <f t="shared" si="133"/>
        <v>0</v>
      </c>
      <c r="H454" s="1353">
        <f t="shared" si="133"/>
        <v>0</v>
      </c>
      <c r="I454" s="1353">
        <f t="shared" si="133"/>
        <v>0</v>
      </c>
      <c r="J454" s="1353">
        <f t="shared" si="133"/>
        <v>0</v>
      </c>
      <c r="T454" s="1374"/>
      <c r="U454" s="1374"/>
      <c r="V454" s="1374"/>
      <c r="W454" s="1374"/>
      <c r="X454" s="1374"/>
      <c r="Z454" s="1378"/>
      <c r="AA454" s="1378"/>
      <c r="AB454" s="1378"/>
      <c r="AC454" s="1378"/>
      <c r="AD454" s="1378"/>
      <c r="AK454" s="1354">
        <f t="shared" si="122"/>
        <v>0</v>
      </c>
      <c r="AL454" s="1352">
        <f t="shared" si="129"/>
        <v>42</v>
      </c>
      <c r="AM454" s="1354">
        <f t="shared" si="123"/>
        <v>0</v>
      </c>
      <c r="AN454" s="1352" t="str">
        <f t="shared" si="124"/>
        <v>"User Defined" Capital Improvement</v>
      </c>
    </row>
    <row r="455" spans="1:40" x14ac:dyDescent="0.2">
      <c r="A455" s="1324" t="s">
        <v>5084</v>
      </c>
      <c r="B455" s="1324" t="s">
        <v>5552</v>
      </c>
      <c r="C455" s="1353">
        <f t="shared" si="131"/>
        <v>0</v>
      </c>
      <c r="D455" s="1353">
        <f t="shared" si="131"/>
        <v>0</v>
      </c>
      <c r="E455" s="1351">
        <f t="shared" si="132"/>
        <v>0</v>
      </c>
      <c r="F455" s="1353">
        <f t="shared" si="133"/>
        <v>0</v>
      </c>
      <c r="G455" s="1353">
        <f t="shared" si="133"/>
        <v>0</v>
      </c>
      <c r="H455" s="1353">
        <f t="shared" si="133"/>
        <v>0</v>
      </c>
      <c r="I455" s="1353">
        <f t="shared" si="133"/>
        <v>0</v>
      </c>
      <c r="J455" s="1353">
        <f t="shared" si="133"/>
        <v>0</v>
      </c>
      <c r="T455" s="1374"/>
      <c r="U455" s="1374"/>
      <c r="V455" s="1374"/>
      <c r="W455" s="1374"/>
      <c r="X455" s="1374"/>
      <c r="Z455" s="1378"/>
      <c r="AA455" s="1378"/>
      <c r="AB455" s="1378"/>
      <c r="AC455" s="1378"/>
      <c r="AD455" s="1378"/>
      <c r="AK455" s="1354">
        <f t="shared" si="122"/>
        <v>0</v>
      </c>
      <c r="AL455" s="1352">
        <f t="shared" si="129"/>
        <v>42</v>
      </c>
      <c r="AM455" s="1354">
        <f t="shared" si="123"/>
        <v>0</v>
      </c>
      <c r="AN455" s="1352" t="str">
        <f t="shared" si="124"/>
        <v>"User Defined" Capital Improvement</v>
      </c>
    </row>
    <row r="456" spans="1:40" x14ac:dyDescent="0.2">
      <c r="B456" s="1373" t="str">
        <f>"Total- "&amp;A449</f>
        <v>Total- Capital</v>
      </c>
      <c r="C456" s="1360">
        <f>SUM(C450:C455)</f>
        <v>60100</v>
      </c>
      <c r="D456" s="1360">
        <f>SUM(D450:D455)</f>
        <v>60100</v>
      </c>
      <c r="E456" s="1356">
        <f t="shared" si="132"/>
        <v>0</v>
      </c>
      <c r="F456" s="1360">
        <f>SUM(F450:F455)</f>
        <v>60100</v>
      </c>
      <c r="G456" s="1360">
        <f>SUM(G450:G455)</f>
        <v>60100</v>
      </c>
      <c r="H456" s="1360">
        <f>SUM(H450:H455)</f>
        <v>60100</v>
      </c>
      <c r="I456" s="1360">
        <f>SUM(I450:I455)</f>
        <v>60100</v>
      </c>
      <c r="J456" s="1360">
        <f>SUM(J450:J455)</f>
        <v>60100</v>
      </c>
      <c r="T456" s="1374"/>
      <c r="U456" s="1374"/>
      <c r="V456" s="1374"/>
      <c r="W456" s="1374"/>
      <c r="X456" s="1374"/>
      <c r="Z456" s="1378"/>
      <c r="AA456" s="1378"/>
      <c r="AB456" s="1378"/>
      <c r="AC456" s="1378"/>
      <c r="AD456" s="1378"/>
      <c r="AK456" s="1354"/>
      <c r="AL456" s="1352"/>
      <c r="AM456" s="1354"/>
      <c r="AN456" s="1352"/>
    </row>
    <row r="457" spans="1:40" x14ac:dyDescent="0.2">
      <c r="E457" s="1351"/>
      <c r="T457" s="1374"/>
      <c r="U457" s="1374"/>
      <c r="V457" s="1374"/>
      <c r="W457" s="1374"/>
      <c r="X457" s="1374"/>
      <c r="Z457" s="1378"/>
      <c r="AA457" s="1378"/>
      <c r="AB457" s="1378"/>
      <c r="AC457" s="1378"/>
      <c r="AD457" s="1378"/>
      <c r="AK457" s="1354"/>
      <c r="AL457" s="1352"/>
      <c r="AM457" s="1354"/>
      <c r="AN457" s="1352"/>
    </row>
    <row r="458" spans="1:40" x14ac:dyDescent="0.2">
      <c r="A458" s="1364" t="s">
        <v>343</v>
      </c>
      <c r="B458" s="1365"/>
      <c r="C458" s="1364"/>
      <c r="D458" s="1364"/>
      <c r="E458" s="1366"/>
      <c r="F458" s="1364"/>
      <c r="G458" s="1364"/>
      <c r="H458" s="1364"/>
      <c r="I458" s="1364"/>
      <c r="J458" s="1364"/>
      <c r="T458" s="1374"/>
      <c r="U458" s="1374"/>
      <c r="V458" s="1374"/>
      <c r="W458" s="1374"/>
      <c r="X458" s="1374"/>
      <c r="Z458" s="1378"/>
      <c r="AA458" s="1378"/>
      <c r="AB458" s="1378"/>
      <c r="AC458" s="1378"/>
      <c r="AD458" s="1378"/>
      <c r="AK458" s="1354"/>
      <c r="AL458" s="1352"/>
      <c r="AM458" s="1354"/>
      <c r="AN458" s="1352"/>
    </row>
    <row r="459" spans="1:40" x14ac:dyDescent="0.2">
      <c r="A459" s="1324" t="s">
        <v>544</v>
      </c>
      <c r="B459" s="1324" t="s">
        <v>254</v>
      </c>
      <c r="C459" s="1353">
        <f t="shared" ref="C459:D467" si="134">SUMIF($A$504:$A$1172,$A459,C$504:C$1172)</f>
        <v>0</v>
      </c>
      <c r="D459" s="1353">
        <f t="shared" si="134"/>
        <v>0</v>
      </c>
      <c r="E459" s="1351">
        <f t="shared" ref="E459:E468" si="135">IFERROR(D459/C459-1,0)</f>
        <v>0</v>
      </c>
      <c r="F459" s="1353">
        <f t="shared" ref="F459:J467" si="136">SUMIF($A$504:$A$1172,$A459,F$504:F$1172)</f>
        <v>0</v>
      </c>
      <c r="G459" s="1353">
        <f t="shared" si="136"/>
        <v>0</v>
      </c>
      <c r="H459" s="1353">
        <f t="shared" si="136"/>
        <v>0</v>
      </c>
      <c r="I459" s="1353">
        <f t="shared" si="136"/>
        <v>0</v>
      </c>
      <c r="J459" s="1353">
        <f t="shared" si="136"/>
        <v>0</v>
      </c>
      <c r="T459" s="1374"/>
      <c r="U459" s="1374"/>
      <c r="V459" s="1374"/>
      <c r="W459" s="1374"/>
      <c r="X459" s="1374"/>
      <c r="Z459" s="1378"/>
      <c r="AA459" s="1378"/>
      <c r="AB459" s="1378"/>
      <c r="AC459" s="1378"/>
      <c r="AD459" s="1378"/>
      <c r="AK459" s="1354">
        <f t="shared" si="122"/>
        <v>0</v>
      </c>
      <c r="AL459" s="1352">
        <f t="shared" si="129"/>
        <v>42</v>
      </c>
      <c r="AM459" s="1354">
        <f t="shared" si="123"/>
        <v>0</v>
      </c>
      <c r="AN459" s="1352" t="str">
        <f t="shared" si="124"/>
        <v>Payment of Bond Principal</v>
      </c>
    </row>
    <row r="460" spans="1:40" x14ac:dyDescent="0.2">
      <c r="A460" s="1324" t="s">
        <v>545</v>
      </c>
      <c r="B460" s="1324" t="s">
        <v>5553</v>
      </c>
      <c r="C460" s="1353">
        <f t="shared" si="134"/>
        <v>0</v>
      </c>
      <c r="D460" s="1353">
        <f t="shared" si="134"/>
        <v>0</v>
      </c>
      <c r="E460" s="1351">
        <f t="shared" si="135"/>
        <v>0</v>
      </c>
      <c r="F460" s="1353">
        <f t="shared" si="136"/>
        <v>0</v>
      </c>
      <c r="G460" s="1353">
        <f t="shared" si="136"/>
        <v>0</v>
      </c>
      <c r="H460" s="1353">
        <f t="shared" si="136"/>
        <v>0</v>
      </c>
      <c r="I460" s="1353">
        <f t="shared" si="136"/>
        <v>0</v>
      </c>
      <c r="J460" s="1353">
        <f t="shared" si="136"/>
        <v>0</v>
      </c>
      <c r="T460" s="1374"/>
      <c r="U460" s="1374"/>
      <c r="V460" s="1374"/>
      <c r="W460" s="1374"/>
      <c r="X460" s="1374"/>
      <c r="Z460" s="1378"/>
      <c r="AA460" s="1378"/>
      <c r="AB460" s="1378"/>
      <c r="AC460" s="1378"/>
      <c r="AD460" s="1378"/>
      <c r="AK460" s="1354">
        <f t="shared" si="122"/>
        <v>0</v>
      </c>
      <c r="AL460" s="1352">
        <f t="shared" si="129"/>
        <v>42</v>
      </c>
      <c r="AM460" s="1354">
        <f t="shared" si="123"/>
        <v>0</v>
      </c>
      <c r="AN460" s="1352" t="str">
        <f t="shared" si="124"/>
        <v>Payment of Note Principal</v>
      </c>
    </row>
    <row r="461" spans="1:40" x14ac:dyDescent="0.2">
      <c r="A461" s="1324" t="s">
        <v>546</v>
      </c>
      <c r="B461" s="1324" t="s">
        <v>5554</v>
      </c>
      <c r="C461" s="1353">
        <f t="shared" si="134"/>
        <v>0</v>
      </c>
      <c r="D461" s="1353">
        <f t="shared" si="134"/>
        <v>0</v>
      </c>
      <c r="E461" s="1351">
        <f t="shared" si="135"/>
        <v>0</v>
      </c>
      <c r="F461" s="1353">
        <f t="shared" si="136"/>
        <v>0</v>
      </c>
      <c r="G461" s="1353">
        <f t="shared" si="136"/>
        <v>0</v>
      </c>
      <c r="H461" s="1353">
        <f t="shared" si="136"/>
        <v>0</v>
      </c>
      <c r="I461" s="1353">
        <f t="shared" si="136"/>
        <v>0</v>
      </c>
      <c r="J461" s="1353">
        <f t="shared" si="136"/>
        <v>0</v>
      </c>
      <c r="T461" s="1374"/>
      <c r="U461" s="1374"/>
      <c r="V461" s="1374"/>
      <c r="W461" s="1374"/>
      <c r="X461" s="1374"/>
      <c r="Z461" s="1378"/>
      <c r="AA461" s="1378"/>
      <c r="AB461" s="1378"/>
      <c r="AC461" s="1378"/>
      <c r="AD461" s="1378"/>
      <c r="AK461" s="1354">
        <f t="shared" si="122"/>
        <v>0</v>
      </c>
      <c r="AL461" s="1352">
        <f t="shared" si="129"/>
        <v>42</v>
      </c>
      <c r="AM461" s="1354">
        <f t="shared" si="123"/>
        <v>0</v>
      </c>
      <c r="AN461" s="1352" t="str">
        <f t="shared" si="124"/>
        <v>Bond Interest</v>
      </c>
    </row>
    <row r="462" spans="1:40" x14ac:dyDescent="0.2">
      <c r="A462" s="1324" t="s">
        <v>547</v>
      </c>
      <c r="B462" s="1324" t="s">
        <v>5555</v>
      </c>
      <c r="C462" s="1353">
        <f t="shared" si="134"/>
        <v>0</v>
      </c>
      <c r="D462" s="1353">
        <f t="shared" si="134"/>
        <v>0</v>
      </c>
      <c r="E462" s="1351">
        <f t="shared" si="135"/>
        <v>0</v>
      </c>
      <c r="F462" s="1353">
        <f t="shared" si="136"/>
        <v>0</v>
      </c>
      <c r="G462" s="1353">
        <f t="shared" si="136"/>
        <v>0</v>
      </c>
      <c r="H462" s="1353">
        <f t="shared" si="136"/>
        <v>0</v>
      </c>
      <c r="I462" s="1353">
        <f t="shared" si="136"/>
        <v>0</v>
      </c>
      <c r="J462" s="1353">
        <f t="shared" si="136"/>
        <v>0</v>
      </c>
      <c r="T462" s="1374"/>
      <c r="U462" s="1374"/>
      <c r="V462" s="1374"/>
      <c r="W462" s="1374"/>
      <c r="X462" s="1374"/>
      <c r="Z462" s="1378"/>
      <c r="AA462" s="1378"/>
      <c r="AB462" s="1378"/>
      <c r="AC462" s="1378"/>
      <c r="AD462" s="1378"/>
      <c r="AK462" s="1354">
        <f t="shared" si="122"/>
        <v>0</v>
      </c>
      <c r="AL462" s="1352">
        <f t="shared" si="129"/>
        <v>42</v>
      </c>
      <c r="AM462" s="1354">
        <f t="shared" si="123"/>
        <v>0</v>
      </c>
      <c r="AN462" s="1352" t="str">
        <f t="shared" si="124"/>
        <v>Note Interest</v>
      </c>
    </row>
    <row r="463" spans="1:40" x14ac:dyDescent="0.2">
      <c r="A463" s="1324" t="s">
        <v>5070</v>
      </c>
      <c r="B463" s="1324" t="s">
        <v>5556</v>
      </c>
      <c r="C463" s="1353">
        <f t="shared" si="134"/>
        <v>0</v>
      </c>
      <c r="D463" s="1353">
        <f t="shared" si="134"/>
        <v>0</v>
      </c>
      <c r="E463" s="1351">
        <f t="shared" si="135"/>
        <v>0</v>
      </c>
      <c r="F463" s="1353">
        <f t="shared" si="136"/>
        <v>0</v>
      </c>
      <c r="G463" s="1353">
        <f t="shared" si="136"/>
        <v>0</v>
      </c>
      <c r="H463" s="1353">
        <f t="shared" si="136"/>
        <v>0</v>
      </c>
      <c r="I463" s="1353">
        <f t="shared" si="136"/>
        <v>0</v>
      </c>
      <c r="J463" s="1353">
        <f t="shared" si="136"/>
        <v>0</v>
      </c>
      <c r="T463" s="1374"/>
      <c r="U463" s="1374"/>
      <c r="V463" s="1374"/>
      <c r="W463" s="1374"/>
      <c r="X463" s="1374"/>
      <c r="Z463" s="1378"/>
      <c r="AA463" s="1378"/>
      <c r="AB463" s="1378"/>
      <c r="AC463" s="1378"/>
      <c r="AD463" s="1378"/>
      <c r="AK463" s="1354">
        <f t="shared" si="122"/>
        <v>0</v>
      </c>
      <c r="AL463" s="1352">
        <f t="shared" si="129"/>
        <v>42</v>
      </c>
      <c r="AM463" s="1354">
        <f t="shared" si="123"/>
        <v>0</v>
      </c>
      <c r="AN463" s="1352" t="str">
        <f t="shared" si="124"/>
        <v>Loan Payments on Principal and Interest (Green Acres)</v>
      </c>
    </row>
    <row r="464" spans="1:40" x14ac:dyDescent="0.2">
      <c r="A464" s="1324" t="s">
        <v>5077</v>
      </c>
      <c r="B464" s="1324" t="s">
        <v>5557</v>
      </c>
      <c r="C464" s="1353">
        <f t="shared" si="134"/>
        <v>0</v>
      </c>
      <c r="D464" s="1353">
        <f t="shared" si="134"/>
        <v>0</v>
      </c>
      <c r="E464" s="1351">
        <f t="shared" si="135"/>
        <v>0</v>
      </c>
      <c r="F464" s="1353">
        <f t="shared" si="136"/>
        <v>0</v>
      </c>
      <c r="G464" s="1353">
        <f t="shared" si="136"/>
        <v>0</v>
      </c>
      <c r="H464" s="1353">
        <f t="shared" si="136"/>
        <v>0</v>
      </c>
      <c r="I464" s="1353">
        <f t="shared" si="136"/>
        <v>0</v>
      </c>
      <c r="J464" s="1353">
        <f t="shared" si="136"/>
        <v>0</v>
      </c>
      <c r="T464" s="1374"/>
      <c r="U464" s="1374"/>
      <c r="V464" s="1374"/>
      <c r="W464" s="1374"/>
      <c r="X464" s="1374"/>
      <c r="Z464" s="1378"/>
      <c r="AA464" s="1378"/>
      <c r="AB464" s="1378"/>
      <c r="AC464" s="1378"/>
      <c r="AD464" s="1378"/>
      <c r="AK464" s="1354">
        <f t="shared" si="122"/>
        <v>0</v>
      </c>
      <c r="AL464" s="1352">
        <f t="shared" si="129"/>
        <v>42</v>
      </c>
      <c r="AM464" s="1354">
        <f t="shared" si="123"/>
        <v>0</v>
      </c>
      <c r="AN464" s="1352" t="str">
        <f t="shared" si="124"/>
        <v>Authority Capital Lease Payments</v>
      </c>
    </row>
    <row r="465" spans="1:40" x14ac:dyDescent="0.2">
      <c r="A465" s="1324" t="s">
        <v>5085</v>
      </c>
      <c r="B465" s="1324" t="s">
        <v>5558</v>
      </c>
      <c r="C465" s="1353">
        <f t="shared" si="134"/>
        <v>0</v>
      </c>
      <c r="D465" s="1353">
        <f t="shared" si="134"/>
        <v>0</v>
      </c>
      <c r="E465" s="1351">
        <f t="shared" si="135"/>
        <v>0</v>
      </c>
      <c r="F465" s="1353">
        <f t="shared" si="136"/>
        <v>0</v>
      </c>
      <c r="G465" s="1353">
        <f t="shared" si="136"/>
        <v>0</v>
      </c>
      <c r="H465" s="1353">
        <f t="shared" si="136"/>
        <v>0</v>
      </c>
      <c r="I465" s="1353">
        <f t="shared" si="136"/>
        <v>0</v>
      </c>
      <c r="J465" s="1353">
        <f t="shared" si="136"/>
        <v>0</v>
      </c>
      <c r="T465" s="1374"/>
      <c r="U465" s="1374"/>
      <c r="V465" s="1374"/>
      <c r="W465" s="1374"/>
      <c r="X465" s="1374"/>
      <c r="Z465" s="1378"/>
      <c r="AA465" s="1378"/>
      <c r="AB465" s="1378"/>
      <c r="AC465" s="1378"/>
      <c r="AD465" s="1378"/>
      <c r="AK465" s="1354">
        <f t="shared" si="122"/>
        <v>0</v>
      </c>
      <c r="AL465" s="1352">
        <f t="shared" si="129"/>
        <v>42</v>
      </c>
      <c r="AM465" s="1354">
        <f t="shared" si="123"/>
        <v>0</v>
      </c>
      <c r="AN465" s="1352" t="str">
        <f t="shared" si="124"/>
        <v>"User Defined" Debt Service</v>
      </c>
    </row>
    <row r="466" spans="1:40" x14ac:dyDescent="0.2">
      <c r="A466" s="1324" t="s">
        <v>5091</v>
      </c>
      <c r="B466" s="1324" t="s">
        <v>5558</v>
      </c>
      <c r="C466" s="1353">
        <f t="shared" si="134"/>
        <v>0</v>
      </c>
      <c r="D466" s="1353">
        <f t="shared" si="134"/>
        <v>0</v>
      </c>
      <c r="E466" s="1351">
        <f t="shared" si="135"/>
        <v>0</v>
      </c>
      <c r="F466" s="1353">
        <f t="shared" si="136"/>
        <v>0</v>
      </c>
      <c r="G466" s="1353">
        <f t="shared" si="136"/>
        <v>0</v>
      </c>
      <c r="H466" s="1353">
        <f t="shared" si="136"/>
        <v>0</v>
      </c>
      <c r="I466" s="1353">
        <f t="shared" si="136"/>
        <v>0</v>
      </c>
      <c r="J466" s="1353">
        <f t="shared" si="136"/>
        <v>0</v>
      </c>
      <c r="T466" s="1374"/>
      <c r="U466" s="1374"/>
      <c r="V466" s="1374"/>
      <c r="W466" s="1374"/>
      <c r="X466" s="1374"/>
      <c r="Z466" s="1378"/>
      <c r="AA466" s="1378"/>
      <c r="AB466" s="1378"/>
      <c r="AC466" s="1378"/>
      <c r="AD466" s="1378"/>
      <c r="AK466" s="1354">
        <f t="shared" si="122"/>
        <v>0</v>
      </c>
      <c r="AL466" s="1352">
        <f t="shared" si="129"/>
        <v>42</v>
      </c>
      <c r="AM466" s="1354">
        <f t="shared" si="123"/>
        <v>0</v>
      </c>
      <c r="AN466" s="1352" t="str">
        <f t="shared" si="124"/>
        <v>"User Defined" Debt Service</v>
      </c>
    </row>
    <row r="467" spans="1:40" x14ac:dyDescent="0.2">
      <c r="A467" s="1324" t="s">
        <v>5098</v>
      </c>
      <c r="B467" s="1324" t="s">
        <v>5558</v>
      </c>
      <c r="C467" s="1353">
        <f t="shared" si="134"/>
        <v>0</v>
      </c>
      <c r="D467" s="1353">
        <f t="shared" si="134"/>
        <v>0</v>
      </c>
      <c r="E467" s="1351">
        <f t="shared" si="135"/>
        <v>0</v>
      </c>
      <c r="F467" s="1353">
        <f t="shared" si="136"/>
        <v>0</v>
      </c>
      <c r="G467" s="1353">
        <f t="shared" si="136"/>
        <v>0</v>
      </c>
      <c r="H467" s="1353">
        <f t="shared" si="136"/>
        <v>0</v>
      </c>
      <c r="I467" s="1353">
        <f t="shared" si="136"/>
        <v>0</v>
      </c>
      <c r="J467" s="1353">
        <f t="shared" si="136"/>
        <v>0</v>
      </c>
      <c r="T467" s="1374"/>
      <c r="U467" s="1374"/>
      <c r="V467" s="1374"/>
      <c r="W467" s="1374"/>
      <c r="X467" s="1374"/>
      <c r="Z467" s="1378"/>
      <c r="AA467" s="1378"/>
      <c r="AB467" s="1378"/>
      <c r="AC467" s="1378"/>
      <c r="AD467" s="1378"/>
      <c r="AK467" s="1354">
        <f t="shared" si="122"/>
        <v>0</v>
      </c>
      <c r="AL467" s="1352">
        <f t="shared" si="129"/>
        <v>42</v>
      </c>
      <c r="AM467" s="1354">
        <f t="shared" si="123"/>
        <v>0</v>
      </c>
      <c r="AN467" s="1352" t="str">
        <f t="shared" si="124"/>
        <v>"User Defined" Debt Service</v>
      </c>
    </row>
    <row r="468" spans="1:40" x14ac:dyDescent="0.2">
      <c r="B468" s="1373" t="str">
        <f>"Total- "&amp;A458</f>
        <v>Total- Debt Service</v>
      </c>
      <c r="C468" s="1360">
        <f>SUM(C459:C467)</f>
        <v>0</v>
      </c>
      <c r="D468" s="1360">
        <f>SUM(D459:D467)</f>
        <v>0</v>
      </c>
      <c r="E468" s="1356">
        <f t="shared" si="135"/>
        <v>0</v>
      </c>
      <c r="F468" s="1360">
        <f>SUM(F459:F467)</f>
        <v>0</v>
      </c>
      <c r="G468" s="1360">
        <f>SUM(G459:G467)</f>
        <v>0</v>
      </c>
      <c r="H468" s="1360">
        <f>SUM(H459:H467)</f>
        <v>0</v>
      </c>
      <c r="I468" s="1360">
        <f>SUM(I459:I467)</f>
        <v>0</v>
      </c>
      <c r="J468" s="1360">
        <f>SUM(J459:J467)</f>
        <v>0</v>
      </c>
      <c r="T468" s="1374"/>
      <c r="U468" s="1374"/>
      <c r="V468" s="1374"/>
      <c r="W468" s="1374"/>
      <c r="X468" s="1374"/>
      <c r="Z468" s="1378"/>
      <c r="AA468" s="1378"/>
      <c r="AB468" s="1378"/>
      <c r="AC468" s="1378"/>
      <c r="AD468" s="1378"/>
      <c r="AK468" s="1354"/>
      <c r="AL468" s="1352"/>
      <c r="AM468" s="1354"/>
      <c r="AN468" s="1352"/>
    </row>
    <row r="469" spans="1:40" x14ac:dyDescent="0.2">
      <c r="E469" s="1351"/>
      <c r="T469" s="1374"/>
      <c r="U469" s="1374"/>
      <c r="V469" s="1374"/>
      <c r="W469" s="1374"/>
      <c r="X469" s="1374"/>
      <c r="Z469" s="1378"/>
      <c r="AA469" s="1378"/>
      <c r="AB469" s="1378"/>
      <c r="AC469" s="1378"/>
      <c r="AD469" s="1378"/>
      <c r="AK469" s="1354"/>
      <c r="AL469" s="1352"/>
      <c r="AM469" s="1354"/>
      <c r="AN469" s="1352"/>
    </row>
    <row r="470" spans="1:40" x14ac:dyDescent="0.2">
      <c r="A470" s="1364" t="s">
        <v>5453</v>
      </c>
      <c r="B470" s="1365"/>
      <c r="C470" s="1364"/>
      <c r="D470" s="1364"/>
      <c r="E470" s="1366"/>
      <c r="F470" s="1364"/>
      <c r="G470" s="1364"/>
      <c r="H470" s="1364"/>
      <c r="I470" s="1364"/>
      <c r="J470" s="1364"/>
      <c r="T470" s="1374"/>
      <c r="U470" s="1374"/>
      <c r="V470" s="1374"/>
      <c r="W470" s="1374"/>
      <c r="X470" s="1374"/>
      <c r="Z470" s="1378"/>
      <c r="AA470" s="1378"/>
      <c r="AB470" s="1378"/>
      <c r="AC470" s="1378"/>
      <c r="AD470" s="1378"/>
      <c r="AK470" s="1354"/>
      <c r="AL470" s="1352"/>
      <c r="AM470" s="1354"/>
      <c r="AN470" s="1352"/>
    </row>
    <row r="471" spans="1:40" x14ac:dyDescent="0.2">
      <c r="A471" s="1324" t="s">
        <v>540</v>
      </c>
      <c r="B471" s="1324" t="s">
        <v>5591</v>
      </c>
      <c r="C471" s="1353">
        <f t="shared" ref="C471:D483" si="137">SUMIF($A$504:$A$1172,$A471,C$504:C$1172)</f>
        <v>0</v>
      </c>
      <c r="D471" s="1353">
        <f t="shared" si="137"/>
        <v>0</v>
      </c>
      <c r="E471" s="1351">
        <f t="shared" ref="E471:E484" si="138">IFERROR(D471/C471-1,0)</f>
        <v>0</v>
      </c>
      <c r="F471" s="1353">
        <f t="shared" ref="F471:J483" si="139">SUMIF($A$504:$A$1172,$A471,F$504:F$1172)</f>
        <v>0</v>
      </c>
      <c r="G471" s="1353">
        <f t="shared" si="139"/>
        <v>0</v>
      </c>
      <c r="H471" s="1353">
        <f t="shared" si="139"/>
        <v>0</v>
      </c>
      <c r="I471" s="1353">
        <f t="shared" si="139"/>
        <v>0</v>
      </c>
      <c r="J471" s="1353">
        <f t="shared" si="139"/>
        <v>0</v>
      </c>
      <c r="T471" s="1374"/>
      <c r="U471" s="1374"/>
      <c r="V471" s="1374"/>
      <c r="W471" s="1374"/>
      <c r="X471" s="1374"/>
      <c r="Z471" s="1378"/>
      <c r="AA471" s="1378"/>
      <c r="AB471" s="1378"/>
      <c r="AC471" s="1378"/>
      <c r="AD471" s="1378"/>
      <c r="AK471" s="1354">
        <f t="shared" ref="AK471:AK534" si="140">SUM(C471:D471,F471:J471)</f>
        <v>0</v>
      </c>
      <c r="AL471" s="1352">
        <f t="shared" si="129"/>
        <v>42</v>
      </c>
      <c r="AM471" s="1354">
        <f t="shared" ref="AM471:AM494" si="141">J471-D471</f>
        <v>0</v>
      </c>
      <c r="AN471" s="1352" t="str">
        <f t="shared" ref="AN471:AN494" si="142">B471</f>
        <v>Cash Deficit of Preceding Year (Inside or Outside CAP)</v>
      </c>
    </row>
    <row r="472" spans="1:40" x14ac:dyDescent="0.2">
      <c r="A472" s="1324" t="s">
        <v>5083</v>
      </c>
      <c r="B472" s="1324" t="s">
        <v>5462</v>
      </c>
      <c r="C472" s="1353">
        <f t="shared" si="137"/>
        <v>0</v>
      </c>
      <c r="D472" s="1353">
        <f t="shared" si="137"/>
        <v>0</v>
      </c>
      <c r="E472" s="1351">
        <f t="shared" si="138"/>
        <v>0</v>
      </c>
      <c r="F472" s="1353">
        <f t="shared" si="139"/>
        <v>0</v>
      </c>
      <c r="G472" s="1353">
        <f t="shared" si="139"/>
        <v>0</v>
      </c>
      <c r="H472" s="1353">
        <f t="shared" si="139"/>
        <v>0</v>
      </c>
      <c r="I472" s="1353">
        <f t="shared" si="139"/>
        <v>0</v>
      </c>
      <c r="J472" s="1353">
        <f t="shared" si="139"/>
        <v>0</v>
      </c>
      <c r="T472" s="1374"/>
      <c r="U472" s="1374"/>
      <c r="V472" s="1374"/>
      <c r="W472" s="1374"/>
      <c r="X472" s="1374"/>
      <c r="Z472" s="1378"/>
      <c r="AA472" s="1378"/>
      <c r="AB472" s="1378"/>
      <c r="AC472" s="1378"/>
      <c r="AD472" s="1378"/>
      <c r="AK472" s="1354">
        <f t="shared" si="140"/>
        <v>0</v>
      </c>
      <c r="AL472" s="1352">
        <f t="shared" si="129"/>
        <v>42</v>
      </c>
      <c r="AM472" s="1354">
        <f t="shared" si="141"/>
        <v>0</v>
      </c>
      <c r="AN472" s="1352" t="str">
        <f t="shared" si="142"/>
        <v>"User Defined" Deferred Charge (In CAP)</v>
      </c>
    </row>
    <row r="473" spans="1:40" x14ac:dyDescent="0.2">
      <c r="A473" s="1324" t="s">
        <v>5290</v>
      </c>
      <c r="B473" s="1324" t="s">
        <v>5462</v>
      </c>
      <c r="C473" s="1353">
        <f t="shared" si="137"/>
        <v>0</v>
      </c>
      <c r="D473" s="1353">
        <f t="shared" si="137"/>
        <v>0</v>
      </c>
      <c r="E473" s="1351">
        <f t="shared" si="138"/>
        <v>0</v>
      </c>
      <c r="F473" s="1353">
        <f t="shared" si="139"/>
        <v>0</v>
      </c>
      <c r="G473" s="1353">
        <f t="shared" si="139"/>
        <v>0</v>
      </c>
      <c r="H473" s="1353">
        <f t="shared" si="139"/>
        <v>0</v>
      </c>
      <c r="I473" s="1353">
        <f t="shared" si="139"/>
        <v>0</v>
      </c>
      <c r="J473" s="1353">
        <f t="shared" si="139"/>
        <v>0</v>
      </c>
      <c r="T473" s="1374"/>
      <c r="U473" s="1374"/>
      <c r="V473" s="1374"/>
      <c r="W473" s="1374"/>
      <c r="X473" s="1374"/>
      <c r="Z473" s="1378"/>
      <c r="AA473" s="1378"/>
      <c r="AB473" s="1378"/>
      <c r="AC473" s="1378"/>
      <c r="AD473" s="1378"/>
      <c r="AK473" s="1354">
        <f t="shared" si="140"/>
        <v>0</v>
      </c>
      <c r="AL473" s="1352">
        <f t="shared" si="129"/>
        <v>42</v>
      </c>
      <c r="AM473" s="1354">
        <f t="shared" si="141"/>
        <v>0</v>
      </c>
      <c r="AN473" s="1352" t="str">
        <f t="shared" si="142"/>
        <v>"User Defined" Deferred Charge (In CAP)</v>
      </c>
    </row>
    <row r="474" spans="1:40" x14ac:dyDescent="0.2">
      <c r="A474" s="1324" t="s">
        <v>5291</v>
      </c>
      <c r="B474" s="1324" t="s">
        <v>5462</v>
      </c>
      <c r="C474" s="1353">
        <f t="shared" si="137"/>
        <v>0</v>
      </c>
      <c r="D474" s="1353">
        <f t="shared" si="137"/>
        <v>0</v>
      </c>
      <c r="E474" s="1351">
        <f t="shared" si="138"/>
        <v>0</v>
      </c>
      <c r="F474" s="1353">
        <f t="shared" si="139"/>
        <v>0</v>
      </c>
      <c r="G474" s="1353">
        <f t="shared" si="139"/>
        <v>0</v>
      </c>
      <c r="H474" s="1353">
        <f t="shared" si="139"/>
        <v>0</v>
      </c>
      <c r="I474" s="1353">
        <f t="shared" si="139"/>
        <v>0</v>
      </c>
      <c r="J474" s="1353">
        <f t="shared" si="139"/>
        <v>0</v>
      </c>
      <c r="T474" s="1374"/>
      <c r="U474" s="1374"/>
      <c r="V474" s="1374"/>
      <c r="W474" s="1374"/>
      <c r="X474" s="1374"/>
      <c r="Z474" s="1378"/>
      <c r="AA474" s="1378"/>
      <c r="AB474" s="1378"/>
      <c r="AC474" s="1378"/>
      <c r="AD474" s="1378"/>
      <c r="AK474" s="1354">
        <f t="shared" si="140"/>
        <v>0</v>
      </c>
      <c r="AL474" s="1352">
        <f t="shared" si="129"/>
        <v>42</v>
      </c>
      <c r="AM474" s="1354">
        <f t="shared" si="141"/>
        <v>0</v>
      </c>
      <c r="AN474" s="1352" t="str">
        <f t="shared" si="142"/>
        <v>"User Defined" Deferred Charge (In CAP)</v>
      </c>
    </row>
    <row r="475" spans="1:40" x14ac:dyDescent="0.2">
      <c r="A475" s="1324" t="s">
        <v>5292</v>
      </c>
      <c r="B475" s="1324" t="s">
        <v>5462</v>
      </c>
      <c r="C475" s="1353">
        <f t="shared" si="137"/>
        <v>0</v>
      </c>
      <c r="D475" s="1353">
        <f t="shared" si="137"/>
        <v>0</v>
      </c>
      <c r="E475" s="1351">
        <f t="shared" si="138"/>
        <v>0</v>
      </c>
      <c r="F475" s="1353">
        <f t="shared" si="139"/>
        <v>0</v>
      </c>
      <c r="G475" s="1353">
        <f t="shared" si="139"/>
        <v>0</v>
      </c>
      <c r="H475" s="1353">
        <f t="shared" si="139"/>
        <v>0</v>
      </c>
      <c r="I475" s="1353">
        <f t="shared" si="139"/>
        <v>0</v>
      </c>
      <c r="J475" s="1353">
        <f t="shared" si="139"/>
        <v>0</v>
      </c>
      <c r="T475" s="1374"/>
      <c r="U475" s="1374"/>
      <c r="V475" s="1374"/>
      <c r="W475" s="1374"/>
      <c r="X475" s="1374"/>
      <c r="Z475" s="1378"/>
      <c r="AA475" s="1378"/>
      <c r="AB475" s="1378"/>
      <c r="AC475" s="1378"/>
      <c r="AD475" s="1378"/>
      <c r="AK475" s="1354">
        <f t="shared" si="140"/>
        <v>0</v>
      </c>
      <c r="AL475" s="1352">
        <f t="shared" si="129"/>
        <v>42</v>
      </c>
      <c r="AM475" s="1354">
        <f t="shared" si="141"/>
        <v>0</v>
      </c>
      <c r="AN475" s="1352" t="str">
        <f t="shared" si="142"/>
        <v>"User Defined" Deferred Charge (In CAP)</v>
      </c>
    </row>
    <row r="476" spans="1:40" x14ac:dyDescent="0.2">
      <c r="A476" s="1324" t="s">
        <v>5293</v>
      </c>
      <c r="B476" s="1324" t="s">
        <v>5462</v>
      </c>
      <c r="C476" s="1353">
        <f t="shared" si="137"/>
        <v>0</v>
      </c>
      <c r="D476" s="1353">
        <f t="shared" si="137"/>
        <v>0</v>
      </c>
      <c r="E476" s="1351">
        <f t="shared" si="138"/>
        <v>0</v>
      </c>
      <c r="F476" s="1353">
        <f t="shared" si="139"/>
        <v>0</v>
      </c>
      <c r="G476" s="1353">
        <f t="shared" si="139"/>
        <v>0</v>
      </c>
      <c r="H476" s="1353">
        <f t="shared" si="139"/>
        <v>0</v>
      </c>
      <c r="I476" s="1353">
        <f t="shared" si="139"/>
        <v>0</v>
      </c>
      <c r="J476" s="1353">
        <f t="shared" si="139"/>
        <v>0</v>
      </c>
      <c r="T476" s="1374"/>
      <c r="U476" s="1374"/>
      <c r="V476" s="1374"/>
      <c r="W476" s="1374"/>
      <c r="X476" s="1374"/>
      <c r="Z476" s="1378"/>
      <c r="AA476" s="1378"/>
      <c r="AB476" s="1378"/>
      <c r="AC476" s="1378"/>
      <c r="AD476" s="1378"/>
      <c r="AK476" s="1354">
        <f t="shared" si="140"/>
        <v>0</v>
      </c>
      <c r="AL476" s="1352">
        <f t="shared" si="129"/>
        <v>42</v>
      </c>
      <c r="AM476" s="1354">
        <f t="shared" si="141"/>
        <v>0</v>
      </c>
      <c r="AN476" s="1352" t="str">
        <f t="shared" si="142"/>
        <v>"User Defined" Deferred Charge (In CAP)</v>
      </c>
    </row>
    <row r="477" spans="1:40" x14ac:dyDescent="0.2">
      <c r="A477" s="1324" t="s">
        <v>535</v>
      </c>
      <c r="B477" s="1324" t="s">
        <v>5590</v>
      </c>
      <c r="C477" s="1353">
        <f t="shared" si="137"/>
        <v>0</v>
      </c>
      <c r="D477" s="1353">
        <f t="shared" si="137"/>
        <v>0</v>
      </c>
      <c r="E477" s="1351">
        <f t="shared" si="138"/>
        <v>0</v>
      </c>
      <c r="F477" s="1353">
        <f t="shared" si="139"/>
        <v>0</v>
      </c>
      <c r="G477" s="1353">
        <f t="shared" si="139"/>
        <v>0</v>
      </c>
      <c r="H477" s="1353">
        <f t="shared" si="139"/>
        <v>0</v>
      </c>
      <c r="I477" s="1353">
        <f t="shared" si="139"/>
        <v>0</v>
      </c>
      <c r="J477" s="1353">
        <f t="shared" si="139"/>
        <v>0</v>
      </c>
      <c r="T477" s="1374"/>
      <c r="U477" s="1374"/>
      <c r="V477" s="1374"/>
      <c r="W477" s="1374"/>
      <c r="X477" s="1374"/>
      <c r="Z477" s="1378"/>
      <c r="AA477" s="1378"/>
      <c r="AB477" s="1378"/>
      <c r="AC477" s="1378"/>
      <c r="AD477" s="1378"/>
      <c r="AK477" s="1354">
        <f t="shared" si="140"/>
        <v>0</v>
      </c>
      <c r="AL477" s="1352">
        <f t="shared" si="129"/>
        <v>42</v>
      </c>
      <c r="AM477" s="1354">
        <f t="shared" si="141"/>
        <v>0</v>
      </c>
      <c r="AN477" s="1352" t="str">
        <f t="shared" si="142"/>
        <v>Emergency Appropriations (Inside or Outside CAP)</v>
      </c>
    </row>
    <row r="478" spans="1:40" x14ac:dyDescent="0.2">
      <c r="A478" s="1324" t="s">
        <v>548</v>
      </c>
      <c r="B478" s="1324" t="s">
        <v>5559</v>
      </c>
      <c r="C478" s="1353">
        <f t="shared" si="137"/>
        <v>13000</v>
      </c>
      <c r="D478" s="1353">
        <f t="shared" si="137"/>
        <v>13000</v>
      </c>
      <c r="E478" s="1351">
        <f t="shared" si="138"/>
        <v>0</v>
      </c>
      <c r="F478" s="1353">
        <f t="shared" si="139"/>
        <v>13000</v>
      </c>
      <c r="G478" s="1353">
        <f t="shared" si="139"/>
        <v>13000</v>
      </c>
      <c r="H478" s="1353">
        <f t="shared" si="139"/>
        <v>13000</v>
      </c>
      <c r="I478" s="1353">
        <f t="shared" si="139"/>
        <v>13000</v>
      </c>
      <c r="J478" s="1353">
        <f t="shared" si="139"/>
        <v>13000</v>
      </c>
      <c r="T478" s="1374"/>
      <c r="U478" s="1374"/>
      <c r="V478" s="1374"/>
      <c r="W478" s="1374"/>
      <c r="X478" s="1374"/>
      <c r="Z478" s="1378"/>
      <c r="AA478" s="1378"/>
      <c r="AB478" s="1378"/>
      <c r="AC478" s="1378"/>
      <c r="AD478" s="1378"/>
      <c r="AK478" s="1354">
        <f t="shared" si="140"/>
        <v>91000</v>
      </c>
      <c r="AL478" s="1352">
        <f t="shared" si="129"/>
        <v>42</v>
      </c>
      <c r="AM478" s="1354">
        <f t="shared" si="141"/>
        <v>0</v>
      </c>
      <c r="AN478" s="1352" t="str">
        <f t="shared" si="142"/>
        <v>Special Emergency - 3 Years (Outside CAP)</v>
      </c>
    </row>
    <row r="479" spans="1:40" x14ac:dyDescent="0.2">
      <c r="A479" s="1324" t="s">
        <v>5090</v>
      </c>
      <c r="B479" s="1324" t="s">
        <v>5560</v>
      </c>
      <c r="C479" s="1353">
        <f t="shared" si="137"/>
        <v>0</v>
      </c>
      <c r="D479" s="1353">
        <f t="shared" si="137"/>
        <v>0</v>
      </c>
      <c r="E479" s="1351">
        <f t="shared" si="138"/>
        <v>0</v>
      </c>
      <c r="F479" s="1353">
        <f t="shared" si="139"/>
        <v>0</v>
      </c>
      <c r="G479" s="1353">
        <f t="shared" si="139"/>
        <v>0</v>
      </c>
      <c r="H479" s="1353">
        <f t="shared" si="139"/>
        <v>0</v>
      </c>
      <c r="I479" s="1353">
        <f t="shared" si="139"/>
        <v>0</v>
      </c>
      <c r="J479" s="1353">
        <f t="shared" si="139"/>
        <v>0</v>
      </c>
      <c r="T479" s="1374"/>
      <c r="U479" s="1374"/>
      <c r="V479" s="1374"/>
      <c r="W479" s="1374"/>
      <c r="X479" s="1374"/>
      <c r="Z479" s="1378"/>
      <c r="AA479" s="1378"/>
      <c r="AB479" s="1378"/>
      <c r="AC479" s="1378"/>
      <c r="AD479" s="1378"/>
      <c r="AK479" s="1354">
        <f t="shared" si="140"/>
        <v>0</v>
      </c>
      <c r="AL479" s="1352">
        <f t="shared" si="129"/>
        <v>42</v>
      </c>
      <c r="AM479" s="1354">
        <f t="shared" si="141"/>
        <v>0</v>
      </c>
      <c r="AN479" s="1352" t="str">
        <f t="shared" si="142"/>
        <v>Special Emergency - 5 Years (Outside CAP)</v>
      </c>
    </row>
    <row r="480" spans="1:40" x14ac:dyDescent="0.2">
      <c r="A480" s="1324" t="s">
        <v>5097</v>
      </c>
      <c r="B480" s="1324" t="s">
        <v>5561</v>
      </c>
      <c r="C480" s="1353">
        <f t="shared" si="137"/>
        <v>0</v>
      </c>
      <c r="D480" s="1353">
        <f t="shared" si="137"/>
        <v>0</v>
      </c>
      <c r="E480" s="1351">
        <f t="shared" si="138"/>
        <v>0</v>
      </c>
      <c r="F480" s="1353">
        <f t="shared" si="139"/>
        <v>0</v>
      </c>
      <c r="G480" s="1353">
        <f t="shared" si="139"/>
        <v>0</v>
      </c>
      <c r="H480" s="1353">
        <f t="shared" si="139"/>
        <v>0</v>
      </c>
      <c r="I480" s="1353">
        <f t="shared" si="139"/>
        <v>0</v>
      </c>
      <c r="J480" s="1353">
        <f t="shared" si="139"/>
        <v>0</v>
      </c>
      <c r="T480" s="1374"/>
      <c r="U480" s="1374"/>
      <c r="V480" s="1374"/>
      <c r="W480" s="1374"/>
      <c r="X480" s="1374"/>
      <c r="Z480" s="1378"/>
      <c r="AA480" s="1378"/>
      <c r="AB480" s="1378"/>
      <c r="AC480" s="1378"/>
      <c r="AD480" s="1378"/>
      <c r="AK480" s="1354">
        <f t="shared" si="140"/>
        <v>0</v>
      </c>
      <c r="AL480" s="1352">
        <f t="shared" si="129"/>
        <v>42</v>
      </c>
      <c r="AM480" s="1354">
        <f t="shared" si="141"/>
        <v>0</v>
      </c>
      <c r="AN480" s="1352" t="str">
        <f t="shared" si="142"/>
        <v>Deferred Charges to Future Taxation - Unfunded (Outside CAP)</v>
      </c>
    </row>
    <row r="481" spans="1:40" x14ac:dyDescent="0.2">
      <c r="A481" s="1324" t="s">
        <v>5096</v>
      </c>
      <c r="B481" s="1324" t="s">
        <v>5562</v>
      </c>
      <c r="C481" s="1353">
        <f t="shared" si="137"/>
        <v>0</v>
      </c>
      <c r="D481" s="1353">
        <f t="shared" si="137"/>
        <v>0</v>
      </c>
      <c r="E481" s="1351">
        <f t="shared" si="138"/>
        <v>0</v>
      </c>
      <c r="F481" s="1353">
        <f t="shared" si="139"/>
        <v>0</v>
      </c>
      <c r="G481" s="1353">
        <f t="shared" si="139"/>
        <v>0</v>
      </c>
      <c r="H481" s="1353">
        <f t="shared" si="139"/>
        <v>0</v>
      </c>
      <c r="I481" s="1353">
        <f t="shared" si="139"/>
        <v>0</v>
      </c>
      <c r="J481" s="1353">
        <f t="shared" si="139"/>
        <v>0</v>
      </c>
      <c r="T481" s="1374"/>
      <c r="U481" s="1374"/>
      <c r="V481" s="1374"/>
      <c r="W481" s="1374"/>
      <c r="X481" s="1374"/>
      <c r="Z481" s="1378"/>
      <c r="AA481" s="1378"/>
      <c r="AB481" s="1378"/>
      <c r="AC481" s="1378"/>
      <c r="AD481" s="1378"/>
      <c r="AK481" s="1354">
        <f t="shared" si="140"/>
        <v>0</v>
      </c>
      <c r="AL481" s="1352">
        <f t="shared" si="129"/>
        <v>42</v>
      </c>
      <c r="AM481" s="1354">
        <f t="shared" si="141"/>
        <v>0</v>
      </c>
      <c r="AN481" s="1352" t="str">
        <f t="shared" si="142"/>
        <v>Over expenditures (In CAP)</v>
      </c>
    </row>
    <row r="482" spans="1:40" x14ac:dyDescent="0.2">
      <c r="A482" s="1324" t="s">
        <v>5102</v>
      </c>
      <c r="B482" s="1324" t="s">
        <v>5563</v>
      </c>
      <c r="C482" s="1353">
        <f t="shared" si="137"/>
        <v>0</v>
      </c>
      <c r="D482" s="1353">
        <f t="shared" si="137"/>
        <v>0</v>
      </c>
      <c r="E482" s="1351">
        <f t="shared" si="138"/>
        <v>0</v>
      </c>
      <c r="F482" s="1353">
        <f t="shared" si="139"/>
        <v>0</v>
      </c>
      <c r="G482" s="1353">
        <f t="shared" si="139"/>
        <v>0</v>
      </c>
      <c r="H482" s="1353">
        <f t="shared" si="139"/>
        <v>0</v>
      </c>
      <c r="I482" s="1353">
        <f t="shared" si="139"/>
        <v>0</v>
      </c>
      <c r="J482" s="1353">
        <f t="shared" si="139"/>
        <v>0</v>
      </c>
      <c r="T482" s="1374"/>
      <c r="U482" s="1374"/>
      <c r="V482" s="1374"/>
      <c r="W482" s="1374"/>
      <c r="X482" s="1374"/>
      <c r="Z482" s="1378"/>
      <c r="AA482" s="1378"/>
      <c r="AB482" s="1378"/>
      <c r="AC482" s="1378"/>
      <c r="AD482" s="1378"/>
      <c r="AK482" s="1354">
        <f t="shared" si="140"/>
        <v>0</v>
      </c>
      <c r="AL482" s="1352">
        <f t="shared" si="129"/>
        <v>42</v>
      </c>
      <c r="AM482" s="1354">
        <f t="shared" si="141"/>
        <v>0</v>
      </c>
      <c r="AN482" s="1352" t="str">
        <f t="shared" si="142"/>
        <v>Expenditure without Appropriation (In CAP)</v>
      </c>
    </row>
    <row r="483" spans="1:40" x14ac:dyDescent="0.2">
      <c r="A483" s="1324" t="s">
        <v>5103</v>
      </c>
      <c r="B483" s="1324" t="s">
        <v>5597</v>
      </c>
      <c r="C483" s="1353">
        <f t="shared" si="137"/>
        <v>0</v>
      </c>
      <c r="D483" s="1353">
        <f t="shared" si="137"/>
        <v>0</v>
      </c>
      <c r="E483" s="1351">
        <f t="shared" si="138"/>
        <v>0</v>
      </c>
      <c r="F483" s="1353">
        <f t="shared" si="139"/>
        <v>0</v>
      </c>
      <c r="G483" s="1353">
        <f t="shared" si="139"/>
        <v>0</v>
      </c>
      <c r="H483" s="1353">
        <f t="shared" si="139"/>
        <v>0</v>
      </c>
      <c r="I483" s="1353">
        <f t="shared" si="139"/>
        <v>0</v>
      </c>
      <c r="J483" s="1353">
        <f t="shared" si="139"/>
        <v>0</v>
      </c>
      <c r="T483" s="1374"/>
      <c r="U483" s="1374"/>
      <c r="V483" s="1374"/>
      <c r="W483" s="1374"/>
      <c r="X483" s="1374"/>
      <c r="Z483" s="1378"/>
      <c r="AA483" s="1378"/>
      <c r="AB483" s="1378"/>
      <c r="AC483" s="1378"/>
      <c r="AD483" s="1378"/>
      <c r="AK483" s="1354">
        <f t="shared" si="140"/>
        <v>0</v>
      </c>
      <c r="AL483" s="1352">
        <f t="shared" si="129"/>
        <v>42</v>
      </c>
      <c r="AM483" s="1354">
        <f t="shared" si="141"/>
        <v>0</v>
      </c>
      <c r="AN483" s="1352" t="str">
        <f t="shared" si="142"/>
        <v>Other Deferred Charge (Outside CAP)</v>
      </c>
    </row>
    <row r="484" spans="1:40" x14ac:dyDescent="0.2">
      <c r="B484" s="1373" t="str">
        <f>"Total- "&amp;A470</f>
        <v>Total- Deferred Charges and Emergencies</v>
      </c>
      <c r="C484" s="1360">
        <f>SUM(C471:C483)</f>
        <v>13000</v>
      </c>
      <c r="D484" s="1360">
        <f>SUM(D471:D483)</f>
        <v>13000</v>
      </c>
      <c r="E484" s="1356">
        <f t="shared" si="138"/>
        <v>0</v>
      </c>
      <c r="F484" s="1360">
        <f>SUM(F471:F483)</f>
        <v>13000</v>
      </c>
      <c r="G484" s="1360">
        <f>SUM(G471:G483)</f>
        <v>13000</v>
      </c>
      <c r="H484" s="1360">
        <f>SUM(H471:H483)</f>
        <v>13000</v>
      </c>
      <c r="I484" s="1360">
        <f>SUM(I471:I483)</f>
        <v>13000</v>
      </c>
      <c r="J484" s="1360">
        <f>SUM(J471:J483)</f>
        <v>13000</v>
      </c>
      <c r="T484" s="1374"/>
      <c r="U484" s="1374"/>
      <c r="V484" s="1374"/>
      <c r="W484" s="1374"/>
      <c r="X484" s="1374"/>
      <c r="Z484" s="1378"/>
      <c r="AA484" s="1378"/>
      <c r="AB484" s="1378"/>
      <c r="AC484" s="1378"/>
      <c r="AD484" s="1378"/>
      <c r="AK484" s="1354"/>
      <c r="AL484" s="1352"/>
      <c r="AM484" s="1354"/>
      <c r="AN484" s="1352"/>
    </row>
    <row r="485" spans="1:40" x14ac:dyDescent="0.2">
      <c r="E485" s="1351"/>
      <c r="T485" s="1374"/>
      <c r="U485" s="1374"/>
      <c r="V485" s="1374"/>
      <c r="W485" s="1374"/>
      <c r="X485" s="1374"/>
      <c r="Z485" s="1378"/>
      <c r="AA485" s="1378"/>
      <c r="AB485" s="1378"/>
      <c r="AC485" s="1378"/>
      <c r="AD485" s="1378"/>
      <c r="AK485" s="1354"/>
      <c r="AL485" s="1352"/>
      <c r="AM485" s="1354"/>
      <c r="AN485" s="1352"/>
    </row>
    <row r="486" spans="1:40" x14ac:dyDescent="0.2">
      <c r="A486" s="1364" t="s">
        <v>5454</v>
      </c>
      <c r="B486" s="1365"/>
      <c r="C486" s="1364"/>
      <c r="D486" s="1364"/>
      <c r="E486" s="1366"/>
      <c r="F486" s="1364"/>
      <c r="G486" s="1364"/>
      <c r="H486" s="1364"/>
      <c r="I486" s="1364"/>
      <c r="J486" s="1364"/>
      <c r="T486" s="1374"/>
      <c r="U486" s="1374"/>
      <c r="V486" s="1374"/>
      <c r="W486" s="1374"/>
      <c r="X486" s="1374"/>
      <c r="Z486" s="1378"/>
      <c r="AA486" s="1378"/>
      <c r="AB486" s="1378"/>
      <c r="AC486" s="1378"/>
      <c r="AD486" s="1378"/>
      <c r="AK486" s="1354"/>
      <c r="AL486" s="1352"/>
      <c r="AM486" s="1354"/>
      <c r="AN486" s="1352"/>
    </row>
    <row r="487" spans="1:40" x14ac:dyDescent="0.2">
      <c r="A487" s="1324" t="s">
        <v>552</v>
      </c>
      <c r="B487" s="1324" t="s">
        <v>5564</v>
      </c>
      <c r="C487" s="1353">
        <f t="shared" ref="C487:D490" si="143">SUMIF($A$504:$A$1172,$A487,C$504:C$1172)</f>
        <v>0</v>
      </c>
      <c r="D487" s="1353">
        <f t="shared" si="143"/>
        <v>0</v>
      </c>
      <c r="E487" s="1351">
        <f>IFERROR(D487/C487-1,0)</f>
        <v>0</v>
      </c>
      <c r="F487" s="1353">
        <f t="shared" ref="F487:J490" si="144">SUMIF($A$504:$A$1172,$A487,F$504:F$1172)</f>
        <v>0</v>
      </c>
      <c r="G487" s="1353">
        <f t="shared" si="144"/>
        <v>0</v>
      </c>
      <c r="H487" s="1353">
        <f t="shared" si="144"/>
        <v>0</v>
      </c>
      <c r="I487" s="1353">
        <f t="shared" si="144"/>
        <v>0</v>
      </c>
      <c r="J487" s="1353">
        <f t="shared" si="144"/>
        <v>0</v>
      </c>
      <c r="T487" s="1374"/>
      <c r="U487" s="1374"/>
      <c r="V487" s="1374"/>
      <c r="W487" s="1374"/>
      <c r="X487" s="1374"/>
      <c r="Z487" s="1378"/>
      <c r="AA487" s="1378"/>
      <c r="AB487" s="1378"/>
      <c r="AC487" s="1378"/>
      <c r="AD487" s="1378"/>
      <c r="AK487" s="1354">
        <f t="shared" si="140"/>
        <v>0</v>
      </c>
      <c r="AL487" s="1352">
        <f t="shared" si="129"/>
        <v>42</v>
      </c>
      <c r="AM487" s="1354">
        <f t="shared" si="141"/>
        <v>0</v>
      </c>
      <c r="AN487" s="1352" t="str">
        <f t="shared" si="142"/>
        <v>Payment of Type I School District Bond Principal</v>
      </c>
    </row>
    <row r="488" spans="1:40" x14ac:dyDescent="0.2">
      <c r="A488" s="1324" t="s">
        <v>553</v>
      </c>
      <c r="B488" s="1324" t="s">
        <v>5565</v>
      </c>
      <c r="C488" s="1353">
        <f t="shared" si="143"/>
        <v>0</v>
      </c>
      <c r="D488" s="1353">
        <f t="shared" si="143"/>
        <v>0</v>
      </c>
      <c r="E488" s="1351">
        <f>IFERROR(D488/C488-1,0)</f>
        <v>0</v>
      </c>
      <c r="F488" s="1353">
        <f t="shared" si="144"/>
        <v>0</v>
      </c>
      <c r="G488" s="1353">
        <f t="shared" si="144"/>
        <v>0</v>
      </c>
      <c r="H488" s="1353">
        <f t="shared" si="144"/>
        <v>0</v>
      </c>
      <c r="I488" s="1353">
        <f t="shared" si="144"/>
        <v>0</v>
      </c>
      <c r="J488" s="1353">
        <f t="shared" si="144"/>
        <v>0</v>
      </c>
      <c r="T488" s="1374"/>
      <c r="U488" s="1374"/>
      <c r="V488" s="1374"/>
      <c r="W488" s="1374"/>
      <c r="X488" s="1374"/>
      <c r="Z488" s="1378"/>
      <c r="AA488" s="1378"/>
      <c r="AB488" s="1378"/>
      <c r="AC488" s="1378"/>
      <c r="AD488" s="1378"/>
      <c r="AK488" s="1354">
        <f t="shared" si="140"/>
        <v>0</v>
      </c>
      <c r="AL488" s="1352">
        <f t="shared" si="129"/>
        <v>42</v>
      </c>
      <c r="AM488" s="1354">
        <f t="shared" si="141"/>
        <v>0</v>
      </c>
      <c r="AN488" s="1352" t="str">
        <f t="shared" si="142"/>
        <v>Payment of Type I School District Bond Anticipation Notes</v>
      </c>
    </row>
    <row r="489" spans="1:40" x14ac:dyDescent="0.2">
      <c r="A489" s="1324" t="s">
        <v>554</v>
      </c>
      <c r="B489" s="1324" t="s">
        <v>5566</v>
      </c>
      <c r="C489" s="1353">
        <f t="shared" si="143"/>
        <v>0</v>
      </c>
      <c r="D489" s="1353">
        <f t="shared" si="143"/>
        <v>0</v>
      </c>
      <c r="E489" s="1351">
        <f>IFERROR(D489/C489-1,0)</f>
        <v>0</v>
      </c>
      <c r="F489" s="1353">
        <f t="shared" si="144"/>
        <v>0</v>
      </c>
      <c r="G489" s="1353">
        <f t="shared" si="144"/>
        <v>0</v>
      </c>
      <c r="H489" s="1353">
        <f t="shared" si="144"/>
        <v>0</v>
      </c>
      <c r="I489" s="1353">
        <f t="shared" si="144"/>
        <v>0</v>
      </c>
      <c r="J489" s="1353">
        <f t="shared" si="144"/>
        <v>0</v>
      </c>
      <c r="T489" s="1374"/>
      <c r="U489" s="1374"/>
      <c r="V489" s="1374"/>
      <c r="W489" s="1374"/>
      <c r="X489" s="1374"/>
      <c r="Z489" s="1378"/>
      <c r="AA489" s="1378"/>
      <c r="AB489" s="1378"/>
      <c r="AC489" s="1378"/>
      <c r="AD489" s="1378"/>
      <c r="AK489" s="1354">
        <f t="shared" si="140"/>
        <v>0</v>
      </c>
      <c r="AL489" s="1352">
        <f t="shared" si="129"/>
        <v>42</v>
      </c>
      <c r="AM489" s="1354">
        <f t="shared" si="141"/>
        <v>0</v>
      </c>
      <c r="AN489" s="1352" t="str">
        <f t="shared" si="142"/>
        <v>Payment of Type I School District Bond Interest</v>
      </c>
    </row>
    <row r="490" spans="1:40" x14ac:dyDescent="0.2">
      <c r="A490" s="1324" t="s">
        <v>555</v>
      </c>
      <c r="B490" s="1324" t="s">
        <v>5567</v>
      </c>
      <c r="C490" s="1353">
        <f t="shared" si="143"/>
        <v>0</v>
      </c>
      <c r="D490" s="1353">
        <f t="shared" si="143"/>
        <v>0</v>
      </c>
      <c r="E490" s="1351">
        <f>IFERROR(D490/C490-1,0)</f>
        <v>0</v>
      </c>
      <c r="F490" s="1353">
        <f t="shared" si="144"/>
        <v>0</v>
      </c>
      <c r="G490" s="1353">
        <f t="shared" si="144"/>
        <v>0</v>
      </c>
      <c r="H490" s="1353">
        <f t="shared" si="144"/>
        <v>0</v>
      </c>
      <c r="I490" s="1353">
        <f t="shared" si="144"/>
        <v>0</v>
      </c>
      <c r="J490" s="1353">
        <f t="shared" si="144"/>
        <v>0</v>
      </c>
      <c r="T490" s="1374"/>
      <c r="U490" s="1374"/>
      <c r="V490" s="1374"/>
      <c r="W490" s="1374"/>
      <c r="X490" s="1374"/>
      <c r="Z490" s="1378"/>
      <c r="AA490" s="1378"/>
      <c r="AB490" s="1378"/>
      <c r="AC490" s="1378"/>
      <c r="AD490" s="1378"/>
      <c r="AK490" s="1354">
        <f t="shared" si="140"/>
        <v>0</v>
      </c>
      <c r="AL490" s="1352">
        <f t="shared" si="129"/>
        <v>42</v>
      </c>
      <c r="AM490" s="1354">
        <f t="shared" si="141"/>
        <v>0</v>
      </c>
      <c r="AN490" s="1352" t="str">
        <f t="shared" si="142"/>
        <v>Payment of Type I School District Note Interest</v>
      </c>
    </row>
    <row r="491" spans="1:40" x14ac:dyDescent="0.2">
      <c r="B491" s="1373" t="str">
        <f>"Total- "&amp;A486</f>
        <v>Total- Type I School District</v>
      </c>
      <c r="C491" s="1360">
        <f>SUM(C487:C490)</f>
        <v>0</v>
      </c>
      <c r="D491" s="1360">
        <f>SUM(D487:D490)</f>
        <v>0</v>
      </c>
      <c r="E491" s="1356">
        <f>IFERROR(D491/C491-1,0)</f>
        <v>0</v>
      </c>
      <c r="F491" s="1360">
        <f>SUM(F487:F490)</f>
        <v>0</v>
      </c>
      <c r="G491" s="1360">
        <f>SUM(G487:G490)</f>
        <v>0</v>
      </c>
      <c r="H491" s="1360">
        <f>SUM(H487:H490)</f>
        <v>0</v>
      </c>
      <c r="I491" s="1360">
        <f>SUM(I487:I490)</f>
        <v>0</v>
      </c>
      <c r="J491" s="1360">
        <f>SUM(J487:J490)</f>
        <v>0</v>
      </c>
      <c r="T491" s="1374"/>
      <c r="U491" s="1374"/>
      <c r="V491" s="1374"/>
      <c r="W491" s="1374"/>
      <c r="X491" s="1374"/>
      <c r="Z491" s="1378"/>
      <c r="AA491" s="1378"/>
      <c r="AB491" s="1378"/>
      <c r="AC491" s="1378"/>
      <c r="AD491" s="1378"/>
      <c r="AK491" s="1354"/>
      <c r="AL491" s="1352"/>
      <c r="AM491" s="1354"/>
      <c r="AN491" s="1352"/>
    </row>
    <row r="492" spans="1:40" x14ac:dyDescent="0.2">
      <c r="B492" s="1379"/>
      <c r="E492" s="1351"/>
      <c r="T492" s="1374"/>
      <c r="U492" s="1374"/>
      <c r="V492" s="1374"/>
      <c r="W492" s="1374"/>
      <c r="X492" s="1374"/>
      <c r="Z492" s="1378"/>
      <c r="AA492" s="1378"/>
      <c r="AB492" s="1378"/>
      <c r="AC492" s="1378"/>
      <c r="AD492" s="1378"/>
      <c r="AK492" s="1354"/>
      <c r="AL492" s="1352"/>
      <c r="AM492" s="1354"/>
      <c r="AN492" s="1352"/>
    </row>
    <row r="493" spans="1:40" x14ac:dyDescent="0.2">
      <c r="A493" s="1364" t="s">
        <v>345</v>
      </c>
      <c r="B493" s="1365"/>
      <c r="C493" s="1364"/>
      <c r="D493" s="1364"/>
      <c r="E493" s="1366"/>
      <c r="F493" s="1364"/>
      <c r="G493" s="1364"/>
      <c r="H493" s="1364"/>
      <c r="I493" s="1364"/>
      <c r="J493" s="1364"/>
      <c r="T493" s="1374"/>
      <c r="U493" s="1374"/>
      <c r="V493" s="1374"/>
      <c r="W493" s="1374"/>
      <c r="X493" s="1374"/>
      <c r="Z493" s="1378"/>
      <c r="AA493" s="1378"/>
      <c r="AB493" s="1378"/>
      <c r="AC493" s="1378"/>
      <c r="AD493" s="1378"/>
      <c r="AK493" s="1354"/>
      <c r="AL493" s="1352"/>
      <c r="AM493" s="1354"/>
      <c r="AN493" s="1352"/>
    </row>
    <row r="494" spans="1:40" x14ac:dyDescent="0.2">
      <c r="A494" s="1324" t="s">
        <v>558</v>
      </c>
      <c r="B494" s="1324" t="s">
        <v>345</v>
      </c>
      <c r="C494" s="1353">
        <f>SUMIF($A$504:$A$1172,$A494,C$504:C$1172)</f>
        <v>305137.67</v>
      </c>
      <c r="D494" s="1353">
        <f>SUMIF($A$504:$A$1172,$A494,D$504:D$1172)</f>
        <v>298014.59115825919</v>
      </c>
      <c r="E494" s="1351">
        <f>IFERROR(D494/C494-1,0)</f>
        <v>-2.3343819993581261E-2</v>
      </c>
      <c r="F494" s="1353">
        <f>SUMIF($A$504:$A$1172,$A494,F$504:F$1172)</f>
        <v>298014.59115825919</v>
      </c>
      <c r="G494" s="1353">
        <f>SUMIF($A$504:$A$1172,$A494,G$504:G$1172)</f>
        <v>298014.59115825919</v>
      </c>
      <c r="H494" s="1353">
        <f>SUMIF($A$504:$A$1172,$A494,H$504:H$1172)</f>
        <v>298014.59115825919</v>
      </c>
      <c r="I494" s="1353">
        <f>SUMIF($A$504:$A$1172,$A494,I$504:I$1172)</f>
        <v>298014.59115825919</v>
      </c>
      <c r="J494" s="1353">
        <f>SUMIF($A$504:$A$1172,$A494,J$504:J$1172)</f>
        <v>298014.59115825919</v>
      </c>
      <c r="T494" s="1374"/>
      <c r="U494" s="1374"/>
      <c r="V494" s="1374"/>
      <c r="W494" s="1374"/>
      <c r="X494" s="1374"/>
      <c r="Z494" s="1378"/>
      <c r="AA494" s="1378"/>
      <c r="AB494" s="1378"/>
      <c r="AC494" s="1378"/>
      <c r="AD494" s="1378"/>
      <c r="AK494" s="1354">
        <f t="shared" si="140"/>
        <v>2093225.2169495551</v>
      </c>
      <c r="AL494" s="1352">
        <f>RANK(AM494,$AM$226:$AM$494,0)</f>
        <v>42</v>
      </c>
      <c r="AM494" s="1354">
        <f t="shared" si="141"/>
        <v>0</v>
      </c>
      <c r="AN494" s="1352" t="str">
        <f t="shared" si="142"/>
        <v>Reserve for Uncollected Taxes</v>
      </c>
    </row>
    <row r="495" spans="1:40" x14ac:dyDescent="0.2">
      <c r="B495" s="1373" t="str">
        <f>"Total- "&amp;A493</f>
        <v>Total- Reserve for Uncollected Taxes</v>
      </c>
      <c r="C495" s="1360">
        <f>C494</f>
        <v>305137.67</v>
      </c>
      <c r="D495" s="1360">
        <f>D494</f>
        <v>298014.59115825919</v>
      </c>
      <c r="E495" s="1356">
        <f>IFERROR(D495/C495-1,0)</f>
        <v>-2.3343819993581261E-2</v>
      </c>
      <c r="F495" s="1360">
        <f>F494</f>
        <v>298014.59115825919</v>
      </c>
      <c r="G495" s="1360">
        <f>G494</f>
        <v>298014.59115825919</v>
      </c>
      <c r="H495" s="1360">
        <f>H494</f>
        <v>298014.59115825919</v>
      </c>
      <c r="I495" s="1360">
        <f>I494</f>
        <v>298014.59115825919</v>
      </c>
      <c r="J495" s="1360">
        <f>J494</f>
        <v>298014.59115825919</v>
      </c>
      <c r="T495" s="1374"/>
      <c r="U495" s="1374"/>
      <c r="V495" s="1374"/>
      <c r="W495" s="1374"/>
      <c r="X495" s="1374"/>
      <c r="Z495" s="1378"/>
      <c r="AA495" s="1378"/>
      <c r="AB495" s="1378"/>
      <c r="AC495" s="1378"/>
      <c r="AD495" s="1378"/>
      <c r="AK495" s="1354"/>
      <c r="AL495" s="1352"/>
      <c r="AM495" s="1354"/>
      <c r="AN495" s="1352"/>
    </row>
    <row r="496" spans="1:40" x14ac:dyDescent="0.2">
      <c r="E496" s="1351"/>
      <c r="T496" s="1374"/>
      <c r="U496" s="1374"/>
      <c r="V496" s="1374"/>
      <c r="W496" s="1374"/>
      <c r="X496" s="1374"/>
      <c r="Z496" s="1378"/>
      <c r="AA496" s="1378"/>
      <c r="AB496" s="1378"/>
      <c r="AC496" s="1378"/>
      <c r="AD496" s="1378"/>
      <c r="AK496" s="1354"/>
      <c r="AL496" s="1352"/>
      <c r="AM496" s="1354"/>
      <c r="AN496" s="1352"/>
    </row>
    <row r="497" spans="1:40" x14ac:dyDescent="0.2">
      <c r="B497" s="1328" t="s">
        <v>6105</v>
      </c>
      <c r="C497" s="1355">
        <f>C495+C491+C484+C468+C456+C447+C442+C415+C411+C407+C397+C393+C389+C385+C372+C356+C344+C334+C320+C303+C283+C273+C255+C244</f>
        <v>708998.07</v>
      </c>
      <c r="D497" s="1355">
        <f>D495+D491+D484+D468+D456+D447+D442+D415+D411+D407+D397+D393+D389+D385+D372+D356+D344+D334+D320+D303+D283+D273+D255+D244</f>
        <v>828754.49115825922</v>
      </c>
      <c r="E497" s="1356">
        <f>IFERROR(D497/C497-1,0)</f>
        <v>0.16890937539260054</v>
      </c>
      <c r="F497" s="1355">
        <f>F495+F491+F484+F468+F456+F447+F442+F415+F411+F407+F397+F393+F389+F385+F372+F356+F344+F334+F320+F303+F283+F273+F255+F244</f>
        <v>837561.37235825928</v>
      </c>
      <c r="G497" s="1355">
        <f>G495+G491+G484+G468+G456+G447+G442+G415+G411+G407+G397+G393+G389+G385+G372+G356+G344+G334+G320+G303+G283+G273+G255+G244</f>
        <v>846539.54910225933</v>
      </c>
      <c r="H497" s="1355">
        <f>H495+H491+H484+H468+H456+H447+H442+H415+H411+H407+H397+H393+H389+H385+H372+H356+H344+H334+H320+H303+H283+H273+H255+H244</f>
        <v>855700.6178288192</v>
      </c>
      <c r="I497" s="1355">
        <f>I495+I491+I484+I468+I456+I447+I442+I415+I411+I407+I397+I393+I389+I385+I372+I356+I344+I334+I320+I303+I283+I273+I255+I244</f>
        <v>865048.4161137651</v>
      </c>
      <c r="J497" s="1355">
        <f>J495+J491+J484+J468+J456+J447+J442+J415+J411+J407+J397+J393+J389+J385+J372+J356+J344+J334+J320+J303+J283+J273+J255+J244</f>
        <v>874586.86799019296</v>
      </c>
      <c r="T497" s="1374"/>
      <c r="U497" s="1374"/>
      <c r="V497" s="1374"/>
      <c r="W497" s="1374"/>
      <c r="X497" s="1374"/>
      <c r="Z497" s="1378"/>
      <c r="AA497" s="1378"/>
      <c r="AB497" s="1378"/>
      <c r="AC497" s="1378"/>
      <c r="AD497" s="1378"/>
      <c r="AK497" s="1354"/>
      <c r="AL497" s="1352"/>
      <c r="AM497" s="1354"/>
      <c r="AN497" s="1352"/>
    </row>
    <row r="498" spans="1:40" ht="12" customHeight="1" x14ac:dyDescent="0.2">
      <c r="B498" s="1357" t="s">
        <v>6104</v>
      </c>
      <c r="D498" s="1356">
        <f>IFERROR(D497/C497-1,"--")</f>
        <v>0.16890937539260054</v>
      </c>
      <c r="E498" s="1356"/>
      <c r="F498" s="1356">
        <f>IFERROR(F497/D497-1,"--")</f>
        <v>1.0626646725849564E-2</v>
      </c>
      <c r="G498" s="1356">
        <f>IFERROR(G497/F497-1,"--")</f>
        <v>1.0719425513525005E-2</v>
      </c>
      <c r="H498" s="1356">
        <f>IFERROR(H497/G497-1,"--")</f>
        <v>1.08217846836276E-2</v>
      </c>
      <c r="I498" s="1356">
        <f>IFERROR(I497/H497-1,"--")</f>
        <v>1.0924145770356164E-2</v>
      </c>
      <c r="J498" s="1356">
        <f>IFERROR(J497/I497-1,"--")</f>
        <v>1.1026494816647858E-2</v>
      </c>
      <c r="T498" s="1374"/>
      <c r="U498" s="1374"/>
      <c r="V498" s="1374"/>
      <c r="W498" s="1374"/>
      <c r="X498" s="1374"/>
      <c r="Z498" s="1378"/>
      <c r="AA498" s="1378"/>
      <c r="AB498" s="1378"/>
      <c r="AC498" s="1378"/>
      <c r="AD498" s="1378"/>
      <c r="AK498" s="1354"/>
      <c r="AL498" s="1352"/>
      <c r="AM498" s="1354"/>
      <c r="AN498" s="1352"/>
    </row>
    <row r="499" spans="1:40" x14ac:dyDescent="0.2">
      <c r="E499" s="1351"/>
      <c r="T499" s="1374"/>
      <c r="U499" s="1374"/>
      <c r="V499" s="1374"/>
      <c r="W499" s="1374"/>
      <c r="X499" s="1374"/>
      <c r="Z499" s="1378"/>
      <c r="AA499" s="1378"/>
      <c r="AB499" s="1378"/>
      <c r="AC499" s="1378"/>
      <c r="AD499" s="1378"/>
      <c r="AK499" s="1354"/>
      <c r="AL499" s="1352"/>
      <c r="AM499" s="1354"/>
      <c r="AN499" s="1352"/>
    </row>
    <row r="500" spans="1:40" x14ac:dyDescent="0.2">
      <c r="E500" s="1351"/>
      <c r="T500" s="1374"/>
      <c r="U500" s="1374"/>
      <c r="V500" s="1374"/>
      <c r="W500" s="1374"/>
      <c r="X500" s="1374"/>
      <c r="Z500" s="1378"/>
      <c r="AA500" s="1378"/>
      <c r="AB500" s="1378"/>
      <c r="AC500" s="1378"/>
      <c r="AD500" s="1378"/>
      <c r="AK500" s="1354"/>
      <c r="AL500" s="1352"/>
      <c r="AM500" s="1354"/>
      <c r="AN500" s="1352"/>
    </row>
    <row r="501" spans="1:40" ht="15.75" x14ac:dyDescent="0.25">
      <c r="A501" s="1350" t="s">
        <v>6103</v>
      </c>
      <c r="E501" s="1351"/>
      <c r="T501" s="1374"/>
      <c r="U501" s="1374"/>
      <c r="V501" s="1374"/>
      <c r="W501" s="1374"/>
      <c r="X501" s="1374"/>
      <c r="Z501" s="1378"/>
      <c r="AA501" s="1378"/>
      <c r="AB501" s="1378"/>
      <c r="AC501" s="1378"/>
      <c r="AD501" s="1378"/>
      <c r="AK501" s="1354"/>
      <c r="AL501" s="1352"/>
      <c r="AM501" s="1354"/>
      <c r="AN501" s="1352"/>
    </row>
    <row r="502" spans="1:40" ht="16.5" thickBot="1" x14ac:dyDescent="0.3">
      <c r="E502" s="1351"/>
      <c r="N502" s="1362" t="s">
        <v>6128</v>
      </c>
      <c r="O502" s="1363"/>
      <c r="P502" s="1363"/>
      <c r="Q502" s="1363"/>
      <c r="R502" s="1363"/>
      <c r="S502" s="1363"/>
      <c r="T502" s="1363"/>
      <c r="U502" s="1363"/>
      <c r="V502" s="1363"/>
      <c r="W502" s="1363"/>
      <c r="X502" s="1363"/>
      <c r="Y502" s="1363"/>
      <c r="Z502" s="1363"/>
      <c r="AA502" s="1363"/>
      <c r="AB502" s="1363"/>
      <c r="AC502" s="1363"/>
      <c r="AD502" s="1363"/>
      <c r="AK502" s="1354"/>
      <c r="AL502" s="1352"/>
      <c r="AM502" s="1354"/>
      <c r="AN502" s="1352"/>
    </row>
    <row r="503" spans="1:40" ht="15.75" thickTop="1" x14ac:dyDescent="0.25">
      <c r="A503" s="1364" t="s">
        <v>5439</v>
      </c>
      <c r="B503" s="1365"/>
      <c r="C503" s="1365"/>
      <c r="D503" s="1365"/>
      <c r="E503" s="1380"/>
      <c r="F503" s="1365"/>
      <c r="G503" s="1365"/>
      <c r="H503" s="1365"/>
      <c r="I503" s="1365"/>
      <c r="J503" s="1365"/>
      <c r="M503" s="1381" t="str">
        <f>A503</f>
        <v>General Government</v>
      </c>
      <c r="N503" s="1382"/>
      <c r="O503" s="1382"/>
      <c r="P503" s="1382"/>
      <c r="Q503" s="1382"/>
      <c r="R503" s="1382"/>
      <c r="S503" s="1382"/>
      <c r="T503" s="1383"/>
      <c r="U503" s="1383"/>
      <c r="V503" s="1383"/>
      <c r="W503" s="1383"/>
      <c r="X503" s="1383"/>
      <c r="Y503" s="1384"/>
      <c r="Z503" s="1385"/>
      <c r="AA503" s="1385"/>
      <c r="AB503" s="1385"/>
      <c r="AC503" s="1385"/>
      <c r="AD503" s="1385"/>
      <c r="AK503" s="1354"/>
      <c r="AL503" s="1352"/>
      <c r="AM503" s="1354"/>
      <c r="AN503" s="1352"/>
    </row>
    <row r="504" spans="1:40" x14ac:dyDescent="0.2">
      <c r="A504" s="1324" t="s">
        <v>5065</v>
      </c>
      <c r="B504" s="1324" t="s">
        <v>5643</v>
      </c>
      <c r="C504" s="1353">
        <f>'Key Metrics'!$C$168</f>
        <v>0</v>
      </c>
      <c r="D504" s="1353">
        <f>'Key Metrics'!$G$168</f>
        <v>0</v>
      </c>
      <c r="E504" s="1351">
        <f t="shared" ref="E504:E558" si="145">IFERROR(D504/C504-1,0)</f>
        <v>0</v>
      </c>
      <c r="F504" s="1353">
        <f t="shared" ref="F504:F535" si="146">IFERROR(IF($I$3=1,D504*(1+N504),IF($I$3=2,D504*(1+T504),IF($I$3=3,Z504,"--"))),0)</f>
        <v>0</v>
      </c>
      <c r="G504" s="1353">
        <f t="shared" ref="G504:G535" si="147">IFERROR(IF($I$3=1,F504*(1+O504),IF($I$3=2,F504*(1+U504),IF($I$3=3,AA504,"--"))),0)</f>
        <v>0</v>
      </c>
      <c r="H504" s="1353">
        <f t="shared" ref="H504:H535" si="148">IFERROR(IF($I$3=1,G504*(1+P504),IF($I$3=2,G504*(1+V504),IF($I$3=3,AB504,"--"))),0)</f>
        <v>0</v>
      </c>
      <c r="I504" s="1353">
        <f t="shared" ref="I504:I535" si="149">IFERROR(IF($I$3=1,H504*(1+Q504),IF($I$3=2,H504*(1+W504),IF($I$3=3,AC504,"--"))),0)</f>
        <v>0</v>
      </c>
      <c r="J504" s="1353">
        <f t="shared" ref="J504:J535" si="150">IFERROR(IF($I$3=1,I504*(1+R504),IF($I$3=2,I504*(1+X504),IF($I$3=3,AD504,"--"))),0)</f>
        <v>0</v>
      </c>
      <c r="M504" s="1324" t="str">
        <f t="shared" ref="M504:M557" si="151">B504</f>
        <v>General Administration Salaries &amp; Wages</v>
      </c>
      <c r="N504" s="1386">
        <f t="shared" ref="N504:N557" si="152">E504</f>
        <v>0</v>
      </c>
      <c r="O504" s="1386">
        <f t="shared" ref="O504:R519" si="153">N504</f>
        <v>0</v>
      </c>
      <c r="P504" s="1386">
        <f t="shared" si="153"/>
        <v>0</v>
      </c>
      <c r="Q504" s="1386">
        <f t="shared" si="153"/>
        <v>0</v>
      </c>
      <c r="R504" s="1386">
        <f t="shared" si="153"/>
        <v>0</v>
      </c>
      <c r="T504" s="1387">
        <v>0.02</v>
      </c>
      <c r="U504" s="1387">
        <v>0.02</v>
      </c>
      <c r="V504" s="1387">
        <v>0.02</v>
      </c>
      <c r="W504" s="1387">
        <v>0.02</v>
      </c>
      <c r="X504" s="1387">
        <v>0.02</v>
      </c>
      <c r="Y504" s="1367"/>
      <c r="Z504" s="1388">
        <v>0</v>
      </c>
      <c r="AA504" s="1388">
        <v>0</v>
      </c>
      <c r="AB504" s="1388">
        <v>0</v>
      </c>
      <c r="AC504" s="1388">
        <v>0</v>
      </c>
      <c r="AD504" s="1388">
        <v>0</v>
      </c>
      <c r="AK504" s="1354">
        <f t="shared" si="140"/>
        <v>0</v>
      </c>
      <c r="AL504" s="1352">
        <f t="shared" ref="AL504:AL535" si="154">RANK(AM504,$AM$504:$AM$1172,0)</f>
        <v>53</v>
      </c>
      <c r="AM504" s="1354">
        <f t="shared" ref="AM504:AM567" si="155">J504-D504</f>
        <v>0</v>
      </c>
      <c r="AN504" s="1352" t="str">
        <f t="shared" ref="AN504:AN567" si="156">B504</f>
        <v>General Administration Salaries &amp; Wages</v>
      </c>
    </row>
    <row r="505" spans="1:40" x14ac:dyDescent="0.2">
      <c r="A505" s="1324" t="str">
        <f>A504</f>
        <v>20-100</v>
      </c>
      <c r="B505" s="1324" t="s">
        <v>5793</v>
      </c>
      <c r="C505" s="1353">
        <f>'Key Metrics'!$D$168</f>
        <v>0</v>
      </c>
      <c r="D505" s="1353">
        <f>'Key Metrics'!$H$168</f>
        <v>100</v>
      </c>
      <c r="E505" s="1351">
        <f t="shared" si="145"/>
        <v>0</v>
      </c>
      <c r="F505" s="1353">
        <f t="shared" si="146"/>
        <v>102</v>
      </c>
      <c r="G505" s="1353">
        <f t="shared" si="147"/>
        <v>104.04</v>
      </c>
      <c r="H505" s="1353">
        <f t="shared" si="148"/>
        <v>106.1208</v>
      </c>
      <c r="I505" s="1353">
        <f t="shared" si="149"/>
        <v>108.243216</v>
      </c>
      <c r="J505" s="1353">
        <f t="shared" si="150"/>
        <v>110.40808032000001</v>
      </c>
      <c r="M505" s="1324" t="str">
        <f t="shared" si="151"/>
        <v>General Administration Other Expenses</v>
      </c>
      <c r="N505" s="1368">
        <f t="shared" si="152"/>
        <v>0</v>
      </c>
      <c r="O505" s="1368">
        <f t="shared" si="153"/>
        <v>0</v>
      </c>
      <c r="P505" s="1368">
        <f t="shared" si="153"/>
        <v>0</v>
      </c>
      <c r="Q505" s="1368">
        <f t="shared" si="153"/>
        <v>0</v>
      </c>
      <c r="R505" s="1368">
        <f t="shared" si="153"/>
        <v>0</v>
      </c>
      <c r="T505" s="1369">
        <v>0.02</v>
      </c>
      <c r="U505" s="1369">
        <v>0.02</v>
      </c>
      <c r="V505" s="1369">
        <v>0.02</v>
      </c>
      <c r="W505" s="1369">
        <v>0.02</v>
      </c>
      <c r="X505" s="1369">
        <v>0.02</v>
      </c>
      <c r="Y505" s="1367"/>
      <c r="Z505" s="1370">
        <v>0</v>
      </c>
      <c r="AA505" s="1370">
        <v>0</v>
      </c>
      <c r="AB505" s="1370">
        <v>0</v>
      </c>
      <c r="AC505" s="1370">
        <v>0</v>
      </c>
      <c r="AD505" s="1370">
        <v>0</v>
      </c>
      <c r="AK505" s="1354">
        <f t="shared" si="140"/>
        <v>630.81209631999991</v>
      </c>
      <c r="AL505" s="1352">
        <f t="shared" si="154"/>
        <v>44</v>
      </c>
      <c r="AM505" s="1354">
        <f t="shared" si="155"/>
        <v>10.40808032000001</v>
      </c>
      <c r="AN505" s="1352" t="str">
        <f t="shared" si="156"/>
        <v>General Administration Other Expenses</v>
      </c>
    </row>
    <row r="506" spans="1:40" x14ac:dyDescent="0.2">
      <c r="A506" s="1324" t="str">
        <f>A505</f>
        <v>20-100</v>
      </c>
      <c r="B506" s="1324" t="s">
        <v>5794</v>
      </c>
      <c r="C506" s="1353">
        <f>'Key Metrics'!$E$168</f>
        <v>0</v>
      </c>
      <c r="D506" s="1353">
        <f>'Key Metrics'!$I$168</f>
        <v>0</v>
      </c>
      <c r="E506" s="1351">
        <f t="shared" si="145"/>
        <v>0</v>
      </c>
      <c r="F506" s="1353">
        <f t="shared" si="146"/>
        <v>0</v>
      </c>
      <c r="G506" s="1353">
        <f t="shared" si="147"/>
        <v>0</v>
      </c>
      <c r="H506" s="1353">
        <f t="shared" si="148"/>
        <v>0</v>
      </c>
      <c r="I506" s="1353">
        <f t="shared" si="149"/>
        <v>0</v>
      </c>
      <c r="J506" s="1353">
        <f t="shared" si="150"/>
        <v>0</v>
      </c>
      <c r="M506" s="1324" t="str">
        <f t="shared" si="151"/>
        <v>General Administration Unclassified</v>
      </c>
      <c r="N506" s="1368">
        <f t="shared" si="152"/>
        <v>0</v>
      </c>
      <c r="O506" s="1368">
        <f t="shared" si="153"/>
        <v>0</v>
      </c>
      <c r="P506" s="1368">
        <f t="shared" si="153"/>
        <v>0</v>
      </c>
      <c r="Q506" s="1368">
        <f t="shared" si="153"/>
        <v>0</v>
      </c>
      <c r="R506" s="1368">
        <f t="shared" si="153"/>
        <v>0</v>
      </c>
      <c r="T506" s="1369">
        <v>0.02</v>
      </c>
      <c r="U506" s="1369">
        <v>0.02</v>
      </c>
      <c r="V506" s="1369">
        <v>0.02</v>
      </c>
      <c r="W506" s="1369">
        <v>0.02</v>
      </c>
      <c r="X506" s="1369">
        <v>0.02</v>
      </c>
      <c r="Y506" s="1367"/>
      <c r="Z506" s="1370">
        <v>0</v>
      </c>
      <c r="AA506" s="1370">
        <v>0</v>
      </c>
      <c r="AB506" s="1370">
        <v>0</v>
      </c>
      <c r="AC506" s="1370">
        <v>0</v>
      </c>
      <c r="AD506" s="1370">
        <v>0</v>
      </c>
      <c r="AK506" s="1354">
        <f t="shared" si="140"/>
        <v>0</v>
      </c>
      <c r="AL506" s="1352">
        <f t="shared" si="154"/>
        <v>53</v>
      </c>
      <c r="AM506" s="1354">
        <f t="shared" si="155"/>
        <v>0</v>
      </c>
      <c r="AN506" s="1352" t="str">
        <f t="shared" si="156"/>
        <v>General Administration Unclassified</v>
      </c>
    </row>
    <row r="507" spans="1:40" x14ac:dyDescent="0.2">
      <c r="A507" s="1324" t="s">
        <v>5074</v>
      </c>
      <c r="B507" s="1324" t="s">
        <v>5644</v>
      </c>
      <c r="C507" s="1353">
        <f>'Key Metrics'!$C$170</f>
        <v>0</v>
      </c>
      <c r="D507" s="1353">
        <f>'Key Metrics'!$G$170</f>
        <v>0</v>
      </c>
      <c r="E507" s="1351">
        <f t="shared" si="145"/>
        <v>0</v>
      </c>
      <c r="F507" s="1353">
        <f t="shared" si="146"/>
        <v>0</v>
      </c>
      <c r="G507" s="1353">
        <f t="shared" si="147"/>
        <v>0</v>
      </c>
      <c r="H507" s="1353">
        <f t="shared" si="148"/>
        <v>0</v>
      </c>
      <c r="I507" s="1353">
        <f t="shared" si="149"/>
        <v>0</v>
      </c>
      <c r="J507" s="1353">
        <f t="shared" si="150"/>
        <v>0</v>
      </c>
      <c r="M507" s="1324" t="str">
        <f t="shared" si="151"/>
        <v>"User Defined" General Government Salaries &amp; Wages</v>
      </c>
      <c r="N507" s="1368">
        <f t="shared" si="152"/>
        <v>0</v>
      </c>
      <c r="O507" s="1368">
        <f t="shared" si="153"/>
        <v>0</v>
      </c>
      <c r="P507" s="1368">
        <f t="shared" si="153"/>
        <v>0</v>
      </c>
      <c r="Q507" s="1368">
        <f t="shared" si="153"/>
        <v>0</v>
      </c>
      <c r="R507" s="1368">
        <f t="shared" si="153"/>
        <v>0</v>
      </c>
      <c r="T507" s="1369">
        <v>0.02</v>
      </c>
      <c r="U507" s="1369">
        <v>0.02</v>
      </c>
      <c r="V507" s="1369">
        <v>0.02</v>
      </c>
      <c r="W507" s="1369">
        <v>0.02</v>
      </c>
      <c r="X507" s="1369">
        <v>0.02</v>
      </c>
      <c r="Y507" s="1367"/>
      <c r="Z507" s="1370">
        <v>0</v>
      </c>
      <c r="AA507" s="1370">
        <v>0</v>
      </c>
      <c r="AB507" s="1370">
        <v>0</v>
      </c>
      <c r="AC507" s="1370">
        <v>0</v>
      </c>
      <c r="AD507" s="1370">
        <v>0</v>
      </c>
      <c r="AK507" s="1354">
        <f t="shared" si="140"/>
        <v>0</v>
      </c>
      <c r="AL507" s="1352">
        <f t="shared" si="154"/>
        <v>53</v>
      </c>
      <c r="AM507" s="1354">
        <f t="shared" si="155"/>
        <v>0</v>
      </c>
      <c r="AN507" s="1352" t="str">
        <f t="shared" si="156"/>
        <v>"User Defined" General Government Salaries &amp; Wages</v>
      </c>
    </row>
    <row r="508" spans="1:40" x14ac:dyDescent="0.2">
      <c r="A508" s="1324" t="str">
        <f>A507</f>
        <v>20-101</v>
      </c>
      <c r="B508" s="1324" t="s">
        <v>5795</v>
      </c>
      <c r="C508" s="1353">
        <f>'Key Metrics'!$D$170</f>
        <v>0</v>
      </c>
      <c r="D508" s="1353">
        <f>'Key Metrics'!$H$170</f>
        <v>0</v>
      </c>
      <c r="E508" s="1351">
        <f t="shared" si="145"/>
        <v>0</v>
      </c>
      <c r="F508" s="1353">
        <f t="shared" si="146"/>
        <v>0</v>
      </c>
      <c r="G508" s="1353">
        <f t="shared" si="147"/>
        <v>0</v>
      </c>
      <c r="H508" s="1353">
        <f t="shared" si="148"/>
        <v>0</v>
      </c>
      <c r="I508" s="1353">
        <f t="shared" si="149"/>
        <v>0</v>
      </c>
      <c r="J508" s="1353">
        <f t="shared" si="150"/>
        <v>0</v>
      </c>
      <c r="M508" s="1324" t="str">
        <f t="shared" si="151"/>
        <v>"User Defined" General Government Other Expenses</v>
      </c>
      <c r="N508" s="1368">
        <f t="shared" si="152"/>
        <v>0</v>
      </c>
      <c r="O508" s="1368">
        <f t="shared" si="153"/>
        <v>0</v>
      </c>
      <c r="P508" s="1368">
        <f t="shared" si="153"/>
        <v>0</v>
      </c>
      <c r="Q508" s="1368">
        <f t="shared" si="153"/>
        <v>0</v>
      </c>
      <c r="R508" s="1368">
        <f t="shared" si="153"/>
        <v>0</v>
      </c>
      <c r="T508" s="1369">
        <v>0.02</v>
      </c>
      <c r="U508" s="1369">
        <v>0.02</v>
      </c>
      <c r="V508" s="1369">
        <v>0.02</v>
      </c>
      <c r="W508" s="1369">
        <v>0.02</v>
      </c>
      <c r="X508" s="1369">
        <v>0.02</v>
      </c>
      <c r="Y508" s="1367"/>
      <c r="Z508" s="1370">
        <v>0</v>
      </c>
      <c r="AA508" s="1370">
        <v>0</v>
      </c>
      <c r="AB508" s="1370">
        <v>0</v>
      </c>
      <c r="AC508" s="1370">
        <v>0</v>
      </c>
      <c r="AD508" s="1370">
        <v>0</v>
      </c>
      <c r="AK508" s="1354">
        <f t="shared" si="140"/>
        <v>0</v>
      </c>
      <c r="AL508" s="1352">
        <f t="shared" si="154"/>
        <v>53</v>
      </c>
      <c r="AM508" s="1354">
        <f t="shared" si="155"/>
        <v>0</v>
      </c>
      <c r="AN508" s="1352" t="str">
        <f t="shared" si="156"/>
        <v>"User Defined" General Government Other Expenses</v>
      </c>
    </row>
    <row r="509" spans="1:40" x14ac:dyDescent="0.2">
      <c r="A509" s="1324" t="str">
        <f>A508</f>
        <v>20-101</v>
      </c>
      <c r="B509" s="1324" t="s">
        <v>5796</v>
      </c>
      <c r="C509" s="1353">
        <f>'Key Metrics'!$E$170</f>
        <v>0</v>
      </c>
      <c r="D509" s="1353">
        <f>'Key Metrics'!$I$170</f>
        <v>0</v>
      </c>
      <c r="E509" s="1351">
        <f t="shared" si="145"/>
        <v>0</v>
      </c>
      <c r="F509" s="1353">
        <f t="shared" si="146"/>
        <v>0</v>
      </c>
      <c r="G509" s="1353">
        <f t="shared" si="147"/>
        <v>0</v>
      </c>
      <c r="H509" s="1353">
        <f t="shared" si="148"/>
        <v>0</v>
      </c>
      <c r="I509" s="1353">
        <f t="shared" si="149"/>
        <v>0</v>
      </c>
      <c r="J509" s="1353">
        <f t="shared" si="150"/>
        <v>0</v>
      </c>
      <c r="M509" s="1324" t="str">
        <f t="shared" si="151"/>
        <v>"User Defined" General Government Unclassified</v>
      </c>
      <c r="N509" s="1368">
        <f t="shared" si="152"/>
        <v>0</v>
      </c>
      <c r="O509" s="1368">
        <f t="shared" si="153"/>
        <v>0</v>
      </c>
      <c r="P509" s="1368">
        <f t="shared" si="153"/>
        <v>0</v>
      </c>
      <c r="Q509" s="1368">
        <f t="shared" si="153"/>
        <v>0</v>
      </c>
      <c r="R509" s="1368">
        <f t="shared" si="153"/>
        <v>0</v>
      </c>
      <c r="T509" s="1369">
        <v>0.02</v>
      </c>
      <c r="U509" s="1369">
        <v>0.02</v>
      </c>
      <c r="V509" s="1369">
        <v>0.02</v>
      </c>
      <c r="W509" s="1369">
        <v>0.02</v>
      </c>
      <c r="X509" s="1369">
        <v>0.02</v>
      </c>
      <c r="Y509" s="1367"/>
      <c r="Z509" s="1370">
        <v>0</v>
      </c>
      <c r="AA509" s="1370">
        <v>0</v>
      </c>
      <c r="AB509" s="1370">
        <v>0</v>
      </c>
      <c r="AC509" s="1370">
        <v>0</v>
      </c>
      <c r="AD509" s="1370">
        <v>0</v>
      </c>
      <c r="AK509" s="1354">
        <f t="shared" si="140"/>
        <v>0</v>
      </c>
      <c r="AL509" s="1352">
        <f t="shared" si="154"/>
        <v>53</v>
      </c>
      <c r="AM509" s="1354">
        <f t="shared" si="155"/>
        <v>0</v>
      </c>
      <c r="AN509" s="1352" t="str">
        <f t="shared" si="156"/>
        <v>"User Defined" General Government Unclassified</v>
      </c>
    </row>
    <row r="510" spans="1:40" x14ac:dyDescent="0.2">
      <c r="A510" s="1324" t="s">
        <v>5081</v>
      </c>
      <c r="B510" s="1324" t="s">
        <v>5644</v>
      </c>
      <c r="C510" s="1353">
        <f>'Key Metrics'!$C$171</f>
        <v>0</v>
      </c>
      <c r="D510" s="1353">
        <f>'Key Metrics'!$G$171</f>
        <v>0</v>
      </c>
      <c r="E510" s="1351">
        <f t="shared" si="145"/>
        <v>0</v>
      </c>
      <c r="F510" s="1353">
        <f t="shared" si="146"/>
        <v>0</v>
      </c>
      <c r="G510" s="1353">
        <f t="shared" si="147"/>
        <v>0</v>
      </c>
      <c r="H510" s="1353">
        <f t="shared" si="148"/>
        <v>0</v>
      </c>
      <c r="I510" s="1353">
        <f t="shared" si="149"/>
        <v>0</v>
      </c>
      <c r="J510" s="1353">
        <f t="shared" si="150"/>
        <v>0</v>
      </c>
      <c r="M510" s="1324" t="str">
        <f t="shared" si="151"/>
        <v>"User Defined" General Government Salaries &amp; Wages</v>
      </c>
      <c r="N510" s="1368">
        <f t="shared" si="152"/>
        <v>0</v>
      </c>
      <c r="O510" s="1368">
        <f t="shared" si="153"/>
        <v>0</v>
      </c>
      <c r="P510" s="1368">
        <f t="shared" si="153"/>
        <v>0</v>
      </c>
      <c r="Q510" s="1368">
        <f t="shared" si="153"/>
        <v>0</v>
      </c>
      <c r="R510" s="1368">
        <f t="shared" si="153"/>
        <v>0</v>
      </c>
      <c r="T510" s="1369">
        <v>0.02</v>
      </c>
      <c r="U510" s="1369">
        <v>0.02</v>
      </c>
      <c r="V510" s="1369">
        <v>0.02</v>
      </c>
      <c r="W510" s="1369">
        <v>0.02</v>
      </c>
      <c r="X510" s="1369">
        <v>0.02</v>
      </c>
      <c r="Y510" s="1367"/>
      <c r="Z510" s="1370">
        <v>0</v>
      </c>
      <c r="AA510" s="1370">
        <v>0</v>
      </c>
      <c r="AB510" s="1370">
        <v>0</v>
      </c>
      <c r="AC510" s="1370">
        <v>0</v>
      </c>
      <c r="AD510" s="1370">
        <v>0</v>
      </c>
      <c r="AK510" s="1354">
        <f t="shared" si="140"/>
        <v>0</v>
      </c>
      <c r="AL510" s="1352">
        <f t="shared" si="154"/>
        <v>53</v>
      </c>
      <c r="AM510" s="1354">
        <f t="shared" si="155"/>
        <v>0</v>
      </c>
      <c r="AN510" s="1352" t="str">
        <f t="shared" si="156"/>
        <v>"User Defined" General Government Salaries &amp; Wages</v>
      </c>
    </row>
    <row r="511" spans="1:40" x14ac:dyDescent="0.2">
      <c r="A511" s="1324" t="str">
        <f>A510</f>
        <v>20-102</v>
      </c>
      <c r="B511" s="1324" t="s">
        <v>5795</v>
      </c>
      <c r="C511" s="1353">
        <f>'Key Metrics'!$D$171</f>
        <v>0</v>
      </c>
      <c r="D511" s="1353">
        <f>'Key Metrics'!$H$171</f>
        <v>0</v>
      </c>
      <c r="E511" s="1351">
        <f t="shared" si="145"/>
        <v>0</v>
      </c>
      <c r="F511" s="1353">
        <f t="shared" si="146"/>
        <v>0</v>
      </c>
      <c r="G511" s="1353">
        <f t="shared" si="147"/>
        <v>0</v>
      </c>
      <c r="H511" s="1353">
        <f t="shared" si="148"/>
        <v>0</v>
      </c>
      <c r="I511" s="1353">
        <f t="shared" si="149"/>
        <v>0</v>
      </c>
      <c r="J511" s="1353">
        <f t="shared" si="150"/>
        <v>0</v>
      </c>
      <c r="M511" s="1324" t="str">
        <f t="shared" si="151"/>
        <v>"User Defined" General Government Other Expenses</v>
      </c>
      <c r="N511" s="1368">
        <f t="shared" si="152"/>
        <v>0</v>
      </c>
      <c r="O511" s="1368">
        <f t="shared" si="153"/>
        <v>0</v>
      </c>
      <c r="P511" s="1368">
        <f t="shared" si="153"/>
        <v>0</v>
      </c>
      <c r="Q511" s="1368">
        <f t="shared" si="153"/>
        <v>0</v>
      </c>
      <c r="R511" s="1368">
        <f t="shared" si="153"/>
        <v>0</v>
      </c>
      <c r="T511" s="1369">
        <v>0.02</v>
      </c>
      <c r="U511" s="1369">
        <v>0.02</v>
      </c>
      <c r="V511" s="1369">
        <v>0.02</v>
      </c>
      <c r="W511" s="1369">
        <v>0.02</v>
      </c>
      <c r="X511" s="1369">
        <v>0.02</v>
      </c>
      <c r="Y511" s="1367"/>
      <c r="Z511" s="1370">
        <v>0</v>
      </c>
      <c r="AA511" s="1370">
        <v>0</v>
      </c>
      <c r="AB511" s="1370">
        <v>0</v>
      </c>
      <c r="AC511" s="1370">
        <v>0</v>
      </c>
      <c r="AD511" s="1370">
        <v>0</v>
      </c>
      <c r="AK511" s="1354">
        <f t="shared" si="140"/>
        <v>0</v>
      </c>
      <c r="AL511" s="1352">
        <f t="shared" si="154"/>
        <v>53</v>
      </c>
      <c r="AM511" s="1354">
        <f t="shared" si="155"/>
        <v>0</v>
      </c>
      <c r="AN511" s="1352" t="str">
        <f t="shared" si="156"/>
        <v>"User Defined" General Government Other Expenses</v>
      </c>
    </row>
    <row r="512" spans="1:40" x14ac:dyDescent="0.2">
      <c r="A512" s="1324" t="str">
        <f>A511</f>
        <v>20-102</v>
      </c>
      <c r="B512" s="1324" t="s">
        <v>5796</v>
      </c>
      <c r="C512" s="1353">
        <f>'Key Metrics'!$E$171</f>
        <v>0</v>
      </c>
      <c r="D512" s="1353">
        <f>'Key Metrics'!$I$171</f>
        <v>0</v>
      </c>
      <c r="E512" s="1351">
        <f t="shared" si="145"/>
        <v>0</v>
      </c>
      <c r="F512" s="1353">
        <f t="shared" si="146"/>
        <v>0</v>
      </c>
      <c r="G512" s="1353">
        <f t="shared" si="147"/>
        <v>0</v>
      </c>
      <c r="H512" s="1353">
        <f t="shared" si="148"/>
        <v>0</v>
      </c>
      <c r="I512" s="1353">
        <f t="shared" si="149"/>
        <v>0</v>
      </c>
      <c r="J512" s="1353">
        <f t="shared" si="150"/>
        <v>0</v>
      </c>
      <c r="M512" s="1324" t="str">
        <f t="shared" si="151"/>
        <v>"User Defined" General Government Unclassified</v>
      </c>
      <c r="N512" s="1368">
        <f t="shared" si="152"/>
        <v>0</v>
      </c>
      <c r="O512" s="1368">
        <f t="shared" si="153"/>
        <v>0</v>
      </c>
      <c r="P512" s="1368">
        <f t="shared" si="153"/>
        <v>0</v>
      </c>
      <c r="Q512" s="1368">
        <f t="shared" si="153"/>
        <v>0</v>
      </c>
      <c r="R512" s="1368">
        <f t="shared" si="153"/>
        <v>0</v>
      </c>
      <c r="T512" s="1369">
        <v>0.02</v>
      </c>
      <c r="U512" s="1369">
        <v>0.02</v>
      </c>
      <c r="V512" s="1369">
        <v>0.02</v>
      </c>
      <c r="W512" s="1369">
        <v>0.02</v>
      </c>
      <c r="X512" s="1369">
        <v>0.02</v>
      </c>
      <c r="Y512" s="1367"/>
      <c r="Z512" s="1370">
        <v>0</v>
      </c>
      <c r="AA512" s="1370">
        <v>0</v>
      </c>
      <c r="AB512" s="1370">
        <v>0</v>
      </c>
      <c r="AC512" s="1370">
        <v>0</v>
      </c>
      <c r="AD512" s="1370">
        <v>0</v>
      </c>
      <c r="AK512" s="1354">
        <f t="shared" si="140"/>
        <v>0</v>
      </c>
      <c r="AL512" s="1352">
        <f t="shared" si="154"/>
        <v>53</v>
      </c>
      <c r="AM512" s="1354">
        <f t="shared" si="155"/>
        <v>0</v>
      </c>
      <c r="AN512" s="1352" t="str">
        <f t="shared" si="156"/>
        <v>"User Defined" General Government Unclassified</v>
      </c>
    </row>
    <row r="513" spans="1:40" x14ac:dyDescent="0.2">
      <c r="A513" s="1324" t="s">
        <v>5088</v>
      </c>
      <c r="B513" s="1324" t="s">
        <v>5644</v>
      </c>
      <c r="C513" s="1353">
        <f>'Key Metrics'!$C$172</f>
        <v>0</v>
      </c>
      <c r="D513" s="1353">
        <f>'Key Metrics'!$G$172</f>
        <v>0</v>
      </c>
      <c r="E513" s="1351">
        <f t="shared" si="145"/>
        <v>0</v>
      </c>
      <c r="F513" s="1353">
        <f t="shared" si="146"/>
        <v>0</v>
      </c>
      <c r="G513" s="1353">
        <f t="shared" si="147"/>
        <v>0</v>
      </c>
      <c r="H513" s="1353">
        <f t="shared" si="148"/>
        <v>0</v>
      </c>
      <c r="I513" s="1353">
        <f t="shared" si="149"/>
        <v>0</v>
      </c>
      <c r="J513" s="1353">
        <f t="shared" si="150"/>
        <v>0</v>
      </c>
      <c r="M513" s="1324" t="str">
        <f t="shared" si="151"/>
        <v>"User Defined" General Government Salaries &amp; Wages</v>
      </c>
      <c r="N513" s="1368">
        <f t="shared" si="152"/>
        <v>0</v>
      </c>
      <c r="O513" s="1368">
        <f t="shared" si="153"/>
        <v>0</v>
      </c>
      <c r="P513" s="1368">
        <f t="shared" si="153"/>
        <v>0</v>
      </c>
      <c r="Q513" s="1368">
        <f t="shared" si="153"/>
        <v>0</v>
      </c>
      <c r="R513" s="1368">
        <f t="shared" si="153"/>
        <v>0</v>
      </c>
      <c r="T513" s="1369">
        <v>0.02</v>
      </c>
      <c r="U513" s="1369">
        <v>0.02</v>
      </c>
      <c r="V513" s="1369">
        <v>0.02</v>
      </c>
      <c r="W513" s="1369">
        <v>0.02</v>
      </c>
      <c r="X513" s="1369">
        <v>0.02</v>
      </c>
      <c r="Y513" s="1367"/>
      <c r="Z513" s="1370">
        <v>0</v>
      </c>
      <c r="AA513" s="1370">
        <v>0</v>
      </c>
      <c r="AB513" s="1370">
        <v>0</v>
      </c>
      <c r="AC513" s="1370">
        <v>0</v>
      </c>
      <c r="AD513" s="1370">
        <v>0</v>
      </c>
      <c r="AK513" s="1354">
        <f t="shared" si="140"/>
        <v>0</v>
      </c>
      <c r="AL513" s="1352">
        <f t="shared" si="154"/>
        <v>53</v>
      </c>
      <c r="AM513" s="1354">
        <f t="shared" si="155"/>
        <v>0</v>
      </c>
      <c r="AN513" s="1352" t="str">
        <f t="shared" si="156"/>
        <v>"User Defined" General Government Salaries &amp; Wages</v>
      </c>
    </row>
    <row r="514" spans="1:40" x14ac:dyDescent="0.2">
      <c r="A514" s="1324" t="str">
        <f>A513</f>
        <v>20-103</v>
      </c>
      <c r="B514" s="1324" t="s">
        <v>5795</v>
      </c>
      <c r="C514" s="1353">
        <f>'Key Metrics'!$D$172</f>
        <v>0</v>
      </c>
      <c r="D514" s="1353">
        <f>'Key Metrics'!$H$172</f>
        <v>0</v>
      </c>
      <c r="E514" s="1351">
        <f t="shared" si="145"/>
        <v>0</v>
      </c>
      <c r="F514" s="1353">
        <f t="shared" si="146"/>
        <v>0</v>
      </c>
      <c r="G514" s="1353">
        <f t="shared" si="147"/>
        <v>0</v>
      </c>
      <c r="H514" s="1353">
        <f t="shared" si="148"/>
        <v>0</v>
      </c>
      <c r="I514" s="1353">
        <f t="shared" si="149"/>
        <v>0</v>
      </c>
      <c r="J514" s="1353">
        <f t="shared" si="150"/>
        <v>0</v>
      </c>
      <c r="M514" s="1324" t="str">
        <f t="shared" si="151"/>
        <v>"User Defined" General Government Other Expenses</v>
      </c>
      <c r="N514" s="1368">
        <f t="shared" si="152"/>
        <v>0</v>
      </c>
      <c r="O514" s="1368">
        <f t="shared" si="153"/>
        <v>0</v>
      </c>
      <c r="P514" s="1368">
        <f t="shared" si="153"/>
        <v>0</v>
      </c>
      <c r="Q514" s="1368">
        <f t="shared" si="153"/>
        <v>0</v>
      </c>
      <c r="R514" s="1368">
        <f t="shared" si="153"/>
        <v>0</v>
      </c>
      <c r="T514" s="1369">
        <v>0.02</v>
      </c>
      <c r="U514" s="1369">
        <v>0.02</v>
      </c>
      <c r="V514" s="1369">
        <v>0.02</v>
      </c>
      <c r="W514" s="1369">
        <v>0.02</v>
      </c>
      <c r="X514" s="1369">
        <v>0.02</v>
      </c>
      <c r="Y514" s="1367"/>
      <c r="Z514" s="1370">
        <v>0</v>
      </c>
      <c r="AA514" s="1370">
        <v>0</v>
      </c>
      <c r="AB514" s="1370">
        <v>0</v>
      </c>
      <c r="AC514" s="1370">
        <v>0</v>
      </c>
      <c r="AD514" s="1370">
        <v>0</v>
      </c>
      <c r="AK514" s="1354">
        <f t="shared" si="140"/>
        <v>0</v>
      </c>
      <c r="AL514" s="1352">
        <f t="shared" si="154"/>
        <v>53</v>
      </c>
      <c r="AM514" s="1354">
        <f t="shared" si="155"/>
        <v>0</v>
      </c>
      <c r="AN514" s="1352" t="str">
        <f t="shared" si="156"/>
        <v>"User Defined" General Government Other Expenses</v>
      </c>
    </row>
    <row r="515" spans="1:40" x14ac:dyDescent="0.2">
      <c r="A515" s="1324" t="str">
        <f>A514</f>
        <v>20-103</v>
      </c>
      <c r="B515" s="1324" t="s">
        <v>5796</v>
      </c>
      <c r="C515" s="1353">
        <f>'Key Metrics'!$E$172</f>
        <v>0</v>
      </c>
      <c r="D515" s="1353">
        <f>'Key Metrics'!$I$172</f>
        <v>0</v>
      </c>
      <c r="E515" s="1351">
        <f t="shared" si="145"/>
        <v>0</v>
      </c>
      <c r="F515" s="1353">
        <f t="shared" si="146"/>
        <v>0</v>
      </c>
      <c r="G515" s="1353">
        <f t="shared" si="147"/>
        <v>0</v>
      </c>
      <c r="H515" s="1353">
        <f t="shared" si="148"/>
        <v>0</v>
      </c>
      <c r="I515" s="1353">
        <f t="shared" si="149"/>
        <v>0</v>
      </c>
      <c r="J515" s="1353">
        <f t="shared" si="150"/>
        <v>0</v>
      </c>
      <c r="M515" s="1324" t="str">
        <f t="shared" si="151"/>
        <v>"User Defined" General Government Unclassified</v>
      </c>
      <c r="N515" s="1368">
        <f t="shared" si="152"/>
        <v>0</v>
      </c>
      <c r="O515" s="1368">
        <f t="shared" si="153"/>
        <v>0</v>
      </c>
      <c r="P515" s="1368">
        <f t="shared" si="153"/>
        <v>0</v>
      </c>
      <c r="Q515" s="1368">
        <f t="shared" si="153"/>
        <v>0</v>
      </c>
      <c r="R515" s="1368">
        <f t="shared" si="153"/>
        <v>0</v>
      </c>
      <c r="T515" s="1369">
        <v>0.02</v>
      </c>
      <c r="U515" s="1369">
        <v>0.02</v>
      </c>
      <c r="V515" s="1369">
        <v>0.02</v>
      </c>
      <c r="W515" s="1369">
        <v>0.02</v>
      </c>
      <c r="X515" s="1369">
        <v>0.02</v>
      </c>
      <c r="Y515" s="1367"/>
      <c r="Z515" s="1370">
        <v>0</v>
      </c>
      <c r="AA515" s="1370">
        <v>0</v>
      </c>
      <c r="AB515" s="1370">
        <v>0</v>
      </c>
      <c r="AC515" s="1370">
        <v>0</v>
      </c>
      <c r="AD515" s="1370">
        <v>0</v>
      </c>
      <c r="AK515" s="1354">
        <f t="shared" si="140"/>
        <v>0</v>
      </c>
      <c r="AL515" s="1352">
        <f t="shared" si="154"/>
        <v>53</v>
      </c>
      <c r="AM515" s="1354">
        <f t="shared" si="155"/>
        <v>0</v>
      </c>
      <c r="AN515" s="1352" t="str">
        <f t="shared" si="156"/>
        <v>"User Defined" General Government Unclassified</v>
      </c>
    </row>
    <row r="516" spans="1:40" x14ac:dyDescent="0.2">
      <c r="A516" s="1324" t="s">
        <v>5094</v>
      </c>
      <c r="B516" s="1324" t="s">
        <v>5644</v>
      </c>
      <c r="C516" s="1353">
        <f>'Key Metrics'!$C$173</f>
        <v>0</v>
      </c>
      <c r="D516" s="1353">
        <f>'Key Metrics'!$G$173</f>
        <v>0</v>
      </c>
      <c r="E516" s="1351">
        <f t="shared" si="145"/>
        <v>0</v>
      </c>
      <c r="F516" s="1353">
        <f t="shared" si="146"/>
        <v>0</v>
      </c>
      <c r="G516" s="1353">
        <f t="shared" si="147"/>
        <v>0</v>
      </c>
      <c r="H516" s="1353">
        <f t="shared" si="148"/>
        <v>0</v>
      </c>
      <c r="I516" s="1353">
        <f t="shared" si="149"/>
        <v>0</v>
      </c>
      <c r="J516" s="1353">
        <f t="shared" si="150"/>
        <v>0</v>
      </c>
      <c r="M516" s="1324" t="str">
        <f t="shared" si="151"/>
        <v>"User Defined" General Government Salaries &amp; Wages</v>
      </c>
      <c r="N516" s="1368">
        <f t="shared" si="152"/>
        <v>0</v>
      </c>
      <c r="O516" s="1368">
        <f t="shared" si="153"/>
        <v>0</v>
      </c>
      <c r="P516" s="1368">
        <f t="shared" si="153"/>
        <v>0</v>
      </c>
      <c r="Q516" s="1368">
        <f t="shared" si="153"/>
        <v>0</v>
      </c>
      <c r="R516" s="1368">
        <f t="shared" si="153"/>
        <v>0</v>
      </c>
      <c r="T516" s="1369">
        <v>0.02</v>
      </c>
      <c r="U516" s="1369">
        <v>0.02</v>
      </c>
      <c r="V516" s="1369">
        <v>0.02</v>
      </c>
      <c r="W516" s="1369">
        <v>0.02</v>
      </c>
      <c r="X516" s="1369">
        <v>0.02</v>
      </c>
      <c r="Y516" s="1367"/>
      <c r="Z516" s="1370">
        <v>0</v>
      </c>
      <c r="AA516" s="1370">
        <v>0</v>
      </c>
      <c r="AB516" s="1370">
        <v>0</v>
      </c>
      <c r="AC516" s="1370">
        <v>0</v>
      </c>
      <c r="AD516" s="1370">
        <v>0</v>
      </c>
      <c r="AK516" s="1354">
        <f t="shared" si="140"/>
        <v>0</v>
      </c>
      <c r="AL516" s="1352">
        <f t="shared" si="154"/>
        <v>53</v>
      </c>
      <c r="AM516" s="1354">
        <f t="shared" si="155"/>
        <v>0</v>
      </c>
      <c r="AN516" s="1352" t="str">
        <f t="shared" si="156"/>
        <v>"User Defined" General Government Salaries &amp; Wages</v>
      </c>
    </row>
    <row r="517" spans="1:40" x14ac:dyDescent="0.2">
      <c r="A517" s="1324" t="str">
        <f>A516</f>
        <v>20-104</v>
      </c>
      <c r="B517" s="1324" t="s">
        <v>5795</v>
      </c>
      <c r="C517" s="1353">
        <f>'Key Metrics'!$D$173</f>
        <v>0</v>
      </c>
      <c r="D517" s="1353">
        <f>'Key Metrics'!$H$173</f>
        <v>0</v>
      </c>
      <c r="E517" s="1351">
        <f t="shared" si="145"/>
        <v>0</v>
      </c>
      <c r="F517" s="1353">
        <f t="shared" si="146"/>
        <v>0</v>
      </c>
      <c r="G517" s="1353">
        <f t="shared" si="147"/>
        <v>0</v>
      </c>
      <c r="H517" s="1353">
        <f t="shared" si="148"/>
        <v>0</v>
      </c>
      <c r="I517" s="1353">
        <f t="shared" si="149"/>
        <v>0</v>
      </c>
      <c r="J517" s="1353">
        <f t="shared" si="150"/>
        <v>0</v>
      </c>
      <c r="M517" s="1324" t="str">
        <f t="shared" si="151"/>
        <v>"User Defined" General Government Other Expenses</v>
      </c>
      <c r="N517" s="1368">
        <f t="shared" si="152"/>
        <v>0</v>
      </c>
      <c r="O517" s="1368">
        <f t="shared" si="153"/>
        <v>0</v>
      </c>
      <c r="P517" s="1368">
        <f t="shared" si="153"/>
        <v>0</v>
      </c>
      <c r="Q517" s="1368">
        <f t="shared" si="153"/>
        <v>0</v>
      </c>
      <c r="R517" s="1368">
        <f t="shared" si="153"/>
        <v>0</v>
      </c>
      <c r="T517" s="1369">
        <v>0.02</v>
      </c>
      <c r="U517" s="1369">
        <v>0.02</v>
      </c>
      <c r="V517" s="1369">
        <v>0.02</v>
      </c>
      <c r="W517" s="1369">
        <v>0.02</v>
      </c>
      <c r="X517" s="1369">
        <v>0.02</v>
      </c>
      <c r="Y517" s="1367"/>
      <c r="Z517" s="1370">
        <v>0</v>
      </c>
      <c r="AA517" s="1370">
        <v>0</v>
      </c>
      <c r="AB517" s="1370">
        <v>0</v>
      </c>
      <c r="AC517" s="1370">
        <v>0</v>
      </c>
      <c r="AD517" s="1370">
        <v>0</v>
      </c>
      <c r="AK517" s="1354">
        <f t="shared" si="140"/>
        <v>0</v>
      </c>
      <c r="AL517" s="1352">
        <f t="shared" si="154"/>
        <v>53</v>
      </c>
      <c r="AM517" s="1354">
        <f t="shared" si="155"/>
        <v>0</v>
      </c>
      <c r="AN517" s="1352" t="str">
        <f t="shared" si="156"/>
        <v>"User Defined" General Government Other Expenses</v>
      </c>
    </row>
    <row r="518" spans="1:40" x14ac:dyDescent="0.2">
      <c r="A518" s="1324" t="str">
        <f>A517</f>
        <v>20-104</v>
      </c>
      <c r="B518" s="1324" t="s">
        <v>5796</v>
      </c>
      <c r="C518" s="1353">
        <f>'Key Metrics'!$E$173</f>
        <v>0</v>
      </c>
      <c r="D518" s="1353">
        <f>'Key Metrics'!$I$173</f>
        <v>0</v>
      </c>
      <c r="E518" s="1351">
        <f t="shared" si="145"/>
        <v>0</v>
      </c>
      <c r="F518" s="1353">
        <f t="shared" si="146"/>
        <v>0</v>
      </c>
      <c r="G518" s="1353">
        <f t="shared" si="147"/>
        <v>0</v>
      </c>
      <c r="H518" s="1353">
        <f t="shared" si="148"/>
        <v>0</v>
      </c>
      <c r="I518" s="1353">
        <f t="shared" si="149"/>
        <v>0</v>
      </c>
      <c r="J518" s="1353">
        <f t="shared" si="150"/>
        <v>0</v>
      </c>
      <c r="M518" s="1324" t="str">
        <f t="shared" si="151"/>
        <v>"User Defined" General Government Unclassified</v>
      </c>
      <c r="N518" s="1368">
        <f t="shared" si="152"/>
        <v>0</v>
      </c>
      <c r="O518" s="1368">
        <f t="shared" si="153"/>
        <v>0</v>
      </c>
      <c r="P518" s="1368">
        <f t="shared" si="153"/>
        <v>0</v>
      </c>
      <c r="Q518" s="1368">
        <f t="shared" si="153"/>
        <v>0</v>
      </c>
      <c r="R518" s="1368">
        <f t="shared" si="153"/>
        <v>0</v>
      </c>
      <c r="T518" s="1369">
        <v>0.02</v>
      </c>
      <c r="U518" s="1369">
        <v>0.02</v>
      </c>
      <c r="V518" s="1369">
        <v>0.02</v>
      </c>
      <c r="W518" s="1369">
        <v>0.02</v>
      </c>
      <c r="X518" s="1369">
        <v>0.02</v>
      </c>
      <c r="Y518" s="1367"/>
      <c r="Z518" s="1370">
        <v>0</v>
      </c>
      <c r="AA518" s="1370">
        <v>0</v>
      </c>
      <c r="AB518" s="1370">
        <v>0</v>
      </c>
      <c r="AC518" s="1370">
        <v>0</v>
      </c>
      <c r="AD518" s="1370">
        <v>0</v>
      </c>
      <c r="AK518" s="1354">
        <f t="shared" si="140"/>
        <v>0</v>
      </c>
      <c r="AL518" s="1352">
        <f t="shared" si="154"/>
        <v>53</v>
      </c>
      <c r="AM518" s="1354">
        <f t="shared" si="155"/>
        <v>0</v>
      </c>
      <c r="AN518" s="1352" t="str">
        <f t="shared" si="156"/>
        <v>"User Defined" General Government Unclassified</v>
      </c>
    </row>
    <row r="519" spans="1:40" x14ac:dyDescent="0.2">
      <c r="A519" s="1324" t="s">
        <v>5100</v>
      </c>
      <c r="B519" s="1324" t="s">
        <v>5645</v>
      </c>
      <c r="C519" s="1353">
        <f>'Key Metrics'!$C$174</f>
        <v>0</v>
      </c>
      <c r="D519" s="1353">
        <f>'Key Metrics'!$G$174</f>
        <v>0</v>
      </c>
      <c r="E519" s="1351">
        <f t="shared" si="145"/>
        <v>0</v>
      </c>
      <c r="F519" s="1353">
        <f t="shared" si="146"/>
        <v>0</v>
      </c>
      <c r="G519" s="1353">
        <f t="shared" si="147"/>
        <v>0</v>
      </c>
      <c r="H519" s="1353">
        <f t="shared" si="148"/>
        <v>0</v>
      </c>
      <c r="I519" s="1353">
        <f t="shared" si="149"/>
        <v>0</v>
      </c>
      <c r="J519" s="1353">
        <f t="shared" si="150"/>
        <v>0</v>
      </c>
      <c r="M519" s="1324" t="str">
        <f t="shared" si="151"/>
        <v>Human Resources (Personnel) Salaries &amp; Wages</v>
      </c>
      <c r="N519" s="1368">
        <f t="shared" si="152"/>
        <v>0</v>
      </c>
      <c r="O519" s="1368">
        <f t="shared" si="153"/>
        <v>0</v>
      </c>
      <c r="P519" s="1368">
        <f t="shared" si="153"/>
        <v>0</v>
      </c>
      <c r="Q519" s="1368">
        <f t="shared" si="153"/>
        <v>0</v>
      </c>
      <c r="R519" s="1368">
        <f t="shared" si="153"/>
        <v>0</v>
      </c>
      <c r="T519" s="1369">
        <v>0.02</v>
      </c>
      <c r="U519" s="1369">
        <v>0.02</v>
      </c>
      <c r="V519" s="1369">
        <v>0.02</v>
      </c>
      <c r="W519" s="1369">
        <v>0.02</v>
      </c>
      <c r="X519" s="1369">
        <v>0.02</v>
      </c>
      <c r="Y519" s="1367"/>
      <c r="Z519" s="1370">
        <v>0</v>
      </c>
      <c r="AA519" s="1370">
        <v>0</v>
      </c>
      <c r="AB519" s="1370">
        <v>0</v>
      </c>
      <c r="AC519" s="1370">
        <v>0</v>
      </c>
      <c r="AD519" s="1370">
        <v>0</v>
      </c>
      <c r="AK519" s="1354">
        <f t="shared" si="140"/>
        <v>0</v>
      </c>
      <c r="AL519" s="1352">
        <f t="shared" si="154"/>
        <v>53</v>
      </c>
      <c r="AM519" s="1354">
        <f t="shared" si="155"/>
        <v>0</v>
      </c>
      <c r="AN519" s="1352" t="str">
        <f t="shared" si="156"/>
        <v>Human Resources (Personnel) Salaries &amp; Wages</v>
      </c>
    </row>
    <row r="520" spans="1:40" x14ac:dyDescent="0.2">
      <c r="A520" s="1324" t="str">
        <f>A519</f>
        <v>20-105</v>
      </c>
      <c r="B520" s="1324" t="s">
        <v>5797</v>
      </c>
      <c r="C520" s="1353">
        <f>'Key Metrics'!$D$174</f>
        <v>0</v>
      </c>
      <c r="D520" s="1353">
        <f>'Key Metrics'!$H$174</f>
        <v>0</v>
      </c>
      <c r="E520" s="1351">
        <f t="shared" si="145"/>
        <v>0</v>
      </c>
      <c r="F520" s="1353">
        <f t="shared" si="146"/>
        <v>0</v>
      </c>
      <c r="G520" s="1353">
        <f t="shared" si="147"/>
        <v>0</v>
      </c>
      <c r="H520" s="1353">
        <f t="shared" si="148"/>
        <v>0</v>
      </c>
      <c r="I520" s="1353">
        <f t="shared" si="149"/>
        <v>0</v>
      </c>
      <c r="J520" s="1353">
        <f t="shared" si="150"/>
        <v>0</v>
      </c>
      <c r="M520" s="1324" t="str">
        <f t="shared" si="151"/>
        <v>Human Resources (Personnel) Other Expenses</v>
      </c>
      <c r="N520" s="1368">
        <f t="shared" si="152"/>
        <v>0</v>
      </c>
      <c r="O520" s="1368">
        <f t="shared" ref="O520:R535" si="157">N520</f>
        <v>0</v>
      </c>
      <c r="P520" s="1368">
        <f t="shared" si="157"/>
        <v>0</v>
      </c>
      <c r="Q520" s="1368">
        <f t="shared" si="157"/>
        <v>0</v>
      </c>
      <c r="R520" s="1368">
        <f t="shared" si="157"/>
        <v>0</v>
      </c>
      <c r="T520" s="1369">
        <v>0.02</v>
      </c>
      <c r="U520" s="1369">
        <v>0.02</v>
      </c>
      <c r="V520" s="1369">
        <v>0.02</v>
      </c>
      <c r="W520" s="1369">
        <v>0.02</v>
      </c>
      <c r="X520" s="1369">
        <v>0.02</v>
      </c>
      <c r="Y520" s="1367"/>
      <c r="Z520" s="1370">
        <v>0</v>
      </c>
      <c r="AA520" s="1370">
        <v>0</v>
      </c>
      <c r="AB520" s="1370">
        <v>0</v>
      </c>
      <c r="AC520" s="1370">
        <v>0</v>
      </c>
      <c r="AD520" s="1370">
        <v>0</v>
      </c>
      <c r="AK520" s="1354">
        <f t="shared" si="140"/>
        <v>0</v>
      </c>
      <c r="AL520" s="1352">
        <f t="shared" si="154"/>
        <v>53</v>
      </c>
      <c r="AM520" s="1354">
        <f t="shared" si="155"/>
        <v>0</v>
      </c>
      <c r="AN520" s="1352" t="str">
        <f t="shared" si="156"/>
        <v>Human Resources (Personnel) Other Expenses</v>
      </c>
    </row>
    <row r="521" spans="1:40" x14ac:dyDescent="0.2">
      <c r="A521" s="1324" t="str">
        <f>A520</f>
        <v>20-105</v>
      </c>
      <c r="B521" s="1324" t="s">
        <v>5798</v>
      </c>
      <c r="C521" s="1353">
        <f>'Key Metrics'!$E$174</f>
        <v>0</v>
      </c>
      <c r="D521" s="1353">
        <f>'Key Metrics'!$I$174</f>
        <v>0</v>
      </c>
      <c r="E521" s="1351">
        <f t="shared" si="145"/>
        <v>0</v>
      </c>
      <c r="F521" s="1353">
        <f t="shared" si="146"/>
        <v>0</v>
      </c>
      <c r="G521" s="1353">
        <f t="shared" si="147"/>
        <v>0</v>
      </c>
      <c r="H521" s="1353">
        <f t="shared" si="148"/>
        <v>0</v>
      </c>
      <c r="I521" s="1353">
        <f t="shared" si="149"/>
        <v>0</v>
      </c>
      <c r="J521" s="1353">
        <f t="shared" si="150"/>
        <v>0</v>
      </c>
      <c r="M521" s="1324" t="str">
        <f t="shared" si="151"/>
        <v>Human Resources (Personnel) Unclassified</v>
      </c>
      <c r="N521" s="1368">
        <f t="shared" si="152"/>
        <v>0</v>
      </c>
      <c r="O521" s="1368">
        <f t="shared" si="157"/>
        <v>0</v>
      </c>
      <c r="P521" s="1368">
        <f t="shared" si="157"/>
        <v>0</v>
      </c>
      <c r="Q521" s="1368">
        <f t="shared" si="157"/>
        <v>0</v>
      </c>
      <c r="R521" s="1368">
        <f t="shared" si="157"/>
        <v>0</v>
      </c>
      <c r="T521" s="1369">
        <v>0.02</v>
      </c>
      <c r="U521" s="1369">
        <v>0.02</v>
      </c>
      <c r="V521" s="1369">
        <v>0.02</v>
      </c>
      <c r="W521" s="1369">
        <v>0.02</v>
      </c>
      <c r="X521" s="1369">
        <v>0.02</v>
      </c>
      <c r="Y521" s="1367"/>
      <c r="Z521" s="1370">
        <v>0</v>
      </c>
      <c r="AA521" s="1370">
        <v>0</v>
      </c>
      <c r="AB521" s="1370">
        <v>0</v>
      </c>
      <c r="AC521" s="1370">
        <v>0</v>
      </c>
      <c r="AD521" s="1370">
        <v>0</v>
      </c>
      <c r="AK521" s="1354">
        <f t="shared" si="140"/>
        <v>0</v>
      </c>
      <c r="AL521" s="1352">
        <f t="shared" si="154"/>
        <v>53</v>
      </c>
      <c r="AM521" s="1354">
        <f t="shared" si="155"/>
        <v>0</v>
      </c>
      <c r="AN521" s="1352" t="str">
        <f t="shared" si="156"/>
        <v>Human Resources (Personnel) Unclassified</v>
      </c>
    </row>
    <row r="522" spans="1:40" x14ac:dyDescent="0.2">
      <c r="A522" s="1324" t="s">
        <v>5105</v>
      </c>
      <c r="B522" s="1324" t="s">
        <v>5646</v>
      </c>
      <c r="C522" s="1353">
        <f>'Key Metrics'!$C$175</f>
        <v>6900</v>
      </c>
      <c r="D522" s="1353">
        <f>'Key Metrics'!$G$175</f>
        <v>7000</v>
      </c>
      <c r="E522" s="1351">
        <f t="shared" si="145"/>
        <v>1.449275362318847E-2</v>
      </c>
      <c r="F522" s="1353">
        <f t="shared" si="146"/>
        <v>7140</v>
      </c>
      <c r="G522" s="1353">
        <f t="shared" si="147"/>
        <v>7282.8</v>
      </c>
      <c r="H522" s="1353">
        <f t="shared" si="148"/>
        <v>7428.4560000000001</v>
      </c>
      <c r="I522" s="1353">
        <f t="shared" si="149"/>
        <v>7577.0251200000002</v>
      </c>
      <c r="J522" s="1353">
        <f t="shared" si="150"/>
        <v>7728.5656224000004</v>
      </c>
      <c r="M522" s="1324" t="str">
        <f t="shared" si="151"/>
        <v>Mayor/Governing Body Salaries &amp; Wages</v>
      </c>
      <c r="N522" s="1368">
        <f t="shared" si="152"/>
        <v>1.449275362318847E-2</v>
      </c>
      <c r="O522" s="1368">
        <f t="shared" si="157"/>
        <v>1.449275362318847E-2</v>
      </c>
      <c r="P522" s="1368">
        <f t="shared" si="157"/>
        <v>1.449275362318847E-2</v>
      </c>
      <c r="Q522" s="1368">
        <f t="shared" si="157"/>
        <v>1.449275362318847E-2</v>
      </c>
      <c r="R522" s="1368">
        <f t="shared" si="157"/>
        <v>1.449275362318847E-2</v>
      </c>
      <c r="T522" s="1369">
        <v>0.02</v>
      </c>
      <c r="U522" s="1369">
        <v>0.02</v>
      </c>
      <c r="V522" s="1369">
        <v>0.02</v>
      </c>
      <c r="W522" s="1369">
        <v>0.02</v>
      </c>
      <c r="X522" s="1369">
        <v>0.02</v>
      </c>
      <c r="Y522" s="1367"/>
      <c r="Z522" s="1370">
        <v>0</v>
      </c>
      <c r="AA522" s="1370">
        <v>0</v>
      </c>
      <c r="AB522" s="1370">
        <v>0</v>
      </c>
      <c r="AC522" s="1370">
        <v>0</v>
      </c>
      <c r="AD522" s="1370">
        <v>0</v>
      </c>
      <c r="AK522" s="1354">
        <f t="shared" si="140"/>
        <v>51056.846742399997</v>
      </c>
      <c r="AL522" s="1352">
        <f t="shared" si="154"/>
        <v>17</v>
      </c>
      <c r="AM522" s="1354">
        <f t="shared" si="155"/>
        <v>728.56562240000039</v>
      </c>
      <c r="AN522" s="1352" t="str">
        <f t="shared" si="156"/>
        <v>Mayor/Governing Body Salaries &amp; Wages</v>
      </c>
    </row>
    <row r="523" spans="1:40" x14ac:dyDescent="0.2">
      <c r="A523" s="1324" t="str">
        <f>A522</f>
        <v>20-110</v>
      </c>
      <c r="B523" s="1324" t="s">
        <v>5799</v>
      </c>
      <c r="C523" s="1353">
        <f>'Key Metrics'!$D$175</f>
        <v>0</v>
      </c>
      <c r="D523" s="1353">
        <f>'Key Metrics'!$H$175</f>
        <v>700</v>
      </c>
      <c r="E523" s="1351">
        <f t="shared" si="145"/>
        <v>0</v>
      </c>
      <c r="F523" s="1353">
        <f t="shared" si="146"/>
        <v>714</v>
      </c>
      <c r="G523" s="1353">
        <f t="shared" si="147"/>
        <v>728.28</v>
      </c>
      <c r="H523" s="1353">
        <f t="shared" si="148"/>
        <v>742.84559999999999</v>
      </c>
      <c r="I523" s="1353">
        <f t="shared" si="149"/>
        <v>757.70251199999996</v>
      </c>
      <c r="J523" s="1353">
        <f t="shared" si="150"/>
        <v>772.85656224000002</v>
      </c>
      <c r="M523" s="1324" t="str">
        <f t="shared" si="151"/>
        <v>Mayor/Governing Body Other Expenses</v>
      </c>
      <c r="N523" s="1368">
        <f t="shared" si="152"/>
        <v>0</v>
      </c>
      <c r="O523" s="1368">
        <f t="shared" si="157"/>
        <v>0</v>
      </c>
      <c r="P523" s="1368">
        <f t="shared" si="157"/>
        <v>0</v>
      </c>
      <c r="Q523" s="1368">
        <f t="shared" si="157"/>
        <v>0</v>
      </c>
      <c r="R523" s="1368">
        <f t="shared" si="157"/>
        <v>0</v>
      </c>
      <c r="T523" s="1369">
        <v>0.02</v>
      </c>
      <c r="U523" s="1369">
        <v>0.02</v>
      </c>
      <c r="V523" s="1369">
        <v>0.02</v>
      </c>
      <c r="W523" s="1369">
        <v>0.02</v>
      </c>
      <c r="X523" s="1369">
        <v>0.02</v>
      </c>
      <c r="Y523" s="1367"/>
      <c r="Z523" s="1370">
        <v>0</v>
      </c>
      <c r="AA523" s="1370">
        <v>0</v>
      </c>
      <c r="AB523" s="1370">
        <v>0</v>
      </c>
      <c r="AC523" s="1370">
        <v>0</v>
      </c>
      <c r="AD523" s="1370">
        <v>0</v>
      </c>
      <c r="AK523" s="1354">
        <f t="shared" si="140"/>
        <v>4415.6846742399994</v>
      </c>
      <c r="AL523" s="1352">
        <f t="shared" si="154"/>
        <v>39</v>
      </c>
      <c r="AM523" s="1354">
        <f t="shared" si="155"/>
        <v>72.856562240000017</v>
      </c>
      <c r="AN523" s="1352" t="str">
        <f t="shared" si="156"/>
        <v>Mayor/Governing Body Other Expenses</v>
      </c>
    </row>
    <row r="524" spans="1:40" x14ac:dyDescent="0.2">
      <c r="A524" s="1324" t="str">
        <f>A523</f>
        <v>20-110</v>
      </c>
      <c r="B524" s="1324" t="s">
        <v>5800</v>
      </c>
      <c r="C524" s="1353">
        <f>'Key Metrics'!$E$175</f>
        <v>0</v>
      </c>
      <c r="D524" s="1353">
        <f>'Key Metrics'!$I$175</f>
        <v>0</v>
      </c>
      <c r="E524" s="1351">
        <f t="shared" si="145"/>
        <v>0</v>
      </c>
      <c r="F524" s="1353">
        <f t="shared" si="146"/>
        <v>0</v>
      </c>
      <c r="G524" s="1353">
        <f t="shared" si="147"/>
        <v>0</v>
      </c>
      <c r="H524" s="1353">
        <f t="shared" si="148"/>
        <v>0</v>
      </c>
      <c r="I524" s="1353">
        <f t="shared" si="149"/>
        <v>0</v>
      </c>
      <c r="J524" s="1353">
        <f t="shared" si="150"/>
        <v>0</v>
      </c>
      <c r="M524" s="1324" t="str">
        <f t="shared" si="151"/>
        <v>Mayor/Governing Body Unclassified</v>
      </c>
      <c r="N524" s="1368">
        <f t="shared" si="152"/>
        <v>0</v>
      </c>
      <c r="O524" s="1368">
        <f t="shared" si="157"/>
        <v>0</v>
      </c>
      <c r="P524" s="1368">
        <f t="shared" si="157"/>
        <v>0</v>
      </c>
      <c r="Q524" s="1368">
        <f t="shared" si="157"/>
        <v>0</v>
      </c>
      <c r="R524" s="1368">
        <f t="shared" si="157"/>
        <v>0</v>
      </c>
      <c r="T524" s="1369">
        <v>0.02</v>
      </c>
      <c r="U524" s="1369">
        <v>0.02</v>
      </c>
      <c r="V524" s="1369">
        <v>0.02</v>
      </c>
      <c r="W524" s="1369">
        <v>0.02</v>
      </c>
      <c r="X524" s="1369">
        <v>0.02</v>
      </c>
      <c r="Y524" s="1367"/>
      <c r="Z524" s="1370">
        <v>0</v>
      </c>
      <c r="AA524" s="1370">
        <v>0</v>
      </c>
      <c r="AB524" s="1370">
        <v>0</v>
      </c>
      <c r="AC524" s="1370">
        <v>0</v>
      </c>
      <c r="AD524" s="1370">
        <v>0</v>
      </c>
      <c r="AK524" s="1354">
        <f t="shared" si="140"/>
        <v>0</v>
      </c>
      <c r="AL524" s="1352">
        <f t="shared" si="154"/>
        <v>53</v>
      </c>
      <c r="AM524" s="1354">
        <f t="shared" si="155"/>
        <v>0</v>
      </c>
      <c r="AN524" s="1352" t="str">
        <f t="shared" si="156"/>
        <v>Mayor/Governing Body Unclassified</v>
      </c>
    </row>
    <row r="525" spans="1:40" x14ac:dyDescent="0.2">
      <c r="A525" s="1324" t="s">
        <v>5108</v>
      </c>
      <c r="B525" s="1324" t="s">
        <v>5647</v>
      </c>
      <c r="C525" s="1353">
        <f>'Key Metrics'!$C$176</f>
        <v>8836</v>
      </c>
      <c r="D525" s="1353">
        <f>'Key Metrics'!$G$176</f>
        <v>10135</v>
      </c>
      <c r="E525" s="1351">
        <f t="shared" si="145"/>
        <v>0.14701222272521508</v>
      </c>
      <c r="F525" s="1353">
        <f t="shared" si="146"/>
        <v>10337.700000000001</v>
      </c>
      <c r="G525" s="1353">
        <f t="shared" si="147"/>
        <v>10544.454000000002</v>
      </c>
      <c r="H525" s="1353">
        <f t="shared" si="148"/>
        <v>10755.343080000002</v>
      </c>
      <c r="I525" s="1353">
        <f t="shared" si="149"/>
        <v>10970.449941600004</v>
      </c>
      <c r="J525" s="1353">
        <f t="shared" si="150"/>
        <v>11189.858940432005</v>
      </c>
      <c r="M525" s="1324" t="str">
        <f t="shared" si="151"/>
        <v>Municipal or County Clerk Salaries &amp; Wages</v>
      </c>
      <c r="N525" s="1368">
        <f t="shared" si="152"/>
        <v>0.14701222272521508</v>
      </c>
      <c r="O525" s="1368">
        <f t="shared" si="157"/>
        <v>0.14701222272521508</v>
      </c>
      <c r="P525" s="1368">
        <f t="shared" si="157"/>
        <v>0.14701222272521508</v>
      </c>
      <c r="Q525" s="1368">
        <f t="shared" si="157"/>
        <v>0.14701222272521508</v>
      </c>
      <c r="R525" s="1368">
        <f t="shared" si="157"/>
        <v>0.14701222272521508</v>
      </c>
      <c r="T525" s="1369">
        <v>0.02</v>
      </c>
      <c r="U525" s="1369">
        <v>0.02</v>
      </c>
      <c r="V525" s="1369">
        <v>0.02</v>
      </c>
      <c r="W525" s="1369">
        <v>0.02</v>
      </c>
      <c r="X525" s="1369">
        <v>0.02</v>
      </c>
      <c r="Y525" s="1367"/>
      <c r="Z525" s="1370">
        <v>0</v>
      </c>
      <c r="AA525" s="1370">
        <v>0</v>
      </c>
      <c r="AB525" s="1370">
        <v>0</v>
      </c>
      <c r="AC525" s="1370">
        <v>0</v>
      </c>
      <c r="AD525" s="1370">
        <v>0</v>
      </c>
      <c r="AK525" s="1354">
        <f t="shared" si="140"/>
        <v>72768.805962032013</v>
      </c>
      <c r="AL525" s="1352">
        <f t="shared" si="154"/>
        <v>11</v>
      </c>
      <c r="AM525" s="1354">
        <f t="shared" si="155"/>
        <v>1054.8589404320046</v>
      </c>
      <c r="AN525" s="1352" t="str">
        <f t="shared" si="156"/>
        <v>Municipal or County Clerk Salaries &amp; Wages</v>
      </c>
    </row>
    <row r="526" spans="1:40" x14ac:dyDescent="0.2">
      <c r="A526" s="1324" t="str">
        <f>A525</f>
        <v>20-120</v>
      </c>
      <c r="B526" s="1324" t="s">
        <v>5801</v>
      </c>
      <c r="C526" s="1353">
        <f>'Key Metrics'!$D$176</f>
        <v>3075.1</v>
      </c>
      <c r="D526" s="1353">
        <f>'Key Metrics'!$H$176</f>
        <v>8700</v>
      </c>
      <c r="E526" s="1351">
        <f t="shared" si="145"/>
        <v>1.8291762869500179</v>
      </c>
      <c r="F526" s="1353">
        <f t="shared" si="146"/>
        <v>8874</v>
      </c>
      <c r="G526" s="1353">
        <f t="shared" si="147"/>
        <v>9051.48</v>
      </c>
      <c r="H526" s="1353">
        <f t="shared" si="148"/>
        <v>9232.5095999999994</v>
      </c>
      <c r="I526" s="1353">
        <f t="shared" si="149"/>
        <v>9417.1597920000004</v>
      </c>
      <c r="J526" s="1353">
        <f t="shared" si="150"/>
        <v>9605.5029878400001</v>
      </c>
      <c r="M526" s="1324" t="str">
        <f t="shared" si="151"/>
        <v>Municipal or County Clerk Other Expenses</v>
      </c>
      <c r="N526" s="1368">
        <f t="shared" si="152"/>
        <v>1.8291762869500179</v>
      </c>
      <c r="O526" s="1368">
        <f t="shared" si="157"/>
        <v>1.8291762869500179</v>
      </c>
      <c r="P526" s="1368">
        <f t="shared" si="157"/>
        <v>1.8291762869500179</v>
      </c>
      <c r="Q526" s="1368">
        <f t="shared" si="157"/>
        <v>1.8291762869500179</v>
      </c>
      <c r="R526" s="1368">
        <f t="shared" si="157"/>
        <v>1.8291762869500179</v>
      </c>
      <c r="T526" s="1369">
        <v>0.02</v>
      </c>
      <c r="U526" s="1369">
        <v>0.02</v>
      </c>
      <c r="V526" s="1369">
        <v>0.02</v>
      </c>
      <c r="W526" s="1369">
        <v>0.02</v>
      </c>
      <c r="X526" s="1369">
        <v>0.02</v>
      </c>
      <c r="Y526" s="1367"/>
      <c r="Z526" s="1370">
        <v>0</v>
      </c>
      <c r="AA526" s="1370">
        <v>0</v>
      </c>
      <c r="AB526" s="1370">
        <v>0</v>
      </c>
      <c r="AC526" s="1370">
        <v>0</v>
      </c>
      <c r="AD526" s="1370">
        <v>0</v>
      </c>
      <c r="AK526" s="1354">
        <f t="shared" si="140"/>
        <v>57955.75237984</v>
      </c>
      <c r="AL526" s="1352">
        <f t="shared" si="154"/>
        <v>12</v>
      </c>
      <c r="AM526" s="1354">
        <f t="shared" si="155"/>
        <v>905.50298784000006</v>
      </c>
      <c r="AN526" s="1352" t="str">
        <f t="shared" si="156"/>
        <v>Municipal or County Clerk Other Expenses</v>
      </c>
    </row>
    <row r="527" spans="1:40" x14ac:dyDescent="0.2">
      <c r="A527" s="1324" t="str">
        <f>A526</f>
        <v>20-120</v>
      </c>
      <c r="B527" s="1324" t="s">
        <v>5802</v>
      </c>
      <c r="C527" s="1353">
        <f>'Key Metrics'!$E$176</f>
        <v>0</v>
      </c>
      <c r="D527" s="1353">
        <f>'Key Metrics'!$I$176</f>
        <v>0</v>
      </c>
      <c r="E527" s="1351">
        <f t="shared" si="145"/>
        <v>0</v>
      </c>
      <c r="F527" s="1353">
        <f t="shared" si="146"/>
        <v>0</v>
      </c>
      <c r="G527" s="1353">
        <f t="shared" si="147"/>
        <v>0</v>
      </c>
      <c r="H527" s="1353">
        <f t="shared" si="148"/>
        <v>0</v>
      </c>
      <c r="I527" s="1353">
        <f t="shared" si="149"/>
        <v>0</v>
      </c>
      <c r="J527" s="1353">
        <f t="shared" si="150"/>
        <v>0</v>
      </c>
      <c r="M527" s="1324" t="str">
        <f t="shared" si="151"/>
        <v>Municipal or County Clerk Unclassified</v>
      </c>
      <c r="N527" s="1368">
        <f t="shared" si="152"/>
        <v>0</v>
      </c>
      <c r="O527" s="1368">
        <f t="shared" si="157"/>
        <v>0</v>
      </c>
      <c r="P527" s="1368">
        <f t="shared" si="157"/>
        <v>0</v>
      </c>
      <c r="Q527" s="1368">
        <f t="shared" si="157"/>
        <v>0</v>
      </c>
      <c r="R527" s="1368">
        <f t="shared" si="157"/>
        <v>0</v>
      </c>
      <c r="T527" s="1369">
        <v>0.02</v>
      </c>
      <c r="U527" s="1369">
        <v>0.02</v>
      </c>
      <c r="V527" s="1369">
        <v>0.02</v>
      </c>
      <c r="W527" s="1369">
        <v>0.02</v>
      </c>
      <c r="X527" s="1369">
        <v>0.02</v>
      </c>
      <c r="Y527" s="1367"/>
      <c r="Z527" s="1370">
        <v>0</v>
      </c>
      <c r="AA527" s="1370">
        <v>0</v>
      </c>
      <c r="AB527" s="1370">
        <v>0</v>
      </c>
      <c r="AC527" s="1370">
        <v>0</v>
      </c>
      <c r="AD527" s="1370">
        <v>0</v>
      </c>
      <c r="AK527" s="1354">
        <f t="shared" si="140"/>
        <v>0</v>
      </c>
      <c r="AL527" s="1352">
        <f t="shared" si="154"/>
        <v>53</v>
      </c>
      <c r="AM527" s="1354">
        <f t="shared" si="155"/>
        <v>0</v>
      </c>
      <c r="AN527" s="1352" t="str">
        <f t="shared" si="156"/>
        <v>Municipal or County Clerk Unclassified</v>
      </c>
    </row>
    <row r="528" spans="1:40" x14ac:dyDescent="0.2">
      <c r="A528" s="1324" t="s">
        <v>5111</v>
      </c>
      <c r="B528" s="1324" t="s">
        <v>5648</v>
      </c>
      <c r="C528" s="1353">
        <f>'Key Metrics'!$C$177</f>
        <v>11592</v>
      </c>
      <c r="D528" s="1353">
        <f>'Key Metrics'!$G$177</f>
        <v>11824</v>
      </c>
      <c r="E528" s="1351">
        <f t="shared" si="145"/>
        <v>2.00138026224983E-2</v>
      </c>
      <c r="F528" s="1353">
        <f t="shared" si="146"/>
        <v>12060.48</v>
      </c>
      <c r="G528" s="1353">
        <f t="shared" si="147"/>
        <v>12301.6896</v>
      </c>
      <c r="H528" s="1353">
        <f t="shared" si="148"/>
        <v>12547.723392</v>
      </c>
      <c r="I528" s="1353">
        <f t="shared" si="149"/>
        <v>12798.67785984</v>
      </c>
      <c r="J528" s="1353">
        <f t="shared" si="150"/>
        <v>13054.651417036799</v>
      </c>
      <c r="M528" s="1324" t="str">
        <f t="shared" si="151"/>
        <v>Financial Administration (Treasury) Salaries &amp; Wages</v>
      </c>
      <c r="N528" s="1368">
        <f t="shared" si="152"/>
        <v>2.00138026224983E-2</v>
      </c>
      <c r="O528" s="1368">
        <f t="shared" si="157"/>
        <v>2.00138026224983E-2</v>
      </c>
      <c r="P528" s="1368">
        <f t="shared" si="157"/>
        <v>2.00138026224983E-2</v>
      </c>
      <c r="Q528" s="1368">
        <f t="shared" si="157"/>
        <v>2.00138026224983E-2</v>
      </c>
      <c r="R528" s="1368">
        <f t="shared" si="157"/>
        <v>2.00138026224983E-2</v>
      </c>
      <c r="T528" s="1369">
        <v>0.02</v>
      </c>
      <c r="U528" s="1369">
        <v>0.02</v>
      </c>
      <c r="V528" s="1369">
        <v>0.02</v>
      </c>
      <c r="W528" s="1369">
        <v>0.02</v>
      </c>
      <c r="X528" s="1369">
        <v>0.02</v>
      </c>
      <c r="Y528" s="1367"/>
      <c r="Z528" s="1370">
        <v>0</v>
      </c>
      <c r="AA528" s="1370">
        <v>0</v>
      </c>
      <c r="AB528" s="1370">
        <v>0</v>
      </c>
      <c r="AC528" s="1370">
        <v>0</v>
      </c>
      <c r="AD528" s="1370">
        <v>0</v>
      </c>
      <c r="AK528" s="1354">
        <f t="shared" si="140"/>
        <v>86179.222268876794</v>
      </c>
      <c r="AL528" s="1352">
        <f t="shared" si="154"/>
        <v>9</v>
      </c>
      <c r="AM528" s="1354">
        <f t="shared" si="155"/>
        <v>1230.6514170367991</v>
      </c>
      <c r="AN528" s="1352" t="str">
        <f t="shared" si="156"/>
        <v>Financial Administration (Treasury) Salaries &amp; Wages</v>
      </c>
    </row>
    <row r="529" spans="1:40" x14ac:dyDescent="0.2">
      <c r="A529" s="1324" t="str">
        <f>A528</f>
        <v>20-130</v>
      </c>
      <c r="B529" s="1324" t="s">
        <v>5803</v>
      </c>
      <c r="C529" s="1353">
        <f>'Key Metrics'!$D$177</f>
        <v>1151.92</v>
      </c>
      <c r="D529" s="1353">
        <f>'Key Metrics'!$H$177</f>
        <v>3575</v>
      </c>
      <c r="E529" s="1351">
        <f t="shared" si="145"/>
        <v>2.1035141329258975</v>
      </c>
      <c r="F529" s="1353">
        <f t="shared" si="146"/>
        <v>3646.5</v>
      </c>
      <c r="G529" s="1353">
        <f t="shared" si="147"/>
        <v>3719.4300000000003</v>
      </c>
      <c r="H529" s="1353">
        <f t="shared" si="148"/>
        <v>3793.8186000000005</v>
      </c>
      <c r="I529" s="1353">
        <f t="shared" si="149"/>
        <v>3869.6949720000007</v>
      </c>
      <c r="J529" s="1353">
        <f t="shared" si="150"/>
        <v>3947.0888714400007</v>
      </c>
      <c r="M529" s="1324" t="str">
        <f t="shared" si="151"/>
        <v>Financial Administration (Treasury) Other Expenses</v>
      </c>
      <c r="N529" s="1368">
        <f t="shared" si="152"/>
        <v>2.1035141329258975</v>
      </c>
      <c r="O529" s="1368">
        <f t="shared" si="157"/>
        <v>2.1035141329258975</v>
      </c>
      <c r="P529" s="1368">
        <f t="shared" si="157"/>
        <v>2.1035141329258975</v>
      </c>
      <c r="Q529" s="1368">
        <f t="shared" si="157"/>
        <v>2.1035141329258975</v>
      </c>
      <c r="R529" s="1368">
        <f t="shared" si="157"/>
        <v>2.1035141329258975</v>
      </c>
      <c r="T529" s="1369">
        <v>0.02</v>
      </c>
      <c r="U529" s="1369">
        <v>0.02</v>
      </c>
      <c r="V529" s="1369">
        <v>0.02</v>
      </c>
      <c r="W529" s="1369">
        <v>0.02</v>
      </c>
      <c r="X529" s="1369">
        <v>0.02</v>
      </c>
      <c r="Y529" s="1367"/>
      <c r="Z529" s="1370">
        <v>0</v>
      </c>
      <c r="AA529" s="1370">
        <v>0</v>
      </c>
      <c r="AB529" s="1370">
        <v>0</v>
      </c>
      <c r="AC529" s="1370">
        <v>0</v>
      </c>
      <c r="AD529" s="1370">
        <v>0</v>
      </c>
      <c r="AK529" s="1354">
        <f t="shared" si="140"/>
        <v>23703.452443440001</v>
      </c>
      <c r="AL529" s="1352">
        <f t="shared" si="154"/>
        <v>31</v>
      </c>
      <c r="AM529" s="1354">
        <f t="shared" si="155"/>
        <v>372.08887144000073</v>
      </c>
      <c r="AN529" s="1352" t="str">
        <f t="shared" si="156"/>
        <v>Financial Administration (Treasury) Other Expenses</v>
      </c>
    </row>
    <row r="530" spans="1:40" x14ac:dyDescent="0.2">
      <c r="A530" s="1324" t="str">
        <f>A529</f>
        <v>20-130</v>
      </c>
      <c r="B530" s="1324" t="s">
        <v>5804</v>
      </c>
      <c r="C530" s="1353">
        <f>'Key Metrics'!$E$177</f>
        <v>0</v>
      </c>
      <c r="D530" s="1353">
        <f>'Key Metrics'!$I$177</f>
        <v>0</v>
      </c>
      <c r="E530" s="1351">
        <f t="shared" si="145"/>
        <v>0</v>
      </c>
      <c r="F530" s="1353">
        <f t="shared" si="146"/>
        <v>0</v>
      </c>
      <c r="G530" s="1353">
        <f t="shared" si="147"/>
        <v>0</v>
      </c>
      <c r="H530" s="1353">
        <f t="shared" si="148"/>
        <v>0</v>
      </c>
      <c r="I530" s="1353">
        <f t="shared" si="149"/>
        <v>0</v>
      </c>
      <c r="J530" s="1353">
        <f t="shared" si="150"/>
        <v>0</v>
      </c>
      <c r="M530" s="1324" t="str">
        <f t="shared" si="151"/>
        <v>Financial Administration (Treasury) Unclassified</v>
      </c>
      <c r="N530" s="1368">
        <f t="shared" si="152"/>
        <v>0</v>
      </c>
      <c r="O530" s="1368">
        <f t="shared" si="157"/>
        <v>0</v>
      </c>
      <c r="P530" s="1368">
        <f t="shared" si="157"/>
        <v>0</v>
      </c>
      <c r="Q530" s="1368">
        <f t="shared" si="157"/>
        <v>0</v>
      </c>
      <c r="R530" s="1368">
        <f t="shared" si="157"/>
        <v>0</v>
      </c>
      <c r="T530" s="1369">
        <v>0.02</v>
      </c>
      <c r="U530" s="1369">
        <v>0.02</v>
      </c>
      <c r="V530" s="1369">
        <v>0.02</v>
      </c>
      <c r="W530" s="1369">
        <v>0.02</v>
      </c>
      <c r="X530" s="1369">
        <v>0.02</v>
      </c>
      <c r="Y530" s="1367"/>
      <c r="Z530" s="1370">
        <v>0</v>
      </c>
      <c r="AA530" s="1370">
        <v>0</v>
      </c>
      <c r="AB530" s="1370">
        <v>0</v>
      </c>
      <c r="AC530" s="1370">
        <v>0</v>
      </c>
      <c r="AD530" s="1370">
        <v>0</v>
      </c>
      <c r="AK530" s="1354">
        <f t="shared" si="140"/>
        <v>0</v>
      </c>
      <c r="AL530" s="1352">
        <f t="shared" si="154"/>
        <v>53</v>
      </c>
      <c r="AM530" s="1354">
        <f t="shared" si="155"/>
        <v>0</v>
      </c>
      <c r="AN530" s="1352" t="str">
        <f t="shared" si="156"/>
        <v>Financial Administration (Treasury) Unclassified</v>
      </c>
    </row>
    <row r="531" spans="1:40" x14ac:dyDescent="0.2">
      <c r="A531" s="1324" t="s">
        <v>5114</v>
      </c>
      <c r="B531" s="1324" t="s">
        <v>5649</v>
      </c>
      <c r="C531" s="1353">
        <f>'Key Metrics'!$C$178</f>
        <v>0</v>
      </c>
      <c r="D531" s="1353">
        <f>'Key Metrics'!$G$178</f>
        <v>0</v>
      </c>
      <c r="E531" s="1351">
        <f t="shared" si="145"/>
        <v>0</v>
      </c>
      <c r="F531" s="1353">
        <f t="shared" si="146"/>
        <v>0</v>
      </c>
      <c r="G531" s="1353">
        <f t="shared" si="147"/>
        <v>0</v>
      </c>
      <c r="H531" s="1353">
        <f t="shared" si="148"/>
        <v>0</v>
      </c>
      <c r="I531" s="1353">
        <f t="shared" si="149"/>
        <v>0</v>
      </c>
      <c r="J531" s="1353">
        <f t="shared" si="150"/>
        <v>0</v>
      </c>
      <c r="M531" s="1324" t="str">
        <f t="shared" si="151"/>
        <v>Audit Services Salaries &amp; Wages</v>
      </c>
      <c r="N531" s="1368">
        <f t="shared" si="152"/>
        <v>0</v>
      </c>
      <c r="O531" s="1368">
        <f t="shared" si="157"/>
        <v>0</v>
      </c>
      <c r="P531" s="1368">
        <f t="shared" si="157"/>
        <v>0</v>
      </c>
      <c r="Q531" s="1368">
        <f t="shared" si="157"/>
        <v>0</v>
      </c>
      <c r="R531" s="1368">
        <f t="shared" si="157"/>
        <v>0</v>
      </c>
      <c r="T531" s="1369">
        <v>0.02</v>
      </c>
      <c r="U531" s="1369">
        <v>0.02</v>
      </c>
      <c r="V531" s="1369">
        <v>0.02</v>
      </c>
      <c r="W531" s="1369">
        <v>0.02</v>
      </c>
      <c r="X531" s="1369">
        <v>0.02</v>
      </c>
      <c r="Y531" s="1367"/>
      <c r="Z531" s="1370">
        <v>0</v>
      </c>
      <c r="AA531" s="1370">
        <v>0</v>
      </c>
      <c r="AB531" s="1370">
        <v>0</v>
      </c>
      <c r="AC531" s="1370">
        <v>0</v>
      </c>
      <c r="AD531" s="1370">
        <v>0</v>
      </c>
      <c r="AK531" s="1354">
        <f t="shared" si="140"/>
        <v>0</v>
      </c>
      <c r="AL531" s="1352">
        <f t="shared" si="154"/>
        <v>53</v>
      </c>
      <c r="AM531" s="1354">
        <f t="shared" si="155"/>
        <v>0</v>
      </c>
      <c r="AN531" s="1352" t="str">
        <f t="shared" si="156"/>
        <v>Audit Services Salaries &amp; Wages</v>
      </c>
    </row>
    <row r="532" spans="1:40" x14ac:dyDescent="0.2">
      <c r="A532" s="1324" t="str">
        <f>A531</f>
        <v>20-135</v>
      </c>
      <c r="B532" s="1324" t="s">
        <v>5805</v>
      </c>
      <c r="C532" s="1353">
        <f>'Key Metrics'!$D$178</f>
        <v>20175</v>
      </c>
      <c r="D532" s="1353">
        <f>'Key Metrics'!$H$178</f>
        <v>20600</v>
      </c>
      <c r="E532" s="1351">
        <f t="shared" si="145"/>
        <v>2.1065675340768308E-2</v>
      </c>
      <c r="F532" s="1353">
        <f t="shared" si="146"/>
        <v>21012</v>
      </c>
      <c r="G532" s="1353">
        <f t="shared" si="147"/>
        <v>21432.240000000002</v>
      </c>
      <c r="H532" s="1353">
        <f t="shared" si="148"/>
        <v>21860.884800000003</v>
      </c>
      <c r="I532" s="1353">
        <f t="shared" si="149"/>
        <v>22298.102496000003</v>
      </c>
      <c r="J532" s="1353">
        <f t="shared" si="150"/>
        <v>22744.064545920002</v>
      </c>
      <c r="M532" s="1324" t="str">
        <f t="shared" si="151"/>
        <v>Audit Services Other Expenses</v>
      </c>
      <c r="N532" s="1368">
        <f t="shared" si="152"/>
        <v>2.1065675340768308E-2</v>
      </c>
      <c r="O532" s="1368">
        <f t="shared" si="157"/>
        <v>2.1065675340768308E-2</v>
      </c>
      <c r="P532" s="1368">
        <f t="shared" si="157"/>
        <v>2.1065675340768308E-2</v>
      </c>
      <c r="Q532" s="1368">
        <f t="shared" si="157"/>
        <v>2.1065675340768308E-2</v>
      </c>
      <c r="R532" s="1368">
        <f t="shared" si="157"/>
        <v>2.1065675340768308E-2</v>
      </c>
      <c r="T532" s="1369">
        <v>0.02</v>
      </c>
      <c r="U532" s="1369">
        <v>0.02</v>
      </c>
      <c r="V532" s="1369">
        <v>0.02</v>
      </c>
      <c r="W532" s="1369">
        <v>0.02</v>
      </c>
      <c r="X532" s="1369">
        <v>0.02</v>
      </c>
      <c r="Y532" s="1367"/>
      <c r="Z532" s="1370">
        <v>0</v>
      </c>
      <c r="AA532" s="1370">
        <v>0</v>
      </c>
      <c r="AB532" s="1370">
        <v>0</v>
      </c>
      <c r="AC532" s="1370">
        <v>0</v>
      </c>
      <c r="AD532" s="1370">
        <v>0</v>
      </c>
      <c r="AK532" s="1354">
        <f t="shared" si="140"/>
        <v>150122.29184192</v>
      </c>
      <c r="AL532" s="1352">
        <f t="shared" si="154"/>
        <v>5</v>
      </c>
      <c r="AM532" s="1354">
        <f t="shared" si="155"/>
        <v>2144.0645459200023</v>
      </c>
      <c r="AN532" s="1352" t="str">
        <f t="shared" si="156"/>
        <v>Audit Services Other Expenses</v>
      </c>
    </row>
    <row r="533" spans="1:40" x14ac:dyDescent="0.2">
      <c r="A533" s="1324" t="str">
        <f>A532</f>
        <v>20-135</v>
      </c>
      <c r="B533" s="1324" t="s">
        <v>5806</v>
      </c>
      <c r="C533" s="1353">
        <f>'Key Metrics'!$E$178</f>
        <v>0</v>
      </c>
      <c r="D533" s="1353">
        <f>'Key Metrics'!$I$178</f>
        <v>0</v>
      </c>
      <c r="E533" s="1351">
        <f t="shared" si="145"/>
        <v>0</v>
      </c>
      <c r="F533" s="1353">
        <f t="shared" si="146"/>
        <v>0</v>
      </c>
      <c r="G533" s="1353">
        <f t="shared" si="147"/>
        <v>0</v>
      </c>
      <c r="H533" s="1353">
        <f t="shared" si="148"/>
        <v>0</v>
      </c>
      <c r="I533" s="1353">
        <f t="shared" si="149"/>
        <v>0</v>
      </c>
      <c r="J533" s="1353">
        <f t="shared" si="150"/>
        <v>0</v>
      </c>
      <c r="M533" s="1324" t="str">
        <f t="shared" si="151"/>
        <v>Audit Services Unclassified</v>
      </c>
      <c r="N533" s="1368">
        <f t="shared" si="152"/>
        <v>0</v>
      </c>
      <c r="O533" s="1368">
        <f t="shared" si="157"/>
        <v>0</v>
      </c>
      <c r="P533" s="1368">
        <f t="shared" si="157"/>
        <v>0</v>
      </c>
      <c r="Q533" s="1368">
        <f t="shared" si="157"/>
        <v>0</v>
      </c>
      <c r="R533" s="1368">
        <f t="shared" si="157"/>
        <v>0</v>
      </c>
      <c r="T533" s="1369">
        <v>0.02</v>
      </c>
      <c r="U533" s="1369">
        <v>0.02</v>
      </c>
      <c r="V533" s="1369">
        <v>0.02</v>
      </c>
      <c r="W533" s="1369">
        <v>0.02</v>
      </c>
      <c r="X533" s="1369">
        <v>0.02</v>
      </c>
      <c r="Y533" s="1367"/>
      <c r="Z533" s="1370">
        <v>0</v>
      </c>
      <c r="AA533" s="1370">
        <v>0</v>
      </c>
      <c r="AB533" s="1370">
        <v>0</v>
      </c>
      <c r="AC533" s="1370">
        <v>0</v>
      </c>
      <c r="AD533" s="1370">
        <v>0</v>
      </c>
      <c r="AK533" s="1354">
        <f t="shared" si="140"/>
        <v>0</v>
      </c>
      <c r="AL533" s="1352">
        <f t="shared" si="154"/>
        <v>53</v>
      </c>
      <c r="AM533" s="1354">
        <f t="shared" si="155"/>
        <v>0</v>
      </c>
      <c r="AN533" s="1352" t="str">
        <f t="shared" si="156"/>
        <v>Audit Services Unclassified</v>
      </c>
    </row>
    <row r="534" spans="1:40" x14ac:dyDescent="0.2">
      <c r="A534" s="1324" t="s">
        <v>5117</v>
      </c>
      <c r="B534" s="1324" t="s">
        <v>5650</v>
      </c>
      <c r="C534" s="1353">
        <f>'Key Metrics'!$C$179</f>
        <v>0</v>
      </c>
      <c r="D534" s="1353">
        <f>'Key Metrics'!$G$179</f>
        <v>0</v>
      </c>
      <c r="E534" s="1351">
        <f t="shared" si="145"/>
        <v>0</v>
      </c>
      <c r="F534" s="1353">
        <f t="shared" si="146"/>
        <v>0</v>
      </c>
      <c r="G534" s="1353">
        <f t="shared" si="147"/>
        <v>0</v>
      </c>
      <c r="H534" s="1353">
        <f t="shared" si="148"/>
        <v>0</v>
      </c>
      <c r="I534" s="1353">
        <f t="shared" si="149"/>
        <v>0</v>
      </c>
      <c r="J534" s="1353">
        <f t="shared" si="150"/>
        <v>0</v>
      </c>
      <c r="M534" s="1324" t="str">
        <f t="shared" si="151"/>
        <v>Computerized Data Processing Salaries &amp; Wages</v>
      </c>
      <c r="N534" s="1368">
        <f t="shared" si="152"/>
        <v>0</v>
      </c>
      <c r="O534" s="1368">
        <f t="shared" si="157"/>
        <v>0</v>
      </c>
      <c r="P534" s="1368">
        <f t="shared" si="157"/>
        <v>0</v>
      </c>
      <c r="Q534" s="1368">
        <f t="shared" si="157"/>
        <v>0</v>
      </c>
      <c r="R534" s="1368">
        <f t="shared" si="157"/>
        <v>0</v>
      </c>
      <c r="T534" s="1369">
        <v>0.02</v>
      </c>
      <c r="U534" s="1369">
        <v>0.02</v>
      </c>
      <c r="V534" s="1369">
        <v>0.02</v>
      </c>
      <c r="W534" s="1369">
        <v>0.02</v>
      </c>
      <c r="X534" s="1369">
        <v>0.02</v>
      </c>
      <c r="Y534" s="1367"/>
      <c r="Z534" s="1370">
        <v>0</v>
      </c>
      <c r="AA534" s="1370">
        <v>0</v>
      </c>
      <c r="AB534" s="1370">
        <v>0</v>
      </c>
      <c r="AC534" s="1370">
        <v>0</v>
      </c>
      <c r="AD534" s="1370">
        <v>0</v>
      </c>
      <c r="AK534" s="1354">
        <f t="shared" si="140"/>
        <v>0</v>
      </c>
      <c r="AL534" s="1352">
        <f t="shared" si="154"/>
        <v>53</v>
      </c>
      <c r="AM534" s="1354">
        <f t="shared" si="155"/>
        <v>0</v>
      </c>
      <c r="AN534" s="1352" t="str">
        <f t="shared" si="156"/>
        <v>Computerized Data Processing Salaries &amp; Wages</v>
      </c>
    </row>
    <row r="535" spans="1:40" x14ac:dyDescent="0.2">
      <c r="A535" s="1324" t="str">
        <f>A534</f>
        <v>20-140</v>
      </c>
      <c r="B535" s="1324" t="s">
        <v>5807</v>
      </c>
      <c r="C535" s="1353">
        <f>'Key Metrics'!$D$179</f>
        <v>0</v>
      </c>
      <c r="D535" s="1353">
        <f>'Key Metrics'!$H$179</f>
        <v>0</v>
      </c>
      <c r="E535" s="1351">
        <f t="shared" si="145"/>
        <v>0</v>
      </c>
      <c r="F535" s="1353">
        <f t="shared" si="146"/>
        <v>0</v>
      </c>
      <c r="G535" s="1353">
        <f t="shared" si="147"/>
        <v>0</v>
      </c>
      <c r="H535" s="1353">
        <f t="shared" si="148"/>
        <v>0</v>
      </c>
      <c r="I535" s="1353">
        <f t="shared" si="149"/>
        <v>0</v>
      </c>
      <c r="J535" s="1353">
        <f t="shared" si="150"/>
        <v>0</v>
      </c>
      <c r="M535" s="1324" t="str">
        <f t="shared" si="151"/>
        <v>Computerized Data Processing Other Expenses</v>
      </c>
      <c r="N535" s="1368">
        <f t="shared" si="152"/>
        <v>0</v>
      </c>
      <c r="O535" s="1368">
        <f t="shared" si="157"/>
        <v>0</v>
      </c>
      <c r="P535" s="1368">
        <f t="shared" si="157"/>
        <v>0</v>
      </c>
      <c r="Q535" s="1368">
        <f t="shared" si="157"/>
        <v>0</v>
      </c>
      <c r="R535" s="1368">
        <f t="shared" si="157"/>
        <v>0</v>
      </c>
      <c r="T535" s="1369">
        <v>0.02</v>
      </c>
      <c r="U535" s="1369">
        <v>0.02</v>
      </c>
      <c r="V535" s="1369">
        <v>0.02</v>
      </c>
      <c r="W535" s="1369">
        <v>0.02</v>
      </c>
      <c r="X535" s="1369">
        <v>0.02</v>
      </c>
      <c r="Y535" s="1367"/>
      <c r="Z535" s="1370">
        <v>0</v>
      </c>
      <c r="AA535" s="1370">
        <v>0</v>
      </c>
      <c r="AB535" s="1370">
        <v>0</v>
      </c>
      <c r="AC535" s="1370">
        <v>0</v>
      </c>
      <c r="AD535" s="1370">
        <v>0</v>
      </c>
      <c r="AK535" s="1354">
        <f t="shared" ref="AK535:AK598" si="158">SUM(C535:D535,F535:J535)</f>
        <v>0</v>
      </c>
      <c r="AL535" s="1352">
        <f t="shared" si="154"/>
        <v>53</v>
      </c>
      <c r="AM535" s="1354">
        <f t="shared" si="155"/>
        <v>0</v>
      </c>
      <c r="AN535" s="1352" t="str">
        <f t="shared" si="156"/>
        <v>Computerized Data Processing Other Expenses</v>
      </c>
    </row>
    <row r="536" spans="1:40" x14ac:dyDescent="0.2">
      <c r="A536" s="1324" t="str">
        <f>A535</f>
        <v>20-140</v>
      </c>
      <c r="B536" s="1324" t="s">
        <v>5808</v>
      </c>
      <c r="C536" s="1353">
        <f>'Key Metrics'!$E$179</f>
        <v>0</v>
      </c>
      <c r="D536" s="1353">
        <f>'Key Metrics'!$I$179</f>
        <v>0</v>
      </c>
      <c r="E536" s="1351">
        <f t="shared" si="145"/>
        <v>0</v>
      </c>
      <c r="F536" s="1353">
        <f t="shared" ref="F536:F557" si="159">IFERROR(IF($I$3=1,D536*(1+N536),IF($I$3=2,D536*(1+T536),IF($I$3=3,Z536,"--"))),0)</f>
        <v>0</v>
      </c>
      <c r="G536" s="1353">
        <f t="shared" ref="G536:G557" si="160">IFERROR(IF($I$3=1,F536*(1+O536),IF($I$3=2,F536*(1+U536),IF($I$3=3,AA536,"--"))),0)</f>
        <v>0</v>
      </c>
      <c r="H536" s="1353">
        <f t="shared" ref="H536:H557" si="161">IFERROR(IF($I$3=1,G536*(1+P536),IF($I$3=2,G536*(1+V536),IF($I$3=3,AB536,"--"))),0)</f>
        <v>0</v>
      </c>
      <c r="I536" s="1353">
        <f t="shared" ref="I536:I557" si="162">IFERROR(IF($I$3=1,H536*(1+Q536),IF($I$3=2,H536*(1+W536),IF($I$3=3,AC536,"--"))),0)</f>
        <v>0</v>
      </c>
      <c r="J536" s="1353">
        <f t="shared" ref="J536:J557" si="163">IFERROR(IF($I$3=1,I536*(1+R536),IF($I$3=2,I536*(1+X536),IF($I$3=3,AD536,"--"))),0)</f>
        <v>0</v>
      </c>
      <c r="M536" s="1324" t="str">
        <f t="shared" si="151"/>
        <v>Computerized Data Processing Unclassified</v>
      </c>
      <c r="N536" s="1368">
        <f t="shared" si="152"/>
        <v>0</v>
      </c>
      <c r="O536" s="1368">
        <f t="shared" ref="O536:R551" si="164">N536</f>
        <v>0</v>
      </c>
      <c r="P536" s="1368">
        <f t="shared" si="164"/>
        <v>0</v>
      </c>
      <c r="Q536" s="1368">
        <f t="shared" si="164"/>
        <v>0</v>
      </c>
      <c r="R536" s="1368">
        <f t="shared" si="164"/>
        <v>0</v>
      </c>
      <c r="T536" s="1369">
        <v>0.02</v>
      </c>
      <c r="U536" s="1369">
        <v>0.02</v>
      </c>
      <c r="V536" s="1369">
        <v>0.02</v>
      </c>
      <c r="W536" s="1369">
        <v>0.02</v>
      </c>
      <c r="X536" s="1369">
        <v>0.02</v>
      </c>
      <c r="Y536" s="1367"/>
      <c r="Z536" s="1370">
        <v>0</v>
      </c>
      <c r="AA536" s="1370">
        <v>0</v>
      </c>
      <c r="AB536" s="1370">
        <v>0</v>
      </c>
      <c r="AC536" s="1370">
        <v>0</v>
      </c>
      <c r="AD536" s="1370">
        <v>0</v>
      </c>
      <c r="AK536" s="1354">
        <f t="shared" si="158"/>
        <v>0</v>
      </c>
      <c r="AL536" s="1352">
        <f t="shared" ref="AL536:AL557" si="165">RANK(AM536,$AM$504:$AM$1172,0)</f>
        <v>53</v>
      </c>
      <c r="AM536" s="1354">
        <f t="shared" si="155"/>
        <v>0</v>
      </c>
      <c r="AN536" s="1352" t="str">
        <f t="shared" si="156"/>
        <v>Computerized Data Processing Unclassified</v>
      </c>
    </row>
    <row r="537" spans="1:40" ht="13.5" customHeight="1" x14ac:dyDescent="0.2">
      <c r="A537" s="1324" t="s">
        <v>5120</v>
      </c>
      <c r="B537" s="1324" t="s">
        <v>5651</v>
      </c>
      <c r="C537" s="1353">
        <f>'Key Metrics'!$C$180</f>
        <v>7761</v>
      </c>
      <c r="D537" s="1353">
        <f>'Key Metrics'!$G$180</f>
        <v>7917.45</v>
      </c>
      <c r="E537" s="1351">
        <f t="shared" si="145"/>
        <v>2.0158484731348958E-2</v>
      </c>
      <c r="F537" s="1353">
        <f t="shared" si="159"/>
        <v>8075.799</v>
      </c>
      <c r="G537" s="1353">
        <f t="shared" si="160"/>
        <v>8237.314980000001</v>
      </c>
      <c r="H537" s="1353">
        <f t="shared" si="161"/>
        <v>8402.0612796000005</v>
      </c>
      <c r="I537" s="1353">
        <f t="shared" si="162"/>
        <v>8570.1025051920005</v>
      </c>
      <c r="J537" s="1353">
        <f t="shared" si="163"/>
        <v>8741.50455529584</v>
      </c>
      <c r="M537" s="1324" t="str">
        <f t="shared" si="151"/>
        <v>Revenue Administration (Tax Collection) Salaries &amp; Wages</v>
      </c>
      <c r="N537" s="1368">
        <f t="shared" si="152"/>
        <v>2.0158484731348958E-2</v>
      </c>
      <c r="O537" s="1368">
        <f t="shared" si="164"/>
        <v>2.0158484731348958E-2</v>
      </c>
      <c r="P537" s="1368">
        <f t="shared" si="164"/>
        <v>2.0158484731348958E-2</v>
      </c>
      <c r="Q537" s="1368">
        <f t="shared" si="164"/>
        <v>2.0158484731348958E-2</v>
      </c>
      <c r="R537" s="1368">
        <f t="shared" si="164"/>
        <v>2.0158484731348958E-2</v>
      </c>
      <c r="T537" s="1369">
        <v>0.02</v>
      </c>
      <c r="U537" s="1369">
        <v>0.02</v>
      </c>
      <c r="V537" s="1369">
        <v>0.02</v>
      </c>
      <c r="W537" s="1369">
        <v>0.02</v>
      </c>
      <c r="X537" s="1369">
        <v>0.02</v>
      </c>
      <c r="Y537" s="1367"/>
      <c r="Z537" s="1370">
        <v>0</v>
      </c>
      <c r="AA537" s="1370">
        <v>0</v>
      </c>
      <c r="AB537" s="1370">
        <v>0</v>
      </c>
      <c r="AC537" s="1370">
        <v>0</v>
      </c>
      <c r="AD537" s="1370">
        <v>0</v>
      </c>
      <c r="AK537" s="1354">
        <f t="shared" si="158"/>
        <v>57705.232320087838</v>
      </c>
      <c r="AL537" s="1352">
        <f t="shared" si="165"/>
        <v>14</v>
      </c>
      <c r="AM537" s="1354">
        <f t="shared" si="155"/>
        <v>824.05455529584015</v>
      </c>
      <c r="AN537" s="1352" t="str">
        <f t="shared" si="156"/>
        <v>Revenue Administration (Tax Collection) Salaries &amp; Wages</v>
      </c>
    </row>
    <row r="538" spans="1:40" ht="13.5" customHeight="1" x14ac:dyDescent="0.2">
      <c r="A538" s="1324" t="str">
        <f>A537</f>
        <v>20-145</v>
      </c>
      <c r="B538" s="1324" t="s">
        <v>5809</v>
      </c>
      <c r="C538" s="1353">
        <f>'Key Metrics'!$D$180</f>
        <v>1767</v>
      </c>
      <c r="D538" s="1353">
        <f>'Key Metrics'!$H$180</f>
        <v>7321.67</v>
      </c>
      <c r="E538" s="1351">
        <f t="shared" si="145"/>
        <v>3.1435597057159024</v>
      </c>
      <c r="F538" s="1353">
        <f t="shared" si="159"/>
        <v>7468.1034</v>
      </c>
      <c r="G538" s="1353">
        <f t="shared" si="160"/>
        <v>7617.4654680000003</v>
      </c>
      <c r="H538" s="1353">
        <f t="shared" si="161"/>
        <v>7769.8147773600003</v>
      </c>
      <c r="I538" s="1353">
        <f t="shared" si="162"/>
        <v>7925.2110729072001</v>
      </c>
      <c r="J538" s="1353">
        <f t="shared" si="163"/>
        <v>8083.7152943653446</v>
      </c>
      <c r="M538" s="1324" t="str">
        <f t="shared" si="151"/>
        <v>Revenue Administration (Tax Collection) Other Expenses</v>
      </c>
      <c r="N538" s="1368">
        <f t="shared" si="152"/>
        <v>3.1435597057159024</v>
      </c>
      <c r="O538" s="1368">
        <f t="shared" si="164"/>
        <v>3.1435597057159024</v>
      </c>
      <c r="P538" s="1368">
        <f t="shared" si="164"/>
        <v>3.1435597057159024</v>
      </c>
      <c r="Q538" s="1368">
        <f t="shared" si="164"/>
        <v>3.1435597057159024</v>
      </c>
      <c r="R538" s="1368">
        <f t="shared" si="164"/>
        <v>3.1435597057159024</v>
      </c>
      <c r="T538" s="1369">
        <v>0.02</v>
      </c>
      <c r="U538" s="1369">
        <v>0.02</v>
      </c>
      <c r="V538" s="1369">
        <v>0.02</v>
      </c>
      <c r="W538" s="1369">
        <v>0.02</v>
      </c>
      <c r="X538" s="1369">
        <v>0.02</v>
      </c>
      <c r="Y538" s="1367"/>
      <c r="Z538" s="1370">
        <v>0</v>
      </c>
      <c r="AA538" s="1370">
        <v>0</v>
      </c>
      <c r="AB538" s="1370">
        <v>0</v>
      </c>
      <c r="AC538" s="1370">
        <v>0</v>
      </c>
      <c r="AD538" s="1370">
        <v>0</v>
      </c>
      <c r="AK538" s="1354">
        <f t="shared" si="158"/>
        <v>47952.980012632543</v>
      </c>
      <c r="AL538" s="1352">
        <f t="shared" si="165"/>
        <v>16</v>
      </c>
      <c r="AM538" s="1354">
        <f t="shared" si="155"/>
        <v>762.04529436534449</v>
      </c>
      <c r="AN538" s="1352" t="str">
        <f t="shared" si="156"/>
        <v>Revenue Administration (Tax Collection) Other Expenses</v>
      </c>
    </row>
    <row r="539" spans="1:40" ht="13.5" customHeight="1" x14ac:dyDescent="0.2">
      <c r="A539" s="1324" t="str">
        <f>A538</f>
        <v>20-145</v>
      </c>
      <c r="B539" s="1324" t="s">
        <v>5810</v>
      </c>
      <c r="C539" s="1353">
        <f>'Key Metrics'!$E$180</f>
        <v>0</v>
      </c>
      <c r="D539" s="1353">
        <f>'Key Metrics'!$I$180</f>
        <v>0</v>
      </c>
      <c r="E539" s="1351">
        <f t="shared" si="145"/>
        <v>0</v>
      </c>
      <c r="F539" s="1353">
        <f t="shared" si="159"/>
        <v>0</v>
      </c>
      <c r="G539" s="1353">
        <f t="shared" si="160"/>
        <v>0</v>
      </c>
      <c r="H539" s="1353">
        <f t="shared" si="161"/>
        <v>0</v>
      </c>
      <c r="I539" s="1353">
        <f t="shared" si="162"/>
        <v>0</v>
      </c>
      <c r="J539" s="1353">
        <f t="shared" si="163"/>
        <v>0</v>
      </c>
      <c r="M539" s="1324" t="str">
        <f t="shared" si="151"/>
        <v>Revenue Administration (Tax Collection) Unclassified</v>
      </c>
      <c r="N539" s="1368">
        <f t="shared" si="152"/>
        <v>0</v>
      </c>
      <c r="O539" s="1368">
        <f t="shared" si="164"/>
        <v>0</v>
      </c>
      <c r="P539" s="1368">
        <f t="shared" si="164"/>
        <v>0</v>
      </c>
      <c r="Q539" s="1368">
        <f t="shared" si="164"/>
        <v>0</v>
      </c>
      <c r="R539" s="1368">
        <f t="shared" si="164"/>
        <v>0</v>
      </c>
      <c r="T539" s="1369">
        <v>0.02</v>
      </c>
      <c r="U539" s="1369">
        <v>0.02</v>
      </c>
      <c r="V539" s="1369">
        <v>0.02</v>
      </c>
      <c r="W539" s="1369">
        <v>0.02</v>
      </c>
      <c r="X539" s="1369">
        <v>0.02</v>
      </c>
      <c r="Y539" s="1367"/>
      <c r="Z539" s="1370">
        <v>0</v>
      </c>
      <c r="AA539" s="1370">
        <v>0</v>
      </c>
      <c r="AB539" s="1370">
        <v>0</v>
      </c>
      <c r="AC539" s="1370">
        <v>0</v>
      </c>
      <c r="AD539" s="1370">
        <v>0</v>
      </c>
      <c r="AK539" s="1354">
        <f t="shared" si="158"/>
        <v>0</v>
      </c>
      <c r="AL539" s="1352">
        <f t="shared" si="165"/>
        <v>53</v>
      </c>
      <c r="AM539" s="1354">
        <f t="shared" si="155"/>
        <v>0</v>
      </c>
      <c r="AN539" s="1352" t="str">
        <f t="shared" si="156"/>
        <v>Revenue Administration (Tax Collection) Unclassified</v>
      </c>
    </row>
    <row r="540" spans="1:40" ht="13.5" customHeight="1" x14ac:dyDescent="0.2">
      <c r="A540" s="1324" t="s">
        <v>5066</v>
      </c>
      <c r="B540" s="1324" t="s">
        <v>5652</v>
      </c>
      <c r="C540" s="1353">
        <f>'Key Metrics'!$C$181</f>
        <v>5311</v>
      </c>
      <c r="D540" s="1353">
        <f>'Key Metrics'!$G$181</f>
        <v>5418</v>
      </c>
      <c r="E540" s="1351">
        <f t="shared" si="145"/>
        <v>2.0146864997175662E-2</v>
      </c>
      <c r="F540" s="1353">
        <f t="shared" si="159"/>
        <v>5526.36</v>
      </c>
      <c r="G540" s="1353">
        <f t="shared" si="160"/>
        <v>5636.8872000000001</v>
      </c>
      <c r="H540" s="1353">
        <f t="shared" si="161"/>
        <v>5749.6249440000001</v>
      </c>
      <c r="I540" s="1353">
        <f t="shared" si="162"/>
        <v>5864.6174428800005</v>
      </c>
      <c r="J540" s="1353">
        <f t="shared" si="163"/>
        <v>5981.9097917376002</v>
      </c>
      <c r="M540" s="1324" t="str">
        <f t="shared" si="151"/>
        <v>Tax Appeals/Tax Assessment Administration Salaries &amp; Wages</v>
      </c>
      <c r="N540" s="1368">
        <f t="shared" si="152"/>
        <v>2.0146864997175662E-2</v>
      </c>
      <c r="O540" s="1368">
        <f t="shared" si="164"/>
        <v>2.0146864997175662E-2</v>
      </c>
      <c r="P540" s="1368">
        <f t="shared" si="164"/>
        <v>2.0146864997175662E-2</v>
      </c>
      <c r="Q540" s="1368">
        <f t="shared" si="164"/>
        <v>2.0146864997175662E-2</v>
      </c>
      <c r="R540" s="1368">
        <f t="shared" si="164"/>
        <v>2.0146864997175662E-2</v>
      </c>
      <c r="T540" s="1369">
        <v>0.02</v>
      </c>
      <c r="U540" s="1369">
        <v>0.02</v>
      </c>
      <c r="V540" s="1369">
        <v>0.02</v>
      </c>
      <c r="W540" s="1369">
        <v>0.02</v>
      </c>
      <c r="X540" s="1369">
        <v>0.02</v>
      </c>
      <c r="Y540" s="1367"/>
      <c r="Z540" s="1370">
        <v>0</v>
      </c>
      <c r="AA540" s="1370">
        <v>0</v>
      </c>
      <c r="AB540" s="1370">
        <v>0</v>
      </c>
      <c r="AC540" s="1370">
        <v>0</v>
      </c>
      <c r="AD540" s="1370">
        <v>0</v>
      </c>
      <c r="AK540" s="1354">
        <f t="shared" si="158"/>
        <v>39488.3993786176</v>
      </c>
      <c r="AL540" s="1352">
        <f t="shared" si="165"/>
        <v>20</v>
      </c>
      <c r="AM540" s="1354">
        <f t="shared" si="155"/>
        <v>563.90979173760024</v>
      </c>
      <c r="AN540" s="1352" t="str">
        <f t="shared" si="156"/>
        <v>Tax Appeals/Tax Assessment Administration Salaries &amp; Wages</v>
      </c>
    </row>
    <row r="541" spans="1:40" ht="13.5" customHeight="1" x14ac:dyDescent="0.2">
      <c r="A541" s="1324" t="str">
        <f>A540</f>
        <v>20-150</v>
      </c>
      <c r="B541" s="1324" t="s">
        <v>5811</v>
      </c>
      <c r="C541" s="1353">
        <f>'Key Metrics'!$D$181</f>
        <v>4994.5</v>
      </c>
      <c r="D541" s="1353">
        <f>'Key Metrics'!$H$181</f>
        <v>5200</v>
      </c>
      <c r="E541" s="1351">
        <f t="shared" si="145"/>
        <v>4.1145259785764443E-2</v>
      </c>
      <c r="F541" s="1353">
        <f t="shared" si="159"/>
        <v>5304</v>
      </c>
      <c r="G541" s="1353">
        <f t="shared" si="160"/>
        <v>5410.08</v>
      </c>
      <c r="H541" s="1353">
        <f t="shared" si="161"/>
        <v>5518.2816000000003</v>
      </c>
      <c r="I541" s="1353">
        <f t="shared" si="162"/>
        <v>5628.6472320000003</v>
      </c>
      <c r="J541" s="1353">
        <f t="shared" si="163"/>
        <v>5741.2201766400003</v>
      </c>
      <c r="M541" s="1324" t="str">
        <f t="shared" si="151"/>
        <v>Tax Appeals/Tax Assessment Administration Other Expenses</v>
      </c>
      <c r="N541" s="1368">
        <f t="shared" si="152"/>
        <v>4.1145259785764443E-2</v>
      </c>
      <c r="O541" s="1368">
        <f t="shared" si="164"/>
        <v>4.1145259785764443E-2</v>
      </c>
      <c r="P541" s="1368">
        <f t="shared" si="164"/>
        <v>4.1145259785764443E-2</v>
      </c>
      <c r="Q541" s="1368">
        <f t="shared" si="164"/>
        <v>4.1145259785764443E-2</v>
      </c>
      <c r="R541" s="1368">
        <f t="shared" si="164"/>
        <v>4.1145259785764443E-2</v>
      </c>
      <c r="T541" s="1369">
        <v>0.02</v>
      </c>
      <c r="U541" s="1369">
        <v>0.02</v>
      </c>
      <c r="V541" s="1369">
        <v>0.02</v>
      </c>
      <c r="W541" s="1369">
        <v>0.02</v>
      </c>
      <c r="X541" s="1369">
        <v>0.02</v>
      </c>
      <c r="Y541" s="1367"/>
      <c r="Z541" s="1370">
        <v>0</v>
      </c>
      <c r="AA541" s="1370">
        <v>0</v>
      </c>
      <c r="AB541" s="1370">
        <v>0</v>
      </c>
      <c r="AC541" s="1370">
        <v>0</v>
      </c>
      <c r="AD541" s="1370">
        <v>0</v>
      </c>
      <c r="AK541" s="1354">
        <f t="shared" si="158"/>
        <v>37796.729008640003</v>
      </c>
      <c r="AL541" s="1352">
        <f t="shared" si="165"/>
        <v>22</v>
      </c>
      <c r="AM541" s="1354">
        <f t="shared" si="155"/>
        <v>541.22017664000032</v>
      </c>
      <c r="AN541" s="1352" t="str">
        <f t="shared" si="156"/>
        <v>Tax Appeals/Tax Assessment Administration Other Expenses</v>
      </c>
    </row>
    <row r="542" spans="1:40" ht="13.5" customHeight="1" x14ac:dyDescent="0.2">
      <c r="A542" s="1324" t="str">
        <f>A541</f>
        <v>20-150</v>
      </c>
      <c r="B542" s="1324" t="s">
        <v>5812</v>
      </c>
      <c r="C542" s="1353">
        <f>'Key Metrics'!$E$181</f>
        <v>0</v>
      </c>
      <c r="D542" s="1353">
        <f>'Key Metrics'!$I$181</f>
        <v>0</v>
      </c>
      <c r="E542" s="1351">
        <f t="shared" si="145"/>
        <v>0</v>
      </c>
      <c r="F542" s="1353">
        <f t="shared" si="159"/>
        <v>0</v>
      </c>
      <c r="G542" s="1353">
        <f t="shared" si="160"/>
        <v>0</v>
      </c>
      <c r="H542" s="1353">
        <f t="shared" si="161"/>
        <v>0</v>
      </c>
      <c r="I542" s="1353">
        <f t="shared" si="162"/>
        <v>0</v>
      </c>
      <c r="J542" s="1353">
        <f t="shared" si="163"/>
        <v>0</v>
      </c>
      <c r="M542" s="1324" t="str">
        <f t="shared" si="151"/>
        <v>Tax Appeals/Tax Assessment Administration Unclassified</v>
      </c>
      <c r="N542" s="1368">
        <f t="shared" si="152"/>
        <v>0</v>
      </c>
      <c r="O542" s="1368">
        <f t="shared" si="164"/>
        <v>0</v>
      </c>
      <c r="P542" s="1368">
        <f t="shared" si="164"/>
        <v>0</v>
      </c>
      <c r="Q542" s="1368">
        <f t="shared" si="164"/>
        <v>0</v>
      </c>
      <c r="R542" s="1368">
        <f t="shared" si="164"/>
        <v>0</v>
      </c>
      <c r="T542" s="1369">
        <v>0.02</v>
      </c>
      <c r="U542" s="1369">
        <v>0.02</v>
      </c>
      <c r="V542" s="1369">
        <v>0.02</v>
      </c>
      <c r="W542" s="1369">
        <v>0.02</v>
      </c>
      <c r="X542" s="1369">
        <v>0.02</v>
      </c>
      <c r="Y542" s="1367"/>
      <c r="Z542" s="1370">
        <v>0</v>
      </c>
      <c r="AA542" s="1370">
        <v>0</v>
      </c>
      <c r="AB542" s="1370">
        <v>0</v>
      </c>
      <c r="AC542" s="1370">
        <v>0</v>
      </c>
      <c r="AD542" s="1370">
        <v>0</v>
      </c>
      <c r="AK542" s="1354">
        <f t="shared" si="158"/>
        <v>0</v>
      </c>
      <c r="AL542" s="1352">
        <f t="shared" si="165"/>
        <v>53</v>
      </c>
      <c r="AM542" s="1354">
        <f t="shared" si="155"/>
        <v>0</v>
      </c>
      <c r="AN542" s="1352" t="str">
        <f t="shared" si="156"/>
        <v>Tax Appeals/Tax Assessment Administration Unclassified</v>
      </c>
    </row>
    <row r="543" spans="1:40" ht="13.5" customHeight="1" x14ac:dyDescent="0.2">
      <c r="A543" s="1324" t="s">
        <v>5125</v>
      </c>
      <c r="B543" s="1324" t="s">
        <v>5653</v>
      </c>
      <c r="C543" s="1353">
        <f>'Key Metrics'!$C$182</f>
        <v>0</v>
      </c>
      <c r="D543" s="1353">
        <f>'Key Metrics'!$G$182</f>
        <v>0</v>
      </c>
      <c r="E543" s="1351">
        <f t="shared" si="145"/>
        <v>0</v>
      </c>
      <c r="F543" s="1353">
        <f t="shared" si="159"/>
        <v>0</v>
      </c>
      <c r="G543" s="1353">
        <f t="shared" si="160"/>
        <v>0</v>
      </c>
      <c r="H543" s="1353">
        <f t="shared" si="161"/>
        <v>0</v>
      </c>
      <c r="I543" s="1353">
        <f t="shared" si="162"/>
        <v>0</v>
      </c>
      <c r="J543" s="1353">
        <f t="shared" si="163"/>
        <v>0</v>
      </c>
      <c r="M543" s="1324" t="str">
        <f t="shared" si="151"/>
        <v>Legal Services (Legal Dept.) Salaries &amp; Wages</v>
      </c>
      <c r="N543" s="1368">
        <f t="shared" si="152"/>
        <v>0</v>
      </c>
      <c r="O543" s="1368">
        <f t="shared" si="164"/>
        <v>0</v>
      </c>
      <c r="P543" s="1368">
        <f t="shared" si="164"/>
        <v>0</v>
      </c>
      <c r="Q543" s="1368">
        <f t="shared" si="164"/>
        <v>0</v>
      </c>
      <c r="R543" s="1368">
        <f t="shared" si="164"/>
        <v>0</v>
      </c>
      <c r="T543" s="1369">
        <v>0.02</v>
      </c>
      <c r="U543" s="1369">
        <v>0.02</v>
      </c>
      <c r="V543" s="1369">
        <v>0.02</v>
      </c>
      <c r="W543" s="1369">
        <v>0.02</v>
      </c>
      <c r="X543" s="1369">
        <v>0.02</v>
      </c>
      <c r="Y543" s="1367"/>
      <c r="Z543" s="1370">
        <v>0</v>
      </c>
      <c r="AA543" s="1370">
        <v>0</v>
      </c>
      <c r="AB543" s="1370">
        <v>0</v>
      </c>
      <c r="AC543" s="1370">
        <v>0</v>
      </c>
      <c r="AD543" s="1370">
        <v>0</v>
      </c>
      <c r="AK543" s="1354">
        <f t="shared" si="158"/>
        <v>0</v>
      </c>
      <c r="AL543" s="1352">
        <f t="shared" si="165"/>
        <v>53</v>
      </c>
      <c r="AM543" s="1354">
        <f t="shared" si="155"/>
        <v>0</v>
      </c>
      <c r="AN543" s="1352" t="str">
        <f t="shared" si="156"/>
        <v>Legal Services (Legal Dept.) Salaries &amp; Wages</v>
      </c>
    </row>
    <row r="544" spans="1:40" ht="13.5" customHeight="1" x14ac:dyDescent="0.2">
      <c r="A544" s="1324" t="str">
        <f>A543</f>
        <v>20-155</v>
      </c>
      <c r="B544" s="1324" t="s">
        <v>5813</v>
      </c>
      <c r="C544" s="1353">
        <f>'Key Metrics'!$D$182</f>
        <v>18736.669999999998</v>
      </c>
      <c r="D544" s="1353">
        <f>'Key Metrics'!$H$182</f>
        <v>27060.799999999999</v>
      </c>
      <c r="E544" s="1351">
        <f t="shared" si="145"/>
        <v>0.44426944595811335</v>
      </c>
      <c r="F544" s="1353">
        <f t="shared" si="159"/>
        <v>27602.016</v>
      </c>
      <c r="G544" s="1353">
        <f t="shared" si="160"/>
        <v>28154.05632</v>
      </c>
      <c r="H544" s="1353">
        <f t="shared" si="161"/>
        <v>28717.1374464</v>
      </c>
      <c r="I544" s="1353">
        <f t="shared" si="162"/>
        <v>29291.480195328</v>
      </c>
      <c r="J544" s="1353">
        <f t="shared" si="163"/>
        <v>29877.309799234561</v>
      </c>
      <c r="M544" s="1324" t="str">
        <f t="shared" si="151"/>
        <v>Legal Services (Legal Dept.) Other Expenses</v>
      </c>
      <c r="N544" s="1368">
        <f t="shared" si="152"/>
        <v>0.44426944595811335</v>
      </c>
      <c r="O544" s="1368">
        <f t="shared" si="164"/>
        <v>0.44426944595811335</v>
      </c>
      <c r="P544" s="1368">
        <f t="shared" si="164"/>
        <v>0.44426944595811335</v>
      </c>
      <c r="Q544" s="1368">
        <f t="shared" si="164"/>
        <v>0.44426944595811335</v>
      </c>
      <c r="R544" s="1368">
        <f t="shared" si="164"/>
        <v>0.44426944595811335</v>
      </c>
      <c r="T544" s="1369">
        <v>0.02</v>
      </c>
      <c r="U544" s="1369">
        <v>0.02</v>
      </c>
      <c r="V544" s="1369">
        <v>0.02</v>
      </c>
      <c r="W544" s="1369">
        <v>0.02</v>
      </c>
      <c r="X544" s="1369">
        <v>0.02</v>
      </c>
      <c r="Y544" s="1367"/>
      <c r="Z544" s="1370">
        <v>0</v>
      </c>
      <c r="AA544" s="1370">
        <v>0</v>
      </c>
      <c r="AB544" s="1370">
        <v>0</v>
      </c>
      <c r="AC544" s="1370">
        <v>0</v>
      </c>
      <c r="AD544" s="1370">
        <v>0</v>
      </c>
      <c r="AK544" s="1354">
        <f t="shared" si="158"/>
        <v>189439.46976096256</v>
      </c>
      <c r="AL544" s="1352">
        <f t="shared" si="165"/>
        <v>3</v>
      </c>
      <c r="AM544" s="1354">
        <f t="shared" si="155"/>
        <v>2816.5097992345618</v>
      </c>
      <c r="AN544" s="1352" t="str">
        <f t="shared" si="156"/>
        <v>Legal Services (Legal Dept.) Other Expenses</v>
      </c>
    </row>
    <row r="545" spans="1:40" ht="13.5" customHeight="1" x14ac:dyDescent="0.2">
      <c r="A545" s="1324" t="str">
        <f>A544</f>
        <v>20-155</v>
      </c>
      <c r="B545" s="1324" t="s">
        <v>5814</v>
      </c>
      <c r="C545" s="1353">
        <f>'Key Metrics'!$E$182</f>
        <v>0</v>
      </c>
      <c r="D545" s="1353">
        <f>'Key Metrics'!$I$182</f>
        <v>0</v>
      </c>
      <c r="E545" s="1351">
        <f t="shared" si="145"/>
        <v>0</v>
      </c>
      <c r="F545" s="1353">
        <f t="shared" si="159"/>
        <v>0</v>
      </c>
      <c r="G545" s="1353">
        <f t="shared" si="160"/>
        <v>0</v>
      </c>
      <c r="H545" s="1353">
        <f t="shared" si="161"/>
        <v>0</v>
      </c>
      <c r="I545" s="1353">
        <f t="shared" si="162"/>
        <v>0</v>
      </c>
      <c r="J545" s="1353">
        <f t="shared" si="163"/>
        <v>0</v>
      </c>
      <c r="M545" s="1324" t="str">
        <f t="shared" si="151"/>
        <v>Legal Services (Legal Dept.) Unclassified</v>
      </c>
      <c r="N545" s="1368">
        <f t="shared" si="152"/>
        <v>0</v>
      </c>
      <c r="O545" s="1368">
        <f t="shared" si="164"/>
        <v>0</v>
      </c>
      <c r="P545" s="1368">
        <f t="shared" si="164"/>
        <v>0</v>
      </c>
      <c r="Q545" s="1368">
        <f t="shared" si="164"/>
        <v>0</v>
      </c>
      <c r="R545" s="1368">
        <f t="shared" si="164"/>
        <v>0</v>
      </c>
      <c r="T545" s="1369">
        <v>0.02</v>
      </c>
      <c r="U545" s="1369">
        <v>0.02</v>
      </c>
      <c r="V545" s="1369">
        <v>0.02</v>
      </c>
      <c r="W545" s="1369">
        <v>0.02</v>
      </c>
      <c r="X545" s="1369">
        <v>0.02</v>
      </c>
      <c r="Y545" s="1367"/>
      <c r="Z545" s="1370">
        <v>0</v>
      </c>
      <c r="AA545" s="1370">
        <v>0</v>
      </c>
      <c r="AB545" s="1370">
        <v>0</v>
      </c>
      <c r="AC545" s="1370">
        <v>0</v>
      </c>
      <c r="AD545" s="1370">
        <v>0</v>
      </c>
      <c r="AK545" s="1354">
        <f t="shared" si="158"/>
        <v>0</v>
      </c>
      <c r="AL545" s="1352">
        <f t="shared" si="165"/>
        <v>53</v>
      </c>
      <c r="AM545" s="1354">
        <f t="shared" si="155"/>
        <v>0</v>
      </c>
      <c r="AN545" s="1352" t="str">
        <f t="shared" si="156"/>
        <v>Legal Services (Legal Dept.) Unclassified</v>
      </c>
    </row>
    <row r="546" spans="1:40" x14ac:dyDescent="0.2">
      <c r="A546" s="1324" t="s">
        <v>5128</v>
      </c>
      <c r="B546" s="1324" t="s">
        <v>5654</v>
      </c>
      <c r="C546" s="1353">
        <f>'Key Metrics'!$C$183</f>
        <v>0</v>
      </c>
      <c r="D546" s="1353">
        <f>'Key Metrics'!$G$183</f>
        <v>0</v>
      </c>
      <c r="E546" s="1351">
        <f t="shared" si="145"/>
        <v>0</v>
      </c>
      <c r="F546" s="1353">
        <f t="shared" si="159"/>
        <v>0</v>
      </c>
      <c r="G546" s="1353">
        <f t="shared" si="160"/>
        <v>0</v>
      </c>
      <c r="H546" s="1353">
        <f t="shared" si="161"/>
        <v>0</v>
      </c>
      <c r="I546" s="1353">
        <f t="shared" si="162"/>
        <v>0</v>
      </c>
      <c r="J546" s="1353">
        <f t="shared" si="163"/>
        <v>0</v>
      </c>
      <c r="M546" s="1324" t="str">
        <f t="shared" si="151"/>
        <v>County Surrogate's Office Salaries &amp; Wages</v>
      </c>
      <c r="N546" s="1368">
        <f t="shared" si="152"/>
        <v>0</v>
      </c>
      <c r="O546" s="1368">
        <f t="shared" si="164"/>
        <v>0</v>
      </c>
      <c r="P546" s="1368">
        <f t="shared" si="164"/>
        <v>0</v>
      </c>
      <c r="Q546" s="1368">
        <f t="shared" si="164"/>
        <v>0</v>
      </c>
      <c r="R546" s="1368">
        <f t="shared" si="164"/>
        <v>0</v>
      </c>
      <c r="T546" s="1369">
        <v>0.02</v>
      </c>
      <c r="U546" s="1369">
        <v>0.02</v>
      </c>
      <c r="V546" s="1369">
        <v>0.02</v>
      </c>
      <c r="W546" s="1369">
        <v>0.02</v>
      </c>
      <c r="X546" s="1369">
        <v>0.02</v>
      </c>
      <c r="Y546" s="1367"/>
      <c r="Z546" s="1370">
        <v>0</v>
      </c>
      <c r="AA546" s="1370">
        <v>0</v>
      </c>
      <c r="AB546" s="1370">
        <v>0</v>
      </c>
      <c r="AC546" s="1370">
        <v>0</v>
      </c>
      <c r="AD546" s="1370">
        <v>0</v>
      </c>
      <c r="AK546" s="1354">
        <f t="shared" si="158"/>
        <v>0</v>
      </c>
      <c r="AL546" s="1352">
        <f t="shared" si="165"/>
        <v>53</v>
      </c>
      <c r="AM546" s="1354">
        <f t="shared" si="155"/>
        <v>0</v>
      </c>
      <c r="AN546" s="1352" t="str">
        <f t="shared" si="156"/>
        <v>County Surrogate's Office Salaries &amp; Wages</v>
      </c>
    </row>
    <row r="547" spans="1:40" x14ac:dyDescent="0.2">
      <c r="A547" s="1324" t="str">
        <f>A546</f>
        <v>20-160</v>
      </c>
      <c r="B547" s="1324" t="s">
        <v>5815</v>
      </c>
      <c r="C547" s="1353">
        <f>'Key Metrics'!$D$183</f>
        <v>0</v>
      </c>
      <c r="D547" s="1353">
        <f>'Key Metrics'!$H$183</f>
        <v>0</v>
      </c>
      <c r="E547" s="1351">
        <f t="shared" si="145"/>
        <v>0</v>
      </c>
      <c r="F547" s="1353">
        <f t="shared" si="159"/>
        <v>0</v>
      </c>
      <c r="G547" s="1353">
        <f t="shared" si="160"/>
        <v>0</v>
      </c>
      <c r="H547" s="1353">
        <f t="shared" si="161"/>
        <v>0</v>
      </c>
      <c r="I547" s="1353">
        <f t="shared" si="162"/>
        <v>0</v>
      </c>
      <c r="J547" s="1353">
        <f t="shared" si="163"/>
        <v>0</v>
      </c>
      <c r="M547" s="1324" t="str">
        <f t="shared" si="151"/>
        <v>County Surrogate's Office Other Expenses</v>
      </c>
      <c r="N547" s="1368">
        <f t="shared" si="152"/>
        <v>0</v>
      </c>
      <c r="O547" s="1368">
        <f t="shared" si="164"/>
        <v>0</v>
      </c>
      <c r="P547" s="1368">
        <f t="shared" si="164"/>
        <v>0</v>
      </c>
      <c r="Q547" s="1368">
        <f t="shared" si="164"/>
        <v>0</v>
      </c>
      <c r="R547" s="1368">
        <f t="shared" si="164"/>
        <v>0</v>
      </c>
      <c r="T547" s="1369">
        <v>0.02</v>
      </c>
      <c r="U547" s="1369">
        <v>0.02</v>
      </c>
      <c r="V547" s="1369">
        <v>0.02</v>
      </c>
      <c r="W547" s="1369">
        <v>0.02</v>
      </c>
      <c r="X547" s="1369">
        <v>0.02</v>
      </c>
      <c r="Y547" s="1367"/>
      <c r="Z547" s="1370">
        <v>0</v>
      </c>
      <c r="AA547" s="1370">
        <v>0</v>
      </c>
      <c r="AB547" s="1370">
        <v>0</v>
      </c>
      <c r="AC547" s="1370">
        <v>0</v>
      </c>
      <c r="AD547" s="1370">
        <v>0</v>
      </c>
      <c r="AK547" s="1354">
        <f t="shared" si="158"/>
        <v>0</v>
      </c>
      <c r="AL547" s="1352">
        <f t="shared" si="165"/>
        <v>53</v>
      </c>
      <c r="AM547" s="1354">
        <f t="shared" si="155"/>
        <v>0</v>
      </c>
      <c r="AN547" s="1352" t="str">
        <f t="shared" si="156"/>
        <v>County Surrogate's Office Other Expenses</v>
      </c>
    </row>
    <row r="548" spans="1:40" x14ac:dyDescent="0.2">
      <c r="A548" s="1324" t="str">
        <f>A547</f>
        <v>20-160</v>
      </c>
      <c r="B548" s="1324" t="s">
        <v>5816</v>
      </c>
      <c r="C548" s="1353">
        <f>'Key Metrics'!$E$183</f>
        <v>0</v>
      </c>
      <c r="D548" s="1353">
        <f>'Key Metrics'!$I$183</f>
        <v>0</v>
      </c>
      <c r="E548" s="1351">
        <f t="shared" si="145"/>
        <v>0</v>
      </c>
      <c r="F548" s="1353">
        <f t="shared" si="159"/>
        <v>0</v>
      </c>
      <c r="G548" s="1353">
        <f t="shared" si="160"/>
        <v>0</v>
      </c>
      <c r="H548" s="1353">
        <f t="shared" si="161"/>
        <v>0</v>
      </c>
      <c r="I548" s="1353">
        <f t="shared" si="162"/>
        <v>0</v>
      </c>
      <c r="J548" s="1353">
        <f t="shared" si="163"/>
        <v>0</v>
      </c>
      <c r="M548" s="1324" t="str">
        <f t="shared" si="151"/>
        <v>County Surrogate's Office Unclassified</v>
      </c>
      <c r="N548" s="1368">
        <f t="shared" si="152"/>
        <v>0</v>
      </c>
      <c r="O548" s="1368">
        <f t="shared" si="164"/>
        <v>0</v>
      </c>
      <c r="P548" s="1368">
        <f t="shared" si="164"/>
        <v>0</v>
      </c>
      <c r="Q548" s="1368">
        <f t="shared" si="164"/>
        <v>0</v>
      </c>
      <c r="R548" s="1368">
        <f t="shared" si="164"/>
        <v>0</v>
      </c>
      <c r="T548" s="1369">
        <v>0.02</v>
      </c>
      <c r="U548" s="1369">
        <v>0.02</v>
      </c>
      <c r="V548" s="1369">
        <v>0.02</v>
      </c>
      <c r="W548" s="1369">
        <v>0.02</v>
      </c>
      <c r="X548" s="1369">
        <v>0.02</v>
      </c>
      <c r="Y548" s="1367"/>
      <c r="Z548" s="1370">
        <v>0</v>
      </c>
      <c r="AA548" s="1370">
        <v>0</v>
      </c>
      <c r="AB548" s="1370">
        <v>0</v>
      </c>
      <c r="AC548" s="1370">
        <v>0</v>
      </c>
      <c r="AD548" s="1370">
        <v>0</v>
      </c>
      <c r="AK548" s="1354">
        <f t="shared" si="158"/>
        <v>0</v>
      </c>
      <c r="AL548" s="1352">
        <f t="shared" si="165"/>
        <v>53</v>
      </c>
      <c r="AM548" s="1354">
        <f t="shared" si="155"/>
        <v>0</v>
      </c>
      <c r="AN548" s="1352" t="str">
        <f t="shared" si="156"/>
        <v>County Surrogate's Office Unclassified</v>
      </c>
    </row>
    <row r="549" spans="1:40" x14ac:dyDescent="0.2">
      <c r="A549" s="1324" t="s">
        <v>5130</v>
      </c>
      <c r="B549" s="1324" t="s">
        <v>5655</v>
      </c>
      <c r="C549" s="1353">
        <f>'Key Metrics'!$C$184</f>
        <v>0</v>
      </c>
      <c r="D549" s="1353">
        <f>'Key Metrics'!$G$184</f>
        <v>0</v>
      </c>
      <c r="E549" s="1351">
        <f t="shared" si="145"/>
        <v>0</v>
      </c>
      <c r="F549" s="1353">
        <f t="shared" si="159"/>
        <v>0</v>
      </c>
      <c r="G549" s="1353">
        <f t="shared" si="160"/>
        <v>0</v>
      </c>
      <c r="H549" s="1353">
        <f t="shared" si="161"/>
        <v>0</v>
      </c>
      <c r="I549" s="1353">
        <f t="shared" si="162"/>
        <v>0</v>
      </c>
      <c r="J549" s="1353">
        <f t="shared" si="163"/>
        <v>0</v>
      </c>
      <c r="M549" s="1324" t="str">
        <f t="shared" si="151"/>
        <v>Engineering Services Salaries &amp; Wages</v>
      </c>
      <c r="N549" s="1368">
        <f t="shared" si="152"/>
        <v>0</v>
      </c>
      <c r="O549" s="1368">
        <f t="shared" si="164"/>
        <v>0</v>
      </c>
      <c r="P549" s="1368">
        <f t="shared" si="164"/>
        <v>0</v>
      </c>
      <c r="Q549" s="1368">
        <f t="shared" si="164"/>
        <v>0</v>
      </c>
      <c r="R549" s="1368">
        <f t="shared" si="164"/>
        <v>0</v>
      </c>
      <c r="T549" s="1369">
        <v>0.02</v>
      </c>
      <c r="U549" s="1369">
        <v>0.02</v>
      </c>
      <c r="V549" s="1369">
        <v>0.02</v>
      </c>
      <c r="W549" s="1369">
        <v>0.02</v>
      </c>
      <c r="X549" s="1369">
        <v>0.02</v>
      </c>
      <c r="Y549" s="1367"/>
      <c r="Z549" s="1370">
        <v>0</v>
      </c>
      <c r="AA549" s="1370">
        <v>0</v>
      </c>
      <c r="AB549" s="1370">
        <v>0</v>
      </c>
      <c r="AC549" s="1370">
        <v>0</v>
      </c>
      <c r="AD549" s="1370">
        <v>0</v>
      </c>
      <c r="AK549" s="1354">
        <f t="shared" si="158"/>
        <v>0</v>
      </c>
      <c r="AL549" s="1352">
        <f t="shared" si="165"/>
        <v>53</v>
      </c>
      <c r="AM549" s="1354">
        <f t="shared" si="155"/>
        <v>0</v>
      </c>
      <c r="AN549" s="1352" t="str">
        <f t="shared" si="156"/>
        <v>Engineering Services Salaries &amp; Wages</v>
      </c>
    </row>
    <row r="550" spans="1:40" x14ac:dyDescent="0.2">
      <c r="A550" s="1324" t="str">
        <f>A549</f>
        <v>20-165</v>
      </c>
      <c r="B550" s="1324" t="s">
        <v>5817</v>
      </c>
      <c r="C550" s="1353">
        <f>'Key Metrics'!$D$184</f>
        <v>1620.3</v>
      </c>
      <c r="D550" s="1353">
        <f>'Key Metrics'!$H$184</f>
        <v>4161.6000000000004</v>
      </c>
      <c r="E550" s="1351">
        <f t="shared" si="145"/>
        <v>1.5684132568042957</v>
      </c>
      <c r="F550" s="1353">
        <f t="shared" si="159"/>
        <v>4244.8320000000003</v>
      </c>
      <c r="G550" s="1353">
        <f t="shared" si="160"/>
        <v>4329.7286400000003</v>
      </c>
      <c r="H550" s="1353">
        <f t="shared" si="161"/>
        <v>4416.3232128</v>
      </c>
      <c r="I550" s="1353">
        <f t="shared" si="162"/>
        <v>4504.6496770559997</v>
      </c>
      <c r="J550" s="1353">
        <f t="shared" si="163"/>
        <v>4594.7426705971202</v>
      </c>
      <c r="M550" s="1324" t="str">
        <f t="shared" si="151"/>
        <v>Engineering Services Other Expenses</v>
      </c>
      <c r="N550" s="1368">
        <f t="shared" si="152"/>
        <v>1.5684132568042957</v>
      </c>
      <c r="O550" s="1368">
        <f t="shared" si="164"/>
        <v>1.5684132568042957</v>
      </c>
      <c r="P550" s="1368">
        <f t="shared" si="164"/>
        <v>1.5684132568042957</v>
      </c>
      <c r="Q550" s="1368">
        <f t="shared" si="164"/>
        <v>1.5684132568042957</v>
      </c>
      <c r="R550" s="1368">
        <f t="shared" si="164"/>
        <v>1.5684132568042957</v>
      </c>
      <c r="T550" s="1369">
        <v>0.02</v>
      </c>
      <c r="U550" s="1369">
        <v>0.02</v>
      </c>
      <c r="V550" s="1369">
        <v>0.02</v>
      </c>
      <c r="W550" s="1369">
        <v>0.02</v>
      </c>
      <c r="X550" s="1369">
        <v>0.02</v>
      </c>
      <c r="Y550" s="1367"/>
      <c r="Z550" s="1370">
        <v>0</v>
      </c>
      <c r="AA550" s="1370">
        <v>0</v>
      </c>
      <c r="AB550" s="1370">
        <v>0</v>
      </c>
      <c r="AC550" s="1370">
        <v>0</v>
      </c>
      <c r="AD550" s="1370">
        <v>0</v>
      </c>
      <c r="AK550" s="1354">
        <f t="shared" si="158"/>
        <v>27872.176200453119</v>
      </c>
      <c r="AL550" s="1352">
        <f t="shared" si="165"/>
        <v>29</v>
      </c>
      <c r="AM550" s="1354">
        <f t="shared" si="155"/>
        <v>433.14267059711983</v>
      </c>
      <c r="AN550" s="1352" t="str">
        <f t="shared" si="156"/>
        <v>Engineering Services Other Expenses</v>
      </c>
    </row>
    <row r="551" spans="1:40" x14ac:dyDescent="0.2">
      <c r="A551" s="1324" t="str">
        <f>A550</f>
        <v>20-165</v>
      </c>
      <c r="B551" s="1324" t="s">
        <v>5818</v>
      </c>
      <c r="C551" s="1353">
        <f>'Key Metrics'!$E$184</f>
        <v>0</v>
      </c>
      <c r="D551" s="1353">
        <f>'Key Metrics'!$I$184</f>
        <v>0</v>
      </c>
      <c r="E551" s="1351">
        <f t="shared" si="145"/>
        <v>0</v>
      </c>
      <c r="F551" s="1353">
        <f t="shared" si="159"/>
        <v>0</v>
      </c>
      <c r="G551" s="1353">
        <f t="shared" si="160"/>
        <v>0</v>
      </c>
      <c r="H551" s="1353">
        <f t="shared" si="161"/>
        <v>0</v>
      </c>
      <c r="I551" s="1353">
        <f t="shared" si="162"/>
        <v>0</v>
      </c>
      <c r="J551" s="1353">
        <f t="shared" si="163"/>
        <v>0</v>
      </c>
      <c r="M551" s="1324" t="str">
        <f t="shared" si="151"/>
        <v>Engineering Services Unclassified</v>
      </c>
      <c r="N551" s="1368">
        <f t="shared" si="152"/>
        <v>0</v>
      </c>
      <c r="O551" s="1368">
        <f t="shared" si="164"/>
        <v>0</v>
      </c>
      <c r="P551" s="1368">
        <f t="shared" si="164"/>
        <v>0</v>
      </c>
      <c r="Q551" s="1368">
        <f t="shared" si="164"/>
        <v>0</v>
      </c>
      <c r="R551" s="1368">
        <f t="shared" si="164"/>
        <v>0</v>
      </c>
      <c r="T551" s="1369">
        <v>0.02</v>
      </c>
      <c r="U551" s="1369">
        <v>0.02</v>
      </c>
      <c r="V551" s="1369">
        <v>0.02</v>
      </c>
      <c r="W551" s="1369">
        <v>0.02</v>
      </c>
      <c r="X551" s="1369">
        <v>0.02</v>
      </c>
      <c r="Y551" s="1367"/>
      <c r="Z551" s="1370">
        <v>0</v>
      </c>
      <c r="AA551" s="1370">
        <v>0</v>
      </c>
      <c r="AB551" s="1370">
        <v>0</v>
      </c>
      <c r="AC551" s="1370">
        <v>0</v>
      </c>
      <c r="AD551" s="1370">
        <v>0</v>
      </c>
      <c r="AK551" s="1354">
        <f t="shared" si="158"/>
        <v>0</v>
      </c>
      <c r="AL551" s="1352">
        <f t="shared" si="165"/>
        <v>53</v>
      </c>
      <c r="AM551" s="1354">
        <f t="shared" si="155"/>
        <v>0</v>
      </c>
      <c r="AN551" s="1352" t="str">
        <f t="shared" si="156"/>
        <v>Engineering Services Unclassified</v>
      </c>
    </row>
    <row r="552" spans="1:40" x14ac:dyDescent="0.2">
      <c r="A552" s="1324" t="s">
        <v>5132</v>
      </c>
      <c r="B552" s="1324" t="s">
        <v>5656</v>
      </c>
      <c r="C552" s="1353">
        <f>'Key Metrics'!$C$185</f>
        <v>0</v>
      </c>
      <c r="D552" s="1353">
        <f>'Key Metrics'!$G$185</f>
        <v>0</v>
      </c>
      <c r="E552" s="1351">
        <f t="shared" si="145"/>
        <v>0</v>
      </c>
      <c r="F552" s="1353">
        <f t="shared" si="159"/>
        <v>0</v>
      </c>
      <c r="G552" s="1353">
        <f t="shared" si="160"/>
        <v>0</v>
      </c>
      <c r="H552" s="1353">
        <f t="shared" si="161"/>
        <v>0</v>
      </c>
      <c r="I552" s="1353">
        <f t="shared" si="162"/>
        <v>0</v>
      </c>
      <c r="J552" s="1353">
        <f t="shared" si="163"/>
        <v>0</v>
      </c>
      <c r="M552" s="1324" t="str">
        <f t="shared" si="151"/>
        <v>Economic Development Agencies Salaries &amp; Wages</v>
      </c>
      <c r="N552" s="1368">
        <f t="shared" si="152"/>
        <v>0</v>
      </c>
      <c r="O552" s="1368">
        <f t="shared" ref="O552:R557" si="166">N552</f>
        <v>0</v>
      </c>
      <c r="P552" s="1368">
        <f t="shared" si="166"/>
        <v>0</v>
      </c>
      <c r="Q552" s="1368">
        <f t="shared" si="166"/>
        <v>0</v>
      </c>
      <c r="R552" s="1368">
        <f t="shared" si="166"/>
        <v>0</v>
      </c>
      <c r="T552" s="1369">
        <v>0.02</v>
      </c>
      <c r="U552" s="1369">
        <v>0.02</v>
      </c>
      <c r="V552" s="1369">
        <v>0.02</v>
      </c>
      <c r="W552" s="1369">
        <v>0.02</v>
      </c>
      <c r="X552" s="1369">
        <v>0.02</v>
      </c>
      <c r="Y552" s="1367"/>
      <c r="Z552" s="1370">
        <v>0</v>
      </c>
      <c r="AA552" s="1370">
        <v>0</v>
      </c>
      <c r="AB552" s="1370">
        <v>0</v>
      </c>
      <c r="AC552" s="1370">
        <v>0</v>
      </c>
      <c r="AD552" s="1370">
        <v>0</v>
      </c>
      <c r="AK552" s="1354">
        <f t="shared" si="158"/>
        <v>0</v>
      </c>
      <c r="AL552" s="1352">
        <f t="shared" si="165"/>
        <v>53</v>
      </c>
      <c r="AM552" s="1354">
        <f t="shared" si="155"/>
        <v>0</v>
      </c>
      <c r="AN552" s="1352" t="str">
        <f t="shared" si="156"/>
        <v>Economic Development Agencies Salaries &amp; Wages</v>
      </c>
    </row>
    <row r="553" spans="1:40" x14ac:dyDescent="0.2">
      <c r="A553" s="1324" t="str">
        <f>A552</f>
        <v>20-170</v>
      </c>
      <c r="B553" s="1324" t="s">
        <v>5819</v>
      </c>
      <c r="C553" s="1353">
        <f>'Key Metrics'!$D$185</f>
        <v>0</v>
      </c>
      <c r="D553" s="1353">
        <f>'Key Metrics'!$H$185</f>
        <v>100</v>
      </c>
      <c r="E553" s="1351">
        <f t="shared" si="145"/>
        <v>0</v>
      </c>
      <c r="F553" s="1353">
        <f t="shared" si="159"/>
        <v>102</v>
      </c>
      <c r="G553" s="1353">
        <f t="shared" si="160"/>
        <v>104.04</v>
      </c>
      <c r="H553" s="1353">
        <f t="shared" si="161"/>
        <v>106.1208</v>
      </c>
      <c r="I553" s="1353">
        <f t="shared" si="162"/>
        <v>108.243216</v>
      </c>
      <c r="J553" s="1353">
        <f t="shared" si="163"/>
        <v>110.40808032000001</v>
      </c>
      <c r="M553" s="1324" t="str">
        <f t="shared" si="151"/>
        <v>Economic Development Agencies Other Expenses</v>
      </c>
      <c r="N553" s="1368">
        <f t="shared" si="152"/>
        <v>0</v>
      </c>
      <c r="O553" s="1368">
        <f t="shared" si="166"/>
        <v>0</v>
      </c>
      <c r="P553" s="1368">
        <f t="shared" si="166"/>
        <v>0</v>
      </c>
      <c r="Q553" s="1368">
        <f t="shared" si="166"/>
        <v>0</v>
      </c>
      <c r="R553" s="1368">
        <f t="shared" si="166"/>
        <v>0</v>
      </c>
      <c r="T553" s="1369">
        <v>0.02</v>
      </c>
      <c r="U553" s="1369">
        <v>0.02</v>
      </c>
      <c r="V553" s="1369">
        <v>0.02</v>
      </c>
      <c r="W553" s="1369">
        <v>0.02</v>
      </c>
      <c r="X553" s="1369">
        <v>0.02</v>
      </c>
      <c r="Y553" s="1367"/>
      <c r="Z553" s="1370">
        <v>0</v>
      </c>
      <c r="AA553" s="1370">
        <v>0</v>
      </c>
      <c r="AB553" s="1370">
        <v>0</v>
      </c>
      <c r="AC553" s="1370">
        <v>0</v>
      </c>
      <c r="AD553" s="1370">
        <v>0</v>
      </c>
      <c r="AK553" s="1354">
        <f t="shared" si="158"/>
        <v>630.81209631999991</v>
      </c>
      <c r="AL553" s="1352">
        <f t="shared" si="165"/>
        <v>44</v>
      </c>
      <c r="AM553" s="1354">
        <f t="shared" si="155"/>
        <v>10.40808032000001</v>
      </c>
      <c r="AN553" s="1352" t="str">
        <f t="shared" si="156"/>
        <v>Economic Development Agencies Other Expenses</v>
      </c>
    </row>
    <row r="554" spans="1:40" x14ac:dyDescent="0.2">
      <c r="A554" s="1324" t="str">
        <f>A553</f>
        <v>20-170</v>
      </c>
      <c r="B554" s="1324" t="s">
        <v>5820</v>
      </c>
      <c r="C554" s="1353">
        <f>'Key Metrics'!$E$185</f>
        <v>0</v>
      </c>
      <c r="D554" s="1353">
        <f>'Key Metrics'!$I$185</f>
        <v>0</v>
      </c>
      <c r="E554" s="1351">
        <f t="shared" si="145"/>
        <v>0</v>
      </c>
      <c r="F554" s="1353">
        <f t="shared" si="159"/>
        <v>0</v>
      </c>
      <c r="G554" s="1353">
        <f t="shared" si="160"/>
        <v>0</v>
      </c>
      <c r="H554" s="1353">
        <f t="shared" si="161"/>
        <v>0</v>
      </c>
      <c r="I554" s="1353">
        <f t="shared" si="162"/>
        <v>0</v>
      </c>
      <c r="J554" s="1353">
        <f t="shared" si="163"/>
        <v>0</v>
      </c>
      <c r="M554" s="1324" t="str">
        <f t="shared" si="151"/>
        <v>Economic Development Agencies Unclassified</v>
      </c>
      <c r="N554" s="1368">
        <f t="shared" si="152"/>
        <v>0</v>
      </c>
      <c r="O554" s="1368">
        <f t="shared" si="166"/>
        <v>0</v>
      </c>
      <c r="P554" s="1368">
        <f t="shared" si="166"/>
        <v>0</v>
      </c>
      <c r="Q554" s="1368">
        <f t="shared" si="166"/>
        <v>0</v>
      </c>
      <c r="R554" s="1368">
        <f t="shared" si="166"/>
        <v>0</v>
      </c>
      <c r="T554" s="1369">
        <v>0.02</v>
      </c>
      <c r="U554" s="1369">
        <v>0.02</v>
      </c>
      <c r="V554" s="1369">
        <v>0.02</v>
      </c>
      <c r="W554" s="1369">
        <v>0.02</v>
      </c>
      <c r="X554" s="1369">
        <v>0.02</v>
      </c>
      <c r="Y554" s="1367"/>
      <c r="Z554" s="1370">
        <v>0</v>
      </c>
      <c r="AA554" s="1370">
        <v>0</v>
      </c>
      <c r="AB554" s="1370">
        <v>0</v>
      </c>
      <c r="AC554" s="1370">
        <v>0</v>
      </c>
      <c r="AD554" s="1370">
        <v>0</v>
      </c>
      <c r="AK554" s="1354">
        <f t="shared" si="158"/>
        <v>0</v>
      </c>
      <c r="AL554" s="1352">
        <f t="shared" si="165"/>
        <v>53</v>
      </c>
      <c r="AM554" s="1354">
        <f t="shared" si="155"/>
        <v>0</v>
      </c>
      <c r="AN554" s="1352" t="str">
        <f t="shared" si="156"/>
        <v>Economic Development Agencies Unclassified</v>
      </c>
    </row>
    <row r="555" spans="1:40" x14ac:dyDescent="0.2">
      <c r="A555" s="1324" t="s">
        <v>5134</v>
      </c>
      <c r="B555" s="1324" t="s">
        <v>5657</v>
      </c>
      <c r="C555" s="1353">
        <f>'Key Metrics'!$C$186</f>
        <v>0</v>
      </c>
      <c r="D555" s="1353">
        <f>'Key Metrics'!$G$186</f>
        <v>0</v>
      </c>
      <c r="E555" s="1351">
        <f t="shared" si="145"/>
        <v>0</v>
      </c>
      <c r="F555" s="1353">
        <f t="shared" si="159"/>
        <v>0</v>
      </c>
      <c r="G555" s="1353">
        <f t="shared" si="160"/>
        <v>0</v>
      </c>
      <c r="H555" s="1353">
        <f t="shared" si="161"/>
        <v>0</v>
      </c>
      <c r="I555" s="1353">
        <f t="shared" si="162"/>
        <v>0</v>
      </c>
      <c r="J555" s="1353">
        <f t="shared" si="163"/>
        <v>0</v>
      </c>
      <c r="M555" s="1324" t="str">
        <f t="shared" si="151"/>
        <v>Historical Sites Office Salaries &amp; Wages</v>
      </c>
      <c r="N555" s="1368">
        <f t="shared" si="152"/>
        <v>0</v>
      </c>
      <c r="O555" s="1368">
        <f t="shared" si="166"/>
        <v>0</v>
      </c>
      <c r="P555" s="1368">
        <f t="shared" si="166"/>
        <v>0</v>
      </c>
      <c r="Q555" s="1368">
        <f t="shared" si="166"/>
        <v>0</v>
      </c>
      <c r="R555" s="1368">
        <f t="shared" si="166"/>
        <v>0</v>
      </c>
      <c r="T555" s="1369">
        <v>0.02</v>
      </c>
      <c r="U555" s="1369">
        <v>0.02</v>
      </c>
      <c r="V555" s="1369">
        <v>0.02</v>
      </c>
      <c r="W555" s="1369">
        <v>0.02</v>
      </c>
      <c r="X555" s="1369">
        <v>0.02</v>
      </c>
      <c r="Y555" s="1367"/>
      <c r="Z555" s="1370">
        <v>0</v>
      </c>
      <c r="AA555" s="1370">
        <v>0</v>
      </c>
      <c r="AB555" s="1370">
        <v>0</v>
      </c>
      <c r="AC555" s="1370">
        <v>0</v>
      </c>
      <c r="AD555" s="1370">
        <v>0</v>
      </c>
      <c r="AK555" s="1354">
        <f t="shared" si="158"/>
        <v>0</v>
      </c>
      <c r="AL555" s="1352">
        <f t="shared" si="165"/>
        <v>53</v>
      </c>
      <c r="AM555" s="1354">
        <f t="shared" si="155"/>
        <v>0</v>
      </c>
      <c r="AN555" s="1352" t="str">
        <f t="shared" si="156"/>
        <v>Historical Sites Office Salaries &amp; Wages</v>
      </c>
    </row>
    <row r="556" spans="1:40" x14ac:dyDescent="0.2">
      <c r="A556" s="1324" t="str">
        <f>A555</f>
        <v>20-175</v>
      </c>
      <c r="B556" s="1324" t="s">
        <v>5821</v>
      </c>
      <c r="C556" s="1353">
        <f>'Key Metrics'!$D$186</f>
        <v>0</v>
      </c>
      <c r="D556" s="1353">
        <f>'Key Metrics'!$H$186</f>
        <v>0</v>
      </c>
      <c r="E556" s="1351">
        <f t="shared" si="145"/>
        <v>0</v>
      </c>
      <c r="F556" s="1353">
        <f t="shared" si="159"/>
        <v>0</v>
      </c>
      <c r="G556" s="1353">
        <f t="shared" si="160"/>
        <v>0</v>
      </c>
      <c r="H556" s="1353">
        <f t="shared" si="161"/>
        <v>0</v>
      </c>
      <c r="I556" s="1353">
        <f t="shared" si="162"/>
        <v>0</v>
      </c>
      <c r="J556" s="1353">
        <f t="shared" si="163"/>
        <v>0</v>
      </c>
      <c r="M556" s="1324" t="str">
        <f t="shared" si="151"/>
        <v>Historical Sites Office Other Expenses</v>
      </c>
      <c r="N556" s="1368">
        <f t="shared" si="152"/>
        <v>0</v>
      </c>
      <c r="O556" s="1368">
        <f t="shared" si="166"/>
        <v>0</v>
      </c>
      <c r="P556" s="1368">
        <f t="shared" si="166"/>
        <v>0</v>
      </c>
      <c r="Q556" s="1368">
        <f t="shared" si="166"/>
        <v>0</v>
      </c>
      <c r="R556" s="1368">
        <f t="shared" si="166"/>
        <v>0</v>
      </c>
      <c r="T556" s="1369">
        <v>0.02</v>
      </c>
      <c r="U556" s="1369">
        <v>0.02</v>
      </c>
      <c r="V556" s="1369">
        <v>0.02</v>
      </c>
      <c r="W556" s="1369">
        <v>0.02</v>
      </c>
      <c r="X556" s="1369">
        <v>0.02</v>
      </c>
      <c r="Y556" s="1367"/>
      <c r="Z556" s="1370">
        <v>0</v>
      </c>
      <c r="AA556" s="1370">
        <v>0</v>
      </c>
      <c r="AB556" s="1370">
        <v>0</v>
      </c>
      <c r="AC556" s="1370">
        <v>0</v>
      </c>
      <c r="AD556" s="1370">
        <v>0</v>
      </c>
      <c r="AK556" s="1354">
        <f t="shared" si="158"/>
        <v>0</v>
      </c>
      <c r="AL556" s="1352">
        <f t="shared" si="165"/>
        <v>53</v>
      </c>
      <c r="AM556" s="1354">
        <f t="shared" si="155"/>
        <v>0</v>
      </c>
      <c r="AN556" s="1352" t="str">
        <f t="shared" si="156"/>
        <v>Historical Sites Office Other Expenses</v>
      </c>
    </row>
    <row r="557" spans="1:40" x14ac:dyDescent="0.2">
      <c r="A557" s="1324" t="str">
        <f>A556</f>
        <v>20-175</v>
      </c>
      <c r="B557" s="1324" t="s">
        <v>5822</v>
      </c>
      <c r="C557" s="1353">
        <f>'Key Metrics'!$E$186</f>
        <v>0</v>
      </c>
      <c r="D557" s="1353">
        <f>'Key Metrics'!$I$186</f>
        <v>0</v>
      </c>
      <c r="E557" s="1351">
        <f t="shared" si="145"/>
        <v>0</v>
      </c>
      <c r="F557" s="1353">
        <f t="shared" si="159"/>
        <v>0</v>
      </c>
      <c r="G557" s="1353">
        <f t="shared" si="160"/>
        <v>0</v>
      </c>
      <c r="H557" s="1353">
        <f t="shared" si="161"/>
        <v>0</v>
      </c>
      <c r="I557" s="1353">
        <f t="shared" si="162"/>
        <v>0</v>
      </c>
      <c r="J557" s="1353">
        <f t="shared" si="163"/>
        <v>0</v>
      </c>
      <c r="M557" s="1324" t="str">
        <f t="shared" si="151"/>
        <v>Historical Sites Office Unclassified</v>
      </c>
      <c r="N557" s="1368">
        <f t="shared" si="152"/>
        <v>0</v>
      </c>
      <c r="O557" s="1368">
        <f t="shared" si="166"/>
        <v>0</v>
      </c>
      <c r="P557" s="1368">
        <f t="shared" si="166"/>
        <v>0</v>
      </c>
      <c r="Q557" s="1368">
        <f t="shared" si="166"/>
        <v>0</v>
      </c>
      <c r="R557" s="1368">
        <f t="shared" si="166"/>
        <v>0</v>
      </c>
      <c r="T557" s="1369">
        <v>0.02</v>
      </c>
      <c r="U557" s="1369">
        <v>0.02</v>
      </c>
      <c r="V557" s="1369">
        <v>0.02</v>
      </c>
      <c r="W557" s="1369">
        <v>0.02</v>
      </c>
      <c r="X557" s="1369">
        <v>0.02</v>
      </c>
      <c r="Y557" s="1367"/>
      <c r="Z557" s="1370">
        <v>0</v>
      </c>
      <c r="AA557" s="1370">
        <v>0</v>
      </c>
      <c r="AB557" s="1370">
        <v>0</v>
      </c>
      <c r="AC557" s="1370">
        <v>0</v>
      </c>
      <c r="AD557" s="1370">
        <v>0</v>
      </c>
      <c r="AK557" s="1354">
        <f t="shared" si="158"/>
        <v>0</v>
      </c>
      <c r="AL557" s="1352">
        <f t="shared" si="165"/>
        <v>53</v>
      </c>
      <c r="AM557" s="1354">
        <f t="shared" si="155"/>
        <v>0</v>
      </c>
      <c r="AN557" s="1352" t="str">
        <f t="shared" si="156"/>
        <v>Historical Sites Office Unclassified</v>
      </c>
    </row>
    <row r="558" spans="1:40" x14ac:dyDescent="0.2">
      <c r="B558" s="1373" t="s">
        <v>5618</v>
      </c>
      <c r="C558" s="1360">
        <f>SUM(C504:C557)</f>
        <v>91920.489999999991</v>
      </c>
      <c r="D558" s="1360">
        <f>SUM(D504:D557)</f>
        <v>119813.52</v>
      </c>
      <c r="E558" s="1356">
        <f t="shared" si="145"/>
        <v>0.30344735977799964</v>
      </c>
      <c r="F558" s="1360">
        <f>SUM(F504:F557)</f>
        <v>122209.79040000001</v>
      </c>
      <c r="G558" s="1360">
        <f>SUM(G504:G557)</f>
        <v>124653.98620799999</v>
      </c>
      <c r="H558" s="1360">
        <f>SUM(H504:H557)</f>
        <v>127147.06593216001</v>
      </c>
      <c r="I558" s="1360">
        <f>SUM(I504:I557)</f>
        <v>129690.00725080322</v>
      </c>
      <c r="J558" s="1360">
        <f>SUM(J504:J557)</f>
        <v>132283.80739581925</v>
      </c>
      <c r="N558" s="1328"/>
      <c r="O558" s="1328"/>
      <c r="P558" s="1328"/>
      <c r="Q558" s="1328"/>
      <c r="R558" s="1328"/>
      <c r="T558" s="1371"/>
      <c r="U558" s="1371"/>
      <c r="V558" s="1371"/>
      <c r="W558" s="1371"/>
      <c r="X558" s="1371"/>
      <c r="Y558" s="1367"/>
      <c r="Z558" s="1372"/>
      <c r="AA558" s="1372"/>
      <c r="AB558" s="1372"/>
      <c r="AC558" s="1372"/>
      <c r="AD558" s="1372"/>
      <c r="AK558" s="1354"/>
      <c r="AL558" s="1352"/>
      <c r="AM558" s="1354"/>
      <c r="AN558" s="1352"/>
    </row>
    <row r="559" spans="1:40" x14ac:dyDescent="0.2">
      <c r="E559" s="1351"/>
      <c r="N559" s="1328"/>
      <c r="O559" s="1328"/>
      <c r="P559" s="1328"/>
      <c r="Q559" s="1328"/>
      <c r="R559" s="1328"/>
      <c r="T559" s="1371"/>
      <c r="U559" s="1371"/>
      <c r="V559" s="1371"/>
      <c r="W559" s="1371"/>
      <c r="X559" s="1371"/>
      <c r="Y559" s="1367"/>
      <c r="Z559" s="1372"/>
      <c r="AA559" s="1372"/>
      <c r="AB559" s="1372"/>
      <c r="AC559" s="1372"/>
      <c r="AD559" s="1372"/>
      <c r="AK559" s="1354"/>
      <c r="AL559" s="1352"/>
      <c r="AM559" s="1354"/>
      <c r="AN559" s="1352"/>
    </row>
    <row r="560" spans="1:40" ht="15" x14ac:dyDescent="0.25">
      <c r="A560" s="1364" t="s">
        <v>5440</v>
      </c>
      <c r="B560" s="1365"/>
      <c r="C560" s="1365"/>
      <c r="D560" s="1365"/>
      <c r="E560" s="1380"/>
      <c r="F560" s="1365"/>
      <c r="G560" s="1365"/>
      <c r="H560" s="1365"/>
      <c r="I560" s="1365"/>
      <c r="J560" s="1365"/>
      <c r="M560" s="1381" t="str">
        <f>A560</f>
        <v>Land Use Administration</v>
      </c>
      <c r="N560" s="1364"/>
      <c r="O560" s="1364"/>
      <c r="P560" s="1364"/>
      <c r="Q560" s="1364"/>
      <c r="R560" s="1364"/>
      <c r="S560" s="1365"/>
      <c r="T560" s="1389"/>
      <c r="U560" s="1389"/>
      <c r="V560" s="1389"/>
      <c r="W560" s="1389"/>
      <c r="X560" s="1389"/>
      <c r="Y560" s="1390"/>
      <c r="Z560" s="1391"/>
      <c r="AA560" s="1391"/>
      <c r="AB560" s="1391"/>
      <c r="AC560" s="1391"/>
      <c r="AD560" s="1391"/>
      <c r="AK560" s="1354"/>
      <c r="AL560" s="1352"/>
      <c r="AM560" s="1354"/>
      <c r="AN560" s="1352"/>
    </row>
    <row r="561" spans="1:40" x14ac:dyDescent="0.2">
      <c r="A561" s="1324" t="s">
        <v>5136</v>
      </c>
      <c r="B561" s="1324" t="s">
        <v>5658</v>
      </c>
      <c r="C561" s="1353">
        <f>'Key Metrics'!$C$190</f>
        <v>2898</v>
      </c>
      <c r="D561" s="1353">
        <f>'Key Metrics'!$G$190</f>
        <v>2958</v>
      </c>
      <c r="E561" s="1351">
        <f t="shared" ref="E561:E585" si="167">IFERROR(D561/C561-1,0)</f>
        <v>2.0703933747411973E-2</v>
      </c>
      <c r="F561" s="1353">
        <f t="shared" ref="F561:F584" si="168">IFERROR(IF($I$3=1,D561*(1+N561),IF($I$3=2,D561*(1+T561),IF($I$3=3,Z561,"--"))),0)</f>
        <v>3017.16</v>
      </c>
      <c r="G561" s="1353">
        <f t="shared" ref="G561:G584" si="169">IFERROR(IF($I$3=1,F561*(1+O561),IF($I$3=2,F561*(1+U561),IF($I$3=3,AA561,"--"))),0)</f>
        <v>3077.5032000000001</v>
      </c>
      <c r="H561" s="1353">
        <f t="shared" ref="H561:H584" si="170">IFERROR(IF($I$3=1,G561*(1+P561),IF($I$3=2,G561*(1+V561),IF($I$3=3,AB561,"--"))),0)</f>
        <v>3139.0532640000001</v>
      </c>
      <c r="I561" s="1353">
        <f t="shared" ref="I561:I584" si="171">IFERROR(IF($I$3=1,H561*(1+Q561),IF($I$3=2,H561*(1+W561),IF($I$3=3,AC561,"--"))),0)</f>
        <v>3201.83432928</v>
      </c>
      <c r="J561" s="1353">
        <f t="shared" ref="J561:J584" si="172">IFERROR(IF($I$3=1,I561*(1+R561),IF($I$3=2,I561*(1+X561),IF($I$3=3,AD561,"--"))),0)</f>
        <v>3265.8710158655999</v>
      </c>
      <c r="M561" s="1324" t="str">
        <f t="shared" ref="M561:M584" si="173">B561</f>
        <v>Planning Board Salaries &amp; Wages</v>
      </c>
      <c r="N561" s="1386">
        <f t="shared" ref="N561:N584" si="174">E561</f>
        <v>2.0703933747411973E-2</v>
      </c>
      <c r="O561" s="1386">
        <f t="shared" ref="O561:R576" si="175">N561</f>
        <v>2.0703933747411973E-2</v>
      </c>
      <c r="P561" s="1386">
        <f t="shared" si="175"/>
        <v>2.0703933747411973E-2</v>
      </c>
      <c r="Q561" s="1386">
        <f t="shared" si="175"/>
        <v>2.0703933747411973E-2</v>
      </c>
      <c r="R561" s="1386">
        <f t="shared" si="175"/>
        <v>2.0703933747411973E-2</v>
      </c>
      <c r="T561" s="1387">
        <v>0.02</v>
      </c>
      <c r="U561" s="1387">
        <v>0.02</v>
      </c>
      <c r="V561" s="1387">
        <v>0.02</v>
      </c>
      <c r="W561" s="1387">
        <v>0.02</v>
      </c>
      <c r="X561" s="1387">
        <v>0.02</v>
      </c>
      <c r="Y561" s="1367"/>
      <c r="Z561" s="1388">
        <v>0</v>
      </c>
      <c r="AA561" s="1388">
        <v>0</v>
      </c>
      <c r="AB561" s="1388">
        <v>0</v>
      </c>
      <c r="AC561" s="1388">
        <v>0</v>
      </c>
      <c r="AD561" s="1388">
        <v>0</v>
      </c>
      <c r="AK561" s="1354">
        <f t="shared" si="158"/>
        <v>21557.421809145599</v>
      </c>
      <c r="AL561" s="1352">
        <f t="shared" ref="AL561:AL584" si="176">RANK(AM561,$AM$504:$AM$1172,0)</f>
        <v>34</v>
      </c>
      <c r="AM561" s="1354">
        <f t="shared" si="155"/>
        <v>307.87101586559993</v>
      </c>
      <c r="AN561" s="1352" t="str">
        <f t="shared" si="156"/>
        <v>Planning Board Salaries &amp; Wages</v>
      </c>
    </row>
    <row r="562" spans="1:40" x14ac:dyDescent="0.2">
      <c r="A562" s="1324" t="str">
        <f>A561</f>
        <v>21-180</v>
      </c>
      <c r="B562" s="1324" t="s">
        <v>5823</v>
      </c>
      <c r="C562" s="1353">
        <f>'Key Metrics'!$D$190</f>
        <v>3441.12</v>
      </c>
      <c r="D562" s="1353">
        <f>'Key Metrics'!$H$190</f>
        <v>3500</v>
      </c>
      <c r="E562" s="1351">
        <f t="shared" si="167"/>
        <v>1.7110708141535369E-2</v>
      </c>
      <c r="F562" s="1353">
        <f t="shared" si="168"/>
        <v>3570</v>
      </c>
      <c r="G562" s="1353">
        <f t="shared" si="169"/>
        <v>3641.4</v>
      </c>
      <c r="H562" s="1353">
        <f t="shared" si="170"/>
        <v>3714.2280000000001</v>
      </c>
      <c r="I562" s="1353">
        <f t="shared" si="171"/>
        <v>3788.5125600000001</v>
      </c>
      <c r="J562" s="1353">
        <f t="shared" si="172"/>
        <v>3864.2828112000002</v>
      </c>
      <c r="M562" s="1324" t="str">
        <f t="shared" si="173"/>
        <v>Planning Board Other Expenses</v>
      </c>
      <c r="N562" s="1368">
        <f t="shared" si="174"/>
        <v>1.7110708141535369E-2</v>
      </c>
      <c r="O562" s="1368">
        <f t="shared" si="175"/>
        <v>1.7110708141535369E-2</v>
      </c>
      <c r="P562" s="1368">
        <f t="shared" si="175"/>
        <v>1.7110708141535369E-2</v>
      </c>
      <c r="Q562" s="1368">
        <f t="shared" si="175"/>
        <v>1.7110708141535369E-2</v>
      </c>
      <c r="R562" s="1368">
        <f t="shared" si="175"/>
        <v>1.7110708141535369E-2</v>
      </c>
      <c r="T562" s="1369">
        <v>0.02</v>
      </c>
      <c r="U562" s="1369">
        <v>0.02</v>
      </c>
      <c r="V562" s="1369">
        <v>0.02</v>
      </c>
      <c r="W562" s="1369">
        <v>0.02</v>
      </c>
      <c r="X562" s="1369">
        <v>0.02</v>
      </c>
      <c r="Y562" s="1367"/>
      <c r="Z562" s="1370">
        <v>0</v>
      </c>
      <c r="AA562" s="1370">
        <v>0</v>
      </c>
      <c r="AB562" s="1370">
        <v>0</v>
      </c>
      <c r="AC562" s="1370">
        <v>0</v>
      </c>
      <c r="AD562" s="1370">
        <v>0</v>
      </c>
      <c r="AK562" s="1354">
        <f t="shared" si="158"/>
        <v>25519.543371199998</v>
      </c>
      <c r="AL562" s="1352">
        <f t="shared" si="176"/>
        <v>32</v>
      </c>
      <c r="AM562" s="1354">
        <f t="shared" si="155"/>
        <v>364.2828112000002</v>
      </c>
      <c r="AN562" s="1352" t="str">
        <f t="shared" si="156"/>
        <v>Planning Board Other Expenses</v>
      </c>
    </row>
    <row r="563" spans="1:40" x14ac:dyDescent="0.2">
      <c r="A563" s="1324" t="str">
        <f>A562</f>
        <v>21-180</v>
      </c>
      <c r="B563" s="1324" t="s">
        <v>5824</v>
      </c>
      <c r="C563" s="1353">
        <f>'Key Metrics'!$E$190</f>
        <v>0</v>
      </c>
      <c r="D563" s="1353">
        <f>'Key Metrics'!$I$190</f>
        <v>0</v>
      </c>
      <c r="E563" s="1351">
        <f t="shared" si="167"/>
        <v>0</v>
      </c>
      <c r="F563" s="1353">
        <f t="shared" si="168"/>
        <v>0</v>
      </c>
      <c r="G563" s="1353">
        <f t="shared" si="169"/>
        <v>0</v>
      </c>
      <c r="H563" s="1353">
        <f t="shared" si="170"/>
        <v>0</v>
      </c>
      <c r="I563" s="1353">
        <f t="shared" si="171"/>
        <v>0</v>
      </c>
      <c r="J563" s="1353">
        <f t="shared" si="172"/>
        <v>0</v>
      </c>
      <c r="M563" s="1324" t="str">
        <f t="shared" si="173"/>
        <v>Planning Board Unclassified</v>
      </c>
      <c r="N563" s="1368">
        <f t="shared" si="174"/>
        <v>0</v>
      </c>
      <c r="O563" s="1368">
        <f t="shared" si="175"/>
        <v>0</v>
      </c>
      <c r="P563" s="1368">
        <f t="shared" si="175"/>
        <v>0</v>
      </c>
      <c r="Q563" s="1368">
        <f t="shared" si="175"/>
        <v>0</v>
      </c>
      <c r="R563" s="1368">
        <f t="shared" si="175"/>
        <v>0</v>
      </c>
      <c r="T563" s="1369">
        <v>0.02</v>
      </c>
      <c r="U563" s="1369">
        <v>0.02</v>
      </c>
      <c r="V563" s="1369">
        <v>0.02</v>
      </c>
      <c r="W563" s="1369">
        <v>0.02</v>
      </c>
      <c r="X563" s="1369">
        <v>0.02</v>
      </c>
      <c r="Y563" s="1367"/>
      <c r="Z563" s="1370">
        <v>0</v>
      </c>
      <c r="AA563" s="1370">
        <v>0</v>
      </c>
      <c r="AB563" s="1370">
        <v>0</v>
      </c>
      <c r="AC563" s="1370">
        <v>0</v>
      </c>
      <c r="AD563" s="1370">
        <v>0</v>
      </c>
      <c r="AK563" s="1354">
        <f t="shared" si="158"/>
        <v>0</v>
      </c>
      <c r="AL563" s="1352">
        <f t="shared" si="176"/>
        <v>53</v>
      </c>
      <c r="AM563" s="1354">
        <f t="shared" si="155"/>
        <v>0</v>
      </c>
      <c r="AN563" s="1352" t="str">
        <f t="shared" si="156"/>
        <v>Planning Board Unclassified</v>
      </c>
    </row>
    <row r="564" spans="1:40" x14ac:dyDescent="0.2">
      <c r="A564" s="1324" t="s">
        <v>5138</v>
      </c>
      <c r="B564" s="1324" t="s">
        <v>5659</v>
      </c>
      <c r="C564" s="1353">
        <f>'Key Metrics'!$C$192</f>
        <v>0</v>
      </c>
      <c r="D564" s="1353">
        <f>'Key Metrics'!$G$192</f>
        <v>0</v>
      </c>
      <c r="E564" s="1351">
        <f t="shared" si="167"/>
        <v>0</v>
      </c>
      <c r="F564" s="1353">
        <f t="shared" si="168"/>
        <v>0</v>
      </c>
      <c r="G564" s="1353">
        <f t="shared" si="169"/>
        <v>0</v>
      </c>
      <c r="H564" s="1353">
        <f t="shared" si="170"/>
        <v>0</v>
      </c>
      <c r="I564" s="1353">
        <f t="shared" si="171"/>
        <v>0</v>
      </c>
      <c r="J564" s="1353">
        <f t="shared" si="172"/>
        <v>0</v>
      </c>
      <c r="M564" s="1324" t="str">
        <f t="shared" si="173"/>
        <v>"User Defined" Land Use Salaries &amp; Wages</v>
      </c>
      <c r="N564" s="1368">
        <f t="shared" si="174"/>
        <v>0</v>
      </c>
      <c r="O564" s="1368">
        <f t="shared" si="175"/>
        <v>0</v>
      </c>
      <c r="P564" s="1368">
        <f t="shared" si="175"/>
        <v>0</v>
      </c>
      <c r="Q564" s="1368">
        <f t="shared" si="175"/>
        <v>0</v>
      </c>
      <c r="R564" s="1368">
        <f t="shared" si="175"/>
        <v>0</v>
      </c>
      <c r="T564" s="1369">
        <v>0.02</v>
      </c>
      <c r="U564" s="1369">
        <v>0.02</v>
      </c>
      <c r="V564" s="1369">
        <v>0.02</v>
      </c>
      <c r="W564" s="1369">
        <v>0.02</v>
      </c>
      <c r="X564" s="1369">
        <v>0.02</v>
      </c>
      <c r="Y564" s="1367"/>
      <c r="Z564" s="1370">
        <v>0</v>
      </c>
      <c r="AA564" s="1370">
        <v>0</v>
      </c>
      <c r="AB564" s="1370">
        <v>0</v>
      </c>
      <c r="AC564" s="1370">
        <v>0</v>
      </c>
      <c r="AD564" s="1370">
        <v>0</v>
      </c>
      <c r="AK564" s="1354">
        <f t="shared" si="158"/>
        <v>0</v>
      </c>
      <c r="AL564" s="1352">
        <f t="shared" si="176"/>
        <v>53</v>
      </c>
      <c r="AM564" s="1354">
        <f t="shared" si="155"/>
        <v>0</v>
      </c>
      <c r="AN564" s="1352" t="str">
        <f t="shared" si="156"/>
        <v>"User Defined" Land Use Salaries &amp; Wages</v>
      </c>
    </row>
    <row r="565" spans="1:40" x14ac:dyDescent="0.2">
      <c r="A565" s="1324" t="str">
        <f>A564</f>
        <v>21-181</v>
      </c>
      <c r="B565" s="1324" t="s">
        <v>5825</v>
      </c>
      <c r="C565" s="1353">
        <f>'Key Metrics'!$D$192</f>
        <v>0</v>
      </c>
      <c r="D565" s="1353">
        <f>'Key Metrics'!$H$192</f>
        <v>208.08</v>
      </c>
      <c r="E565" s="1351">
        <f t="shared" si="167"/>
        <v>0</v>
      </c>
      <c r="F565" s="1353">
        <f t="shared" si="168"/>
        <v>212.24160000000001</v>
      </c>
      <c r="G565" s="1353">
        <f t="shared" si="169"/>
        <v>216.48643200000001</v>
      </c>
      <c r="H565" s="1353">
        <f t="shared" si="170"/>
        <v>220.81616064000002</v>
      </c>
      <c r="I565" s="1353">
        <f t="shared" si="171"/>
        <v>225.23248385280002</v>
      </c>
      <c r="J565" s="1353">
        <f t="shared" si="172"/>
        <v>229.73713352985601</v>
      </c>
      <c r="M565" s="1324" t="str">
        <f t="shared" si="173"/>
        <v>"User Defined" Land Use Other Expenses</v>
      </c>
      <c r="N565" s="1368">
        <f t="shared" si="174"/>
        <v>0</v>
      </c>
      <c r="O565" s="1368">
        <f t="shared" si="175"/>
        <v>0</v>
      </c>
      <c r="P565" s="1368">
        <f t="shared" si="175"/>
        <v>0</v>
      </c>
      <c r="Q565" s="1368">
        <f t="shared" si="175"/>
        <v>0</v>
      </c>
      <c r="R565" s="1368">
        <f t="shared" si="175"/>
        <v>0</v>
      </c>
      <c r="T565" s="1369">
        <v>0.02</v>
      </c>
      <c r="U565" s="1369">
        <v>0.02</v>
      </c>
      <c r="V565" s="1369">
        <v>0.02</v>
      </c>
      <c r="W565" s="1369">
        <v>0.02</v>
      </c>
      <c r="X565" s="1369">
        <v>0.02</v>
      </c>
      <c r="Y565" s="1367"/>
      <c r="Z565" s="1370">
        <v>0</v>
      </c>
      <c r="AA565" s="1370">
        <v>0</v>
      </c>
      <c r="AB565" s="1370">
        <v>0</v>
      </c>
      <c r="AC565" s="1370">
        <v>0</v>
      </c>
      <c r="AD565" s="1370">
        <v>0</v>
      </c>
      <c r="AK565" s="1354">
        <f t="shared" si="158"/>
        <v>1312.593810022656</v>
      </c>
      <c r="AL565" s="1352">
        <f t="shared" si="176"/>
        <v>42</v>
      </c>
      <c r="AM565" s="1354">
        <f t="shared" si="155"/>
        <v>21.657133529855997</v>
      </c>
      <c r="AN565" s="1352" t="str">
        <f t="shared" si="156"/>
        <v>"User Defined" Land Use Other Expenses</v>
      </c>
    </row>
    <row r="566" spans="1:40" x14ac:dyDescent="0.2">
      <c r="A566" s="1324" t="str">
        <f>A565</f>
        <v>21-181</v>
      </c>
      <c r="B566" s="1324" t="s">
        <v>5826</v>
      </c>
      <c r="C566" s="1353">
        <f>'Key Metrics'!$E$192</f>
        <v>0</v>
      </c>
      <c r="D566" s="1353">
        <f>'Key Metrics'!$I$192</f>
        <v>0</v>
      </c>
      <c r="E566" s="1351">
        <f t="shared" si="167"/>
        <v>0</v>
      </c>
      <c r="F566" s="1353">
        <f t="shared" si="168"/>
        <v>0</v>
      </c>
      <c r="G566" s="1353">
        <f t="shared" si="169"/>
        <v>0</v>
      </c>
      <c r="H566" s="1353">
        <f t="shared" si="170"/>
        <v>0</v>
      </c>
      <c r="I566" s="1353">
        <f t="shared" si="171"/>
        <v>0</v>
      </c>
      <c r="J566" s="1353">
        <f t="shared" si="172"/>
        <v>0</v>
      </c>
      <c r="M566" s="1324" t="str">
        <f t="shared" si="173"/>
        <v>"User Defined" Land Use Unclassified</v>
      </c>
      <c r="N566" s="1368">
        <f t="shared" si="174"/>
        <v>0</v>
      </c>
      <c r="O566" s="1368">
        <f t="shared" si="175"/>
        <v>0</v>
      </c>
      <c r="P566" s="1368">
        <f t="shared" si="175"/>
        <v>0</v>
      </c>
      <c r="Q566" s="1368">
        <f t="shared" si="175"/>
        <v>0</v>
      </c>
      <c r="R566" s="1368">
        <f t="shared" si="175"/>
        <v>0</v>
      </c>
      <c r="T566" s="1369">
        <v>0.02</v>
      </c>
      <c r="U566" s="1369">
        <v>0.02</v>
      </c>
      <c r="V566" s="1369">
        <v>0.02</v>
      </c>
      <c r="W566" s="1369">
        <v>0.02</v>
      </c>
      <c r="X566" s="1369">
        <v>0.02</v>
      </c>
      <c r="Y566" s="1367"/>
      <c r="Z566" s="1370">
        <v>0</v>
      </c>
      <c r="AA566" s="1370">
        <v>0</v>
      </c>
      <c r="AB566" s="1370">
        <v>0</v>
      </c>
      <c r="AC566" s="1370">
        <v>0</v>
      </c>
      <c r="AD566" s="1370">
        <v>0</v>
      </c>
      <c r="AK566" s="1354">
        <f t="shared" si="158"/>
        <v>0</v>
      </c>
      <c r="AL566" s="1352">
        <f t="shared" si="176"/>
        <v>53</v>
      </c>
      <c r="AM566" s="1354">
        <f t="shared" si="155"/>
        <v>0</v>
      </c>
      <c r="AN566" s="1352" t="str">
        <f t="shared" si="156"/>
        <v>"User Defined" Land Use Unclassified</v>
      </c>
    </row>
    <row r="567" spans="1:40" x14ac:dyDescent="0.2">
      <c r="A567" s="1324" t="s">
        <v>5140</v>
      </c>
      <c r="B567" s="1324" t="s">
        <v>5659</v>
      </c>
      <c r="C567" s="1353">
        <f>'Key Metrics'!$C$193</f>
        <v>0</v>
      </c>
      <c r="D567" s="1353">
        <f>'Key Metrics'!$G$193</f>
        <v>0</v>
      </c>
      <c r="E567" s="1351">
        <f t="shared" si="167"/>
        <v>0</v>
      </c>
      <c r="F567" s="1353">
        <f t="shared" si="168"/>
        <v>0</v>
      </c>
      <c r="G567" s="1353">
        <f t="shared" si="169"/>
        <v>0</v>
      </c>
      <c r="H567" s="1353">
        <f t="shared" si="170"/>
        <v>0</v>
      </c>
      <c r="I567" s="1353">
        <f t="shared" si="171"/>
        <v>0</v>
      </c>
      <c r="J567" s="1353">
        <f t="shared" si="172"/>
        <v>0</v>
      </c>
      <c r="M567" s="1324" t="str">
        <f t="shared" si="173"/>
        <v>"User Defined" Land Use Salaries &amp; Wages</v>
      </c>
      <c r="N567" s="1368">
        <f t="shared" si="174"/>
        <v>0</v>
      </c>
      <c r="O567" s="1368">
        <f t="shared" si="175"/>
        <v>0</v>
      </c>
      <c r="P567" s="1368">
        <f t="shared" si="175"/>
        <v>0</v>
      </c>
      <c r="Q567" s="1368">
        <f t="shared" si="175"/>
        <v>0</v>
      </c>
      <c r="R567" s="1368">
        <f t="shared" si="175"/>
        <v>0</v>
      </c>
      <c r="T567" s="1369">
        <v>0.02</v>
      </c>
      <c r="U567" s="1369">
        <v>0.02</v>
      </c>
      <c r="V567" s="1369">
        <v>0.02</v>
      </c>
      <c r="W567" s="1369">
        <v>0.02</v>
      </c>
      <c r="X567" s="1369">
        <v>0.02</v>
      </c>
      <c r="Y567" s="1367"/>
      <c r="Z567" s="1370">
        <v>0</v>
      </c>
      <c r="AA567" s="1370">
        <v>0</v>
      </c>
      <c r="AB567" s="1370">
        <v>0</v>
      </c>
      <c r="AC567" s="1370">
        <v>0</v>
      </c>
      <c r="AD567" s="1370">
        <v>0</v>
      </c>
      <c r="AK567" s="1354">
        <f t="shared" si="158"/>
        <v>0</v>
      </c>
      <c r="AL567" s="1352">
        <f t="shared" si="176"/>
        <v>53</v>
      </c>
      <c r="AM567" s="1354">
        <f t="shared" si="155"/>
        <v>0</v>
      </c>
      <c r="AN567" s="1352" t="str">
        <f t="shared" si="156"/>
        <v>"User Defined" Land Use Salaries &amp; Wages</v>
      </c>
    </row>
    <row r="568" spans="1:40" x14ac:dyDescent="0.2">
      <c r="A568" s="1324" t="str">
        <f>A567</f>
        <v>21-182</v>
      </c>
      <c r="B568" s="1324" t="s">
        <v>5825</v>
      </c>
      <c r="C568" s="1353">
        <f>'Key Metrics'!$D$193</f>
        <v>0</v>
      </c>
      <c r="D568" s="1353">
        <f>'Key Metrics'!$H$193</f>
        <v>0</v>
      </c>
      <c r="E568" s="1351">
        <f t="shared" si="167"/>
        <v>0</v>
      </c>
      <c r="F568" s="1353">
        <f t="shared" si="168"/>
        <v>0</v>
      </c>
      <c r="G568" s="1353">
        <f t="shared" si="169"/>
        <v>0</v>
      </c>
      <c r="H568" s="1353">
        <f t="shared" si="170"/>
        <v>0</v>
      </c>
      <c r="I568" s="1353">
        <f t="shared" si="171"/>
        <v>0</v>
      </c>
      <c r="J568" s="1353">
        <f t="shared" si="172"/>
        <v>0</v>
      </c>
      <c r="M568" s="1324" t="str">
        <f t="shared" si="173"/>
        <v>"User Defined" Land Use Other Expenses</v>
      </c>
      <c r="N568" s="1368">
        <f t="shared" si="174"/>
        <v>0</v>
      </c>
      <c r="O568" s="1368">
        <f t="shared" si="175"/>
        <v>0</v>
      </c>
      <c r="P568" s="1368">
        <f t="shared" si="175"/>
        <v>0</v>
      </c>
      <c r="Q568" s="1368">
        <f t="shared" si="175"/>
        <v>0</v>
      </c>
      <c r="R568" s="1368">
        <f t="shared" si="175"/>
        <v>0</v>
      </c>
      <c r="T568" s="1369">
        <v>0.02</v>
      </c>
      <c r="U568" s="1369">
        <v>0.02</v>
      </c>
      <c r="V568" s="1369">
        <v>0.02</v>
      </c>
      <c r="W568" s="1369">
        <v>0.02</v>
      </c>
      <c r="X568" s="1369">
        <v>0.02</v>
      </c>
      <c r="Y568" s="1367"/>
      <c r="Z568" s="1370">
        <v>0</v>
      </c>
      <c r="AA568" s="1370">
        <v>0</v>
      </c>
      <c r="AB568" s="1370">
        <v>0</v>
      </c>
      <c r="AC568" s="1370">
        <v>0</v>
      </c>
      <c r="AD568" s="1370">
        <v>0</v>
      </c>
      <c r="AK568" s="1354">
        <f t="shared" si="158"/>
        <v>0</v>
      </c>
      <c r="AL568" s="1352">
        <f t="shared" si="176"/>
        <v>53</v>
      </c>
      <c r="AM568" s="1354">
        <f t="shared" ref="AM568:AM631" si="177">J568-D568</f>
        <v>0</v>
      </c>
      <c r="AN568" s="1352" t="str">
        <f t="shared" ref="AN568:AN631" si="178">B568</f>
        <v>"User Defined" Land Use Other Expenses</v>
      </c>
    </row>
    <row r="569" spans="1:40" x14ac:dyDescent="0.2">
      <c r="A569" s="1324" t="str">
        <f>A568</f>
        <v>21-182</v>
      </c>
      <c r="B569" s="1324" t="s">
        <v>5826</v>
      </c>
      <c r="C569" s="1353">
        <f>'Key Metrics'!$E$193</f>
        <v>0</v>
      </c>
      <c r="D569" s="1353">
        <f>'Key Metrics'!$I$193</f>
        <v>0</v>
      </c>
      <c r="E569" s="1351">
        <f t="shared" si="167"/>
        <v>0</v>
      </c>
      <c r="F569" s="1353">
        <f t="shared" si="168"/>
        <v>0</v>
      </c>
      <c r="G569" s="1353">
        <f t="shared" si="169"/>
        <v>0</v>
      </c>
      <c r="H569" s="1353">
        <f t="shared" si="170"/>
        <v>0</v>
      </c>
      <c r="I569" s="1353">
        <f t="shared" si="171"/>
        <v>0</v>
      </c>
      <c r="J569" s="1353">
        <f t="shared" si="172"/>
        <v>0</v>
      </c>
      <c r="M569" s="1324" t="str">
        <f t="shared" si="173"/>
        <v>"User Defined" Land Use Unclassified</v>
      </c>
      <c r="N569" s="1368">
        <f t="shared" si="174"/>
        <v>0</v>
      </c>
      <c r="O569" s="1368">
        <f t="shared" si="175"/>
        <v>0</v>
      </c>
      <c r="P569" s="1368">
        <f t="shared" si="175"/>
        <v>0</v>
      </c>
      <c r="Q569" s="1368">
        <f t="shared" si="175"/>
        <v>0</v>
      </c>
      <c r="R569" s="1368">
        <f t="shared" si="175"/>
        <v>0</v>
      </c>
      <c r="T569" s="1369">
        <v>0.02</v>
      </c>
      <c r="U569" s="1369">
        <v>0.02</v>
      </c>
      <c r="V569" s="1369">
        <v>0.02</v>
      </c>
      <c r="W569" s="1369">
        <v>0.02</v>
      </c>
      <c r="X569" s="1369">
        <v>0.02</v>
      </c>
      <c r="Y569" s="1367"/>
      <c r="Z569" s="1370">
        <v>0</v>
      </c>
      <c r="AA569" s="1370">
        <v>0</v>
      </c>
      <c r="AB569" s="1370">
        <v>0</v>
      </c>
      <c r="AC569" s="1370">
        <v>0</v>
      </c>
      <c r="AD569" s="1370">
        <v>0</v>
      </c>
      <c r="AK569" s="1354">
        <f t="shared" si="158"/>
        <v>0</v>
      </c>
      <c r="AL569" s="1352">
        <f t="shared" si="176"/>
        <v>53</v>
      </c>
      <c r="AM569" s="1354">
        <f t="shared" si="177"/>
        <v>0</v>
      </c>
      <c r="AN569" s="1352" t="str">
        <f t="shared" si="178"/>
        <v>"User Defined" Land Use Unclassified</v>
      </c>
    </row>
    <row r="570" spans="1:40" x14ac:dyDescent="0.2">
      <c r="A570" s="1324" t="s">
        <v>5142</v>
      </c>
      <c r="B570" s="1324" t="s">
        <v>5659</v>
      </c>
      <c r="C570" s="1353">
        <f>'Key Metrics'!$C$194</f>
        <v>0</v>
      </c>
      <c r="D570" s="1353">
        <f>'Key Metrics'!$G$194</f>
        <v>0</v>
      </c>
      <c r="E570" s="1351">
        <f t="shared" si="167"/>
        <v>0</v>
      </c>
      <c r="F570" s="1353">
        <f t="shared" si="168"/>
        <v>0</v>
      </c>
      <c r="G570" s="1353">
        <f t="shared" si="169"/>
        <v>0</v>
      </c>
      <c r="H570" s="1353">
        <f t="shared" si="170"/>
        <v>0</v>
      </c>
      <c r="I570" s="1353">
        <f t="shared" si="171"/>
        <v>0</v>
      </c>
      <c r="J570" s="1353">
        <f t="shared" si="172"/>
        <v>0</v>
      </c>
      <c r="M570" s="1324" t="str">
        <f t="shared" si="173"/>
        <v>"User Defined" Land Use Salaries &amp; Wages</v>
      </c>
      <c r="N570" s="1368">
        <f t="shared" si="174"/>
        <v>0</v>
      </c>
      <c r="O570" s="1368">
        <f t="shared" si="175"/>
        <v>0</v>
      </c>
      <c r="P570" s="1368">
        <f t="shared" si="175"/>
        <v>0</v>
      </c>
      <c r="Q570" s="1368">
        <f t="shared" si="175"/>
        <v>0</v>
      </c>
      <c r="R570" s="1368">
        <f t="shared" si="175"/>
        <v>0</v>
      </c>
      <c r="T570" s="1369">
        <v>0.02</v>
      </c>
      <c r="U570" s="1369">
        <v>0.02</v>
      </c>
      <c r="V570" s="1369">
        <v>0.02</v>
      </c>
      <c r="W570" s="1369">
        <v>0.02</v>
      </c>
      <c r="X570" s="1369">
        <v>0.02</v>
      </c>
      <c r="Y570" s="1367"/>
      <c r="Z570" s="1370">
        <v>0</v>
      </c>
      <c r="AA570" s="1370">
        <v>0</v>
      </c>
      <c r="AB570" s="1370">
        <v>0</v>
      </c>
      <c r="AC570" s="1370">
        <v>0</v>
      </c>
      <c r="AD570" s="1370">
        <v>0</v>
      </c>
      <c r="AK570" s="1354">
        <f t="shared" si="158"/>
        <v>0</v>
      </c>
      <c r="AL570" s="1352">
        <f t="shared" si="176"/>
        <v>53</v>
      </c>
      <c r="AM570" s="1354">
        <f t="shared" si="177"/>
        <v>0</v>
      </c>
      <c r="AN570" s="1352" t="str">
        <f t="shared" si="178"/>
        <v>"User Defined" Land Use Salaries &amp; Wages</v>
      </c>
    </row>
    <row r="571" spans="1:40" x14ac:dyDescent="0.2">
      <c r="A571" s="1324" t="str">
        <f>A570</f>
        <v>21-183</v>
      </c>
      <c r="B571" s="1324" t="s">
        <v>5825</v>
      </c>
      <c r="C571" s="1353">
        <f>'Key Metrics'!$D$194</f>
        <v>0</v>
      </c>
      <c r="D571" s="1353">
        <f>'Key Metrics'!$H$194</f>
        <v>0</v>
      </c>
      <c r="E571" s="1351">
        <f t="shared" si="167"/>
        <v>0</v>
      </c>
      <c r="F571" s="1353">
        <f t="shared" si="168"/>
        <v>0</v>
      </c>
      <c r="G571" s="1353">
        <f t="shared" si="169"/>
        <v>0</v>
      </c>
      <c r="H571" s="1353">
        <f t="shared" si="170"/>
        <v>0</v>
      </c>
      <c r="I571" s="1353">
        <f t="shared" si="171"/>
        <v>0</v>
      </c>
      <c r="J571" s="1353">
        <f t="shared" si="172"/>
        <v>0</v>
      </c>
      <c r="M571" s="1324" t="str">
        <f t="shared" si="173"/>
        <v>"User Defined" Land Use Other Expenses</v>
      </c>
      <c r="N571" s="1368">
        <f t="shared" si="174"/>
        <v>0</v>
      </c>
      <c r="O571" s="1368">
        <f t="shared" si="175"/>
        <v>0</v>
      </c>
      <c r="P571" s="1368">
        <f t="shared" si="175"/>
        <v>0</v>
      </c>
      <c r="Q571" s="1368">
        <f t="shared" si="175"/>
        <v>0</v>
      </c>
      <c r="R571" s="1368">
        <f t="shared" si="175"/>
        <v>0</v>
      </c>
      <c r="T571" s="1369">
        <v>0.02</v>
      </c>
      <c r="U571" s="1369">
        <v>0.02</v>
      </c>
      <c r="V571" s="1369">
        <v>0.02</v>
      </c>
      <c r="W571" s="1369">
        <v>0.02</v>
      </c>
      <c r="X571" s="1369">
        <v>0.02</v>
      </c>
      <c r="Y571" s="1367"/>
      <c r="Z571" s="1370">
        <v>0</v>
      </c>
      <c r="AA571" s="1370">
        <v>0</v>
      </c>
      <c r="AB571" s="1370">
        <v>0</v>
      </c>
      <c r="AC571" s="1370">
        <v>0</v>
      </c>
      <c r="AD571" s="1370">
        <v>0</v>
      </c>
      <c r="AK571" s="1354">
        <f t="shared" si="158"/>
        <v>0</v>
      </c>
      <c r="AL571" s="1352">
        <f t="shared" si="176"/>
        <v>53</v>
      </c>
      <c r="AM571" s="1354">
        <f t="shared" si="177"/>
        <v>0</v>
      </c>
      <c r="AN571" s="1352" t="str">
        <f t="shared" si="178"/>
        <v>"User Defined" Land Use Other Expenses</v>
      </c>
    </row>
    <row r="572" spans="1:40" x14ac:dyDescent="0.2">
      <c r="A572" s="1324" t="str">
        <f>A571</f>
        <v>21-183</v>
      </c>
      <c r="B572" s="1324" t="s">
        <v>5826</v>
      </c>
      <c r="C572" s="1353">
        <f>'Key Metrics'!$E$194</f>
        <v>0</v>
      </c>
      <c r="D572" s="1353">
        <f>'Key Metrics'!$I$194</f>
        <v>0</v>
      </c>
      <c r="E572" s="1351">
        <f t="shared" si="167"/>
        <v>0</v>
      </c>
      <c r="F572" s="1353">
        <f t="shared" si="168"/>
        <v>0</v>
      </c>
      <c r="G572" s="1353">
        <f t="shared" si="169"/>
        <v>0</v>
      </c>
      <c r="H572" s="1353">
        <f t="shared" si="170"/>
        <v>0</v>
      </c>
      <c r="I572" s="1353">
        <f t="shared" si="171"/>
        <v>0</v>
      </c>
      <c r="J572" s="1353">
        <f t="shared" si="172"/>
        <v>0</v>
      </c>
      <c r="M572" s="1324" t="str">
        <f t="shared" si="173"/>
        <v>"User Defined" Land Use Unclassified</v>
      </c>
      <c r="N572" s="1368">
        <f t="shared" si="174"/>
        <v>0</v>
      </c>
      <c r="O572" s="1368">
        <f t="shared" si="175"/>
        <v>0</v>
      </c>
      <c r="P572" s="1368">
        <f t="shared" si="175"/>
        <v>0</v>
      </c>
      <c r="Q572" s="1368">
        <f t="shared" si="175"/>
        <v>0</v>
      </c>
      <c r="R572" s="1368">
        <f t="shared" si="175"/>
        <v>0</v>
      </c>
      <c r="T572" s="1369">
        <v>0.02</v>
      </c>
      <c r="U572" s="1369">
        <v>0.02</v>
      </c>
      <c r="V572" s="1369">
        <v>0.02</v>
      </c>
      <c r="W572" s="1369">
        <v>0.02</v>
      </c>
      <c r="X572" s="1369">
        <v>0.02</v>
      </c>
      <c r="Y572" s="1367"/>
      <c r="Z572" s="1370">
        <v>0</v>
      </c>
      <c r="AA572" s="1370">
        <v>0</v>
      </c>
      <c r="AB572" s="1370">
        <v>0</v>
      </c>
      <c r="AC572" s="1370">
        <v>0</v>
      </c>
      <c r="AD572" s="1370">
        <v>0</v>
      </c>
      <c r="AK572" s="1354">
        <f t="shared" si="158"/>
        <v>0</v>
      </c>
      <c r="AL572" s="1352">
        <f t="shared" si="176"/>
        <v>53</v>
      </c>
      <c r="AM572" s="1354">
        <f t="shared" si="177"/>
        <v>0</v>
      </c>
      <c r="AN572" s="1352" t="str">
        <f t="shared" si="178"/>
        <v>"User Defined" Land Use Unclassified</v>
      </c>
    </row>
    <row r="573" spans="1:40" x14ac:dyDescent="0.2">
      <c r="A573" s="1324" t="s">
        <v>5144</v>
      </c>
      <c r="B573" s="1324" t="s">
        <v>5659</v>
      </c>
      <c r="C573" s="1353">
        <f>'Key Metrics'!$C$195</f>
        <v>0</v>
      </c>
      <c r="D573" s="1353">
        <f>'Key Metrics'!$G$195</f>
        <v>0</v>
      </c>
      <c r="E573" s="1351">
        <f t="shared" si="167"/>
        <v>0</v>
      </c>
      <c r="F573" s="1353">
        <f t="shared" si="168"/>
        <v>0</v>
      </c>
      <c r="G573" s="1353">
        <f t="shared" si="169"/>
        <v>0</v>
      </c>
      <c r="H573" s="1353">
        <f t="shared" si="170"/>
        <v>0</v>
      </c>
      <c r="I573" s="1353">
        <f t="shared" si="171"/>
        <v>0</v>
      </c>
      <c r="J573" s="1353">
        <f t="shared" si="172"/>
        <v>0</v>
      </c>
      <c r="M573" s="1324" t="str">
        <f t="shared" si="173"/>
        <v>"User Defined" Land Use Salaries &amp; Wages</v>
      </c>
      <c r="N573" s="1368">
        <f t="shared" si="174"/>
        <v>0</v>
      </c>
      <c r="O573" s="1368">
        <f t="shared" si="175"/>
        <v>0</v>
      </c>
      <c r="P573" s="1368">
        <f t="shared" si="175"/>
        <v>0</v>
      </c>
      <c r="Q573" s="1368">
        <f t="shared" si="175"/>
        <v>0</v>
      </c>
      <c r="R573" s="1368">
        <f t="shared" si="175"/>
        <v>0</v>
      </c>
      <c r="T573" s="1369">
        <v>0.02</v>
      </c>
      <c r="U573" s="1369">
        <v>0.02</v>
      </c>
      <c r="V573" s="1369">
        <v>0.02</v>
      </c>
      <c r="W573" s="1369">
        <v>0.02</v>
      </c>
      <c r="X573" s="1369">
        <v>0.02</v>
      </c>
      <c r="Y573" s="1367"/>
      <c r="Z573" s="1370">
        <v>0</v>
      </c>
      <c r="AA573" s="1370">
        <v>0</v>
      </c>
      <c r="AB573" s="1370">
        <v>0</v>
      </c>
      <c r="AC573" s="1370">
        <v>0</v>
      </c>
      <c r="AD573" s="1370">
        <v>0</v>
      </c>
      <c r="AK573" s="1354">
        <f t="shared" si="158"/>
        <v>0</v>
      </c>
      <c r="AL573" s="1352">
        <f t="shared" si="176"/>
        <v>53</v>
      </c>
      <c r="AM573" s="1354">
        <f t="shared" si="177"/>
        <v>0</v>
      </c>
      <c r="AN573" s="1352" t="str">
        <f t="shared" si="178"/>
        <v>"User Defined" Land Use Salaries &amp; Wages</v>
      </c>
    </row>
    <row r="574" spans="1:40" x14ac:dyDescent="0.2">
      <c r="A574" s="1324" t="str">
        <f>A573</f>
        <v>21-184</v>
      </c>
      <c r="B574" s="1324" t="s">
        <v>5825</v>
      </c>
      <c r="C574" s="1353">
        <f>'Key Metrics'!$D$195</f>
        <v>0</v>
      </c>
      <c r="D574" s="1353">
        <f>'Key Metrics'!$H$195</f>
        <v>0</v>
      </c>
      <c r="E574" s="1351">
        <f t="shared" si="167"/>
        <v>0</v>
      </c>
      <c r="F574" s="1353">
        <f t="shared" si="168"/>
        <v>0</v>
      </c>
      <c r="G574" s="1353">
        <f t="shared" si="169"/>
        <v>0</v>
      </c>
      <c r="H574" s="1353">
        <f t="shared" si="170"/>
        <v>0</v>
      </c>
      <c r="I574" s="1353">
        <f t="shared" si="171"/>
        <v>0</v>
      </c>
      <c r="J574" s="1353">
        <f t="shared" si="172"/>
        <v>0</v>
      </c>
      <c r="M574" s="1324" t="str">
        <f t="shared" si="173"/>
        <v>"User Defined" Land Use Other Expenses</v>
      </c>
      <c r="N574" s="1368">
        <f t="shared" si="174"/>
        <v>0</v>
      </c>
      <c r="O574" s="1368">
        <f t="shared" si="175"/>
        <v>0</v>
      </c>
      <c r="P574" s="1368">
        <f t="shared" si="175"/>
        <v>0</v>
      </c>
      <c r="Q574" s="1368">
        <f t="shared" si="175"/>
        <v>0</v>
      </c>
      <c r="R574" s="1368">
        <f t="shared" si="175"/>
        <v>0</v>
      </c>
      <c r="T574" s="1369">
        <v>0.02</v>
      </c>
      <c r="U574" s="1369">
        <v>0.02</v>
      </c>
      <c r="V574" s="1369">
        <v>0.02</v>
      </c>
      <c r="W574" s="1369">
        <v>0.02</v>
      </c>
      <c r="X574" s="1369">
        <v>0.02</v>
      </c>
      <c r="Y574" s="1367"/>
      <c r="Z574" s="1370">
        <v>0</v>
      </c>
      <c r="AA574" s="1370">
        <v>0</v>
      </c>
      <c r="AB574" s="1370">
        <v>0</v>
      </c>
      <c r="AC574" s="1370">
        <v>0</v>
      </c>
      <c r="AD574" s="1370">
        <v>0</v>
      </c>
      <c r="AK574" s="1354">
        <f t="shared" si="158"/>
        <v>0</v>
      </c>
      <c r="AL574" s="1352">
        <f t="shared" si="176"/>
        <v>53</v>
      </c>
      <c r="AM574" s="1354">
        <f t="shared" si="177"/>
        <v>0</v>
      </c>
      <c r="AN574" s="1352" t="str">
        <f t="shared" si="178"/>
        <v>"User Defined" Land Use Other Expenses</v>
      </c>
    </row>
    <row r="575" spans="1:40" x14ac:dyDescent="0.2">
      <c r="A575" s="1324" t="str">
        <f>A574</f>
        <v>21-184</v>
      </c>
      <c r="B575" s="1324" t="s">
        <v>5826</v>
      </c>
      <c r="C575" s="1353">
        <f>'Key Metrics'!$E$195</f>
        <v>0</v>
      </c>
      <c r="D575" s="1353">
        <f>'Key Metrics'!$I$195</f>
        <v>0</v>
      </c>
      <c r="E575" s="1351">
        <f t="shared" si="167"/>
        <v>0</v>
      </c>
      <c r="F575" s="1353">
        <f t="shared" si="168"/>
        <v>0</v>
      </c>
      <c r="G575" s="1353">
        <f t="shared" si="169"/>
        <v>0</v>
      </c>
      <c r="H575" s="1353">
        <f t="shared" si="170"/>
        <v>0</v>
      </c>
      <c r="I575" s="1353">
        <f t="shared" si="171"/>
        <v>0</v>
      </c>
      <c r="J575" s="1353">
        <f t="shared" si="172"/>
        <v>0</v>
      </c>
      <c r="M575" s="1324" t="str">
        <f t="shared" si="173"/>
        <v>"User Defined" Land Use Unclassified</v>
      </c>
      <c r="N575" s="1368">
        <f t="shared" si="174"/>
        <v>0</v>
      </c>
      <c r="O575" s="1368">
        <f t="shared" si="175"/>
        <v>0</v>
      </c>
      <c r="P575" s="1368">
        <f t="shared" si="175"/>
        <v>0</v>
      </c>
      <c r="Q575" s="1368">
        <f t="shared" si="175"/>
        <v>0</v>
      </c>
      <c r="R575" s="1368">
        <f t="shared" si="175"/>
        <v>0</v>
      </c>
      <c r="T575" s="1369">
        <v>0.02</v>
      </c>
      <c r="U575" s="1369">
        <v>0.02</v>
      </c>
      <c r="V575" s="1369">
        <v>0.02</v>
      </c>
      <c r="W575" s="1369">
        <v>0.02</v>
      </c>
      <c r="X575" s="1369">
        <v>0.02</v>
      </c>
      <c r="Y575" s="1367"/>
      <c r="Z575" s="1370">
        <v>0</v>
      </c>
      <c r="AA575" s="1370">
        <v>0</v>
      </c>
      <c r="AB575" s="1370">
        <v>0</v>
      </c>
      <c r="AC575" s="1370">
        <v>0</v>
      </c>
      <c r="AD575" s="1370">
        <v>0</v>
      </c>
      <c r="AK575" s="1354">
        <f t="shared" si="158"/>
        <v>0</v>
      </c>
      <c r="AL575" s="1352">
        <f t="shared" si="176"/>
        <v>53</v>
      </c>
      <c r="AM575" s="1354">
        <f t="shared" si="177"/>
        <v>0</v>
      </c>
      <c r="AN575" s="1352" t="str">
        <f t="shared" si="178"/>
        <v>"User Defined" Land Use Unclassified</v>
      </c>
    </row>
    <row r="576" spans="1:40" x14ac:dyDescent="0.2">
      <c r="A576" s="1324" t="s">
        <v>5146</v>
      </c>
      <c r="B576" s="1324" t="s">
        <v>5660</v>
      </c>
      <c r="C576" s="1353">
        <f>'Key Metrics'!$C$196</f>
        <v>0</v>
      </c>
      <c r="D576" s="1353">
        <f>'Key Metrics'!$G$196</f>
        <v>0</v>
      </c>
      <c r="E576" s="1351">
        <f t="shared" si="167"/>
        <v>0</v>
      </c>
      <c r="F576" s="1353">
        <f t="shared" si="168"/>
        <v>0</v>
      </c>
      <c r="G576" s="1353">
        <f t="shared" si="169"/>
        <v>0</v>
      </c>
      <c r="H576" s="1353">
        <f t="shared" si="170"/>
        <v>0</v>
      </c>
      <c r="I576" s="1353">
        <f t="shared" si="171"/>
        <v>0</v>
      </c>
      <c r="J576" s="1353">
        <f t="shared" si="172"/>
        <v>0</v>
      </c>
      <c r="M576" s="1324" t="str">
        <f t="shared" si="173"/>
        <v>Zoning Board of Adjustment Salaries &amp; Wages</v>
      </c>
      <c r="N576" s="1368">
        <f t="shared" si="174"/>
        <v>0</v>
      </c>
      <c r="O576" s="1368">
        <f t="shared" si="175"/>
        <v>0</v>
      </c>
      <c r="P576" s="1368">
        <f t="shared" si="175"/>
        <v>0</v>
      </c>
      <c r="Q576" s="1368">
        <f t="shared" si="175"/>
        <v>0</v>
      </c>
      <c r="R576" s="1368">
        <f t="shared" si="175"/>
        <v>0</v>
      </c>
      <c r="T576" s="1369">
        <v>0.02</v>
      </c>
      <c r="U576" s="1369">
        <v>0.02</v>
      </c>
      <c r="V576" s="1369">
        <v>0.02</v>
      </c>
      <c r="W576" s="1369">
        <v>0.02</v>
      </c>
      <c r="X576" s="1369">
        <v>0.02</v>
      </c>
      <c r="Y576" s="1367"/>
      <c r="Z576" s="1370">
        <v>0</v>
      </c>
      <c r="AA576" s="1370">
        <v>0</v>
      </c>
      <c r="AB576" s="1370">
        <v>0</v>
      </c>
      <c r="AC576" s="1370">
        <v>0</v>
      </c>
      <c r="AD576" s="1370">
        <v>0</v>
      </c>
      <c r="AK576" s="1354">
        <f t="shared" si="158"/>
        <v>0</v>
      </c>
      <c r="AL576" s="1352">
        <f t="shared" si="176"/>
        <v>53</v>
      </c>
      <c r="AM576" s="1354">
        <f t="shared" si="177"/>
        <v>0</v>
      </c>
      <c r="AN576" s="1352" t="str">
        <f t="shared" si="178"/>
        <v>Zoning Board of Adjustment Salaries &amp; Wages</v>
      </c>
    </row>
    <row r="577" spans="1:40" x14ac:dyDescent="0.2">
      <c r="A577" s="1324" t="str">
        <f>A576</f>
        <v>21-185</v>
      </c>
      <c r="B577" s="1324" t="s">
        <v>5827</v>
      </c>
      <c r="C577" s="1353">
        <f>'Key Metrics'!$D$196</f>
        <v>0</v>
      </c>
      <c r="D577" s="1353">
        <f>'Key Metrics'!$H$196</f>
        <v>5000</v>
      </c>
      <c r="E577" s="1351">
        <f t="shared" si="167"/>
        <v>0</v>
      </c>
      <c r="F577" s="1353">
        <f t="shared" si="168"/>
        <v>5100</v>
      </c>
      <c r="G577" s="1353">
        <f t="shared" si="169"/>
        <v>5202</v>
      </c>
      <c r="H577" s="1353">
        <f t="shared" si="170"/>
        <v>5306.04</v>
      </c>
      <c r="I577" s="1353">
        <f t="shared" si="171"/>
        <v>5412.1607999999997</v>
      </c>
      <c r="J577" s="1353">
        <f t="shared" si="172"/>
        <v>5520.4040159999995</v>
      </c>
      <c r="M577" s="1324" t="str">
        <f t="shared" si="173"/>
        <v>Zoning Board of Adjustment Other Expenses</v>
      </c>
      <c r="N577" s="1368">
        <f t="shared" si="174"/>
        <v>0</v>
      </c>
      <c r="O577" s="1368">
        <f t="shared" ref="O577:R584" si="179">N577</f>
        <v>0</v>
      </c>
      <c r="P577" s="1368">
        <f t="shared" si="179"/>
        <v>0</v>
      </c>
      <c r="Q577" s="1368">
        <f t="shared" si="179"/>
        <v>0</v>
      </c>
      <c r="R577" s="1368">
        <f t="shared" si="179"/>
        <v>0</v>
      </c>
      <c r="T577" s="1369">
        <v>0.02</v>
      </c>
      <c r="U577" s="1369">
        <v>0.02</v>
      </c>
      <c r="V577" s="1369">
        <v>0.02</v>
      </c>
      <c r="W577" s="1369">
        <v>0.02</v>
      </c>
      <c r="X577" s="1369">
        <v>0.02</v>
      </c>
      <c r="Y577" s="1367"/>
      <c r="Z577" s="1370">
        <v>0</v>
      </c>
      <c r="AA577" s="1370">
        <v>0</v>
      </c>
      <c r="AB577" s="1370">
        <v>0</v>
      </c>
      <c r="AC577" s="1370">
        <v>0</v>
      </c>
      <c r="AD577" s="1370">
        <v>0</v>
      </c>
      <c r="AK577" s="1354">
        <f t="shared" si="158"/>
        <v>31540.604815999999</v>
      </c>
      <c r="AL577" s="1352">
        <f t="shared" si="176"/>
        <v>23</v>
      </c>
      <c r="AM577" s="1354">
        <f t="shared" si="177"/>
        <v>520.4040159999995</v>
      </c>
      <c r="AN577" s="1352" t="str">
        <f t="shared" si="178"/>
        <v>Zoning Board of Adjustment Other Expenses</v>
      </c>
    </row>
    <row r="578" spans="1:40" x14ac:dyDescent="0.2">
      <c r="A578" s="1324" t="str">
        <f>A577</f>
        <v>21-185</v>
      </c>
      <c r="B578" s="1324" t="s">
        <v>5828</v>
      </c>
      <c r="C578" s="1353">
        <f>'Key Metrics'!$E$196</f>
        <v>0</v>
      </c>
      <c r="D578" s="1353">
        <f>'Key Metrics'!$I$196</f>
        <v>0</v>
      </c>
      <c r="E578" s="1351">
        <f t="shared" si="167"/>
        <v>0</v>
      </c>
      <c r="F578" s="1353">
        <f t="shared" si="168"/>
        <v>0</v>
      </c>
      <c r="G578" s="1353">
        <f t="shared" si="169"/>
        <v>0</v>
      </c>
      <c r="H578" s="1353">
        <f t="shared" si="170"/>
        <v>0</v>
      </c>
      <c r="I578" s="1353">
        <f t="shared" si="171"/>
        <v>0</v>
      </c>
      <c r="J578" s="1353">
        <f t="shared" si="172"/>
        <v>0</v>
      </c>
      <c r="M578" s="1324" t="str">
        <f t="shared" si="173"/>
        <v>Zoning Board of Adjustment Unclassified</v>
      </c>
      <c r="N578" s="1368">
        <f t="shared" si="174"/>
        <v>0</v>
      </c>
      <c r="O578" s="1368">
        <f t="shared" si="179"/>
        <v>0</v>
      </c>
      <c r="P578" s="1368">
        <f t="shared" si="179"/>
        <v>0</v>
      </c>
      <c r="Q578" s="1368">
        <f t="shared" si="179"/>
        <v>0</v>
      </c>
      <c r="R578" s="1368">
        <f t="shared" si="179"/>
        <v>0</v>
      </c>
      <c r="T578" s="1369">
        <v>0.02</v>
      </c>
      <c r="U578" s="1369">
        <v>0.02</v>
      </c>
      <c r="V578" s="1369">
        <v>0.02</v>
      </c>
      <c r="W578" s="1369">
        <v>0.02</v>
      </c>
      <c r="X578" s="1369">
        <v>0.02</v>
      </c>
      <c r="Y578" s="1367"/>
      <c r="Z578" s="1370">
        <v>0</v>
      </c>
      <c r="AA578" s="1370">
        <v>0</v>
      </c>
      <c r="AB578" s="1370">
        <v>0</v>
      </c>
      <c r="AC578" s="1370">
        <v>0</v>
      </c>
      <c r="AD578" s="1370">
        <v>0</v>
      </c>
      <c r="AK578" s="1354">
        <f t="shared" si="158"/>
        <v>0</v>
      </c>
      <c r="AL578" s="1352">
        <f t="shared" si="176"/>
        <v>53</v>
      </c>
      <c r="AM578" s="1354">
        <f t="shared" si="177"/>
        <v>0</v>
      </c>
      <c r="AN578" s="1352" t="str">
        <f t="shared" si="178"/>
        <v>Zoning Board of Adjustment Unclassified</v>
      </c>
    </row>
    <row r="579" spans="1:40" x14ac:dyDescent="0.2">
      <c r="A579" s="1324" t="s">
        <v>5148</v>
      </c>
      <c r="B579" s="1324" t="s">
        <v>5661</v>
      </c>
      <c r="C579" s="1353">
        <f>'Key Metrics'!$C$197</f>
        <v>0</v>
      </c>
      <c r="D579" s="1353">
        <f>'Key Metrics'!$G$197</f>
        <v>0</v>
      </c>
      <c r="E579" s="1351">
        <f t="shared" si="167"/>
        <v>0</v>
      </c>
      <c r="F579" s="1353">
        <f t="shared" si="168"/>
        <v>0</v>
      </c>
      <c r="G579" s="1353">
        <f t="shared" si="169"/>
        <v>0</v>
      </c>
      <c r="H579" s="1353">
        <f t="shared" si="170"/>
        <v>0</v>
      </c>
      <c r="I579" s="1353">
        <f t="shared" si="171"/>
        <v>0</v>
      </c>
      <c r="J579" s="1353">
        <f t="shared" si="172"/>
        <v>0</v>
      </c>
      <c r="M579" s="1324" t="str">
        <f t="shared" si="173"/>
        <v>Council on Affordable Housing (COAH) (Inside CAPS) Salaries &amp; Wages</v>
      </c>
      <c r="N579" s="1368">
        <f t="shared" si="174"/>
        <v>0</v>
      </c>
      <c r="O579" s="1368">
        <f t="shared" si="179"/>
        <v>0</v>
      </c>
      <c r="P579" s="1368">
        <f t="shared" si="179"/>
        <v>0</v>
      </c>
      <c r="Q579" s="1368">
        <f t="shared" si="179"/>
        <v>0</v>
      </c>
      <c r="R579" s="1368">
        <f t="shared" si="179"/>
        <v>0</v>
      </c>
      <c r="T579" s="1369">
        <v>0.02</v>
      </c>
      <c r="U579" s="1369">
        <v>0.02</v>
      </c>
      <c r="V579" s="1369">
        <v>0.02</v>
      </c>
      <c r="W579" s="1369">
        <v>0.02</v>
      </c>
      <c r="X579" s="1369">
        <v>0.02</v>
      </c>
      <c r="Y579" s="1367"/>
      <c r="Z579" s="1370">
        <v>0</v>
      </c>
      <c r="AA579" s="1370">
        <v>0</v>
      </c>
      <c r="AB579" s="1370">
        <v>0</v>
      </c>
      <c r="AC579" s="1370">
        <v>0</v>
      </c>
      <c r="AD579" s="1370">
        <v>0</v>
      </c>
      <c r="AK579" s="1354">
        <f t="shared" si="158"/>
        <v>0</v>
      </c>
      <c r="AL579" s="1352">
        <f t="shared" si="176"/>
        <v>53</v>
      </c>
      <c r="AM579" s="1354">
        <f t="shared" si="177"/>
        <v>0</v>
      </c>
      <c r="AN579" s="1352" t="str">
        <f t="shared" si="178"/>
        <v>Council on Affordable Housing (COAH) (Inside CAPS) Salaries &amp; Wages</v>
      </c>
    </row>
    <row r="580" spans="1:40" x14ac:dyDescent="0.2">
      <c r="A580" s="1324" t="str">
        <f>A579</f>
        <v>21-190</v>
      </c>
      <c r="B580" s="1324" t="s">
        <v>5829</v>
      </c>
      <c r="C580" s="1353">
        <f>'Key Metrics'!$D$197</f>
        <v>0</v>
      </c>
      <c r="D580" s="1353">
        <f>'Key Metrics'!$H$197</f>
        <v>0</v>
      </c>
      <c r="E580" s="1351">
        <f t="shared" si="167"/>
        <v>0</v>
      </c>
      <c r="F580" s="1353">
        <f t="shared" si="168"/>
        <v>0</v>
      </c>
      <c r="G580" s="1353">
        <f t="shared" si="169"/>
        <v>0</v>
      </c>
      <c r="H580" s="1353">
        <f t="shared" si="170"/>
        <v>0</v>
      </c>
      <c r="I580" s="1353">
        <f t="shared" si="171"/>
        <v>0</v>
      </c>
      <c r="J580" s="1353">
        <f t="shared" si="172"/>
        <v>0</v>
      </c>
      <c r="M580" s="1324" t="str">
        <f t="shared" si="173"/>
        <v>Council on Affordable Housing (COAH) (Inside CAPS) Other Expenses</v>
      </c>
      <c r="N580" s="1368">
        <f t="shared" si="174"/>
        <v>0</v>
      </c>
      <c r="O580" s="1368">
        <f t="shared" si="179"/>
        <v>0</v>
      </c>
      <c r="P580" s="1368">
        <f t="shared" si="179"/>
        <v>0</v>
      </c>
      <c r="Q580" s="1368">
        <f t="shared" si="179"/>
        <v>0</v>
      </c>
      <c r="R580" s="1368">
        <f t="shared" si="179"/>
        <v>0</v>
      </c>
      <c r="T580" s="1369">
        <v>0.02</v>
      </c>
      <c r="U580" s="1369">
        <v>0.02</v>
      </c>
      <c r="V580" s="1369">
        <v>0.02</v>
      </c>
      <c r="W580" s="1369">
        <v>0.02</v>
      </c>
      <c r="X580" s="1369">
        <v>0.02</v>
      </c>
      <c r="Y580" s="1367"/>
      <c r="Z580" s="1370">
        <v>0</v>
      </c>
      <c r="AA580" s="1370">
        <v>0</v>
      </c>
      <c r="AB580" s="1370">
        <v>0</v>
      </c>
      <c r="AC580" s="1370">
        <v>0</v>
      </c>
      <c r="AD580" s="1370">
        <v>0</v>
      </c>
      <c r="AK580" s="1354">
        <f t="shared" si="158"/>
        <v>0</v>
      </c>
      <c r="AL580" s="1352">
        <f t="shared" si="176"/>
        <v>53</v>
      </c>
      <c r="AM580" s="1354">
        <f t="shared" si="177"/>
        <v>0</v>
      </c>
      <c r="AN580" s="1352" t="str">
        <f t="shared" si="178"/>
        <v>Council on Affordable Housing (COAH) (Inside CAPS) Other Expenses</v>
      </c>
    </row>
    <row r="581" spans="1:40" x14ac:dyDescent="0.2">
      <c r="A581" s="1324" t="str">
        <f>A580</f>
        <v>21-190</v>
      </c>
      <c r="B581" s="1324" t="s">
        <v>5830</v>
      </c>
      <c r="C581" s="1353">
        <f>'Key Metrics'!$E$197</f>
        <v>0</v>
      </c>
      <c r="D581" s="1353">
        <f>'Key Metrics'!$I$197</f>
        <v>0</v>
      </c>
      <c r="E581" s="1351">
        <f t="shared" si="167"/>
        <v>0</v>
      </c>
      <c r="F581" s="1353">
        <f t="shared" si="168"/>
        <v>0</v>
      </c>
      <c r="G581" s="1353">
        <f t="shared" si="169"/>
        <v>0</v>
      </c>
      <c r="H581" s="1353">
        <f t="shared" si="170"/>
        <v>0</v>
      </c>
      <c r="I581" s="1353">
        <f t="shared" si="171"/>
        <v>0</v>
      </c>
      <c r="J581" s="1353">
        <f t="shared" si="172"/>
        <v>0</v>
      </c>
      <c r="M581" s="1324" t="str">
        <f t="shared" si="173"/>
        <v>Council on Affordable Housing (COAH) (Inside CAPS) Unclassified</v>
      </c>
      <c r="N581" s="1368">
        <f t="shared" si="174"/>
        <v>0</v>
      </c>
      <c r="O581" s="1368">
        <f t="shared" si="179"/>
        <v>0</v>
      </c>
      <c r="P581" s="1368">
        <f t="shared" si="179"/>
        <v>0</v>
      </c>
      <c r="Q581" s="1368">
        <f t="shared" si="179"/>
        <v>0</v>
      </c>
      <c r="R581" s="1368">
        <f t="shared" si="179"/>
        <v>0</v>
      </c>
      <c r="T581" s="1369">
        <v>0.02</v>
      </c>
      <c r="U581" s="1369">
        <v>0.02</v>
      </c>
      <c r="V581" s="1369">
        <v>0.02</v>
      </c>
      <c r="W581" s="1369">
        <v>0.02</v>
      </c>
      <c r="X581" s="1369">
        <v>0.02</v>
      </c>
      <c r="Y581" s="1367"/>
      <c r="Z581" s="1370">
        <v>0</v>
      </c>
      <c r="AA581" s="1370">
        <v>0</v>
      </c>
      <c r="AB581" s="1370">
        <v>0</v>
      </c>
      <c r="AC581" s="1370">
        <v>0</v>
      </c>
      <c r="AD581" s="1370">
        <v>0</v>
      </c>
      <c r="AK581" s="1354">
        <f t="shared" si="158"/>
        <v>0</v>
      </c>
      <c r="AL581" s="1352">
        <f t="shared" si="176"/>
        <v>53</v>
      </c>
      <c r="AM581" s="1354">
        <f t="shared" si="177"/>
        <v>0</v>
      </c>
      <c r="AN581" s="1352" t="str">
        <f t="shared" si="178"/>
        <v>Council on Affordable Housing (COAH) (Inside CAPS) Unclassified</v>
      </c>
    </row>
    <row r="582" spans="1:40" x14ac:dyDescent="0.2">
      <c r="A582" s="1324" t="s">
        <v>5075</v>
      </c>
      <c r="B582" s="1324" t="s">
        <v>5662</v>
      </c>
      <c r="C582" s="1353">
        <f>'Key Metrics'!$C$198</f>
        <v>0</v>
      </c>
      <c r="D582" s="1353">
        <f>'Key Metrics'!$G$198</f>
        <v>0</v>
      </c>
      <c r="E582" s="1351">
        <f t="shared" si="167"/>
        <v>0</v>
      </c>
      <c r="F582" s="1353">
        <f t="shared" si="168"/>
        <v>0</v>
      </c>
      <c r="G582" s="1353">
        <f t="shared" si="169"/>
        <v>0</v>
      </c>
      <c r="H582" s="1353">
        <f t="shared" si="170"/>
        <v>0</v>
      </c>
      <c r="I582" s="1353">
        <f t="shared" si="171"/>
        <v>0</v>
      </c>
      <c r="J582" s="1353">
        <f t="shared" si="172"/>
        <v>0</v>
      </c>
      <c r="M582" s="1324" t="str">
        <f t="shared" si="173"/>
        <v>Council on Affordable Housing (COAH) (Outside CAPS) Salaries &amp; Wages</v>
      </c>
      <c r="N582" s="1368">
        <f t="shared" si="174"/>
        <v>0</v>
      </c>
      <c r="O582" s="1368">
        <f t="shared" si="179"/>
        <v>0</v>
      </c>
      <c r="P582" s="1368">
        <f t="shared" si="179"/>
        <v>0</v>
      </c>
      <c r="Q582" s="1368">
        <f t="shared" si="179"/>
        <v>0</v>
      </c>
      <c r="R582" s="1368">
        <f t="shared" si="179"/>
        <v>0</v>
      </c>
      <c r="T582" s="1369">
        <v>0.02</v>
      </c>
      <c r="U582" s="1369">
        <v>0.02</v>
      </c>
      <c r="V582" s="1369">
        <v>0.02</v>
      </c>
      <c r="W582" s="1369">
        <v>0.02</v>
      </c>
      <c r="X582" s="1369">
        <v>0.02</v>
      </c>
      <c r="Y582" s="1367"/>
      <c r="Z582" s="1370">
        <v>0</v>
      </c>
      <c r="AA582" s="1370">
        <v>0</v>
      </c>
      <c r="AB582" s="1370">
        <v>0</v>
      </c>
      <c r="AC582" s="1370">
        <v>0</v>
      </c>
      <c r="AD582" s="1370">
        <v>0</v>
      </c>
      <c r="AK582" s="1354">
        <f t="shared" si="158"/>
        <v>0</v>
      </c>
      <c r="AL582" s="1352">
        <f t="shared" si="176"/>
        <v>53</v>
      </c>
      <c r="AM582" s="1354">
        <f t="shared" si="177"/>
        <v>0</v>
      </c>
      <c r="AN582" s="1352" t="str">
        <f t="shared" si="178"/>
        <v>Council on Affordable Housing (COAH) (Outside CAPS) Salaries &amp; Wages</v>
      </c>
    </row>
    <row r="583" spans="1:40" x14ac:dyDescent="0.2">
      <c r="A583" s="1324" t="str">
        <f>A582</f>
        <v>21-191</v>
      </c>
      <c r="B583" s="1324" t="s">
        <v>5831</v>
      </c>
      <c r="C583" s="1353">
        <f>'Key Metrics'!$D$198</f>
        <v>0</v>
      </c>
      <c r="D583" s="1353">
        <f>'Key Metrics'!$H$198</f>
        <v>0</v>
      </c>
      <c r="E583" s="1351">
        <f t="shared" si="167"/>
        <v>0</v>
      </c>
      <c r="F583" s="1353">
        <f t="shared" si="168"/>
        <v>0</v>
      </c>
      <c r="G583" s="1353">
        <f t="shared" si="169"/>
        <v>0</v>
      </c>
      <c r="H583" s="1353">
        <f t="shared" si="170"/>
        <v>0</v>
      </c>
      <c r="I583" s="1353">
        <f t="shared" si="171"/>
        <v>0</v>
      </c>
      <c r="J583" s="1353">
        <f t="shared" si="172"/>
        <v>0</v>
      </c>
      <c r="M583" s="1324" t="str">
        <f t="shared" si="173"/>
        <v>Council on Affordable Housing (COAH) (Outside CAPS) Other Expenses</v>
      </c>
      <c r="N583" s="1368">
        <f t="shared" si="174"/>
        <v>0</v>
      </c>
      <c r="O583" s="1368">
        <f t="shared" si="179"/>
        <v>0</v>
      </c>
      <c r="P583" s="1368">
        <f t="shared" si="179"/>
        <v>0</v>
      </c>
      <c r="Q583" s="1368">
        <f t="shared" si="179"/>
        <v>0</v>
      </c>
      <c r="R583" s="1368">
        <f t="shared" si="179"/>
        <v>0</v>
      </c>
      <c r="T583" s="1369">
        <v>0.02</v>
      </c>
      <c r="U583" s="1369">
        <v>0.02</v>
      </c>
      <c r="V583" s="1369">
        <v>0.02</v>
      </c>
      <c r="W583" s="1369">
        <v>0.02</v>
      </c>
      <c r="X583" s="1369">
        <v>0.02</v>
      </c>
      <c r="Y583" s="1367"/>
      <c r="Z583" s="1370">
        <v>0</v>
      </c>
      <c r="AA583" s="1370">
        <v>0</v>
      </c>
      <c r="AB583" s="1370">
        <v>0</v>
      </c>
      <c r="AC583" s="1370">
        <v>0</v>
      </c>
      <c r="AD583" s="1370">
        <v>0</v>
      </c>
      <c r="AK583" s="1354">
        <f t="shared" si="158"/>
        <v>0</v>
      </c>
      <c r="AL583" s="1352">
        <f t="shared" si="176"/>
        <v>53</v>
      </c>
      <c r="AM583" s="1354">
        <f t="shared" si="177"/>
        <v>0</v>
      </c>
      <c r="AN583" s="1352" t="str">
        <f t="shared" si="178"/>
        <v>Council on Affordable Housing (COAH) (Outside CAPS) Other Expenses</v>
      </c>
    </row>
    <row r="584" spans="1:40" x14ac:dyDescent="0.2">
      <c r="A584" s="1324" t="str">
        <f>A583</f>
        <v>21-191</v>
      </c>
      <c r="B584" s="1324" t="s">
        <v>5832</v>
      </c>
      <c r="C584" s="1353">
        <f>'Key Metrics'!$E$198</f>
        <v>0</v>
      </c>
      <c r="D584" s="1353">
        <f>'Key Metrics'!$I$198</f>
        <v>0</v>
      </c>
      <c r="E584" s="1351">
        <f t="shared" si="167"/>
        <v>0</v>
      </c>
      <c r="F584" s="1353">
        <f t="shared" si="168"/>
        <v>0</v>
      </c>
      <c r="G584" s="1353">
        <f t="shared" si="169"/>
        <v>0</v>
      </c>
      <c r="H584" s="1353">
        <f t="shared" si="170"/>
        <v>0</v>
      </c>
      <c r="I584" s="1353">
        <f t="shared" si="171"/>
        <v>0</v>
      </c>
      <c r="J584" s="1353">
        <f t="shared" si="172"/>
        <v>0</v>
      </c>
      <c r="M584" s="1324" t="str">
        <f t="shared" si="173"/>
        <v>Council on Affordable Housing (COAH) (Outside CAPS) Unclassified</v>
      </c>
      <c r="N584" s="1368">
        <f t="shared" si="174"/>
        <v>0</v>
      </c>
      <c r="O584" s="1368">
        <f t="shared" si="179"/>
        <v>0</v>
      </c>
      <c r="P584" s="1368">
        <f t="shared" si="179"/>
        <v>0</v>
      </c>
      <c r="Q584" s="1368">
        <f t="shared" si="179"/>
        <v>0</v>
      </c>
      <c r="R584" s="1368">
        <f t="shared" si="179"/>
        <v>0</v>
      </c>
      <c r="T584" s="1369">
        <v>0.02</v>
      </c>
      <c r="U584" s="1369">
        <v>0.02</v>
      </c>
      <c r="V584" s="1369">
        <v>0.02</v>
      </c>
      <c r="W584" s="1369">
        <v>0.02</v>
      </c>
      <c r="X584" s="1369">
        <v>0.02</v>
      </c>
      <c r="Y584" s="1367"/>
      <c r="Z584" s="1370">
        <v>0</v>
      </c>
      <c r="AA584" s="1370">
        <v>0</v>
      </c>
      <c r="AB584" s="1370">
        <v>0</v>
      </c>
      <c r="AC584" s="1370">
        <v>0</v>
      </c>
      <c r="AD584" s="1370">
        <v>0</v>
      </c>
      <c r="AK584" s="1354">
        <f t="shared" si="158"/>
        <v>0</v>
      </c>
      <c r="AL584" s="1352">
        <f t="shared" si="176"/>
        <v>53</v>
      </c>
      <c r="AM584" s="1354">
        <f t="shared" si="177"/>
        <v>0</v>
      </c>
      <c r="AN584" s="1352" t="str">
        <f t="shared" si="178"/>
        <v>Council on Affordable Housing (COAH) (Outside CAPS) Unclassified</v>
      </c>
    </row>
    <row r="585" spans="1:40" x14ac:dyDescent="0.2">
      <c r="B585" s="1373" t="s">
        <v>5619</v>
      </c>
      <c r="C585" s="1360">
        <f>SUM(C561:C584)</f>
        <v>6339.12</v>
      </c>
      <c r="D585" s="1360">
        <f>SUM(D561:D584)</f>
        <v>11666.08</v>
      </c>
      <c r="E585" s="1356">
        <f t="shared" si="167"/>
        <v>0.84033115006499326</v>
      </c>
      <c r="F585" s="1360">
        <f>SUM(F561:F584)</f>
        <v>11899.401600000001</v>
      </c>
      <c r="G585" s="1360">
        <f>SUM(G561:G584)</f>
        <v>12137.389632</v>
      </c>
      <c r="H585" s="1360">
        <f>SUM(H561:H584)</f>
        <v>12380.137424640001</v>
      </c>
      <c r="I585" s="1360">
        <f>SUM(I561:I584)</f>
        <v>12627.740173132799</v>
      </c>
      <c r="J585" s="1360">
        <f>SUM(J561:J584)</f>
        <v>12880.294976595455</v>
      </c>
      <c r="N585" s="1328"/>
      <c r="O585" s="1328"/>
      <c r="P585" s="1328"/>
      <c r="Q585" s="1328"/>
      <c r="R585" s="1328"/>
      <c r="T585" s="1371"/>
      <c r="U585" s="1371"/>
      <c r="V585" s="1371"/>
      <c r="W585" s="1371"/>
      <c r="X585" s="1371"/>
      <c r="Y585" s="1367"/>
      <c r="Z585" s="1372"/>
      <c r="AA585" s="1372"/>
      <c r="AB585" s="1372"/>
      <c r="AC585" s="1372"/>
      <c r="AD585" s="1372"/>
      <c r="AK585" s="1354"/>
      <c r="AL585" s="1352"/>
      <c r="AM585" s="1354"/>
      <c r="AN585" s="1352"/>
    </row>
    <row r="586" spans="1:40" x14ac:dyDescent="0.2">
      <c r="E586" s="1351"/>
      <c r="N586" s="1328"/>
      <c r="O586" s="1328"/>
      <c r="P586" s="1328"/>
      <c r="Q586" s="1328"/>
      <c r="R586" s="1328"/>
      <c r="T586" s="1371"/>
      <c r="U586" s="1371"/>
      <c r="V586" s="1371"/>
      <c r="W586" s="1371"/>
      <c r="X586" s="1371"/>
      <c r="Y586" s="1367"/>
      <c r="Z586" s="1372"/>
      <c r="AA586" s="1372"/>
      <c r="AB586" s="1372"/>
      <c r="AC586" s="1372"/>
      <c r="AD586" s="1372"/>
      <c r="AK586" s="1354"/>
      <c r="AL586" s="1352"/>
      <c r="AM586" s="1354"/>
      <c r="AN586" s="1352"/>
    </row>
    <row r="587" spans="1:40" ht="15" x14ac:dyDescent="0.25">
      <c r="A587" s="1364" t="s">
        <v>5441</v>
      </c>
      <c r="B587" s="1365"/>
      <c r="C587" s="1365"/>
      <c r="D587" s="1365"/>
      <c r="E587" s="1380"/>
      <c r="F587" s="1365"/>
      <c r="G587" s="1365"/>
      <c r="H587" s="1365"/>
      <c r="I587" s="1365"/>
      <c r="J587" s="1365"/>
      <c r="M587" s="1381" t="str">
        <f>A587</f>
        <v>Uniform Construction Code/Code Enforcement</v>
      </c>
      <c r="N587" s="1364"/>
      <c r="O587" s="1364"/>
      <c r="P587" s="1364"/>
      <c r="Q587" s="1364"/>
      <c r="R587" s="1364"/>
      <c r="S587" s="1365"/>
      <c r="T587" s="1389"/>
      <c r="U587" s="1389"/>
      <c r="V587" s="1389"/>
      <c r="W587" s="1389"/>
      <c r="X587" s="1389"/>
      <c r="Y587" s="1390"/>
      <c r="Z587" s="1391"/>
      <c r="AA587" s="1391"/>
      <c r="AB587" s="1391"/>
      <c r="AC587" s="1391"/>
      <c r="AD587" s="1391"/>
      <c r="AK587" s="1354"/>
      <c r="AL587" s="1352"/>
      <c r="AM587" s="1354"/>
      <c r="AN587" s="1352"/>
    </row>
    <row r="588" spans="1:40" x14ac:dyDescent="0.2">
      <c r="A588" s="1324" t="s">
        <v>830</v>
      </c>
      <c r="B588" s="1324" t="s">
        <v>5663</v>
      </c>
      <c r="C588" s="1353">
        <f>'Key Metrics'!$C$202</f>
        <v>0</v>
      </c>
      <c r="D588" s="1353">
        <f>'Key Metrics'!$G$202</f>
        <v>0</v>
      </c>
      <c r="E588" s="1351">
        <f t="shared" ref="E588:E633" si="180">IFERROR(D588/C588-1,0)</f>
        <v>0</v>
      </c>
      <c r="F588" s="1353">
        <f t="shared" ref="F588:F632" si="181">IFERROR(IF($I$3=1,D588*(1+N588),IF($I$3=2,D588*(1+T588),IF($I$3=3,Z588,"--"))),0)</f>
        <v>0</v>
      </c>
      <c r="G588" s="1353">
        <f t="shared" ref="G588:G632" si="182">IFERROR(IF($I$3=1,F588*(1+O588),IF($I$3=2,F588*(1+U588),IF($I$3=3,AA588,"--"))),0)</f>
        <v>0</v>
      </c>
      <c r="H588" s="1353">
        <f t="shared" ref="H588:H632" si="183">IFERROR(IF($I$3=1,G588*(1+P588),IF($I$3=2,G588*(1+V588),IF($I$3=3,AB588,"--"))),0)</f>
        <v>0</v>
      </c>
      <c r="I588" s="1353">
        <f t="shared" ref="I588:I632" si="184">IFERROR(IF($I$3=1,H588*(1+Q588),IF($I$3=2,H588*(1+W588),IF($I$3=3,AC588,"--"))),0)</f>
        <v>0</v>
      </c>
      <c r="J588" s="1353">
        <f t="shared" ref="J588:J632" si="185">IFERROR(IF($I$3=1,I588*(1+R588),IF($I$3=2,I588*(1+X588),IF($I$3=3,AD588,"--"))),0)</f>
        <v>0</v>
      </c>
      <c r="M588" s="1324" t="str">
        <f t="shared" ref="M588:M632" si="186">B588</f>
        <v>Uniform Construction Code Salaries &amp; Wages</v>
      </c>
      <c r="N588" s="1368">
        <f t="shared" ref="N588:N632" si="187">E588</f>
        <v>0</v>
      </c>
      <c r="O588" s="1368">
        <f t="shared" ref="O588:R603" si="188">N588</f>
        <v>0</v>
      </c>
      <c r="P588" s="1368">
        <f t="shared" si="188"/>
        <v>0</v>
      </c>
      <c r="Q588" s="1368">
        <f t="shared" si="188"/>
        <v>0</v>
      </c>
      <c r="R588" s="1368">
        <f t="shared" si="188"/>
        <v>0</v>
      </c>
      <c r="T588" s="1369">
        <v>0.02</v>
      </c>
      <c r="U588" s="1369">
        <v>0.02</v>
      </c>
      <c r="V588" s="1369">
        <v>0.02</v>
      </c>
      <c r="W588" s="1369">
        <v>0.02</v>
      </c>
      <c r="X588" s="1369">
        <v>0.02</v>
      </c>
      <c r="Y588" s="1367"/>
      <c r="Z588" s="1370">
        <v>0</v>
      </c>
      <c r="AA588" s="1370">
        <v>0</v>
      </c>
      <c r="AB588" s="1370">
        <v>0</v>
      </c>
      <c r="AC588" s="1370">
        <v>0</v>
      </c>
      <c r="AD588" s="1370">
        <v>0</v>
      </c>
      <c r="AK588" s="1354">
        <f t="shared" si="158"/>
        <v>0</v>
      </c>
      <c r="AL588" s="1352">
        <f t="shared" ref="AL588:AL632" si="189">RANK(AM588,$AM$504:$AM$1172,0)</f>
        <v>53</v>
      </c>
      <c r="AM588" s="1354">
        <f t="shared" si="177"/>
        <v>0</v>
      </c>
      <c r="AN588" s="1352" t="str">
        <f t="shared" si="178"/>
        <v>Uniform Construction Code Salaries &amp; Wages</v>
      </c>
    </row>
    <row r="589" spans="1:40" x14ac:dyDescent="0.2">
      <c r="A589" s="1324" t="str">
        <f>A588</f>
        <v>22-195</v>
      </c>
      <c r="B589" s="1324" t="s">
        <v>5833</v>
      </c>
      <c r="C589" s="1353">
        <f>'Key Metrics'!$D$202</f>
        <v>0</v>
      </c>
      <c r="D589" s="1353">
        <f>'Key Metrics'!$H$202</f>
        <v>0</v>
      </c>
      <c r="E589" s="1351">
        <f t="shared" si="180"/>
        <v>0</v>
      </c>
      <c r="F589" s="1353">
        <f t="shared" si="181"/>
        <v>0</v>
      </c>
      <c r="G589" s="1353">
        <f t="shared" si="182"/>
        <v>0</v>
      </c>
      <c r="H589" s="1353">
        <f t="shared" si="183"/>
        <v>0</v>
      </c>
      <c r="I589" s="1353">
        <f t="shared" si="184"/>
        <v>0</v>
      </c>
      <c r="J589" s="1353">
        <f t="shared" si="185"/>
        <v>0</v>
      </c>
      <c r="M589" s="1324" t="str">
        <f t="shared" si="186"/>
        <v>Uniform Construction Code Other Expenses</v>
      </c>
      <c r="N589" s="1368">
        <f t="shared" si="187"/>
        <v>0</v>
      </c>
      <c r="O589" s="1368">
        <f t="shared" si="188"/>
        <v>0</v>
      </c>
      <c r="P589" s="1368">
        <f t="shared" si="188"/>
        <v>0</v>
      </c>
      <c r="Q589" s="1368">
        <f t="shared" si="188"/>
        <v>0</v>
      </c>
      <c r="R589" s="1368">
        <f t="shared" si="188"/>
        <v>0</v>
      </c>
      <c r="T589" s="1369">
        <v>0.02</v>
      </c>
      <c r="U589" s="1369">
        <v>0.02</v>
      </c>
      <c r="V589" s="1369">
        <v>0.02</v>
      </c>
      <c r="W589" s="1369">
        <v>0.02</v>
      </c>
      <c r="X589" s="1369">
        <v>0.02</v>
      </c>
      <c r="Y589" s="1367"/>
      <c r="Z589" s="1370">
        <v>0</v>
      </c>
      <c r="AA589" s="1370">
        <v>0</v>
      </c>
      <c r="AB589" s="1370">
        <v>0</v>
      </c>
      <c r="AC589" s="1370">
        <v>0</v>
      </c>
      <c r="AD589" s="1370">
        <v>0</v>
      </c>
      <c r="AK589" s="1354">
        <f t="shared" si="158"/>
        <v>0</v>
      </c>
      <c r="AL589" s="1352">
        <f t="shared" si="189"/>
        <v>53</v>
      </c>
      <c r="AM589" s="1354">
        <f t="shared" si="177"/>
        <v>0</v>
      </c>
      <c r="AN589" s="1352" t="str">
        <f t="shared" si="178"/>
        <v>Uniform Construction Code Other Expenses</v>
      </c>
    </row>
    <row r="590" spans="1:40" x14ac:dyDescent="0.2">
      <c r="A590" s="1324" t="str">
        <f>A589</f>
        <v>22-195</v>
      </c>
      <c r="B590" s="1324" t="s">
        <v>5834</v>
      </c>
      <c r="C590" s="1353">
        <f>'Key Metrics'!$E$202</f>
        <v>0</v>
      </c>
      <c r="D590" s="1353">
        <f>'Key Metrics'!$I$202</f>
        <v>0</v>
      </c>
      <c r="E590" s="1351">
        <f t="shared" si="180"/>
        <v>0</v>
      </c>
      <c r="F590" s="1353">
        <f t="shared" si="181"/>
        <v>0</v>
      </c>
      <c r="G590" s="1353">
        <f t="shared" si="182"/>
        <v>0</v>
      </c>
      <c r="H590" s="1353">
        <f t="shared" si="183"/>
        <v>0</v>
      </c>
      <c r="I590" s="1353">
        <f t="shared" si="184"/>
        <v>0</v>
      </c>
      <c r="J590" s="1353">
        <f t="shared" si="185"/>
        <v>0</v>
      </c>
      <c r="M590" s="1324" t="str">
        <f t="shared" si="186"/>
        <v>Uniform Construction Code Unclassified</v>
      </c>
      <c r="N590" s="1368">
        <f t="shared" si="187"/>
        <v>0</v>
      </c>
      <c r="O590" s="1368">
        <f t="shared" si="188"/>
        <v>0</v>
      </c>
      <c r="P590" s="1368">
        <f t="shared" si="188"/>
        <v>0</v>
      </c>
      <c r="Q590" s="1368">
        <f t="shared" si="188"/>
        <v>0</v>
      </c>
      <c r="R590" s="1368">
        <f t="shared" si="188"/>
        <v>0</v>
      </c>
      <c r="T590" s="1369">
        <v>0.02</v>
      </c>
      <c r="U590" s="1369">
        <v>0.02</v>
      </c>
      <c r="V590" s="1369">
        <v>0.02</v>
      </c>
      <c r="W590" s="1369">
        <v>0.02</v>
      </c>
      <c r="X590" s="1369">
        <v>0.02</v>
      </c>
      <c r="Y590" s="1367"/>
      <c r="Z590" s="1370">
        <v>0</v>
      </c>
      <c r="AA590" s="1370">
        <v>0</v>
      </c>
      <c r="AB590" s="1370">
        <v>0</v>
      </c>
      <c r="AC590" s="1370">
        <v>0</v>
      </c>
      <c r="AD590" s="1370">
        <v>0</v>
      </c>
      <c r="AK590" s="1354">
        <f t="shared" si="158"/>
        <v>0</v>
      </c>
      <c r="AL590" s="1352">
        <f t="shared" si="189"/>
        <v>53</v>
      </c>
      <c r="AM590" s="1354">
        <f t="shared" si="177"/>
        <v>0</v>
      </c>
      <c r="AN590" s="1352" t="str">
        <f t="shared" si="178"/>
        <v>Uniform Construction Code Unclassified</v>
      </c>
    </row>
    <row r="591" spans="1:40" x14ac:dyDescent="0.2">
      <c r="A591" s="1324" t="s">
        <v>5268</v>
      </c>
      <c r="B591" s="1324" t="s">
        <v>5664</v>
      </c>
      <c r="C591" s="1353">
        <f>'Key Metrics'!$C$204</f>
        <v>0</v>
      </c>
      <c r="D591" s="1353">
        <f>'Key Metrics'!$G$204</f>
        <v>0</v>
      </c>
      <c r="E591" s="1351">
        <f t="shared" si="180"/>
        <v>0</v>
      </c>
      <c r="F591" s="1353">
        <f t="shared" si="181"/>
        <v>0</v>
      </c>
      <c r="G591" s="1353">
        <f t="shared" si="182"/>
        <v>0</v>
      </c>
      <c r="H591" s="1353">
        <f t="shared" si="183"/>
        <v>0</v>
      </c>
      <c r="I591" s="1353">
        <f t="shared" si="184"/>
        <v>0</v>
      </c>
      <c r="J591" s="1353">
        <f t="shared" si="185"/>
        <v>0</v>
      </c>
      <c r="M591" s="1324" t="str">
        <f t="shared" si="186"/>
        <v>"User Defined" Other Code Enforcement Salaries &amp; Wages</v>
      </c>
      <c r="N591" s="1368">
        <f t="shared" si="187"/>
        <v>0</v>
      </c>
      <c r="O591" s="1368">
        <f t="shared" si="188"/>
        <v>0</v>
      </c>
      <c r="P591" s="1368">
        <f t="shared" si="188"/>
        <v>0</v>
      </c>
      <c r="Q591" s="1368">
        <f t="shared" si="188"/>
        <v>0</v>
      </c>
      <c r="R591" s="1368">
        <f t="shared" si="188"/>
        <v>0</v>
      </c>
      <c r="T591" s="1369">
        <v>0.02</v>
      </c>
      <c r="U591" s="1369">
        <v>0.02</v>
      </c>
      <c r="V591" s="1369">
        <v>0.02</v>
      </c>
      <c r="W591" s="1369">
        <v>0.02</v>
      </c>
      <c r="X591" s="1369">
        <v>0.02</v>
      </c>
      <c r="Y591" s="1367"/>
      <c r="Z591" s="1370">
        <v>0</v>
      </c>
      <c r="AA591" s="1370">
        <v>0</v>
      </c>
      <c r="AB591" s="1370">
        <v>0</v>
      </c>
      <c r="AC591" s="1370">
        <v>0</v>
      </c>
      <c r="AD591" s="1370">
        <v>0</v>
      </c>
      <c r="AK591" s="1354">
        <f t="shared" si="158"/>
        <v>0</v>
      </c>
      <c r="AL591" s="1352">
        <f t="shared" si="189"/>
        <v>53</v>
      </c>
      <c r="AM591" s="1354">
        <f t="shared" si="177"/>
        <v>0</v>
      </c>
      <c r="AN591" s="1352" t="str">
        <f t="shared" si="178"/>
        <v>"User Defined" Other Code Enforcement Salaries &amp; Wages</v>
      </c>
    </row>
    <row r="592" spans="1:40" x14ac:dyDescent="0.2">
      <c r="A592" s="1324" t="str">
        <f>A591</f>
        <v>22-196</v>
      </c>
      <c r="B592" s="1324" t="s">
        <v>5835</v>
      </c>
      <c r="C592" s="1353">
        <f>'Key Metrics'!$D$204</f>
        <v>0</v>
      </c>
      <c r="D592" s="1353">
        <f>'Key Metrics'!$H$204</f>
        <v>5000</v>
      </c>
      <c r="E592" s="1351">
        <f t="shared" si="180"/>
        <v>0</v>
      </c>
      <c r="F592" s="1353">
        <f t="shared" si="181"/>
        <v>5100</v>
      </c>
      <c r="G592" s="1353">
        <f t="shared" si="182"/>
        <v>5202</v>
      </c>
      <c r="H592" s="1353">
        <f t="shared" si="183"/>
        <v>5306.04</v>
      </c>
      <c r="I592" s="1353">
        <f t="shared" si="184"/>
        <v>5412.1607999999997</v>
      </c>
      <c r="J592" s="1353">
        <f t="shared" si="185"/>
        <v>5520.4040159999995</v>
      </c>
      <c r="M592" s="1324" t="str">
        <f t="shared" si="186"/>
        <v>"User Defined" Other Code Enforcement Other Expenses</v>
      </c>
      <c r="N592" s="1368">
        <f t="shared" si="187"/>
        <v>0</v>
      </c>
      <c r="O592" s="1368">
        <f t="shared" si="188"/>
        <v>0</v>
      </c>
      <c r="P592" s="1368">
        <f t="shared" si="188"/>
        <v>0</v>
      </c>
      <c r="Q592" s="1368">
        <f t="shared" si="188"/>
        <v>0</v>
      </c>
      <c r="R592" s="1368">
        <f t="shared" si="188"/>
        <v>0</v>
      </c>
      <c r="T592" s="1369">
        <v>0.02</v>
      </c>
      <c r="U592" s="1369">
        <v>0.02</v>
      </c>
      <c r="V592" s="1369">
        <v>0.02</v>
      </c>
      <c r="W592" s="1369">
        <v>0.02</v>
      </c>
      <c r="X592" s="1369">
        <v>0.02</v>
      </c>
      <c r="Y592" s="1367"/>
      <c r="Z592" s="1370">
        <v>0</v>
      </c>
      <c r="AA592" s="1370">
        <v>0</v>
      </c>
      <c r="AB592" s="1370">
        <v>0</v>
      </c>
      <c r="AC592" s="1370">
        <v>0</v>
      </c>
      <c r="AD592" s="1370">
        <v>0</v>
      </c>
      <c r="AK592" s="1354">
        <f t="shared" si="158"/>
        <v>31540.604815999999</v>
      </c>
      <c r="AL592" s="1352">
        <f t="shared" si="189"/>
        <v>23</v>
      </c>
      <c r="AM592" s="1354">
        <f t="shared" si="177"/>
        <v>520.4040159999995</v>
      </c>
      <c r="AN592" s="1352" t="str">
        <f t="shared" si="178"/>
        <v>"User Defined" Other Code Enforcement Other Expenses</v>
      </c>
    </row>
    <row r="593" spans="1:40" x14ac:dyDescent="0.2">
      <c r="A593" s="1324" t="str">
        <f>A592</f>
        <v>22-196</v>
      </c>
      <c r="B593" s="1324" t="s">
        <v>5836</v>
      </c>
      <c r="C593" s="1353">
        <f>'Key Metrics'!$E$204</f>
        <v>0</v>
      </c>
      <c r="D593" s="1353">
        <f>'Key Metrics'!$I$204</f>
        <v>0</v>
      </c>
      <c r="E593" s="1351">
        <f t="shared" si="180"/>
        <v>0</v>
      </c>
      <c r="F593" s="1353">
        <f t="shared" si="181"/>
        <v>0</v>
      </c>
      <c r="G593" s="1353">
        <f t="shared" si="182"/>
        <v>0</v>
      </c>
      <c r="H593" s="1353">
        <f t="shared" si="183"/>
        <v>0</v>
      </c>
      <c r="I593" s="1353">
        <f t="shared" si="184"/>
        <v>0</v>
      </c>
      <c r="J593" s="1353">
        <f t="shared" si="185"/>
        <v>0</v>
      </c>
      <c r="M593" s="1324" t="str">
        <f t="shared" si="186"/>
        <v>"User Defined" Other Code Enforcement Unclassified</v>
      </c>
      <c r="N593" s="1368">
        <f t="shared" si="187"/>
        <v>0</v>
      </c>
      <c r="O593" s="1368">
        <f t="shared" si="188"/>
        <v>0</v>
      </c>
      <c r="P593" s="1368">
        <f t="shared" si="188"/>
        <v>0</v>
      </c>
      <c r="Q593" s="1368">
        <f t="shared" si="188"/>
        <v>0</v>
      </c>
      <c r="R593" s="1368">
        <f t="shared" si="188"/>
        <v>0</v>
      </c>
      <c r="T593" s="1369">
        <v>0.02</v>
      </c>
      <c r="U593" s="1369">
        <v>0.02</v>
      </c>
      <c r="V593" s="1369">
        <v>0.02</v>
      </c>
      <c r="W593" s="1369">
        <v>0.02</v>
      </c>
      <c r="X593" s="1369">
        <v>0.02</v>
      </c>
      <c r="Y593" s="1367"/>
      <c r="Z593" s="1370">
        <v>0</v>
      </c>
      <c r="AA593" s="1370">
        <v>0</v>
      </c>
      <c r="AB593" s="1370">
        <v>0</v>
      </c>
      <c r="AC593" s="1370">
        <v>0</v>
      </c>
      <c r="AD593" s="1370">
        <v>0</v>
      </c>
      <c r="AK593" s="1354">
        <f t="shared" si="158"/>
        <v>0</v>
      </c>
      <c r="AL593" s="1352">
        <f t="shared" si="189"/>
        <v>53</v>
      </c>
      <c r="AM593" s="1354">
        <f t="shared" si="177"/>
        <v>0</v>
      </c>
      <c r="AN593" s="1352" t="str">
        <f t="shared" si="178"/>
        <v>"User Defined" Other Code Enforcement Unclassified</v>
      </c>
    </row>
    <row r="594" spans="1:40" x14ac:dyDescent="0.2">
      <c r="A594" s="1324" t="s">
        <v>5269</v>
      </c>
      <c r="B594" s="1324" t="s">
        <v>5664</v>
      </c>
      <c r="C594" s="1353">
        <f>'Key Metrics'!$C$205</f>
        <v>0</v>
      </c>
      <c r="D594" s="1353">
        <f>'Key Metrics'!$G$205</f>
        <v>0</v>
      </c>
      <c r="E594" s="1351">
        <f t="shared" si="180"/>
        <v>0</v>
      </c>
      <c r="F594" s="1353">
        <f t="shared" si="181"/>
        <v>0</v>
      </c>
      <c r="G594" s="1353">
        <f t="shared" si="182"/>
        <v>0</v>
      </c>
      <c r="H594" s="1353">
        <f t="shared" si="183"/>
        <v>0</v>
      </c>
      <c r="I594" s="1353">
        <f t="shared" si="184"/>
        <v>0</v>
      </c>
      <c r="J594" s="1353">
        <f t="shared" si="185"/>
        <v>0</v>
      </c>
      <c r="M594" s="1324" t="str">
        <f t="shared" si="186"/>
        <v>"User Defined" Other Code Enforcement Salaries &amp; Wages</v>
      </c>
      <c r="N594" s="1368">
        <f t="shared" si="187"/>
        <v>0</v>
      </c>
      <c r="O594" s="1368">
        <f t="shared" si="188"/>
        <v>0</v>
      </c>
      <c r="P594" s="1368">
        <f t="shared" si="188"/>
        <v>0</v>
      </c>
      <c r="Q594" s="1368">
        <f t="shared" si="188"/>
        <v>0</v>
      </c>
      <c r="R594" s="1368">
        <f t="shared" si="188"/>
        <v>0</v>
      </c>
      <c r="T594" s="1369">
        <v>0.02</v>
      </c>
      <c r="U594" s="1369">
        <v>0.02</v>
      </c>
      <c r="V594" s="1369">
        <v>0.02</v>
      </c>
      <c r="W594" s="1369">
        <v>0.02</v>
      </c>
      <c r="X594" s="1369">
        <v>0.02</v>
      </c>
      <c r="Y594" s="1367"/>
      <c r="Z594" s="1370">
        <v>0</v>
      </c>
      <c r="AA594" s="1370">
        <v>0</v>
      </c>
      <c r="AB594" s="1370">
        <v>0</v>
      </c>
      <c r="AC594" s="1370">
        <v>0</v>
      </c>
      <c r="AD594" s="1370">
        <v>0</v>
      </c>
      <c r="AK594" s="1354">
        <f t="shared" si="158"/>
        <v>0</v>
      </c>
      <c r="AL594" s="1352">
        <f t="shared" si="189"/>
        <v>53</v>
      </c>
      <c r="AM594" s="1354">
        <f t="shared" si="177"/>
        <v>0</v>
      </c>
      <c r="AN594" s="1352" t="str">
        <f t="shared" si="178"/>
        <v>"User Defined" Other Code Enforcement Salaries &amp; Wages</v>
      </c>
    </row>
    <row r="595" spans="1:40" x14ac:dyDescent="0.2">
      <c r="A595" s="1324" t="str">
        <f>A594</f>
        <v>22-197</v>
      </c>
      <c r="B595" s="1324" t="s">
        <v>5835</v>
      </c>
      <c r="C595" s="1353">
        <f>'Key Metrics'!$D$205</f>
        <v>0</v>
      </c>
      <c r="D595" s="1353">
        <f>'Key Metrics'!$H$205</f>
        <v>0</v>
      </c>
      <c r="E595" s="1351">
        <f t="shared" si="180"/>
        <v>0</v>
      </c>
      <c r="F595" s="1353">
        <f t="shared" si="181"/>
        <v>0</v>
      </c>
      <c r="G595" s="1353">
        <f t="shared" si="182"/>
        <v>0</v>
      </c>
      <c r="H595" s="1353">
        <f t="shared" si="183"/>
        <v>0</v>
      </c>
      <c r="I595" s="1353">
        <f t="shared" si="184"/>
        <v>0</v>
      </c>
      <c r="J595" s="1353">
        <f t="shared" si="185"/>
        <v>0</v>
      </c>
      <c r="M595" s="1324" t="str">
        <f t="shared" si="186"/>
        <v>"User Defined" Other Code Enforcement Other Expenses</v>
      </c>
      <c r="N595" s="1368">
        <f t="shared" si="187"/>
        <v>0</v>
      </c>
      <c r="O595" s="1368">
        <f t="shared" si="188"/>
        <v>0</v>
      </c>
      <c r="P595" s="1368">
        <f t="shared" si="188"/>
        <v>0</v>
      </c>
      <c r="Q595" s="1368">
        <f t="shared" si="188"/>
        <v>0</v>
      </c>
      <c r="R595" s="1368">
        <f t="shared" si="188"/>
        <v>0</v>
      </c>
      <c r="T595" s="1369">
        <v>0.02</v>
      </c>
      <c r="U595" s="1369">
        <v>0.02</v>
      </c>
      <c r="V595" s="1369">
        <v>0.02</v>
      </c>
      <c r="W595" s="1369">
        <v>0.02</v>
      </c>
      <c r="X595" s="1369">
        <v>0.02</v>
      </c>
      <c r="Y595" s="1367"/>
      <c r="Z595" s="1370">
        <v>0</v>
      </c>
      <c r="AA595" s="1370">
        <v>0</v>
      </c>
      <c r="AB595" s="1370">
        <v>0</v>
      </c>
      <c r="AC595" s="1370">
        <v>0</v>
      </c>
      <c r="AD595" s="1370">
        <v>0</v>
      </c>
      <c r="AK595" s="1354">
        <f t="shared" si="158"/>
        <v>0</v>
      </c>
      <c r="AL595" s="1352">
        <f t="shared" si="189"/>
        <v>53</v>
      </c>
      <c r="AM595" s="1354">
        <f t="shared" si="177"/>
        <v>0</v>
      </c>
      <c r="AN595" s="1352" t="str">
        <f t="shared" si="178"/>
        <v>"User Defined" Other Code Enforcement Other Expenses</v>
      </c>
    </row>
    <row r="596" spans="1:40" x14ac:dyDescent="0.2">
      <c r="A596" s="1324" t="str">
        <f>A595</f>
        <v>22-197</v>
      </c>
      <c r="B596" s="1324" t="s">
        <v>5836</v>
      </c>
      <c r="C596" s="1353">
        <f>'Key Metrics'!$E$205</f>
        <v>0</v>
      </c>
      <c r="D596" s="1353">
        <f>'Key Metrics'!$I$205</f>
        <v>0</v>
      </c>
      <c r="E596" s="1351">
        <f t="shared" si="180"/>
        <v>0</v>
      </c>
      <c r="F596" s="1353">
        <f t="shared" si="181"/>
        <v>0</v>
      </c>
      <c r="G596" s="1353">
        <f t="shared" si="182"/>
        <v>0</v>
      </c>
      <c r="H596" s="1353">
        <f t="shared" si="183"/>
        <v>0</v>
      </c>
      <c r="I596" s="1353">
        <f t="shared" si="184"/>
        <v>0</v>
      </c>
      <c r="J596" s="1353">
        <f t="shared" si="185"/>
        <v>0</v>
      </c>
      <c r="M596" s="1324" t="str">
        <f t="shared" si="186"/>
        <v>"User Defined" Other Code Enforcement Unclassified</v>
      </c>
      <c r="N596" s="1368">
        <f t="shared" si="187"/>
        <v>0</v>
      </c>
      <c r="O596" s="1368">
        <f t="shared" si="188"/>
        <v>0</v>
      </c>
      <c r="P596" s="1368">
        <f t="shared" si="188"/>
        <v>0</v>
      </c>
      <c r="Q596" s="1368">
        <f t="shared" si="188"/>
        <v>0</v>
      </c>
      <c r="R596" s="1368">
        <f t="shared" si="188"/>
        <v>0</v>
      </c>
      <c r="T596" s="1369">
        <v>0.02</v>
      </c>
      <c r="U596" s="1369">
        <v>0.02</v>
      </c>
      <c r="V596" s="1369">
        <v>0.02</v>
      </c>
      <c r="W596" s="1369">
        <v>0.02</v>
      </c>
      <c r="X596" s="1369">
        <v>0.02</v>
      </c>
      <c r="Y596" s="1367"/>
      <c r="Z596" s="1370">
        <v>0</v>
      </c>
      <c r="AA596" s="1370">
        <v>0</v>
      </c>
      <c r="AB596" s="1370">
        <v>0</v>
      </c>
      <c r="AC596" s="1370">
        <v>0</v>
      </c>
      <c r="AD596" s="1370">
        <v>0</v>
      </c>
      <c r="AK596" s="1354">
        <f t="shared" si="158"/>
        <v>0</v>
      </c>
      <c r="AL596" s="1352">
        <f t="shared" si="189"/>
        <v>53</v>
      </c>
      <c r="AM596" s="1354">
        <f t="shared" si="177"/>
        <v>0</v>
      </c>
      <c r="AN596" s="1352" t="str">
        <f t="shared" si="178"/>
        <v>"User Defined" Other Code Enforcement Unclassified</v>
      </c>
    </row>
    <row r="597" spans="1:40" x14ac:dyDescent="0.2">
      <c r="A597" s="1324" t="s">
        <v>5270</v>
      </c>
      <c r="B597" s="1324" t="s">
        <v>5664</v>
      </c>
      <c r="C597" s="1353">
        <f>'Key Metrics'!$C$206</f>
        <v>0</v>
      </c>
      <c r="D597" s="1353">
        <f>'Key Metrics'!$G$206</f>
        <v>0</v>
      </c>
      <c r="E597" s="1351">
        <f t="shared" si="180"/>
        <v>0</v>
      </c>
      <c r="F597" s="1353">
        <f t="shared" si="181"/>
        <v>0</v>
      </c>
      <c r="G597" s="1353">
        <f t="shared" si="182"/>
        <v>0</v>
      </c>
      <c r="H597" s="1353">
        <f t="shared" si="183"/>
        <v>0</v>
      </c>
      <c r="I597" s="1353">
        <f t="shared" si="184"/>
        <v>0</v>
      </c>
      <c r="J597" s="1353">
        <f t="shared" si="185"/>
        <v>0</v>
      </c>
      <c r="M597" s="1324" t="str">
        <f t="shared" si="186"/>
        <v>"User Defined" Other Code Enforcement Salaries &amp; Wages</v>
      </c>
      <c r="N597" s="1368">
        <f t="shared" si="187"/>
        <v>0</v>
      </c>
      <c r="O597" s="1368">
        <f t="shared" si="188"/>
        <v>0</v>
      </c>
      <c r="P597" s="1368">
        <f t="shared" si="188"/>
        <v>0</v>
      </c>
      <c r="Q597" s="1368">
        <f t="shared" si="188"/>
        <v>0</v>
      </c>
      <c r="R597" s="1368">
        <f t="shared" si="188"/>
        <v>0</v>
      </c>
      <c r="T597" s="1369">
        <v>0.02</v>
      </c>
      <c r="U597" s="1369">
        <v>0.02</v>
      </c>
      <c r="V597" s="1369">
        <v>0.02</v>
      </c>
      <c r="W597" s="1369">
        <v>0.02</v>
      </c>
      <c r="X597" s="1369">
        <v>0.02</v>
      </c>
      <c r="Y597" s="1367"/>
      <c r="Z597" s="1370">
        <v>0</v>
      </c>
      <c r="AA597" s="1370">
        <v>0</v>
      </c>
      <c r="AB597" s="1370">
        <v>0</v>
      </c>
      <c r="AC597" s="1370">
        <v>0</v>
      </c>
      <c r="AD597" s="1370">
        <v>0</v>
      </c>
      <c r="AK597" s="1354">
        <f t="shared" si="158"/>
        <v>0</v>
      </c>
      <c r="AL597" s="1352">
        <f t="shared" si="189"/>
        <v>53</v>
      </c>
      <c r="AM597" s="1354">
        <f t="shared" si="177"/>
        <v>0</v>
      </c>
      <c r="AN597" s="1352" t="str">
        <f t="shared" si="178"/>
        <v>"User Defined" Other Code Enforcement Salaries &amp; Wages</v>
      </c>
    </row>
    <row r="598" spans="1:40" x14ac:dyDescent="0.2">
      <c r="A598" s="1324" t="str">
        <f>A597</f>
        <v>22-198</v>
      </c>
      <c r="B598" s="1324" t="s">
        <v>5835</v>
      </c>
      <c r="C598" s="1353">
        <f>'Key Metrics'!$D$206</f>
        <v>0</v>
      </c>
      <c r="D598" s="1353">
        <f>'Key Metrics'!$H$206</f>
        <v>0</v>
      </c>
      <c r="E598" s="1351">
        <f t="shared" si="180"/>
        <v>0</v>
      </c>
      <c r="F598" s="1353">
        <f t="shared" si="181"/>
        <v>0</v>
      </c>
      <c r="G598" s="1353">
        <f t="shared" si="182"/>
        <v>0</v>
      </c>
      <c r="H598" s="1353">
        <f t="shared" si="183"/>
        <v>0</v>
      </c>
      <c r="I598" s="1353">
        <f t="shared" si="184"/>
        <v>0</v>
      </c>
      <c r="J598" s="1353">
        <f t="shared" si="185"/>
        <v>0</v>
      </c>
      <c r="M598" s="1324" t="str">
        <f t="shared" si="186"/>
        <v>"User Defined" Other Code Enforcement Other Expenses</v>
      </c>
      <c r="N598" s="1368">
        <f t="shared" si="187"/>
        <v>0</v>
      </c>
      <c r="O598" s="1368">
        <f t="shared" si="188"/>
        <v>0</v>
      </c>
      <c r="P598" s="1368">
        <f t="shared" si="188"/>
        <v>0</v>
      </c>
      <c r="Q598" s="1368">
        <f t="shared" si="188"/>
        <v>0</v>
      </c>
      <c r="R598" s="1368">
        <f t="shared" si="188"/>
        <v>0</v>
      </c>
      <c r="T598" s="1369">
        <v>0.02</v>
      </c>
      <c r="U598" s="1369">
        <v>0.02</v>
      </c>
      <c r="V598" s="1369">
        <v>0.02</v>
      </c>
      <c r="W598" s="1369">
        <v>0.02</v>
      </c>
      <c r="X598" s="1369">
        <v>0.02</v>
      </c>
      <c r="Y598" s="1367"/>
      <c r="Z598" s="1370">
        <v>0</v>
      </c>
      <c r="AA598" s="1370">
        <v>0</v>
      </c>
      <c r="AB598" s="1370">
        <v>0</v>
      </c>
      <c r="AC598" s="1370">
        <v>0</v>
      </c>
      <c r="AD598" s="1370">
        <v>0</v>
      </c>
      <c r="AK598" s="1354">
        <f t="shared" si="158"/>
        <v>0</v>
      </c>
      <c r="AL598" s="1352">
        <f t="shared" si="189"/>
        <v>53</v>
      </c>
      <c r="AM598" s="1354">
        <f t="shared" si="177"/>
        <v>0</v>
      </c>
      <c r="AN598" s="1352" t="str">
        <f t="shared" si="178"/>
        <v>"User Defined" Other Code Enforcement Other Expenses</v>
      </c>
    </row>
    <row r="599" spans="1:40" x14ac:dyDescent="0.2">
      <c r="A599" s="1324" t="str">
        <f>A598</f>
        <v>22-198</v>
      </c>
      <c r="B599" s="1324" t="s">
        <v>5836</v>
      </c>
      <c r="C599" s="1353">
        <f>'Key Metrics'!$E$206</f>
        <v>0</v>
      </c>
      <c r="D599" s="1353">
        <f>'Key Metrics'!$I$206</f>
        <v>0</v>
      </c>
      <c r="E599" s="1351">
        <f t="shared" si="180"/>
        <v>0</v>
      </c>
      <c r="F599" s="1353">
        <f t="shared" si="181"/>
        <v>0</v>
      </c>
      <c r="G599" s="1353">
        <f t="shared" si="182"/>
        <v>0</v>
      </c>
      <c r="H599" s="1353">
        <f t="shared" si="183"/>
        <v>0</v>
      </c>
      <c r="I599" s="1353">
        <f t="shared" si="184"/>
        <v>0</v>
      </c>
      <c r="J599" s="1353">
        <f t="shared" si="185"/>
        <v>0</v>
      </c>
      <c r="M599" s="1324" t="str">
        <f t="shared" si="186"/>
        <v>"User Defined" Other Code Enforcement Unclassified</v>
      </c>
      <c r="N599" s="1368">
        <f t="shared" si="187"/>
        <v>0</v>
      </c>
      <c r="O599" s="1368">
        <f t="shared" si="188"/>
        <v>0</v>
      </c>
      <c r="P599" s="1368">
        <f t="shared" si="188"/>
        <v>0</v>
      </c>
      <c r="Q599" s="1368">
        <f t="shared" si="188"/>
        <v>0</v>
      </c>
      <c r="R599" s="1368">
        <f t="shared" si="188"/>
        <v>0</v>
      </c>
      <c r="T599" s="1369">
        <v>0.02</v>
      </c>
      <c r="U599" s="1369">
        <v>0.02</v>
      </c>
      <c r="V599" s="1369">
        <v>0.02</v>
      </c>
      <c r="W599" s="1369">
        <v>0.02</v>
      </c>
      <c r="X599" s="1369">
        <v>0.02</v>
      </c>
      <c r="Y599" s="1367"/>
      <c r="Z599" s="1370">
        <v>0</v>
      </c>
      <c r="AA599" s="1370">
        <v>0</v>
      </c>
      <c r="AB599" s="1370">
        <v>0</v>
      </c>
      <c r="AC599" s="1370">
        <v>0</v>
      </c>
      <c r="AD599" s="1370">
        <v>0</v>
      </c>
      <c r="AK599" s="1354">
        <f t="shared" ref="AK599:AK662" si="190">SUM(C599:D599,F599:J599)</f>
        <v>0</v>
      </c>
      <c r="AL599" s="1352">
        <f t="shared" si="189"/>
        <v>53</v>
      </c>
      <c r="AM599" s="1354">
        <f t="shared" si="177"/>
        <v>0</v>
      </c>
      <c r="AN599" s="1352" t="str">
        <f t="shared" si="178"/>
        <v>"User Defined" Other Code Enforcement Unclassified</v>
      </c>
    </row>
    <row r="600" spans="1:40" x14ac:dyDescent="0.2">
      <c r="A600" s="1324" t="s">
        <v>5271</v>
      </c>
      <c r="B600" s="1324" t="s">
        <v>5664</v>
      </c>
      <c r="C600" s="1353">
        <f>'Key Metrics'!$C$207</f>
        <v>0</v>
      </c>
      <c r="D600" s="1353">
        <f>'Key Metrics'!$G$207</f>
        <v>0</v>
      </c>
      <c r="E600" s="1351">
        <f t="shared" si="180"/>
        <v>0</v>
      </c>
      <c r="F600" s="1353">
        <f t="shared" si="181"/>
        <v>0</v>
      </c>
      <c r="G600" s="1353">
        <f t="shared" si="182"/>
        <v>0</v>
      </c>
      <c r="H600" s="1353">
        <f t="shared" si="183"/>
        <v>0</v>
      </c>
      <c r="I600" s="1353">
        <f t="shared" si="184"/>
        <v>0</v>
      </c>
      <c r="J600" s="1353">
        <f t="shared" si="185"/>
        <v>0</v>
      </c>
      <c r="M600" s="1324" t="str">
        <f t="shared" si="186"/>
        <v>"User Defined" Other Code Enforcement Salaries &amp; Wages</v>
      </c>
      <c r="N600" s="1368">
        <f t="shared" si="187"/>
        <v>0</v>
      </c>
      <c r="O600" s="1368">
        <f t="shared" si="188"/>
        <v>0</v>
      </c>
      <c r="P600" s="1368">
        <f t="shared" si="188"/>
        <v>0</v>
      </c>
      <c r="Q600" s="1368">
        <f t="shared" si="188"/>
        <v>0</v>
      </c>
      <c r="R600" s="1368">
        <f t="shared" si="188"/>
        <v>0</v>
      </c>
      <c r="T600" s="1369">
        <v>0.02</v>
      </c>
      <c r="U600" s="1369">
        <v>0.02</v>
      </c>
      <c r="V600" s="1369">
        <v>0.02</v>
      </c>
      <c r="W600" s="1369">
        <v>0.02</v>
      </c>
      <c r="X600" s="1369">
        <v>0.02</v>
      </c>
      <c r="Y600" s="1367"/>
      <c r="Z600" s="1370">
        <v>0</v>
      </c>
      <c r="AA600" s="1370">
        <v>0</v>
      </c>
      <c r="AB600" s="1370">
        <v>0</v>
      </c>
      <c r="AC600" s="1370">
        <v>0</v>
      </c>
      <c r="AD600" s="1370">
        <v>0</v>
      </c>
      <c r="AK600" s="1354">
        <f t="shared" si="190"/>
        <v>0</v>
      </c>
      <c r="AL600" s="1352">
        <f t="shared" si="189"/>
        <v>53</v>
      </c>
      <c r="AM600" s="1354">
        <f t="shared" si="177"/>
        <v>0</v>
      </c>
      <c r="AN600" s="1352" t="str">
        <f t="shared" si="178"/>
        <v>"User Defined" Other Code Enforcement Salaries &amp; Wages</v>
      </c>
    </row>
    <row r="601" spans="1:40" x14ac:dyDescent="0.2">
      <c r="A601" s="1324" t="str">
        <f>A600</f>
        <v>22-199</v>
      </c>
      <c r="B601" s="1324" t="s">
        <v>5835</v>
      </c>
      <c r="C601" s="1353">
        <f>'Key Metrics'!$D$207</f>
        <v>0</v>
      </c>
      <c r="D601" s="1353">
        <f>'Key Metrics'!$H$207</f>
        <v>0</v>
      </c>
      <c r="E601" s="1351">
        <f t="shared" si="180"/>
        <v>0</v>
      </c>
      <c r="F601" s="1353">
        <f t="shared" si="181"/>
        <v>0</v>
      </c>
      <c r="G601" s="1353">
        <f t="shared" si="182"/>
        <v>0</v>
      </c>
      <c r="H601" s="1353">
        <f t="shared" si="183"/>
        <v>0</v>
      </c>
      <c r="I601" s="1353">
        <f t="shared" si="184"/>
        <v>0</v>
      </c>
      <c r="J601" s="1353">
        <f t="shared" si="185"/>
        <v>0</v>
      </c>
      <c r="M601" s="1324" t="str">
        <f t="shared" si="186"/>
        <v>"User Defined" Other Code Enforcement Other Expenses</v>
      </c>
      <c r="N601" s="1368">
        <f t="shared" si="187"/>
        <v>0</v>
      </c>
      <c r="O601" s="1368">
        <f t="shared" si="188"/>
        <v>0</v>
      </c>
      <c r="P601" s="1368">
        <f t="shared" si="188"/>
        <v>0</v>
      </c>
      <c r="Q601" s="1368">
        <f t="shared" si="188"/>
        <v>0</v>
      </c>
      <c r="R601" s="1368">
        <f t="shared" si="188"/>
        <v>0</v>
      </c>
      <c r="T601" s="1369">
        <v>0.02</v>
      </c>
      <c r="U601" s="1369">
        <v>0.02</v>
      </c>
      <c r="V601" s="1369">
        <v>0.02</v>
      </c>
      <c r="W601" s="1369">
        <v>0.02</v>
      </c>
      <c r="X601" s="1369">
        <v>0.02</v>
      </c>
      <c r="Y601" s="1367"/>
      <c r="Z601" s="1370">
        <v>0</v>
      </c>
      <c r="AA601" s="1370">
        <v>0</v>
      </c>
      <c r="AB601" s="1370">
        <v>0</v>
      </c>
      <c r="AC601" s="1370">
        <v>0</v>
      </c>
      <c r="AD601" s="1370">
        <v>0</v>
      </c>
      <c r="AK601" s="1354">
        <f t="shared" si="190"/>
        <v>0</v>
      </c>
      <c r="AL601" s="1352">
        <f t="shared" si="189"/>
        <v>53</v>
      </c>
      <c r="AM601" s="1354">
        <f t="shared" si="177"/>
        <v>0</v>
      </c>
      <c r="AN601" s="1352" t="str">
        <f t="shared" si="178"/>
        <v>"User Defined" Other Code Enforcement Other Expenses</v>
      </c>
    </row>
    <row r="602" spans="1:40" x14ac:dyDescent="0.2">
      <c r="A602" s="1324" t="str">
        <f>A601</f>
        <v>22-199</v>
      </c>
      <c r="B602" s="1324" t="s">
        <v>5836</v>
      </c>
      <c r="C602" s="1353">
        <f>'Key Metrics'!$E$207</f>
        <v>0</v>
      </c>
      <c r="D602" s="1353">
        <f>'Key Metrics'!$I$207</f>
        <v>0</v>
      </c>
      <c r="E602" s="1351">
        <f t="shared" si="180"/>
        <v>0</v>
      </c>
      <c r="F602" s="1353">
        <f t="shared" si="181"/>
        <v>0</v>
      </c>
      <c r="G602" s="1353">
        <f t="shared" si="182"/>
        <v>0</v>
      </c>
      <c r="H602" s="1353">
        <f t="shared" si="183"/>
        <v>0</v>
      </c>
      <c r="I602" s="1353">
        <f t="shared" si="184"/>
        <v>0</v>
      </c>
      <c r="J602" s="1353">
        <f t="shared" si="185"/>
        <v>0</v>
      </c>
      <c r="M602" s="1324" t="str">
        <f t="shared" si="186"/>
        <v>"User Defined" Other Code Enforcement Unclassified</v>
      </c>
      <c r="N602" s="1368">
        <f t="shared" si="187"/>
        <v>0</v>
      </c>
      <c r="O602" s="1368">
        <f t="shared" si="188"/>
        <v>0</v>
      </c>
      <c r="P602" s="1368">
        <f t="shared" si="188"/>
        <v>0</v>
      </c>
      <c r="Q602" s="1368">
        <f t="shared" si="188"/>
        <v>0</v>
      </c>
      <c r="R602" s="1368">
        <f t="shared" si="188"/>
        <v>0</v>
      </c>
      <c r="T602" s="1369">
        <v>0.02</v>
      </c>
      <c r="U602" s="1369">
        <v>0.02</v>
      </c>
      <c r="V602" s="1369">
        <v>0.02</v>
      </c>
      <c r="W602" s="1369">
        <v>0.02</v>
      </c>
      <c r="X602" s="1369">
        <v>0.02</v>
      </c>
      <c r="Y602" s="1367"/>
      <c r="Z602" s="1370">
        <v>0</v>
      </c>
      <c r="AA602" s="1370">
        <v>0</v>
      </c>
      <c r="AB602" s="1370">
        <v>0</v>
      </c>
      <c r="AC602" s="1370">
        <v>0</v>
      </c>
      <c r="AD602" s="1370">
        <v>0</v>
      </c>
      <c r="AK602" s="1354">
        <f t="shared" si="190"/>
        <v>0</v>
      </c>
      <c r="AL602" s="1352">
        <f t="shared" si="189"/>
        <v>53</v>
      </c>
      <c r="AM602" s="1354">
        <f t="shared" si="177"/>
        <v>0</v>
      </c>
      <c r="AN602" s="1352" t="str">
        <f t="shared" si="178"/>
        <v>"User Defined" Other Code Enforcement Unclassified</v>
      </c>
    </row>
    <row r="603" spans="1:40" x14ac:dyDescent="0.2">
      <c r="A603" s="1324" t="s">
        <v>5272</v>
      </c>
      <c r="B603" s="1324" t="s">
        <v>5664</v>
      </c>
      <c r="C603" s="1353">
        <f>'Key Metrics'!$C$208</f>
        <v>3840</v>
      </c>
      <c r="D603" s="1353">
        <f>'Key Metrics'!$G$208</f>
        <v>3917</v>
      </c>
      <c r="E603" s="1351">
        <f t="shared" si="180"/>
        <v>2.0052083333333304E-2</v>
      </c>
      <c r="F603" s="1353">
        <f t="shared" si="181"/>
        <v>3995.34</v>
      </c>
      <c r="G603" s="1353">
        <f t="shared" si="182"/>
        <v>4075.2468000000003</v>
      </c>
      <c r="H603" s="1353">
        <f t="shared" si="183"/>
        <v>4156.7517360000002</v>
      </c>
      <c r="I603" s="1353">
        <f t="shared" si="184"/>
        <v>4239.8867707200006</v>
      </c>
      <c r="J603" s="1353">
        <f t="shared" si="185"/>
        <v>4324.6845061344011</v>
      </c>
      <c r="M603" s="1324" t="str">
        <f t="shared" si="186"/>
        <v>"User Defined" Other Code Enforcement Salaries &amp; Wages</v>
      </c>
      <c r="N603" s="1368">
        <f t="shared" si="187"/>
        <v>2.0052083333333304E-2</v>
      </c>
      <c r="O603" s="1368">
        <f t="shared" si="188"/>
        <v>2.0052083333333304E-2</v>
      </c>
      <c r="P603" s="1368">
        <f t="shared" si="188"/>
        <v>2.0052083333333304E-2</v>
      </c>
      <c r="Q603" s="1368">
        <f t="shared" si="188"/>
        <v>2.0052083333333304E-2</v>
      </c>
      <c r="R603" s="1368">
        <f t="shared" si="188"/>
        <v>2.0052083333333304E-2</v>
      </c>
      <c r="T603" s="1369">
        <v>0.02</v>
      </c>
      <c r="U603" s="1369">
        <v>0.02</v>
      </c>
      <c r="V603" s="1369">
        <v>0.02</v>
      </c>
      <c r="W603" s="1369">
        <v>0.02</v>
      </c>
      <c r="X603" s="1369">
        <v>0.02</v>
      </c>
      <c r="Y603" s="1367"/>
      <c r="Z603" s="1370">
        <v>0</v>
      </c>
      <c r="AA603" s="1370">
        <v>0</v>
      </c>
      <c r="AB603" s="1370">
        <v>0</v>
      </c>
      <c r="AC603" s="1370">
        <v>0</v>
      </c>
      <c r="AD603" s="1370">
        <v>0</v>
      </c>
      <c r="AK603" s="1354">
        <f t="shared" si="190"/>
        <v>28548.909812854406</v>
      </c>
      <c r="AL603" s="1352">
        <f t="shared" si="189"/>
        <v>30</v>
      </c>
      <c r="AM603" s="1354">
        <f t="shared" si="177"/>
        <v>407.68450613440109</v>
      </c>
      <c r="AN603" s="1352" t="str">
        <f t="shared" si="178"/>
        <v>"User Defined" Other Code Enforcement Salaries &amp; Wages</v>
      </c>
    </row>
    <row r="604" spans="1:40" x14ac:dyDescent="0.2">
      <c r="A604" s="1324" t="str">
        <f>A603</f>
        <v>22-200</v>
      </c>
      <c r="B604" s="1324" t="s">
        <v>5835</v>
      </c>
      <c r="C604" s="1353">
        <f>'Key Metrics'!$D$208</f>
        <v>45.71</v>
      </c>
      <c r="D604" s="1353">
        <f>'Key Metrics'!$H$208</f>
        <v>100</v>
      </c>
      <c r="E604" s="1351">
        <f t="shared" si="180"/>
        <v>1.1877050973528767</v>
      </c>
      <c r="F604" s="1353">
        <f t="shared" si="181"/>
        <v>102</v>
      </c>
      <c r="G604" s="1353">
        <f t="shared" si="182"/>
        <v>104.04</v>
      </c>
      <c r="H604" s="1353">
        <f t="shared" si="183"/>
        <v>106.1208</v>
      </c>
      <c r="I604" s="1353">
        <f t="shared" si="184"/>
        <v>108.243216</v>
      </c>
      <c r="J604" s="1353">
        <f t="shared" si="185"/>
        <v>110.40808032000001</v>
      </c>
      <c r="M604" s="1324" t="str">
        <f t="shared" si="186"/>
        <v>"User Defined" Other Code Enforcement Other Expenses</v>
      </c>
      <c r="N604" s="1368">
        <f t="shared" si="187"/>
        <v>1.1877050973528767</v>
      </c>
      <c r="O604" s="1368">
        <f t="shared" ref="O604:R619" si="191">N604</f>
        <v>1.1877050973528767</v>
      </c>
      <c r="P604" s="1368">
        <f t="shared" si="191"/>
        <v>1.1877050973528767</v>
      </c>
      <c r="Q604" s="1368">
        <f t="shared" si="191"/>
        <v>1.1877050973528767</v>
      </c>
      <c r="R604" s="1368">
        <f t="shared" si="191"/>
        <v>1.1877050973528767</v>
      </c>
      <c r="T604" s="1369">
        <v>0.02</v>
      </c>
      <c r="U604" s="1369">
        <v>0.02</v>
      </c>
      <c r="V604" s="1369">
        <v>0.02</v>
      </c>
      <c r="W604" s="1369">
        <v>0.02</v>
      </c>
      <c r="X604" s="1369">
        <v>0.02</v>
      </c>
      <c r="Y604" s="1367"/>
      <c r="Z604" s="1370">
        <v>0</v>
      </c>
      <c r="AA604" s="1370">
        <v>0</v>
      </c>
      <c r="AB604" s="1370">
        <v>0</v>
      </c>
      <c r="AC604" s="1370">
        <v>0</v>
      </c>
      <c r="AD604" s="1370">
        <v>0</v>
      </c>
      <c r="AK604" s="1354">
        <f t="shared" si="190"/>
        <v>676.52209631999995</v>
      </c>
      <c r="AL604" s="1352">
        <f t="shared" si="189"/>
        <v>44</v>
      </c>
      <c r="AM604" s="1354">
        <f t="shared" si="177"/>
        <v>10.40808032000001</v>
      </c>
      <c r="AN604" s="1352" t="str">
        <f t="shared" si="178"/>
        <v>"User Defined" Other Code Enforcement Other Expenses</v>
      </c>
    </row>
    <row r="605" spans="1:40" x14ac:dyDescent="0.2">
      <c r="A605" s="1324" t="str">
        <f>A604</f>
        <v>22-200</v>
      </c>
      <c r="B605" s="1324" t="s">
        <v>5836</v>
      </c>
      <c r="C605" s="1353">
        <f>'Key Metrics'!$E$208</f>
        <v>0</v>
      </c>
      <c r="D605" s="1353">
        <f>'Key Metrics'!$I$208</f>
        <v>0</v>
      </c>
      <c r="E605" s="1351">
        <f t="shared" si="180"/>
        <v>0</v>
      </c>
      <c r="F605" s="1353">
        <f t="shared" si="181"/>
        <v>0</v>
      </c>
      <c r="G605" s="1353">
        <f t="shared" si="182"/>
        <v>0</v>
      </c>
      <c r="H605" s="1353">
        <f t="shared" si="183"/>
        <v>0</v>
      </c>
      <c r="I605" s="1353">
        <f t="shared" si="184"/>
        <v>0</v>
      </c>
      <c r="J605" s="1353">
        <f t="shared" si="185"/>
        <v>0</v>
      </c>
      <c r="M605" s="1324" t="str">
        <f t="shared" si="186"/>
        <v>"User Defined" Other Code Enforcement Unclassified</v>
      </c>
      <c r="N605" s="1368">
        <f t="shared" si="187"/>
        <v>0</v>
      </c>
      <c r="O605" s="1368">
        <f t="shared" si="191"/>
        <v>0</v>
      </c>
      <c r="P605" s="1368">
        <f t="shared" si="191"/>
        <v>0</v>
      </c>
      <c r="Q605" s="1368">
        <f t="shared" si="191"/>
        <v>0</v>
      </c>
      <c r="R605" s="1368">
        <f t="shared" si="191"/>
        <v>0</v>
      </c>
      <c r="T605" s="1369">
        <v>0.02</v>
      </c>
      <c r="U605" s="1369">
        <v>0.02</v>
      </c>
      <c r="V605" s="1369">
        <v>0.02</v>
      </c>
      <c r="W605" s="1369">
        <v>0.02</v>
      </c>
      <c r="X605" s="1369">
        <v>0.02</v>
      </c>
      <c r="Y605" s="1367"/>
      <c r="Z605" s="1370">
        <v>0</v>
      </c>
      <c r="AA605" s="1370">
        <v>0</v>
      </c>
      <c r="AB605" s="1370">
        <v>0</v>
      </c>
      <c r="AC605" s="1370">
        <v>0</v>
      </c>
      <c r="AD605" s="1370">
        <v>0</v>
      </c>
      <c r="AK605" s="1354">
        <f t="shared" si="190"/>
        <v>0</v>
      </c>
      <c r="AL605" s="1352">
        <f t="shared" si="189"/>
        <v>53</v>
      </c>
      <c r="AM605" s="1354">
        <f t="shared" si="177"/>
        <v>0</v>
      </c>
      <c r="AN605" s="1352" t="str">
        <f t="shared" si="178"/>
        <v>"User Defined" Other Code Enforcement Unclassified</v>
      </c>
    </row>
    <row r="606" spans="1:40" x14ac:dyDescent="0.2">
      <c r="A606" s="1324" t="s">
        <v>5273</v>
      </c>
      <c r="B606" s="1324" t="s">
        <v>5664</v>
      </c>
      <c r="C606" s="1353">
        <f>'Key Metrics'!$C$209</f>
        <v>0</v>
      </c>
      <c r="D606" s="1353">
        <f>'Key Metrics'!$G$209</f>
        <v>0</v>
      </c>
      <c r="E606" s="1351">
        <f t="shared" si="180"/>
        <v>0</v>
      </c>
      <c r="F606" s="1353">
        <f t="shared" si="181"/>
        <v>0</v>
      </c>
      <c r="G606" s="1353">
        <f t="shared" si="182"/>
        <v>0</v>
      </c>
      <c r="H606" s="1353">
        <f t="shared" si="183"/>
        <v>0</v>
      </c>
      <c r="I606" s="1353">
        <f t="shared" si="184"/>
        <v>0</v>
      </c>
      <c r="J606" s="1353">
        <f t="shared" si="185"/>
        <v>0</v>
      </c>
      <c r="M606" s="1324" t="str">
        <f t="shared" si="186"/>
        <v>"User Defined" Other Code Enforcement Salaries &amp; Wages</v>
      </c>
      <c r="N606" s="1368">
        <f t="shared" si="187"/>
        <v>0</v>
      </c>
      <c r="O606" s="1368">
        <f t="shared" si="191"/>
        <v>0</v>
      </c>
      <c r="P606" s="1368">
        <f t="shared" si="191"/>
        <v>0</v>
      </c>
      <c r="Q606" s="1368">
        <f t="shared" si="191"/>
        <v>0</v>
      </c>
      <c r="R606" s="1368">
        <f t="shared" si="191"/>
        <v>0</v>
      </c>
      <c r="T606" s="1369">
        <v>0.02</v>
      </c>
      <c r="U606" s="1369">
        <v>0.02</v>
      </c>
      <c r="V606" s="1369">
        <v>0.02</v>
      </c>
      <c r="W606" s="1369">
        <v>0.02</v>
      </c>
      <c r="X606" s="1369">
        <v>0.02</v>
      </c>
      <c r="Y606" s="1367"/>
      <c r="Z606" s="1370">
        <v>0</v>
      </c>
      <c r="AA606" s="1370">
        <v>0</v>
      </c>
      <c r="AB606" s="1370">
        <v>0</v>
      </c>
      <c r="AC606" s="1370">
        <v>0</v>
      </c>
      <c r="AD606" s="1370">
        <v>0</v>
      </c>
      <c r="AK606" s="1354">
        <f t="shared" si="190"/>
        <v>0</v>
      </c>
      <c r="AL606" s="1352">
        <f t="shared" si="189"/>
        <v>53</v>
      </c>
      <c r="AM606" s="1354">
        <f t="shared" si="177"/>
        <v>0</v>
      </c>
      <c r="AN606" s="1352" t="str">
        <f t="shared" si="178"/>
        <v>"User Defined" Other Code Enforcement Salaries &amp; Wages</v>
      </c>
    </row>
    <row r="607" spans="1:40" x14ac:dyDescent="0.2">
      <c r="A607" s="1324" t="str">
        <f>A606</f>
        <v>22-201</v>
      </c>
      <c r="B607" s="1324" t="s">
        <v>5835</v>
      </c>
      <c r="C607" s="1353">
        <f>'Key Metrics'!$D$209</f>
        <v>0</v>
      </c>
      <c r="D607" s="1353">
        <f>'Key Metrics'!$H$209</f>
        <v>0</v>
      </c>
      <c r="E607" s="1351">
        <f t="shared" si="180"/>
        <v>0</v>
      </c>
      <c r="F607" s="1353">
        <f t="shared" si="181"/>
        <v>0</v>
      </c>
      <c r="G607" s="1353">
        <f t="shared" si="182"/>
        <v>0</v>
      </c>
      <c r="H607" s="1353">
        <f t="shared" si="183"/>
        <v>0</v>
      </c>
      <c r="I607" s="1353">
        <f t="shared" si="184"/>
        <v>0</v>
      </c>
      <c r="J607" s="1353">
        <f t="shared" si="185"/>
        <v>0</v>
      </c>
      <c r="M607" s="1324" t="str">
        <f t="shared" si="186"/>
        <v>"User Defined" Other Code Enforcement Other Expenses</v>
      </c>
      <c r="N607" s="1368">
        <f t="shared" si="187"/>
        <v>0</v>
      </c>
      <c r="O607" s="1368">
        <f t="shared" si="191"/>
        <v>0</v>
      </c>
      <c r="P607" s="1368">
        <f t="shared" si="191"/>
        <v>0</v>
      </c>
      <c r="Q607" s="1368">
        <f t="shared" si="191"/>
        <v>0</v>
      </c>
      <c r="R607" s="1368">
        <f t="shared" si="191"/>
        <v>0</v>
      </c>
      <c r="T607" s="1369">
        <v>0.02</v>
      </c>
      <c r="U607" s="1369">
        <v>0.02</v>
      </c>
      <c r="V607" s="1369">
        <v>0.02</v>
      </c>
      <c r="W607" s="1369">
        <v>0.02</v>
      </c>
      <c r="X607" s="1369">
        <v>0.02</v>
      </c>
      <c r="Y607" s="1367"/>
      <c r="Z607" s="1370">
        <v>0</v>
      </c>
      <c r="AA607" s="1370">
        <v>0</v>
      </c>
      <c r="AB607" s="1370">
        <v>0</v>
      </c>
      <c r="AC607" s="1370">
        <v>0</v>
      </c>
      <c r="AD607" s="1370">
        <v>0</v>
      </c>
      <c r="AK607" s="1354">
        <f t="shared" si="190"/>
        <v>0</v>
      </c>
      <c r="AL607" s="1352">
        <f t="shared" si="189"/>
        <v>53</v>
      </c>
      <c r="AM607" s="1354">
        <f t="shared" si="177"/>
        <v>0</v>
      </c>
      <c r="AN607" s="1352" t="str">
        <f t="shared" si="178"/>
        <v>"User Defined" Other Code Enforcement Other Expenses</v>
      </c>
    </row>
    <row r="608" spans="1:40" x14ac:dyDescent="0.2">
      <c r="A608" s="1324" t="str">
        <f>A607</f>
        <v>22-201</v>
      </c>
      <c r="B608" s="1324" t="s">
        <v>5836</v>
      </c>
      <c r="C608" s="1353">
        <f>'Key Metrics'!$E$209</f>
        <v>0</v>
      </c>
      <c r="D608" s="1353">
        <f>'Key Metrics'!$I$209</f>
        <v>0</v>
      </c>
      <c r="E608" s="1351">
        <f t="shared" si="180"/>
        <v>0</v>
      </c>
      <c r="F608" s="1353">
        <f t="shared" si="181"/>
        <v>0</v>
      </c>
      <c r="G608" s="1353">
        <f t="shared" si="182"/>
        <v>0</v>
      </c>
      <c r="H608" s="1353">
        <f t="shared" si="183"/>
        <v>0</v>
      </c>
      <c r="I608" s="1353">
        <f t="shared" si="184"/>
        <v>0</v>
      </c>
      <c r="J608" s="1353">
        <f t="shared" si="185"/>
        <v>0</v>
      </c>
      <c r="M608" s="1324" t="str">
        <f t="shared" si="186"/>
        <v>"User Defined" Other Code Enforcement Unclassified</v>
      </c>
      <c r="N608" s="1368">
        <f t="shared" si="187"/>
        <v>0</v>
      </c>
      <c r="O608" s="1368">
        <f t="shared" si="191"/>
        <v>0</v>
      </c>
      <c r="P608" s="1368">
        <f t="shared" si="191"/>
        <v>0</v>
      </c>
      <c r="Q608" s="1368">
        <f t="shared" si="191"/>
        <v>0</v>
      </c>
      <c r="R608" s="1368">
        <f t="shared" si="191"/>
        <v>0</v>
      </c>
      <c r="T608" s="1369">
        <v>0.02</v>
      </c>
      <c r="U608" s="1369">
        <v>0.02</v>
      </c>
      <c r="V608" s="1369">
        <v>0.02</v>
      </c>
      <c r="W608" s="1369">
        <v>0.02</v>
      </c>
      <c r="X608" s="1369">
        <v>0.02</v>
      </c>
      <c r="Y608" s="1367"/>
      <c r="Z608" s="1370">
        <v>0</v>
      </c>
      <c r="AA608" s="1370">
        <v>0</v>
      </c>
      <c r="AB608" s="1370">
        <v>0</v>
      </c>
      <c r="AC608" s="1370">
        <v>0</v>
      </c>
      <c r="AD608" s="1370">
        <v>0</v>
      </c>
      <c r="AK608" s="1354">
        <f t="shared" si="190"/>
        <v>0</v>
      </c>
      <c r="AL608" s="1352">
        <f t="shared" si="189"/>
        <v>53</v>
      </c>
      <c r="AM608" s="1354">
        <f t="shared" si="177"/>
        <v>0</v>
      </c>
      <c r="AN608" s="1352" t="str">
        <f t="shared" si="178"/>
        <v>"User Defined" Other Code Enforcement Unclassified</v>
      </c>
    </row>
    <row r="609" spans="1:40" x14ac:dyDescent="0.2">
      <c r="A609" s="1324" t="s">
        <v>5274</v>
      </c>
      <c r="B609" s="1324" t="s">
        <v>5664</v>
      </c>
      <c r="C609" s="1353">
        <f>'Key Metrics'!$C$210</f>
        <v>0</v>
      </c>
      <c r="D609" s="1353">
        <f>'Key Metrics'!$G$210</f>
        <v>0</v>
      </c>
      <c r="E609" s="1351">
        <f t="shared" si="180"/>
        <v>0</v>
      </c>
      <c r="F609" s="1353">
        <f t="shared" si="181"/>
        <v>0</v>
      </c>
      <c r="G609" s="1353">
        <f t="shared" si="182"/>
        <v>0</v>
      </c>
      <c r="H609" s="1353">
        <f t="shared" si="183"/>
        <v>0</v>
      </c>
      <c r="I609" s="1353">
        <f t="shared" si="184"/>
        <v>0</v>
      </c>
      <c r="J609" s="1353">
        <f t="shared" si="185"/>
        <v>0</v>
      </c>
      <c r="M609" s="1324" t="str">
        <f t="shared" si="186"/>
        <v>"User Defined" Other Code Enforcement Salaries &amp; Wages</v>
      </c>
      <c r="N609" s="1368">
        <f t="shared" si="187"/>
        <v>0</v>
      </c>
      <c r="O609" s="1368">
        <f t="shared" si="191"/>
        <v>0</v>
      </c>
      <c r="P609" s="1368">
        <f t="shared" si="191"/>
        <v>0</v>
      </c>
      <c r="Q609" s="1368">
        <f t="shared" si="191"/>
        <v>0</v>
      </c>
      <c r="R609" s="1368">
        <f t="shared" si="191"/>
        <v>0</v>
      </c>
      <c r="T609" s="1369">
        <v>0.02</v>
      </c>
      <c r="U609" s="1369">
        <v>0.02</v>
      </c>
      <c r="V609" s="1369">
        <v>0.02</v>
      </c>
      <c r="W609" s="1369">
        <v>0.02</v>
      </c>
      <c r="X609" s="1369">
        <v>0.02</v>
      </c>
      <c r="Y609" s="1367"/>
      <c r="Z609" s="1370">
        <v>0</v>
      </c>
      <c r="AA609" s="1370">
        <v>0</v>
      </c>
      <c r="AB609" s="1370">
        <v>0</v>
      </c>
      <c r="AC609" s="1370">
        <v>0</v>
      </c>
      <c r="AD609" s="1370">
        <v>0</v>
      </c>
      <c r="AK609" s="1354">
        <f t="shared" si="190"/>
        <v>0</v>
      </c>
      <c r="AL609" s="1352">
        <f t="shared" si="189"/>
        <v>53</v>
      </c>
      <c r="AM609" s="1354">
        <f t="shared" si="177"/>
        <v>0</v>
      </c>
      <c r="AN609" s="1352" t="str">
        <f t="shared" si="178"/>
        <v>"User Defined" Other Code Enforcement Salaries &amp; Wages</v>
      </c>
    </row>
    <row r="610" spans="1:40" x14ac:dyDescent="0.2">
      <c r="A610" s="1324" t="str">
        <f>A609</f>
        <v>22-202</v>
      </c>
      <c r="B610" s="1324" t="s">
        <v>5835</v>
      </c>
      <c r="C610" s="1353">
        <f>'Key Metrics'!$D$210</f>
        <v>0</v>
      </c>
      <c r="D610" s="1353">
        <f>'Key Metrics'!$H$210</f>
        <v>0</v>
      </c>
      <c r="E610" s="1351">
        <f t="shared" si="180"/>
        <v>0</v>
      </c>
      <c r="F610" s="1353">
        <f t="shared" si="181"/>
        <v>0</v>
      </c>
      <c r="G610" s="1353">
        <f t="shared" si="182"/>
        <v>0</v>
      </c>
      <c r="H610" s="1353">
        <f t="shared" si="183"/>
        <v>0</v>
      </c>
      <c r="I610" s="1353">
        <f t="shared" si="184"/>
        <v>0</v>
      </c>
      <c r="J610" s="1353">
        <f t="shared" si="185"/>
        <v>0</v>
      </c>
      <c r="M610" s="1324" t="str">
        <f t="shared" si="186"/>
        <v>"User Defined" Other Code Enforcement Other Expenses</v>
      </c>
      <c r="N610" s="1368">
        <f t="shared" si="187"/>
        <v>0</v>
      </c>
      <c r="O610" s="1368">
        <f t="shared" si="191"/>
        <v>0</v>
      </c>
      <c r="P610" s="1368">
        <f t="shared" si="191"/>
        <v>0</v>
      </c>
      <c r="Q610" s="1368">
        <f t="shared" si="191"/>
        <v>0</v>
      </c>
      <c r="R610" s="1368">
        <f t="shared" si="191"/>
        <v>0</v>
      </c>
      <c r="T610" s="1369">
        <v>0.02</v>
      </c>
      <c r="U610" s="1369">
        <v>0.02</v>
      </c>
      <c r="V610" s="1369">
        <v>0.02</v>
      </c>
      <c r="W610" s="1369">
        <v>0.02</v>
      </c>
      <c r="X610" s="1369">
        <v>0.02</v>
      </c>
      <c r="Y610" s="1367"/>
      <c r="Z610" s="1370">
        <v>0</v>
      </c>
      <c r="AA610" s="1370">
        <v>0</v>
      </c>
      <c r="AB610" s="1370">
        <v>0</v>
      </c>
      <c r="AC610" s="1370">
        <v>0</v>
      </c>
      <c r="AD610" s="1370">
        <v>0</v>
      </c>
      <c r="AK610" s="1354">
        <f t="shared" si="190"/>
        <v>0</v>
      </c>
      <c r="AL610" s="1352">
        <f t="shared" si="189"/>
        <v>53</v>
      </c>
      <c r="AM610" s="1354">
        <f t="shared" si="177"/>
        <v>0</v>
      </c>
      <c r="AN610" s="1352" t="str">
        <f t="shared" si="178"/>
        <v>"User Defined" Other Code Enforcement Other Expenses</v>
      </c>
    </row>
    <row r="611" spans="1:40" x14ac:dyDescent="0.2">
      <c r="A611" s="1324" t="str">
        <f>A610</f>
        <v>22-202</v>
      </c>
      <c r="B611" s="1324" t="s">
        <v>5836</v>
      </c>
      <c r="C611" s="1353">
        <f>'Key Metrics'!$E$210</f>
        <v>0</v>
      </c>
      <c r="D611" s="1353">
        <f>'Key Metrics'!$I$210</f>
        <v>0</v>
      </c>
      <c r="E611" s="1351">
        <f t="shared" si="180"/>
        <v>0</v>
      </c>
      <c r="F611" s="1353">
        <f t="shared" si="181"/>
        <v>0</v>
      </c>
      <c r="G611" s="1353">
        <f t="shared" si="182"/>
        <v>0</v>
      </c>
      <c r="H611" s="1353">
        <f t="shared" si="183"/>
        <v>0</v>
      </c>
      <c r="I611" s="1353">
        <f t="shared" si="184"/>
        <v>0</v>
      </c>
      <c r="J611" s="1353">
        <f t="shared" si="185"/>
        <v>0</v>
      </c>
      <c r="M611" s="1324" t="str">
        <f t="shared" si="186"/>
        <v>"User Defined" Other Code Enforcement Unclassified</v>
      </c>
      <c r="N611" s="1368">
        <f t="shared" si="187"/>
        <v>0</v>
      </c>
      <c r="O611" s="1368">
        <f t="shared" si="191"/>
        <v>0</v>
      </c>
      <c r="P611" s="1368">
        <f t="shared" si="191"/>
        <v>0</v>
      </c>
      <c r="Q611" s="1368">
        <f t="shared" si="191"/>
        <v>0</v>
      </c>
      <c r="R611" s="1368">
        <f t="shared" si="191"/>
        <v>0</v>
      </c>
      <c r="T611" s="1369">
        <v>0.02</v>
      </c>
      <c r="U611" s="1369">
        <v>0.02</v>
      </c>
      <c r="V611" s="1369">
        <v>0.02</v>
      </c>
      <c r="W611" s="1369">
        <v>0.02</v>
      </c>
      <c r="X611" s="1369">
        <v>0.02</v>
      </c>
      <c r="Y611" s="1367"/>
      <c r="Z611" s="1370">
        <v>0</v>
      </c>
      <c r="AA611" s="1370">
        <v>0</v>
      </c>
      <c r="AB611" s="1370">
        <v>0</v>
      </c>
      <c r="AC611" s="1370">
        <v>0</v>
      </c>
      <c r="AD611" s="1370">
        <v>0</v>
      </c>
      <c r="AK611" s="1354">
        <f t="shared" si="190"/>
        <v>0</v>
      </c>
      <c r="AL611" s="1352">
        <f t="shared" si="189"/>
        <v>53</v>
      </c>
      <c r="AM611" s="1354">
        <f t="shared" si="177"/>
        <v>0</v>
      </c>
      <c r="AN611" s="1352" t="str">
        <f t="shared" si="178"/>
        <v>"User Defined" Other Code Enforcement Unclassified</v>
      </c>
    </row>
    <row r="612" spans="1:40" x14ac:dyDescent="0.2">
      <c r="A612" s="1324" t="s">
        <v>5275</v>
      </c>
      <c r="B612" s="1324" t="s">
        <v>5664</v>
      </c>
      <c r="C612" s="1353">
        <f>'Key Metrics'!$C$211</f>
        <v>0</v>
      </c>
      <c r="D612" s="1353">
        <f>'Key Metrics'!$G$211</f>
        <v>0</v>
      </c>
      <c r="E612" s="1351">
        <f t="shared" si="180"/>
        <v>0</v>
      </c>
      <c r="F612" s="1353">
        <f t="shared" si="181"/>
        <v>0</v>
      </c>
      <c r="G612" s="1353">
        <f t="shared" si="182"/>
        <v>0</v>
      </c>
      <c r="H612" s="1353">
        <f t="shared" si="183"/>
        <v>0</v>
      </c>
      <c r="I612" s="1353">
        <f t="shared" si="184"/>
        <v>0</v>
      </c>
      <c r="J612" s="1353">
        <f t="shared" si="185"/>
        <v>0</v>
      </c>
      <c r="M612" s="1324" t="str">
        <f t="shared" si="186"/>
        <v>"User Defined" Other Code Enforcement Salaries &amp; Wages</v>
      </c>
      <c r="N612" s="1368">
        <f t="shared" si="187"/>
        <v>0</v>
      </c>
      <c r="O612" s="1368">
        <f t="shared" si="191"/>
        <v>0</v>
      </c>
      <c r="P612" s="1368">
        <f t="shared" si="191"/>
        <v>0</v>
      </c>
      <c r="Q612" s="1368">
        <f t="shared" si="191"/>
        <v>0</v>
      </c>
      <c r="R612" s="1368">
        <f t="shared" si="191"/>
        <v>0</v>
      </c>
      <c r="T612" s="1369">
        <v>0.02</v>
      </c>
      <c r="U612" s="1369">
        <v>0.02</v>
      </c>
      <c r="V612" s="1369">
        <v>0.02</v>
      </c>
      <c r="W612" s="1369">
        <v>0.02</v>
      </c>
      <c r="X612" s="1369">
        <v>0.02</v>
      </c>
      <c r="Y612" s="1367"/>
      <c r="Z612" s="1370">
        <v>0</v>
      </c>
      <c r="AA612" s="1370">
        <v>0</v>
      </c>
      <c r="AB612" s="1370">
        <v>0</v>
      </c>
      <c r="AC612" s="1370">
        <v>0</v>
      </c>
      <c r="AD612" s="1370">
        <v>0</v>
      </c>
      <c r="AK612" s="1354">
        <f t="shared" si="190"/>
        <v>0</v>
      </c>
      <c r="AL612" s="1352">
        <f t="shared" si="189"/>
        <v>53</v>
      </c>
      <c r="AM612" s="1354">
        <f t="shared" si="177"/>
        <v>0</v>
      </c>
      <c r="AN612" s="1352" t="str">
        <f t="shared" si="178"/>
        <v>"User Defined" Other Code Enforcement Salaries &amp; Wages</v>
      </c>
    </row>
    <row r="613" spans="1:40" x14ac:dyDescent="0.2">
      <c r="A613" s="1324" t="str">
        <f>A612</f>
        <v>22-203</v>
      </c>
      <c r="B613" s="1324" t="s">
        <v>5835</v>
      </c>
      <c r="C613" s="1353">
        <f>'Key Metrics'!$D$211</f>
        <v>0</v>
      </c>
      <c r="D613" s="1353">
        <f>'Key Metrics'!$H$211</f>
        <v>0</v>
      </c>
      <c r="E613" s="1351">
        <f t="shared" si="180"/>
        <v>0</v>
      </c>
      <c r="F613" s="1353">
        <f t="shared" si="181"/>
        <v>0</v>
      </c>
      <c r="G613" s="1353">
        <f t="shared" si="182"/>
        <v>0</v>
      </c>
      <c r="H613" s="1353">
        <f t="shared" si="183"/>
        <v>0</v>
      </c>
      <c r="I613" s="1353">
        <f t="shared" si="184"/>
        <v>0</v>
      </c>
      <c r="J613" s="1353">
        <f t="shared" si="185"/>
        <v>0</v>
      </c>
      <c r="M613" s="1324" t="str">
        <f t="shared" si="186"/>
        <v>"User Defined" Other Code Enforcement Other Expenses</v>
      </c>
      <c r="N613" s="1368">
        <f t="shared" si="187"/>
        <v>0</v>
      </c>
      <c r="O613" s="1368">
        <f t="shared" si="191"/>
        <v>0</v>
      </c>
      <c r="P613" s="1368">
        <f t="shared" si="191"/>
        <v>0</v>
      </c>
      <c r="Q613" s="1368">
        <f t="shared" si="191"/>
        <v>0</v>
      </c>
      <c r="R613" s="1368">
        <f t="shared" si="191"/>
        <v>0</v>
      </c>
      <c r="T613" s="1369">
        <v>0.02</v>
      </c>
      <c r="U613" s="1369">
        <v>0.02</v>
      </c>
      <c r="V613" s="1369">
        <v>0.02</v>
      </c>
      <c r="W613" s="1369">
        <v>0.02</v>
      </c>
      <c r="X613" s="1369">
        <v>0.02</v>
      </c>
      <c r="Y613" s="1367"/>
      <c r="Z613" s="1370">
        <v>0</v>
      </c>
      <c r="AA613" s="1370">
        <v>0</v>
      </c>
      <c r="AB613" s="1370">
        <v>0</v>
      </c>
      <c r="AC613" s="1370">
        <v>0</v>
      </c>
      <c r="AD613" s="1370">
        <v>0</v>
      </c>
      <c r="AK613" s="1354">
        <f t="shared" si="190"/>
        <v>0</v>
      </c>
      <c r="AL613" s="1352">
        <f t="shared" si="189"/>
        <v>53</v>
      </c>
      <c r="AM613" s="1354">
        <f t="shared" si="177"/>
        <v>0</v>
      </c>
      <c r="AN613" s="1352" t="str">
        <f t="shared" si="178"/>
        <v>"User Defined" Other Code Enforcement Other Expenses</v>
      </c>
    </row>
    <row r="614" spans="1:40" x14ac:dyDescent="0.2">
      <c r="A614" s="1324" t="str">
        <f>A613</f>
        <v>22-203</v>
      </c>
      <c r="B614" s="1324" t="s">
        <v>5836</v>
      </c>
      <c r="C614" s="1353">
        <f>'Key Metrics'!$E$211</f>
        <v>0</v>
      </c>
      <c r="D614" s="1353">
        <f>'Key Metrics'!$I$211</f>
        <v>0</v>
      </c>
      <c r="E614" s="1351">
        <f t="shared" si="180"/>
        <v>0</v>
      </c>
      <c r="F614" s="1353">
        <f t="shared" si="181"/>
        <v>0</v>
      </c>
      <c r="G614" s="1353">
        <f t="shared" si="182"/>
        <v>0</v>
      </c>
      <c r="H614" s="1353">
        <f t="shared" si="183"/>
        <v>0</v>
      </c>
      <c r="I614" s="1353">
        <f t="shared" si="184"/>
        <v>0</v>
      </c>
      <c r="J614" s="1353">
        <f t="shared" si="185"/>
        <v>0</v>
      </c>
      <c r="M614" s="1324" t="str">
        <f t="shared" si="186"/>
        <v>"User Defined" Other Code Enforcement Unclassified</v>
      </c>
      <c r="N614" s="1368">
        <f t="shared" si="187"/>
        <v>0</v>
      </c>
      <c r="O614" s="1368">
        <f t="shared" si="191"/>
        <v>0</v>
      </c>
      <c r="P614" s="1368">
        <f t="shared" si="191"/>
        <v>0</v>
      </c>
      <c r="Q614" s="1368">
        <f t="shared" si="191"/>
        <v>0</v>
      </c>
      <c r="R614" s="1368">
        <f t="shared" si="191"/>
        <v>0</v>
      </c>
      <c r="T614" s="1369">
        <v>0.02</v>
      </c>
      <c r="U614" s="1369">
        <v>0.02</v>
      </c>
      <c r="V614" s="1369">
        <v>0.02</v>
      </c>
      <c r="W614" s="1369">
        <v>0.02</v>
      </c>
      <c r="X614" s="1369">
        <v>0.02</v>
      </c>
      <c r="Y614" s="1367"/>
      <c r="Z614" s="1370">
        <v>0</v>
      </c>
      <c r="AA614" s="1370">
        <v>0</v>
      </c>
      <c r="AB614" s="1370">
        <v>0</v>
      </c>
      <c r="AC614" s="1370">
        <v>0</v>
      </c>
      <c r="AD614" s="1370">
        <v>0</v>
      </c>
      <c r="AK614" s="1354">
        <f t="shared" si="190"/>
        <v>0</v>
      </c>
      <c r="AL614" s="1352">
        <f t="shared" si="189"/>
        <v>53</v>
      </c>
      <c r="AM614" s="1354">
        <f t="shared" si="177"/>
        <v>0</v>
      </c>
      <c r="AN614" s="1352" t="str">
        <f t="shared" si="178"/>
        <v>"User Defined" Other Code Enforcement Unclassified</v>
      </c>
    </row>
    <row r="615" spans="1:40" x14ac:dyDescent="0.2">
      <c r="A615" s="1324" t="s">
        <v>5276</v>
      </c>
      <c r="B615" s="1324" t="s">
        <v>5664</v>
      </c>
      <c r="C615" s="1353">
        <f>'Key Metrics'!$C$212</f>
        <v>0</v>
      </c>
      <c r="D615" s="1353">
        <f>'Key Metrics'!$G$212</f>
        <v>0</v>
      </c>
      <c r="E615" s="1351">
        <f t="shared" si="180"/>
        <v>0</v>
      </c>
      <c r="F615" s="1353">
        <f t="shared" si="181"/>
        <v>0</v>
      </c>
      <c r="G615" s="1353">
        <f t="shared" si="182"/>
        <v>0</v>
      </c>
      <c r="H615" s="1353">
        <f t="shared" si="183"/>
        <v>0</v>
      </c>
      <c r="I615" s="1353">
        <f t="shared" si="184"/>
        <v>0</v>
      </c>
      <c r="J615" s="1353">
        <f t="shared" si="185"/>
        <v>0</v>
      </c>
      <c r="M615" s="1324" t="str">
        <f t="shared" si="186"/>
        <v>"User Defined" Other Code Enforcement Salaries &amp; Wages</v>
      </c>
      <c r="N615" s="1368">
        <f t="shared" si="187"/>
        <v>0</v>
      </c>
      <c r="O615" s="1368">
        <f t="shared" si="191"/>
        <v>0</v>
      </c>
      <c r="P615" s="1368">
        <f t="shared" si="191"/>
        <v>0</v>
      </c>
      <c r="Q615" s="1368">
        <f t="shared" si="191"/>
        <v>0</v>
      </c>
      <c r="R615" s="1368">
        <f t="shared" si="191"/>
        <v>0</v>
      </c>
      <c r="T615" s="1369">
        <v>0.02</v>
      </c>
      <c r="U615" s="1369">
        <v>0.02</v>
      </c>
      <c r="V615" s="1369">
        <v>0.02</v>
      </c>
      <c r="W615" s="1369">
        <v>0.02</v>
      </c>
      <c r="X615" s="1369">
        <v>0.02</v>
      </c>
      <c r="Y615" s="1367"/>
      <c r="Z615" s="1370">
        <v>0</v>
      </c>
      <c r="AA615" s="1370">
        <v>0</v>
      </c>
      <c r="AB615" s="1370">
        <v>0</v>
      </c>
      <c r="AC615" s="1370">
        <v>0</v>
      </c>
      <c r="AD615" s="1370">
        <v>0</v>
      </c>
      <c r="AK615" s="1354">
        <f t="shared" si="190"/>
        <v>0</v>
      </c>
      <c r="AL615" s="1352">
        <f t="shared" si="189"/>
        <v>53</v>
      </c>
      <c r="AM615" s="1354">
        <f t="shared" si="177"/>
        <v>0</v>
      </c>
      <c r="AN615" s="1352" t="str">
        <f t="shared" si="178"/>
        <v>"User Defined" Other Code Enforcement Salaries &amp; Wages</v>
      </c>
    </row>
    <row r="616" spans="1:40" x14ac:dyDescent="0.2">
      <c r="A616" s="1324" t="str">
        <f>A615</f>
        <v>22-204</v>
      </c>
      <c r="B616" s="1324" t="s">
        <v>5835</v>
      </c>
      <c r="C616" s="1353">
        <f>'Key Metrics'!$D$212</f>
        <v>0</v>
      </c>
      <c r="D616" s="1353">
        <f>'Key Metrics'!$H$212</f>
        <v>0</v>
      </c>
      <c r="E616" s="1351">
        <f t="shared" si="180"/>
        <v>0</v>
      </c>
      <c r="F616" s="1353">
        <f t="shared" si="181"/>
        <v>0</v>
      </c>
      <c r="G616" s="1353">
        <f t="shared" si="182"/>
        <v>0</v>
      </c>
      <c r="H616" s="1353">
        <f t="shared" si="183"/>
        <v>0</v>
      </c>
      <c r="I616" s="1353">
        <f t="shared" si="184"/>
        <v>0</v>
      </c>
      <c r="J616" s="1353">
        <f t="shared" si="185"/>
        <v>0</v>
      </c>
      <c r="M616" s="1324" t="str">
        <f t="shared" si="186"/>
        <v>"User Defined" Other Code Enforcement Other Expenses</v>
      </c>
      <c r="N616" s="1368">
        <f t="shared" si="187"/>
        <v>0</v>
      </c>
      <c r="O616" s="1368">
        <f t="shared" si="191"/>
        <v>0</v>
      </c>
      <c r="P616" s="1368">
        <f t="shared" si="191"/>
        <v>0</v>
      </c>
      <c r="Q616" s="1368">
        <f t="shared" si="191"/>
        <v>0</v>
      </c>
      <c r="R616" s="1368">
        <f t="shared" si="191"/>
        <v>0</v>
      </c>
      <c r="T616" s="1369">
        <v>0.02</v>
      </c>
      <c r="U616" s="1369">
        <v>0.02</v>
      </c>
      <c r="V616" s="1369">
        <v>0.02</v>
      </c>
      <c r="W616" s="1369">
        <v>0.02</v>
      </c>
      <c r="X616" s="1369">
        <v>0.02</v>
      </c>
      <c r="Y616" s="1367"/>
      <c r="Z616" s="1370">
        <v>0</v>
      </c>
      <c r="AA616" s="1370">
        <v>0</v>
      </c>
      <c r="AB616" s="1370">
        <v>0</v>
      </c>
      <c r="AC616" s="1370">
        <v>0</v>
      </c>
      <c r="AD616" s="1370">
        <v>0</v>
      </c>
      <c r="AK616" s="1354">
        <f t="shared" si="190"/>
        <v>0</v>
      </c>
      <c r="AL616" s="1352">
        <f t="shared" si="189"/>
        <v>53</v>
      </c>
      <c r="AM616" s="1354">
        <f t="shared" si="177"/>
        <v>0</v>
      </c>
      <c r="AN616" s="1352" t="str">
        <f t="shared" si="178"/>
        <v>"User Defined" Other Code Enforcement Other Expenses</v>
      </c>
    </row>
    <row r="617" spans="1:40" x14ac:dyDescent="0.2">
      <c r="A617" s="1324" t="str">
        <f>A616</f>
        <v>22-204</v>
      </c>
      <c r="B617" s="1324" t="s">
        <v>5836</v>
      </c>
      <c r="C617" s="1353">
        <f>'Key Metrics'!$E$212</f>
        <v>0</v>
      </c>
      <c r="D617" s="1353">
        <f>'Key Metrics'!$I$212</f>
        <v>0</v>
      </c>
      <c r="E617" s="1351">
        <f t="shared" si="180"/>
        <v>0</v>
      </c>
      <c r="F617" s="1353">
        <f t="shared" si="181"/>
        <v>0</v>
      </c>
      <c r="G617" s="1353">
        <f t="shared" si="182"/>
        <v>0</v>
      </c>
      <c r="H617" s="1353">
        <f t="shared" si="183"/>
        <v>0</v>
      </c>
      <c r="I617" s="1353">
        <f t="shared" si="184"/>
        <v>0</v>
      </c>
      <c r="J617" s="1353">
        <f t="shared" si="185"/>
        <v>0</v>
      </c>
      <c r="M617" s="1324" t="str">
        <f t="shared" si="186"/>
        <v>"User Defined" Other Code Enforcement Unclassified</v>
      </c>
      <c r="N617" s="1368">
        <f t="shared" si="187"/>
        <v>0</v>
      </c>
      <c r="O617" s="1368">
        <f t="shared" si="191"/>
        <v>0</v>
      </c>
      <c r="P617" s="1368">
        <f t="shared" si="191"/>
        <v>0</v>
      </c>
      <c r="Q617" s="1368">
        <f t="shared" si="191"/>
        <v>0</v>
      </c>
      <c r="R617" s="1368">
        <f t="shared" si="191"/>
        <v>0</v>
      </c>
      <c r="T617" s="1369">
        <v>0.02</v>
      </c>
      <c r="U617" s="1369">
        <v>0.02</v>
      </c>
      <c r="V617" s="1369">
        <v>0.02</v>
      </c>
      <c r="W617" s="1369">
        <v>0.02</v>
      </c>
      <c r="X617" s="1369">
        <v>0.02</v>
      </c>
      <c r="Y617" s="1367"/>
      <c r="Z617" s="1370">
        <v>0</v>
      </c>
      <c r="AA617" s="1370">
        <v>0</v>
      </c>
      <c r="AB617" s="1370">
        <v>0</v>
      </c>
      <c r="AC617" s="1370">
        <v>0</v>
      </c>
      <c r="AD617" s="1370">
        <v>0</v>
      </c>
      <c r="AK617" s="1354">
        <f t="shared" si="190"/>
        <v>0</v>
      </c>
      <c r="AL617" s="1352">
        <f t="shared" si="189"/>
        <v>53</v>
      </c>
      <c r="AM617" s="1354">
        <f t="shared" si="177"/>
        <v>0</v>
      </c>
      <c r="AN617" s="1352" t="str">
        <f t="shared" si="178"/>
        <v>"User Defined" Other Code Enforcement Unclassified</v>
      </c>
    </row>
    <row r="618" spans="1:40" x14ac:dyDescent="0.2">
      <c r="A618" s="1324" t="s">
        <v>5277</v>
      </c>
      <c r="B618" s="1324" t="s">
        <v>5664</v>
      </c>
      <c r="C618" s="1353">
        <f>'Key Metrics'!$C$213</f>
        <v>0</v>
      </c>
      <c r="D618" s="1353">
        <f>'Key Metrics'!$G$213</f>
        <v>0</v>
      </c>
      <c r="E618" s="1351">
        <f t="shared" si="180"/>
        <v>0</v>
      </c>
      <c r="F618" s="1353">
        <f t="shared" si="181"/>
        <v>0</v>
      </c>
      <c r="G618" s="1353">
        <f t="shared" si="182"/>
        <v>0</v>
      </c>
      <c r="H618" s="1353">
        <f t="shared" si="183"/>
        <v>0</v>
      </c>
      <c r="I618" s="1353">
        <f t="shared" si="184"/>
        <v>0</v>
      </c>
      <c r="J618" s="1353">
        <f t="shared" si="185"/>
        <v>0</v>
      </c>
      <c r="M618" s="1324" t="str">
        <f t="shared" si="186"/>
        <v>"User Defined" Other Code Enforcement Salaries &amp; Wages</v>
      </c>
      <c r="N618" s="1368">
        <f t="shared" si="187"/>
        <v>0</v>
      </c>
      <c r="O618" s="1368">
        <f t="shared" si="191"/>
        <v>0</v>
      </c>
      <c r="P618" s="1368">
        <f t="shared" si="191"/>
        <v>0</v>
      </c>
      <c r="Q618" s="1368">
        <f t="shared" si="191"/>
        <v>0</v>
      </c>
      <c r="R618" s="1368">
        <f t="shared" si="191"/>
        <v>0</v>
      </c>
      <c r="T618" s="1369">
        <v>0.02</v>
      </c>
      <c r="U618" s="1369">
        <v>0.02</v>
      </c>
      <c r="V618" s="1369">
        <v>0.02</v>
      </c>
      <c r="W618" s="1369">
        <v>0.02</v>
      </c>
      <c r="X618" s="1369">
        <v>0.02</v>
      </c>
      <c r="Y618" s="1367"/>
      <c r="Z618" s="1370">
        <v>0</v>
      </c>
      <c r="AA618" s="1370">
        <v>0</v>
      </c>
      <c r="AB618" s="1370">
        <v>0</v>
      </c>
      <c r="AC618" s="1370">
        <v>0</v>
      </c>
      <c r="AD618" s="1370">
        <v>0</v>
      </c>
      <c r="AK618" s="1354">
        <f t="shared" si="190"/>
        <v>0</v>
      </c>
      <c r="AL618" s="1352">
        <f t="shared" si="189"/>
        <v>53</v>
      </c>
      <c r="AM618" s="1354">
        <f t="shared" si="177"/>
        <v>0</v>
      </c>
      <c r="AN618" s="1352" t="str">
        <f t="shared" si="178"/>
        <v>"User Defined" Other Code Enforcement Salaries &amp; Wages</v>
      </c>
    </row>
    <row r="619" spans="1:40" x14ac:dyDescent="0.2">
      <c r="A619" s="1324" t="str">
        <f>A618</f>
        <v>22-205</v>
      </c>
      <c r="B619" s="1324" t="s">
        <v>5835</v>
      </c>
      <c r="C619" s="1353">
        <f>'Key Metrics'!$D$213</f>
        <v>0</v>
      </c>
      <c r="D619" s="1353">
        <f>'Key Metrics'!$H$213</f>
        <v>0</v>
      </c>
      <c r="E619" s="1351">
        <f t="shared" si="180"/>
        <v>0</v>
      </c>
      <c r="F619" s="1353">
        <f t="shared" si="181"/>
        <v>0</v>
      </c>
      <c r="G619" s="1353">
        <f t="shared" si="182"/>
        <v>0</v>
      </c>
      <c r="H619" s="1353">
        <f t="shared" si="183"/>
        <v>0</v>
      </c>
      <c r="I619" s="1353">
        <f t="shared" si="184"/>
        <v>0</v>
      </c>
      <c r="J619" s="1353">
        <f t="shared" si="185"/>
        <v>0</v>
      </c>
      <c r="M619" s="1324" t="str">
        <f t="shared" si="186"/>
        <v>"User Defined" Other Code Enforcement Other Expenses</v>
      </c>
      <c r="N619" s="1368">
        <f t="shared" si="187"/>
        <v>0</v>
      </c>
      <c r="O619" s="1368">
        <f t="shared" si="191"/>
        <v>0</v>
      </c>
      <c r="P619" s="1368">
        <f t="shared" si="191"/>
        <v>0</v>
      </c>
      <c r="Q619" s="1368">
        <f t="shared" si="191"/>
        <v>0</v>
      </c>
      <c r="R619" s="1368">
        <f t="shared" si="191"/>
        <v>0</v>
      </c>
      <c r="T619" s="1369">
        <v>0.02</v>
      </c>
      <c r="U619" s="1369">
        <v>0.02</v>
      </c>
      <c r="V619" s="1369">
        <v>0.02</v>
      </c>
      <c r="W619" s="1369">
        <v>0.02</v>
      </c>
      <c r="X619" s="1369">
        <v>0.02</v>
      </c>
      <c r="Y619" s="1367"/>
      <c r="Z619" s="1370">
        <v>0</v>
      </c>
      <c r="AA619" s="1370">
        <v>0</v>
      </c>
      <c r="AB619" s="1370">
        <v>0</v>
      </c>
      <c r="AC619" s="1370">
        <v>0</v>
      </c>
      <c r="AD619" s="1370">
        <v>0</v>
      </c>
      <c r="AK619" s="1354">
        <f t="shared" si="190"/>
        <v>0</v>
      </c>
      <c r="AL619" s="1352">
        <f t="shared" si="189"/>
        <v>53</v>
      </c>
      <c r="AM619" s="1354">
        <f t="shared" si="177"/>
        <v>0</v>
      </c>
      <c r="AN619" s="1352" t="str">
        <f t="shared" si="178"/>
        <v>"User Defined" Other Code Enforcement Other Expenses</v>
      </c>
    </row>
    <row r="620" spans="1:40" x14ac:dyDescent="0.2">
      <c r="A620" s="1324" t="str">
        <f>A619</f>
        <v>22-205</v>
      </c>
      <c r="B620" s="1324" t="s">
        <v>5836</v>
      </c>
      <c r="C620" s="1353">
        <f>'Key Metrics'!$E$213</f>
        <v>0</v>
      </c>
      <c r="D620" s="1353">
        <f>'Key Metrics'!$I$213</f>
        <v>0</v>
      </c>
      <c r="E620" s="1351">
        <f t="shared" si="180"/>
        <v>0</v>
      </c>
      <c r="F620" s="1353">
        <f t="shared" si="181"/>
        <v>0</v>
      </c>
      <c r="G620" s="1353">
        <f t="shared" si="182"/>
        <v>0</v>
      </c>
      <c r="H620" s="1353">
        <f t="shared" si="183"/>
        <v>0</v>
      </c>
      <c r="I620" s="1353">
        <f t="shared" si="184"/>
        <v>0</v>
      </c>
      <c r="J620" s="1353">
        <f t="shared" si="185"/>
        <v>0</v>
      </c>
      <c r="M620" s="1324" t="str">
        <f t="shared" si="186"/>
        <v>"User Defined" Other Code Enforcement Unclassified</v>
      </c>
      <c r="N620" s="1368">
        <f t="shared" si="187"/>
        <v>0</v>
      </c>
      <c r="O620" s="1368">
        <f t="shared" ref="O620:R632" si="192">N620</f>
        <v>0</v>
      </c>
      <c r="P620" s="1368">
        <f t="shared" si="192"/>
        <v>0</v>
      </c>
      <c r="Q620" s="1368">
        <f t="shared" si="192"/>
        <v>0</v>
      </c>
      <c r="R620" s="1368">
        <f t="shared" si="192"/>
        <v>0</v>
      </c>
      <c r="T620" s="1369">
        <v>0.02</v>
      </c>
      <c r="U620" s="1369">
        <v>0.02</v>
      </c>
      <c r="V620" s="1369">
        <v>0.02</v>
      </c>
      <c r="W620" s="1369">
        <v>0.02</v>
      </c>
      <c r="X620" s="1369">
        <v>0.02</v>
      </c>
      <c r="Y620" s="1367"/>
      <c r="Z620" s="1370">
        <v>0</v>
      </c>
      <c r="AA620" s="1370">
        <v>0</v>
      </c>
      <c r="AB620" s="1370">
        <v>0</v>
      </c>
      <c r="AC620" s="1370">
        <v>0</v>
      </c>
      <c r="AD620" s="1370">
        <v>0</v>
      </c>
      <c r="AK620" s="1354">
        <f t="shared" si="190"/>
        <v>0</v>
      </c>
      <c r="AL620" s="1352">
        <f t="shared" si="189"/>
        <v>53</v>
      </c>
      <c r="AM620" s="1354">
        <f t="shared" si="177"/>
        <v>0</v>
      </c>
      <c r="AN620" s="1352" t="str">
        <f t="shared" si="178"/>
        <v>"User Defined" Other Code Enforcement Unclassified</v>
      </c>
    </row>
    <row r="621" spans="1:40" x14ac:dyDescent="0.2">
      <c r="A621" s="1324" t="s">
        <v>5278</v>
      </c>
      <c r="B621" s="1324" t="s">
        <v>5664</v>
      </c>
      <c r="C621" s="1353">
        <f>'Key Metrics'!$C$214</f>
        <v>0</v>
      </c>
      <c r="D621" s="1353">
        <f>'Key Metrics'!$G$214</f>
        <v>0</v>
      </c>
      <c r="E621" s="1351">
        <f t="shared" si="180"/>
        <v>0</v>
      </c>
      <c r="F621" s="1353">
        <f t="shared" si="181"/>
        <v>0</v>
      </c>
      <c r="G621" s="1353">
        <f t="shared" si="182"/>
        <v>0</v>
      </c>
      <c r="H621" s="1353">
        <f t="shared" si="183"/>
        <v>0</v>
      </c>
      <c r="I621" s="1353">
        <f t="shared" si="184"/>
        <v>0</v>
      </c>
      <c r="J621" s="1353">
        <f t="shared" si="185"/>
        <v>0</v>
      </c>
      <c r="M621" s="1324" t="str">
        <f t="shared" si="186"/>
        <v>"User Defined" Other Code Enforcement Salaries &amp; Wages</v>
      </c>
      <c r="N621" s="1368">
        <f t="shared" si="187"/>
        <v>0</v>
      </c>
      <c r="O621" s="1368">
        <f t="shared" si="192"/>
        <v>0</v>
      </c>
      <c r="P621" s="1368">
        <f t="shared" si="192"/>
        <v>0</v>
      </c>
      <c r="Q621" s="1368">
        <f t="shared" si="192"/>
        <v>0</v>
      </c>
      <c r="R621" s="1368">
        <f t="shared" si="192"/>
        <v>0</v>
      </c>
      <c r="T621" s="1369">
        <v>0.02</v>
      </c>
      <c r="U621" s="1369">
        <v>0.02</v>
      </c>
      <c r="V621" s="1369">
        <v>0.02</v>
      </c>
      <c r="W621" s="1369">
        <v>0.02</v>
      </c>
      <c r="X621" s="1369">
        <v>0.02</v>
      </c>
      <c r="Y621" s="1367"/>
      <c r="Z621" s="1370">
        <v>0</v>
      </c>
      <c r="AA621" s="1370">
        <v>0</v>
      </c>
      <c r="AB621" s="1370">
        <v>0</v>
      </c>
      <c r="AC621" s="1370">
        <v>0</v>
      </c>
      <c r="AD621" s="1370">
        <v>0</v>
      </c>
      <c r="AK621" s="1354">
        <f t="shared" si="190"/>
        <v>0</v>
      </c>
      <c r="AL621" s="1352">
        <f t="shared" si="189"/>
        <v>53</v>
      </c>
      <c r="AM621" s="1354">
        <f t="shared" si="177"/>
        <v>0</v>
      </c>
      <c r="AN621" s="1352" t="str">
        <f t="shared" si="178"/>
        <v>"User Defined" Other Code Enforcement Salaries &amp; Wages</v>
      </c>
    </row>
    <row r="622" spans="1:40" x14ac:dyDescent="0.2">
      <c r="A622" s="1324" t="str">
        <f>A621</f>
        <v>22-206</v>
      </c>
      <c r="B622" s="1324" t="s">
        <v>5835</v>
      </c>
      <c r="C622" s="1353">
        <f>'Key Metrics'!$D$214</f>
        <v>0</v>
      </c>
      <c r="D622" s="1353">
        <f>'Key Metrics'!$H$214</f>
        <v>0</v>
      </c>
      <c r="E622" s="1351">
        <f t="shared" si="180"/>
        <v>0</v>
      </c>
      <c r="F622" s="1353">
        <f t="shared" si="181"/>
        <v>0</v>
      </c>
      <c r="G622" s="1353">
        <f t="shared" si="182"/>
        <v>0</v>
      </c>
      <c r="H622" s="1353">
        <f t="shared" si="183"/>
        <v>0</v>
      </c>
      <c r="I622" s="1353">
        <f t="shared" si="184"/>
        <v>0</v>
      </c>
      <c r="J622" s="1353">
        <f t="shared" si="185"/>
        <v>0</v>
      </c>
      <c r="M622" s="1324" t="str">
        <f t="shared" si="186"/>
        <v>"User Defined" Other Code Enforcement Other Expenses</v>
      </c>
      <c r="N622" s="1368">
        <f t="shared" si="187"/>
        <v>0</v>
      </c>
      <c r="O622" s="1368">
        <f t="shared" si="192"/>
        <v>0</v>
      </c>
      <c r="P622" s="1368">
        <f t="shared" si="192"/>
        <v>0</v>
      </c>
      <c r="Q622" s="1368">
        <f t="shared" si="192"/>
        <v>0</v>
      </c>
      <c r="R622" s="1368">
        <f t="shared" si="192"/>
        <v>0</v>
      </c>
      <c r="T622" s="1369">
        <v>0.02</v>
      </c>
      <c r="U622" s="1369">
        <v>0.02</v>
      </c>
      <c r="V622" s="1369">
        <v>0.02</v>
      </c>
      <c r="W622" s="1369">
        <v>0.02</v>
      </c>
      <c r="X622" s="1369">
        <v>0.02</v>
      </c>
      <c r="Y622" s="1367"/>
      <c r="Z622" s="1370">
        <v>0</v>
      </c>
      <c r="AA622" s="1370">
        <v>0</v>
      </c>
      <c r="AB622" s="1370">
        <v>0</v>
      </c>
      <c r="AC622" s="1370">
        <v>0</v>
      </c>
      <c r="AD622" s="1370">
        <v>0</v>
      </c>
      <c r="AK622" s="1354">
        <f t="shared" si="190"/>
        <v>0</v>
      </c>
      <c r="AL622" s="1352">
        <f t="shared" si="189"/>
        <v>53</v>
      </c>
      <c r="AM622" s="1354">
        <f t="shared" si="177"/>
        <v>0</v>
      </c>
      <c r="AN622" s="1352" t="str">
        <f t="shared" si="178"/>
        <v>"User Defined" Other Code Enforcement Other Expenses</v>
      </c>
    </row>
    <row r="623" spans="1:40" x14ac:dyDescent="0.2">
      <c r="A623" s="1324" t="str">
        <f>A622</f>
        <v>22-206</v>
      </c>
      <c r="B623" s="1324" t="s">
        <v>5836</v>
      </c>
      <c r="C623" s="1353">
        <f>'Key Metrics'!$E$214</f>
        <v>0</v>
      </c>
      <c r="D623" s="1353">
        <f>'Key Metrics'!$I$214</f>
        <v>0</v>
      </c>
      <c r="E623" s="1351">
        <f t="shared" si="180"/>
        <v>0</v>
      </c>
      <c r="F623" s="1353">
        <f t="shared" si="181"/>
        <v>0</v>
      </c>
      <c r="G623" s="1353">
        <f t="shared" si="182"/>
        <v>0</v>
      </c>
      <c r="H623" s="1353">
        <f t="shared" si="183"/>
        <v>0</v>
      </c>
      <c r="I623" s="1353">
        <f t="shared" si="184"/>
        <v>0</v>
      </c>
      <c r="J623" s="1353">
        <f t="shared" si="185"/>
        <v>0</v>
      </c>
      <c r="M623" s="1324" t="str">
        <f t="shared" si="186"/>
        <v>"User Defined" Other Code Enforcement Unclassified</v>
      </c>
      <c r="N623" s="1368">
        <f t="shared" si="187"/>
        <v>0</v>
      </c>
      <c r="O623" s="1368">
        <f t="shared" si="192"/>
        <v>0</v>
      </c>
      <c r="P623" s="1368">
        <f t="shared" si="192"/>
        <v>0</v>
      </c>
      <c r="Q623" s="1368">
        <f t="shared" si="192"/>
        <v>0</v>
      </c>
      <c r="R623" s="1368">
        <f t="shared" si="192"/>
        <v>0</v>
      </c>
      <c r="T623" s="1369">
        <v>0.02</v>
      </c>
      <c r="U623" s="1369">
        <v>0.02</v>
      </c>
      <c r="V623" s="1369">
        <v>0.02</v>
      </c>
      <c r="W623" s="1369">
        <v>0.02</v>
      </c>
      <c r="X623" s="1369">
        <v>0.02</v>
      </c>
      <c r="Y623" s="1367"/>
      <c r="Z623" s="1370">
        <v>0</v>
      </c>
      <c r="AA623" s="1370">
        <v>0</v>
      </c>
      <c r="AB623" s="1370">
        <v>0</v>
      </c>
      <c r="AC623" s="1370">
        <v>0</v>
      </c>
      <c r="AD623" s="1370">
        <v>0</v>
      </c>
      <c r="AK623" s="1354">
        <f t="shared" si="190"/>
        <v>0</v>
      </c>
      <c r="AL623" s="1352">
        <f t="shared" si="189"/>
        <v>53</v>
      </c>
      <c r="AM623" s="1354">
        <f t="shared" si="177"/>
        <v>0</v>
      </c>
      <c r="AN623" s="1352" t="str">
        <f t="shared" si="178"/>
        <v>"User Defined" Other Code Enforcement Unclassified</v>
      </c>
    </row>
    <row r="624" spans="1:40" x14ac:dyDescent="0.2">
      <c r="A624" s="1324" t="s">
        <v>5279</v>
      </c>
      <c r="B624" s="1324" t="s">
        <v>5664</v>
      </c>
      <c r="C624" s="1353">
        <f>'Key Metrics'!$C$215</f>
        <v>0</v>
      </c>
      <c r="D624" s="1353">
        <f>'Key Metrics'!$G$215</f>
        <v>0</v>
      </c>
      <c r="E624" s="1351">
        <f t="shared" si="180"/>
        <v>0</v>
      </c>
      <c r="F624" s="1353">
        <f t="shared" si="181"/>
        <v>0</v>
      </c>
      <c r="G624" s="1353">
        <f t="shared" si="182"/>
        <v>0</v>
      </c>
      <c r="H624" s="1353">
        <f t="shared" si="183"/>
        <v>0</v>
      </c>
      <c r="I624" s="1353">
        <f t="shared" si="184"/>
        <v>0</v>
      </c>
      <c r="J624" s="1353">
        <f t="shared" si="185"/>
        <v>0</v>
      </c>
      <c r="M624" s="1324" t="str">
        <f t="shared" si="186"/>
        <v>"User Defined" Other Code Enforcement Salaries &amp; Wages</v>
      </c>
      <c r="N624" s="1368">
        <f t="shared" si="187"/>
        <v>0</v>
      </c>
      <c r="O624" s="1368">
        <f t="shared" si="192"/>
        <v>0</v>
      </c>
      <c r="P624" s="1368">
        <f t="shared" si="192"/>
        <v>0</v>
      </c>
      <c r="Q624" s="1368">
        <f t="shared" si="192"/>
        <v>0</v>
      </c>
      <c r="R624" s="1368">
        <f t="shared" si="192"/>
        <v>0</v>
      </c>
      <c r="T624" s="1369">
        <v>0.02</v>
      </c>
      <c r="U624" s="1369">
        <v>0.02</v>
      </c>
      <c r="V624" s="1369">
        <v>0.02</v>
      </c>
      <c r="W624" s="1369">
        <v>0.02</v>
      </c>
      <c r="X624" s="1369">
        <v>0.02</v>
      </c>
      <c r="Y624" s="1367"/>
      <c r="Z624" s="1370">
        <v>0</v>
      </c>
      <c r="AA624" s="1370">
        <v>0</v>
      </c>
      <c r="AB624" s="1370">
        <v>0</v>
      </c>
      <c r="AC624" s="1370">
        <v>0</v>
      </c>
      <c r="AD624" s="1370">
        <v>0</v>
      </c>
      <c r="AK624" s="1354">
        <f t="shared" si="190"/>
        <v>0</v>
      </c>
      <c r="AL624" s="1352">
        <f t="shared" si="189"/>
        <v>53</v>
      </c>
      <c r="AM624" s="1354">
        <f t="shared" si="177"/>
        <v>0</v>
      </c>
      <c r="AN624" s="1352" t="str">
        <f t="shared" si="178"/>
        <v>"User Defined" Other Code Enforcement Salaries &amp; Wages</v>
      </c>
    </row>
    <row r="625" spans="1:40" x14ac:dyDescent="0.2">
      <c r="A625" s="1324" t="str">
        <f>A624</f>
        <v>22-207</v>
      </c>
      <c r="B625" s="1324" t="s">
        <v>5835</v>
      </c>
      <c r="C625" s="1353">
        <f>'Key Metrics'!$D$215</f>
        <v>0</v>
      </c>
      <c r="D625" s="1353">
        <f>'Key Metrics'!$H$215</f>
        <v>0</v>
      </c>
      <c r="E625" s="1351">
        <f t="shared" si="180"/>
        <v>0</v>
      </c>
      <c r="F625" s="1353">
        <f t="shared" si="181"/>
        <v>0</v>
      </c>
      <c r="G625" s="1353">
        <f t="shared" si="182"/>
        <v>0</v>
      </c>
      <c r="H625" s="1353">
        <f t="shared" si="183"/>
        <v>0</v>
      </c>
      <c r="I625" s="1353">
        <f t="shared" si="184"/>
        <v>0</v>
      </c>
      <c r="J625" s="1353">
        <f t="shared" si="185"/>
        <v>0</v>
      </c>
      <c r="M625" s="1324" t="str">
        <f t="shared" si="186"/>
        <v>"User Defined" Other Code Enforcement Other Expenses</v>
      </c>
      <c r="N625" s="1368">
        <f t="shared" si="187"/>
        <v>0</v>
      </c>
      <c r="O625" s="1368">
        <f t="shared" si="192"/>
        <v>0</v>
      </c>
      <c r="P625" s="1368">
        <f t="shared" si="192"/>
        <v>0</v>
      </c>
      <c r="Q625" s="1368">
        <f t="shared" si="192"/>
        <v>0</v>
      </c>
      <c r="R625" s="1368">
        <f t="shared" si="192"/>
        <v>0</v>
      </c>
      <c r="T625" s="1369">
        <v>0.02</v>
      </c>
      <c r="U625" s="1369">
        <v>0.02</v>
      </c>
      <c r="V625" s="1369">
        <v>0.02</v>
      </c>
      <c r="W625" s="1369">
        <v>0.02</v>
      </c>
      <c r="X625" s="1369">
        <v>0.02</v>
      </c>
      <c r="Y625" s="1367"/>
      <c r="Z625" s="1370">
        <v>0</v>
      </c>
      <c r="AA625" s="1370">
        <v>0</v>
      </c>
      <c r="AB625" s="1370">
        <v>0</v>
      </c>
      <c r="AC625" s="1370">
        <v>0</v>
      </c>
      <c r="AD625" s="1370">
        <v>0</v>
      </c>
      <c r="AK625" s="1354">
        <f t="shared" si="190"/>
        <v>0</v>
      </c>
      <c r="AL625" s="1352">
        <f t="shared" si="189"/>
        <v>53</v>
      </c>
      <c r="AM625" s="1354">
        <f t="shared" si="177"/>
        <v>0</v>
      </c>
      <c r="AN625" s="1352" t="str">
        <f t="shared" si="178"/>
        <v>"User Defined" Other Code Enforcement Other Expenses</v>
      </c>
    </row>
    <row r="626" spans="1:40" x14ac:dyDescent="0.2">
      <c r="A626" s="1324" t="str">
        <f>A625</f>
        <v>22-207</v>
      </c>
      <c r="B626" s="1324" t="s">
        <v>5836</v>
      </c>
      <c r="C626" s="1353">
        <f>'Key Metrics'!$E$215</f>
        <v>0</v>
      </c>
      <c r="D626" s="1353">
        <f>'Key Metrics'!$I$215</f>
        <v>0</v>
      </c>
      <c r="E626" s="1351">
        <f t="shared" si="180"/>
        <v>0</v>
      </c>
      <c r="F626" s="1353">
        <f t="shared" si="181"/>
        <v>0</v>
      </c>
      <c r="G626" s="1353">
        <f t="shared" si="182"/>
        <v>0</v>
      </c>
      <c r="H626" s="1353">
        <f t="shared" si="183"/>
        <v>0</v>
      </c>
      <c r="I626" s="1353">
        <f t="shared" si="184"/>
        <v>0</v>
      </c>
      <c r="J626" s="1353">
        <f t="shared" si="185"/>
        <v>0</v>
      </c>
      <c r="M626" s="1324" t="str">
        <f t="shared" si="186"/>
        <v>"User Defined" Other Code Enforcement Unclassified</v>
      </c>
      <c r="N626" s="1368">
        <f t="shared" si="187"/>
        <v>0</v>
      </c>
      <c r="O626" s="1368">
        <f t="shared" si="192"/>
        <v>0</v>
      </c>
      <c r="P626" s="1368">
        <f t="shared" si="192"/>
        <v>0</v>
      </c>
      <c r="Q626" s="1368">
        <f t="shared" si="192"/>
        <v>0</v>
      </c>
      <c r="R626" s="1368">
        <f t="shared" si="192"/>
        <v>0</v>
      </c>
      <c r="T626" s="1369">
        <v>0.02</v>
      </c>
      <c r="U626" s="1369">
        <v>0.02</v>
      </c>
      <c r="V626" s="1369">
        <v>0.02</v>
      </c>
      <c r="W626" s="1369">
        <v>0.02</v>
      </c>
      <c r="X626" s="1369">
        <v>0.02</v>
      </c>
      <c r="Y626" s="1367"/>
      <c r="Z626" s="1370">
        <v>0</v>
      </c>
      <c r="AA626" s="1370">
        <v>0</v>
      </c>
      <c r="AB626" s="1370">
        <v>0</v>
      </c>
      <c r="AC626" s="1370">
        <v>0</v>
      </c>
      <c r="AD626" s="1370">
        <v>0</v>
      </c>
      <c r="AK626" s="1354">
        <f t="shared" si="190"/>
        <v>0</v>
      </c>
      <c r="AL626" s="1352">
        <f t="shared" si="189"/>
        <v>53</v>
      </c>
      <c r="AM626" s="1354">
        <f t="shared" si="177"/>
        <v>0</v>
      </c>
      <c r="AN626" s="1352" t="str">
        <f t="shared" si="178"/>
        <v>"User Defined" Other Code Enforcement Unclassified</v>
      </c>
    </row>
    <row r="627" spans="1:40" x14ac:dyDescent="0.2">
      <c r="A627" s="1324" t="s">
        <v>5280</v>
      </c>
      <c r="B627" s="1324" t="s">
        <v>5664</v>
      </c>
      <c r="C627" s="1353">
        <f>'Key Metrics'!$C$216</f>
        <v>0</v>
      </c>
      <c r="D627" s="1353">
        <f>'Key Metrics'!$G$216</f>
        <v>0</v>
      </c>
      <c r="E627" s="1351">
        <f t="shared" si="180"/>
        <v>0</v>
      </c>
      <c r="F627" s="1353">
        <f t="shared" si="181"/>
        <v>0</v>
      </c>
      <c r="G627" s="1353">
        <f t="shared" si="182"/>
        <v>0</v>
      </c>
      <c r="H627" s="1353">
        <f t="shared" si="183"/>
        <v>0</v>
      </c>
      <c r="I627" s="1353">
        <f t="shared" si="184"/>
        <v>0</v>
      </c>
      <c r="J627" s="1353">
        <f t="shared" si="185"/>
        <v>0</v>
      </c>
      <c r="M627" s="1324" t="str">
        <f t="shared" si="186"/>
        <v>"User Defined" Other Code Enforcement Salaries &amp; Wages</v>
      </c>
      <c r="N627" s="1368">
        <f t="shared" si="187"/>
        <v>0</v>
      </c>
      <c r="O627" s="1368">
        <f t="shared" si="192"/>
        <v>0</v>
      </c>
      <c r="P627" s="1368">
        <f t="shared" si="192"/>
        <v>0</v>
      </c>
      <c r="Q627" s="1368">
        <f t="shared" si="192"/>
        <v>0</v>
      </c>
      <c r="R627" s="1368">
        <f t="shared" si="192"/>
        <v>0</v>
      </c>
      <c r="T627" s="1369">
        <v>0.02</v>
      </c>
      <c r="U627" s="1369">
        <v>0.02</v>
      </c>
      <c r="V627" s="1369">
        <v>0.02</v>
      </c>
      <c r="W627" s="1369">
        <v>0.02</v>
      </c>
      <c r="X627" s="1369">
        <v>0.02</v>
      </c>
      <c r="Y627" s="1367"/>
      <c r="Z627" s="1370">
        <v>0</v>
      </c>
      <c r="AA627" s="1370">
        <v>0</v>
      </c>
      <c r="AB627" s="1370">
        <v>0</v>
      </c>
      <c r="AC627" s="1370">
        <v>0</v>
      </c>
      <c r="AD627" s="1370">
        <v>0</v>
      </c>
      <c r="AK627" s="1354">
        <f t="shared" si="190"/>
        <v>0</v>
      </c>
      <c r="AL627" s="1352">
        <f t="shared" si="189"/>
        <v>53</v>
      </c>
      <c r="AM627" s="1354">
        <f t="shared" si="177"/>
        <v>0</v>
      </c>
      <c r="AN627" s="1352" t="str">
        <f t="shared" si="178"/>
        <v>"User Defined" Other Code Enforcement Salaries &amp; Wages</v>
      </c>
    </row>
    <row r="628" spans="1:40" x14ac:dyDescent="0.2">
      <c r="A628" s="1324" t="str">
        <f>A627</f>
        <v>22-208</v>
      </c>
      <c r="B628" s="1324" t="s">
        <v>5835</v>
      </c>
      <c r="C628" s="1353">
        <f>'Key Metrics'!$D$216</f>
        <v>0</v>
      </c>
      <c r="D628" s="1353">
        <f>'Key Metrics'!$H$216</f>
        <v>0</v>
      </c>
      <c r="E628" s="1351">
        <f t="shared" si="180"/>
        <v>0</v>
      </c>
      <c r="F628" s="1353">
        <f t="shared" si="181"/>
        <v>0</v>
      </c>
      <c r="G628" s="1353">
        <f t="shared" si="182"/>
        <v>0</v>
      </c>
      <c r="H628" s="1353">
        <f t="shared" si="183"/>
        <v>0</v>
      </c>
      <c r="I628" s="1353">
        <f t="shared" si="184"/>
        <v>0</v>
      </c>
      <c r="J628" s="1353">
        <f t="shared" si="185"/>
        <v>0</v>
      </c>
      <c r="M628" s="1324" t="str">
        <f t="shared" si="186"/>
        <v>"User Defined" Other Code Enforcement Other Expenses</v>
      </c>
      <c r="N628" s="1368">
        <f t="shared" si="187"/>
        <v>0</v>
      </c>
      <c r="O628" s="1368">
        <f t="shared" si="192"/>
        <v>0</v>
      </c>
      <c r="P628" s="1368">
        <f t="shared" si="192"/>
        <v>0</v>
      </c>
      <c r="Q628" s="1368">
        <f t="shared" si="192"/>
        <v>0</v>
      </c>
      <c r="R628" s="1368">
        <f t="shared" si="192"/>
        <v>0</v>
      </c>
      <c r="T628" s="1369">
        <v>0.02</v>
      </c>
      <c r="U628" s="1369">
        <v>0.02</v>
      </c>
      <c r="V628" s="1369">
        <v>0.02</v>
      </c>
      <c r="W628" s="1369">
        <v>0.02</v>
      </c>
      <c r="X628" s="1369">
        <v>0.02</v>
      </c>
      <c r="Y628" s="1367"/>
      <c r="Z628" s="1370">
        <v>0</v>
      </c>
      <c r="AA628" s="1370">
        <v>0</v>
      </c>
      <c r="AB628" s="1370">
        <v>0</v>
      </c>
      <c r="AC628" s="1370">
        <v>0</v>
      </c>
      <c r="AD628" s="1370">
        <v>0</v>
      </c>
      <c r="AK628" s="1354">
        <f t="shared" si="190"/>
        <v>0</v>
      </c>
      <c r="AL628" s="1352">
        <f t="shared" si="189"/>
        <v>53</v>
      </c>
      <c r="AM628" s="1354">
        <f t="shared" si="177"/>
        <v>0</v>
      </c>
      <c r="AN628" s="1352" t="str">
        <f t="shared" si="178"/>
        <v>"User Defined" Other Code Enforcement Other Expenses</v>
      </c>
    </row>
    <row r="629" spans="1:40" x14ac:dyDescent="0.2">
      <c r="A629" s="1324" t="str">
        <f>A628</f>
        <v>22-208</v>
      </c>
      <c r="B629" s="1324" t="s">
        <v>5836</v>
      </c>
      <c r="C629" s="1353">
        <f>'Key Metrics'!$E$216</f>
        <v>0</v>
      </c>
      <c r="D629" s="1353">
        <f>'Key Metrics'!$I$216</f>
        <v>0</v>
      </c>
      <c r="E629" s="1351">
        <f t="shared" si="180"/>
        <v>0</v>
      </c>
      <c r="F629" s="1353">
        <f t="shared" si="181"/>
        <v>0</v>
      </c>
      <c r="G629" s="1353">
        <f t="shared" si="182"/>
        <v>0</v>
      </c>
      <c r="H629" s="1353">
        <f t="shared" si="183"/>
        <v>0</v>
      </c>
      <c r="I629" s="1353">
        <f t="shared" si="184"/>
        <v>0</v>
      </c>
      <c r="J629" s="1353">
        <f t="shared" si="185"/>
        <v>0</v>
      </c>
      <c r="M629" s="1324" t="str">
        <f t="shared" si="186"/>
        <v>"User Defined" Other Code Enforcement Unclassified</v>
      </c>
      <c r="N629" s="1368">
        <f t="shared" si="187"/>
        <v>0</v>
      </c>
      <c r="O629" s="1368">
        <f t="shared" si="192"/>
        <v>0</v>
      </c>
      <c r="P629" s="1368">
        <f t="shared" si="192"/>
        <v>0</v>
      </c>
      <c r="Q629" s="1368">
        <f t="shared" si="192"/>
        <v>0</v>
      </c>
      <c r="R629" s="1368">
        <f t="shared" si="192"/>
        <v>0</v>
      </c>
      <c r="T629" s="1369">
        <v>0.02</v>
      </c>
      <c r="U629" s="1369">
        <v>0.02</v>
      </c>
      <c r="V629" s="1369">
        <v>0.02</v>
      </c>
      <c r="W629" s="1369">
        <v>0.02</v>
      </c>
      <c r="X629" s="1369">
        <v>0.02</v>
      </c>
      <c r="Y629" s="1367"/>
      <c r="Z629" s="1370">
        <v>0</v>
      </c>
      <c r="AA629" s="1370">
        <v>0</v>
      </c>
      <c r="AB629" s="1370">
        <v>0</v>
      </c>
      <c r="AC629" s="1370">
        <v>0</v>
      </c>
      <c r="AD629" s="1370">
        <v>0</v>
      </c>
      <c r="AK629" s="1354">
        <f t="shared" si="190"/>
        <v>0</v>
      </c>
      <c r="AL629" s="1352">
        <f t="shared" si="189"/>
        <v>53</v>
      </c>
      <c r="AM629" s="1354">
        <f t="shared" si="177"/>
        <v>0</v>
      </c>
      <c r="AN629" s="1352" t="str">
        <f t="shared" si="178"/>
        <v>"User Defined" Other Code Enforcement Unclassified</v>
      </c>
    </row>
    <row r="630" spans="1:40" x14ac:dyDescent="0.2">
      <c r="A630" s="1324" t="s">
        <v>5281</v>
      </c>
      <c r="B630" s="1324" t="s">
        <v>5664</v>
      </c>
      <c r="C630" s="1353">
        <f>'Key Metrics'!$C$217</f>
        <v>0</v>
      </c>
      <c r="D630" s="1353">
        <f>'Key Metrics'!$G$217</f>
        <v>0</v>
      </c>
      <c r="E630" s="1351">
        <f t="shared" si="180"/>
        <v>0</v>
      </c>
      <c r="F630" s="1353">
        <f t="shared" si="181"/>
        <v>0</v>
      </c>
      <c r="G630" s="1353">
        <f t="shared" si="182"/>
        <v>0</v>
      </c>
      <c r="H630" s="1353">
        <f t="shared" si="183"/>
        <v>0</v>
      </c>
      <c r="I630" s="1353">
        <f t="shared" si="184"/>
        <v>0</v>
      </c>
      <c r="J630" s="1353">
        <f t="shared" si="185"/>
        <v>0</v>
      </c>
      <c r="M630" s="1324" t="str">
        <f t="shared" si="186"/>
        <v>"User Defined" Other Code Enforcement Salaries &amp; Wages</v>
      </c>
      <c r="N630" s="1368">
        <f t="shared" si="187"/>
        <v>0</v>
      </c>
      <c r="O630" s="1368">
        <f t="shared" si="192"/>
        <v>0</v>
      </c>
      <c r="P630" s="1368">
        <f t="shared" si="192"/>
        <v>0</v>
      </c>
      <c r="Q630" s="1368">
        <f t="shared" si="192"/>
        <v>0</v>
      </c>
      <c r="R630" s="1368">
        <f t="shared" si="192"/>
        <v>0</v>
      </c>
      <c r="T630" s="1369">
        <v>0.02</v>
      </c>
      <c r="U630" s="1369">
        <v>0.02</v>
      </c>
      <c r="V630" s="1369">
        <v>0.02</v>
      </c>
      <c r="W630" s="1369">
        <v>0.02</v>
      </c>
      <c r="X630" s="1369">
        <v>0.02</v>
      </c>
      <c r="Y630" s="1367"/>
      <c r="Z630" s="1370">
        <v>0</v>
      </c>
      <c r="AA630" s="1370">
        <v>0</v>
      </c>
      <c r="AB630" s="1370">
        <v>0</v>
      </c>
      <c r="AC630" s="1370">
        <v>0</v>
      </c>
      <c r="AD630" s="1370">
        <v>0</v>
      </c>
      <c r="AK630" s="1354">
        <f t="shared" si="190"/>
        <v>0</v>
      </c>
      <c r="AL630" s="1352">
        <f t="shared" si="189"/>
        <v>53</v>
      </c>
      <c r="AM630" s="1354">
        <f t="shared" si="177"/>
        <v>0</v>
      </c>
      <c r="AN630" s="1352" t="str">
        <f t="shared" si="178"/>
        <v>"User Defined" Other Code Enforcement Salaries &amp; Wages</v>
      </c>
    </row>
    <row r="631" spans="1:40" x14ac:dyDescent="0.2">
      <c r="A631" s="1324" t="str">
        <f>A630</f>
        <v>22-209</v>
      </c>
      <c r="B631" s="1324" t="s">
        <v>5835</v>
      </c>
      <c r="C631" s="1353">
        <f>'Key Metrics'!$D$217</f>
        <v>0</v>
      </c>
      <c r="D631" s="1353">
        <f>'Key Metrics'!$H$217</f>
        <v>0</v>
      </c>
      <c r="E631" s="1351">
        <f t="shared" si="180"/>
        <v>0</v>
      </c>
      <c r="F631" s="1353">
        <f t="shared" si="181"/>
        <v>0</v>
      </c>
      <c r="G631" s="1353">
        <f t="shared" si="182"/>
        <v>0</v>
      </c>
      <c r="H631" s="1353">
        <f t="shared" si="183"/>
        <v>0</v>
      </c>
      <c r="I631" s="1353">
        <f t="shared" si="184"/>
        <v>0</v>
      </c>
      <c r="J631" s="1353">
        <f t="shared" si="185"/>
        <v>0</v>
      </c>
      <c r="M631" s="1324" t="str">
        <f t="shared" si="186"/>
        <v>"User Defined" Other Code Enforcement Other Expenses</v>
      </c>
      <c r="N631" s="1368">
        <f t="shared" si="187"/>
        <v>0</v>
      </c>
      <c r="O631" s="1368">
        <f t="shared" si="192"/>
        <v>0</v>
      </c>
      <c r="P631" s="1368">
        <f t="shared" si="192"/>
        <v>0</v>
      </c>
      <c r="Q631" s="1368">
        <f t="shared" si="192"/>
        <v>0</v>
      </c>
      <c r="R631" s="1368">
        <f t="shared" si="192"/>
        <v>0</v>
      </c>
      <c r="T631" s="1369">
        <v>0.02</v>
      </c>
      <c r="U631" s="1369">
        <v>0.02</v>
      </c>
      <c r="V631" s="1369">
        <v>0.02</v>
      </c>
      <c r="W631" s="1369">
        <v>0.02</v>
      </c>
      <c r="X631" s="1369">
        <v>0.02</v>
      </c>
      <c r="Y631" s="1367"/>
      <c r="Z631" s="1370">
        <v>0</v>
      </c>
      <c r="AA631" s="1370">
        <v>0</v>
      </c>
      <c r="AB631" s="1370">
        <v>0</v>
      </c>
      <c r="AC631" s="1370">
        <v>0</v>
      </c>
      <c r="AD631" s="1370">
        <v>0</v>
      </c>
      <c r="AK631" s="1354">
        <f t="shared" si="190"/>
        <v>0</v>
      </c>
      <c r="AL631" s="1352">
        <f t="shared" si="189"/>
        <v>53</v>
      </c>
      <c r="AM631" s="1354">
        <f t="shared" si="177"/>
        <v>0</v>
      </c>
      <c r="AN631" s="1352" t="str">
        <f t="shared" si="178"/>
        <v>"User Defined" Other Code Enforcement Other Expenses</v>
      </c>
    </row>
    <row r="632" spans="1:40" x14ac:dyDescent="0.2">
      <c r="A632" s="1324" t="str">
        <f>A631</f>
        <v>22-209</v>
      </c>
      <c r="B632" s="1324" t="s">
        <v>5836</v>
      </c>
      <c r="C632" s="1353">
        <f>'Key Metrics'!$E$217</f>
        <v>0</v>
      </c>
      <c r="D632" s="1353">
        <f>'Key Metrics'!$I$217</f>
        <v>0</v>
      </c>
      <c r="E632" s="1351">
        <f t="shared" si="180"/>
        <v>0</v>
      </c>
      <c r="F632" s="1353">
        <f t="shared" si="181"/>
        <v>0</v>
      </c>
      <c r="G632" s="1353">
        <f t="shared" si="182"/>
        <v>0</v>
      </c>
      <c r="H632" s="1353">
        <f t="shared" si="183"/>
        <v>0</v>
      </c>
      <c r="I632" s="1353">
        <f t="shared" si="184"/>
        <v>0</v>
      </c>
      <c r="J632" s="1353">
        <f t="shared" si="185"/>
        <v>0</v>
      </c>
      <c r="M632" s="1324" t="str">
        <f t="shared" si="186"/>
        <v>"User Defined" Other Code Enforcement Unclassified</v>
      </c>
      <c r="N632" s="1368">
        <f t="shared" si="187"/>
        <v>0</v>
      </c>
      <c r="O632" s="1368">
        <f t="shared" si="192"/>
        <v>0</v>
      </c>
      <c r="P632" s="1368">
        <f t="shared" si="192"/>
        <v>0</v>
      </c>
      <c r="Q632" s="1368">
        <f t="shared" si="192"/>
        <v>0</v>
      </c>
      <c r="R632" s="1368">
        <f t="shared" si="192"/>
        <v>0</v>
      </c>
      <c r="T632" s="1369">
        <v>0.02</v>
      </c>
      <c r="U632" s="1369">
        <v>0.02</v>
      </c>
      <c r="V632" s="1369">
        <v>0.02</v>
      </c>
      <c r="W632" s="1369">
        <v>0.02</v>
      </c>
      <c r="X632" s="1369">
        <v>0.02</v>
      </c>
      <c r="Y632" s="1367"/>
      <c r="Z632" s="1370">
        <v>0</v>
      </c>
      <c r="AA632" s="1370">
        <v>0</v>
      </c>
      <c r="AB632" s="1370">
        <v>0</v>
      </c>
      <c r="AC632" s="1370">
        <v>0</v>
      </c>
      <c r="AD632" s="1370">
        <v>0</v>
      </c>
      <c r="AK632" s="1354">
        <f t="shared" si="190"/>
        <v>0</v>
      </c>
      <c r="AL632" s="1352">
        <f t="shared" si="189"/>
        <v>53</v>
      </c>
      <c r="AM632" s="1354">
        <f>J632-D632</f>
        <v>0</v>
      </c>
      <c r="AN632" s="1352" t="str">
        <f>B632</f>
        <v>"User Defined" Other Code Enforcement Unclassified</v>
      </c>
    </row>
    <row r="633" spans="1:40" x14ac:dyDescent="0.2">
      <c r="B633" s="1373" t="s">
        <v>5620</v>
      </c>
      <c r="C633" s="1360">
        <f>SUM(C588:C632)</f>
        <v>3885.71</v>
      </c>
      <c r="D633" s="1360">
        <f>SUM(D588:D632)</f>
        <v>9017</v>
      </c>
      <c r="E633" s="1356">
        <f t="shared" si="180"/>
        <v>1.3205540300228273</v>
      </c>
      <c r="F633" s="1360">
        <f>SUM(F588:F632)</f>
        <v>9197.34</v>
      </c>
      <c r="G633" s="1360">
        <f>SUM(G588:G632)</f>
        <v>9381.2868000000017</v>
      </c>
      <c r="H633" s="1360">
        <f>SUM(H588:H632)</f>
        <v>9568.9125359999998</v>
      </c>
      <c r="I633" s="1360">
        <f>SUM(I588:I632)</f>
        <v>9760.2907867200011</v>
      </c>
      <c r="J633" s="1360">
        <f>SUM(J588:J632)</f>
        <v>9955.4966024543992</v>
      </c>
      <c r="N633" s="1328"/>
      <c r="O633" s="1328"/>
      <c r="P633" s="1328"/>
      <c r="Q633" s="1328"/>
      <c r="R633" s="1328"/>
      <c r="T633" s="1371"/>
      <c r="U633" s="1371"/>
      <c r="V633" s="1371"/>
      <c r="W633" s="1371"/>
      <c r="X633" s="1371"/>
      <c r="Y633" s="1367"/>
      <c r="Z633" s="1372"/>
      <c r="AA633" s="1372"/>
      <c r="AB633" s="1372"/>
      <c r="AC633" s="1372"/>
      <c r="AD633" s="1372"/>
      <c r="AK633" s="1354"/>
      <c r="AL633" s="1352"/>
      <c r="AM633" s="1354"/>
      <c r="AN633" s="1352"/>
    </row>
    <row r="634" spans="1:40" x14ac:dyDescent="0.2">
      <c r="E634" s="1351"/>
      <c r="N634" s="1328"/>
      <c r="O634" s="1328"/>
      <c r="P634" s="1328"/>
      <c r="Q634" s="1328"/>
      <c r="R634" s="1328"/>
      <c r="T634" s="1371"/>
      <c r="U634" s="1371"/>
      <c r="V634" s="1371"/>
      <c r="W634" s="1371"/>
      <c r="X634" s="1371"/>
      <c r="Y634" s="1367"/>
      <c r="Z634" s="1372"/>
      <c r="AA634" s="1372"/>
      <c r="AB634" s="1372"/>
      <c r="AC634" s="1372"/>
      <c r="AD634" s="1372"/>
      <c r="AK634" s="1354"/>
      <c r="AL634" s="1352"/>
      <c r="AM634" s="1354"/>
      <c r="AN634" s="1352"/>
    </row>
    <row r="635" spans="1:40" ht="15" x14ac:dyDescent="0.25">
      <c r="A635" s="1364" t="s">
        <v>453</v>
      </c>
      <c r="B635" s="1365"/>
      <c r="C635" s="1365"/>
      <c r="D635" s="1365"/>
      <c r="E635" s="1380"/>
      <c r="F635" s="1365"/>
      <c r="G635" s="1365"/>
      <c r="H635" s="1365"/>
      <c r="I635" s="1365"/>
      <c r="J635" s="1365"/>
      <c r="M635" s="1381" t="str">
        <f>A635</f>
        <v>Insurance</v>
      </c>
      <c r="N635" s="1364"/>
      <c r="O635" s="1364"/>
      <c r="P635" s="1364"/>
      <c r="Q635" s="1364"/>
      <c r="R635" s="1364"/>
      <c r="S635" s="1365"/>
      <c r="T635" s="1389"/>
      <c r="U635" s="1389"/>
      <c r="V635" s="1389"/>
      <c r="W635" s="1389"/>
      <c r="X635" s="1389"/>
      <c r="Y635" s="1390"/>
      <c r="Z635" s="1391"/>
      <c r="AA635" s="1391"/>
      <c r="AB635" s="1391"/>
      <c r="AC635" s="1391"/>
      <c r="AD635" s="1391"/>
      <c r="AK635" s="1354"/>
      <c r="AL635" s="1352"/>
      <c r="AM635" s="1354"/>
      <c r="AN635" s="1352">
        <f t="shared" ref="AN635:AN698" si="193">B635</f>
        <v>0</v>
      </c>
    </row>
    <row r="636" spans="1:40" x14ac:dyDescent="0.2">
      <c r="A636" s="1324" t="s">
        <v>5149</v>
      </c>
      <c r="B636" s="1324" t="s">
        <v>5665</v>
      </c>
      <c r="C636" s="1353">
        <f>'Key Metrics'!$C$221</f>
        <v>0</v>
      </c>
      <c r="D636" s="1353">
        <f>'Key Metrics'!$G$221</f>
        <v>0</v>
      </c>
      <c r="E636" s="1351">
        <f t="shared" ref="E636:E657" si="194">IFERROR(D636/C636-1,0)</f>
        <v>0</v>
      </c>
      <c r="F636" s="1353">
        <f t="shared" ref="F636:F656" si="195">IFERROR(IF($I$3=1,D636*(1+N636),IF($I$3=2,D636*(1+T636),IF($I$3=3,Z636,"--"))),0)</f>
        <v>0</v>
      </c>
      <c r="G636" s="1353">
        <f t="shared" ref="G636:G656" si="196">IFERROR(IF($I$3=1,F636*(1+O636),IF($I$3=2,F636*(1+U636),IF($I$3=3,AA636,"--"))),0)</f>
        <v>0</v>
      </c>
      <c r="H636" s="1353">
        <f t="shared" ref="H636:H656" si="197">IFERROR(IF($I$3=1,G636*(1+P636),IF($I$3=2,G636*(1+V636),IF($I$3=3,AB636,"--"))),0)</f>
        <v>0</v>
      </c>
      <c r="I636" s="1353">
        <f t="shared" ref="I636:I656" si="198">IFERROR(IF($I$3=1,H636*(1+Q636),IF($I$3=2,H636*(1+W636),IF($I$3=3,AC636,"--"))),0)</f>
        <v>0</v>
      </c>
      <c r="J636" s="1353">
        <f t="shared" ref="J636:J656" si="199">IFERROR(IF($I$3=1,I636*(1+R636),IF($I$3=2,I636*(1+X636),IF($I$3=3,AD636,"--"))),0)</f>
        <v>0</v>
      </c>
      <c r="M636" s="1324" t="str">
        <f t="shared" ref="M636:M656" si="200">B636</f>
        <v>Liability Insurance Salaries &amp; Wages</v>
      </c>
      <c r="N636" s="1368">
        <f t="shared" ref="N636:N656" si="201">E636</f>
        <v>0</v>
      </c>
      <c r="O636" s="1368">
        <f t="shared" ref="O636:R651" si="202">N636</f>
        <v>0</v>
      </c>
      <c r="P636" s="1368">
        <f t="shared" si="202"/>
        <v>0</v>
      </c>
      <c r="Q636" s="1368">
        <f t="shared" si="202"/>
        <v>0</v>
      </c>
      <c r="R636" s="1368">
        <f t="shared" si="202"/>
        <v>0</v>
      </c>
      <c r="T636" s="1369">
        <v>0.02</v>
      </c>
      <c r="U636" s="1369">
        <v>0.02</v>
      </c>
      <c r="V636" s="1369">
        <v>0.02</v>
      </c>
      <c r="W636" s="1369">
        <v>0.02</v>
      </c>
      <c r="X636" s="1369">
        <v>0.02</v>
      </c>
      <c r="Y636" s="1367"/>
      <c r="Z636" s="1370">
        <v>0</v>
      </c>
      <c r="AA636" s="1370">
        <v>0</v>
      </c>
      <c r="AB636" s="1370">
        <v>0</v>
      </c>
      <c r="AC636" s="1370">
        <v>0</v>
      </c>
      <c r="AD636" s="1370">
        <v>0</v>
      </c>
      <c r="AK636" s="1354">
        <f t="shared" si="190"/>
        <v>0</v>
      </c>
      <c r="AL636" s="1352">
        <f t="shared" ref="AL636:AL656" si="203">RANK(AM636,$AM$504:$AM$1172,0)</f>
        <v>53</v>
      </c>
      <c r="AM636" s="1354">
        <f t="shared" ref="AM636:AM699" si="204">J636-D636</f>
        <v>0</v>
      </c>
      <c r="AN636" s="1352" t="str">
        <f t="shared" si="193"/>
        <v>Liability Insurance Salaries &amp; Wages</v>
      </c>
    </row>
    <row r="637" spans="1:40" x14ac:dyDescent="0.2">
      <c r="A637" s="1324" t="str">
        <f>A636</f>
        <v>23-210</v>
      </c>
      <c r="B637" s="1324" t="s">
        <v>5837</v>
      </c>
      <c r="C637" s="1353">
        <f>'Key Metrics'!$D$221</f>
        <v>68257.440000000002</v>
      </c>
      <c r="D637" s="1353">
        <f>'Key Metrics'!$H$221</f>
        <v>104974.51</v>
      </c>
      <c r="E637" s="1351">
        <f t="shared" si="194"/>
        <v>0.53792040838332045</v>
      </c>
      <c r="F637" s="1353">
        <f t="shared" si="195"/>
        <v>107074.00019999999</v>
      </c>
      <c r="G637" s="1353">
        <f t="shared" si="196"/>
        <v>109215.48020399999</v>
      </c>
      <c r="H637" s="1353">
        <f t="shared" si="197"/>
        <v>111399.78980807999</v>
      </c>
      <c r="I637" s="1353">
        <f t="shared" si="198"/>
        <v>113627.7856042416</v>
      </c>
      <c r="J637" s="1353">
        <f t="shared" si="199"/>
        <v>115900.34131632643</v>
      </c>
      <c r="M637" s="1324" t="str">
        <f t="shared" si="200"/>
        <v>Liability Insurance Other Expenses</v>
      </c>
      <c r="N637" s="1368">
        <f t="shared" si="201"/>
        <v>0.53792040838332045</v>
      </c>
      <c r="O637" s="1368">
        <f t="shared" si="202"/>
        <v>0.53792040838332045</v>
      </c>
      <c r="P637" s="1368">
        <f t="shared" si="202"/>
        <v>0.53792040838332045</v>
      </c>
      <c r="Q637" s="1368">
        <f t="shared" si="202"/>
        <v>0.53792040838332045</v>
      </c>
      <c r="R637" s="1368">
        <f t="shared" si="202"/>
        <v>0.53792040838332045</v>
      </c>
      <c r="T637" s="1369">
        <v>0.02</v>
      </c>
      <c r="U637" s="1369">
        <v>0.02</v>
      </c>
      <c r="V637" s="1369">
        <v>0.02</v>
      </c>
      <c r="W637" s="1369">
        <v>0.02</v>
      </c>
      <c r="X637" s="1369">
        <v>0.02</v>
      </c>
      <c r="Y637" s="1367"/>
      <c r="Z637" s="1370">
        <v>0</v>
      </c>
      <c r="AA637" s="1370">
        <v>0</v>
      </c>
      <c r="AB637" s="1370">
        <v>0</v>
      </c>
      <c r="AC637" s="1370">
        <v>0</v>
      </c>
      <c r="AD637" s="1370">
        <v>0</v>
      </c>
      <c r="AK637" s="1354">
        <f t="shared" si="190"/>
        <v>730449.34713264799</v>
      </c>
      <c r="AL637" s="1352">
        <f t="shared" si="203"/>
        <v>1</v>
      </c>
      <c r="AM637" s="1354">
        <f t="shared" si="204"/>
        <v>10925.831316326439</v>
      </c>
      <c r="AN637" s="1352" t="str">
        <f t="shared" si="193"/>
        <v>Liability Insurance Other Expenses</v>
      </c>
    </row>
    <row r="638" spans="1:40" x14ac:dyDescent="0.2">
      <c r="A638" s="1324" t="str">
        <f>A637</f>
        <v>23-210</v>
      </c>
      <c r="B638" s="1324" t="s">
        <v>5838</v>
      </c>
      <c r="C638" s="1353">
        <f>'Key Metrics'!$E$221</f>
        <v>0</v>
      </c>
      <c r="D638" s="1353">
        <f>'Key Metrics'!$I$221</f>
        <v>0</v>
      </c>
      <c r="E638" s="1351">
        <f t="shared" si="194"/>
        <v>0</v>
      </c>
      <c r="F638" s="1353">
        <f t="shared" si="195"/>
        <v>0</v>
      </c>
      <c r="G638" s="1353">
        <f t="shared" si="196"/>
        <v>0</v>
      </c>
      <c r="H638" s="1353">
        <f t="shared" si="197"/>
        <v>0</v>
      </c>
      <c r="I638" s="1353">
        <f t="shared" si="198"/>
        <v>0</v>
      </c>
      <c r="J638" s="1353">
        <f t="shared" si="199"/>
        <v>0</v>
      </c>
      <c r="M638" s="1324" t="str">
        <f t="shared" si="200"/>
        <v>Liability Insurance Unclassified</v>
      </c>
      <c r="N638" s="1368">
        <f t="shared" si="201"/>
        <v>0</v>
      </c>
      <c r="O638" s="1368">
        <f t="shared" si="202"/>
        <v>0</v>
      </c>
      <c r="P638" s="1368">
        <f t="shared" si="202"/>
        <v>0</v>
      </c>
      <c r="Q638" s="1368">
        <f t="shared" si="202"/>
        <v>0</v>
      </c>
      <c r="R638" s="1368">
        <f t="shared" si="202"/>
        <v>0</v>
      </c>
      <c r="T638" s="1369">
        <v>0.02</v>
      </c>
      <c r="U638" s="1369">
        <v>0.02</v>
      </c>
      <c r="V638" s="1369">
        <v>0.02</v>
      </c>
      <c r="W638" s="1369">
        <v>0.02</v>
      </c>
      <c r="X638" s="1369">
        <v>0.02</v>
      </c>
      <c r="Y638" s="1367"/>
      <c r="Z638" s="1370">
        <v>0</v>
      </c>
      <c r="AA638" s="1370">
        <v>0</v>
      </c>
      <c r="AB638" s="1370">
        <v>0</v>
      </c>
      <c r="AC638" s="1370">
        <v>0</v>
      </c>
      <c r="AD638" s="1370">
        <v>0</v>
      </c>
      <c r="AK638" s="1354">
        <f t="shared" si="190"/>
        <v>0</v>
      </c>
      <c r="AL638" s="1352">
        <f t="shared" si="203"/>
        <v>53</v>
      </c>
      <c r="AM638" s="1354">
        <f t="shared" si="204"/>
        <v>0</v>
      </c>
      <c r="AN638" s="1352" t="str">
        <f t="shared" si="193"/>
        <v>Liability Insurance Unclassified</v>
      </c>
    </row>
    <row r="639" spans="1:40" x14ac:dyDescent="0.2">
      <c r="A639" s="1324" t="s">
        <v>5150</v>
      </c>
      <c r="B639" s="1324" t="s">
        <v>5666</v>
      </c>
      <c r="C639" s="1353">
        <f>'Key Metrics'!$C$222</f>
        <v>0</v>
      </c>
      <c r="D639" s="1353">
        <f>'Key Metrics'!$G$222</f>
        <v>0</v>
      </c>
      <c r="E639" s="1351">
        <f t="shared" si="194"/>
        <v>0</v>
      </c>
      <c r="F639" s="1353">
        <f t="shared" si="195"/>
        <v>0</v>
      </c>
      <c r="G639" s="1353">
        <f t="shared" si="196"/>
        <v>0</v>
      </c>
      <c r="H639" s="1353">
        <f t="shared" si="197"/>
        <v>0</v>
      </c>
      <c r="I639" s="1353">
        <f t="shared" si="198"/>
        <v>0</v>
      </c>
      <c r="J639" s="1353">
        <f t="shared" si="199"/>
        <v>0</v>
      </c>
      <c r="M639" s="1324" t="str">
        <f t="shared" si="200"/>
        <v>Other Insurance Salaries &amp; Wages</v>
      </c>
      <c r="N639" s="1368">
        <f t="shared" si="201"/>
        <v>0</v>
      </c>
      <c r="O639" s="1368">
        <f t="shared" si="202"/>
        <v>0</v>
      </c>
      <c r="P639" s="1368">
        <f t="shared" si="202"/>
        <v>0</v>
      </c>
      <c r="Q639" s="1368">
        <f t="shared" si="202"/>
        <v>0</v>
      </c>
      <c r="R639" s="1368">
        <f t="shared" si="202"/>
        <v>0</v>
      </c>
      <c r="T639" s="1369">
        <v>0.02</v>
      </c>
      <c r="U639" s="1369">
        <v>0.02</v>
      </c>
      <c r="V639" s="1369">
        <v>0.02</v>
      </c>
      <c r="W639" s="1369">
        <v>0.02</v>
      </c>
      <c r="X639" s="1369">
        <v>0.02</v>
      </c>
      <c r="Y639" s="1367"/>
      <c r="Z639" s="1370">
        <v>0</v>
      </c>
      <c r="AA639" s="1370">
        <v>0</v>
      </c>
      <c r="AB639" s="1370">
        <v>0</v>
      </c>
      <c r="AC639" s="1370">
        <v>0</v>
      </c>
      <c r="AD639" s="1370">
        <v>0</v>
      </c>
      <c r="AK639" s="1354">
        <f t="shared" si="190"/>
        <v>0</v>
      </c>
      <c r="AL639" s="1352">
        <f t="shared" si="203"/>
        <v>53</v>
      </c>
      <c r="AM639" s="1354">
        <f t="shared" si="204"/>
        <v>0</v>
      </c>
      <c r="AN639" s="1352" t="str">
        <f t="shared" si="193"/>
        <v>Other Insurance Salaries &amp; Wages</v>
      </c>
    </row>
    <row r="640" spans="1:40" x14ac:dyDescent="0.2">
      <c r="A640" s="1324" t="str">
        <f>A639</f>
        <v>23-211</v>
      </c>
      <c r="B640" s="1324" t="s">
        <v>5839</v>
      </c>
      <c r="C640" s="1353">
        <f>'Key Metrics'!$D$222</f>
        <v>0</v>
      </c>
      <c r="D640" s="1353">
        <f>'Key Metrics'!$H$222</f>
        <v>0</v>
      </c>
      <c r="E640" s="1351">
        <f t="shared" si="194"/>
        <v>0</v>
      </c>
      <c r="F640" s="1353">
        <f t="shared" si="195"/>
        <v>0</v>
      </c>
      <c r="G640" s="1353">
        <f t="shared" si="196"/>
        <v>0</v>
      </c>
      <c r="H640" s="1353">
        <f t="shared" si="197"/>
        <v>0</v>
      </c>
      <c r="I640" s="1353">
        <f t="shared" si="198"/>
        <v>0</v>
      </c>
      <c r="J640" s="1353">
        <f t="shared" si="199"/>
        <v>0</v>
      </c>
      <c r="M640" s="1324" t="str">
        <f t="shared" si="200"/>
        <v>Other Insurance Other Expenses</v>
      </c>
      <c r="N640" s="1368">
        <f t="shared" si="201"/>
        <v>0</v>
      </c>
      <c r="O640" s="1368">
        <f t="shared" si="202"/>
        <v>0</v>
      </c>
      <c r="P640" s="1368">
        <f t="shared" si="202"/>
        <v>0</v>
      </c>
      <c r="Q640" s="1368">
        <f t="shared" si="202"/>
        <v>0</v>
      </c>
      <c r="R640" s="1368">
        <f t="shared" si="202"/>
        <v>0</v>
      </c>
      <c r="T640" s="1369">
        <v>0.02</v>
      </c>
      <c r="U640" s="1369">
        <v>0.02</v>
      </c>
      <c r="V640" s="1369">
        <v>0.02</v>
      </c>
      <c r="W640" s="1369">
        <v>0.02</v>
      </c>
      <c r="X640" s="1369">
        <v>0.02</v>
      </c>
      <c r="Y640" s="1367"/>
      <c r="Z640" s="1370">
        <v>0</v>
      </c>
      <c r="AA640" s="1370">
        <v>0</v>
      </c>
      <c r="AB640" s="1370">
        <v>0</v>
      </c>
      <c r="AC640" s="1370">
        <v>0</v>
      </c>
      <c r="AD640" s="1370">
        <v>0</v>
      </c>
      <c r="AK640" s="1354">
        <f t="shared" si="190"/>
        <v>0</v>
      </c>
      <c r="AL640" s="1352">
        <f t="shared" si="203"/>
        <v>53</v>
      </c>
      <c r="AM640" s="1354">
        <f t="shared" si="204"/>
        <v>0</v>
      </c>
      <c r="AN640" s="1352" t="str">
        <f t="shared" si="193"/>
        <v>Other Insurance Other Expenses</v>
      </c>
    </row>
    <row r="641" spans="1:40" x14ac:dyDescent="0.2">
      <c r="A641" s="1324" t="str">
        <f>A640</f>
        <v>23-211</v>
      </c>
      <c r="B641" s="1324" t="s">
        <v>5840</v>
      </c>
      <c r="C641" s="1353">
        <f>'Key Metrics'!$E$222</f>
        <v>0</v>
      </c>
      <c r="D641" s="1353">
        <f>'Key Metrics'!$I$222</f>
        <v>0</v>
      </c>
      <c r="E641" s="1351">
        <f t="shared" si="194"/>
        <v>0</v>
      </c>
      <c r="F641" s="1353">
        <f t="shared" si="195"/>
        <v>0</v>
      </c>
      <c r="G641" s="1353">
        <f t="shared" si="196"/>
        <v>0</v>
      </c>
      <c r="H641" s="1353">
        <f t="shared" si="197"/>
        <v>0</v>
      </c>
      <c r="I641" s="1353">
        <f t="shared" si="198"/>
        <v>0</v>
      </c>
      <c r="J641" s="1353">
        <f t="shared" si="199"/>
        <v>0</v>
      </c>
      <c r="M641" s="1324" t="str">
        <f t="shared" si="200"/>
        <v>Other Insurance Unclassified</v>
      </c>
      <c r="N641" s="1368">
        <f t="shared" si="201"/>
        <v>0</v>
      </c>
      <c r="O641" s="1368">
        <f t="shared" si="202"/>
        <v>0</v>
      </c>
      <c r="P641" s="1368">
        <f t="shared" si="202"/>
        <v>0</v>
      </c>
      <c r="Q641" s="1368">
        <f t="shared" si="202"/>
        <v>0</v>
      </c>
      <c r="R641" s="1368">
        <f t="shared" si="202"/>
        <v>0</v>
      </c>
      <c r="T641" s="1369">
        <v>0.02</v>
      </c>
      <c r="U641" s="1369">
        <v>0.02</v>
      </c>
      <c r="V641" s="1369">
        <v>0.02</v>
      </c>
      <c r="W641" s="1369">
        <v>0.02</v>
      </c>
      <c r="X641" s="1369">
        <v>0.02</v>
      </c>
      <c r="Y641" s="1367"/>
      <c r="Z641" s="1370">
        <v>0</v>
      </c>
      <c r="AA641" s="1370">
        <v>0</v>
      </c>
      <c r="AB641" s="1370">
        <v>0</v>
      </c>
      <c r="AC641" s="1370">
        <v>0</v>
      </c>
      <c r="AD641" s="1370">
        <v>0</v>
      </c>
      <c r="AK641" s="1354">
        <f t="shared" si="190"/>
        <v>0</v>
      </c>
      <c r="AL641" s="1352">
        <f t="shared" si="203"/>
        <v>53</v>
      </c>
      <c r="AM641" s="1354">
        <f t="shared" si="204"/>
        <v>0</v>
      </c>
      <c r="AN641" s="1352" t="str">
        <f t="shared" si="193"/>
        <v>Other Insurance Unclassified</v>
      </c>
    </row>
    <row r="642" spans="1:40" x14ac:dyDescent="0.2">
      <c r="A642" s="1324" t="s">
        <v>5151</v>
      </c>
      <c r="B642" s="1324" t="s">
        <v>5667</v>
      </c>
      <c r="C642" s="1353">
        <f>'Key Metrics'!$C$223</f>
        <v>0</v>
      </c>
      <c r="D642" s="1353">
        <f>'Key Metrics'!$G$223</f>
        <v>0</v>
      </c>
      <c r="E642" s="1351">
        <f t="shared" si="194"/>
        <v>0</v>
      </c>
      <c r="F642" s="1353">
        <f t="shared" si="195"/>
        <v>0</v>
      </c>
      <c r="G642" s="1353">
        <f t="shared" si="196"/>
        <v>0</v>
      </c>
      <c r="H642" s="1353">
        <f t="shared" si="197"/>
        <v>0</v>
      </c>
      <c r="I642" s="1353">
        <f t="shared" si="198"/>
        <v>0</v>
      </c>
      <c r="J642" s="1353">
        <f t="shared" si="199"/>
        <v>0</v>
      </c>
      <c r="M642" s="1324" t="str">
        <f t="shared" si="200"/>
        <v>Workers Compensation Insurance Salaries &amp; Wages</v>
      </c>
      <c r="N642" s="1368">
        <f t="shared" si="201"/>
        <v>0</v>
      </c>
      <c r="O642" s="1368">
        <f t="shared" si="202"/>
        <v>0</v>
      </c>
      <c r="P642" s="1368">
        <f t="shared" si="202"/>
        <v>0</v>
      </c>
      <c r="Q642" s="1368">
        <f t="shared" si="202"/>
        <v>0</v>
      </c>
      <c r="R642" s="1368">
        <f t="shared" si="202"/>
        <v>0</v>
      </c>
      <c r="T642" s="1369">
        <v>0.02</v>
      </c>
      <c r="U642" s="1369">
        <v>0.02</v>
      </c>
      <c r="V642" s="1369">
        <v>0.02</v>
      </c>
      <c r="W642" s="1369">
        <v>0.02</v>
      </c>
      <c r="X642" s="1369">
        <v>0.02</v>
      </c>
      <c r="Y642" s="1367"/>
      <c r="Z642" s="1370">
        <v>0</v>
      </c>
      <c r="AA642" s="1370">
        <v>0</v>
      </c>
      <c r="AB642" s="1370">
        <v>0</v>
      </c>
      <c r="AC642" s="1370">
        <v>0</v>
      </c>
      <c r="AD642" s="1370">
        <v>0</v>
      </c>
      <c r="AK642" s="1354">
        <f t="shared" si="190"/>
        <v>0</v>
      </c>
      <c r="AL642" s="1352">
        <f t="shared" si="203"/>
        <v>53</v>
      </c>
      <c r="AM642" s="1354">
        <f t="shared" si="204"/>
        <v>0</v>
      </c>
      <c r="AN642" s="1352" t="str">
        <f t="shared" si="193"/>
        <v>Workers Compensation Insurance Salaries &amp; Wages</v>
      </c>
    </row>
    <row r="643" spans="1:40" x14ac:dyDescent="0.2">
      <c r="A643" s="1324" t="str">
        <f>A642</f>
        <v>23-215</v>
      </c>
      <c r="B643" s="1324" t="s">
        <v>5841</v>
      </c>
      <c r="C643" s="1353">
        <f>'Key Metrics'!$D$223</f>
        <v>0</v>
      </c>
      <c r="D643" s="1353">
        <f>'Key Metrics'!$H$223</f>
        <v>0</v>
      </c>
      <c r="E643" s="1351">
        <f t="shared" si="194"/>
        <v>0</v>
      </c>
      <c r="F643" s="1353">
        <f t="shared" si="195"/>
        <v>0</v>
      </c>
      <c r="G643" s="1353">
        <f t="shared" si="196"/>
        <v>0</v>
      </c>
      <c r="H643" s="1353">
        <f t="shared" si="197"/>
        <v>0</v>
      </c>
      <c r="I643" s="1353">
        <f t="shared" si="198"/>
        <v>0</v>
      </c>
      <c r="J643" s="1353">
        <f t="shared" si="199"/>
        <v>0</v>
      </c>
      <c r="M643" s="1324" t="str">
        <f t="shared" si="200"/>
        <v>Workers Compensation Insurance Other Expenses</v>
      </c>
      <c r="N643" s="1368">
        <f t="shared" si="201"/>
        <v>0</v>
      </c>
      <c r="O643" s="1368">
        <f t="shared" si="202"/>
        <v>0</v>
      </c>
      <c r="P643" s="1368">
        <f t="shared" si="202"/>
        <v>0</v>
      </c>
      <c r="Q643" s="1368">
        <f t="shared" si="202"/>
        <v>0</v>
      </c>
      <c r="R643" s="1368">
        <f t="shared" si="202"/>
        <v>0</v>
      </c>
      <c r="T643" s="1369">
        <v>0.02</v>
      </c>
      <c r="U643" s="1369">
        <v>0.02</v>
      </c>
      <c r="V643" s="1369">
        <v>0.02</v>
      </c>
      <c r="W643" s="1369">
        <v>0.02</v>
      </c>
      <c r="X643" s="1369">
        <v>0.02</v>
      </c>
      <c r="Y643" s="1367"/>
      <c r="Z643" s="1370">
        <v>0</v>
      </c>
      <c r="AA643" s="1370">
        <v>0</v>
      </c>
      <c r="AB643" s="1370">
        <v>0</v>
      </c>
      <c r="AC643" s="1370">
        <v>0</v>
      </c>
      <c r="AD643" s="1370">
        <v>0</v>
      </c>
      <c r="AK643" s="1354">
        <f t="shared" si="190"/>
        <v>0</v>
      </c>
      <c r="AL643" s="1352">
        <f t="shared" si="203"/>
        <v>53</v>
      </c>
      <c r="AM643" s="1354">
        <f t="shared" si="204"/>
        <v>0</v>
      </c>
      <c r="AN643" s="1352" t="str">
        <f t="shared" si="193"/>
        <v>Workers Compensation Insurance Other Expenses</v>
      </c>
    </row>
    <row r="644" spans="1:40" x14ac:dyDescent="0.2">
      <c r="A644" s="1324" t="str">
        <f>A643</f>
        <v>23-215</v>
      </c>
      <c r="B644" s="1324" t="s">
        <v>5842</v>
      </c>
      <c r="C644" s="1353">
        <f>'Key Metrics'!$E$223</f>
        <v>0</v>
      </c>
      <c r="D644" s="1353">
        <f>'Key Metrics'!$I$223</f>
        <v>0</v>
      </c>
      <c r="E644" s="1351">
        <f t="shared" si="194"/>
        <v>0</v>
      </c>
      <c r="F644" s="1353">
        <f t="shared" si="195"/>
        <v>0</v>
      </c>
      <c r="G644" s="1353">
        <f t="shared" si="196"/>
        <v>0</v>
      </c>
      <c r="H644" s="1353">
        <f t="shared" si="197"/>
        <v>0</v>
      </c>
      <c r="I644" s="1353">
        <f t="shared" si="198"/>
        <v>0</v>
      </c>
      <c r="J644" s="1353">
        <f t="shared" si="199"/>
        <v>0</v>
      </c>
      <c r="M644" s="1324" t="str">
        <f t="shared" si="200"/>
        <v>Workers Compensation Insurance Unclassified</v>
      </c>
      <c r="N644" s="1368">
        <f t="shared" si="201"/>
        <v>0</v>
      </c>
      <c r="O644" s="1368">
        <f t="shared" si="202"/>
        <v>0</v>
      </c>
      <c r="P644" s="1368">
        <f t="shared" si="202"/>
        <v>0</v>
      </c>
      <c r="Q644" s="1368">
        <f t="shared" si="202"/>
        <v>0</v>
      </c>
      <c r="R644" s="1368">
        <f t="shared" si="202"/>
        <v>0</v>
      </c>
      <c r="T644" s="1369">
        <v>0.02</v>
      </c>
      <c r="U644" s="1369">
        <v>0.02</v>
      </c>
      <c r="V644" s="1369">
        <v>0.02</v>
      </c>
      <c r="W644" s="1369">
        <v>0.02</v>
      </c>
      <c r="X644" s="1369">
        <v>0.02</v>
      </c>
      <c r="Y644" s="1367"/>
      <c r="Z644" s="1370">
        <v>0</v>
      </c>
      <c r="AA644" s="1370">
        <v>0</v>
      </c>
      <c r="AB644" s="1370">
        <v>0</v>
      </c>
      <c r="AC644" s="1370">
        <v>0</v>
      </c>
      <c r="AD644" s="1370">
        <v>0</v>
      </c>
      <c r="AK644" s="1354">
        <f t="shared" si="190"/>
        <v>0</v>
      </c>
      <c r="AL644" s="1352">
        <f t="shared" si="203"/>
        <v>53</v>
      </c>
      <c r="AM644" s="1354">
        <f t="shared" si="204"/>
        <v>0</v>
      </c>
      <c r="AN644" s="1352" t="str">
        <f t="shared" si="193"/>
        <v>Workers Compensation Insurance Unclassified</v>
      </c>
    </row>
    <row r="645" spans="1:40" x14ac:dyDescent="0.2">
      <c r="A645" s="1324" t="s">
        <v>5152</v>
      </c>
      <c r="B645" s="1324" t="s">
        <v>5668</v>
      </c>
      <c r="C645" s="1353">
        <f>'Key Metrics'!$C$224</f>
        <v>0</v>
      </c>
      <c r="D645" s="1353">
        <f>'Key Metrics'!$G$224</f>
        <v>0</v>
      </c>
      <c r="E645" s="1351">
        <f t="shared" si="194"/>
        <v>0</v>
      </c>
      <c r="F645" s="1353">
        <f t="shared" si="195"/>
        <v>0</v>
      </c>
      <c r="G645" s="1353">
        <f t="shared" si="196"/>
        <v>0</v>
      </c>
      <c r="H645" s="1353">
        <f t="shared" si="197"/>
        <v>0</v>
      </c>
      <c r="I645" s="1353">
        <f t="shared" si="198"/>
        <v>0</v>
      </c>
      <c r="J645" s="1353">
        <f t="shared" si="199"/>
        <v>0</v>
      </c>
      <c r="M645" s="1324" t="str">
        <f t="shared" si="200"/>
        <v>Employee Group Insurance (Inside CAPS) Salaries &amp; Wages</v>
      </c>
      <c r="N645" s="1368">
        <f t="shared" si="201"/>
        <v>0</v>
      </c>
      <c r="O645" s="1368">
        <f t="shared" si="202"/>
        <v>0</v>
      </c>
      <c r="P645" s="1368">
        <f t="shared" si="202"/>
        <v>0</v>
      </c>
      <c r="Q645" s="1368">
        <f t="shared" si="202"/>
        <v>0</v>
      </c>
      <c r="R645" s="1368">
        <f t="shared" si="202"/>
        <v>0</v>
      </c>
      <c r="T645" s="1369">
        <v>0.02</v>
      </c>
      <c r="U645" s="1369">
        <v>0.02</v>
      </c>
      <c r="V645" s="1369">
        <v>0.02</v>
      </c>
      <c r="W645" s="1369">
        <v>0.02</v>
      </c>
      <c r="X645" s="1369">
        <v>0.02</v>
      </c>
      <c r="Y645" s="1367"/>
      <c r="Z645" s="1370">
        <v>0</v>
      </c>
      <c r="AA645" s="1370">
        <v>0</v>
      </c>
      <c r="AB645" s="1370">
        <v>0</v>
      </c>
      <c r="AC645" s="1370">
        <v>0</v>
      </c>
      <c r="AD645" s="1370">
        <v>0</v>
      </c>
      <c r="AK645" s="1354">
        <f t="shared" si="190"/>
        <v>0</v>
      </c>
      <c r="AL645" s="1352">
        <f t="shared" si="203"/>
        <v>53</v>
      </c>
      <c r="AM645" s="1354">
        <f t="shared" si="204"/>
        <v>0</v>
      </c>
      <c r="AN645" s="1352" t="str">
        <f t="shared" si="193"/>
        <v>Employee Group Insurance (Inside CAPS) Salaries &amp; Wages</v>
      </c>
    </row>
    <row r="646" spans="1:40" x14ac:dyDescent="0.2">
      <c r="A646" s="1324" t="str">
        <f>A645</f>
        <v>23-220</v>
      </c>
      <c r="B646" s="1324" t="s">
        <v>5843</v>
      </c>
      <c r="C646" s="1353">
        <f>'Key Metrics'!$D$224</f>
        <v>0</v>
      </c>
      <c r="D646" s="1353">
        <f>'Key Metrics'!$H$224</f>
        <v>0</v>
      </c>
      <c r="E646" s="1351">
        <f t="shared" si="194"/>
        <v>0</v>
      </c>
      <c r="F646" s="1353">
        <f t="shared" si="195"/>
        <v>0</v>
      </c>
      <c r="G646" s="1353">
        <f t="shared" si="196"/>
        <v>0</v>
      </c>
      <c r="H646" s="1353">
        <f t="shared" si="197"/>
        <v>0</v>
      </c>
      <c r="I646" s="1353">
        <f t="shared" si="198"/>
        <v>0</v>
      </c>
      <c r="J646" s="1353">
        <f t="shared" si="199"/>
        <v>0</v>
      </c>
      <c r="M646" s="1324" t="str">
        <f t="shared" si="200"/>
        <v>Employee Group Insurance (Inside CAPS) Other Expenses</v>
      </c>
      <c r="N646" s="1368">
        <f t="shared" si="201"/>
        <v>0</v>
      </c>
      <c r="O646" s="1368">
        <f t="shared" si="202"/>
        <v>0</v>
      </c>
      <c r="P646" s="1368">
        <f t="shared" si="202"/>
        <v>0</v>
      </c>
      <c r="Q646" s="1368">
        <f t="shared" si="202"/>
        <v>0</v>
      </c>
      <c r="R646" s="1368">
        <f t="shared" si="202"/>
        <v>0</v>
      </c>
      <c r="T646" s="1369">
        <v>0.02</v>
      </c>
      <c r="U646" s="1369">
        <v>0.02</v>
      </c>
      <c r="V646" s="1369">
        <v>0.02</v>
      </c>
      <c r="W646" s="1369">
        <v>0.02</v>
      </c>
      <c r="X646" s="1369">
        <v>0.02</v>
      </c>
      <c r="Y646" s="1367"/>
      <c r="Z646" s="1370">
        <v>0</v>
      </c>
      <c r="AA646" s="1370">
        <v>0</v>
      </c>
      <c r="AB646" s="1370">
        <v>0</v>
      </c>
      <c r="AC646" s="1370">
        <v>0</v>
      </c>
      <c r="AD646" s="1370">
        <v>0</v>
      </c>
      <c r="AK646" s="1354">
        <f t="shared" si="190"/>
        <v>0</v>
      </c>
      <c r="AL646" s="1352">
        <f t="shared" si="203"/>
        <v>53</v>
      </c>
      <c r="AM646" s="1354">
        <f t="shared" si="204"/>
        <v>0</v>
      </c>
      <c r="AN646" s="1352" t="str">
        <f t="shared" si="193"/>
        <v>Employee Group Insurance (Inside CAPS) Other Expenses</v>
      </c>
    </row>
    <row r="647" spans="1:40" x14ac:dyDescent="0.2">
      <c r="A647" s="1324" t="str">
        <f>A646</f>
        <v>23-220</v>
      </c>
      <c r="B647" s="1324" t="s">
        <v>5844</v>
      </c>
      <c r="C647" s="1353">
        <f>'Key Metrics'!$E$224</f>
        <v>0</v>
      </c>
      <c r="D647" s="1353">
        <f>'Key Metrics'!$I$224</f>
        <v>0</v>
      </c>
      <c r="E647" s="1351">
        <f t="shared" si="194"/>
        <v>0</v>
      </c>
      <c r="F647" s="1353">
        <f t="shared" si="195"/>
        <v>0</v>
      </c>
      <c r="G647" s="1353">
        <f t="shared" si="196"/>
        <v>0</v>
      </c>
      <c r="H647" s="1353">
        <f t="shared" si="197"/>
        <v>0</v>
      </c>
      <c r="I647" s="1353">
        <f t="shared" si="198"/>
        <v>0</v>
      </c>
      <c r="J647" s="1353">
        <f t="shared" si="199"/>
        <v>0</v>
      </c>
      <c r="M647" s="1324" t="str">
        <f t="shared" si="200"/>
        <v>Employee Group Insurance (Inside CAPS) Unclassified</v>
      </c>
      <c r="N647" s="1368">
        <f t="shared" si="201"/>
        <v>0</v>
      </c>
      <c r="O647" s="1368">
        <f t="shared" si="202"/>
        <v>0</v>
      </c>
      <c r="P647" s="1368">
        <f t="shared" si="202"/>
        <v>0</v>
      </c>
      <c r="Q647" s="1368">
        <f t="shared" si="202"/>
        <v>0</v>
      </c>
      <c r="R647" s="1368">
        <f t="shared" si="202"/>
        <v>0</v>
      </c>
      <c r="T647" s="1369">
        <v>0.02</v>
      </c>
      <c r="U647" s="1369">
        <v>0.02</v>
      </c>
      <c r="V647" s="1369">
        <v>0.02</v>
      </c>
      <c r="W647" s="1369">
        <v>0.02</v>
      </c>
      <c r="X647" s="1369">
        <v>0.02</v>
      </c>
      <c r="Y647" s="1367"/>
      <c r="Z647" s="1370">
        <v>0</v>
      </c>
      <c r="AA647" s="1370">
        <v>0</v>
      </c>
      <c r="AB647" s="1370">
        <v>0</v>
      </c>
      <c r="AC647" s="1370">
        <v>0</v>
      </c>
      <c r="AD647" s="1370">
        <v>0</v>
      </c>
      <c r="AK647" s="1354">
        <f t="shared" si="190"/>
        <v>0</v>
      </c>
      <c r="AL647" s="1352">
        <f t="shared" si="203"/>
        <v>53</v>
      </c>
      <c r="AM647" s="1354">
        <f t="shared" si="204"/>
        <v>0</v>
      </c>
      <c r="AN647" s="1352" t="str">
        <f t="shared" si="193"/>
        <v>Employee Group Insurance (Inside CAPS) Unclassified</v>
      </c>
    </row>
    <row r="648" spans="1:40" x14ac:dyDescent="0.2">
      <c r="A648" s="1324" t="s">
        <v>5082</v>
      </c>
      <c r="B648" s="1324" t="s">
        <v>5669</v>
      </c>
      <c r="C648" s="1353">
        <f>'Key Metrics'!$C$225</f>
        <v>0</v>
      </c>
      <c r="D648" s="1353">
        <f>'Key Metrics'!$G$225</f>
        <v>0</v>
      </c>
      <c r="E648" s="1351">
        <f t="shared" si="194"/>
        <v>0</v>
      </c>
      <c r="F648" s="1353">
        <f t="shared" si="195"/>
        <v>0</v>
      </c>
      <c r="G648" s="1353">
        <f t="shared" si="196"/>
        <v>0</v>
      </c>
      <c r="H648" s="1353">
        <f t="shared" si="197"/>
        <v>0</v>
      </c>
      <c r="I648" s="1353">
        <f t="shared" si="198"/>
        <v>0</v>
      </c>
      <c r="J648" s="1353">
        <f t="shared" si="199"/>
        <v>0</v>
      </c>
      <c r="M648" s="1324" t="str">
        <f t="shared" si="200"/>
        <v>Employee Group Insurance (Outside CAPS) Salaries &amp; Wages</v>
      </c>
      <c r="N648" s="1368">
        <f t="shared" si="201"/>
        <v>0</v>
      </c>
      <c r="O648" s="1368">
        <f t="shared" si="202"/>
        <v>0</v>
      </c>
      <c r="P648" s="1368">
        <f t="shared" si="202"/>
        <v>0</v>
      </c>
      <c r="Q648" s="1368">
        <f t="shared" si="202"/>
        <v>0</v>
      </c>
      <c r="R648" s="1368">
        <f t="shared" si="202"/>
        <v>0</v>
      </c>
      <c r="T648" s="1369">
        <v>0.02</v>
      </c>
      <c r="U648" s="1369">
        <v>0.02</v>
      </c>
      <c r="V648" s="1369">
        <v>0.02</v>
      </c>
      <c r="W648" s="1369">
        <v>0.02</v>
      </c>
      <c r="X648" s="1369">
        <v>0.02</v>
      </c>
      <c r="Y648" s="1367"/>
      <c r="Z648" s="1370">
        <v>0</v>
      </c>
      <c r="AA648" s="1370">
        <v>0</v>
      </c>
      <c r="AB648" s="1370">
        <v>0</v>
      </c>
      <c r="AC648" s="1370">
        <v>0</v>
      </c>
      <c r="AD648" s="1370">
        <v>0</v>
      </c>
      <c r="AK648" s="1354">
        <f t="shared" si="190"/>
        <v>0</v>
      </c>
      <c r="AL648" s="1352">
        <f t="shared" si="203"/>
        <v>53</v>
      </c>
      <c r="AM648" s="1354">
        <f t="shared" si="204"/>
        <v>0</v>
      </c>
      <c r="AN648" s="1352" t="str">
        <f t="shared" si="193"/>
        <v>Employee Group Insurance (Outside CAPS) Salaries &amp; Wages</v>
      </c>
    </row>
    <row r="649" spans="1:40" x14ac:dyDescent="0.2">
      <c r="A649" s="1324" t="str">
        <f>A648</f>
        <v>23-221</v>
      </c>
      <c r="B649" s="1324" t="s">
        <v>5845</v>
      </c>
      <c r="C649" s="1353">
        <f>'Key Metrics'!$D$225</f>
        <v>0</v>
      </c>
      <c r="D649" s="1353">
        <f>'Key Metrics'!$H$225</f>
        <v>0</v>
      </c>
      <c r="E649" s="1351">
        <f t="shared" si="194"/>
        <v>0</v>
      </c>
      <c r="F649" s="1353">
        <f t="shared" si="195"/>
        <v>0</v>
      </c>
      <c r="G649" s="1353">
        <f t="shared" si="196"/>
        <v>0</v>
      </c>
      <c r="H649" s="1353">
        <f t="shared" si="197"/>
        <v>0</v>
      </c>
      <c r="I649" s="1353">
        <f t="shared" si="198"/>
        <v>0</v>
      </c>
      <c r="J649" s="1353">
        <f t="shared" si="199"/>
        <v>0</v>
      </c>
      <c r="M649" s="1324" t="str">
        <f t="shared" si="200"/>
        <v>Employee Group Insurance (Outside CAPS) Other Expenses</v>
      </c>
      <c r="N649" s="1368">
        <f t="shared" si="201"/>
        <v>0</v>
      </c>
      <c r="O649" s="1368">
        <f t="shared" si="202"/>
        <v>0</v>
      </c>
      <c r="P649" s="1368">
        <f t="shared" si="202"/>
        <v>0</v>
      </c>
      <c r="Q649" s="1368">
        <f t="shared" si="202"/>
        <v>0</v>
      </c>
      <c r="R649" s="1368">
        <f t="shared" si="202"/>
        <v>0</v>
      </c>
      <c r="T649" s="1369">
        <v>0.02</v>
      </c>
      <c r="U649" s="1369">
        <v>0.02</v>
      </c>
      <c r="V649" s="1369">
        <v>0.02</v>
      </c>
      <c r="W649" s="1369">
        <v>0.02</v>
      </c>
      <c r="X649" s="1369">
        <v>0.02</v>
      </c>
      <c r="Y649" s="1367"/>
      <c r="Z649" s="1370">
        <v>0</v>
      </c>
      <c r="AA649" s="1370">
        <v>0</v>
      </c>
      <c r="AB649" s="1370">
        <v>0</v>
      </c>
      <c r="AC649" s="1370">
        <v>0</v>
      </c>
      <c r="AD649" s="1370">
        <v>0</v>
      </c>
      <c r="AK649" s="1354">
        <f t="shared" si="190"/>
        <v>0</v>
      </c>
      <c r="AL649" s="1352">
        <f t="shared" si="203"/>
        <v>53</v>
      </c>
      <c r="AM649" s="1354">
        <f t="shared" si="204"/>
        <v>0</v>
      </c>
      <c r="AN649" s="1352" t="str">
        <f t="shared" si="193"/>
        <v>Employee Group Insurance (Outside CAPS) Other Expenses</v>
      </c>
    </row>
    <row r="650" spans="1:40" x14ac:dyDescent="0.2">
      <c r="A650" s="1324" t="str">
        <f>A649</f>
        <v>23-221</v>
      </c>
      <c r="B650" s="1324" t="s">
        <v>5846</v>
      </c>
      <c r="C650" s="1353">
        <f>'Key Metrics'!$E$225</f>
        <v>0</v>
      </c>
      <c r="D650" s="1353">
        <f>'Key Metrics'!$I$225</f>
        <v>0</v>
      </c>
      <c r="E650" s="1351">
        <f t="shared" si="194"/>
        <v>0</v>
      </c>
      <c r="F650" s="1353">
        <f t="shared" si="195"/>
        <v>0</v>
      </c>
      <c r="G650" s="1353">
        <f t="shared" si="196"/>
        <v>0</v>
      </c>
      <c r="H650" s="1353">
        <f t="shared" si="197"/>
        <v>0</v>
      </c>
      <c r="I650" s="1353">
        <f t="shared" si="198"/>
        <v>0</v>
      </c>
      <c r="J650" s="1353">
        <f t="shared" si="199"/>
        <v>0</v>
      </c>
      <c r="M650" s="1324" t="str">
        <f t="shared" si="200"/>
        <v>Employee Group Insurance (Outside CAPS) Unclassified</v>
      </c>
      <c r="N650" s="1368">
        <f t="shared" si="201"/>
        <v>0</v>
      </c>
      <c r="O650" s="1368">
        <f t="shared" si="202"/>
        <v>0</v>
      </c>
      <c r="P650" s="1368">
        <f t="shared" si="202"/>
        <v>0</v>
      </c>
      <c r="Q650" s="1368">
        <f t="shared" si="202"/>
        <v>0</v>
      </c>
      <c r="R650" s="1368">
        <f t="shared" si="202"/>
        <v>0</v>
      </c>
      <c r="T650" s="1369">
        <v>0.02</v>
      </c>
      <c r="U650" s="1369">
        <v>0.02</v>
      </c>
      <c r="V650" s="1369">
        <v>0.02</v>
      </c>
      <c r="W650" s="1369">
        <v>0.02</v>
      </c>
      <c r="X650" s="1369">
        <v>0.02</v>
      </c>
      <c r="Y650" s="1367"/>
      <c r="Z650" s="1370">
        <v>0</v>
      </c>
      <c r="AA650" s="1370">
        <v>0</v>
      </c>
      <c r="AB650" s="1370">
        <v>0</v>
      </c>
      <c r="AC650" s="1370">
        <v>0</v>
      </c>
      <c r="AD650" s="1370">
        <v>0</v>
      </c>
      <c r="AK650" s="1354">
        <f t="shared" si="190"/>
        <v>0</v>
      </c>
      <c r="AL650" s="1352">
        <f t="shared" si="203"/>
        <v>53</v>
      </c>
      <c r="AM650" s="1354">
        <f t="shared" si="204"/>
        <v>0</v>
      </c>
      <c r="AN650" s="1352" t="str">
        <f t="shared" si="193"/>
        <v>Employee Group Insurance (Outside CAPS) Unclassified</v>
      </c>
    </row>
    <row r="651" spans="1:40" x14ac:dyDescent="0.2">
      <c r="A651" s="1324" t="s">
        <v>5153</v>
      </c>
      <c r="B651" s="1324" t="s">
        <v>5670</v>
      </c>
      <c r="C651" s="1353">
        <f>'Key Metrics'!$C$226</f>
        <v>0</v>
      </c>
      <c r="D651" s="1353">
        <f>'Key Metrics'!$G$226</f>
        <v>0</v>
      </c>
      <c r="E651" s="1351">
        <f t="shared" si="194"/>
        <v>0</v>
      </c>
      <c r="F651" s="1353">
        <f t="shared" si="195"/>
        <v>0</v>
      </c>
      <c r="G651" s="1353">
        <f t="shared" si="196"/>
        <v>0</v>
      </c>
      <c r="H651" s="1353">
        <f t="shared" si="197"/>
        <v>0</v>
      </c>
      <c r="I651" s="1353">
        <f t="shared" si="198"/>
        <v>0</v>
      </c>
      <c r="J651" s="1353">
        <f t="shared" si="199"/>
        <v>0</v>
      </c>
      <c r="M651" s="1324" t="str">
        <f t="shared" si="200"/>
        <v>Health Benefits Waiver Salaries &amp; Wages</v>
      </c>
      <c r="N651" s="1368">
        <f t="shared" si="201"/>
        <v>0</v>
      </c>
      <c r="O651" s="1368">
        <f t="shared" si="202"/>
        <v>0</v>
      </c>
      <c r="P651" s="1368">
        <f t="shared" si="202"/>
        <v>0</v>
      </c>
      <c r="Q651" s="1368">
        <f t="shared" si="202"/>
        <v>0</v>
      </c>
      <c r="R651" s="1368">
        <f t="shared" si="202"/>
        <v>0</v>
      </c>
      <c r="T651" s="1369">
        <v>0.02</v>
      </c>
      <c r="U651" s="1369">
        <v>0.02</v>
      </c>
      <c r="V651" s="1369">
        <v>0.02</v>
      </c>
      <c r="W651" s="1369">
        <v>0.02</v>
      </c>
      <c r="X651" s="1369">
        <v>0.02</v>
      </c>
      <c r="Y651" s="1367"/>
      <c r="Z651" s="1370">
        <v>0</v>
      </c>
      <c r="AA651" s="1370">
        <v>0</v>
      </c>
      <c r="AB651" s="1370">
        <v>0</v>
      </c>
      <c r="AC651" s="1370">
        <v>0</v>
      </c>
      <c r="AD651" s="1370">
        <v>0</v>
      </c>
      <c r="AK651" s="1354">
        <f t="shared" si="190"/>
        <v>0</v>
      </c>
      <c r="AL651" s="1352">
        <f t="shared" si="203"/>
        <v>53</v>
      </c>
      <c r="AM651" s="1354">
        <f t="shared" si="204"/>
        <v>0</v>
      </c>
      <c r="AN651" s="1352" t="str">
        <f t="shared" si="193"/>
        <v>Health Benefits Waiver Salaries &amp; Wages</v>
      </c>
    </row>
    <row r="652" spans="1:40" x14ac:dyDescent="0.2">
      <c r="A652" s="1324" t="str">
        <f>A651</f>
        <v>23-222</v>
      </c>
      <c r="B652" s="1324" t="s">
        <v>5847</v>
      </c>
      <c r="C652" s="1353">
        <f>'Key Metrics'!$D$226</f>
        <v>0</v>
      </c>
      <c r="D652" s="1353">
        <f>'Key Metrics'!$H$226</f>
        <v>0</v>
      </c>
      <c r="E652" s="1351">
        <f t="shared" si="194"/>
        <v>0</v>
      </c>
      <c r="F652" s="1353">
        <f t="shared" si="195"/>
        <v>0</v>
      </c>
      <c r="G652" s="1353">
        <f t="shared" si="196"/>
        <v>0</v>
      </c>
      <c r="H652" s="1353">
        <f t="shared" si="197"/>
        <v>0</v>
      </c>
      <c r="I652" s="1353">
        <f t="shared" si="198"/>
        <v>0</v>
      </c>
      <c r="J652" s="1353">
        <f t="shared" si="199"/>
        <v>0</v>
      </c>
      <c r="M652" s="1324" t="str">
        <f t="shared" si="200"/>
        <v>Health Benefits Waiver Other Expenses</v>
      </c>
      <c r="N652" s="1368">
        <f t="shared" si="201"/>
        <v>0</v>
      </c>
      <c r="O652" s="1368">
        <f t="shared" ref="O652:R656" si="205">N652</f>
        <v>0</v>
      </c>
      <c r="P652" s="1368">
        <f t="shared" si="205"/>
        <v>0</v>
      </c>
      <c r="Q652" s="1368">
        <f t="shared" si="205"/>
        <v>0</v>
      </c>
      <c r="R652" s="1368">
        <f t="shared" si="205"/>
        <v>0</v>
      </c>
      <c r="T652" s="1369">
        <v>0.02</v>
      </c>
      <c r="U652" s="1369">
        <v>0.02</v>
      </c>
      <c r="V652" s="1369">
        <v>0.02</v>
      </c>
      <c r="W652" s="1369">
        <v>0.02</v>
      </c>
      <c r="X652" s="1369">
        <v>0.02</v>
      </c>
      <c r="Y652" s="1367"/>
      <c r="Z652" s="1370">
        <v>0</v>
      </c>
      <c r="AA652" s="1370">
        <v>0</v>
      </c>
      <c r="AB652" s="1370">
        <v>0</v>
      </c>
      <c r="AC652" s="1370">
        <v>0</v>
      </c>
      <c r="AD652" s="1370">
        <v>0</v>
      </c>
      <c r="AK652" s="1354">
        <f t="shared" si="190"/>
        <v>0</v>
      </c>
      <c r="AL652" s="1352">
        <f t="shared" si="203"/>
        <v>53</v>
      </c>
      <c r="AM652" s="1354">
        <f t="shared" si="204"/>
        <v>0</v>
      </c>
      <c r="AN652" s="1352" t="str">
        <f t="shared" si="193"/>
        <v>Health Benefits Waiver Other Expenses</v>
      </c>
    </row>
    <row r="653" spans="1:40" x14ac:dyDescent="0.2">
      <c r="A653" s="1324" t="str">
        <f>A652</f>
        <v>23-222</v>
      </c>
      <c r="B653" s="1324" t="s">
        <v>5848</v>
      </c>
      <c r="C653" s="1353">
        <f>'Key Metrics'!$E$226</f>
        <v>0</v>
      </c>
      <c r="D653" s="1353">
        <f>'Key Metrics'!$I$226</f>
        <v>0</v>
      </c>
      <c r="E653" s="1351">
        <f t="shared" si="194"/>
        <v>0</v>
      </c>
      <c r="F653" s="1353">
        <f t="shared" si="195"/>
        <v>0</v>
      </c>
      <c r="G653" s="1353">
        <f t="shared" si="196"/>
        <v>0</v>
      </c>
      <c r="H653" s="1353">
        <f t="shared" si="197"/>
        <v>0</v>
      </c>
      <c r="I653" s="1353">
        <f t="shared" si="198"/>
        <v>0</v>
      </c>
      <c r="J653" s="1353">
        <f t="shared" si="199"/>
        <v>0</v>
      </c>
      <c r="M653" s="1324" t="str">
        <f t="shared" si="200"/>
        <v>Health Benefits Waiver Unclassified</v>
      </c>
      <c r="N653" s="1368">
        <f t="shared" si="201"/>
        <v>0</v>
      </c>
      <c r="O653" s="1368">
        <f t="shared" si="205"/>
        <v>0</v>
      </c>
      <c r="P653" s="1368">
        <f t="shared" si="205"/>
        <v>0</v>
      </c>
      <c r="Q653" s="1368">
        <f t="shared" si="205"/>
        <v>0</v>
      </c>
      <c r="R653" s="1368">
        <f t="shared" si="205"/>
        <v>0</v>
      </c>
      <c r="T653" s="1369">
        <v>0.02</v>
      </c>
      <c r="U653" s="1369">
        <v>0.02</v>
      </c>
      <c r="V653" s="1369">
        <v>0.02</v>
      </c>
      <c r="W653" s="1369">
        <v>0.02</v>
      </c>
      <c r="X653" s="1369">
        <v>0.02</v>
      </c>
      <c r="Y653" s="1367"/>
      <c r="Z653" s="1370">
        <v>0</v>
      </c>
      <c r="AA653" s="1370">
        <v>0</v>
      </c>
      <c r="AB653" s="1370">
        <v>0</v>
      </c>
      <c r="AC653" s="1370">
        <v>0</v>
      </c>
      <c r="AD653" s="1370">
        <v>0</v>
      </c>
      <c r="AK653" s="1354">
        <f t="shared" si="190"/>
        <v>0</v>
      </c>
      <c r="AL653" s="1352">
        <f t="shared" si="203"/>
        <v>53</v>
      </c>
      <c r="AM653" s="1354">
        <f t="shared" si="204"/>
        <v>0</v>
      </c>
      <c r="AN653" s="1352" t="str">
        <f t="shared" si="193"/>
        <v>Health Benefits Waiver Unclassified</v>
      </c>
    </row>
    <row r="654" spans="1:40" x14ac:dyDescent="0.2">
      <c r="A654" s="1324" t="s">
        <v>124</v>
      </c>
      <c r="B654" s="1324" t="s">
        <v>5671</v>
      </c>
      <c r="C654" s="1353">
        <f>'Key Metrics'!$C$227</f>
        <v>0</v>
      </c>
      <c r="D654" s="1353">
        <f>'Key Metrics'!$G$227</f>
        <v>0</v>
      </c>
      <c r="E654" s="1351">
        <f t="shared" si="194"/>
        <v>0</v>
      </c>
      <c r="F654" s="1353">
        <f t="shared" si="195"/>
        <v>0</v>
      </c>
      <c r="G654" s="1353">
        <f t="shared" si="196"/>
        <v>0</v>
      </c>
      <c r="H654" s="1353">
        <f t="shared" si="197"/>
        <v>0</v>
      </c>
      <c r="I654" s="1353">
        <f t="shared" si="198"/>
        <v>0</v>
      </c>
      <c r="J654" s="1353">
        <f t="shared" si="199"/>
        <v>0</v>
      </c>
      <c r="M654" s="1324" t="str">
        <f t="shared" si="200"/>
        <v>Unemployment Insurance (Inside CAPS or Statutory) Salaries &amp; Wages</v>
      </c>
      <c r="N654" s="1368">
        <f t="shared" si="201"/>
        <v>0</v>
      </c>
      <c r="O654" s="1368">
        <f t="shared" si="205"/>
        <v>0</v>
      </c>
      <c r="P654" s="1368">
        <f t="shared" si="205"/>
        <v>0</v>
      </c>
      <c r="Q654" s="1368">
        <f t="shared" si="205"/>
        <v>0</v>
      </c>
      <c r="R654" s="1368">
        <f t="shared" si="205"/>
        <v>0</v>
      </c>
      <c r="T654" s="1369">
        <v>0.02</v>
      </c>
      <c r="U654" s="1369">
        <v>0.02</v>
      </c>
      <c r="V654" s="1369">
        <v>0.02</v>
      </c>
      <c r="W654" s="1369">
        <v>0.02</v>
      </c>
      <c r="X654" s="1369">
        <v>0.02</v>
      </c>
      <c r="Y654" s="1367"/>
      <c r="Z654" s="1370">
        <v>0</v>
      </c>
      <c r="AA654" s="1370">
        <v>0</v>
      </c>
      <c r="AB654" s="1370">
        <v>0</v>
      </c>
      <c r="AC654" s="1370">
        <v>0</v>
      </c>
      <c r="AD654" s="1370">
        <v>0</v>
      </c>
      <c r="AK654" s="1354">
        <f t="shared" si="190"/>
        <v>0</v>
      </c>
      <c r="AL654" s="1352">
        <f t="shared" si="203"/>
        <v>53</v>
      </c>
      <c r="AM654" s="1354">
        <f t="shared" si="204"/>
        <v>0</v>
      </c>
      <c r="AN654" s="1352" t="str">
        <f t="shared" si="193"/>
        <v>Unemployment Insurance (Inside CAPS or Statutory) Salaries &amp; Wages</v>
      </c>
    </row>
    <row r="655" spans="1:40" x14ac:dyDescent="0.2">
      <c r="A655" s="1324" t="str">
        <f>A654</f>
        <v>23-225</v>
      </c>
      <c r="B655" s="1324" t="s">
        <v>6091</v>
      </c>
      <c r="C655" s="1353">
        <f>'Key Metrics'!$D$227</f>
        <v>0</v>
      </c>
      <c r="D655" s="1353">
        <f>'Key Metrics'!$H$227</f>
        <v>0</v>
      </c>
      <c r="E655" s="1351">
        <f t="shared" si="194"/>
        <v>0</v>
      </c>
      <c r="F655" s="1353">
        <f t="shared" si="195"/>
        <v>0</v>
      </c>
      <c r="G655" s="1353">
        <f t="shared" si="196"/>
        <v>0</v>
      </c>
      <c r="H655" s="1353">
        <f t="shared" si="197"/>
        <v>0</v>
      </c>
      <c r="I655" s="1353">
        <f t="shared" si="198"/>
        <v>0</v>
      </c>
      <c r="J655" s="1353">
        <f t="shared" si="199"/>
        <v>0</v>
      </c>
      <c r="M655" s="1324" t="str">
        <f t="shared" si="200"/>
        <v>Unemployment Insurance (Inside CAPS or Statutory) Other Expenses</v>
      </c>
      <c r="N655" s="1368">
        <f t="shared" si="201"/>
        <v>0</v>
      </c>
      <c r="O655" s="1368">
        <f t="shared" si="205"/>
        <v>0</v>
      </c>
      <c r="P655" s="1368">
        <f t="shared" si="205"/>
        <v>0</v>
      </c>
      <c r="Q655" s="1368">
        <f t="shared" si="205"/>
        <v>0</v>
      </c>
      <c r="R655" s="1368">
        <f t="shared" si="205"/>
        <v>0</v>
      </c>
      <c r="T655" s="1369">
        <v>0.02</v>
      </c>
      <c r="U655" s="1369">
        <v>0.02</v>
      </c>
      <c r="V655" s="1369">
        <v>0.02</v>
      </c>
      <c r="W655" s="1369">
        <v>0.02</v>
      </c>
      <c r="X655" s="1369">
        <v>0.02</v>
      </c>
      <c r="Y655" s="1367"/>
      <c r="Z655" s="1370">
        <v>0</v>
      </c>
      <c r="AA655" s="1370">
        <v>0</v>
      </c>
      <c r="AB655" s="1370">
        <v>0</v>
      </c>
      <c r="AC655" s="1370">
        <v>0</v>
      </c>
      <c r="AD655" s="1370">
        <v>0</v>
      </c>
      <c r="AK655" s="1354">
        <f t="shared" si="190"/>
        <v>0</v>
      </c>
      <c r="AL655" s="1352">
        <f t="shared" si="203"/>
        <v>53</v>
      </c>
      <c r="AM655" s="1354">
        <f t="shared" si="204"/>
        <v>0</v>
      </c>
      <c r="AN655" s="1352" t="str">
        <f t="shared" si="193"/>
        <v>Unemployment Insurance (Inside CAPS or Statutory) Other Expenses</v>
      </c>
    </row>
    <row r="656" spans="1:40" x14ac:dyDescent="0.2">
      <c r="A656" s="1324" t="str">
        <f>A655</f>
        <v>23-225</v>
      </c>
      <c r="B656" s="1324" t="s">
        <v>6092</v>
      </c>
      <c r="C656" s="1353">
        <f>'Key Metrics'!$E$227</f>
        <v>0</v>
      </c>
      <c r="D656" s="1353">
        <f>'Key Metrics'!$I$227</f>
        <v>0</v>
      </c>
      <c r="E656" s="1351">
        <f t="shared" si="194"/>
        <v>0</v>
      </c>
      <c r="F656" s="1353">
        <f t="shared" si="195"/>
        <v>0</v>
      </c>
      <c r="G656" s="1353">
        <f t="shared" si="196"/>
        <v>0</v>
      </c>
      <c r="H656" s="1353">
        <f t="shared" si="197"/>
        <v>0</v>
      </c>
      <c r="I656" s="1353">
        <f t="shared" si="198"/>
        <v>0</v>
      </c>
      <c r="J656" s="1353">
        <f t="shared" si="199"/>
        <v>0</v>
      </c>
      <c r="M656" s="1324" t="str">
        <f t="shared" si="200"/>
        <v>Unemployment Insurance (Inside CAPS or Statutory) Unclassified</v>
      </c>
      <c r="N656" s="1368">
        <f t="shared" si="201"/>
        <v>0</v>
      </c>
      <c r="O656" s="1368">
        <f t="shared" si="205"/>
        <v>0</v>
      </c>
      <c r="P656" s="1368">
        <f t="shared" si="205"/>
        <v>0</v>
      </c>
      <c r="Q656" s="1368">
        <f t="shared" si="205"/>
        <v>0</v>
      </c>
      <c r="R656" s="1368">
        <f t="shared" si="205"/>
        <v>0</v>
      </c>
      <c r="T656" s="1369">
        <v>0.02</v>
      </c>
      <c r="U656" s="1369">
        <v>0.02</v>
      </c>
      <c r="V656" s="1369">
        <v>0.02</v>
      </c>
      <c r="W656" s="1369">
        <v>0.02</v>
      </c>
      <c r="X656" s="1369">
        <v>0.02</v>
      </c>
      <c r="Y656" s="1367"/>
      <c r="Z656" s="1370">
        <v>0</v>
      </c>
      <c r="AA656" s="1370">
        <v>0</v>
      </c>
      <c r="AB656" s="1370">
        <v>0</v>
      </c>
      <c r="AC656" s="1370">
        <v>0</v>
      </c>
      <c r="AD656" s="1370">
        <v>0</v>
      </c>
      <c r="AK656" s="1354">
        <f t="shared" si="190"/>
        <v>0</v>
      </c>
      <c r="AL656" s="1352">
        <f t="shared" si="203"/>
        <v>53</v>
      </c>
      <c r="AM656" s="1354">
        <f t="shared" si="204"/>
        <v>0</v>
      </c>
      <c r="AN656" s="1352" t="str">
        <f t="shared" si="193"/>
        <v>Unemployment Insurance (Inside CAPS or Statutory) Unclassified</v>
      </c>
    </row>
    <row r="657" spans="1:40" x14ac:dyDescent="0.2">
      <c r="B657" s="1373" t="s">
        <v>5621</v>
      </c>
      <c r="C657" s="1360">
        <f>SUM(C636:C656)</f>
        <v>68257.440000000002</v>
      </c>
      <c r="D657" s="1360">
        <f>SUM(D636:D656)</f>
        <v>104974.51</v>
      </c>
      <c r="E657" s="1356">
        <f t="shared" si="194"/>
        <v>0.53792040838332045</v>
      </c>
      <c r="F657" s="1360">
        <f>SUM(F636:F656)</f>
        <v>107074.00019999999</v>
      </c>
      <c r="G657" s="1360">
        <f>SUM(G636:G656)</f>
        <v>109215.48020399999</v>
      </c>
      <c r="H657" s="1360">
        <f>SUM(H636:H656)</f>
        <v>111399.78980807999</v>
      </c>
      <c r="I657" s="1360">
        <f>SUM(I636:I656)</f>
        <v>113627.7856042416</v>
      </c>
      <c r="J657" s="1360">
        <f>SUM(J636:J656)</f>
        <v>115900.34131632643</v>
      </c>
      <c r="N657" s="1328"/>
      <c r="O657" s="1328"/>
      <c r="P657" s="1328"/>
      <c r="Q657" s="1328"/>
      <c r="R657" s="1328"/>
      <c r="T657" s="1371"/>
      <c r="U657" s="1371"/>
      <c r="V657" s="1371"/>
      <c r="W657" s="1371"/>
      <c r="X657" s="1371"/>
      <c r="Y657" s="1367"/>
      <c r="Z657" s="1372"/>
      <c r="AA657" s="1372"/>
      <c r="AB657" s="1372"/>
      <c r="AC657" s="1372"/>
      <c r="AD657" s="1372"/>
      <c r="AK657" s="1354"/>
      <c r="AL657" s="1352"/>
      <c r="AM657" s="1354"/>
      <c r="AN657" s="1352"/>
    </row>
    <row r="658" spans="1:40" x14ac:dyDescent="0.2">
      <c r="E658" s="1351"/>
      <c r="N658" s="1328"/>
      <c r="O658" s="1328"/>
      <c r="P658" s="1328"/>
      <c r="Q658" s="1328"/>
      <c r="R658" s="1328"/>
      <c r="T658" s="1371"/>
      <c r="U658" s="1371"/>
      <c r="V658" s="1371"/>
      <c r="W658" s="1371"/>
      <c r="X658" s="1371"/>
      <c r="Y658" s="1367"/>
      <c r="Z658" s="1372"/>
      <c r="AA658" s="1372"/>
      <c r="AB658" s="1372"/>
      <c r="AC658" s="1372"/>
      <c r="AD658" s="1372"/>
      <c r="AK658" s="1354"/>
      <c r="AL658" s="1352"/>
      <c r="AM658" s="1354"/>
      <c r="AN658" s="1352"/>
    </row>
    <row r="659" spans="1:40" ht="15" x14ac:dyDescent="0.25">
      <c r="A659" s="1364" t="s">
        <v>5442</v>
      </c>
      <c r="B659" s="1365"/>
      <c r="C659" s="1365"/>
      <c r="D659" s="1365"/>
      <c r="E659" s="1380"/>
      <c r="F659" s="1365"/>
      <c r="G659" s="1365"/>
      <c r="H659" s="1365"/>
      <c r="I659" s="1365"/>
      <c r="J659" s="1365"/>
      <c r="M659" s="1381" t="str">
        <f>A659</f>
        <v>Public Safety</v>
      </c>
      <c r="N659" s="1364"/>
      <c r="O659" s="1364"/>
      <c r="P659" s="1364"/>
      <c r="Q659" s="1364"/>
      <c r="R659" s="1364"/>
      <c r="S659" s="1365"/>
      <c r="T659" s="1389"/>
      <c r="U659" s="1389"/>
      <c r="V659" s="1389"/>
      <c r="W659" s="1389"/>
      <c r="X659" s="1389"/>
      <c r="Y659" s="1390"/>
      <c r="Z659" s="1391"/>
      <c r="AA659" s="1391"/>
      <c r="AB659" s="1391"/>
      <c r="AC659" s="1391"/>
      <c r="AD659" s="1391"/>
      <c r="AK659" s="1354"/>
      <c r="AL659" s="1352"/>
      <c r="AM659" s="1354"/>
      <c r="AN659" s="1352"/>
    </row>
    <row r="660" spans="1:40" x14ac:dyDescent="0.2">
      <c r="A660" s="1324" t="s">
        <v>5154</v>
      </c>
      <c r="B660" s="1324" t="s">
        <v>5672</v>
      </c>
      <c r="C660" s="1353">
        <f>'Key Metrics'!$C$231</f>
        <v>0</v>
      </c>
      <c r="D660" s="1353">
        <f>'Key Metrics'!$G$231</f>
        <v>0</v>
      </c>
      <c r="E660" s="1351">
        <f t="shared" ref="E660:E711" si="206">IFERROR(D660/C660-1,0)</f>
        <v>0</v>
      </c>
      <c r="F660" s="1353">
        <f t="shared" ref="F660:F691" si="207">IFERROR(IF($I$3=1,D660*(1+N660),IF($I$3=2,D660*(1+T660),IF($I$3=3,Z660,"--"))),0)</f>
        <v>0</v>
      </c>
      <c r="G660" s="1353">
        <f t="shared" ref="G660:G691" si="208">IFERROR(IF($I$3=1,F660*(1+O660),IF($I$3=2,F660*(1+U660),IF($I$3=3,AA660,"--"))),0)</f>
        <v>0</v>
      </c>
      <c r="H660" s="1353">
        <f t="shared" ref="H660:H691" si="209">IFERROR(IF($I$3=1,G660*(1+P660),IF($I$3=2,G660*(1+V660),IF($I$3=3,AB660,"--"))),0)</f>
        <v>0</v>
      </c>
      <c r="I660" s="1353">
        <f t="shared" ref="I660:I691" si="210">IFERROR(IF($I$3=1,H660*(1+Q660),IF($I$3=2,H660*(1+W660),IF($I$3=3,AC660,"--"))),0)</f>
        <v>0</v>
      </c>
      <c r="J660" s="1353">
        <f t="shared" ref="J660:J691" si="211">IFERROR(IF($I$3=1,I660*(1+R660),IF($I$3=2,I660*(1+X660),IF($I$3=3,AD660,"--"))),0)</f>
        <v>0</v>
      </c>
      <c r="M660" s="1324" t="str">
        <f t="shared" ref="M660:M710" si="212">B660</f>
        <v>Police Department Salaries &amp; Wages</v>
      </c>
      <c r="N660" s="1368">
        <f t="shared" ref="N660:N710" si="213">E660</f>
        <v>0</v>
      </c>
      <c r="O660" s="1368">
        <f t="shared" ref="O660:R675" si="214">N660</f>
        <v>0</v>
      </c>
      <c r="P660" s="1368">
        <f t="shared" si="214"/>
        <v>0</v>
      </c>
      <c r="Q660" s="1368">
        <f t="shared" si="214"/>
        <v>0</v>
      </c>
      <c r="R660" s="1368">
        <f t="shared" si="214"/>
        <v>0</v>
      </c>
      <c r="T660" s="1369">
        <v>0.02</v>
      </c>
      <c r="U660" s="1369">
        <v>0.02</v>
      </c>
      <c r="V660" s="1369">
        <v>0.02</v>
      </c>
      <c r="W660" s="1369">
        <v>0.02</v>
      </c>
      <c r="X660" s="1369">
        <v>0.02</v>
      </c>
      <c r="Y660" s="1367"/>
      <c r="Z660" s="1370">
        <v>0</v>
      </c>
      <c r="AA660" s="1370">
        <v>0</v>
      </c>
      <c r="AB660" s="1370">
        <v>0</v>
      </c>
      <c r="AC660" s="1370">
        <v>0</v>
      </c>
      <c r="AD660" s="1370">
        <v>0</v>
      </c>
      <c r="AK660" s="1354">
        <f t="shared" si="190"/>
        <v>0</v>
      </c>
      <c r="AL660" s="1352">
        <f t="shared" ref="AL660:AL691" si="215">RANK(AM660,$AM$504:$AM$1172,0)</f>
        <v>53</v>
      </c>
      <c r="AM660" s="1354">
        <f t="shared" si="204"/>
        <v>0</v>
      </c>
      <c r="AN660" s="1352" t="str">
        <f t="shared" si="193"/>
        <v>Police Department Salaries &amp; Wages</v>
      </c>
    </row>
    <row r="661" spans="1:40" x14ac:dyDescent="0.2">
      <c r="A661" s="1324" t="str">
        <f>A660</f>
        <v>25-240</v>
      </c>
      <c r="B661" s="1324" t="s">
        <v>5849</v>
      </c>
      <c r="C661" s="1353">
        <f>'Key Metrics'!$D$231</f>
        <v>0</v>
      </c>
      <c r="D661" s="1353">
        <f>'Key Metrics'!$H$231</f>
        <v>100</v>
      </c>
      <c r="E661" s="1351">
        <f t="shared" si="206"/>
        <v>0</v>
      </c>
      <c r="F661" s="1353">
        <f t="shared" si="207"/>
        <v>102</v>
      </c>
      <c r="G661" s="1353">
        <f t="shared" si="208"/>
        <v>104.04</v>
      </c>
      <c r="H661" s="1353">
        <f t="shared" si="209"/>
        <v>106.1208</v>
      </c>
      <c r="I661" s="1353">
        <f t="shared" si="210"/>
        <v>108.243216</v>
      </c>
      <c r="J661" s="1353">
        <f t="shared" si="211"/>
        <v>110.40808032000001</v>
      </c>
      <c r="M661" s="1324" t="str">
        <f t="shared" si="212"/>
        <v>Police Department Other Expenses</v>
      </c>
      <c r="N661" s="1368">
        <f t="shared" si="213"/>
        <v>0</v>
      </c>
      <c r="O661" s="1368">
        <f t="shared" si="214"/>
        <v>0</v>
      </c>
      <c r="P661" s="1368">
        <f t="shared" si="214"/>
        <v>0</v>
      </c>
      <c r="Q661" s="1368">
        <f t="shared" si="214"/>
        <v>0</v>
      </c>
      <c r="R661" s="1368">
        <f t="shared" si="214"/>
        <v>0</v>
      </c>
      <c r="T661" s="1369">
        <v>0.02</v>
      </c>
      <c r="U661" s="1369">
        <v>0.02</v>
      </c>
      <c r="V661" s="1369">
        <v>0.02</v>
      </c>
      <c r="W661" s="1369">
        <v>0.02</v>
      </c>
      <c r="X661" s="1369">
        <v>0.02</v>
      </c>
      <c r="Y661" s="1367"/>
      <c r="Z661" s="1370">
        <v>0</v>
      </c>
      <c r="AA661" s="1370">
        <v>0</v>
      </c>
      <c r="AB661" s="1370">
        <v>0</v>
      </c>
      <c r="AC661" s="1370">
        <v>0</v>
      </c>
      <c r="AD661" s="1370">
        <v>0</v>
      </c>
      <c r="AK661" s="1354">
        <f t="shared" si="190"/>
        <v>630.81209631999991</v>
      </c>
      <c r="AL661" s="1352">
        <f t="shared" si="215"/>
        <v>44</v>
      </c>
      <c r="AM661" s="1354">
        <f t="shared" si="204"/>
        <v>10.40808032000001</v>
      </c>
      <c r="AN661" s="1352" t="str">
        <f t="shared" si="193"/>
        <v>Police Department Other Expenses</v>
      </c>
    </row>
    <row r="662" spans="1:40" x14ac:dyDescent="0.2">
      <c r="A662" s="1324" t="str">
        <f>A661</f>
        <v>25-240</v>
      </c>
      <c r="B662" s="1324" t="s">
        <v>5850</v>
      </c>
      <c r="C662" s="1353">
        <f>'Key Metrics'!$E$231</f>
        <v>0</v>
      </c>
      <c r="D662" s="1353">
        <f>'Key Metrics'!$I$231</f>
        <v>0</v>
      </c>
      <c r="E662" s="1351">
        <f t="shared" si="206"/>
        <v>0</v>
      </c>
      <c r="F662" s="1353">
        <f t="shared" si="207"/>
        <v>0</v>
      </c>
      <c r="G662" s="1353">
        <f t="shared" si="208"/>
        <v>0</v>
      </c>
      <c r="H662" s="1353">
        <f t="shared" si="209"/>
        <v>0</v>
      </c>
      <c r="I662" s="1353">
        <f t="shared" si="210"/>
        <v>0</v>
      </c>
      <c r="J662" s="1353">
        <f t="shared" si="211"/>
        <v>0</v>
      </c>
      <c r="M662" s="1324" t="str">
        <f t="shared" si="212"/>
        <v>Police Department Unclassified</v>
      </c>
      <c r="N662" s="1368">
        <f t="shared" si="213"/>
        <v>0</v>
      </c>
      <c r="O662" s="1368">
        <f t="shared" si="214"/>
        <v>0</v>
      </c>
      <c r="P662" s="1368">
        <f t="shared" si="214"/>
        <v>0</v>
      </c>
      <c r="Q662" s="1368">
        <f t="shared" si="214"/>
        <v>0</v>
      </c>
      <c r="R662" s="1368">
        <f t="shared" si="214"/>
        <v>0</v>
      </c>
      <c r="T662" s="1369">
        <v>0.02</v>
      </c>
      <c r="U662" s="1369">
        <v>0.02</v>
      </c>
      <c r="V662" s="1369">
        <v>0.02</v>
      </c>
      <c r="W662" s="1369">
        <v>0.02</v>
      </c>
      <c r="X662" s="1369">
        <v>0.02</v>
      </c>
      <c r="Y662" s="1367"/>
      <c r="Z662" s="1370">
        <v>0</v>
      </c>
      <c r="AA662" s="1370">
        <v>0</v>
      </c>
      <c r="AB662" s="1370">
        <v>0</v>
      </c>
      <c r="AC662" s="1370">
        <v>0</v>
      </c>
      <c r="AD662" s="1370">
        <v>0</v>
      </c>
      <c r="AK662" s="1354">
        <f t="shared" si="190"/>
        <v>0</v>
      </c>
      <c r="AL662" s="1352">
        <f t="shared" si="215"/>
        <v>53</v>
      </c>
      <c r="AM662" s="1354">
        <f t="shared" si="204"/>
        <v>0</v>
      </c>
      <c r="AN662" s="1352" t="str">
        <f t="shared" si="193"/>
        <v>Police Department Unclassified</v>
      </c>
    </row>
    <row r="663" spans="1:40" x14ac:dyDescent="0.2">
      <c r="A663" s="1324" t="s">
        <v>5155</v>
      </c>
      <c r="B663" s="1324" t="s">
        <v>5673</v>
      </c>
      <c r="C663" s="1353">
        <f>'Key Metrics'!$C$233</f>
        <v>0</v>
      </c>
      <c r="D663" s="1353">
        <f>'Key Metrics'!$G$233</f>
        <v>0</v>
      </c>
      <c r="E663" s="1351">
        <f t="shared" si="206"/>
        <v>0</v>
      </c>
      <c r="F663" s="1353">
        <f t="shared" si="207"/>
        <v>0</v>
      </c>
      <c r="G663" s="1353">
        <f t="shared" si="208"/>
        <v>0</v>
      </c>
      <c r="H663" s="1353">
        <f t="shared" si="209"/>
        <v>0</v>
      </c>
      <c r="I663" s="1353">
        <f t="shared" si="210"/>
        <v>0</v>
      </c>
      <c r="J663" s="1353">
        <f t="shared" si="211"/>
        <v>0</v>
      </c>
      <c r="M663" s="1324" t="str">
        <f t="shared" si="212"/>
        <v>"User Defined" Public Safety Salaries &amp; Wages</v>
      </c>
      <c r="N663" s="1368">
        <f t="shared" si="213"/>
        <v>0</v>
      </c>
      <c r="O663" s="1368">
        <f t="shared" si="214"/>
        <v>0</v>
      </c>
      <c r="P663" s="1368">
        <f t="shared" si="214"/>
        <v>0</v>
      </c>
      <c r="Q663" s="1368">
        <f t="shared" si="214"/>
        <v>0</v>
      </c>
      <c r="R663" s="1368">
        <f t="shared" si="214"/>
        <v>0</v>
      </c>
      <c r="T663" s="1369">
        <v>0.02</v>
      </c>
      <c r="U663" s="1369">
        <v>0.02</v>
      </c>
      <c r="V663" s="1369">
        <v>0.02</v>
      </c>
      <c r="W663" s="1369">
        <v>0.02</v>
      </c>
      <c r="X663" s="1369">
        <v>0.02</v>
      </c>
      <c r="Y663" s="1367"/>
      <c r="Z663" s="1370">
        <v>0</v>
      </c>
      <c r="AA663" s="1370">
        <v>0</v>
      </c>
      <c r="AB663" s="1370">
        <v>0</v>
      </c>
      <c r="AC663" s="1370">
        <v>0</v>
      </c>
      <c r="AD663" s="1370">
        <v>0</v>
      </c>
      <c r="AK663" s="1354">
        <f t="shared" ref="AK663:AK726" si="216">SUM(C663:D663,F663:J663)</f>
        <v>0</v>
      </c>
      <c r="AL663" s="1352">
        <f t="shared" si="215"/>
        <v>53</v>
      </c>
      <c r="AM663" s="1354">
        <f t="shared" si="204"/>
        <v>0</v>
      </c>
      <c r="AN663" s="1352" t="str">
        <f t="shared" si="193"/>
        <v>"User Defined" Public Safety Salaries &amp; Wages</v>
      </c>
    </row>
    <row r="664" spans="1:40" x14ac:dyDescent="0.2">
      <c r="A664" s="1324" t="str">
        <f>A663</f>
        <v>25-241</v>
      </c>
      <c r="B664" s="1324" t="s">
        <v>5851</v>
      </c>
      <c r="C664" s="1353">
        <f>'Key Metrics'!$D$233</f>
        <v>0</v>
      </c>
      <c r="D664" s="1353">
        <f>'Key Metrics'!$H$233</f>
        <v>0</v>
      </c>
      <c r="E664" s="1351">
        <f t="shared" si="206"/>
        <v>0</v>
      </c>
      <c r="F664" s="1353">
        <f t="shared" si="207"/>
        <v>0</v>
      </c>
      <c r="G664" s="1353">
        <f t="shared" si="208"/>
        <v>0</v>
      </c>
      <c r="H664" s="1353">
        <f t="shared" si="209"/>
        <v>0</v>
      </c>
      <c r="I664" s="1353">
        <f t="shared" si="210"/>
        <v>0</v>
      </c>
      <c r="J664" s="1353">
        <f t="shared" si="211"/>
        <v>0</v>
      </c>
      <c r="M664" s="1324" t="str">
        <f t="shared" si="212"/>
        <v>"User Defined" Public Safety Other Expenses</v>
      </c>
      <c r="N664" s="1368">
        <f t="shared" si="213"/>
        <v>0</v>
      </c>
      <c r="O664" s="1368">
        <f t="shared" si="214"/>
        <v>0</v>
      </c>
      <c r="P664" s="1368">
        <f t="shared" si="214"/>
        <v>0</v>
      </c>
      <c r="Q664" s="1368">
        <f t="shared" si="214"/>
        <v>0</v>
      </c>
      <c r="R664" s="1368">
        <f t="shared" si="214"/>
        <v>0</v>
      </c>
      <c r="T664" s="1369">
        <v>0.02</v>
      </c>
      <c r="U664" s="1369">
        <v>0.02</v>
      </c>
      <c r="V664" s="1369">
        <v>0.02</v>
      </c>
      <c r="W664" s="1369">
        <v>0.02</v>
      </c>
      <c r="X664" s="1369">
        <v>0.02</v>
      </c>
      <c r="Y664" s="1367"/>
      <c r="Z664" s="1370">
        <v>0</v>
      </c>
      <c r="AA664" s="1370">
        <v>0</v>
      </c>
      <c r="AB664" s="1370">
        <v>0</v>
      </c>
      <c r="AC664" s="1370">
        <v>0</v>
      </c>
      <c r="AD664" s="1370">
        <v>0</v>
      </c>
      <c r="AK664" s="1354">
        <f t="shared" si="216"/>
        <v>0</v>
      </c>
      <c r="AL664" s="1352">
        <f t="shared" si="215"/>
        <v>53</v>
      </c>
      <c r="AM664" s="1354">
        <f t="shared" si="204"/>
        <v>0</v>
      </c>
      <c r="AN664" s="1352" t="str">
        <f t="shared" si="193"/>
        <v>"User Defined" Public Safety Other Expenses</v>
      </c>
    </row>
    <row r="665" spans="1:40" x14ac:dyDescent="0.2">
      <c r="A665" s="1324" t="str">
        <f>A664</f>
        <v>25-241</v>
      </c>
      <c r="B665" s="1324" t="s">
        <v>5852</v>
      </c>
      <c r="C665" s="1353">
        <f>'Key Metrics'!$E$233</f>
        <v>0</v>
      </c>
      <c r="D665" s="1353">
        <f>'Key Metrics'!$I$233</f>
        <v>0</v>
      </c>
      <c r="E665" s="1351">
        <f t="shared" si="206"/>
        <v>0</v>
      </c>
      <c r="F665" s="1353">
        <f t="shared" si="207"/>
        <v>0</v>
      </c>
      <c r="G665" s="1353">
        <f t="shared" si="208"/>
        <v>0</v>
      </c>
      <c r="H665" s="1353">
        <f t="shared" si="209"/>
        <v>0</v>
      </c>
      <c r="I665" s="1353">
        <f t="shared" si="210"/>
        <v>0</v>
      </c>
      <c r="J665" s="1353">
        <f t="shared" si="211"/>
        <v>0</v>
      </c>
      <c r="M665" s="1324" t="str">
        <f t="shared" si="212"/>
        <v>"User Defined" Public Safety Unclassified</v>
      </c>
      <c r="N665" s="1368">
        <f t="shared" si="213"/>
        <v>0</v>
      </c>
      <c r="O665" s="1368">
        <f t="shared" si="214"/>
        <v>0</v>
      </c>
      <c r="P665" s="1368">
        <f t="shared" si="214"/>
        <v>0</v>
      </c>
      <c r="Q665" s="1368">
        <f t="shared" si="214"/>
        <v>0</v>
      </c>
      <c r="R665" s="1368">
        <f t="shared" si="214"/>
        <v>0</v>
      </c>
      <c r="T665" s="1369">
        <v>0.02</v>
      </c>
      <c r="U665" s="1369">
        <v>0.02</v>
      </c>
      <c r="V665" s="1369">
        <v>0.02</v>
      </c>
      <c r="W665" s="1369">
        <v>0.02</v>
      </c>
      <c r="X665" s="1369">
        <v>0.02</v>
      </c>
      <c r="Y665" s="1367"/>
      <c r="Z665" s="1370">
        <v>0</v>
      </c>
      <c r="AA665" s="1370">
        <v>0</v>
      </c>
      <c r="AB665" s="1370">
        <v>0</v>
      </c>
      <c r="AC665" s="1370">
        <v>0</v>
      </c>
      <c r="AD665" s="1370">
        <v>0</v>
      </c>
      <c r="AK665" s="1354">
        <f t="shared" si="216"/>
        <v>0</v>
      </c>
      <c r="AL665" s="1352">
        <f t="shared" si="215"/>
        <v>53</v>
      </c>
      <c r="AM665" s="1354">
        <f t="shared" si="204"/>
        <v>0</v>
      </c>
      <c r="AN665" s="1352" t="str">
        <f t="shared" si="193"/>
        <v>"User Defined" Public Safety Unclassified</v>
      </c>
    </row>
    <row r="666" spans="1:40" x14ac:dyDescent="0.2">
      <c r="A666" s="1324" t="s">
        <v>5156</v>
      </c>
      <c r="B666" s="1324" t="s">
        <v>5673</v>
      </c>
      <c r="C666" s="1353">
        <f>'Key Metrics'!$C$234</f>
        <v>0</v>
      </c>
      <c r="D666" s="1353">
        <f>'Key Metrics'!$G$234</f>
        <v>0</v>
      </c>
      <c r="E666" s="1351">
        <f t="shared" si="206"/>
        <v>0</v>
      </c>
      <c r="F666" s="1353">
        <f t="shared" si="207"/>
        <v>0</v>
      </c>
      <c r="G666" s="1353">
        <f t="shared" si="208"/>
        <v>0</v>
      </c>
      <c r="H666" s="1353">
        <f t="shared" si="209"/>
        <v>0</v>
      </c>
      <c r="I666" s="1353">
        <f t="shared" si="210"/>
        <v>0</v>
      </c>
      <c r="J666" s="1353">
        <f t="shared" si="211"/>
        <v>0</v>
      </c>
      <c r="M666" s="1324" t="str">
        <f t="shared" si="212"/>
        <v>"User Defined" Public Safety Salaries &amp; Wages</v>
      </c>
      <c r="N666" s="1368">
        <f t="shared" si="213"/>
        <v>0</v>
      </c>
      <c r="O666" s="1368">
        <f t="shared" si="214"/>
        <v>0</v>
      </c>
      <c r="P666" s="1368">
        <f t="shared" si="214"/>
        <v>0</v>
      </c>
      <c r="Q666" s="1368">
        <f t="shared" si="214"/>
        <v>0</v>
      </c>
      <c r="R666" s="1368">
        <f t="shared" si="214"/>
        <v>0</v>
      </c>
      <c r="T666" s="1369">
        <v>0.02</v>
      </c>
      <c r="U666" s="1369">
        <v>0.02</v>
      </c>
      <c r="V666" s="1369">
        <v>0.02</v>
      </c>
      <c r="W666" s="1369">
        <v>0.02</v>
      </c>
      <c r="X666" s="1369">
        <v>0.02</v>
      </c>
      <c r="Y666" s="1367"/>
      <c r="Z666" s="1370">
        <v>0</v>
      </c>
      <c r="AA666" s="1370">
        <v>0</v>
      </c>
      <c r="AB666" s="1370">
        <v>0</v>
      </c>
      <c r="AC666" s="1370">
        <v>0</v>
      </c>
      <c r="AD666" s="1370">
        <v>0</v>
      </c>
      <c r="AK666" s="1354">
        <f t="shared" si="216"/>
        <v>0</v>
      </c>
      <c r="AL666" s="1352">
        <f t="shared" si="215"/>
        <v>53</v>
      </c>
      <c r="AM666" s="1354">
        <f t="shared" si="204"/>
        <v>0</v>
      </c>
      <c r="AN666" s="1352" t="str">
        <f t="shared" si="193"/>
        <v>"User Defined" Public Safety Salaries &amp; Wages</v>
      </c>
    </row>
    <row r="667" spans="1:40" x14ac:dyDescent="0.2">
      <c r="A667" s="1324" t="str">
        <f>A666</f>
        <v>25-242</v>
      </c>
      <c r="B667" s="1324" t="s">
        <v>5851</v>
      </c>
      <c r="C667" s="1353">
        <f>'Key Metrics'!$D$234</f>
        <v>0</v>
      </c>
      <c r="D667" s="1353">
        <f>'Key Metrics'!$H$234</f>
        <v>0</v>
      </c>
      <c r="E667" s="1351">
        <f t="shared" si="206"/>
        <v>0</v>
      </c>
      <c r="F667" s="1353">
        <f t="shared" si="207"/>
        <v>0</v>
      </c>
      <c r="G667" s="1353">
        <f t="shared" si="208"/>
        <v>0</v>
      </c>
      <c r="H667" s="1353">
        <f t="shared" si="209"/>
        <v>0</v>
      </c>
      <c r="I667" s="1353">
        <f t="shared" si="210"/>
        <v>0</v>
      </c>
      <c r="J667" s="1353">
        <f t="shared" si="211"/>
        <v>0</v>
      </c>
      <c r="M667" s="1324" t="str">
        <f t="shared" si="212"/>
        <v>"User Defined" Public Safety Other Expenses</v>
      </c>
      <c r="N667" s="1368">
        <f t="shared" si="213"/>
        <v>0</v>
      </c>
      <c r="O667" s="1368">
        <f t="shared" si="214"/>
        <v>0</v>
      </c>
      <c r="P667" s="1368">
        <f t="shared" si="214"/>
        <v>0</v>
      </c>
      <c r="Q667" s="1368">
        <f t="shared" si="214"/>
        <v>0</v>
      </c>
      <c r="R667" s="1368">
        <f t="shared" si="214"/>
        <v>0</v>
      </c>
      <c r="T667" s="1369">
        <v>0.02</v>
      </c>
      <c r="U667" s="1369">
        <v>0.02</v>
      </c>
      <c r="V667" s="1369">
        <v>0.02</v>
      </c>
      <c r="W667" s="1369">
        <v>0.02</v>
      </c>
      <c r="X667" s="1369">
        <v>0.02</v>
      </c>
      <c r="Y667" s="1367"/>
      <c r="Z667" s="1370">
        <v>0</v>
      </c>
      <c r="AA667" s="1370">
        <v>0</v>
      </c>
      <c r="AB667" s="1370">
        <v>0</v>
      </c>
      <c r="AC667" s="1370">
        <v>0</v>
      </c>
      <c r="AD667" s="1370">
        <v>0</v>
      </c>
      <c r="AK667" s="1354">
        <f t="shared" si="216"/>
        <v>0</v>
      </c>
      <c r="AL667" s="1352">
        <f t="shared" si="215"/>
        <v>53</v>
      </c>
      <c r="AM667" s="1354">
        <f t="shared" si="204"/>
        <v>0</v>
      </c>
      <c r="AN667" s="1352" t="str">
        <f t="shared" si="193"/>
        <v>"User Defined" Public Safety Other Expenses</v>
      </c>
    </row>
    <row r="668" spans="1:40" x14ac:dyDescent="0.2">
      <c r="A668" s="1324" t="str">
        <f>A667</f>
        <v>25-242</v>
      </c>
      <c r="B668" s="1324" t="s">
        <v>5852</v>
      </c>
      <c r="C668" s="1353">
        <f>'Key Metrics'!$E$234</f>
        <v>0</v>
      </c>
      <c r="D668" s="1353">
        <f>'Key Metrics'!$I$234</f>
        <v>0</v>
      </c>
      <c r="E668" s="1351">
        <f t="shared" si="206"/>
        <v>0</v>
      </c>
      <c r="F668" s="1353">
        <f t="shared" si="207"/>
        <v>0</v>
      </c>
      <c r="G668" s="1353">
        <f t="shared" si="208"/>
        <v>0</v>
      </c>
      <c r="H668" s="1353">
        <f t="shared" si="209"/>
        <v>0</v>
      </c>
      <c r="I668" s="1353">
        <f t="shared" si="210"/>
        <v>0</v>
      </c>
      <c r="J668" s="1353">
        <f t="shared" si="211"/>
        <v>0</v>
      </c>
      <c r="M668" s="1324" t="str">
        <f t="shared" si="212"/>
        <v>"User Defined" Public Safety Unclassified</v>
      </c>
      <c r="N668" s="1368">
        <f t="shared" si="213"/>
        <v>0</v>
      </c>
      <c r="O668" s="1368">
        <f t="shared" si="214"/>
        <v>0</v>
      </c>
      <c r="P668" s="1368">
        <f t="shared" si="214"/>
        <v>0</v>
      </c>
      <c r="Q668" s="1368">
        <f t="shared" si="214"/>
        <v>0</v>
      </c>
      <c r="R668" s="1368">
        <f t="shared" si="214"/>
        <v>0</v>
      </c>
      <c r="T668" s="1369">
        <v>0.02</v>
      </c>
      <c r="U668" s="1369">
        <v>0.02</v>
      </c>
      <c r="V668" s="1369">
        <v>0.02</v>
      </c>
      <c r="W668" s="1369">
        <v>0.02</v>
      </c>
      <c r="X668" s="1369">
        <v>0.02</v>
      </c>
      <c r="Y668" s="1367"/>
      <c r="Z668" s="1370">
        <v>0</v>
      </c>
      <c r="AA668" s="1370">
        <v>0</v>
      </c>
      <c r="AB668" s="1370">
        <v>0</v>
      </c>
      <c r="AC668" s="1370">
        <v>0</v>
      </c>
      <c r="AD668" s="1370">
        <v>0</v>
      </c>
      <c r="AK668" s="1354">
        <f t="shared" si="216"/>
        <v>0</v>
      </c>
      <c r="AL668" s="1352">
        <f t="shared" si="215"/>
        <v>53</v>
      </c>
      <c r="AM668" s="1354">
        <f t="shared" si="204"/>
        <v>0</v>
      </c>
      <c r="AN668" s="1352" t="str">
        <f t="shared" si="193"/>
        <v>"User Defined" Public Safety Unclassified</v>
      </c>
    </row>
    <row r="669" spans="1:40" x14ac:dyDescent="0.2">
      <c r="A669" s="1324" t="s">
        <v>5157</v>
      </c>
      <c r="B669" s="1324" t="s">
        <v>5673</v>
      </c>
      <c r="C669" s="1353">
        <f>'Key Metrics'!$C$235</f>
        <v>0</v>
      </c>
      <c r="D669" s="1353">
        <f>'Key Metrics'!$G$235</f>
        <v>0</v>
      </c>
      <c r="E669" s="1351">
        <f t="shared" si="206"/>
        <v>0</v>
      </c>
      <c r="F669" s="1353">
        <f t="shared" si="207"/>
        <v>0</v>
      </c>
      <c r="G669" s="1353">
        <f t="shared" si="208"/>
        <v>0</v>
      </c>
      <c r="H669" s="1353">
        <f t="shared" si="209"/>
        <v>0</v>
      </c>
      <c r="I669" s="1353">
        <f t="shared" si="210"/>
        <v>0</v>
      </c>
      <c r="J669" s="1353">
        <f t="shared" si="211"/>
        <v>0</v>
      </c>
      <c r="M669" s="1324" t="str">
        <f t="shared" si="212"/>
        <v>"User Defined" Public Safety Salaries &amp; Wages</v>
      </c>
      <c r="N669" s="1368">
        <f t="shared" si="213"/>
        <v>0</v>
      </c>
      <c r="O669" s="1368">
        <f t="shared" si="214"/>
        <v>0</v>
      </c>
      <c r="P669" s="1368">
        <f t="shared" si="214"/>
        <v>0</v>
      </c>
      <c r="Q669" s="1368">
        <f t="shared" si="214"/>
        <v>0</v>
      </c>
      <c r="R669" s="1368">
        <f t="shared" si="214"/>
        <v>0</v>
      </c>
      <c r="T669" s="1369">
        <v>0.02</v>
      </c>
      <c r="U669" s="1369">
        <v>0.02</v>
      </c>
      <c r="V669" s="1369">
        <v>0.02</v>
      </c>
      <c r="W669" s="1369">
        <v>0.02</v>
      </c>
      <c r="X669" s="1369">
        <v>0.02</v>
      </c>
      <c r="Y669" s="1367"/>
      <c r="Z669" s="1370">
        <v>0</v>
      </c>
      <c r="AA669" s="1370">
        <v>0</v>
      </c>
      <c r="AB669" s="1370">
        <v>0</v>
      </c>
      <c r="AC669" s="1370">
        <v>0</v>
      </c>
      <c r="AD669" s="1370">
        <v>0</v>
      </c>
      <c r="AK669" s="1354">
        <f t="shared" si="216"/>
        <v>0</v>
      </c>
      <c r="AL669" s="1352">
        <f t="shared" si="215"/>
        <v>53</v>
      </c>
      <c r="AM669" s="1354">
        <f t="shared" si="204"/>
        <v>0</v>
      </c>
      <c r="AN669" s="1352" t="str">
        <f t="shared" si="193"/>
        <v>"User Defined" Public Safety Salaries &amp; Wages</v>
      </c>
    </row>
    <row r="670" spans="1:40" x14ac:dyDescent="0.2">
      <c r="A670" s="1324" t="str">
        <f>A669</f>
        <v>25-243</v>
      </c>
      <c r="B670" s="1324" t="s">
        <v>5851</v>
      </c>
      <c r="C670" s="1353">
        <f>'Key Metrics'!$D$235</f>
        <v>0</v>
      </c>
      <c r="D670" s="1353">
        <f>'Key Metrics'!$H$235</f>
        <v>0</v>
      </c>
      <c r="E670" s="1351">
        <f t="shared" si="206"/>
        <v>0</v>
      </c>
      <c r="F670" s="1353">
        <f t="shared" si="207"/>
        <v>0</v>
      </c>
      <c r="G670" s="1353">
        <f t="shared" si="208"/>
        <v>0</v>
      </c>
      <c r="H670" s="1353">
        <f t="shared" si="209"/>
        <v>0</v>
      </c>
      <c r="I670" s="1353">
        <f t="shared" si="210"/>
        <v>0</v>
      </c>
      <c r="J670" s="1353">
        <f t="shared" si="211"/>
        <v>0</v>
      </c>
      <c r="M670" s="1324" t="str">
        <f t="shared" si="212"/>
        <v>"User Defined" Public Safety Other Expenses</v>
      </c>
      <c r="N670" s="1368">
        <f t="shared" si="213"/>
        <v>0</v>
      </c>
      <c r="O670" s="1368">
        <f t="shared" si="214"/>
        <v>0</v>
      </c>
      <c r="P670" s="1368">
        <f t="shared" si="214"/>
        <v>0</v>
      </c>
      <c r="Q670" s="1368">
        <f t="shared" si="214"/>
        <v>0</v>
      </c>
      <c r="R670" s="1368">
        <f t="shared" si="214"/>
        <v>0</v>
      </c>
      <c r="T670" s="1369">
        <v>0.02</v>
      </c>
      <c r="U670" s="1369">
        <v>0.02</v>
      </c>
      <c r="V670" s="1369">
        <v>0.02</v>
      </c>
      <c r="W670" s="1369">
        <v>0.02</v>
      </c>
      <c r="X670" s="1369">
        <v>0.02</v>
      </c>
      <c r="Y670" s="1367"/>
      <c r="Z670" s="1370">
        <v>0</v>
      </c>
      <c r="AA670" s="1370">
        <v>0</v>
      </c>
      <c r="AB670" s="1370">
        <v>0</v>
      </c>
      <c r="AC670" s="1370">
        <v>0</v>
      </c>
      <c r="AD670" s="1370">
        <v>0</v>
      </c>
      <c r="AK670" s="1354">
        <f t="shared" si="216"/>
        <v>0</v>
      </c>
      <c r="AL670" s="1352">
        <f t="shared" si="215"/>
        <v>53</v>
      </c>
      <c r="AM670" s="1354">
        <f t="shared" si="204"/>
        <v>0</v>
      </c>
      <c r="AN670" s="1352" t="str">
        <f t="shared" si="193"/>
        <v>"User Defined" Public Safety Other Expenses</v>
      </c>
    </row>
    <row r="671" spans="1:40" x14ac:dyDescent="0.2">
      <c r="A671" s="1324" t="str">
        <f>A670</f>
        <v>25-243</v>
      </c>
      <c r="B671" s="1324" t="s">
        <v>5852</v>
      </c>
      <c r="C671" s="1353">
        <f>'Key Metrics'!$E$235</f>
        <v>0</v>
      </c>
      <c r="D671" s="1353">
        <f>'Key Metrics'!$I$235</f>
        <v>0</v>
      </c>
      <c r="E671" s="1351">
        <f t="shared" si="206"/>
        <v>0</v>
      </c>
      <c r="F671" s="1353">
        <f t="shared" si="207"/>
        <v>0</v>
      </c>
      <c r="G671" s="1353">
        <f t="shared" si="208"/>
        <v>0</v>
      </c>
      <c r="H671" s="1353">
        <f t="shared" si="209"/>
        <v>0</v>
      </c>
      <c r="I671" s="1353">
        <f t="shared" si="210"/>
        <v>0</v>
      </c>
      <c r="J671" s="1353">
        <f t="shared" si="211"/>
        <v>0</v>
      </c>
      <c r="M671" s="1324" t="str">
        <f t="shared" si="212"/>
        <v>"User Defined" Public Safety Unclassified</v>
      </c>
      <c r="N671" s="1368">
        <f t="shared" si="213"/>
        <v>0</v>
      </c>
      <c r="O671" s="1368">
        <f t="shared" si="214"/>
        <v>0</v>
      </c>
      <c r="P671" s="1368">
        <f t="shared" si="214"/>
        <v>0</v>
      </c>
      <c r="Q671" s="1368">
        <f t="shared" si="214"/>
        <v>0</v>
      </c>
      <c r="R671" s="1368">
        <f t="shared" si="214"/>
        <v>0</v>
      </c>
      <c r="T671" s="1369">
        <v>0.02</v>
      </c>
      <c r="U671" s="1369">
        <v>0.02</v>
      </c>
      <c r="V671" s="1369">
        <v>0.02</v>
      </c>
      <c r="W671" s="1369">
        <v>0.02</v>
      </c>
      <c r="X671" s="1369">
        <v>0.02</v>
      </c>
      <c r="Y671" s="1367"/>
      <c r="Z671" s="1370">
        <v>0</v>
      </c>
      <c r="AA671" s="1370">
        <v>0</v>
      </c>
      <c r="AB671" s="1370">
        <v>0</v>
      </c>
      <c r="AC671" s="1370">
        <v>0</v>
      </c>
      <c r="AD671" s="1370">
        <v>0</v>
      </c>
      <c r="AK671" s="1354">
        <f t="shared" si="216"/>
        <v>0</v>
      </c>
      <c r="AL671" s="1352">
        <f t="shared" si="215"/>
        <v>53</v>
      </c>
      <c r="AM671" s="1354">
        <f t="shared" si="204"/>
        <v>0</v>
      </c>
      <c r="AN671" s="1352" t="str">
        <f t="shared" si="193"/>
        <v>"User Defined" Public Safety Unclassified</v>
      </c>
    </row>
    <row r="672" spans="1:40" x14ac:dyDescent="0.2">
      <c r="A672" s="1324" t="s">
        <v>5158</v>
      </c>
      <c r="B672" s="1324" t="s">
        <v>5673</v>
      </c>
      <c r="C672" s="1353">
        <f>'Key Metrics'!$C$236</f>
        <v>0</v>
      </c>
      <c r="D672" s="1353">
        <f>'Key Metrics'!$G$236</f>
        <v>0</v>
      </c>
      <c r="E672" s="1351">
        <f t="shared" si="206"/>
        <v>0</v>
      </c>
      <c r="F672" s="1353">
        <f t="shared" si="207"/>
        <v>0</v>
      </c>
      <c r="G672" s="1353">
        <f t="shared" si="208"/>
        <v>0</v>
      </c>
      <c r="H672" s="1353">
        <f t="shared" si="209"/>
        <v>0</v>
      </c>
      <c r="I672" s="1353">
        <f t="shared" si="210"/>
        <v>0</v>
      </c>
      <c r="J672" s="1353">
        <f t="shared" si="211"/>
        <v>0</v>
      </c>
      <c r="M672" s="1324" t="str">
        <f t="shared" si="212"/>
        <v>"User Defined" Public Safety Salaries &amp; Wages</v>
      </c>
      <c r="N672" s="1368">
        <f t="shared" si="213"/>
        <v>0</v>
      </c>
      <c r="O672" s="1368">
        <f t="shared" si="214"/>
        <v>0</v>
      </c>
      <c r="P672" s="1368">
        <f t="shared" si="214"/>
        <v>0</v>
      </c>
      <c r="Q672" s="1368">
        <f t="shared" si="214"/>
        <v>0</v>
      </c>
      <c r="R672" s="1368">
        <f t="shared" si="214"/>
        <v>0</v>
      </c>
      <c r="T672" s="1369">
        <v>0.02</v>
      </c>
      <c r="U672" s="1369">
        <v>0.02</v>
      </c>
      <c r="V672" s="1369">
        <v>0.02</v>
      </c>
      <c r="W672" s="1369">
        <v>0.02</v>
      </c>
      <c r="X672" s="1369">
        <v>0.02</v>
      </c>
      <c r="Y672" s="1367"/>
      <c r="Z672" s="1370">
        <v>0</v>
      </c>
      <c r="AA672" s="1370">
        <v>0</v>
      </c>
      <c r="AB672" s="1370">
        <v>0</v>
      </c>
      <c r="AC672" s="1370">
        <v>0</v>
      </c>
      <c r="AD672" s="1370">
        <v>0</v>
      </c>
      <c r="AK672" s="1354">
        <f t="shared" si="216"/>
        <v>0</v>
      </c>
      <c r="AL672" s="1352">
        <f t="shared" si="215"/>
        <v>53</v>
      </c>
      <c r="AM672" s="1354">
        <f t="shared" si="204"/>
        <v>0</v>
      </c>
      <c r="AN672" s="1352" t="str">
        <f t="shared" si="193"/>
        <v>"User Defined" Public Safety Salaries &amp; Wages</v>
      </c>
    </row>
    <row r="673" spans="1:40" x14ac:dyDescent="0.2">
      <c r="A673" s="1324" t="str">
        <f>A672</f>
        <v>25-244</v>
      </c>
      <c r="B673" s="1324" t="s">
        <v>5851</v>
      </c>
      <c r="C673" s="1353">
        <f>'Key Metrics'!$D$236</f>
        <v>0</v>
      </c>
      <c r="D673" s="1353">
        <f>'Key Metrics'!$H$236</f>
        <v>0</v>
      </c>
      <c r="E673" s="1351">
        <f t="shared" si="206"/>
        <v>0</v>
      </c>
      <c r="F673" s="1353">
        <f t="shared" si="207"/>
        <v>0</v>
      </c>
      <c r="G673" s="1353">
        <f t="shared" si="208"/>
        <v>0</v>
      </c>
      <c r="H673" s="1353">
        <f t="shared" si="209"/>
        <v>0</v>
      </c>
      <c r="I673" s="1353">
        <f t="shared" si="210"/>
        <v>0</v>
      </c>
      <c r="J673" s="1353">
        <f t="shared" si="211"/>
        <v>0</v>
      </c>
      <c r="M673" s="1324" t="str">
        <f t="shared" si="212"/>
        <v>"User Defined" Public Safety Other Expenses</v>
      </c>
      <c r="N673" s="1368">
        <f t="shared" si="213"/>
        <v>0</v>
      </c>
      <c r="O673" s="1368">
        <f t="shared" si="214"/>
        <v>0</v>
      </c>
      <c r="P673" s="1368">
        <f t="shared" si="214"/>
        <v>0</v>
      </c>
      <c r="Q673" s="1368">
        <f t="shared" si="214"/>
        <v>0</v>
      </c>
      <c r="R673" s="1368">
        <f t="shared" si="214"/>
        <v>0</v>
      </c>
      <c r="T673" s="1369">
        <v>0.02</v>
      </c>
      <c r="U673" s="1369">
        <v>0.02</v>
      </c>
      <c r="V673" s="1369">
        <v>0.02</v>
      </c>
      <c r="W673" s="1369">
        <v>0.02</v>
      </c>
      <c r="X673" s="1369">
        <v>0.02</v>
      </c>
      <c r="Y673" s="1367"/>
      <c r="Z673" s="1370">
        <v>0</v>
      </c>
      <c r="AA673" s="1370">
        <v>0</v>
      </c>
      <c r="AB673" s="1370">
        <v>0</v>
      </c>
      <c r="AC673" s="1370">
        <v>0</v>
      </c>
      <c r="AD673" s="1370">
        <v>0</v>
      </c>
      <c r="AK673" s="1354">
        <f t="shared" si="216"/>
        <v>0</v>
      </c>
      <c r="AL673" s="1352">
        <f t="shared" si="215"/>
        <v>53</v>
      </c>
      <c r="AM673" s="1354">
        <f t="shared" si="204"/>
        <v>0</v>
      </c>
      <c r="AN673" s="1352" t="str">
        <f t="shared" si="193"/>
        <v>"User Defined" Public Safety Other Expenses</v>
      </c>
    </row>
    <row r="674" spans="1:40" x14ac:dyDescent="0.2">
      <c r="A674" s="1324" t="str">
        <f>A673</f>
        <v>25-244</v>
      </c>
      <c r="B674" s="1324" t="s">
        <v>5852</v>
      </c>
      <c r="C674" s="1353">
        <f>'Key Metrics'!$E$236</f>
        <v>0</v>
      </c>
      <c r="D674" s="1353">
        <f>'Key Metrics'!$I$236</f>
        <v>0</v>
      </c>
      <c r="E674" s="1351">
        <f t="shared" si="206"/>
        <v>0</v>
      </c>
      <c r="F674" s="1353">
        <f t="shared" si="207"/>
        <v>0</v>
      </c>
      <c r="G674" s="1353">
        <f t="shared" si="208"/>
        <v>0</v>
      </c>
      <c r="H674" s="1353">
        <f t="shared" si="209"/>
        <v>0</v>
      </c>
      <c r="I674" s="1353">
        <f t="shared" si="210"/>
        <v>0</v>
      </c>
      <c r="J674" s="1353">
        <f t="shared" si="211"/>
        <v>0</v>
      </c>
      <c r="M674" s="1324" t="str">
        <f t="shared" si="212"/>
        <v>"User Defined" Public Safety Unclassified</v>
      </c>
      <c r="N674" s="1368">
        <f t="shared" si="213"/>
        <v>0</v>
      </c>
      <c r="O674" s="1368">
        <f t="shared" si="214"/>
        <v>0</v>
      </c>
      <c r="P674" s="1368">
        <f t="shared" si="214"/>
        <v>0</v>
      </c>
      <c r="Q674" s="1368">
        <f t="shared" si="214"/>
        <v>0</v>
      </c>
      <c r="R674" s="1368">
        <f t="shared" si="214"/>
        <v>0</v>
      </c>
      <c r="T674" s="1369">
        <v>0.02</v>
      </c>
      <c r="U674" s="1369">
        <v>0.02</v>
      </c>
      <c r="V674" s="1369">
        <v>0.02</v>
      </c>
      <c r="W674" s="1369">
        <v>0.02</v>
      </c>
      <c r="X674" s="1369">
        <v>0.02</v>
      </c>
      <c r="Y674" s="1367"/>
      <c r="Z674" s="1370">
        <v>0</v>
      </c>
      <c r="AA674" s="1370">
        <v>0</v>
      </c>
      <c r="AB674" s="1370">
        <v>0</v>
      </c>
      <c r="AC674" s="1370">
        <v>0</v>
      </c>
      <c r="AD674" s="1370">
        <v>0</v>
      </c>
      <c r="AK674" s="1354">
        <f t="shared" si="216"/>
        <v>0</v>
      </c>
      <c r="AL674" s="1352">
        <f t="shared" si="215"/>
        <v>53</v>
      </c>
      <c r="AM674" s="1354">
        <f t="shared" si="204"/>
        <v>0</v>
      </c>
      <c r="AN674" s="1352" t="str">
        <f t="shared" si="193"/>
        <v>"User Defined" Public Safety Unclassified</v>
      </c>
    </row>
    <row r="675" spans="1:40" x14ac:dyDescent="0.2">
      <c r="A675" s="1324" t="s">
        <v>5159</v>
      </c>
      <c r="B675" s="1324" t="s">
        <v>5673</v>
      </c>
      <c r="C675" s="1353">
        <f>'Key Metrics'!$C$237</f>
        <v>0</v>
      </c>
      <c r="D675" s="1353">
        <f>'Key Metrics'!$G$237</f>
        <v>0</v>
      </c>
      <c r="E675" s="1351">
        <f t="shared" si="206"/>
        <v>0</v>
      </c>
      <c r="F675" s="1353">
        <f t="shared" si="207"/>
        <v>0</v>
      </c>
      <c r="G675" s="1353">
        <f t="shared" si="208"/>
        <v>0</v>
      </c>
      <c r="H675" s="1353">
        <f t="shared" si="209"/>
        <v>0</v>
      </c>
      <c r="I675" s="1353">
        <f t="shared" si="210"/>
        <v>0</v>
      </c>
      <c r="J675" s="1353">
        <f t="shared" si="211"/>
        <v>0</v>
      </c>
      <c r="M675" s="1324" t="str">
        <f t="shared" si="212"/>
        <v>"User Defined" Public Safety Salaries &amp; Wages</v>
      </c>
      <c r="N675" s="1368">
        <f t="shared" si="213"/>
        <v>0</v>
      </c>
      <c r="O675" s="1368">
        <f t="shared" si="214"/>
        <v>0</v>
      </c>
      <c r="P675" s="1368">
        <f t="shared" si="214"/>
        <v>0</v>
      </c>
      <c r="Q675" s="1368">
        <f t="shared" si="214"/>
        <v>0</v>
      </c>
      <c r="R675" s="1368">
        <f t="shared" si="214"/>
        <v>0</v>
      </c>
      <c r="T675" s="1369">
        <v>0.02</v>
      </c>
      <c r="U675" s="1369">
        <v>0.02</v>
      </c>
      <c r="V675" s="1369">
        <v>0.02</v>
      </c>
      <c r="W675" s="1369">
        <v>0.02</v>
      </c>
      <c r="X675" s="1369">
        <v>0.02</v>
      </c>
      <c r="Y675" s="1367"/>
      <c r="Z675" s="1370">
        <v>0</v>
      </c>
      <c r="AA675" s="1370">
        <v>0</v>
      </c>
      <c r="AB675" s="1370">
        <v>0</v>
      </c>
      <c r="AC675" s="1370">
        <v>0</v>
      </c>
      <c r="AD675" s="1370">
        <v>0</v>
      </c>
      <c r="AK675" s="1354">
        <f t="shared" si="216"/>
        <v>0</v>
      </c>
      <c r="AL675" s="1352">
        <f t="shared" si="215"/>
        <v>53</v>
      </c>
      <c r="AM675" s="1354">
        <f t="shared" si="204"/>
        <v>0</v>
      </c>
      <c r="AN675" s="1352" t="str">
        <f t="shared" si="193"/>
        <v>"User Defined" Public Safety Salaries &amp; Wages</v>
      </c>
    </row>
    <row r="676" spans="1:40" x14ac:dyDescent="0.2">
      <c r="A676" s="1324" t="str">
        <f>A675</f>
        <v>25-245</v>
      </c>
      <c r="B676" s="1324" t="s">
        <v>5851</v>
      </c>
      <c r="C676" s="1353">
        <f>'Key Metrics'!$D$237</f>
        <v>0</v>
      </c>
      <c r="D676" s="1353">
        <f>'Key Metrics'!$H$237</f>
        <v>0</v>
      </c>
      <c r="E676" s="1351">
        <f t="shared" si="206"/>
        <v>0</v>
      </c>
      <c r="F676" s="1353">
        <f t="shared" si="207"/>
        <v>0</v>
      </c>
      <c r="G676" s="1353">
        <f t="shared" si="208"/>
        <v>0</v>
      </c>
      <c r="H676" s="1353">
        <f t="shared" si="209"/>
        <v>0</v>
      </c>
      <c r="I676" s="1353">
        <f t="shared" si="210"/>
        <v>0</v>
      </c>
      <c r="J676" s="1353">
        <f t="shared" si="211"/>
        <v>0</v>
      </c>
      <c r="M676" s="1324" t="str">
        <f t="shared" si="212"/>
        <v>"User Defined" Public Safety Other Expenses</v>
      </c>
      <c r="N676" s="1368">
        <f t="shared" si="213"/>
        <v>0</v>
      </c>
      <c r="O676" s="1368">
        <f t="shared" ref="O676:R691" si="217">N676</f>
        <v>0</v>
      </c>
      <c r="P676" s="1368">
        <f t="shared" si="217"/>
        <v>0</v>
      </c>
      <c r="Q676" s="1368">
        <f t="shared" si="217"/>
        <v>0</v>
      </c>
      <c r="R676" s="1368">
        <f t="shared" si="217"/>
        <v>0</v>
      </c>
      <c r="T676" s="1369">
        <v>0.02</v>
      </c>
      <c r="U676" s="1369">
        <v>0.02</v>
      </c>
      <c r="V676" s="1369">
        <v>0.02</v>
      </c>
      <c r="W676" s="1369">
        <v>0.02</v>
      </c>
      <c r="X676" s="1369">
        <v>0.02</v>
      </c>
      <c r="Y676" s="1367"/>
      <c r="Z676" s="1370">
        <v>0</v>
      </c>
      <c r="AA676" s="1370">
        <v>0</v>
      </c>
      <c r="AB676" s="1370">
        <v>0</v>
      </c>
      <c r="AC676" s="1370">
        <v>0</v>
      </c>
      <c r="AD676" s="1370">
        <v>0</v>
      </c>
      <c r="AK676" s="1354">
        <f t="shared" si="216"/>
        <v>0</v>
      </c>
      <c r="AL676" s="1352">
        <f t="shared" si="215"/>
        <v>53</v>
      </c>
      <c r="AM676" s="1354">
        <f t="shared" si="204"/>
        <v>0</v>
      </c>
      <c r="AN676" s="1352" t="str">
        <f t="shared" si="193"/>
        <v>"User Defined" Public Safety Other Expenses</v>
      </c>
    </row>
    <row r="677" spans="1:40" x14ac:dyDescent="0.2">
      <c r="A677" s="1324" t="str">
        <f>A676</f>
        <v>25-245</v>
      </c>
      <c r="B677" s="1324" t="s">
        <v>5852</v>
      </c>
      <c r="C677" s="1353">
        <f>'Key Metrics'!$E$237</f>
        <v>0</v>
      </c>
      <c r="D677" s="1353">
        <f>'Key Metrics'!$I$237</f>
        <v>0</v>
      </c>
      <c r="E677" s="1351">
        <f t="shared" si="206"/>
        <v>0</v>
      </c>
      <c r="F677" s="1353">
        <f t="shared" si="207"/>
        <v>0</v>
      </c>
      <c r="G677" s="1353">
        <f t="shared" si="208"/>
        <v>0</v>
      </c>
      <c r="H677" s="1353">
        <f t="shared" si="209"/>
        <v>0</v>
      </c>
      <c r="I677" s="1353">
        <f t="shared" si="210"/>
        <v>0</v>
      </c>
      <c r="J677" s="1353">
        <f t="shared" si="211"/>
        <v>0</v>
      </c>
      <c r="M677" s="1324" t="str">
        <f t="shared" si="212"/>
        <v>"User Defined" Public Safety Unclassified</v>
      </c>
      <c r="N677" s="1368">
        <f t="shared" si="213"/>
        <v>0</v>
      </c>
      <c r="O677" s="1368">
        <f t="shared" si="217"/>
        <v>0</v>
      </c>
      <c r="P677" s="1368">
        <f t="shared" si="217"/>
        <v>0</v>
      </c>
      <c r="Q677" s="1368">
        <f t="shared" si="217"/>
        <v>0</v>
      </c>
      <c r="R677" s="1368">
        <f t="shared" si="217"/>
        <v>0</v>
      </c>
      <c r="T677" s="1369">
        <v>0.02</v>
      </c>
      <c r="U677" s="1369">
        <v>0.02</v>
      </c>
      <c r="V677" s="1369">
        <v>0.02</v>
      </c>
      <c r="W677" s="1369">
        <v>0.02</v>
      </c>
      <c r="X677" s="1369">
        <v>0.02</v>
      </c>
      <c r="Y677" s="1367"/>
      <c r="Z677" s="1370">
        <v>0</v>
      </c>
      <c r="AA677" s="1370">
        <v>0</v>
      </c>
      <c r="AB677" s="1370">
        <v>0</v>
      </c>
      <c r="AC677" s="1370">
        <v>0</v>
      </c>
      <c r="AD677" s="1370">
        <v>0</v>
      </c>
      <c r="AK677" s="1354">
        <f t="shared" si="216"/>
        <v>0</v>
      </c>
      <c r="AL677" s="1352">
        <f t="shared" si="215"/>
        <v>53</v>
      </c>
      <c r="AM677" s="1354">
        <f t="shared" si="204"/>
        <v>0</v>
      </c>
      <c r="AN677" s="1352" t="str">
        <f t="shared" si="193"/>
        <v>"User Defined" Public Safety Unclassified</v>
      </c>
    </row>
    <row r="678" spans="1:40" x14ac:dyDescent="0.2">
      <c r="A678" s="1324" t="s">
        <v>5160</v>
      </c>
      <c r="B678" s="1324" t="s">
        <v>5674</v>
      </c>
      <c r="C678" s="1353">
        <f>'Key Metrics'!$C$238</f>
        <v>0</v>
      </c>
      <c r="D678" s="1353">
        <f>'Key Metrics'!$G$238</f>
        <v>0</v>
      </c>
      <c r="E678" s="1351">
        <f t="shared" si="206"/>
        <v>0</v>
      </c>
      <c r="F678" s="1353">
        <f t="shared" si="207"/>
        <v>0</v>
      </c>
      <c r="G678" s="1353">
        <f t="shared" si="208"/>
        <v>0</v>
      </c>
      <c r="H678" s="1353">
        <f t="shared" si="209"/>
        <v>0</v>
      </c>
      <c r="I678" s="1353">
        <f t="shared" si="210"/>
        <v>0</v>
      </c>
      <c r="J678" s="1353">
        <f t="shared" si="211"/>
        <v>0</v>
      </c>
      <c r="M678" s="1324" t="str">
        <f t="shared" si="212"/>
        <v>Police Dispatch/911 (Inside CAP) Salaries &amp; Wages</v>
      </c>
      <c r="N678" s="1368">
        <f t="shared" si="213"/>
        <v>0</v>
      </c>
      <c r="O678" s="1368">
        <f t="shared" si="217"/>
        <v>0</v>
      </c>
      <c r="P678" s="1368">
        <f t="shared" si="217"/>
        <v>0</v>
      </c>
      <c r="Q678" s="1368">
        <f t="shared" si="217"/>
        <v>0</v>
      </c>
      <c r="R678" s="1368">
        <f t="shared" si="217"/>
        <v>0</v>
      </c>
      <c r="T678" s="1369">
        <v>0.02</v>
      </c>
      <c r="U678" s="1369">
        <v>0.02</v>
      </c>
      <c r="V678" s="1369">
        <v>0.02</v>
      </c>
      <c r="W678" s="1369">
        <v>0.02</v>
      </c>
      <c r="X678" s="1369">
        <v>0.02</v>
      </c>
      <c r="Y678" s="1367"/>
      <c r="Z678" s="1370">
        <v>0</v>
      </c>
      <c r="AA678" s="1370">
        <v>0</v>
      </c>
      <c r="AB678" s="1370">
        <v>0</v>
      </c>
      <c r="AC678" s="1370">
        <v>0</v>
      </c>
      <c r="AD678" s="1370">
        <v>0</v>
      </c>
      <c r="AK678" s="1354">
        <f t="shared" si="216"/>
        <v>0</v>
      </c>
      <c r="AL678" s="1352">
        <f t="shared" si="215"/>
        <v>53</v>
      </c>
      <c r="AM678" s="1354">
        <f t="shared" si="204"/>
        <v>0</v>
      </c>
      <c r="AN678" s="1352" t="str">
        <f t="shared" si="193"/>
        <v>Police Dispatch/911 (Inside CAP) Salaries &amp; Wages</v>
      </c>
    </row>
    <row r="679" spans="1:40" x14ac:dyDescent="0.2">
      <c r="A679" s="1324" t="str">
        <f>A678</f>
        <v>25-250</v>
      </c>
      <c r="B679" s="1324" t="s">
        <v>5853</v>
      </c>
      <c r="C679" s="1353">
        <f>'Key Metrics'!$D$238</f>
        <v>0</v>
      </c>
      <c r="D679" s="1353">
        <f>'Key Metrics'!$H$238</f>
        <v>0</v>
      </c>
      <c r="E679" s="1351">
        <f t="shared" si="206"/>
        <v>0</v>
      </c>
      <c r="F679" s="1353">
        <f t="shared" si="207"/>
        <v>0</v>
      </c>
      <c r="G679" s="1353">
        <f t="shared" si="208"/>
        <v>0</v>
      </c>
      <c r="H679" s="1353">
        <f t="shared" si="209"/>
        <v>0</v>
      </c>
      <c r="I679" s="1353">
        <f t="shared" si="210"/>
        <v>0</v>
      </c>
      <c r="J679" s="1353">
        <f t="shared" si="211"/>
        <v>0</v>
      </c>
      <c r="M679" s="1324" t="str">
        <f t="shared" si="212"/>
        <v>Police Dispatch/911 (Inside CAP) Other Expenses</v>
      </c>
      <c r="N679" s="1368">
        <f t="shared" si="213"/>
        <v>0</v>
      </c>
      <c r="O679" s="1368">
        <f t="shared" si="217"/>
        <v>0</v>
      </c>
      <c r="P679" s="1368">
        <f t="shared" si="217"/>
        <v>0</v>
      </c>
      <c r="Q679" s="1368">
        <f t="shared" si="217"/>
        <v>0</v>
      </c>
      <c r="R679" s="1368">
        <f t="shared" si="217"/>
        <v>0</v>
      </c>
      <c r="T679" s="1369">
        <v>0.02</v>
      </c>
      <c r="U679" s="1369">
        <v>0.02</v>
      </c>
      <c r="V679" s="1369">
        <v>0.02</v>
      </c>
      <c r="W679" s="1369">
        <v>0.02</v>
      </c>
      <c r="X679" s="1369">
        <v>0.02</v>
      </c>
      <c r="Y679" s="1367"/>
      <c r="Z679" s="1370">
        <v>0</v>
      </c>
      <c r="AA679" s="1370">
        <v>0</v>
      </c>
      <c r="AB679" s="1370">
        <v>0</v>
      </c>
      <c r="AC679" s="1370">
        <v>0</v>
      </c>
      <c r="AD679" s="1370">
        <v>0</v>
      </c>
      <c r="AK679" s="1354">
        <f t="shared" si="216"/>
        <v>0</v>
      </c>
      <c r="AL679" s="1352">
        <f t="shared" si="215"/>
        <v>53</v>
      </c>
      <c r="AM679" s="1354">
        <f t="shared" si="204"/>
        <v>0</v>
      </c>
      <c r="AN679" s="1352" t="str">
        <f t="shared" si="193"/>
        <v>Police Dispatch/911 (Inside CAP) Other Expenses</v>
      </c>
    </row>
    <row r="680" spans="1:40" x14ac:dyDescent="0.2">
      <c r="A680" s="1324" t="str">
        <f>A679</f>
        <v>25-250</v>
      </c>
      <c r="B680" s="1324" t="s">
        <v>5854</v>
      </c>
      <c r="C680" s="1353">
        <f>'Key Metrics'!$E$238</f>
        <v>0</v>
      </c>
      <c r="D680" s="1353">
        <f>'Key Metrics'!$I$238</f>
        <v>0</v>
      </c>
      <c r="E680" s="1351">
        <f t="shared" si="206"/>
        <v>0</v>
      </c>
      <c r="F680" s="1353">
        <f t="shared" si="207"/>
        <v>0</v>
      </c>
      <c r="G680" s="1353">
        <f t="shared" si="208"/>
        <v>0</v>
      </c>
      <c r="H680" s="1353">
        <f t="shared" si="209"/>
        <v>0</v>
      </c>
      <c r="I680" s="1353">
        <f t="shared" si="210"/>
        <v>0</v>
      </c>
      <c r="J680" s="1353">
        <f t="shared" si="211"/>
        <v>0</v>
      </c>
      <c r="M680" s="1324" t="str">
        <f t="shared" si="212"/>
        <v>Police Dispatch/911 (Inside CAP) Unclassified</v>
      </c>
      <c r="N680" s="1368">
        <f t="shared" si="213"/>
        <v>0</v>
      </c>
      <c r="O680" s="1368">
        <f t="shared" si="217"/>
        <v>0</v>
      </c>
      <c r="P680" s="1368">
        <f t="shared" si="217"/>
        <v>0</v>
      </c>
      <c r="Q680" s="1368">
        <f t="shared" si="217"/>
        <v>0</v>
      </c>
      <c r="R680" s="1368">
        <f t="shared" si="217"/>
        <v>0</v>
      </c>
      <c r="T680" s="1369">
        <v>0.02</v>
      </c>
      <c r="U680" s="1369">
        <v>0.02</v>
      </c>
      <c r="V680" s="1369">
        <v>0.02</v>
      </c>
      <c r="W680" s="1369">
        <v>0.02</v>
      </c>
      <c r="X680" s="1369">
        <v>0.02</v>
      </c>
      <c r="Y680" s="1367"/>
      <c r="Z680" s="1370">
        <v>0</v>
      </c>
      <c r="AA680" s="1370">
        <v>0</v>
      </c>
      <c r="AB680" s="1370">
        <v>0</v>
      </c>
      <c r="AC680" s="1370">
        <v>0</v>
      </c>
      <c r="AD680" s="1370">
        <v>0</v>
      </c>
      <c r="AK680" s="1354">
        <f t="shared" si="216"/>
        <v>0</v>
      </c>
      <c r="AL680" s="1352">
        <f t="shared" si="215"/>
        <v>53</v>
      </c>
      <c r="AM680" s="1354">
        <f t="shared" si="204"/>
        <v>0</v>
      </c>
      <c r="AN680" s="1352" t="str">
        <f t="shared" si="193"/>
        <v>Police Dispatch/911 (Inside CAP) Unclassified</v>
      </c>
    </row>
    <row r="681" spans="1:40" x14ac:dyDescent="0.2">
      <c r="A681" s="1324" t="s">
        <v>5089</v>
      </c>
      <c r="B681" s="1324" t="s">
        <v>5675</v>
      </c>
      <c r="C681" s="1353">
        <f>'Key Metrics'!$C$239</f>
        <v>0</v>
      </c>
      <c r="D681" s="1353">
        <f>'Key Metrics'!$G$239</f>
        <v>0</v>
      </c>
      <c r="E681" s="1351">
        <f t="shared" si="206"/>
        <v>0</v>
      </c>
      <c r="F681" s="1353">
        <f t="shared" si="207"/>
        <v>0</v>
      </c>
      <c r="G681" s="1353">
        <f t="shared" si="208"/>
        <v>0</v>
      </c>
      <c r="H681" s="1353">
        <f t="shared" si="209"/>
        <v>0</v>
      </c>
      <c r="I681" s="1353">
        <f t="shared" si="210"/>
        <v>0</v>
      </c>
      <c r="J681" s="1353">
        <f t="shared" si="211"/>
        <v>0</v>
      </c>
      <c r="M681" s="1324" t="str">
        <f t="shared" si="212"/>
        <v>Police Dispatch/911 (Outside CAP) Salaries &amp; Wages</v>
      </c>
      <c r="N681" s="1368">
        <f t="shared" si="213"/>
        <v>0</v>
      </c>
      <c r="O681" s="1368">
        <f t="shared" si="217"/>
        <v>0</v>
      </c>
      <c r="P681" s="1368">
        <f t="shared" si="217"/>
        <v>0</v>
      </c>
      <c r="Q681" s="1368">
        <f t="shared" si="217"/>
        <v>0</v>
      </c>
      <c r="R681" s="1368">
        <f t="shared" si="217"/>
        <v>0</v>
      </c>
      <c r="T681" s="1369">
        <v>0.02</v>
      </c>
      <c r="U681" s="1369">
        <v>0.02</v>
      </c>
      <c r="V681" s="1369">
        <v>0.02</v>
      </c>
      <c r="W681" s="1369">
        <v>0.02</v>
      </c>
      <c r="X681" s="1369">
        <v>0.02</v>
      </c>
      <c r="Y681" s="1367"/>
      <c r="Z681" s="1370">
        <v>0</v>
      </c>
      <c r="AA681" s="1370">
        <v>0</v>
      </c>
      <c r="AB681" s="1370">
        <v>0</v>
      </c>
      <c r="AC681" s="1370">
        <v>0</v>
      </c>
      <c r="AD681" s="1370">
        <v>0</v>
      </c>
      <c r="AK681" s="1354">
        <f t="shared" si="216"/>
        <v>0</v>
      </c>
      <c r="AL681" s="1352">
        <f t="shared" si="215"/>
        <v>53</v>
      </c>
      <c r="AM681" s="1354">
        <f t="shared" si="204"/>
        <v>0</v>
      </c>
      <c r="AN681" s="1352" t="str">
        <f t="shared" si="193"/>
        <v>Police Dispatch/911 (Outside CAP) Salaries &amp; Wages</v>
      </c>
    </row>
    <row r="682" spans="1:40" x14ac:dyDescent="0.2">
      <c r="A682" s="1324" t="str">
        <f>A681</f>
        <v>25-251</v>
      </c>
      <c r="B682" s="1324" t="s">
        <v>5855</v>
      </c>
      <c r="C682" s="1353">
        <f>'Key Metrics'!$D$239</f>
        <v>0</v>
      </c>
      <c r="D682" s="1353">
        <f>'Key Metrics'!$H$239</f>
        <v>0</v>
      </c>
      <c r="E682" s="1351">
        <f t="shared" si="206"/>
        <v>0</v>
      </c>
      <c r="F682" s="1353">
        <f t="shared" si="207"/>
        <v>0</v>
      </c>
      <c r="G682" s="1353">
        <f t="shared" si="208"/>
        <v>0</v>
      </c>
      <c r="H682" s="1353">
        <f t="shared" si="209"/>
        <v>0</v>
      </c>
      <c r="I682" s="1353">
        <f t="shared" si="210"/>
        <v>0</v>
      </c>
      <c r="J682" s="1353">
        <f t="shared" si="211"/>
        <v>0</v>
      </c>
      <c r="M682" s="1324" t="str">
        <f t="shared" si="212"/>
        <v>Police Dispatch/911 (Outside CAP) Other Expenses</v>
      </c>
      <c r="N682" s="1368">
        <f t="shared" si="213"/>
        <v>0</v>
      </c>
      <c r="O682" s="1368">
        <f t="shared" si="217"/>
        <v>0</v>
      </c>
      <c r="P682" s="1368">
        <f t="shared" si="217"/>
        <v>0</v>
      </c>
      <c r="Q682" s="1368">
        <f t="shared" si="217"/>
        <v>0</v>
      </c>
      <c r="R682" s="1368">
        <f t="shared" si="217"/>
        <v>0</v>
      </c>
      <c r="T682" s="1369">
        <v>0.02</v>
      </c>
      <c r="U682" s="1369">
        <v>0.02</v>
      </c>
      <c r="V682" s="1369">
        <v>0.02</v>
      </c>
      <c r="W682" s="1369">
        <v>0.02</v>
      </c>
      <c r="X682" s="1369">
        <v>0.02</v>
      </c>
      <c r="Y682" s="1367"/>
      <c r="Z682" s="1370">
        <v>0</v>
      </c>
      <c r="AA682" s="1370">
        <v>0</v>
      </c>
      <c r="AB682" s="1370">
        <v>0</v>
      </c>
      <c r="AC682" s="1370">
        <v>0</v>
      </c>
      <c r="AD682" s="1370">
        <v>0</v>
      </c>
      <c r="AK682" s="1354">
        <f t="shared" si="216"/>
        <v>0</v>
      </c>
      <c r="AL682" s="1352">
        <f t="shared" si="215"/>
        <v>53</v>
      </c>
      <c r="AM682" s="1354">
        <f t="shared" si="204"/>
        <v>0</v>
      </c>
      <c r="AN682" s="1352" t="str">
        <f t="shared" si="193"/>
        <v>Police Dispatch/911 (Outside CAP) Other Expenses</v>
      </c>
    </row>
    <row r="683" spans="1:40" x14ac:dyDescent="0.2">
      <c r="A683" s="1324" t="str">
        <f>A682</f>
        <v>25-251</v>
      </c>
      <c r="B683" s="1324" t="s">
        <v>5856</v>
      </c>
      <c r="C683" s="1353">
        <f>'Key Metrics'!$E$239</f>
        <v>0</v>
      </c>
      <c r="D683" s="1353">
        <f>'Key Metrics'!$I$239</f>
        <v>0</v>
      </c>
      <c r="E683" s="1351">
        <f t="shared" si="206"/>
        <v>0</v>
      </c>
      <c r="F683" s="1353">
        <f t="shared" si="207"/>
        <v>0</v>
      </c>
      <c r="G683" s="1353">
        <f t="shared" si="208"/>
        <v>0</v>
      </c>
      <c r="H683" s="1353">
        <f t="shared" si="209"/>
        <v>0</v>
      </c>
      <c r="I683" s="1353">
        <f t="shared" si="210"/>
        <v>0</v>
      </c>
      <c r="J683" s="1353">
        <f t="shared" si="211"/>
        <v>0</v>
      </c>
      <c r="M683" s="1324" t="str">
        <f t="shared" si="212"/>
        <v>Police Dispatch/911 (Outside CAP) Unclassified</v>
      </c>
      <c r="N683" s="1368">
        <f t="shared" si="213"/>
        <v>0</v>
      </c>
      <c r="O683" s="1368">
        <f t="shared" si="217"/>
        <v>0</v>
      </c>
      <c r="P683" s="1368">
        <f t="shared" si="217"/>
        <v>0</v>
      </c>
      <c r="Q683" s="1368">
        <f t="shared" si="217"/>
        <v>0</v>
      </c>
      <c r="R683" s="1368">
        <f t="shared" si="217"/>
        <v>0</v>
      </c>
      <c r="T683" s="1369">
        <v>0.02</v>
      </c>
      <c r="U683" s="1369">
        <v>0.02</v>
      </c>
      <c r="V683" s="1369">
        <v>0.02</v>
      </c>
      <c r="W683" s="1369">
        <v>0.02</v>
      </c>
      <c r="X683" s="1369">
        <v>0.02</v>
      </c>
      <c r="Y683" s="1367"/>
      <c r="Z683" s="1370">
        <v>0</v>
      </c>
      <c r="AA683" s="1370">
        <v>0</v>
      </c>
      <c r="AB683" s="1370">
        <v>0</v>
      </c>
      <c r="AC683" s="1370">
        <v>0</v>
      </c>
      <c r="AD683" s="1370">
        <v>0</v>
      </c>
      <c r="AK683" s="1354">
        <f t="shared" si="216"/>
        <v>0</v>
      </c>
      <c r="AL683" s="1352">
        <f t="shared" si="215"/>
        <v>53</v>
      </c>
      <c r="AM683" s="1354">
        <f t="shared" si="204"/>
        <v>0</v>
      </c>
      <c r="AN683" s="1352" t="str">
        <f t="shared" si="193"/>
        <v>Police Dispatch/911 (Outside CAP) Unclassified</v>
      </c>
    </row>
    <row r="684" spans="1:40" x14ac:dyDescent="0.2">
      <c r="A684" s="1324" t="s">
        <v>5161</v>
      </c>
      <c r="B684" s="1324" t="s">
        <v>5676</v>
      </c>
      <c r="C684" s="1353">
        <f>'Key Metrics'!$C$240</f>
        <v>3080</v>
      </c>
      <c r="D684" s="1353">
        <f>'Key Metrics'!$G$240</f>
        <v>3080</v>
      </c>
      <c r="E684" s="1351">
        <f t="shared" si="206"/>
        <v>0</v>
      </c>
      <c r="F684" s="1353">
        <f t="shared" si="207"/>
        <v>3141.6</v>
      </c>
      <c r="G684" s="1353">
        <f t="shared" si="208"/>
        <v>3204.4319999999998</v>
      </c>
      <c r="H684" s="1353">
        <f t="shared" si="209"/>
        <v>3268.5206399999997</v>
      </c>
      <c r="I684" s="1353">
        <f t="shared" si="210"/>
        <v>3333.8910527999997</v>
      </c>
      <c r="J684" s="1353">
        <f t="shared" si="211"/>
        <v>3400.5688738559998</v>
      </c>
      <c r="M684" s="1324" t="str">
        <f t="shared" si="212"/>
        <v>Office of Emergency Management (OEM) Salaries &amp; Wages</v>
      </c>
      <c r="N684" s="1368">
        <f t="shared" si="213"/>
        <v>0</v>
      </c>
      <c r="O684" s="1368">
        <f t="shared" si="217"/>
        <v>0</v>
      </c>
      <c r="P684" s="1368">
        <f t="shared" si="217"/>
        <v>0</v>
      </c>
      <c r="Q684" s="1368">
        <f t="shared" si="217"/>
        <v>0</v>
      </c>
      <c r="R684" s="1368">
        <f t="shared" si="217"/>
        <v>0</v>
      </c>
      <c r="T684" s="1369">
        <v>0.02</v>
      </c>
      <c r="U684" s="1369">
        <v>0.02</v>
      </c>
      <c r="V684" s="1369">
        <v>0.02</v>
      </c>
      <c r="W684" s="1369">
        <v>0.02</v>
      </c>
      <c r="X684" s="1369">
        <v>0.02</v>
      </c>
      <c r="Y684" s="1367"/>
      <c r="Z684" s="1370">
        <v>0</v>
      </c>
      <c r="AA684" s="1370">
        <v>0</v>
      </c>
      <c r="AB684" s="1370">
        <v>0</v>
      </c>
      <c r="AC684" s="1370">
        <v>0</v>
      </c>
      <c r="AD684" s="1370">
        <v>0</v>
      </c>
      <c r="AK684" s="1354">
        <f t="shared" si="216"/>
        <v>22509.012566655998</v>
      </c>
      <c r="AL684" s="1352">
        <f t="shared" si="215"/>
        <v>33</v>
      </c>
      <c r="AM684" s="1354">
        <f t="shared" si="204"/>
        <v>320.56887385599975</v>
      </c>
      <c r="AN684" s="1352" t="str">
        <f t="shared" si="193"/>
        <v>Office of Emergency Management (OEM) Salaries &amp; Wages</v>
      </c>
    </row>
    <row r="685" spans="1:40" x14ac:dyDescent="0.2">
      <c r="A685" s="1324" t="str">
        <f>A684</f>
        <v>25-252</v>
      </c>
      <c r="B685" s="1324" t="s">
        <v>5857</v>
      </c>
      <c r="C685" s="1353">
        <f>'Key Metrics'!$D$240</f>
        <v>1020</v>
      </c>
      <c r="D685" s="1353">
        <f>'Key Metrics'!$H$240</f>
        <v>2080.8000000000002</v>
      </c>
      <c r="E685" s="1351">
        <f t="shared" si="206"/>
        <v>1.04</v>
      </c>
      <c r="F685" s="1353">
        <f t="shared" si="207"/>
        <v>2122.4160000000002</v>
      </c>
      <c r="G685" s="1353">
        <f t="shared" si="208"/>
        <v>2164.8643200000001</v>
      </c>
      <c r="H685" s="1353">
        <f t="shared" si="209"/>
        <v>2208.1616064</v>
      </c>
      <c r="I685" s="1353">
        <f t="shared" si="210"/>
        <v>2252.3248385279999</v>
      </c>
      <c r="J685" s="1353">
        <f t="shared" si="211"/>
        <v>2297.3713352985601</v>
      </c>
      <c r="M685" s="1324" t="str">
        <f t="shared" si="212"/>
        <v>Office of Emergency Management (OEM) Other Expenses</v>
      </c>
      <c r="N685" s="1368">
        <f t="shared" si="213"/>
        <v>1.04</v>
      </c>
      <c r="O685" s="1368">
        <f t="shared" si="217"/>
        <v>1.04</v>
      </c>
      <c r="P685" s="1368">
        <f t="shared" si="217"/>
        <v>1.04</v>
      </c>
      <c r="Q685" s="1368">
        <f t="shared" si="217"/>
        <v>1.04</v>
      </c>
      <c r="R685" s="1368">
        <f t="shared" si="217"/>
        <v>1.04</v>
      </c>
      <c r="T685" s="1369">
        <v>0.02</v>
      </c>
      <c r="U685" s="1369">
        <v>0.02</v>
      </c>
      <c r="V685" s="1369">
        <v>0.02</v>
      </c>
      <c r="W685" s="1369">
        <v>0.02</v>
      </c>
      <c r="X685" s="1369">
        <v>0.02</v>
      </c>
      <c r="Y685" s="1367"/>
      <c r="Z685" s="1370">
        <v>0</v>
      </c>
      <c r="AA685" s="1370">
        <v>0</v>
      </c>
      <c r="AB685" s="1370">
        <v>0</v>
      </c>
      <c r="AC685" s="1370">
        <v>0</v>
      </c>
      <c r="AD685" s="1370">
        <v>0</v>
      </c>
      <c r="AK685" s="1354">
        <f t="shared" si="216"/>
        <v>14145.938100226562</v>
      </c>
      <c r="AL685" s="1352">
        <f t="shared" si="215"/>
        <v>35</v>
      </c>
      <c r="AM685" s="1354">
        <f t="shared" si="204"/>
        <v>216.57133529855992</v>
      </c>
      <c r="AN685" s="1352" t="str">
        <f t="shared" si="193"/>
        <v>Office of Emergency Management (OEM) Other Expenses</v>
      </c>
    </row>
    <row r="686" spans="1:40" x14ac:dyDescent="0.2">
      <c r="A686" s="1324" t="str">
        <f>A685</f>
        <v>25-252</v>
      </c>
      <c r="B686" s="1324" t="s">
        <v>5858</v>
      </c>
      <c r="C686" s="1353">
        <f>'Key Metrics'!$E$240</f>
        <v>0</v>
      </c>
      <c r="D686" s="1353">
        <f>'Key Metrics'!$I$240</f>
        <v>0</v>
      </c>
      <c r="E686" s="1351">
        <f t="shared" si="206"/>
        <v>0</v>
      </c>
      <c r="F686" s="1353">
        <f t="shared" si="207"/>
        <v>0</v>
      </c>
      <c r="G686" s="1353">
        <f t="shared" si="208"/>
        <v>0</v>
      </c>
      <c r="H686" s="1353">
        <f t="shared" si="209"/>
        <v>0</v>
      </c>
      <c r="I686" s="1353">
        <f t="shared" si="210"/>
        <v>0</v>
      </c>
      <c r="J686" s="1353">
        <f t="shared" si="211"/>
        <v>0</v>
      </c>
      <c r="M686" s="1324" t="str">
        <f t="shared" si="212"/>
        <v>Office of Emergency Management (OEM) Unclassified</v>
      </c>
      <c r="N686" s="1368">
        <f t="shared" si="213"/>
        <v>0</v>
      </c>
      <c r="O686" s="1368">
        <f t="shared" si="217"/>
        <v>0</v>
      </c>
      <c r="P686" s="1368">
        <f t="shared" si="217"/>
        <v>0</v>
      </c>
      <c r="Q686" s="1368">
        <f t="shared" si="217"/>
        <v>0</v>
      </c>
      <c r="R686" s="1368">
        <f t="shared" si="217"/>
        <v>0</v>
      </c>
      <c r="T686" s="1369">
        <v>0.02</v>
      </c>
      <c r="U686" s="1369">
        <v>0.02</v>
      </c>
      <c r="V686" s="1369">
        <v>0.02</v>
      </c>
      <c r="W686" s="1369">
        <v>0.02</v>
      </c>
      <c r="X686" s="1369">
        <v>0.02</v>
      </c>
      <c r="Y686" s="1367"/>
      <c r="Z686" s="1370">
        <v>0</v>
      </c>
      <c r="AA686" s="1370">
        <v>0</v>
      </c>
      <c r="AB686" s="1370">
        <v>0</v>
      </c>
      <c r="AC686" s="1370">
        <v>0</v>
      </c>
      <c r="AD686" s="1370">
        <v>0</v>
      </c>
      <c r="AK686" s="1354">
        <f t="shared" si="216"/>
        <v>0</v>
      </c>
      <c r="AL686" s="1352">
        <f t="shared" si="215"/>
        <v>53</v>
      </c>
      <c r="AM686" s="1354">
        <f t="shared" si="204"/>
        <v>0</v>
      </c>
      <c r="AN686" s="1352" t="str">
        <f t="shared" si="193"/>
        <v>Office of Emergency Management (OEM) Unclassified</v>
      </c>
    </row>
    <row r="687" spans="1:40" x14ac:dyDescent="0.2">
      <c r="A687" s="1324" t="s">
        <v>5162</v>
      </c>
      <c r="B687" s="1324" t="s">
        <v>5677</v>
      </c>
      <c r="C687" s="1353">
        <f>'Key Metrics'!$C$241</f>
        <v>0</v>
      </c>
      <c r="D687" s="1353">
        <f>'Key Metrics'!$G$241</f>
        <v>0</v>
      </c>
      <c r="E687" s="1351">
        <f t="shared" si="206"/>
        <v>0</v>
      </c>
      <c r="F687" s="1353">
        <f t="shared" si="207"/>
        <v>0</v>
      </c>
      <c r="G687" s="1353">
        <f t="shared" si="208"/>
        <v>0</v>
      </c>
      <c r="H687" s="1353">
        <f t="shared" si="209"/>
        <v>0</v>
      </c>
      <c r="I687" s="1353">
        <f t="shared" si="210"/>
        <v>0</v>
      </c>
      <c r="J687" s="1353">
        <f t="shared" si="211"/>
        <v>0</v>
      </c>
      <c r="M687" s="1324" t="str">
        <f t="shared" si="212"/>
        <v>Aid to Volunteer Fire Companies (Inside CAP) Salaries &amp; Wages</v>
      </c>
      <c r="N687" s="1368">
        <f t="shared" si="213"/>
        <v>0</v>
      </c>
      <c r="O687" s="1368">
        <f t="shared" si="217"/>
        <v>0</v>
      </c>
      <c r="P687" s="1368">
        <f t="shared" si="217"/>
        <v>0</v>
      </c>
      <c r="Q687" s="1368">
        <f t="shared" si="217"/>
        <v>0</v>
      </c>
      <c r="R687" s="1368">
        <f t="shared" si="217"/>
        <v>0</v>
      </c>
      <c r="T687" s="1369">
        <v>0.02</v>
      </c>
      <c r="U687" s="1369">
        <v>0.02</v>
      </c>
      <c r="V687" s="1369">
        <v>0.02</v>
      </c>
      <c r="W687" s="1369">
        <v>0.02</v>
      </c>
      <c r="X687" s="1369">
        <v>0.02</v>
      </c>
      <c r="Y687" s="1367"/>
      <c r="Z687" s="1370">
        <v>0</v>
      </c>
      <c r="AA687" s="1370">
        <v>0</v>
      </c>
      <c r="AB687" s="1370">
        <v>0</v>
      </c>
      <c r="AC687" s="1370">
        <v>0</v>
      </c>
      <c r="AD687" s="1370">
        <v>0</v>
      </c>
      <c r="AK687" s="1354">
        <f t="shared" si="216"/>
        <v>0</v>
      </c>
      <c r="AL687" s="1352">
        <f t="shared" si="215"/>
        <v>53</v>
      </c>
      <c r="AM687" s="1354">
        <f t="shared" si="204"/>
        <v>0</v>
      </c>
      <c r="AN687" s="1352" t="str">
        <f t="shared" si="193"/>
        <v>Aid to Volunteer Fire Companies (Inside CAP) Salaries &amp; Wages</v>
      </c>
    </row>
    <row r="688" spans="1:40" x14ac:dyDescent="0.2">
      <c r="A688" s="1324" t="str">
        <f>A687</f>
        <v>25-255</v>
      </c>
      <c r="B688" s="1324" t="s">
        <v>5859</v>
      </c>
      <c r="C688" s="1353">
        <f>'Key Metrics'!$D$241</f>
        <v>18353.87</v>
      </c>
      <c r="D688" s="1353">
        <f>'Key Metrics'!$H$241</f>
        <v>18727.2</v>
      </c>
      <c r="E688" s="1351">
        <f t="shared" si="206"/>
        <v>2.0340669297537861E-2</v>
      </c>
      <c r="F688" s="1353">
        <f t="shared" si="207"/>
        <v>19101.744000000002</v>
      </c>
      <c r="G688" s="1353">
        <f t="shared" si="208"/>
        <v>19483.778880000002</v>
      </c>
      <c r="H688" s="1353">
        <f t="shared" si="209"/>
        <v>19873.454457600001</v>
      </c>
      <c r="I688" s="1353">
        <f t="shared" si="210"/>
        <v>20270.923546752001</v>
      </c>
      <c r="J688" s="1353">
        <f t="shared" si="211"/>
        <v>20676.342017687042</v>
      </c>
      <c r="M688" s="1324" t="str">
        <f t="shared" si="212"/>
        <v>Aid to Volunteer Fire Companies (Inside CAP) Other Expenses</v>
      </c>
      <c r="N688" s="1368">
        <f t="shared" si="213"/>
        <v>2.0340669297537861E-2</v>
      </c>
      <c r="O688" s="1368">
        <f t="shared" si="217"/>
        <v>2.0340669297537861E-2</v>
      </c>
      <c r="P688" s="1368">
        <f t="shared" si="217"/>
        <v>2.0340669297537861E-2</v>
      </c>
      <c r="Q688" s="1368">
        <f t="shared" si="217"/>
        <v>2.0340669297537861E-2</v>
      </c>
      <c r="R688" s="1368">
        <f t="shared" si="217"/>
        <v>2.0340669297537861E-2</v>
      </c>
      <c r="T688" s="1369">
        <v>0.02</v>
      </c>
      <c r="U688" s="1369">
        <v>0.02</v>
      </c>
      <c r="V688" s="1369">
        <v>0.02</v>
      </c>
      <c r="W688" s="1369">
        <v>0.02</v>
      </c>
      <c r="X688" s="1369">
        <v>0.02</v>
      </c>
      <c r="Y688" s="1367"/>
      <c r="Z688" s="1370">
        <v>0</v>
      </c>
      <c r="AA688" s="1370">
        <v>0</v>
      </c>
      <c r="AB688" s="1370">
        <v>0</v>
      </c>
      <c r="AC688" s="1370">
        <v>0</v>
      </c>
      <c r="AD688" s="1370">
        <v>0</v>
      </c>
      <c r="AK688" s="1354">
        <f t="shared" si="216"/>
        <v>136487.31290203903</v>
      </c>
      <c r="AL688" s="1352">
        <f t="shared" si="215"/>
        <v>8</v>
      </c>
      <c r="AM688" s="1354">
        <f t="shared" si="204"/>
        <v>1949.1420176870415</v>
      </c>
      <c r="AN688" s="1352" t="str">
        <f t="shared" si="193"/>
        <v>Aid to Volunteer Fire Companies (Inside CAP) Other Expenses</v>
      </c>
    </row>
    <row r="689" spans="1:40" x14ac:dyDescent="0.2">
      <c r="A689" s="1324" t="str">
        <f>A688</f>
        <v>25-255</v>
      </c>
      <c r="B689" s="1324" t="s">
        <v>5860</v>
      </c>
      <c r="C689" s="1353">
        <f>'Key Metrics'!$E$241</f>
        <v>0</v>
      </c>
      <c r="D689" s="1353">
        <f>'Key Metrics'!$I$241</f>
        <v>0</v>
      </c>
      <c r="E689" s="1351">
        <f t="shared" si="206"/>
        <v>0</v>
      </c>
      <c r="F689" s="1353">
        <f t="shared" si="207"/>
        <v>0</v>
      </c>
      <c r="G689" s="1353">
        <f t="shared" si="208"/>
        <v>0</v>
      </c>
      <c r="H689" s="1353">
        <f t="shared" si="209"/>
        <v>0</v>
      </c>
      <c r="I689" s="1353">
        <f t="shared" si="210"/>
        <v>0</v>
      </c>
      <c r="J689" s="1353">
        <f t="shared" si="211"/>
        <v>0</v>
      </c>
      <c r="M689" s="1324" t="str">
        <f t="shared" si="212"/>
        <v>Aid to Volunteer Fire Companies (Inside CAP) Unclassified</v>
      </c>
      <c r="N689" s="1368">
        <f t="shared" si="213"/>
        <v>0</v>
      </c>
      <c r="O689" s="1368">
        <f t="shared" si="217"/>
        <v>0</v>
      </c>
      <c r="P689" s="1368">
        <f t="shared" si="217"/>
        <v>0</v>
      </c>
      <c r="Q689" s="1368">
        <f t="shared" si="217"/>
        <v>0</v>
      </c>
      <c r="R689" s="1368">
        <f t="shared" si="217"/>
        <v>0</v>
      </c>
      <c r="T689" s="1369">
        <v>0.02</v>
      </c>
      <c r="U689" s="1369">
        <v>0.02</v>
      </c>
      <c r="V689" s="1369">
        <v>0.02</v>
      </c>
      <c r="W689" s="1369">
        <v>0.02</v>
      </c>
      <c r="X689" s="1369">
        <v>0.02</v>
      </c>
      <c r="Y689" s="1367"/>
      <c r="Z689" s="1370">
        <v>0</v>
      </c>
      <c r="AA689" s="1370">
        <v>0</v>
      </c>
      <c r="AB689" s="1370">
        <v>0</v>
      </c>
      <c r="AC689" s="1370">
        <v>0</v>
      </c>
      <c r="AD689" s="1370">
        <v>0</v>
      </c>
      <c r="AK689" s="1354">
        <f t="shared" si="216"/>
        <v>0</v>
      </c>
      <c r="AL689" s="1352">
        <f t="shared" si="215"/>
        <v>53</v>
      </c>
      <c r="AM689" s="1354">
        <f t="shared" si="204"/>
        <v>0</v>
      </c>
      <c r="AN689" s="1352" t="str">
        <f t="shared" si="193"/>
        <v>Aid to Volunteer Fire Companies (Inside CAP) Unclassified</v>
      </c>
    </row>
    <row r="690" spans="1:40" x14ac:dyDescent="0.2">
      <c r="A690" s="1324" t="s">
        <v>5163</v>
      </c>
      <c r="B690" s="1324" t="s">
        <v>5678</v>
      </c>
      <c r="C690" s="1353">
        <f>'Key Metrics'!$C$242</f>
        <v>0</v>
      </c>
      <c r="D690" s="1353">
        <f>'Key Metrics'!$G$242</f>
        <v>0</v>
      </c>
      <c r="E690" s="1351">
        <f t="shared" si="206"/>
        <v>0</v>
      </c>
      <c r="F690" s="1353">
        <f t="shared" si="207"/>
        <v>0</v>
      </c>
      <c r="G690" s="1353">
        <f t="shared" si="208"/>
        <v>0</v>
      </c>
      <c r="H690" s="1353">
        <f t="shared" si="209"/>
        <v>0</v>
      </c>
      <c r="I690" s="1353">
        <f t="shared" si="210"/>
        <v>0</v>
      </c>
      <c r="J690" s="1353">
        <f t="shared" si="211"/>
        <v>0</v>
      </c>
      <c r="M690" s="1324" t="str">
        <f t="shared" si="212"/>
        <v>Aid to Volunteer Ambulance Companies Salaries &amp; Wages</v>
      </c>
      <c r="N690" s="1368">
        <f t="shared" si="213"/>
        <v>0</v>
      </c>
      <c r="O690" s="1368">
        <f t="shared" si="217"/>
        <v>0</v>
      </c>
      <c r="P690" s="1368">
        <f t="shared" si="217"/>
        <v>0</v>
      </c>
      <c r="Q690" s="1368">
        <f t="shared" si="217"/>
        <v>0</v>
      </c>
      <c r="R690" s="1368">
        <f t="shared" si="217"/>
        <v>0</v>
      </c>
      <c r="T690" s="1369">
        <v>0.02</v>
      </c>
      <c r="U690" s="1369">
        <v>0.02</v>
      </c>
      <c r="V690" s="1369">
        <v>0.02</v>
      </c>
      <c r="W690" s="1369">
        <v>0.02</v>
      </c>
      <c r="X690" s="1369">
        <v>0.02</v>
      </c>
      <c r="Y690" s="1367"/>
      <c r="Z690" s="1370">
        <v>0</v>
      </c>
      <c r="AA690" s="1370">
        <v>0</v>
      </c>
      <c r="AB690" s="1370">
        <v>0</v>
      </c>
      <c r="AC690" s="1370">
        <v>0</v>
      </c>
      <c r="AD690" s="1370">
        <v>0</v>
      </c>
      <c r="AK690" s="1354">
        <f t="shared" si="216"/>
        <v>0</v>
      </c>
      <c r="AL690" s="1352">
        <f t="shared" si="215"/>
        <v>53</v>
      </c>
      <c r="AM690" s="1354">
        <f t="shared" si="204"/>
        <v>0</v>
      </c>
      <c r="AN690" s="1352" t="str">
        <f t="shared" si="193"/>
        <v>Aid to Volunteer Ambulance Companies Salaries &amp; Wages</v>
      </c>
    </row>
    <row r="691" spans="1:40" x14ac:dyDescent="0.2">
      <c r="A691" s="1324" t="str">
        <f>A690</f>
        <v>25-260</v>
      </c>
      <c r="B691" s="1324" t="s">
        <v>5861</v>
      </c>
      <c r="C691" s="1353">
        <f>'Key Metrics'!$D$242</f>
        <v>0</v>
      </c>
      <c r="D691" s="1353">
        <f>'Key Metrics'!$H$242</f>
        <v>0</v>
      </c>
      <c r="E691" s="1351">
        <f t="shared" si="206"/>
        <v>0</v>
      </c>
      <c r="F691" s="1353">
        <f t="shared" si="207"/>
        <v>0</v>
      </c>
      <c r="G691" s="1353">
        <f t="shared" si="208"/>
        <v>0</v>
      </c>
      <c r="H691" s="1353">
        <f t="shared" si="209"/>
        <v>0</v>
      </c>
      <c r="I691" s="1353">
        <f t="shared" si="210"/>
        <v>0</v>
      </c>
      <c r="J691" s="1353">
        <f t="shared" si="211"/>
        <v>0</v>
      </c>
      <c r="M691" s="1324" t="str">
        <f t="shared" si="212"/>
        <v>Aid to Volunteer Ambulance Companies Other Expenses</v>
      </c>
      <c r="N691" s="1368">
        <f t="shared" si="213"/>
        <v>0</v>
      </c>
      <c r="O691" s="1368">
        <f t="shared" si="217"/>
        <v>0</v>
      </c>
      <c r="P691" s="1368">
        <f t="shared" si="217"/>
        <v>0</v>
      </c>
      <c r="Q691" s="1368">
        <f t="shared" si="217"/>
        <v>0</v>
      </c>
      <c r="R691" s="1368">
        <f t="shared" si="217"/>
        <v>0</v>
      </c>
      <c r="T691" s="1369">
        <v>0.02</v>
      </c>
      <c r="U691" s="1369">
        <v>0.02</v>
      </c>
      <c r="V691" s="1369">
        <v>0.02</v>
      </c>
      <c r="W691" s="1369">
        <v>0.02</v>
      </c>
      <c r="X691" s="1369">
        <v>0.02</v>
      </c>
      <c r="Y691" s="1367"/>
      <c r="Z691" s="1370">
        <v>0</v>
      </c>
      <c r="AA691" s="1370">
        <v>0</v>
      </c>
      <c r="AB691" s="1370">
        <v>0</v>
      </c>
      <c r="AC691" s="1370">
        <v>0</v>
      </c>
      <c r="AD691" s="1370">
        <v>0</v>
      </c>
      <c r="AK691" s="1354">
        <f t="shared" si="216"/>
        <v>0</v>
      </c>
      <c r="AL691" s="1352">
        <f t="shared" si="215"/>
        <v>53</v>
      </c>
      <c r="AM691" s="1354">
        <f t="shared" si="204"/>
        <v>0</v>
      </c>
      <c r="AN691" s="1352" t="str">
        <f t="shared" si="193"/>
        <v>Aid to Volunteer Ambulance Companies Other Expenses</v>
      </c>
    </row>
    <row r="692" spans="1:40" x14ac:dyDescent="0.2">
      <c r="A692" s="1324" t="str">
        <f>A691</f>
        <v>25-260</v>
      </c>
      <c r="B692" s="1324" t="s">
        <v>5862</v>
      </c>
      <c r="C692" s="1353">
        <f>'Key Metrics'!$E$242</f>
        <v>0</v>
      </c>
      <c r="D692" s="1353">
        <f>'Key Metrics'!$I$242</f>
        <v>0</v>
      </c>
      <c r="E692" s="1351">
        <f t="shared" si="206"/>
        <v>0</v>
      </c>
      <c r="F692" s="1353">
        <f t="shared" ref="F692:F710" si="218">IFERROR(IF($I$3=1,D692*(1+N692),IF($I$3=2,D692*(1+T692),IF($I$3=3,Z692,"--"))),0)</f>
        <v>0</v>
      </c>
      <c r="G692" s="1353">
        <f t="shared" ref="G692:G710" si="219">IFERROR(IF($I$3=1,F692*(1+O692),IF($I$3=2,F692*(1+U692),IF($I$3=3,AA692,"--"))),0)</f>
        <v>0</v>
      </c>
      <c r="H692" s="1353">
        <f t="shared" ref="H692:H710" si="220">IFERROR(IF($I$3=1,G692*(1+P692),IF($I$3=2,G692*(1+V692),IF($I$3=3,AB692,"--"))),0)</f>
        <v>0</v>
      </c>
      <c r="I692" s="1353">
        <f t="shared" ref="I692:I710" si="221">IFERROR(IF($I$3=1,H692*(1+Q692),IF($I$3=2,H692*(1+W692),IF($I$3=3,AC692,"--"))),0)</f>
        <v>0</v>
      </c>
      <c r="J692" s="1353">
        <f t="shared" ref="J692:J710" si="222">IFERROR(IF($I$3=1,I692*(1+R692),IF($I$3=2,I692*(1+X692),IF($I$3=3,AD692,"--"))),0)</f>
        <v>0</v>
      </c>
      <c r="M692" s="1324" t="str">
        <f t="shared" si="212"/>
        <v>Aid to Volunteer Ambulance Companies Unclassified</v>
      </c>
      <c r="N692" s="1368">
        <f t="shared" si="213"/>
        <v>0</v>
      </c>
      <c r="O692" s="1368">
        <f t="shared" ref="O692:R707" si="223">N692</f>
        <v>0</v>
      </c>
      <c r="P692" s="1368">
        <f t="shared" si="223"/>
        <v>0</v>
      </c>
      <c r="Q692" s="1368">
        <f t="shared" si="223"/>
        <v>0</v>
      </c>
      <c r="R692" s="1368">
        <f t="shared" si="223"/>
        <v>0</v>
      </c>
      <c r="T692" s="1369">
        <v>0.02</v>
      </c>
      <c r="U692" s="1369">
        <v>0.02</v>
      </c>
      <c r="V692" s="1369">
        <v>0.02</v>
      </c>
      <c r="W692" s="1369">
        <v>0.02</v>
      </c>
      <c r="X692" s="1369">
        <v>0.02</v>
      </c>
      <c r="Y692" s="1367"/>
      <c r="Z692" s="1370">
        <v>0</v>
      </c>
      <c r="AA692" s="1370">
        <v>0</v>
      </c>
      <c r="AB692" s="1370">
        <v>0</v>
      </c>
      <c r="AC692" s="1370">
        <v>0</v>
      </c>
      <c r="AD692" s="1370">
        <v>0</v>
      </c>
      <c r="AK692" s="1354">
        <f t="shared" si="216"/>
        <v>0</v>
      </c>
      <c r="AL692" s="1352">
        <f t="shared" ref="AL692:AL710" si="224">RANK(AM692,$AM$504:$AM$1172,0)</f>
        <v>53</v>
      </c>
      <c r="AM692" s="1354">
        <f t="shared" si="204"/>
        <v>0</v>
      </c>
      <c r="AN692" s="1352" t="str">
        <f t="shared" si="193"/>
        <v>Aid to Volunteer Ambulance Companies Unclassified</v>
      </c>
    </row>
    <row r="693" spans="1:40" x14ac:dyDescent="0.2">
      <c r="A693" s="1324" t="s">
        <v>5164</v>
      </c>
      <c r="B693" s="1324" t="s">
        <v>5679</v>
      </c>
      <c r="C693" s="1353">
        <f>'Key Metrics'!$C$243</f>
        <v>0</v>
      </c>
      <c r="D693" s="1353">
        <f>'Key Metrics'!$G$243</f>
        <v>0</v>
      </c>
      <c r="E693" s="1351">
        <f t="shared" si="206"/>
        <v>0</v>
      </c>
      <c r="F693" s="1353">
        <f t="shared" si="218"/>
        <v>0</v>
      </c>
      <c r="G693" s="1353">
        <f t="shared" si="219"/>
        <v>0</v>
      </c>
      <c r="H693" s="1353">
        <f t="shared" si="220"/>
        <v>0</v>
      </c>
      <c r="I693" s="1353">
        <f t="shared" si="221"/>
        <v>0</v>
      </c>
      <c r="J693" s="1353">
        <f t="shared" si="222"/>
        <v>0</v>
      </c>
      <c r="M693" s="1324" t="str">
        <f t="shared" si="212"/>
        <v>Emergency Medical Services (EMS) Salaries &amp; Wages</v>
      </c>
      <c r="N693" s="1368">
        <f t="shared" si="213"/>
        <v>0</v>
      </c>
      <c r="O693" s="1368">
        <f t="shared" si="223"/>
        <v>0</v>
      </c>
      <c r="P693" s="1368">
        <f t="shared" si="223"/>
        <v>0</v>
      </c>
      <c r="Q693" s="1368">
        <f t="shared" si="223"/>
        <v>0</v>
      </c>
      <c r="R693" s="1368">
        <f t="shared" si="223"/>
        <v>0</v>
      </c>
      <c r="T693" s="1369">
        <v>0.02</v>
      </c>
      <c r="U693" s="1369">
        <v>0.02</v>
      </c>
      <c r="V693" s="1369">
        <v>0.02</v>
      </c>
      <c r="W693" s="1369">
        <v>0.02</v>
      </c>
      <c r="X693" s="1369">
        <v>0.02</v>
      </c>
      <c r="Y693" s="1367"/>
      <c r="Z693" s="1370">
        <v>0</v>
      </c>
      <c r="AA693" s="1370">
        <v>0</v>
      </c>
      <c r="AB693" s="1370">
        <v>0</v>
      </c>
      <c r="AC693" s="1370">
        <v>0</v>
      </c>
      <c r="AD693" s="1370">
        <v>0</v>
      </c>
      <c r="AK693" s="1354">
        <f t="shared" si="216"/>
        <v>0</v>
      </c>
      <c r="AL693" s="1352">
        <f t="shared" si="224"/>
        <v>53</v>
      </c>
      <c r="AM693" s="1354">
        <f t="shared" si="204"/>
        <v>0</v>
      </c>
      <c r="AN693" s="1352" t="str">
        <f t="shared" si="193"/>
        <v>Emergency Medical Services (EMS) Salaries &amp; Wages</v>
      </c>
    </row>
    <row r="694" spans="1:40" x14ac:dyDescent="0.2">
      <c r="A694" s="1324" t="str">
        <f>A693</f>
        <v>25-261</v>
      </c>
      <c r="B694" s="1324" t="s">
        <v>5863</v>
      </c>
      <c r="C694" s="1353">
        <f>'Key Metrics'!$D$243</f>
        <v>0</v>
      </c>
      <c r="D694" s="1353">
        <f>'Key Metrics'!$H$243</f>
        <v>0</v>
      </c>
      <c r="E694" s="1351">
        <f t="shared" si="206"/>
        <v>0</v>
      </c>
      <c r="F694" s="1353">
        <f t="shared" si="218"/>
        <v>0</v>
      </c>
      <c r="G694" s="1353">
        <f t="shared" si="219"/>
        <v>0</v>
      </c>
      <c r="H694" s="1353">
        <f t="shared" si="220"/>
        <v>0</v>
      </c>
      <c r="I694" s="1353">
        <f t="shared" si="221"/>
        <v>0</v>
      </c>
      <c r="J694" s="1353">
        <f t="shared" si="222"/>
        <v>0</v>
      </c>
      <c r="M694" s="1324" t="str">
        <f t="shared" si="212"/>
        <v>Emergency Medical Services (EMS) Other Expenses</v>
      </c>
      <c r="N694" s="1368">
        <f t="shared" si="213"/>
        <v>0</v>
      </c>
      <c r="O694" s="1368">
        <f t="shared" si="223"/>
        <v>0</v>
      </c>
      <c r="P694" s="1368">
        <f t="shared" si="223"/>
        <v>0</v>
      </c>
      <c r="Q694" s="1368">
        <f t="shared" si="223"/>
        <v>0</v>
      </c>
      <c r="R694" s="1368">
        <f t="shared" si="223"/>
        <v>0</v>
      </c>
      <c r="T694" s="1369">
        <v>0.02</v>
      </c>
      <c r="U694" s="1369">
        <v>0.02</v>
      </c>
      <c r="V694" s="1369">
        <v>0.02</v>
      </c>
      <c r="W694" s="1369">
        <v>0.02</v>
      </c>
      <c r="X694" s="1369">
        <v>0.02</v>
      </c>
      <c r="Y694" s="1367"/>
      <c r="Z694" s="1370">
        <v>0</v>
      </c>
      <c r="AA694" s="1370">
        <v>0</v>
      </c>
      <c r="AB694" s="1370">
        <v>0</v>
      </c>
      <c r="AC694" s="1370">
        <v>0</v>
      </c>
      <c r="AD694" s="1370">
        <v>0</v>
      </c>
      <c r="AK694" s="1354">
        <f t="shared" si="216"/>
        <v>0</v>
      </c>
      <c r="AL694" s="1352">
        <f t="shared" si="224"/>
        <v>53</v>
      </c>
      <c r="AM694" s="1354">
        <f t="shared" si="204"/>
        <v>0</v>
      </c>
      <c r="AN694" s="1352" t="str">
        <f t="shared" si="193"/>
        <v>Emergency Medical Services (EMS) Other Expenses</v>
      </c>
    </row>
    <row r="695" spans="1:40" x14ac:dyDescent="0.2">
      <c r="A695" s="1324" t="str">
        <f>A694</f>
        <v>25-261</v>
      </c>
      <c r="B695" s="1324" t="s">
        <v>5864</v>
      </c>
      <c r="C695" s="1353">
        <f>'Key Metrics'!$E$243</f>
        <v>0</v>
      </c>
      <c r="D695" s="1353">
        <f>'Key Metrics'!$I$243</f>
        <v>0</v>
      </c>
      <c r="E695" s="1351">
        <f t="shared" si="206"/>
        <v>0</v>
      </c>
      <c r="F695" s="1353">
        <f t="shared" si="218"/>
        <v>0</v>
      </c>
      <c r="G695" s="1353">
        <f t="shared" si="219"/>
        <v>0</v>
      </c>
      <c r="H695" s="1353">
        <f t="shared" si="220"/>
        <v>0</v>
      </c>
      <c r="I695" s="1353">
        <f t="shared" si="221"/>
        <v>0</v>
      </c>
      <c r="J695" s="1353">
        <f t="shared" si="222"/>
        <v>0</v>
      </c>
      <c r="M695" s="1324" t="str">
        <f t="shared" si="212"/>
        <v>Emergency Medical Services (EMS) Unclassified</v>
      </c>
      <c r="N695" s="1368">
        <f t="shared" si="213"/>
        <v>0</v>
      </c>
      <c r="O695" s="1368">
        <f t="shared" si="223"/>
        <v>0</v>
      </c>
      <c r="P695" s="1368">
        <f t="shared" si="223"/>
        <v>0</v>
      </c>
      <c r="Q695" s="1368">
        <f t="shared" si="223"/>
        <v>0</v>
      </c>
      <c r="R695" s="1368">
        <f t="shared" si="223"/>
        <v>0</v>
      </c>
      <c r="T695" s="1369">
        <v>0.02</v>
      </c>
      <c r="U695" s="1369">
        <v>0.02</v>
      </c>
      <c r="V695" s="1369">
        <v>0.02</v>
      </c>
      <c r="W695" s="1369">
        <v>0.02</v>
      </c>
      <c r="X695" s="1369">
        <v>0.02</v>
      </c>
      <c r="Y695" s="1367"/>
      <c r="Z695" s="1370">
        <v>0</v>
      </c>
      <c r="AA695" s="1370">
        <v>0</v>
      </c>
      <c r="AB695" s="1370">
        <v>0</v>
      </c>
      <c r="AC695" s="1370">
        <v>0</v>
      </c>
      <c r="AD695" s="1370">
        <v>0</v>
      </c>
      <c r="AK695" s="1354">
        <f t="shared" si="216"/>
        <v>0</v>
      </c>
      <c r="AL695" s="1352">
        <f t="shared" si="224"/>
        <v>53</v>
      </c>
      <c r="AM695" s="1354">
        <f t="shared" si="204"/>
        <v>0</v>
      </c>
      <c r="AN695" s="1352" t="str">
        <f t="shared" si="193"/>
        <v>Emergency Medical Services (EMS) Unclassified</v>
      </c>
    </row>
    <row r="696" spans="1:40" x14ac:dyDescent="0.2">
      <c r="A696" s="1324" t="s">
        <v>5165</v>
      </c>
      <c r="B696" s="1324" t="s">
        <v>5680</v>
      </c>
      <c r="C696" s="1353">
        <f>'Key Metrics'!$C$244</f>
        <v>0</v>
      </c>
      <c r="D696" s="1353">
        <f>'Key Metrics'!$G$244</f>
        <v>0</v>
      </c>
      <c r="E696" s="1351">
        <f t="shared" si="206"/>
        <v>0</v>
      </c>
      <c r="F696" s="1353">
        <f t="shared" si="218"/>
        <v>0</v>
      </c>
      <c r="G696" s="1353">
        <f t="shared" si="219"/>
        <v>0</v>
      </c>
      <c r="H696" s="1353">
        <f t="shared" si="220"/>
        <v>0</v>
      </c>
      <c r="I696" s="1353">
        <f t="shared" si="221"/>
        <v>0</v>
      </c>
      <c r="J696" s="1353">
        <f t="shared" si="222"/>
        <v>0</v>
      </c>
      <c r="M696" s="1324" t="str">
        <f t="shared" si="212"/>
        <v>Fire Department (Fire Prevention, Uniform Fire Code) (Inside CAP) Salaries &amp; Wages</v>
      </c>
      <c r="N696" s="1368">
        <f t="shared" si="213"/>
        <v>0</v>
      </c>
      <c r="O696" s="1368">
        <f t="shared" si="223"/>
        <v>0</v>
      </c>
      <c r="P696" s="1368">
        <f t="shared" si="223"/>
        <v>0</v>
      </c>
      <c r="Q696" s="1368">
        <f t="shared" si="223"/>
        <v>0</v>
      </c>
      <c r="R696" s="1368">
        <f t="shared" si="223"/>
        <v>0</v>
      </c>
      <c r="T696" s="1369">
        <v>0.02</v>
      </c>
      <c r="U696" s="1369">
        <v>0.02</v>
      </c>
      <c r="V696" s="1369">
        <v>0.02</v>
      </c>
      <c r="W696" s="1369">
        <v>0.02</v>
      </c>
      <c r="X696" s="1369">
        <v>0.02</v>
      </c>
      <c r="Y696" s="1367"/>
      <c r="Z696" s="1370">
        <v>0</v>
      </c>
      <c r="AA696" s="1370">
        <v>0</v>
      </c>
      <c r="AB696" s="1370">
        <v>0</v>
      </c>
      <c r="AC696" s="1370">
        <v>0</v>
      </c>
      <c r="AD696" s="1370">
        <v>0</v>
      </c>
      <c r="AK696" s="1354">
        <f t="shared" si="216"/>
        <v>0</v>
      </c>
      <c r="AL696" s="1352">
        <f t="shared" si="224"/>
        <v>53</v>
      </c>
      <c r="AM696" s="1354">
        <f t="shared" si="204"/>
        <v>0</v>
      </c>
      <c r="AN696" s="1352" t="str">
        <f t="shared" si="193"/>
        <v>Fire Department (Fire Prevention, Uniform Fire Code) (Inside CAP) Salaries &amp; Wages</v>
      </c>
    </row>
    <row r="697" spans="1:40" x14ac:dyDescent="0.2">
      <c r="A697" s="1324" t="str">
        <f>A696</f>
        <v>25-265</v>
      </c>
      <c r="B697" s="1324" t="s">
        <v>5865</v>
      </c>
      <c r="C697" s="1353">
        <f>'Key Metrics'!$D$244</f>
        <v>0</v>
      </c>
      <c r="D697" s="1353">
        <f>'Key Metrics'!$H$244</f>
        <v>0</v>
      </c>
      <c r="E697" s="1351">
        <f t="shared" si="206"/>
        <v>0</v>
      </c>
      <c r="F697" s="1353">
        <f t="shared" si="218"/>
        <v>0</v>
      </c>
      <c r="G697" s="1353">
        <f t="shared" si="219"/>
        <v>0</v>
      </c>
      <c r="H697" s="1353">
        <f t="shared" si="220"/>
        <v>0</v>
      </c>
      <c r="I697" s="1353">
        <f t="shared" si="221"/>
        <v>0</v>
      </c>
      <c r="J697" s="1353">
        <f t="shared" si="222"/>
        <v>0</v>
      </c>
      <c r="M697" s="1324" t="str">
        <f t="shared" si="212"/>
        <v>Fire Department (Fire Prevention, Uniform Fire Code) (Inside CAP) Other Expenses</v>
      </c>
      <c r="N697" s="1368">
        <f t="shared" si="213"/>
        <v>0</v>
      </c>
      <c r="O697" s="1368">
        <f t="shared" si="223"/>
        <v>0</v>
      </c>
      <c r="P697" s="1368">
        <f t="shared" si="223"/>
        <v>0</v>
      </c>
      <c r="Q697" s="1368">
        <f t="shared" si="223"/>
        <v>0</v>
      </c>
      <c r="R697" s="1368">
        <f t="shared" si="223"/>
        <v>0</v>
      </c>
      <c r="T697" s="1369">
        <v>0.02</v>
      </c>
      <c r="U697" s="1369">
        <v>0.02</v>
      </c>
      <c r="V697" s="1369">
        <v>0.02</v>
      </c>
      <c r="W697" s="1369">
        <v>0.02</v>
      </c>
      <c r="X697" s="1369">
        <v>0.02</v>
      </c>
      <c r="Y697" s="1367"/>
      <c r="Z697" s="1370">
        <v>0</v>
      </c>
      <c r="AA697" s="1370">
        <v>0</v>
      </c>
      <c r="AB697" s="1370">
        <v>0</v>
      </c>
      <c r="AC697" s="1370">
        <v>0</v>
      </c>
      <c r="AD697" s="1370">
        <v>0</v>
      </c>
      <c r="AK697" s="1354">
        <f t="shared" si="216"/>
        <v>0</v>
      </c>
      <c r="AL697" s="1352">
        <f t="shared" si="224"/>
        <v>53</v>
      </c>
      <c r="AM697" s="1354">
        <f t="shared" si="204"/>
        <v>0</v>
      </c>
      <c r="AN697" s="1352" t="str">
        <f t="shared" si="193"/>
        <v>Fire Department (Fire Prevention, Uniform Fire Code) (Inside CAP) Other Expenses</v>
      </c>
    </row>
    <row r="698" spans="1:40" x14ac:dyDescent="0.2">
      <c r="A698" s="1324" t="str">
        <f>A697</f>
        <v>25-265</v>
      </c>
      <c r="B698" s="1324" t="s">
        <v>5866</v>
      </c>
      <c r="C698" s="1353">
        <f>'Key Metrics'!$E$244</f>
        <v>0</v>
      </c>
      <c r="D698" s="1353">
        <f>'Key Metrics'!$I$244</f>
        <v>0</v>
      </c>
      <c r="E698" s="1351">
        <f t="shared" si="206"/>
        <v>0</v>
      </c>
      <c r="F698" s="1353">
        <f t="shared" si="218"/>
        <v>0</v>
      </c>
      <c r="G698" s="1353">
        <f t="shared" si="219"/>
        <v>0</v>
      </c>
      <c r="H698" s="1353">
        <f t="shared" si="220"/>
        <v>0</v>
      </c>
      <c r="I698" s="1353">
        <f t="shared" si="221"/>
        <v>0</v>
      </c>
      <c r="J698" s="1353">
        <f t="shared" si="222"/>
        <v>0</v>
      </c>
      <c r="M698" s="1324" t="str">
        <f t="shared" si="212"/>
        <v>Fire Department (Fire Prevention, Uniform Fire Code) (Inside CAP) Unclassified</v>
      </c>
      <c r="N698" s="1368">
        <f t="shared" si="213"/>
        <v>0</v>
      </c>
      <c r="O698" s="1368">
        <f t="shared" si="223"/>
        <v>0</v>
      </c>
      <c r="P698" s="1368">
        <f t="shared" si="223"/>
        <v>0</v>
      </c>
      <c r="Q698" s="1368">
        <f t="shared" si="223"/>
        <v>0</v>
      </c>
      <c r="R698" s="1368">
        <f t="shared" si="223"/>
        <v>0</v>
      </c>
      <c r="T698" s="1369">
        <v>0.02</v>
      </c>
      <c r="U698" s="1369">
        <v>0.02</v>
      </c>
      <c r="V698" s="1369">
        <v>0.02</v>
      </c>
      <c r="W698" s="1369">
        <v>0.02</v>
      </c>
      <c r="X698" s="1369">
        <v>0.02</v>
      </c>
      <c r="Y698" s="1367"/>
      <c r="Z698" s="1370">
        <v>0</v>
      </c>
      <c r="AA698" s="1370">
        <v>0</v>
      </c>
      <c r="AB698" s="1370">
        <v>0</v>
      </c>
      <c r="AC698" s="1370">
        <v>0</v>
      </c>
      <c r="AD698" s="1370">
        <v>0</v>
      </c>
      <c r="AK698" s="1354">
        <f t="shared" si="216"/>
        <v>0</v>
      </c>
      <c r="AL698" s="1352">
        <f t="shared" si="224"/>
        <v>53</v>
      </c>
      <c r="AM698" s="1354">
        <f t="shared" si="204"/>
        <v>0</v>
      </c>
      <c r="AN698" s="1352" t="str">
        <f t="shared" si="193"/>
        <v>Fire Department (Fire Prevention, Uniform Fire Code) (Inside CAP) Unclassified</v>
      </c>
    </row>
    <row r="699" spans="1:40" x14ac:dyDescent="0.2">
      <c r="A699" s="1324" t="s">
        <v>5455</v>
      </c>
      <c r="B699" s="1324" t="s">
        <v>5681</v>
      </c>
      <c r="C699" s="1353">
        <f>'Key Metrics'!$C$245</f>
        <v>0</v>
      </c>
      <c r="D699" s="1353">
        <f>'Key Metrics'!$G$245</f>
        <v>0</v>
      </c>
      <c r="E699" s="1351">
        <f t="shared" si="206"/>
        <v>0</v>
      </c>
      <c r="F699" s="1353">
        <f t="shared" si="218"/>
        <v>0</v>
      </c>
      <c r="G699" s="1353">
        <f t="shared" si="219"/>
        <v>0</v>
      </c>
      <c r="H699" s="1353">
        <f t="shared" si="220"/>
        <v>0</v>
      </c>
      <c r="I699" s="1353">
        <f t="shared" si="221"/>
        <v>0</v>
      </c>
      <c r="J699" s="1353">
        <f t="shared" si="222"/>
        <v>0</v>
      </c>
      <c r="M699" s="1324" t="str">
        <f t="shared" si="212"/>
        <v>County Sheriff's Department Salaries &amp; Wages</v>
      </c>
      <c r="N699" s="1368">
        <f t="shared" si="213"/>
        <v>0</v>
      </c>
      <c r="O699" s="1368">
        <f t="shared" si="223"/>
        <v>0</v>
      </c>
      <c r="P699" s="1368">
        <f t="shared" si="223"/>
        <v>0</v>
      </c>
      <c r="Q699" s="1368">
        <f t="shared" si="223"/>
        <v>0</v>
      </c>
      <c r="R699" s="1368">
        <f t="shared" si="223"/>
        <v>0</v>
      </c>
      <c r="T699" s="1369">
        <v>0.02</v>
      </c>
      <c r="U699" s="1369">
        <v>0.02</v>
      </c>
      <c r="V699" s="1369">
        <v>0.02</v>
      </c>
      <c r="W699" s="1369">
        <v>0.02</v>
      </c>
      <c r="X699" s="1369">
        <v>0.02</v>
      </c>
      <c r="Y699" s="1367"/>
      <c r="Z699" s="1370">
        <v>0</v>
      </c>
      <c r="AA699" s="1370">
        <v>0</v>
      </c>
      <c r="AB699" s="1370">
        <v>0</v>
      </c>
      <c r="AC699" s="1370">
        <v>0</v>
      </c>
      <c r="AD699" s="1370">
        <v>0</v>
      </c>
      <c r="AK699" s="1354">
        <f t="shared" si="216"/>
        <v>0</v>
      </c>
      <c r="AL699" s="1352">
        <f t="shared" si="224"/>
        <v>53</v>
      </c>
      <c r="AM699" s="1354">
        <f t="shared" si="204"/>
        <v>0</v>
      </c>
      <c r="AN699" s="1352" t="str">
        <f t="shared" ref="AN699:AN762" si="225">B699</f>
        <v>County Sheriff's Department Salaries &amp; Wages</v>
      </c>
    </row>
    <row r="700" spans="1:40" x14ac:dyDescent="0.2">
      <c r="A700" s="1324" t="str">
        <f>A699</f>
        <v>25-270</v>
      </c>
      <c r="B700" s="1324" t="s">
        <v>5867</v>
      </c>
      <c r="C700" s="1353">
        <f>'Key Metrics'!$D$245</f>
        <v>0</v>
      </c>
      <c r="D700" s="1353">
        <f>'Key Metrics'!$H$245</f>
        <v>0</v>
      </c>
      <c r="E700" s="1351">
        <f t="shared" si="206"/>
        <v>0</v>
      </c>
      <c r="F700" s="1353">
        <f t="shared" si="218"/>
        <v>0</v>
      </c>
      <c r="G700" s="1353">
        <f t="shared" si="219"/>
        <v>0</v>
      </c>
      <c r="H700" s="1353">
        <f t="shared" si="220"/>
        <v>0</v>
      </c>
      <c r="I700" s="1353">
        <f t="shared" si="221"/>
        <v>0</v>
      </c>
      <c r="J700" s="1353">
        <f t="shared" si="222"/>
        <v>0</v>
      </c>
      <c r="M700" s="1324" t="str">
        <f t="shared" si="212"/>
        <v>County Sheriff's Department Other Expenses</v>
      </c>
      <c r="N700" s="1368">
        <f t="shared" si="213"/>
        <v>0</v>
      </c>
      <c r="O700" s="1368">
        <f t="shared" si="223"/>
        <v>0</v>
      </c>
      <c r="P700" s="1368">
        <f t="shared" si="223"/>
        <v>0</v>
      </c>
      <c r="Q700" s="1368">
        <f t="shared" si="223"/>
        <v>0</v>
      </c>
      <c r="R700" s="1368">
        <f t="shared" si="223"/>
        <v>0</v>
      </c>
      <c r="T700" s="1369">
        <v>0.02</v>
      </c>
      <c r="U700" s="1369">
        <v>0.02</v>
      </c>
      <c r="V700" s="1369">
        <v>0.02</v>
      </c>
      <c r="W700" s="1369">
        <v>0.02</v>
      </c>
      <c r="X700" s="1369">
        <v>0.02</v>
      </c>
      <c r="Y700" s="1367"/>
      <c r="Z700" s="1370">
        <v>0</v>
      </c>
      <c r="AA700" s="1370">
        <v>0</v>
      </c>
      <c r="AB700" s="1370">
        <v>0</v>
      </c>
      <c r="AC700" s="1370">
        <v>0</v>
      </c>
      <c r="AD700" s="1370">
        <v>0</v>
      </c>
      <c r="AK700" s="1354">
        <f t="shared" si="216"/>
        <v>0</v>
      </c>
      <c r="AL700" s="1352">
        <f t="shared" si="224"/>
        <v>53</v>
      </c>
      <c r="AM700" s="1354">
        <f t="shared" ref="AM700:AM763" si="226">J700-D700</f>
        <v>0</v>
      </c>
      <c r="AN700" s="1352" t="str">
        <f t="shared" si="225"/>
        <v>County Sheriff's Department Other Expenses</v>
      </c>
    </row>
    <row r="701" spans="1:40" x14ac:dyDescent="0.2">
      <c r="A701" s="1324" t="str">
        <f>A700</f>
        <v>25-270</v>
      </c>
      <c r="B701" s="1324" t="s">
        <v>5868</v>
      </c>
      <c r="C701" s="1353">
        <f>'Key Metrics'!$E$245</f>
        <v>0</v>
      </c>
      <c r="D701" s="1353">
        <f>'Key Metrics'!$I$245</f>
        <v>0</v>
      </c>
      <c r="E701" s="1351">
        <f t="shared" si="206"/>
        <v>0</v>
      </c>
      <c r="F701" s="1353">
        <f t="shared" si="218"/>
        <v>0</v>
      </c>
      <c r="G701" s="1353">
        <f t="shared" si="219"/>
        <v>0</v>
      </c>
      <c r="H701" s="1353">
        <f t="shared" si="220"/>
        <v>0</v>
      </c>
      <c r="I701" s="1353">
        <f t="shared" si="221"/>
        <v>0</v>
      </c>
      <c r="J701" s="1353">
        <f t="shared" si="222"/>
        <v>0</v>
      </c>
      <c r="M701" s="1324" t="str">
        <f t="shared" si="212"/>
        <v>County Sheriff's Department Unclassified</v>
      </c>
      <c r="N701" s="1368">
        <f t="shared" si="213"/>
        <v>0</v>
      </c>
      <c r="O701" s="1368">
        <f t="shared" si="223"/>
        <v>0</v>
      </c>
      <c r="P701" s="1368">
        <f t="shared" si="223"/>
        <v>0</v>
      </c>
      <c r="Q701" s="1368">
        <f t="shared" si="223"/>
        <v>0</v>
      </c>
      <c r="R701" s="1368">
        <f t="shared" si="223"/>
        <v>0</v>
      </c>
      <c r="T701" s="1369">
        <v>0.02</v>
      </c>
      <c r="U701" s="1369">
        <v>0.02</v>
      </c>
      <c r="V701" s="1369">
        <v>0.02</v>
      </c>
      <c r="W701" s="1369">
        <v>0.02</v>
      </c>
      <c r="X701" s="1369">
        <v>0.02</v>
      </c>
      <c r="Y701" s="1367"/>
      <c r="Z701" s="1370">
        <v>0</v>
      </c>
      <c r="AA701" s="1370">
        <v>0</v>
      </c>
      <c r="AB701" s="1370">
        <v>0</v>
      </c>
      <c r="AC701" s="1370">
        <v>0</v>
      </c>
      <c r="AD701" s="1370">
        <v>0</v>
      </c>
      <c r="AK701" s="1354">
        <f t="shared" si="216"/>
        <v>0</v>
      </c>
      <c r="AL701" s="1352">
        <f t="shared" si="224"/>
        <v>53</v>
      </c>
      <c r="AM701" s="1354">
        <f t="shared" si="226"/>
        <v>0</v>
      </c>
      <c r="AN701" s="1352" t="str">
        <f t="shared" si="225"/>
        <v>County Sheriff's Department Unclassified</v>
      </c>
    </row>
    <row r="702" spans="1:40" x14ac:dyDescent="0.2">
      <c r="A702" s="1324" t="s">
        <v>5166</v>
      </c>
      <c r="B702" s="1324" t="s">
        <v>5682</v>
      </c>
      <c r="C702" s="1353">
        <f>'Key Metrics'!$C$246</f>
        <v>0</v>
      </c>
      <c r="D702" s="1353">
        <f>'Key Metrics'!$G$246</f>
        <v>0</v>
      </c>
      <c r="E702" s="1351">
        <f t="shared" si="206"/>
        <v>0</v>
      </c>
      <c r="F702" s="1353">
        <f t="shared" si="218"/>
        <v>0</v>
      </c>
      <c r="G702" s="1353">
        <f t="shared" si="219"/>
        <v>0</v>
      </c>
      <c r="H702" s="1353">
        <f t="shared" si="220"/>
        <v>0</v>
      </c>
      <c r="I702" s="1353">
        <f t="shared" si="221"/>
        <v>0</v>
      </c>
      <c r="J702" s="1353">
        <f t="shared" si="222"/>
        <v>0</v>
      </c>
      <c r="M702" s="1324" t="str">
        <f t="shared" si="212"/>
        <v>Municipal/County Prosecutor's Office Salaries &amp; Wages</v>
      </c>
      <c r="N702" s="1368">
        <f t="shared" si="213"/>
        <v>0</v>
      </c>
      <c r="O702" s="1368">
        <f t="shared" si="223"/>
        <v>0</v>
      </c>
      <c r="P702" s="1368">
        <f t="shared" si="223"/>
        <v>0</v>
      </c>
      <c r="Q702" s="1368">
        <f t="shared" si="223"/>
        <v>0</v>
      </c>
      <c r="R702" s="1368">
        <f t="shared" si="223"/>
        <v>0</v>
      </c>
      <c r="T702" s="1369">
        <v>0.02</v>
      </c>
      <c r="U702" s="1369">
        <v>0.02</v>
      </c>
      <c r="V702" s="1369">
        <v>0.02</v>
      </c>
      <c r="W702" s="1369">
        <v>0.02</v>
      </c>
      <c r="X702" s="1369">
        <v>0.02</v>
      </c>
      <c r="Y702" s="1367"/>
      <c r="Z702" s="1370">
        <v>0</v>
      </c>
      <c r="AA702" s="1370">
        <v>0</v>
      </c>
      <c r="AB702" s="1370">
        <v>0</v>
      </c>
      <c r="AC702" s="1370">
        <v>0</v>
      </c>
      <c r="AD702" s="1370">
        <v>0</v>
      </c>
      <c r="AK702" s="1354">
        <f t="shared" si="216"/>
        <v>0</v>
      </c>
      <c r="AL702" s="1352">
        <f t="shared" si="224"/>
        <v>53</v>
      </c>
      <c r="AM702" s="1354">
        <f t="shared" si="226"/>
        <v>0</v>
      </c>
      <c r="AN702" s="1352" t="str">
        <f t="shared" si="225"/>
        <v>Municipal/County Prosecutor's Office Salaries &amp; Wages</v>
      </c>
    </row>
    <row r="703" spans="1:40" x14ac:dyDescent="0.2">
      <c r="A703" s="1324" t="str">
        <f>A702</f>
        <v>25-275</v>
      </c>
      <c r="B703" s="1324" t="s">
        <v>5869</v>
      </c>
      <c r="C703" s="1353">
        <f>'Key Metrics'!$D$246</f>
        <v>0</v>
      </c>
      <c r="D703" s="1353">
        <f>'Key Metrics'!$H$246</f>
        <v>0</v>
      </c>
      <c r="E703" s="1351">
        <f t="shared" si="206"/>
        <v>0</v>
      </c>
      <c r="F703" s="1353">
        <f t="shared" si="218"/>
        <v>0</v>
      </c>
      <c r="G703" s="1353">
        <f t="shared" si="219"/>
        <v>0</v>
      </c>
      <c r="H703" s="1353">
        <f t="shared" si="220"/>
        <v>0</v>
      </c>
      <c r="I703" s="1353">
        <f t="shared" si="221"/>
        <v>0</v>
      </c>
      <c r="J703" s="1353">
        <f t="shared" si="222"/>
        <v>0</v>
      </c>
      <c r="M703" s="1324" t="str">
        <f t="shared" si="212"/>
        <v>Municipal/County Prosecutor's Office Other Expenses</v>
      </c>
      <c r="N703" s="1368">
        <f t="shared" si="213"/>
        <v>0</v>
      </c>
      <c r="O703" s="1368">
        <f t="shared" si="223"/>
        <v>0</v>
      </c>
      <c r="P703" s="1368">
        <f t="shared" si="223"/>
        <v>0</v>
      </c>
      <c r="Q703" s="1368">
        <f t="shared" si="223"/>
        <v>0</v>
      </c>
      <c r="R703" s="1368">
        <f t="shared" si="223"/>
        <v>0</v>
      </c>
      <c r="T703" s="1369">
        <v>0.02</v>
      </c>
      <c r="U703" s="1369">
        <v>0.02</v>
      </c>
      <c r="V703" s="1369">
        <v>0.02</v>
      </c>
      <c r="W703" s="1369">
        <v>0.02</v>
      </c>
      <c r="X703" s="1369">
        <v>0.02</v>
      </c>
      <c r="Y703" s="1367"/>
      <c r="Z703" s="1370">
        <v>0</v>
      </c>
      <c r="AA703" s="1370">
        <v>0</v>
      </c>
      <c r="AB703" s="1370">
        <v>0</v>
      </c>
      <c r="AC703" s="1370">
        <v>0</v>
      </c>
      <c r="AD703" s="1370">
        <v>0</v>
      </c>
      <c r="AK703" s="1354">
        <f t="shared" si="216"/>
        <v>0</v>
      </c>
      <c r="AL703" s="1352">
        <f t="shared" si="224"/>
        <v>53</v>
      </c>
      <c r="AM703" s="1354">
        <f t="shared" si="226"/>
        <v>0</v>
      </c>
      <c r="AN703" s="1352" t="str">
        <f t="shared" si="225"/>
        <v>Municipal/County Prosecutor's Office Other Expenses</v>
      </c>
    </row>
    <row r="704" spans="1:40" x14ac:dyDescent="0.2">
      <c r="A704" s="1324" t="str">
        <f>A703</f>
        <v>25-275</v>
      </c>
      <c r="B704" s="1324" t="s">
        <v>5870</v>
      </c>
      <c r="C704" s="1353">
        <f>'Key Metrics'!$E$246</f>
        <v>0</v>
      </c>
      <c r="D704" s="1353">
        <f>'Key Metrics'!$I$246</f>
        <v>0</v>
      </c>
      <c r="E704" s="1351">
        <f t="shared" si="206"/>
        <v>0</v>
      </c>
      <c r="F704" s="1353">
        <f t="shared" si="218"/>
        <v>0</v>
      </c>
      <c r="G704" s="1353">
        <f t="shared" si="219"/>
        <v>0</v>
      </c>
      <c r="H704" s="1353">
        <f t="shared" si="220"/>
        <v>0</v>
      </c>
      <c r="I704" s="1353">
        <f t="shared" si="221"/>
        <v>0</v>
      </c>
      <c r="J704" s="1353">
        <f t="shared" si="222"/>
        <v>0</v>
      </c>
      <c r="M704" s="1324" t="str">
        <f t="shared" si="212"/>
        <v>Municipal/County Prosecutor's Office Unclassified</v>
      </c>
      <c r="N704" s="1368">
        <f t="shared" si="213"/>
        <v>0</v>
      </c>
      <c r="O704" s="1368">
        <f t="shared" si="223"/>
        <v>0</v>
      </c>
      <c r="P704" s="1368">
        <f t="shared" si="223"/>
        <v>0</v>
      </c>
      <c r="Q704" s="1368">
        <f t="shared" si="223"/>
        <v>0</v>
      </c>
      <c r="R704" s="1368">
        <f t="shared" si="223"/>
        <v>0</v>
      </c>
      <c r="T704" s="1369">
        <v>0.02</v>
      </c>
      <c r="U704" s="1369">
        <v>0.02</v>
      </c>
      <c r="V704" s="1369">
        <v>0.02</v>
      </c>
      <c r="W704" s="1369">
        <v>0.02</v>
      </c>
      <c r="X704" s="1369">
        <v>0.02</v>
      </c>
      <c r="Y704" s="1367"/>
      <c r="Z704" s="1370">
        <v>0</v>
      </c>
      <c r="AA704" s="1370">
        <v>0</v>
      </c>
      <c r="AB704" s="1370">
        <v>0</v>
      </c>
      <c r="AC704" s="1370">
        <v>0</v>
      </c>
      <c r="AD704" s="1370">
        <v>0</v>
      </c>
      <c r="AK704" s="1354">
        <f t="shared" si="216"/>
        <v>0</v>
      </c>
      <c r="AL704" s="1352">
        <f t="shared" si="224"/>
        <v>53</v>
      </c>
      <c r="AM704" s="1354">
        <f t="shared" si="226"/>
        <v>0</v>
      </c>
      <c r="AN704" s="1352" t="str">
        <f t="shared" si="225"/>
        <v>Municipal/County Prosecutor's Office Unclassified</v>
      </c>
    </row>
    <row r="705" spans="1:40" x14ac:dyDescent="0.2">
      <c r="A705" s="1324" t="s">
        <v>5167</v>
      </c>
      <c r="B705" s="1324" t="s">
        <v>5683</v>
      </c>
      <c r="C705" s="1353">
        <f>'Key Metrics'!$C$247</f>
        <v>0</v>
      </c>
      <c r="D705" s="1353">
        <f>'Key Metrics'!$G$247</f>
        <v>0</v>
      </c>
      <c r="E705" s="1351">
        <f t="shared" si="206"/>
        <v>0</v>
      </c>
      <c r="F705" s="1353">
        <f t="shared" si="218"/>
        <v>0</v>
      </c>
      <c r="G705" s="1353">
        <f t="shared" si="219"/>
        <v>0</v>
      </c>
      <c r="H705" s="1353">
        <f t="shared" si="220"/>
        <v>0</v>
      </c>
      <c r="I705" s="1353">
        <f t="shared" si="221"/>
        <v>0</v>
      </c>
      <c r="J705" s="1353">
        <f t="shared" si="222"/>
        <v>0</v>
      </c>
      <c r="M705" s="1324" t="str">
        <f t="shared" si="212"/>
        <v>Operation of Municipal/County Jail System Salaries &amp; Wages</v>
      </c>
      <c r="N705" s="1368">
        <f t="shared" si="213"/>
        <v>0</v>
      </c>
      <c r="O705" s="1368">
        <f t="shared" si="223"/>
        <v>0</v>
      </c>
      <c r="P705" s="1368">
        <f t="shared" si="223"/>
        <v>0</v>
      </c>
      <c r="Q705" s="1368">
        <f t="shared" si="223"/>
        <v>0</v>
      </c>
      <c r="R705" s="1368">
        <f t="shared" si="223"/>
        <v>0</v>
      </c>
      <c r="T705" s="1369">
        <v>0.02</v>
      </c>
      <c r="U705" s="1369">
        <v>0.02</v>
      </c>
      <c r="V705" s="1369">
        <v>0.02</v>
      </c>
      <c r="W705" s="1369">
        <v>0.02</v>
      </c>
      <c r="X705" s="1369">
        <v>0.02</v>
      </c>
      <c r="Y705" s="1367"/>
      <c r="Z705" s="1370">
        <v>0</v>
      </c>
      <c r="AA705" s="1370">
        <v>0</v>
      </c>
      <c r="AB705" s="1370">
        <v>0</v>
      </c>
      <c r="AC705" s="1370">
        <v>0</v>
      </c>
      <c r="AD705" s="1370">
        <v>0</v>
      </c>
      <c r="AK705" s="1354">
        <f t="shared" si="216"/>
        <v>0</v>
      </c>
      <c r="AL705" s="1352">
        <f t="shared" si="224"/>
        <v>53</v>
      </c>
      <c r="AM705" s="1354">
        <f t="shared" si="226"/>
        <v>0</v>
      </c>
      <c r="AN705" s="1352" t="str">
        <f t="shared" si="225"/>
        <v>Operation of Municipal/County Jail System Salaries &amp; Wages</v>
      </c>
    </row>
    <row r="706" spans="1:40" x14ac:dyDescent="0.2">
      <c r="A706" s="1324" t="str">
        <f>A705</f>
        <v>25-280</v>
      </c>
      <c r="B706" s="1324" t="s">
        <v>5871</v>
      </c>
      <c r="C706" s="1353">
        <f>'Key Metrics'!$D$247</f>
        <v>0</v>
      </c>
      <c r="D706" s="1353">
        <f>'Key Metrics'!$H$247</f>
        <v>0</v>
      </c>
      <c r="E706" s="1351">
        <f t="shared" si="206"/>
        <v>0</v>
      </c>
      <c r="F706" s="1353">
        <f t="shared" si="218"/>
        <v>0</v>
      </c>
      <c r="G706" s="1353">
        <f t="shared" si="219"/>
        <v>0</v>
      </c>
      <c r="H706" s="1353">
        <f t="shared" si="220"/>
        <v>0</v>
      </c>
      <c r="I706" s="1353">
        <f t="shared" si="221"/>
        <v>0</v>
      </c>
      <c r="J706" s="1353">
        <f t="shared" si="222"/>
        <v>0</v>
      </c>
      <c r="M706" s="1324" t="str">
        <f t="shared" si="212"/>
        <v>Operation of Municipal/County Jail System Other Expenses</v>
      </c>
      <c r="N706" s="1368">
        <f t="shared" si="213"/>
        <v>0</v>
      </c>
      <c r="O706" s="1368">
        <f t="shared" si="223"/>
        <v>0</v>
      </c>
      <c r="P706" s="1368">
        <f t="shared" si="223"/>
        <v>0</v>
      </c>
      <c r="Q706" s="1368">
        <f t="shared" si="223"/>
        <v>0</v>
      </c>
      <c r="R706" s="1368">
        <f t="shared" si="223"/>
        <v>0</v>
      </c>
      <c r="T706" s="1369">
        <v>0.02</v>
      </c>
      <c r="U706" s="1369">
        <v>0.02</v>
      </c>
      <c r="V706" s="1369">
        <v>0.02</v>
      </c>
      <c r="W706" s="1369">
        <v>0.02</v>
      </c>
      <c r="X706" s="1369">
        <v>0.02</v>
      </c>
      <c r="Y706" s="1367"/>
      <c r="Z706" s="1370">
        <v>0</v>
      </c>
      <c r="AA706" s="1370">
        <v>0</v>
      </c>
      <c r="AB706" s="1370">
        <v>0</v>
      </c>
      <c r="AC706" s="1370">
        <v>0</v>
      </c>
      <c r="AD706" s="1370">
        <v>0</v>
      </c>
      <c r="AK706" s="1354">
        <f t="shared" si="216"/>
        <v>0</v>
      </c>
      <c r="AL706" s="1352">
        <f t="shared" si="224"/>
        <v>53</v>
      </c>
      <c r="AM706" s="1354">
        <f t="shared" si="226"/>
        <v>0</v>
      </c>
      <c r="AN706" s="1352" t="str">
        <f t="shared" si="225"/>
        <v>Operation of Municipal/County Jail System Other Expenses</v>
      </c>
    </row>
    <row r="707" spans="1:40" x14ac:dyDescent="0.2">
      <c r="A707" s="1324" t="str">
        <f>A706</f>
        <v>25-280</v>
      </c>
      <c r="B707" s="1324" t="s">
        <v>5872</v>
      </c>
      <c r="C707" s="1353">
        <f>'Key Metrics'!$E$247</f>
        <v>0</v>
      </c>
      <c r="D707" s="1353">
        <f>'Key Metrics'!$I$247</f>
        <v>0</v>
      </c>
      <c r="E707" s="1351">
        <f t="shared" si="206"/>
        <v>0</v>
      </c>
      <c r="F707" s="1353">
        <f t="shared" si="218"/>
        <v>0</v>
      </c>
      <c r="G707" s="1353">
        <f t="shared" si="219"/>
        <v>0</v>
      </c>
      <c r="H707" s="1353">
        <f t="shared" si="220"/>
        <v>0</v>
      </c>
      <c r="I707" s="1353">
        <f t="shared" si="221"/>
        <v>0</v>
      </c>
      <c r="J707" s="1353">
        <f t="shared" si="222"/>
        <v>0</v>
      </c>
      <c r="M707" s="1324" t="str">
        <f t="shared" si="212"/>
        <v>Operation of Municipal/County Jail System Unclassified</v>
      </c>
      <c r="N707" s="1368">
        <f t="shared" si="213"/>
        <v>0</v>
      </c>
      <c r="O707" s="1368">
        <f t="shared" si="223"/>
        <v>0</v>
      </c>
      <c r="P707" s="1368">
        <f t="shared" si="223"/>
        <v>0</v>
      </c>
      <c r="Q707" s="1368">
        <f t="shared" si="223"/>
        <v>0</v>
      </c>
      <c r="R707" s="1368">
        <f t="shared" si="223"/>
        <v>0</v>
      </c>
      <c r="T707" s="1369">
        <v>0.02</v>
      </c>
      <c r="U707" s="1369">
        <v>0.02</v>
      </c>
      <c r="V707" s="1369">
        <v>0.02</v>
      </c>
      <c r="W707" s="1369">
        <v>0.02</v>
      </c>
      <c r="X707" s="1369">
        <v>0.02</v>
      </c>
      <c r="Y707" s="1367"/>
      <c r="Z707" s="1370">
        <v>0</v>
      </c>
      <c r="AA707" s="1370">
        <v>0</v>
      </c>
      <c r="AB707" s="1370">
        <v>0</v>
      </c>
      <c r="AC707" s="1370">
        <v>0</v>
      </c>
      <c r="AD707" s="1370">
        <v>0</v>
      </c>
      <c r="AK707" s="1354">
        <f t="shared" si="216"/>
        <v>0</v>
      </c>
      <c r="AL707" s="1352">
        <f t="shared" si="224"/>
        <v>53</v>
      </c>
      <c r="AM707" s="1354">
        <f t="shared" si="226"/>
        <v>0</v>
      </c>
      <c r="AN707" s="1352" t="str">
        <f t="shared" si="225"/>
        <v>Operation of Municipal/County Jail System Unclassified</v>
      </c>
    </row>
    <row r="708" spans="1:40" x14ac:dyDescent="0.2">
      <c r="A708" s="1324" t="s">
        <v>5095</v>
      </c>
      <c r="B708" s="1324" t="s">
        <v>5684</v>
      </c>
      <c r="C708" s="1353">
        <f>'Key Metrics'!$C$248</f>
        <v>0</v>
      </c>
      <c r="D708" s="1353">
        <f>'Key Metrics'!$G$248</f>
        <v>0</v>
      </c>
      <c r="E708" s="1351">
        <f t="shared" si="206"/>
        <v>0</v>
      </c>
      <c r="F708" s="1353">
        <f t="shared" si="218"/>
        <v>0</v>
      </c>
      <c r="G708" s="1353">
        <f t="shared" si="219"/>
        <v>0</v>
      </c>
      <c r="H708" s="1353">
        <f t="shared" si="220"/>
        <v>0</v>
      </c>
      <c r="I708" s="1353">
        <f t="shared" si="221"/>
        <v>0</v>
      </c>
      <c r="J708" s="1353">
        <f t="shared" si="222"/>
        <v>0</v>
      </c>
      <c r="M708" s="1324" t="str">
        <f t="shared" si="212"/>
        <v>Length of Service Awards Program (LOSAP) (Outside CAP) Salaries &amp; Wages</v>
      </c>
      <c r="N708" s="1368">
        <f t="shared" si="213"/>
        <v>0</v>
      </c>
      <c r="O708" s="1368">
        <f t="shared" ref="O708:R710" si="227">N708</f>
        <v>0</v>
      </c>
      <c r="P708" s="1368">
        <f t="shared" si="227"/>
        <v>0</v>
      </c>
      <c r="Q708" s="1368">
        <f t="shared" si="227"/>
        <v>0</v>
      </c>
      <c r="R708" s="1368">
        <f t="shared" si="227"/>
        <v>0</v>
      </c>
      <c r="T708" s="1369">
        <v>0.02</v>
      </c>
      <c r="U708" s="1369">
        <v>0.02</v>
      </c>
      <c r="V708" s="1369">
        <v>0.02</v>
      </c>
      <c r="W708" s="1369">
        <v>0.02</v>
      </c>
      <c r="X708" s="1369">
        <v>0.02</v>
      </c>
      <c r="Y708" s="1367"/>
      <c r="Z708" s="1370">
        <v>0</v>
      </c>
      <c r="AA708" s="1370">
        <v>0</v>
      </c>
      <c r="AB708" s="1370">
        <v>0</v>
      </c>
      <c r="AC708" s="1370">
        <v>0</v>
      </c>
      <c r="AD708" s="1370">
        <v>0</v>
      </c>
      <c r="AK708" s="1354">
        <f t="shared" si="216"/>
        <v>0</v>
      </c>
      <c r="AL708" s="1352">
        <f t="shared" si="224"/>
        <v>53</v>
      </c>
      <c r="AM708" s="1354">
        <f t="shared" si="226"/>
        <v>0</v>
      </c>
      <c r="AN708" s="1352" t="str">
        <f t="shared" si="225"/>
        <v>Length of Service Awards Program (LOSAP) (Outside CAP) Salaries &amp; Wages</v>
      </c>
    </row>
    <row r="709" spans="1:40" x14ac:dyDescent="0.2">
      <c r="A709" s="1324" t="str">
        <f>A708</f>
        <v>25-286</v>
      </c>
      <c r="B709" s="1324" t="s">
        <v>5873</v>
      </c>
      <c r="C709" s="1353">
        <f>'Key Metrics'!$D$248</f>
        <v>0</v>
      </c>
      <c r="D709" s="1353">
        <f>'Key Metrics'!$H$248</f>
        <v>0</v>
      </c>
      <c r="E709" s="1351">
        <f t="shared" si="206"/>
        <v>0</v>
      </c>
      <c r="F709" s="1353">
        <f t="shared" si="218"/>
        <v>0</v>
      </c>
      <c r="G709" s="1353">
        <f t="shared" si="219"/>
        <v>0</v>
      </c>
      <c r="H709" s="1353">
        <f t="shared" si="220"/>
        <v>0</v>
      </c>
      <c r="I709" s="1353">
        <f t="shared" si="221"/>
        <v>0</v>
      </c>
      <c r="J709" s="1353">
        <f t="shared" si="222"/>
        <v>0</v>
      </c>
      <c r="M709" s="1324" t="str">
        <f t="shared" si="212"/>
        <v>Length of Service Awards Program (LOSAP) (Outside CAP) Other Expenses</v>
      </c>
      <c r="N709" s="1368">
        <f t="shared" si="213"/>
        <v>0</v>
      </c>
      <c r="O709" s="1368">
        <f t="shared" si="227"/>
        <v>0</v>
      </c>
      <c r="P709" s="1368">
        <f t="shared" si="227"/>
        <v>0</v>
      </c>
      <c r="Q709" s="1368">
        <f t="shared" si="227"/>
        <v>0</v>
      </c>
      <c r="R709" s="1368">
        <f t="shared" si="227"/>
        <v>0</v>
      </c>
      <c r="T709" s="1369">
        <v>0.02</v>
      </c>
      <c r="U709" s="1369">
        <v>0.02</v>
      </c>
      <c r="V709" s="1369">
        <v>0.02</v>
      </c>
      <c r="W709" s="1369">
        <v>0.02</v>
      </c>
      <c r="X709" s="1369">
        <v>0.02</v>
      </c>
      <c r="Y709" s="1367"/>
      <c r="Z709" s="1370">
        <v>0</v>
      </c>
      <c r="AA709" s="1370">
        <v>0</v>
      </c>
      <c r="AB709" s="1370">
        <v>0</v>
      </c>
      <c r="AC709" s="1370">
        <v>0</v>
      </c>
      <c r="AD709" s="1370">
        <v>0</v>
      </c>
      <c r="AK709" s="1354">
        <f t="shared" si="216"/>
        <v>0</v>
      </c>
      <c r="AL709" s="1352">
        <f t="shared" si="224"/>
        <v>53</v>
      </c>
      <c r="AM709" s="1354">
        <f t="shared" si="226"/>
        <v>0</v>
      </c>
      <c r="AN709" s="1352" t="str">
        <f t="shared" si="225"/>
        <v>Length of Service Awards Program (LOSAP) (Outside CAP) Other Expenses</v>
      </c>
    </row>
    <row r="710" spans="1:40" x14ac:dyDescent="0.2">
      <c r="A710" s="1324" t="str">
        <f>A709</f>
        <v>25-286</v>
      </c>
      <c r="B710" s="1324" t="s">
        <v>5874</v>
      </c>
      <c r="C710" s="1353">
        <f>'Key Metrics'!$E$248</f>
        <v>0</v>
      </c>
      <c r="D710" s="1353">
        <f>'Key Metrics'!$I$248</f>
        <v>0</v>
      </c>
      <c r="E710" s="1351">
        <f t="shared" si="206"/>
        <v>0</v>
      </c>
      <c r="F710" s="1353">
        <f t="shared" si="218"/>
        <v>0</v>
      </c>
      <c r="G710" s="1353">
        <f t="shared" si="219"/>
        <v>0</v>
      </c>
      <c r="H710" s="1353">
        <f t="shared" si="220"/>
        <v>0</v>
      </c>
      <c r="I710" s="1353">
        <f t="shared" si="221"/>
        <v>0</v>
      </c>
      <c r="J710" s="1353">
        <f t="shared" si="222"/>
        <v>0</v>
      </c>
      <c r="M710" s="1324" t="str">
        <f t="shared" si="212"/>
        <v>Length of Service Awards Program (LOSAP) (Outside CAP) Unclassified</v>
      </c>
      <c r="N710" s="1368">
        <f t="shared" si="213"/>
        <v>0</v>
      </c>
      <c r="O710" s="1368">
        <f t="shared" si="227"/>
        <v>0</v>
      </c>
      <c r="P710" s="1368">
        <f t="shared" si="227"/>
        <v>0</v>
      </c>
      <c r="Q710" s="1368">
        <f t="shared" si="227"/>
        <v>0</v>
      </c>
      <c r="R710" s="1368">
        <f t="shared" si="227"/>
        <v>0</v>
      </c>
      <c r="T710" s="1369">
        <v>0.02</v>
      </c>
      <c r="U710" s="1369">
        <v>0.02</v>
      </c>
      <c r="V710" s="1369">
        <v>0.02</v>
      </c>
      <c r="W710" s="1369">
        <v>0.02</v>
      </c>
      <c r="X710" s="1369">
        <v>0.02</v>
      </c>
      <c r="Y710" s="1367"/>
      <c r="Z710" s="1370"/>
      <c r="AA710" s="1370"/>
      <c r="AB710" s="1370"/>
      <c r="AC710" s="1370"/>
      <c r="AD710" s="1370"/>
      <c r="AK710" s="1354">
        <f t="shared" si="216"/>
        <v>0</v>
      </c>
      <c r="AL710" s="1352">
        <f t="shared" si="224"/>
        <v>53</v>
      </c>
      <c r="AM710" s="1354">
        <f t="shared" si="226"/>
        <v>0</v>
      </c>
      <c r="AN710" s="1352" t="str">
        <f t="shared" si="225"/>
        <v>Length of Service Awards Program (LOSAP) (Outside CAP) Unclassified</v>
      </c>
    </row>
    <row r="711" spans="1:40" x14ac:dyDescent="0.2">
      <c r="B711" s="1373" t="s">
        <v>5622</v>
      </c>
      <c r="C711" s="1360">
        <f>SUM(C660:C710)</f>
        <v>22453.87</v>
      </c>
      <c r="D711" s="1360">
        <f>SUM(D660:D710)</f>
        <v>23988</v>
      </c>
      <c r="E711" s="1356">
        <f t="shared" si="206"/>
        <v>6.8323634188672155E-2</v>
      </c>
      <c r="F711" s="1360">
        <f>SUM(F660:F710)</f>
        <v>24467.760000000002</v>
      </c>
      <c r="G711" s="1360">
        <f>SUM(G660:G710)</f>
        <v>24957.1152</v>
      </c>
      <c r="H711" s="1360">
        <f>SUM(H660:H710)</f>
        <v>25456.257504000001</v>
      </c>
      <c r="I711" s="1360">
        <f>SUM(I660:I710)</f>
        <v>25965.38265408</v>
      </c>
      <c r="J711" s="1360">
        <f>SUM(J660:J710)</f>
        <v>26484.690307161603</v>
      </c>
      <c r="N711" s="1328"/>
      <c r="O711" s="1328"/>
      <c r="P711" s="1328"/>
      <c r="Q711" s="1328"/>
      <c r="R711" s="1328"/>
      <c r="T711" s="1371"/>
      <c r="U711" s="1371"/>
      <c r="V711" s="1371"/>
      <c r="W711" s="1371"/>
      <c r="X711" s="1371"/>
      <c r="Y711" s="1367"/>
      <c r="Z711" s="1372"/>
      <c r="AA711" s="1372"/>
      <c r="AB711" s="1372"/>
      <c r="AC711" s="1372"/>
      <c r="AD711" s="1372"/>
      <c r="AK711" s="1354"/>
      <c r="AL711" s="1352"/>
      <c r="AM711" s="1354"/>
      <c r="AN711" s="1352"/>
    </row>
    <row r="712" spans="1:40" x14ac:dyDescent="0.2">
      <c r="E712" s="1351"/>
      <c r="N712" s="1328"/>
      <c r="O712" s="1328"/>
      <c r="P712" s="1328"/>
      <c r="Q712" s="1328"/>
      <c r="R712" s="1328"/>
      <c r="T712" s="1371"/>
      <c r="U712" s="1371"/>
      <c r="V712" s="1371"/>
      <c r="W712" s="1371"/>
      <c r="X712" s="1371"/>
      <c r="Y712" s="1367"/>
      <c r="Z712" s="1372"/>
      <c r="AA712" s="1372"/>
      <c r="AB712" s="1372"/>
      <c r="AC712" s="1372"/>
      <c r="AD712" s="1372"/>
      <c r="AK712" s="1354"/>
      <c r="AL712" s="1352"/>
      <c r="AM712" s="1354"/>
      <c r="AN712" s="1352"/>
    </row>
    <row r="713" spans="1:40" ht="15" x14ac:dyDescent="0.25">
      <c r="A713" s="1364" t="s">
        <v>5443</v>
      </c>
      <c r="B713" s="1365"/>
      <c r="C713" s="1365"/>
      <c r="D713" s="1365"/>
      <c r="E713" s="1380"/>
      <c r="F713" s="1365"/>
      <c r="G713" s="1365"/>
      <c r="H713" s="1365"/>
      <c r="I713" s="1365"/>
      <c r="J713" s="1365"/>
      <c r="M713" s="1381" t="str">
        <f>A713</f>
        <v>Public Works</v>
      </c>
      <c r="N713" s="1364"/>
      <c r="O713" s="1364"/>
      <c r="P713" s="1364"/>
      <c r="Q713" s="1364"/>
      <c r="R713" s="1364"/>
      <c r="S713" s="1365"/>
      <c r="T713" s="1389"/>
      <c r="U713" s="1389"/>
      <c r="V713" s="1389"/>
      <c r="W713" s="1389"/>
      <c r="X713" s="1389"/>
      <c r="Y713" s="1390"/>
      <c r="Z713" s="1391"/>
      <c r="AA713" s="1391"/>
      <c r="AB713" s="1391"/>
      <c r="AC713" s="1391"/>
      <c r="AD713" s="1391"/>
      <c r="AK713" s="1354"/>
      <c r="AL713" s="1352"/>
      <c r="AM713" s="1354"/>
      <c r="AN713" s="1352"/>
    </row>
    <row r="714" spans="1:40" x14ac:dyDescent="0.2">
      <c r="A714" s="1324" t="s">
        <v>5168</v>
      </c>
      <c r="B714" s="1324" t="s">
        <v>5685</v>
      </c>
      <c r="C714" s="1353">
        <f>'Key Metrics'!$C$252</f>
        <v>0</v>
      </c>
      <c r="D714" s="1353">
        <f>'Key Metrics'!$G$252</f>
        <v>100</v>
      </c>
      <c r="E714" s="1351">
        <f t="shared" ref="E714:E756" si="228">IFERROR(D714/C714-1,0)</f>
        <v>0</v>
      </c>
      <c r="F714" s="1353">
        <f t="shared" ref="F714:F755" si="229">IFERROR(IF($I$3=1,D714*(1+N714),IF($I$3=2,D714*(1+T714),IF($I$3=3,Z714,"--"))),0)</f>
        <v>102</v>
      </c>
      <c r="G714" s="1353">
        <f t="shared" ref="G714:G755" si="230">IFERROR(IF($I$3=1,F714*(1+O714),IF($I$3=2,F714*(1+U714),IF($I$3=3,AA714,"--"))),0)</f>
        <v>104.04</v>
      </c>
      <c r="H714" s="1353">
        <f t="shared" ref="H714:H755" si="231">IFERROR(IF($I$3=1,G714*(1+P714),IF($I$3=2,G714*(1+V714),IF($I$3=3,AB714,"--"))),0)</f>
        <v>106.1208</v>
      </c>
      <c r="I714" s="1353">
        <f t="shared" ref="I714:I755" si="232">IFERROR(IF($I$3=1,H714*(1+Q714),IF($I$3=2,H714*(1+W714),IF($I$3=3,AC714,"--"))),0)</f>
        <v>108.243216</v>
      </c>
      <c r="J714" s="1353">
        <f t="shared" ref="J714:J755" si="233">IFERROR(IF($I$3=1,I714*(1+R714),IF($I$3=2,I714*(1+X714),IF($I$3=3,AD714,"--"))),0)</f>
        <v>110.40808032000001</v>
      </c>
      <c r="M714" s="1324" t="str">
        <f t="shared" ref="M714:M755" si="234">B714</f>
        <v>Streets and Road Maintenance Salaries &amp; Wages</v>
      </c>
      <c r="N714" s="1368">
        <f t="shared" ref="N714:N755" si="235">E714</f>
        <v>0</v>
      </c>
      <c r="O714" s="1368">
        <f t="shared" ref="O714:R729" si="236">N714</f>
        <v>0</v>
      </c>
      <c r="P714" s="1368">
        <f t="shared" si="236"/>
        <v>0</v>
      </c>
      <c r="Q714" s="1368">
        <f t="shared" si="236"/>
        <v>0</v>
      </c>
      <c r="R714" s="1368">
        <f t="shared" si="236"/>
        <v>0</v>
      </c>
      <c r="T714" s="1369">
        <v>0.02</v>
      </c>
      <c r="U714" s="1369">
        <v>0.02</v>
      </c>
      <c r="V714" s="1369">
        <v>0.02</v>
      </c>
      <c r="W714" s="1369">
        <v>0.02</v>
      </c>
      <c r="X714" s="1369">
        <v>0.02</v>
      </c>
      <c r="Y714" s="1367"/>
      <c r="Z714" s="1370">
        <v>0</v>
      </c>
      <c r="AA714" s="1370">
        <v>0</v>
      </c>
      <c r="AB714" s="1370">
        <v>0</v>
      </c>
      <c r="AC714" s="1370">
        <v>0</v>
      </c>
      <c r="AD714" s="1370">
        <v>0</v>
      </c>
      <c r="AK714" s="1354">
        <f t="shared" si="216"/>
        <v>630.81209631999991</v>
      </c>
      <c r="AL714" s="1352">
        <f t="shared" ref="AL714:AL755" si="237">RANK(AM714,$AM$504:$AM$1172,0)</f>
        <v>44</v>
      </c>
      <c r="AM714" s="1354">
        <f t="shared" si="226"/>
        <v>10.40808032000001</v>
      </c>
      <c r="AN714" s="1352" t="str">
        <f t="shared" si="225"/>
        <v>Streets and Road Maintenance Salaries &amp; Wages</v>
      </c>
    </row>
    <row r="715" spans="1:40" x14ac:dyDescent="0.2">
      <c r="A715" s="1324" t="str">
        <f>A714</f>
        <v>26-290</v>
      </c>
      <c r="B715" s="1324" t="s">
        <v>5875</v>
      </c>
      <c r="C715" s="1353">
        <f>'Key Metrics'!$D$252</f>
        <v>17263.599999999999</v>
      </c>
      <c r="D715" s="1353">
        <f>'Key Metrics'!$H$252</f>
        <v>19016.55</v>
      </c>
      <c r="E715" s="1351">
        <f t="shared" si="228"/>
        <v>0.10154023494520259</v>
      </c>
      <c r="F715" s="1353">
        <f t="shared" si="229"/>
        <v>19396.881000000001</v>
      </c>
      <c r="G715" s="1353">
        <f t="shared" si="230"/>
        <v>19784.818620000002</v>
      </c>
      <c r="H715" s="1353">
        <f t="shared" si="231"/>
        <v>20180.514992400003</v>
      </c>
      <c r="I715" s="1353">
        <f t="shared" si="232"/>
        <v>20584.125292248005</v>
      </c>
      <c r="J715" s="1353">
        <f t="shared" si="233"/>
        <v>20995.807798092967</v>
      </c>
      <c r="M715" s="1324" t="str">
        <f t="shared" si="234"/>
        <v>Streets and Road Maintenance Other Expenses</v>
      </c>
      <c r="N715" s="1368">
        <f t="shared" si="235"/>
        <v>0.10154023494520259</v>
      </c>
      <c r="O715" s="1368">
        <f t="shared" si="236"/>
        <v>0.10154023494520259</v>
      </c>
      <c r="P715" s="1368">
        <f t="shared" si="236"/>
        <v>0.10154023494520259</v>
      </c>
      <c r="Q715" s="1368">
        <f t="shared" si="236"/>
        <v>0.10154023494520259</v>
      </c>
      <c r="R715" s="1368">
        <f t="shared" si="236"/>
        <v>0.10154023494520259</v>
      </c>
      <c r="T715" s="1369">
        <v>0.02</v>
      </c>
      <c r="U715" s="1369">
        <v>0.02</v>
      </c>
      <c r="V715" s="1369">
        <v>0.02</v>
      </c>
      <c r="W715" s="1369">
        <v>0.02</v>
      </c>
      <c r="X715" s="1369">
        <v>0.02</v>
      </c>
      <c r="Y715" s="1367"/>
      <c r="Z715" s="1370">
        <v>0</v>
      </c>
      <c r="AA715" s="1370">
        <v>0</v>
      </c>
      <c r="AB715" s="1370">
        <v>0</v>
      </c>
      <c r="AC715" s="1370">
        <v>0</v>
      </c>
      <c r="AD715" s="1370">
        <v>0</v>
      </c>
      <c r="AK715" s="1354">
        <f t="shared" si="216"/>
        <v>137222.29770274097</v>
      </c>
      <c r="AL715" s="1352">
        <f t="shared" si="237"/>
        <v>7</v>
      </c>
      <c r="AM715" s="1354">
        <f t="shared" si="226"/>
        <v>1979.2577980929673</v>
      </c>
      <c r="AN715" s="1352" t="str">
        <f t="shared" si="225"/>
        <v>Streets and Road Maintenance Other Expenses</v>
      </c>
    </row>
    <row r="716" spans="1:40" x14ac:dyDescent="0.2">
      <c r="A716" s="1324" t="str">
        <f>A715</f>
        <v>26-290</v>
      </c>
      <c r="B716" s="1324" t="s">
        <v>5876</v>
      </c>
      <c r="C716" s="1353">
        <f>'Key Metrics'!$E$252</f>
        <v>0</v>
      </c>
      <c r="D716" s="1353">
        <f>'Key Metrics'!$I$252</f>
        <v>0</v>
      </c>
      <c r="E716" s="1351">
        <f t="shared" si="228"/>
        <v>0</v>
      </c>
      <c r="F716" s="1353">
        <f t="shared" si="229"/>
        <v>0</v>
      </c>
      <c r="G716" s="1353">
        <f t="shared" si="230"/>
        <v>0</v>
      </c>
      <c r="H716" s="1353">
        <f t="shared" si="231"/>
        <v>0</v>
      </c>
      <c r="I716" s="1353">
        <f t="shared" si="232"/>
        <v>0</v>
      </c>
      <c r="J716" s="1353">
        <f t="shared" si="233"/>
        <v>0</v>
      </c>
      <c r="M716" s="1324" t="str">
        <f t="shared" si="234"/>
        <v>Streets and Road Maintenance Unclassified</v>
      </c>
      <c r="N716" s="1368">
        <f t="shared" si="235"/>
        <v>0</v>
      </c>
      <c r="O716" s="1368">
        <f t="shared" si="236"/>
        <v>0</v>
      </c>
      <c r="P716" s="1368">
        <f t="shared" si="236"/>
        <v>0</v>
      </c>
      <c r="Q716" s="1368">
        <f t="shared" si="236"/>
        <v>0</v>
      </c>
      <c r="R716" s="1368">
        <f t="shared" si="236"/>
        <v>0</v>
      </c>
      <c r="T716" s="1369">
        <v>0.02</v>
      </c>
      <c r="U716" s="1369">
        <v>0.02</v>
      </c>
      <c r="V716" s="1369">
        <v>0.02</v>
      </c>
      <c r="W716" s="1369">
        <v>0.02</v>
      </c>
      <c r="X716" s="1369">
        <v>0.02</v>
      </c>
      <c r="Y716" s="1367"/>
      <c r="Z716" s="1370">
        <v>0</v>
      </c>
      <c r="AA716" s="1370">
        <v>0</v>
      </c>
      <c r="AB716" s="1370">
        <v>0</v>
      </c>
      <c r="AC716" s="1370">
        <v>0</v>
      </c>
      <c r="AD716" s="1370">
        <v>0</v>
      </c>
      <c r="AK716" s="1354">
        <f t="shared" si="216"/>
        <v>0</v>
      </c>
      <c r="AL716" s="1352">
        <f t="shared" si="237"/>
        <v>53</v>
      </c>
      <c r="AM716" s="1354">
        <f t="shared" si="226"/>
        <v>0</v>
      </c>
      <c r="AN716" s="1352" t="str">
        <f t="shared" si="225"/>
        <v>Streets and Road Maintenance Unclassified</v>
      </c>
    </row>
    <row r="717" spans="1:40" x14ac:dyDescent="0.2">
      <c r="A717" s="1324" t="s">
        <v>5169</v>
      </c>
      <c r="B717" s="1324" t="s">
        <v>5686</v>
      </c>
      <c r="C717" s="1353">
        <f>'Key Metrics'!$C$254</f>
        <v>0</v>
      </c>
      <c r="D717" s="1353">
        <f>'Key Metrics'!$G$254</f>
        <v>0</v>
      </c>
      <c r="E717" s="1351">
        <f t="shared" si="228"/>
        <v>0</v>
      </c>
      <c r="F717" s="1353">
        <f t="shared" si="229"/>
        <v>0</v>
      </c>
      <c r="G717" s="1353">
        <f t="shared" si="230"/>
        <v>0</v>
      </c>
      <c r="H717" s="1353">
        <f t="shared" si="231"/>
        <v>0</v>
      </c>
      <c r="I717" s="1353">
        <f t="shared" si="232"/>
        <v>0</v>
      </c>
      <c r="J717" s="1353">
        <f t="shared" si="233"/>
        <v>0</v>
      </c>
      <c r="M717" s="1324" t="str">
        <f t="shared" si="234"/>
        <v>"User Defined" Public Works Salaries &amp; Wages</v>
      </c>
      <c r="N717" s="1368">
        <f t="shared" si="235"/>
        <v>0</v>
      </c>
      <c r="O717" s="1368">
        <f t="shared" si="236"/>
        <v>0</v>
      </c>
      <c r="P717" s="1368">
        <f t="shared" si="236"/>
        <v>0</v>
      </c>
      <c r="Q717" s="1368">
        <f t="shared" si="236"/>
        <v>0</v>
      </c>
      <c r="R717" s="1368">
        <f t="shared" si="236"/>
        <v>0</v>
      </c>
      <c r="T717" s="1369">
        <v>0.02</v>
      </c>
      <c r="U717" s="1369">
        <v>0.02</v>
      </c>
      <c r="V717" s="1369">
        <v>0.02</v>
      </c>
      <c r="W717" s="1369">
        <v>0.02</v>
      </c>
      <c r="X717" s="1369">
        <v>0.02</v>
      </c>
      <c r="Y717" s="1367"/>
      <c r="Z717" s="1370">
        <v>0</v>
      </c>
      <c r="AA717" s="1370">
        <v>0</v>
      </c>
      <c r="AB717" s="1370">
        <v>0</v>
      </c>
      <c r="AC717" s="1370">
        <v>0</v>
      </c>
      <c r="AD717" s="1370">
        <v>0</v>
      </c>
      <c r="AK717" s="1354">
        <f t="shared" si="216"/>
        <v>0</v>
      </c>
      <c r="AL717" s="1352">
        <f t="shared" si="237"/>
        <v>53</v>
      </c>
      <c r="AM717" s="1354">
        <f t="shared" si="226"/>
        <v>0</v>
      </c>
      <c r="AN717" s="1352" t="str">
        <f t="shared" si="225"/>
        <v>"User Defined" Public Works Salaries &amp; Wages</v>
      </c>
    </row>
    <row r="718" spans="1:40" x14ac:dyDescent="0.2">
      <c r="A718" s="1324" t="str">
        <f>A717</f>
        <v>26-291</v>
      </c>
      <c r="B718" s="1324" t="s">
        <v>5877</v>
      </c>
      <c r="C718" s="1353">
        <f>'Key Metrics'!$D$254</f>
        <v>0</v>
      </c>
      <c r="D718" s="1353">
        <f>'Key Metrics'!$H$254</f>
        <v>2000</v>
      </c>
      <c r="E718" s="1351">
        <f t="shared" si="228"/>
        <v>0</v>
      </c>
      <c r="F718" s="1353">
        <f t="shared" si="229"/>
        <v>2040</v>
      </c>
      <c r="G718" s="1353">
        <f t="shared" si="230"/>
        <v>2080.8000000000002</v>
      </c>
      <c r="H718" s="1353">
        <f t="shared" si="231"/>
        <v>2122.4160000000002</v>
      </c>
      <c r="I718" s="1353">
        <f t="shared" si="232"/>
        <v>2164.8643200000001</v>
      </c>
      <c r="J718" s="1353">
        <f t="shared" si="233"/>
        <v>2208.1616064</v>
      </c>
      <c r="M718" s="1324" t="str">
        <f t="shared" si="234"/>
        <v>"User Defined" Public Works Other Expenses</v>
      </c>
      <c r="N718" s="1368">
        <f t="shared" si="235"/>
        <v>0</v>
      </c>
      <c r="O718" s="1368">
        <f t="shared" si="236"/>
        <v>0</v>
      </c>
      <c r="P718" s="1368">
        <f t="shared" si="236"/>
        <v>0</v>
      </c>
      <c r="Q718" s="1368">
        <f t="shared" si="236"/>
        <v>0</v>
      </c>
      <c r="R718" s="1368">
        <f t="shared" si="236"/>
        <v>0</v>
      </c>
      <c r="T718" s="1369">
        <v>0.02</v>
      </c>
      <c r="U718" s="1369">
        <v>0.02</v>
      </c>
      <c r="V718" s="1369">
        <v>0.02</v>
      </c>
      <c r="W718" s="1369">
        <v>0.02</v>
      </c>
      <c r="X718" s="1369">
        <v>0.02</v>
      </c>
      <c r="Y718" s="1367"/>
      <c r="Z718" s="1370">
        <v>0</v>
      </c>
      <c r="AA718" s="1370">
        <v>0</v>
      </c>
      <c r="AB718" s="1370">
        <v>0</v>
      </c>
      <c r="AC718" s="1370">
        <v>0</v>
      </c>
      <c r="AD718" s="1370">
        <v>0</v>
      </c>
      <c r="AK718" s="1354">
        <f t="shared" si="216"/>
        <v>12616.241926400002</v>
      </c>
      <c r="AL718" s="1352">
        <f t="shared" si="237"/>
        <v>36</v>
      </c>
      <c r="AM718" s="1354">
        <f t="shared" si="226"/>
        <v>208.16160639999998</v>
      </c>
      <c r="AN718" s="1352" t="str">
        <f t="shared" si="225"/>
        <v>"User Defined" Public Works Other Expenses</v>
      </c>
    </row>
    <row r="719" spans="1:40" x14ac:dyDescent="0.2">
      <c r="A719" s="1324" t="str">
        <f>A718</f>
        <v>26-291</v>
      </c>
      <c r="B719" s="1324" t="s">
        <v>5878</v>
      </c>
      <c r="C719" s="1353">
        <f>'Key Metrics'!$E$254</f>
        <v>0</v>
      </c>
      <c r="D719" s="1353">
        <f>'Key Metrics'!$I$254</f>
        <v>0</v>
      </c>
      <c r="E719" s="1351">
        <f t="shared" si="228"/>
        <v>0</v>
      </c>
      <c r="F719" s="1353">
        <f t="shared" si="229"/>
        <v>0</v>
      </c>
      <c r="G719" s="1353">
        <f t="shared" si="230"/>
        <v>0</v>
      </c>
      <c r="H719" s="1353">
        <f t="shared" si="231"/>
        <v>0</v>
      </c>
      <c r="I719" s="1353">
        <f t="shared" si="232"/>
        <v>0</v>
      </c>
      <c r="J719" s="1353">
        <f t="shared" si="233"/>
        <v>0</v>
      </c>
      <c r="M719" s="1324" t="str">
        <f t="shared" si="234"/>
        <v>"User Defined" Public Works Unclassified</v>
      </c>
      <c r="N719" s="1368">
        <f t="shared" si="235"/>
        <v>0</v>
      </c>
      <c r="O719" s="1368">
        <f t="shared" si="236"/>
        <v>0</v>
      </c>
      <c r="P719" s="1368">
        <f t="shared" si="236"/>
        <v>0</v>
      </c>
      <c r="Q719" s="1368">
        <f t="shared" si="236"/>
        <v>0</v>
      </c>
      <c r="R719" s="1368">
        <f t="shared" si="236"/>
        <v>0</v>
      </c>
      <c r="T719" s="1369">
        <v>0.02</v>
      </c>
      <c r="U719" s="1369">
        <v>0.02</v>
      </c>
      <c r="V719" s="1369">
        <v>0.02</v>
      </c>
      <c r="W719" s="1369">
        <v>0.02</v>
      </c>
      <c r="X719" s="1369">
        <v>0.02</v>
      </c>
      <c r="Y719" s="1367"/>
      <c r="Z719" s="1370">
        <v>0</v>
      </c>
      <c r="AA719" s="1370">
        <v>0</v>
      </c>
      <c r="AB719" s="1370">
        <v>0</v>
      </c>
      <c r="AC719" s="1370">
        <v>0</v>
      </c>
      <c r="AD719" s="1370">
        <v>0</v>
      </c>
      <c r="AK719" s="1354">
        <f t="shared" si="216"/>
        <v>0</v>
      </c>
      <c r="AL719" s="1352">
        <f t="shared" si="237"/>
        <v>53</v>
      </c>
      <c r="AM719" s="1354">
        <f t="shared" si="226"/>
        <v>0</v>
      </c>
      <c r="AN719" s="1352" t="str">
        <f t="shared" si="225"/>
        <v>"User Defined" Public Works Unclassified</v>
      </c>
    </row>
    <row r="720" spans="1:40" x14ac:dyDescent="0.2">
      <c r="A720" s="1324" t="s">
        <v>5170</v>
      </c>
      <c r="B720" s="1324" t="s">
        <v>5686</v>
      </c>
      <c r="C720" s="1353">
        <f>'Key Metrics'!$C$255</f>
        <v>0</v>
      </c>
      <c r="D720" s="1353">
        <f>'Key Metrics'!$G$255</f>
        <v>0</v>
      </c>
      <c r="E720" s="1351">
        <f t="shared" si="228"/>
        <v>0</v>
      </c>
      <c r="F720" s="1353">
        <f t="shared" si="229"/>
        <v>0</v>
      </c>
      <c r="G720" s="1353">
        <f t="shared" si="230"/>
        <v>0</v>
      </c>
      <c r="H720" s="1353">
        <f t="shared" si="231"/>
        <v>0</v>
      </c>
      <c r="I720" s="1353">
        <f t="shared" si="232"/>
        <v>0</v>
      </c>
      <c r="J720" s="1353">
        <f t="shared" si="233"/>
        <v>0</v>
      </c>
      <c r="M720" s="1324" t="str">
        <f t="shared" si="234"/>
        <v>"User Defined" Public Works Salaries &amp; Wages</v>
      </c>
      <c r="N720" s="1368">
        <f t="shared" si="235"/>
        <v>0</v>
      </c>
      <c r="O720" s="1368">
        <f t="shared" si="236"/>
        <v>0</v>
      </c>
      <c r="P720" s="1368">
        <f t="shared" si="236"/>
        <v>0</v>
      </c>
      <c r="Q720" s="1368">
        <f t="shared" si="236"/>
        <v>0</v>
      </c>
      <c r="R720" s="1368">
        <f t="shared" si="236"/>
        <v>0</v>
      </c>
      <c r="T720" s="1369">
        <v>0.02</v>
      </c>
      <c r="U720" s="1369">
        <v>0.02</v>
      </c>
      <c r="V720" s="1369">
        <v>0.02</v>
      </c>
      <c r="W720" s="1369">
        <v>0.02</v>
      </c>
      <c r="X720" s="1369">
        <v>0.02</v>
      </c>
      <c r="Y720" s="1367"/>
      <c r="Z720" s="1370">
        <v>0</v>
      </c>
      <c r="AA720" s="1370">
        <v>0</v>
      </c>
      <c r="AB720" s="1370">
        <v>0</v>
      </c>
      <c r="AC720" s="1370">
        <v>0</v>
      </c>
      <c r="AD720" s="1370">
        <v>0</v>
      </c>
      <c r="AK720" s="1354">
        <f t="shared" si="216"/>
        <v>0</v>
      </c>
      <c r="AL720" s="1352">
        <f t="shared" si="237"/>
        <v>53</v>
      </c>
      <c r="AM720" s="1354">
        <f t="shared" si="226"/>
        <v>0</v>
      </c>
      <c r="AN720" s="1352" t="str">
        <f t="shared" si="225"/>
        <v>"User Defined" Public Works Salaries &amp; Wages</v>
      </c>
    </row>
    <row r="721" spans="1:40" x14ac:dyDescent="0.2">
      <c r="A721" s="1324" t="str">
        <f>A720</f>
        <v>26-292</v>
      </c>
      <c r="B721" s="1324" t="s">
        <v>5877</v>
      </c>
      <c r="C721" s="1353">
        <f>'Key Metrics'!$D$255</f>
        <v>0</v>
      </c>
      <c r="D721" s="1353">
        <f>'Key Metrics'!$H$255</f>
        <v>0</v>
      </c>
      <c r="E721" s="1351">
        <f t="shared" si="228"/>
        <v>0</v>
      </c>
      <c r="F721" s="1353">
        <f t="shared" si="229"/>
        <v>0</v>
      </c>
      <c r="G721" s="1353">
        <f t="shared" si="230"/>
        <v>0</v>
      </c>
      <c r="H721" s="1353">
        <f t="shared" si="231"/>
        <v>0</v>
      </c>
      <c r="I721" s="1353">
        <f t="shared" si="232"/>
        <v>0</v>
      </c>
      <c r="J721" s="1353">
        <f t="shared" si="233"/>
        <v>0</v>
      </c>
      <c r="M721" s="1324" t="str">
        <f t="shared" si="234"/>
        <v>"User Defined" Public Works Other Expenses</v>
      </c>
      <c r="N721" s="1368">
        <f t="shared" si="235"/>
        <v>0</v>
      </c>
      <c r="O721" s="1368">
        <f t="shared" si="236"/>
        <v>0</v>
      </c>
      <c r="P721" s="1368">
        <f t="shared" si="236"/>
        <v>0</v>
      </c>
      <c r="Q721" s="1368">
        <f t="shared" si="236"/>
        <v>0</v>
      </c>
      <c r="R721" s="1368">
        <f t="shared" si="236"/>
        <v>0</v>
      </c>
      <c r="T721" s="1369">
        <v>0.02</v>
      </c>
      <c r="U721" s="1369">
        <v>0.02</v>
      </c>
      <c r="V721" s="1369">
        <v>0.02</v>
      </c>
      <c r="W721" s="1369">
        <v>0.02</v>
      </c>
      <c r="X721" s="1369">
        <v>0.02</v>
      </c>
      <c r="Y721" s="1367"/>
      <c r="Z721" s="1370">
        <v>0</v>
      </c>
      <c r="AA721" s="1370">
        <v>0</v>
      </c>
      <c r="AB721" s="1370">
        <v>0</v>
      </c>
      <c r="AC721" s="1370">
        <v>0</v>
      </c>
      <c r="AD721" s="1370">
        <v>0</v>
      </c>
      <c r="AK721" s="1354">
        <f t="shared" si="216"/>
        <v>0</v>
      </c>
      <c r="AL721" s="1352">
        <f t="shared" si="237"/>
        <v>53</v>
      </c>
      <c r="AM721" s="1354">
        <f t="shared" si="226"/>
        <v>0</v>
      </c>
      <c r="AN721" s="1352" t="str">
        <f t="shared" si="225"/>
        <v>"User Defined" Public Works Other Expenses</v>
      </c>
    </row>
    <row r="722" spans="1:40" x14ac:dyDescent="0.2">
      <c r="A722" s="1324" t="str">
        <f>A721</f>
        <v>26-292</v>
      </c>
      <c r="B722" s="1324" t="s">
        <v>5878</v>
      </c>
      <c r="C722" s="1353">
        <f>'Key Metrics'!$E$255</f>
        <v>0</v>
      </c>
      <c r="D722" s="1353">
        <f>'Key Metrics'!$I$255</f>
        <v>0</v>
      </c>
      <c r="E722" s="1351">
        <f t="shared" si="228"/>
        <v>0</v>
      </c>
      <c r="F722" s="1353">
        <f t="shared" si="229"/>
        <v>0</v>
      </c>
      <c r="G722" s="1353">
        <f t="shared" si="230"/>
        <v>0</v>
      </c>
      <c r="H722" s="1353">
        <f t="shared" si="231"/>
        <v>0</v>
      </c>
      <c r="I722" s="1353">
        <f t="shared" si="232"/>
        <v>0</v>
      </c>
      <c r="J722" s="1353">
        <f t="shared" si="233"/>
        <v>0</v>
      </c>
      <c r="M722" s="1324" t="str">
        <f t="shared" si="234"/>
        <v>"User Defined" Public Works Unclassified</v>
      </c>
      <c r="N722" s="1368">
        <f t="shared" si="235"/>
        <v>0</v>
      </c>
      <c r="O722" s="1368">
        <f t="shared" si="236"/>
        <v>0</v>
      </c>
      <c r="P722" s="1368">
        <f t="shared" si="236"/>
        <v>0</v>
      </c>
      <c r="Q722" s="1368">
        <f t="shared" si="236"/>
        <v>0</v>
      </c>
      <c r="R722" s="1368">
        <f t="shared" si="236"/>
        <v>0</v>
      </c>
      <c r="T722" s="1369">
        <v>0.02</v>
      </c>
      <c r="U722" s="1369">
        <v>0.02</v>
      </c>
      <c r="V722" s="1369">
        <v>0.02</v>
      </c>
      <c r="W722" s="1369">
        <v>0.02</v>
      </c>
      <c r="X722" s="1369">
        <v>0.02</v>
      </c>
      <c r="Y722" s="1367"/>
      <c r="Z722" s="1370">
        <v>0</v>
      </c>
      <c r="AA722" s="1370">
        <v>0</v>
      </c>
      <c r="AB722" s="1370">
        <v>0</v>
      </c>
      <c r="AC722" s="1370">
        <v>0</v>
      </c>
      <c r="AD722" s="1370">
        <v>0</v>
      </c>
      <c r="AK722" s="1354">
        <f t="shared" si="216"/>
        <v>0</v>
      </c>
      <c r="AL722" s="1352">
        <f t="shared" si="237"/>
        <v>53</v>
      </c>
      <c r="AM722" s="1354">
        <f t="shared" si="226"/>
        <v>0</v>
      </c>
      <c r="AN722" s="1352" t="str">
        <f t="shared" si="225"/>
        <v>"User Defined" Public Works Unclassified</v>
      </c>
    </row>
    <row r="723" spans="1:40" x14ac:dyDescent="0.2">
      <c r="A723" s="1324" t="s">
        <v>5171</v>
      </c>
      <c r="B723" s="1324" t="s">
        <v>5686</v>
      </c>
      <c r="C723" s="1353">
        <f>'Key Metrics'!$C$256</f>
        <v>0</v>
      </c>
      <c r="D723" s="1353">
        <f>'Key Metrics'!$G$256</f>
        <v>0</v>
      </c>
      <c r="E723" s="1351">
        <f t="shared" si="228"/>
        <v>0</v>
      </c>
      <c r="F723" s="1353">
        <f t="shared" si="229"/>
        <v>0</v>
      </c>
      <c r="G723" s="1353">
        <f t="shared" si="230"/>
        <v>0</v>
      </c>
      <c r="H723" s="1353">
        <f t="shared" si="231"/>
        <v>0</v>
      </c>
      <c r="I723" s="1353">
        <f t="shared" si="232"/>
        <v>0</v>
      </c>
      <c r="J723" s="1353">
        <f t="shared" si="233"/>
        <v>0</v>
      </c>
      <c r="M723" s="1324" t="str">
        <f t="shared" si="234"/>
        <v>"User Defined" Public Works Salaries &amp; Wages</v>
      </c>
      <c r="N723" s="1368">
        <f t="shared" si="235"/>
        <v>0</v>
      </c>
      <c r="O723" s="1368">
        <f t="shared" si="236"/>
        <v>0</v>
      </c>
      <c r="P723" s="1368">
        <f t="shared" si="236"/>
        <v>0</v>
      </c>
      <c r="Q723" s="1368">
        <f t="shared" si="236"/>
        <v>0</v>
      </c>
      <c r="R723" s="1368">
        <f t="shared" si="236"/>
        <v>0</v>
      </c>
      <c r="T723" s="1369">
        <v>0.02</v>
      </c>
      <c r="U723" s="1369">
        <v>0.02</v>
      </c>
      <c r="V723" s="1369">
        <v>0.02</v>
      </c>
      <c r="W723" s="1369">
        <v>0.02</v>
      </c>
      <c r="X723" s="1369">
        <v>0.02</v>
      </c>
      <c r="Y723" s="1367"/>
      <c r="Z723" s="1370">
        <v>0</v>
      </c>
      <c r="AA723" s="1370">
        <v>0</v>
      </c>
      <c r="AB723" s="1370">
        <v>0</v>
      </c>
      <c r="AC723" s="1370">
        <v>0</v>
      </c>
      <c r="AD723" s="1370">
        <v>0</v>
      </c>
      <c r="AK723" s="1354">
        <f t="shared" si="216"/>
        <v>0</v>
      </c>
      <c r="AL723" s="1352">
        <f t="shared" si="237"/>
        <v>53</v>
      </c>
      <c r="AM723" s="1354">
        <f t="shared" si="226"/>
        <v>0</v>
      </c>
      <c r="AN723" s="1352" t="str">
        <f t="shared" si="225"/>
        <v>"User Defined" Public Works Salaries &amp; Wages</v>
      </c>
    </row>
    <row r="724" spans="1:40" x14ac:dyDescent="0.2">
      <c r="A724" s="1324" t="str">
        <f>A723</f>
        <v>26-293</v>
      </c>
      <c r="B724" s="1324" t="s">
        <v>5877</v>
      </c>
      <c r="C724" s="1353">
        <f>'Key Metrics'!$D$256</f>
        <v>0</v>
      </c>
      <c r="D724" s="1353">
        <f>'Key Metrics'!$H$256</f>
        <v>0</v>
      </c>
      <c r="E724" s="1351">
        <f t="shared" si="228"/>
        <v>0</v>
      </c>
      <c r="F724" s="1353">
        <f t="shared" si="229"/>
        <v>0</v>
      </c>
      <c r="G724" s="1353">
        <f t="shared" si="230"/>
        <v>0</v>
      </c>
      <c r="H724" s="1353">
        <f t="shared" si="231"/>
        <v>0</v>
      </c>
      <c r="I724" s="1353">
        <f t="shared" si="232"/>
        <v>0</v>
      </c>
      <c r="J724" s="1353">
        <f t="shared" si="233"/>
        <v>0</v>
      </c>
      <c r="M724" s="1324" t="str">
        <f t="shared" si="234"/>
        <v>"User Defined" Public Works Other Expenses</v>
      </c>
      <c r="N724" s="1368">
        <f t="shared" si="235"/>
        <v>0</v>
      </c>
      <c r="O724" s="1368">
        <f t="shared" si="236"/>
        <v>0</v>
      </c>
      <c r="P724" s="1368">
        <f t="shared" si="236"/>
        <v>0</v>
      </c>
      <c r="Q724" s="1368">
        <f t="shared" si="236"/>
        <v>0</v>
      </c>
      <c r="R724" s="1368">
        <f t="shared" si="236"/>
        <v>0</v>
      </c>
      <c r="T724" s="1369">
        <v>0.02</v>
      </c>
      <c r="U724" s="1369">
        <v>0.02</v>
      </c>
      <c r="V724" s="1369">
        <v>0.02</v>
      </c>
      <c r="W724" s="1369">
        <v>0.02</v>
      </c>
      <c r="X724" s="1369">
        <v>0.02</v>
      </c>
      <c r="Y724" s="1367"/>
      <c r="Z724" s="1370">
        <v>0</v>
      </c>
      <c r="AA724" s="1370">
        <v>0</v>
      </c>
      <c r="AB724" s="1370">
        <v>0</v>
      </c>
      <c r="AC724" s="1370">
        <v>0</v>
      </c>
      <c r="AD724" s="1370">
        <v>0</v>
      </c>
      <c r="AK724" s="1354">
        <f t="shared" si="216"/>
        <v>0</v>
      </c>
      <c r="AL724" s="1352">
        <f t="shared" si="237"/>
        <v>53</v>
      </c>
      <c r="AM724" s="1354">
        <f t="shared" si="226"/>
        <v>0</v>
      </c>
      <c r="AN724" s="1352" t="str">
        <f t="shared" si="225"/>
        <v>"User Defined" Public Works Other Expenses</v>
      </c>
    </row>
    <row r="725" spans="1:40" x14ac:dyDescent="0.2">
      <c r="A725" s="1324" t="str">
        <f>A724</f>
        <v>26-293</v>
      </c>
      <c r="B725" s="1324" t="s">
        <v>5878</v>
      </c>
      <c r="C725" s="1353">
        <f>'Key Metrics'!$E$256</f>
        <v>0</v>
      </c>
      <c r="D725" s="1353">
        <f>'Key Metrics'!$I$256</f>
        <v>0</v>
      </c>
      <c r="E725" s="1351">
        <f t="shared" si="228"/>
        <v>0</v>
      </c>
      <c r="F725" s="1353">
        <f t="shared" si="229"/>
        <v>0</v>
      </c>
      <c r="G725" s="1353">
        <f t="shared" si="230"/>
        <v>0</v>
      </c>
      <c r="H725" s="1353">
        <f t="shared" si="231"/>
        <v>0</v>
      </c>
      <c r="I725" s="1353">
        <f t="shared" si="232"/>
        <v>0</v>
      </c>
      <c r="J725" s="1353">
        <f t="shared" si="233"/>
        <v>0</v>
      </c>
      <c r="M725" s="1324" t="str">
        <f t="shared" si="234"/>
        <v>"User Defined" Public Works Unclassified</v>
      </c>
      <c r="N725" s="1368">
        <f t="shared" si="235"/>
        <v>0</v>
      </c>
      <c r="O725" s="1368">
        <f t="shared" si="236"/>
        <v>0</v>
      </c>
      <c r="P725" s="1368">
        <f t="shared" si="236"/>
        <v>0</v>
      </c>
      <c r="Q725" s="1368">
        <f t="shared" si="236"/>
        <v>0</v>
      </c>
      <c r="R725" s="1368">
        <f t="shared" si="236"/>
        <v>0</v>
      </c>
      <c r="T725" s="1369">
        <v>0.02</v>
      </c>
      <c r="U725" s="1369">
        <v>0.02</v>
      </c>
      <c r="V725" s="1369">
        <v>0.02</v>
      </c>
      <c r="W725" s="1369">
        <v>0.02</v>
      </c>
      <c r="X725" s="1369">
        <v>0.02</v>
      </c>
      <c r="Y725" s="1367"/>
      <c r="Z725" s="1370">
        <v>0</v>
      </c>
      <c r="AA725" s="1370">
        <v>0</v>
      </c>
      <c r="AB725" s="1370">
        <v>0</v>
      </c>
      <c r="AC725" s="1370">
        <v>0</v>
      </c>
      <c r="AD725" s="1370">
        <v>0</v>
      </c>
      <c r="AK725" s="1354">
        <f t="shared" si="216"/>
        <v>0</v>
      </c>
      <c r="AL725" s="1352">
        <f t="shared" si="237"/>
        <v>53</v>
      </c>
      <c r="AM725" s="1354">
        <f t="shared" si="226"/>
        <v>0</v>
      </c>
      <c r="AN725" s="1352" t="str">
        <f t="shared" si="225"/>
        <v>"User Defined" Public Works Unclassified</v>
      </c>
    </row>
    <row r="726" spans="1:40" x14ac:dyDescent="0.2">
      <c r="A726" s="1324" t="s">
        <v>5172</v>
      </c>
      <c r="B726" s="1324" t="s">
        <v>5686</v>
      </c>
      <c r="C726" s="1353">
        <f>'Key Metrics'!$C$257</f>
        <v>0</v>
      </c>
      <c r="D726" s="1353">
        <f>'Key Metrics'!$G$257</f>
        <v>0</v>
      </c>
      <c r="E726" s="1351">
        <f t="shared" si="228"/>
        <v>0</v>
      </c>
      <c r="F726" s="1353">
        <f t="shared" si="229"/>
        <v>0</v>
      </c>
      <c r="G726" s="1353">
        <f t="shared" si="230"/>
        <v>0</v>
      </c>
      <c r="H726" s="1353">
        <f t="shared" si="231"/>
        <v>0</v>
      </c>
      <c r="I726" s="1353">
        <f t="shared" si="232"/>
        <v>0</v>
      </c>
      <c r="J726" s="1353">
        <f t="shared" si="233"/>
        <v>0</v>
      </c>
      <c r="M726" s="1324" t="str">
        <f t="shared" si="234"/>
        <v>"User Defined" Public Works Salaries &amp; Wages</v>
      </c>
      <c r="N726" s="1368">
        <f t="shared" si="235"/>
        <v>0</v>
      </c>
      <c r="O726" s="1368">
        <f t="shared" si="236"/>
        <v>0</v>
      </c>
      <c r="P726" s="1368">
        <f t="shared" si="236"/>
        <v>0</v>
      </c>
      <c r="Q726" s="1368">
        <f t="shared" si="236"/>
        <v>0</v>
      </c>
      <c r="R726" s="1368">
        <f t="shared" si="236"/>
        <v>0</v>
      </c>
      <c r="T726" s="1369">
        <v>0.02</v>
      </c>
      <c r="U726" s="1369">
        <v>0.02</v>
      </c>
      <c r="V726" s="1369">
        <v>0.02</v>
      </c>
      <c r="W726" s="1369">
        <v>0.02</v>
      </c>
      <c r="X726" s="1369">
        <v>0.02</v>
      </c>
      <c r="Y726" s="1367"/>
      <c r="Z726" s="1370">
        <v>0</v>
      </c>
      <c r="AA726" s="1370">
        <v>0</v>
      </c>
      <c r="AB726" s="1370">
        <v>0</v>
      </c>
      <c r="AC726" s="1370">
        <v>0</v>
      </c>
      <c r="AD726" s="1370">
        <v>0</v>
      </c>
      <c r="AK726" s="1354">
        <f t="shared" si="216"/>
        <v>0</v>
      </c>
      <c r="AL726" s="1352">
        <f t="shared" si="237"/>
        <v>53</v>
      </c>
      <c r="AM726" s="1354">
        <f t="shared" si="226"/>
        <v>0</v>
      </c>
      <c r="AN726" s="1352" t="str">
        <f t="shared" si="225"/>
        <v>"User Defined" Public Works Salaries &amp; Wages</v>
      </c>
    </row>
    <row r="727" spans="1:40" x14ac:dyDescent="0.2">
      <c r="A727" s="1324" t="str">
        <f>A726</f>
        <v>26-294</v>
      </c>
      <c r="B727" s="1324" t="s">
        <v>5877</v>
      </c>
      <c r="C727" s="1353">
        <f>'Key Metrics'!$D$257</f>
        <v>0</v>
      </c>
      <c r="D727" s="1353">
        <f>'Key Metrics'!$H$257</f>
        <v>0</v>
      </c>
      <c r="E727" s="1351">
        <f t="shared" si="228"/>
        <v>0</v>
      </c>
      <c r="F727" s="1353">
        <f t="shared" si="229"/>
        <v>0</v>
      </c>
      <c r="G727" s="1353">
        <f t="shared" si="230"/>
        <v>0</v>
      </c>
      <c r="H727" s="1353">
        <f t="shared" si="231"/>
        <v>0</v>
      </c>
      <c r="I727" s="1353">
        <f t="shared" si="232"/>
        <v>0</v>
      </c>
      <c r="J727" s="1353">
        <f t="shared" si="233"/>
        <v>0</v>
      </c>
      <c r="M727" s="1324" t="str">
        <f t="shared" si="234"/>
        <v>"User Defined" Public Works Other Expenses</v>
      </c>
      <c r="N727" s="1368">
        <f t="shared" si="235"/>
        <v>0</v>
      </c>
      <c r="O727" s="1368">
        <f t="shared" si="236"/>
        <v>0</v>
      </c>
      <c r="P727" s="1368">
        <f t="shared" si="236"/>
        <v>0</v>
      </c>
      <c r="Q727" s="1368">
        <f t="shared" si="236"/>
        <v>0</v>
      </c>
      <c r="R727" s="1368">
        <f t="shared" si="236"/>
        <v>0</v>
      </c>
      <c r="T727" s="1369">
        <v>0.02</v>
      </c>
      <c r="U727" s="1369">
        <v>0.02</v>
      </c>
      <c r="V727" s="1369">
        <v>0.02</v>
      </c>
      <c r="W727" s="1369">
        <v>0.02</v>
      </c>
      <c r="X727" s="1369">
        <v>0.02</v>
      </c>
      <c r="Y727" s="1367"/>
      <c r="Z727" s="1370">
        <v>0</v>
      </c>
      <c r="AA727" s="1370">
        <v>0</v>
      </c>
      <c r="AB727" s="1370">
        <v>0</v>
      </c>
      <c r="AC727" s="1370">
        <v>0</v>
      </c>
      <c r="AD727" s="1370">
        <v>0</v>
      </c>
      <c r="AK727" s="1354">
        <f t="shared" ref="AK727:AK790" si="238">SUM(C727:D727,F727:J727)</f>
        <v>0</v>
      </c>
      <c r="AL727" s="1352">
        <f t="shared" si="237"/>
        <v>53</v>
      </c>
      <c r="AM727" s="1354">
        <f t="shared" si="226"/>
        <v>0</v>
      </c>
      <c r="AN727" s="1352" t="str">
        <f t="shared" si="225"/>
        <v>"User Defined" Public Works Other Expenses</v>
      </c>
    </row>
    <row r="728" spans="1:40" x14ac:dyDescent="0.2">
      <c r="A728" s="1324" t="str">
        <f>A727</f>
        <v>26-294</v>
      </c>
      <c r="B728" s="1324" t="s">
        <v>5878</v>
      </c>
      <c r="C728" s="1353">
        <f>'Key Metrics'!$E$257</f>
        <v>0</v>
      </c>
      <c r="D728" s="1353">
        <f>'Key Metrics'!$I$257</f>
        <v>0</v>
      </c>
      <c r="E728" s="1351">
        <f t="shared" si="228"/>
        <v>0</v>
      </c>
      <c r="F728" s="1353">
        <f t="shared" si="229"/>
        <v>0</v>
      </c>
      <c r="G728" s="1353">
        <f t="shared" si="230"/>
        <v>0</v>
      </c>
      <c r="H728" s="1353">
        <f t="shared" si="231"/>
        <v>0</v>
      </c>
      <c r="I728" s="1353">
        <f t="shared" si="232"/>
        <v>0</v>
      </c>
      <c r="J728" s="1353">
        <f t="shared" si="233"/>
        <v>0</v>
      </c>
      <c r="M728" s="1324" t="str">
        <f t="shared" si="234"/>
        <v>"User Defined" Public Works Unclassified</v>
      </c>
      <c r="N728" s="1368">
        <f t="shared" si="235"/>
        <v>0</v>
      </c>
      <c r="O728" s="1368">
        <f t="shared" si="236"/>
        <v>0</v>
      </c>
      <c r="P728" s="1368">
        <f t="shared" si="236"/>
        <v>0</v>
      </c>
      <c r="Q728" s="1368">
        <f t="shared" si="236"/>
        <v>0</v>
      </c>
      <c r="R728" s="1368">
        <f t="shared" si="236"/>
        <v>0</v>
      </c>
      <c r="T728" s="1369">
        <v>0.02</v>
      </c>
      <c r="U728" s="1369">
        <v>0.02</v>
      </c>
      <c r="V728" s="1369">
        <v>0.02</v>
      </c>
      <c r="W728" s="1369">
        <v>0.02</v>
      </c>
      <c r="X728" s="1369">
        <v>0.02</v>
      </c>
      <c r="Y728" s="1367"/>
      <c r="Z728" s="1370">
        <v>0</v>
      </c>
      <c r="AA728" s="1370">
        <v>0</v>
      </c>
      <c r="AB728" s="1370">
        <v>0</v>
      </c>
      <c r="AC728" s="1370">
        <v>0</v>
      </c>
      <c r="AD728" s="1370">
        <v>0</v>
      </c>
      <c r="AK728" s="1354">
        <f t="shared" si="238"/>
        <v>0</v>
      </c>
      <c r="AL728" s="1352">
        <f t="shared" si="237"/>
        <v>53</v>
      </c>
      <c r="AM728" s="1354">
        <f t="shared" si="226"/>
        <v>0</v>
      </c>
      <c r="AN728" s="1352" t="str">
        <f t="shared" si="225"/>
        <v>"User Defined" Public Works Unclassified</v>
      </c>
    </row>
    <row r="729" spans="1:40" x14ac:dyDescent="0.2">
      <c r="A729" s="1324" t="s">
        <v>5173</v>
      </c>
      <c r="B729" s="1324" t="s">
        <v>5687</v>
      </c>
      <c r="C729" s="1353">
        <f>'Key Metrics'!$C$258</f>
        <v>0</v>
      </c>
      <c r="D729" s="1353">
        <f>'Key Metrics'!$G$258</f>
        <v>0</v>
      </c>
      <c r="E729" s="1351">
        <f t="shared" si="228"/>
        <v>0</v>
      </c>
      <c r="F729" s="1353">
        <f t="shared" si="229"/>
        <v>0</v>
      </c>
      <c r="G729" s="1353">
        <f t="shared" si="230"/>
        <v>0</v>
      </c>
      <c r="H729" s="1353">
        <f t="shared" si="231"/>
        <v>0</v>
      </c>
      <c r="I729" s="1353">
        <f t="shared" si="232"/>
        <v>0</v>
      </c>
      <c r="J729" s="1353">
        <f t="shared" si="233"/>
        <v>0</v>
      </c>
      <c r="M729" s="1324" t="str">
        <f t="shared" si="234"/>
        <v>Sewer Maintenance Salaries &amp; Wages</v>
      </c>
      <c r="N729" s="1368">
        <f t="shared" si="235"/>
        <v>0</v>
      </c>
      <c r="O729" s="1368">
        <f t="shared" si="236"/>
        <v>0</v>
      </c>
      <c r="P729" s="1368">
        <f t="shared" si="236"/>
        <v>0</v>
      </c>
      <c r="Q729" s="1368">
        <f t="shared" si="236"/>
        <v>0</v>
      </c>
      <c r="R729" s="1368">
        <f t="shared" si="236"/>
        <v>0</v>
      </c>
      <c r="T729" s="1369">
        <v>0.02</v>
      </c>
      <c r="U729" s="1369">
        <v>0.02</v>
      </c>
      <c r="V729" s="1369">
        <v>0.02</v>
      </c>
      <c r="W729" s="1369">
        <v>0.02</v>
      </c>
      <c r="X729" s="1369">
        <v>0.02</v>
      </c>
      <c r="Y729" s="1367"/>
      <c r="Z729" s="1370">
        <v>0</v>
      </c>
      <c r="AA729" s="1370">
        <v>0</v>
      </c>
      <c r="AB729" s="1370">
        <v>0</v>
      </c>
      <c r="AC729" s="1370">
        <v>0</v>
      </c>
      <c r="AD729" s="1370">
        <v>0</v>
      </c>
      <c r="AK729" s="1354">
        <f t="shared" si="238"/>
        <v>0</v>
      </c>
      <c r="AL729" s="1352">
        <f t="shared" si="237"/>
        <v>53</v>
      </c>
      <c r="AM729" s="1354">
        <f t="shared" si="226"/>
        <v>0</v>
      </c>
      <c r="AN729" s="1352" t="str">
        <f t="shared" si="225"/>
        <v>Sewer Maintenance Salaries &amp; Wages</v>
      </c>
    </row>
    <row r="730" spans="1:40" x14ac:dyDescent="0.2">
      <c r="A730" s="1324" t="str">
        <f>A729</f>
        <v>26-295</v>
      </c>
      <c r="B730" s="1324" t="s">
        <v>5879</v>
      </c>
      <c r="C730" s="1353">
        <f>'Key Metrics'!$D$258</f>
        <v>0</v>
      </c>
      <c r="D730" s="1353">
        <f>'Key Metrics'!$H$258</f>
        <v>0</v>
      </c>
      <c r="E730" s="1351">
        <f t="shared" si="228"/>
        <v>0</v>
      </c>
      <c r="F730" s="1353">
        <f t="shared" si="229"/>
        <v>0</v>
      </c>
      <c r="G730" s="1353">
        <f t="shared" si="230"/>
        <v>0</v>
      </c>
      <c r="H730" s="1353">
        <f t="shared" si="231"/>
        <v>0</v>
      </c>
      <c r="I730" s="1353">
        <f t="shared" si="232"/>
        <v>0</v>
      </c>
      <c r="J730" s="1353">
        <f t="shared" si="233"/>
        <v>0</v>
      </c>
      <c r="M730" s="1324" t="str">
        <f t="shared" si="234"/>
        <v>Sewer Maintenance Other Expenses</v>
      </c>
      <c r="N730" s="1368">
        <f t="shared" si="235"/>
        <v>0</v>
      </c>
      <c r="O730" s="1368">
        <f t="shared" ref="O730:R745" si="239">N730</f>
        <v>0</v>
      </c>
      <c r="P730" s="1368">
        <f t="shared" si="239"/>
        <v>0</v>
      </c>
      <c r="Q730" s="1368">
        <f t="shared" si="239"/>
        <v>0</v>
      </c>
      <c r="R730" s="1368">
        <f t="shared" si="239"/>
        <v>0</v>
      </c>
      <c r="T730" s="1369">
        <v>0.02</v>
      </c>
      <c r="U730" s="1369">
        <v>0.02</v>
      </c>
      <c r="V730" s="1369">
        <v>0.02</v>
      </c>
      <c r="W730" s="1369">
        <v>0.02</v>
      </c>
      <c r="X730" s="1369">
        <v>0.02</v>
      </c>
      <c r="Y730" s="1367"/>
      <c r="Z730" s="1370">
        <v>0</v>
      </c>
      <c r="AA730" s="1370">
        <v>0</v>
      </c>
      <c r="AB730" s="1370">
        <v>0</v>
      </c>
      <c r="AC730" s="1370">
        <v>0</v>
      </c>
      <c r="AD730" s="1370">
        <v>0</v>
      </c>
      <c r="AK730" s="1354">
        <f t="shared" si="238"/>
        <v>0</v>
      </c>
      <c r="AL730" s="1352">
        <f t="shared" si="237"/>
        <v>53</v>
      </c>
      <c r="AM730" s="1354">
        <f t="shared" si="226"/>
        <v>0</v>
      </c>
      <c r="AN730" s="1352" t="str">
        <f t="shared" si="225"/>
        <v>Sewer Maintenance Other Expenses</v>
      </c>
    </row>
    <row r="731" spans="1:40" x14ac:dyDescent="0.2">
      <c r="A731" s="1324" t="str">
        <f>A730</f>
        <v>26-295</v>
      </c>
      <c r="B731" s="1324" t="s">
        <v>5880</v>
      </c>
      <c r="C731" s="1353">
        <f>'Key Metrics'!$E$258</f>
        <v>0</v>
      </c>
      <c r="D731" s="1353">
        <f>'Key Metrics'!$I$258</f>
        <v>0</v>
      </c>
      <c r="E731" s="1351">
        <f t="shared" si="228"/>
        <v>0</v>
      </c>
      <c r="F731" s="1353">
        <f t="shared" si="229"/>
        <v>0</v>
      </c>
      <c r="G731" s="1353">
        <f t="shared" si="230"/>
        <v>0</v>
      </c>
      <c r="H731" s="1353">
        <f t="shared" si="231"/>
        <v>0</v>
      </c>
      <c r="I731" s="1353">
        <f t="shared" si="232"/>
        <v>0</v>
      </c>
      <c r="J731" s="1353">
        <f t="shared" si="233"/>
        <v>0</v>
      </c>
      <c r="M731" s="1324" t="str">
        <f t="shared" si="234"/>
        <v>Sewer Maintenance Unclassified</v>
      </c>
      <c r="N731" s="1368">
        <f t="shared" si="235"/>
        <v>0</v>
      </c>
      <c r="O731" s="1368">
        <f t="shared" si="239"/>
        <v>0</v>
      </c>
      <c r="P731" s="1368">
        <f t="shared" si="239"/>
        <v>0</v>
      </c>
      <c r="Q731" s="1368">
        <f t="shared" si="239"/>
        <v>0</v>
      </c>
      <c r="R731" s="1368">
        <f t="shared" si="239"/>
        <v>0</v>
      </c>
      <c r="T731" s="1369">
        <v>0.02</v>
      </c>
      <c r="U731" s="1369">
        <v>0.02</v>
      </c>
      <c r="V731" s="1369">
        <v>0.02</v>
      </c>
      <c r="W731" s="1369">
        <v>0.02</v>
      </c>
      <c r="X731" s="1369">
        <v>0.02</v>
      </c>
      <c r="Y731" s="1367"/>
      <c r="Z731" s="1370">
        <v>0</v>
      </c>
      <c r="AA731" s="1370">
        <v>0</v>
      </c>
      <c r="AB731" s="1370">
        <v>0</v>
      </c>
      <c r="AC731" s="1370">
        <v>0</v>
      </c>
      <c r="AD731" s="1370">
        <v>0</v>
      </c>
      <c r="AK731" s="1354">
        <f t="shared" si="238"/>
        <v>0</v>
      </c>
      <c r="AL731" s="1352">
        <f t="shared" si="237"/>
        <v>53</v>
      </c>
      <c r="AM731" s="1354">
        <f t="shared" si="226"/>
        <v>0</v>
      </c>
      <c r="AN731" s="1352" t="str">
        <f t="shared" si="225"/>
        <v>Sewer Maintenance Unclassified</v>
      </c>
    </row>
    <row r="732" spans="1:40" x14ac:dyDescent="0.2">
      <c r="A732" s="1324" t="s">
        <v>5174</v>
      </c>
      <c r="B732" s="1324" t="s">
        <v>5688</v>
      </c>
      <c r="C732" s="1353">
        <f>'Key Metrics'!$C$259</f>
        <v>0</v>
      </c>
      <c r="D732" s="1353">
        <f>'Key Metrics'!$G$259</f>
        <v>0</v>
      </c>
      <c r="E732" s="1351">
        <f t="shared" si="228"/>
        <v>0</v>
      </c>
      <c r="F732" s="1353">
        <f t="shared" si="229"/>
        <v>0</v>
      </c>
      <c r="G732" s="1353">
        <f t="shared" si="230"/>
        <v>0</v>
      </c>
      <c r="H732" s="1353">
        <f t="shared" si="231"/>
        <v>0</v>
      </c>
      <c r="I732" s="1353">
        <f t="shared" si="232"/>
        <v>0</v>
      </c>
      <c r="J732" s="1353">
        <f t="shared" si="233"/>
        <v>0</v>
      </c>
      <c r="M732" s="1324" t="str">
        <f t="shared" si="234"/>
        <v>Stormwater Maintenance Salaries &amp; Wages</v>
      </c>
      <c r="N732" s="1368">
        <f t="shared" si="235"/>
        <v>0</v>
      </c>
      <c r="O732" s="1368">
        <f t="shared" si="239"/>
        <v>0</v>
      </c>
      <c r="P732" s="1368">
        <f t="shared" si="239"/>
        <v>0</v>
      </c>
      <c r="Q732" s="1368">
        <f t="shared" si="239"/>
        <v>0</v>
      </c>
      <c r="R732" s="1368">
        <f t="shared" si="239"/>
        <v>0</v>
      </c>
      <c r="T732" s="1369">
        <v>0.02</v>
      </c>
      <c r="U732" s="1369">
        <v>0.02</v>
      </c>
      <c r="V732" s="1369">
        <v>0.02</v>
      </c>
      <c r="W732" s="1369">
        <v>0.02</v>
      </c>
      <c r="X732" s="1369">
        <v>0.02</v>
      </c>
      <c r="Y732" s="1367"/>
      <c r="Z732" s="1370">
        <v>0</v>
      </c>
      <c r="AA732" s="1370">
        <v>0</v>
      </c>
      <c r="AB732" s="1370">
        <v>0</v>
      </c>
      <c r="AC732" s="1370">
        <v>0</v>
      </c>
      <c r="AD732" s="1370">
        <v>0</v>
      </c>
      <c r="AK732" s="1354">
        <f t="shared" si="238"/>
        <v>0</v>
      </c>
      <c r="AL732" s="1352">
        <f t="shared" si="237"/>
        <v>53</v>
      </c>
      <c r="AM732" s="1354">
        <f t="shared" si="226"/>
        <v>0</v>
      </c>
      <c r="AN732" s="1352" t="str">
        <f t="shared" si="225"/>
        <v>Stormwater Maintenance Salaries &amp; Wages</v>
      </c>
    </row>
    <row r="733" spans="1:40" x14ac:dyDescent="0.2">
      <c r="A733" s="1324" t="str">
        <f>A732</f>
        <v>26-297</v>
      </c>
      <c r="B733" s="1324" t="s">
        <v>5881</v>
      </c>
      <c r="C733" s="1353">
        <f>'Key Metrics'!$D$259</f>
        <v>0</v>
      </c>
      <c r="D733" s="1353">
        <f>'Key Metrics'!$H$259</f>
        <v>0</v>
      </c>
      <c r="E733" s="1351">
        <f t="shared" si="228"/>
        <v>0</v>
      </c>
      <c r="F733" s="1353">
        <f t="shared" si="229"/>
        <v>0</v>
      </c>
      <c r="G733" s="1353">
        <f t="shared" si="230"/>
        <v>0</v>
      </c>
      <c r="H733" s="1353">
        <f t="shared" si="231"/>
        <v>0</v>
      </c>
      <c r="I733" s="1353">
        <f t="shared" si="232"/>
        <v>0</v>
      </c>
      <c r="J733" s="1353">
        <f t="shared" si="233"/>
        <v>0</v>
      </c>
      <c r="M733" s="1324" t="str">
        <f t="shared" si="234"/>
        <v>Stormwater Maintenance Other Expenses</v>
      </c>
      <c r="N733" s="1368">
        <f t="shared" si="235"/>
        <v>0</v>
      </c>
      <c r="O733" s="1368">
        <f t="shared" si="239"/>
        <v>0</v>
      </c>
      <c r="P733" s="1368">
        <f t="shared" si="239"/>
        <v>0</v>
      </c>
      <c r="Q733" s="1368">
        <f t="shared" si="239"/>
        <v>0</v>
      </c>
      <c r="R733" s="1368">
        <f t="shared" si="239"/>
        <v>0</v>
      </c>
      <c r="T733" s="1369">
        <v>0.02</v>
      </c>
      <c r="U733" s="1369">
        <v>0.02</v>
      </c>
      <c r="V733" s="1369">
        <v>0.02</v>
      </c>
      <c r="W733" s="1369">
        <v>0.02</v>
      </c>
      <c r="X733" s="1369">
        <v>0.02</v>
      </c>
      <c r="Y733" s="1367"/>
      <c r="Z733" s="1370">
        <v>0</v>
      </c>
      <c r="AA733" s="1370">
        <v>0</v>
      </c>
      <c r="AB733" s="1370">
        <v>0</v>
      </c>
      <c r="AC733" s="1370">
        <v>0</v>
      </c>
      <c r="AD733" s="1370">
        <v>0</v>
      </c>
      <c r="AK733" s="1354">
        <f t="shared" si="238"/>
        <v>0</v>
      </c>
      <c r="AL733" s="1352">
        <f t="shared" si="237"/>
        <v>53</v>
      </c>
      <c r="AM733" s="1354">
        <f t="shared" si="226"/>
        <v>0</v>
      </c>
      <c r="AN733" s="1352" t="str">
        <f t="shared" si="225"/>
        <v>Stormwater Maintenance Other Expenses</v>
      </c>
    </row>
    <row r="734" spans="1:40" x14ac:dyDescent="0.2">
      <c r="A734" s="1324" t="str">
        <f>A733</f>
        <v>26-297</v>
      </c>
      <c r="B734" s="1324" t="s">
        <v>5882</v>
      </c>
      <c r="C734" s="1353">
        <f>'Key Metrics'!$E$259</f>
        <v>0</v>
      </c>
      <c r="D734" s="1353">
        <f>'Key Metrics'!$I$259</f>
        <v>0</v>
      </c>
      <c r="E734" s="1351">
        <f t="shared" si="228"/>
        <v>0</v>
      </c>
      <c r="F734" s="1353">
        <f t="shared" si="229"/>
        <v>0</v>
      </c>
      <c r="G734" s="1353">
        <f t="shared" si="230"/>
        <v>0</v>
      </c>
      <c r="H734" s="1353">
        <f t="shared" si="231"/>
        <v>0</v>
      </c>
      <c r="I734" s="1353">
        <f t="shared" si="232"/>
        <v>0</v>
      </c>
      <c r="J734" s="1353">
        <f t="shared" si="233"/>
        <v>0</v>
      </c>
      <c r="M734" s="1324" t="str">
        <f t="shared" si="234"/>
        <v>Stormwater Maintenance Unclassified</v>
      </c>
      <c r="N734" s="1368">
        <f t="shared" si="235"/>
        <v>0</v>
      </c>
      <c r="O734" s="1368">
        <f t="shared" si="239"/>
        <v>0</v>
      </c>
      <c r="P734" s="1368">
        <f t="shared" si="239"/>
        <v>0</v>
      </c>
      <c r="Q734" s="1368">
        <f t="shared" si="239"/>
        <v>0</v>
      </c>
      <c r="R734" s="1368">
        <f t="shared" si="239"/>
        <v>0</v>
      </c>
      <c r="T734" s="1369">
        <v>0.02</v>
      </c>
      <c r="U734" s="1369">
        <v>0.02</v>
      </c>
      <c r="V734" s="1369">
        <v>0.02</v>
      </c>
      <c r="W734" s="1369">
        <v>0.02</v>
      </c>
      <c r="X734" s="1369">
        <v>0.02</v>
      </c>
      <c r="Y734" s="1367"/>
      <c r="Z734" s="1370">
        <v>0</v>
      </c>
      <c r="AA734" s="1370">
        <v>0</v>
      </c>
      <c r="AB734" s="1370">
        <v>0</v>
      </c>
      <c r="AC734" s="1370">
        <v>0</v>
      </c>
      <c r="AD734" s="1370">
        <v>0</v>
      </c>
      <c r="AK734" s="1354">
        <f t="shared" si="238"/>
        <v>0</v>
      </c>
      <c r="AL734" s="1352">
        <f t="shared" si="237"/>
        <v>53</v>
      </c>
      <c r="AM734" s="1354">
        <f t="shared" si="226"/>
        <v>0</v>
      </c>
      <c r="AN734" s="1352" t="str">
        <f t="shared" si="225"/>
        <v>Stormwater Maintenance Unclassified</v>
      </c>
    </row>
    <row r="735" spans="1:40" x14ac:dyDescent="0.2">
      <c r="A735" s="1324" t="s">
        <v>5101</v>
      </c>
      <c r="B735" s="1324" t="s">
        <v>5689</v>
      </c>
      <c r="C735" s="1353">
        <f>'Key Metrics'!$C$260</f>
        <v>0</v>
      </c>
      <c r="D735" s="1353">
        <f>'Key Metrics'!$G$260</f>
        <v>0</v>
      </c>
      <c r="E735" s="1351">
        <f t="shared" si="228"/>
        <v>0</v>
      </c>
      <c r="F735" s="1353">
        <f t="shared" si="229"/>
        <v>0</v>
      </c>
      <c r="G735" s="1353">
        <f t="shared" si="230"/>
        <v>0</v>
      </c>
      <c r="H735" s="1353">
        <f t="shared" si="231"/>
        <v>0</v>
      </c>
      <c r="I735" s="1353">
        <f t="shared" si="232"/>
        <v>0</v>
      </c>
      <c r="J735" s="1353">
        <f t="shared" si="233"/>
        <v>0</v>
      </c>
      <c r="M735" s="1324" t="str">
        <f t="shared" si="234"/>
        <v>Stormwater Maintenance (Outside CAPS) Salaries &amp; Wages</v>
      </c>
      <c r="N735" s="1368">
        <f t="shared" si="235"/>
        <v>0</v>
      </c>
      <c r="O735" s="1368">
        <f t="shared" si="239"/>
        <v>0</v>
      </c>
      <c r="P735" s="1368">
        <f t="shared" si="239"/>
        <v>0</v>
      </c>
      <c r="Q735" s="1368">
        <f t="shared" si="239"/>
        <v>0</v>
      </c>
      <c r="R735" s="1368">
        <f t="shared" si="239"/>
        <v>0</v>
      </c>
      <c r="T735" s="1369">
        <v>0.02</v>
      </c>
      <c r="U735" s="1369">
        <v>0.02</v>
      </c>
      <c r="V735" s="1369">
        <v>0.02</v>
      </c>
      <c r="W735" s="1369">
        <v>0.02</v>
      </c>
      <c r="X735" s="1369">
        <v>0.02</v>
      </c>
      <c r="Y735" s="1367"/>
      <c r="Z735" s="1370">
        <v>0</v>
      </c>
      <c r="AA735" s="1370">
        <v>0</v>
      </c>
      <c r="AB735" s="1370">
        <v>0</v>
      </c>
      <c r="AC735" s="1370">
        <v>0</v>
      </c>
      <c r="AD735" s="1370">
        <v>0</v>
      </c>
      <c r="AK735" s="1354">
        <f t="shared" si="238"/>
        <v>0</v>
      </c>
      <c r="AL735" s="1352">
        <f t="shared" si="237"/>
        <v>53</v>
      </c>
      <c r="AM735" s="1354">
        <f t="shared" si="226"/>
        <v>0</v>
      </c>
      <c r="AN735" s="1352" t="str">
        <f t="shared" si="225"/>
        <v>Stormwater Maintenance (Outside CAPS) Salaries &amp; Wages</v>
      </c>
    </row>
    <row r="736" spans="1:40" x14ac:dyDescent="0.2">
      <c r="A736" s="1324" t="str">
        <f>A735</f>
        <v>26-298</v>
      </c>
      <c r="B736" s="1324" t="s">
        <v>5883</v>
      </c>
      <c r="C736" s="1353">
        <f>'Key Metrics'!$D$260</f>
        <v>0</v>
      </c>
      <c r="D736" s="1353">
        <f>'Key Metrics'!$H$260</f>
        <v>0</v>
      </c>
      <c r="E736" s="1351">
        <f t="shared" si="228"/>
        <v>0</v>
      </c>
      <c r="F736" s="1353">
        <f t="shared" si="229"/>
        <v>0</v>
      </c>
      <c r="G736" s="1353">
        <f t="shared" si="230"/>
        <v>0</v>
      </c>
      <c r="H736" s="1353">
        <f t="shared" si="231"/>
        <v>0</v>
      </c>
      <c r="I736" s="1353">
        <f t="shared" si="232"/>
        <v>0</v>
      </c>
      <c r="J736" s="1353">
        <f t="shared" si="233"/>
        <v>0</v>
      </c>
      <c r="M736" s="1324" t="str">
        <f t="shared" si="234"/>
        <v>Stormwater Maintenance (Outside CAPS) Other Expenses</v>
      </c>
      <c r="N736" s="1368">
        <f t="shared" si="235"/>
        <v>0</v>
      </c>
      <c r="O736" s="1368">
        <f t="shared" si="239"/>
        <v>0</v>
      </c>
      <c r="P736" s="1368">
        <f t="shared" si="239"/>
        <v>0</v>
      </c>
      <c r="Q736" s="1368">
        <f t="shared" si="239"/>
        <v>0</v>
      </c>
      <c r="R736" s="1368">
        <f t="shared" si="239"/>
        <v>0</v>
      </c>
      <c r="T736" s="1369">
        <v>0.02</v>
      </c>
      <c r="U736" s="1369">
        <v>0.02</v>
      </c>
      <c r="V736" s="1369">
        <v>0.02</v>
      </c>
      <c r="W736" s="1369">
        <v>0.02</v>
      </c>
      <c r="X736" s="1369">
        <v>0.02</v>
      </c>
      <c r="Y736" s="1367"/>
      <c r="Z736" s="1370">
        <v>0</v>
      </c>
      <c r="AA736" s="1370">
        <v>0</v>
      </c>
      <c r="AB736" s="1370">
        <v>0</v>
      </c>
      <c r="AC736" s="1370">
        <v>0</v>
      </c>
      <c r="AD736" s="1370">
        <v>0</v>
      </c>
      <c r="AK736" s="1354">
        <f t="shared" si="238"/>
        <v>0</v>
      </c>
      <c r="AL736" s="1352">
        <f t="shared" si="237"/>
        <v>53</v>
      </c>
      <c r="AM736" s="1354">
        <f t="shared" si="226"/>
        <v>0</v>
      </c>
      <c r="AN736" s="1352" t="str">
        <f t="shared" si="225"/>
        <v>Stormwater Maintenance (Outside CAPS) Other Expenses</v>
      </c>
    </row>
    <row r="737" spans="1:40" x14ac:dyDescent="0.2">
      <c r="A737" s="1324" t="str">
        <f>A736</f>
        <v>26-298</v>
      </c>
      <c r="B737" s="1324" t="s">
        <v>5884</v>
      </c>
      <c r="C737" s="1353">
        <f>'Key Metrics'!$E$260</f>
        <v>0</v>
      </c>
      <c r="D737" s="1353">
        <f>'Key Metrics'!$I$260</f>
        <v>0</v>
      </c>
      <c r="E737" s="1351">
        <f t="shared" si="228"/>
        <v>0</v>
      </c>
      <c r="F737" s="1353">
        <f t="shared" si="229"/>
        <v>0</v>
      </c>
      <c r="G737" s="1353">
        <f t="shared" si="230"/>
        <v>0</v>
      </c>
      <c r="H737" s="1353">
        <f t="shared" si="231"/>
        <v>0</v>
      </c>
      <c r="I737" s="1353">
        <f t="shared" si="232"/>
        <v>0</v>
      </c>
      <c r="J737" s="1353">
        <f t="shared" si="233"/>
        <v>0</v>
      </c>
      <c r="M737" s="1324" t="str">
        <f t="shared" si="234"/>
        <v>Stormwater Maintenance (Outside CAPS) Unclassified</v>
      </c>
      <c r="N737" s="1368">
        <f t="shared" si="235"/>
        <v>0</v>
      </c>
      <c r="O737" s="1368">
        <f t="shared" si="239"/>
        <v>0</v>
      </c>
      <c r="P737" s="1368">
        <f t="shared" si="239"/>
        <v>0</v>
      </c>
      <c r="Q737" s="1368">
        <f t="shared" si="239"/>
        <v>0</v>
      </c>
      <c r="R737" s="1368">
        <f t="shared" si="239"/>
        <v>0</v>
      </c>
      <c r="T737" s="1369">
        <v>0.02</v>
      </c>
      <c r="U737" s="1369">
        <v>0.02</v>
      </c>
      <c r="V737" s="1369">
        <v>0.02</v>
      </c>
      <c r="W737" s="1369">
        <v>0.02</v>
      </c>
      <c r="X737" s="1369">
        <v>0.02</v>
      </c>
      <c r="Y737" s="1367"/>
      <c r="Z737" s="1370">
        <v>0</v>
      </c>
      <c r="AA737" s="1370">
        <v>0</v>
      </c>
      <c r="AB737" s="1370">
        <v>0</v>
      </c>
      <c r="AC737" s="1370">
        <v>0</v>
      </c>
      <c r="AD737" s="1370">
        <v>0</v>
      </c>
      <c r="AK737" s="1354">
        <f t="shared" si="238"/>
        <v>0</v>
      </c>
      <c r="AL737" s="1352">
        <f t="shared" si="237"/>
        <v>53</v>
      </c>
      <c r="AM737" s="1354">
        <f t="shared" si="226"/>
        <v>0</v>
      </c>
      <c r="AN737" s="1352" t="str">
        <f t="shared" si="225"/>
        <v>Stormwater Maintenance (Outside CAPS) Unclassified</v>
      </c>
    </row>
    <row r="738" spans="1:40" x14ac:dyDescent="0.2">
      <c r="A738" s="1324" t="s">
        <v>5175</v>
      </c>
      <c r="B738" s="1324" t="s">
        <v>5690</v>
      </c>
      <c r="C738" s="1353">
        <f>'Key Metrics'!$C$261</f>
        <v>0</v>
      </c>
      <c r="D738" s="1353">
        <f>'Key Metrics'!$G$261</f>
        <v>0</v>
      </c>
      <c r="E738" s="1351">
        <f t="shared" si="228"/>
        <v>0</v>
      </c>
      <c r="F738" s="1353">
        <f t="shared" si="229"/>
        <v>0</v>
      </c>
      <c r="G738" s="1353">
        <f t="shared" si="230"/>
        <v>0</v>
      </c>
      <c r="H738" s="1353">
        <f t="shared" si="231"/>
        <v>0</v>
      </c>
      <c r="I738" s="1353">
        <f t="shared" si="232"/>
        <v>0</v>
      </c>
      <c r="J738" s="1353">
        <f t="shared" si="233"/>
        <v>0</v>
      </c>
      <c r="M738" s="1324" t="str">
        <f t="shared" si="234"/>
        <v>Other Public Works Functions (Inside CAP) Salaries &amp; Wages</v>
      </c>
      <c r="N738" s="1368">
        <f t="shared" si="235"/>
        <v>0</v>
      </c>
      <c r="O738" s="1368">
        <f t="shared" si="239"/>
        <v>0</v>
      </c>
      <c r="P738" s="1368">
        <f t="shared" si="239"/>
        <v>0</v>
      </c>
      <c r="Q738" s="1368">
        <f t="shared" si="239"/>
        <v>0</v>
      </c>
      <c r="R738" s="1368">
        <f t="shared" si="239"/>
        <v>0</v>
      </c>
      <c r="T738" s="1369">
        <v>0.02</v>
      </c>
      <c r="U738" s="1369">
        <v>0.02</v>
      </c>
      <c r="V738" s="1369">
        <v>0.02</v>
      </c>
      <c r="W738" s="1369">
        <v>0.02</v>
      </c>
      <c r="X738" s="1369">
        <v>0.02</v>
      </c>
      <c r="Y738" s="1367"/>
      <c r="Z738" s="1370">
        <v>0</v>
      </c>
      <c r="AA738" s="1370">
        <v>0</v>
      </c>
      <c r="AB738" s="1370">
        <v>0</v>
      </c>
      <c r="AC738" s="1370">
        <v>0</v>
      </c>
      <c r="AD738" s="1370">
        <v>0</v>
      </c>
      <c r="AK738" s="1354">
        <f t="shared" si="238"/>
        <v>0</v>
      </c>
      <c r="AL738" s="1352">
        <f t="shared" si="237"/>
        <v>53</v>
      </c>
      <c r="AM738" s="1354">
        <f t="shared" si="226"/>
        <v>0</v>
      </c>
      <c r="AN738" s="1352" t="str">
        <f t="shared" si="225"/>
        <v>Other Public Works Functions (Inside CAP) Salaries &amp; Wages</v>
      </c>
    </row>
    <row r="739" spans="1:40" x14ac:dyDescent="0.2">
      <c r="A739" s="1324" t="str">
        <f>A738</f>
        <v>26-300</v>
      </c>
      <c r="B739" s="1324" t="s">
        <v>5885</v>
      </c>
      <c r="C739" s="1353">
        <f>'Key Metrics'!$D$261</f>
        <v>300</v>
      </c>
      <c r="D739" s="1353">
        <f>'Key Metrics'!$H$261</f>
        <v>5000</v>
      </c>
      <c r="E739" s="1351">
        <f t="shared" si="228"/>
        <v>15.666666666666668</v>
      </c>
      <c r="F739" s="1353">
        <f t="shared" si="229"/>
        <v>5100</v>
      </c>
      <c r="G739" s="1353">
        <f t="shared" si="230"/>
        <v>5202</v>
      </c>
      <c r="H739" s="1353">
        <f t="shared" si="231"/>
        <v>5306.04</v>
      </c>
      <c r="I739" s="1353">
        <f t="shared" si="232"/>
        <v>5412.1607999999997</v>
      </c>
      <c r="J739" s="1353">
        <f t="shared" si="233"/>
        <v>5520.4040159999995</v>
      </c>
      <c r="M739" s="1324" t="str">
        <f t="shared" si="234"/>
        <v>Other Public Works Functions (Inside CAP) Other Expenses</v>
      </c>
      <c r="N739" s="1368">
        <f t="shared" si="235"/>
        <v>15.666666666666668</v>
      </c>
      <c r="O739" s="1368">
        <f t="shared" si="239"/>
        <v>15.666666666666668</v>
      </c>
      <c r="P739" s="1368">
        <f t="shared" si="239"/>
        <v>15.666666666666668</v>
      </c>
      <c r="Q739" s="1368">
        <f t="shared" si="239"/>
        <v>15.666666666666668</v>
      </c>
      <c r="R739" s="1368">
        <f t="shared" si="239"/>
        <v>15.666666666666668</v>
      </c>
      <c r="T739" s="1369">
        <v>0.02</v>
      </c>
      <c r="U739" s="1369">
        <v>0.02</v>
      </c>
      <c r="V739" s="1369">
        <v>0.02</v>
      </c>
      <c r="W739" s="1369">
        <v>0.02</v>
      </c>
      <c r="X739" s="1369">
        <v>0.02</v>
      </c>
      <c r="Y739" s="1367"/>
      <c r="Z739" s="1370">
        <v>0</v>
      </c>
      <c r="AA739" s="1370">
        <v>0</v>
      </c>
      <c r="AB739" s="1370">
        <v>0</v>
      </c>
      <c r="AC739" s="1370">
        <v>0</v>
      </c>
      <c r="AD739" s="1370">
        <v>0</v>
      </c>
      <c r="AK739" s="1354">
        <f t="shared" si="238"/>
        <v>31840.604815999999</v>
      </c>
      <c r="AL739" s="1352">
        <f t="shared" si="237"/>
        <v>23</v>
      </c>
      <c r="AM739" s="1354">
        <f t="shared" si="226"/>
        <v>520.4040159999995</v>
      </c>
      <c r="AN739" s="1352" t="str">
        <f t="shared" si="225"/>
        <v>Other Public Works Functions (Inside CAP) Other Expenses</v>
      </c>
    </row>
    <row r="740" spans="1:40" x14ac:dyDescent="0.2">
      <c r="A740" s="1324" t="str">
        <f>A739</f>
        <v>26-300</v>
      </c>
      <c r="B740" s="1324" t="s">
        <v>5886</v>
      </c>
      <c r="C740" s="1353">
        <f>'Key Metrics'!$E$261</f>
        <v>0</v>
      </c>
      <c r="D740" s="1353">
        <f>'Key Metrics'!$I$261</f>
        <v>0</v>
      </c>
      <c r="E740" s="1351">
        <f t="shared" si="228"/>
        <v>0</v>
      </c>
      <c r="F740" s="1353">
        <f t="shared" si="229"/>
        <v>0</v>
      </c>
      <c r="G740" s="1353">
        <f t="shared" si="230"/>
        <v>0</v>
      </c>
      <c r="H740" s="1353">
        <f t="shared" si="231"/>
        <v>0</v>
      </c>
      <c r="I740" s="1353">
        <f t="shared" si="232"/>
        <v>0</v>
      </c>
      <c r="J740" s="1353">
        <f t="shared" si="233"/>
        <v>0</v>
      </c>
      <c r="M740" s="1324" t="str">
        <f t="shared" si="234"/>
        <v>Other Public Works Functions (Inside CAP) Unclassified</v>
      </c>
      <c r="N740" s="1368">
        <f t="shared" si="235"/>
        <v>0</v>
      </c>
      <c r="O740" s="1368">
        <f t="shared" si="239"/>
        <v>0</v>
      </c>
      <c r="P740" s="1368">
        <f t="shared" si="239"/>
        <v>0</v>
      </c>
      <c r="Q740" s="1368">
        <f t="shared" si="239"/>
        <v>0</v>
      </c>
      <c r="R740" s="1368">
        <f t="shared" si="239"/>
        <v>0</v>
      </c>
      <c r="T740" s="1369">
        <v>0.02</v>
      </c>
      <c r="U740" s="1369">
        <v>0.02</v>
      </c>
      <c r="V740" s="1369">
        <v>0.02</v>
      </c>
      <c r="W740" s="1369">
        <v>0.02</v>
      </c>
      <c r="X740" s="1369">
        <v>0.02</v>
      </c>
      <c r="Y740" s="1367"/>
      <c r="Z740" s="1370">
        <v>0</v>
      </c>
      <c r="AA740" s="1370">
        <v>0</v>
      </c>
      <c r="AB740" s="1370">
        <v>0</v>
      </c>
      <c r="AC740" s="1370">
        <v>0</v>
      </c>
      <c r="AD740" s="1370">
        <v>0</v>
      </c>
      <c r="AK740" s="1354">
        <f t="shared" si="238"/>
        <v>0</v>
      </c>
      <c r="AL740" s="1352">
        <f t="shared" si="237"/>
        <v>53</v>
      </c>
      <c r="AM740" s="1354">
        <f t="shared" si="226"/>
        <v>0</v>
      </c>
      <c r="AN740" s="1352" t="str">
        <f t="shared" si="225"/>
        <v>Other Public Works Functions (Inside CAP) Unclassified</v>
      </c>
    </row>
    <row r="741" spans="1:40" x14ac:dyDescent="0.2">
      <c r="A741" s="1324" t="s">
        <v>5176</v>
      </c>
      <c r="B741" s="1324" t="s">
        <v>5691</v>
      </c>
      <c r="C741" s="1353">
        <f>'Key Metrics'!$C$262</f>
        <v>0</v>
      </c>
      <c r="D741" s="1353">
        <f>'Key Metrics'!$G$262</f>
        <v>0</v>
      </c>
      <c r="E741" s="1351">
        <f t="shared" si="228"/>
        <v>0</v>
      </c>
      <c r="F741" s="1353">
        <f t="shared" si="229"/>
        <v>0</v>
      </c>
      <c r="G741" s="1353">
        <f t="shared" si="230"/>
        <v>0</v>
      </c>
      <c r="H741" s="1353">
        <f t="shared" si="231"/>
        <v>0</v>
      </c>
      <c r="I741" s="1353">
        <f t="shared" si="232"/>
        <v>0</v>
      </c>
      <c r="J741" s="1353">
        <f t="shared" si="233"/>
        <v>0</v>
      </c>
      <c r="M741" s="1324" t="str">
        <f t="shared" si="234"/>
        <v>Solid Waste Collection Salaries &amp; Wages</v>
      </c>
      <c r="N741" s="1368">
        <f t="shared" si="235"/>
        <v>0</v>
      </c>
      <c r="O741" s="1368">
        <f t="shared" si="239"/>
        <v>0</v>
      </c>
      <c r="P741" s="1368">
        <f t="shared" si="239"/>
        <v>0</v>
      </c>
      <c r="Q741" s="1368">
        <f t="shared" si="239"/>
        <v>0</v>
      </c>
      <c r="R741" s="1368">
        <f t="shared" si="239"/>
        <v>0</v>
      </c>
      <c r="T741" s="1369">
        <v>0.02</v>
      </c>
      <c r="U741" s="1369">
        <v>0.02</v>
      </c>
      <c r="V741" s="1369">
        <v>0.02</v>
      </c>
      <c r="W741" s="1369">
        <v>0.02</v>
      </c>
      <c r="X741" s="1369">
        <v>0.02</v>
      </c>
      <c r="Y741" s="1367"/>
      <c r="Z741" s="1370">
        <v>0</v>
      </c>
      <c r="AA741" s="1370">
        <v>0</v>
      </c>
      <c r="AB741" s="1370">
        <v>0</v>
      </c>
      <c r="AC741" s="1370">
        <v>0</v>
      </c>
      <c r="AD741" s="1370">
        <v>0</v>
      </c>
      <c r="AK741" s="1354">
        <f t="shared" si="238"/>
        <v>0</v>
      </c>
      <c r="AL741" s="1352">
        <f t="shared" si="237"/>
        <v>53</v>
      </c>
      <c r="AM741" s="1354">
        <f t="shared" si="226"/>
        <v>0</v>
      </c>
      <c r="AN741" s="1352" t="str">
        <f t="shared" si="225"/>
        <v>Solid Waste Collection Salaries &amp; Wages</v>
      </c>
    </row>
    <row r="742" spans="1:40" x14ac:dyDescent="0.2">
      <c r="A742" s="1324" t="str">
        <f>A741</f>
        <v>26-305</v>
      </c>
      <c r="B742" s="1324" t="s">
        <v>5887</v>
      </c>
      <c r="C742" s="1353">
        <f>'Key Metrics'!$D$262</f>
        <v>0</v>
      </c>
      <c r="D742" s="1353">
        <f>'Key Metrics'!$H$262</f>
        <v>0</v>
      </c>
      <c r="E742" s="1351">
        <f t="shared" si="228"/>
        <v>0</v>
      </c>
      <c r="F742" s="1353">
        <f t="shared" si="229"/>
        <v>0</v>
      </c>
      <c r="G742" s="1353">
        <f t="shared" si="230"/>
        <v>0</v>
      </c>
      <c r="H742" s="1353">
        <f t="shared" si="231"/>
        <v>0</v>
      </c>
      <c r="I742" s="1353">
        <f t="shared" si="232"/>
        <v>0</v>
      </c>
      <c r="J742" s="1353">
        <f t="shared" si="233"/>
        <v>0</v>
      </c>
      <c r="M742" s="1324" t="str">
        <f t="shared" si="234"/>
        <v>Solid Waste Collection Other Expenses</v>
      </c>
      <c r="N742" s="1368">
        <f t="shared" si="235"/>
        <v>0</v>
      </c>
      <c r="O742" s="1368">
        <f t="shared" si="239"/>
        <v>0</v>
      </c>
      <c r="P742" s="1368">
        <f t="shared" si="239"/>
        <v>0</v>
      </c>
      <c r="Q742" s="1368">
        <f t="shared" si="239"/>
        <v>0</v>
      </c>
      <c r="R742" s="1368">
        <f t="shared" si="239"/>
        <v>0</v>
      </c>
      <c r="T742" s="1369">
        <v>0.02</v>
      </c>
      <c r="U742" s="1369">
        <v>0.02</v>
      </c>
      <c r="V742" s="1369">
        <v>0.02</v>
      </c>
      <c r="W742" s="1369">
        <v>0.02</v>
      </c>
      <c r="X742" s="1369">
        <v>0.02</v>
      </c>
      <c r="Y742" s="1367"/>
      <c r="Z742" s="1370">
        <v>0</v>
      </c>
      <c r="AA742" s="1370">
        <v>0</v>
      </c>
      <c r="AB742" s="1370">
        <v>0</v>
      </c>
      <c r="AC742" s="1370">
        <v>0</v>
      </c>
      <c r="AD742" s="1370">
        <v>0</v>
      </c>
      <c r="AK742" s="1354">
        <f t="shared" si="238"/>
        <v>0</v>
      </c>
      <c r="AL742" s="1352">
        <f t="shared" si="237"/>
        <v>53</v>
      </c>
      <c r="AM742" s="1354">
        <f t="shared" si="226"/>
        <v>0</v>
      </c>
      <c r="AN742" s="1352" t="str">
        <f t="shared" si="225"/>
        <v>Solid Waste Collection Other Expenses</v>
      </c>
    </row>
    <row r="743" spans="1:40" x14ac:dyDescent="0.2">
      <c r="A743" s="1324" t="str">
        <f>A742</f>
        <v>26-305</v>
      </c>
      <c r="B743" s="1324" t="s">
        <v>5888</v>
      </c>
      <c r="C743" s="1353">
        <f>'Key Metrics'!$E$262</f>
        <v>0</v>
      </c>
      <c r="D743" s="1353">
        <f>'Key Metrics'!$I$262</f>
        <v>0</v>
      </c>
      <c r="E743" s="1351">
        <f t="shared" si="228"/>
        <v>0</v>
      </c>
      <c r="F743" s="1353">
        <f t="shared" si="229"/>
        <v>0</v>
      </c>
      <c r="G743" s="1353">
        <f t="shared" si="230"/>
        <v>0</v>
      </c>
      <c r="H743" s="1353">
        <f t="shared" si="231"/>
        <v>0</v>
      </c>
      <c r="I743" s="1353">
        <f t="shared" si="232"/>
        <v>0</v>
      </c>
      <c r="J743" s="1353">
        <f t="shared" si="233"/>
        <v>0</v>
      </c>
      <c r="M743" s="1324" t="str">
        <f t="shared" si="234"/>
        <v>Solid Waste Collection Unclassified</v>
      </c>
      <c r="N743" s="1368">
        <f t="shared" si="235"/>
        <v>0</v>
      </c>
      <c r="O743" s="1368">
        <f t="shared" si="239"/>
        <v>0</v>
      </c>
      <c r="P743" s="1368">
        <f t="shared" si="239"/>
        <v>0</v>
      </c>
      <c r="Q743" s="1368">
        <f t="shared" si="239"/>
        <v>0</v>
      </c>
      <c r="R743" s="1368">
        <f t="shared" si="239"/>
        <v>0</v>
      </c>
      <c r="T743" s="1369">
        <v>0.02</v>
      </c>
      <c r="U743" s="1369">
        <v>0.02</v>
      </c>
      <c r="V743" s="1369">
        <v>0.02</v>
      </c>
      <c r="W743" s="1369">
        <v>0.02</v>
      </c>
      <c r="X743" s="1369">
        <v>0.02</v>
      </c>
      <c r="Y743" s="1367"/>
      <c r="Z743" s="1370">
        <v>0</v>
      </c>
      <c r="AA743" s="1370">
        <v>0</v>
      </c>
      <c r="AB743" s="1370">
        <v>0</v>
      </c>
      <c r="AC743" s="1370">
        <v>0</v>
      </c>
      <c r="AD743" s="1370">
        <v>0</v>
      </c>
      <c r="AK743" s="1354">
        <f t="shared" si="238"/>
        <v>0</v>
      </c>
      <c r="AL743" s="1352">
        <f t="shared" si="237"/>
        <v>53</v>
      </c>
      <c r="AM743" s="1354">
        <f t="shared" si="226"/>
        <v>0</v>
      </c>
      <c r="AN743" s="1352" t="str">
        <f t="shared" si="225"/>
        <v>Solid Waste Collection Unclassified</v>
      </c>
    </row>
    <row r="744" spans="1:40" x14ac:dyDescent="0.2">
      <c r="A744" s="1324" t="s">
        <v>5177</v>
      </c>
      <c r="B744" s="1324" t="s">
        <v>5692</v>
      </c>
      <c r="C744" s="1353">
        <f>'Key Metrics'!$C$263</f>
        <v>0</v>
      </c>
      <c r="D744" s="1353">
        <f>'Key Metrics'!$G$263</f>
        <v>100</v>
      </c>
      <c r="E744" s="1351">
        <f t="shared" si="228"/>
        <v>0</v>
      </c>
      <c r="F744" s="1353">
        <f t="shared" si="229"/>
        <v>102</v>
      </c>
      <c r="G744" s="1353">
        <f t="shared" si="230"/>
        <v>104.04</v>
      </c>
      <c r="H744" s="1353">
        <f t="shared" si="231"/>
        <v>106.1208</v>
      </c>
      <c r="I744" s="1353">
        <f t="shared" si="232"/>
        <v>108.243216</v>
      </c>
      <c r="J744" s="1353">
        <f t="shared" si="233"/>
        <v>110.40808032000001</v>
      </c>
      <c r="M744" s="1324" t="str">
        <f t="shared" si="234"/>
        <v>Buildings and Grounds Salaries &amp; Wages</v>
      </c>
      <c r="N744" s="1368">
        <f t="shared" si="235"/>
        <v>0</v>
      </c>
      <c r="O744" s="1368">
        <f t="shared" si="239"/>
        <v>0</v>
      </c>
      <c r="P744" s="1368">
        <f t="shared" si="239"/>
        <v>0</v>
      </c>
      <c r="Q744" s="1368">
        <f t="shared" si="239"/>
        <v>0</v>
      </c>
      <c r="R744" s="1368">
        <f t="shared" si="239"/>
        <v>0</v>
      </c>
      <c r="T744" s="1369">
        <v>0.02</v>
      </c>
      <c r="U744" s="1369">
        <v>0.02</v>
      </c>
      <c r="V744" s="1369">
        <v>0.02</v>
      </c>
      <c r="W744" s="1369">
        <v>0.02</v>
      </c>
      <c r="X744" s="1369">
        <v>0.02</v>
      </c>
      <c r="Y744" s="1367"/>
      <c r="Z744" s="1370">
        <v>0</v>
      </c>
      <c r="AA744" s="1370">
        <v>0</v>
      </c>
      <c r="AB744" s="1370">
        <v>0</v>
      </c>
      <c r="AC744" s="1370">
        <v>0</v>
      </c>
      <c r="AD744" s="1370">
        <v>0</v>
      </c>
      <c r="AK744" s="1354">
        <f t="shared" si="238"/>
        <v>630.81209631999991</v>
      </c>
      <c r="AL744" s="1352">
        <f t="shared" si="237"/>
        <v>44</v>
      </c>
      <c r="AM744" s="1354">
        <f t="shared" si="226"/>
        <v>10.40808032000001</v>
      </c>
      <c r="AN744" s="1352" t="str">
        <f t="shared" si="225"/>
        <v>Buildings and Grounds Salaries &amp; Wages</v>
      </c>
    </row>
    <row r="745" spans="1:40" x14ac:dyDescent="0.2">
      <c r="A745" s="1324" t="str">
        <f>A744</f>
        <v>26-310</v>
      </c>
      <c r="B745" s="1324" t="s">
        <v>5889</v>
      </c>
      <c r="C745" s="1353">
        <f>'Key Metrics'!$D$263</f>
        <v>15545.03</v>
      </c>
      <c r="D745" s="1353">
        <f>'Key Metrics'!$H$263</f>
        <v>20000</v>
      </c>
      <c r="E745" s="1351">
        <f t="shared" si="228"/>
        <v>0.28658484415919427</v>
      </c>
      <c r="F745" s="1353">
        <f t="shared" si="229"/>
        <v>20400</v>
      </c>
      <c r="G745" s="1353">
        <f t="shared" si="230"/>
        <v>20808</v>
      </c>
      <c r="H745" s="1353">
        <f t="shared" si="231"/>
        <v>21224.16</v>
      </c>
      <c r="I745" s="1353">
        <f t="shared" si="232"/>
        <v>21648.643199999999</v>
      </c>
      <c r="J745" s="1353">
        <f t="shared" si="233"/>
        <v>22081.616063999998</v>
      </c>
      <c r="M745" s="1324" t="str">
        <f t="shared" si="234"/>
        <v>Buildings and Grounds Other Expenses</v>
      </c>
      <c r="N745" s="1368">
        <f t="shared" si="235"/>
        <v>0.28658484415919427</v>
      </c>
      <c r="O745" s="1368">
        <f t="shared" si="239"/>
        <v>0.28658484415919427</v>
      </c>
      <c r="P745" s="1368">
        <f t="shared" si="239"/>
        <v>0.28658484415919427</v>
      </c>
      <c r="Q745" s="1368">
        <f t="shared" si="239"/>
        <v>0.28658484415919427</v>
      </c>
      <c r="R745" s="1368">
        <f t="shared" si="239"/>
        <v>0.28658484415919427</v>
      </c>
      <c r="T745" s="1369">
        <v>0.02</v>
      </c>
      <c r="U745" s="1369">
        <v>0.02</v>
      </c>
      <c r="V745" s="1369">
        <v>0.02</v>
      </c>
      <c r="W745" s="1369">
        <v>0.02</v>
      </c>
      <c r="X745" s="1369">
        <v>0.02</v>
      </c>
      <c r="Y745" s="1367"/>
      <c r="Z745" s="1370">
        <v>0</v>
      </c>
      <c r="AA745" s="1370">
        <v>0</v>
      </c>
      <c r="AB745" s="1370">
        <v>0</v>
      </c>
      <c r="AC745" s="1370">
        <v>0</v>
      </c>
      <c r="AD745" s="1370">
        <v>0</v>
      </c>
      <c r="AK745" s="1354">
        <f t="shared" si="238"/>
        <v>141707.449264</v>
      </c>
      <c r="AL745" s="1352">
        <f t="shared" si="237"/>
        <v>6</v>
      </c>
      <c r="AM745" s="1354">
        <f t="shared" si="226"/>
        <v>2081.616063999998</v>
      </c>
      <c r="AN745" s="1352" t="str">
        <f t="shared" si="225"/>
        <v>Buildings and Grounds Other Expenses</v>
      </c>
    </row>
    <row r="746" spans="1:40" x14ac:dyDescent="0.2">
      <c r="A746" s="1324" t="str">
        <f>A745</f>
        <v>26-310</v>
      </c>
      <c r="B746" s="1324" t="s">
        <v>5890</v>
      </c>
      <c r="C746" s="1353">
        <f>'Key Metrics'!$E$263</f>
        <v>0</v>
      </c>
      <c r="D746" s="1353">
        <f>'Key Metrics'!$I$263</f>
        <v>0</v>
      </c>
      <c r="E746" s="1351">
        <f t="shared" si="228"/>
        <v>0</v>
      </c>
      <c r="F746" s="1353">
        <f t="shared" si="229"/>
        <v>0</v>
      </c>
      <c r="G746" s="1353">
        <f t="shared" si="230"/>
        <v>0</v>
      </c>
      <c r="H746" s="1353">
        <f t="shared" si="231"/>
        <v>0</v>
      </c>
      <c r="I746" s="1353">
        <f t="shared" si="232"/>
        <v>0</v>
      </c>
      <c r="J746" s="1353">
        <f t="shared" si="233"/>
        <v>0</v>
      </c>
      <c r="M746" s="1324" t="str">
        <f t="shared" si="234"/>
        <v>Buildings and Grounds Unclassified</v>
      </c>
      <c r="N746" s="1368">
        <f t="shared" si="235"/>
        <v>0</v>
      </c>
      <c r="O746" s="1368">
        <f t="shared" ref="O746:R755" si="240">N746</f>
        <v>0</v>
      </c>
      <c r="P746" s="1368">
        <f t="shared" si="240"/>
        <v>0</v>
      </c>
      <c r="Q746" s="1368">
        <f t="shared" si="240"/>
        <v>0</v>
      </c>
      <c r="R746" s="1368">
        <f t="shared" si="240"/>
        <v>0</v>
      </c>
      <c r="T746" s="1369">
        <v>0.02</v>
      </c>
      <c r="U746" s="1369">
        <v>0.02</v>
      </c>
      <c r="V746" s="1369">
        <v>0.02</v>
      </c>
      <c r="W746" s="1369">
        <v>0.02</v>
      </c>
      <c r="X746" s="1369">
        <v>0.02</v>
      </c>
      <c r="Y746" s="1367"/>
      <c r="Z746" s="1370">
        <v>0</v>
      </c>
      <c r="AA746" s="1370">
        <v>0</v>
      </c>
      <c r="AB746" s="1370">
        <v>0</v>
      </c>
      <c r="AC746" s="1370">
        <v>0</v>
      </c>
      <c r="AD746" s="1370">
        <v>0</v>
      </c>
      <c r="AK746" s="1354">
        <f t="shared" si="238"/>
        <v>0</v>
      </c>
      <c r="AL746" s="1352">
        <f t="shared" si="237"/>
        <v>53</v>
      </c>
      <c r="AM746" s="1354">
        <f t="shared" si="226"/>
        <v>0</v>
      </c>
      <c r="AN746" s="1352" t="str">
        <f t="shared" si="225"/>
        <v>Buildings and Grounds Unclassified</v>
      </c>
    </row>
    <row r="747" spans="1:40" x14ac:dyDescent="0.2">
      <c r="A747" s="1324" t="s">
        <v>5178</v>
      </c>
      <c r="B747" s="1324" t="s">
        <v>5693</v>
      </c>
      <c r="C747" s="1353">
        <f>'Key Metrics'!$C$264</f>
        <v>0</v>
      </c>
      <c r="D747" s="1353">
        <f>'Key Metrics'!$G$264</f>
        <v>0</v>
      </c>
      <c r="E747" s="1351">
        <f t="shared" si="228"/>
        <v>0</v>
      </c>
      <c r="F747" s="1353">
        <f t="shared" si="229"/>
        <v>0</v>
      </c>
      <c r="G747" s="1353">
        <f t="shared" si="230"/>
        <v>0</v>
      </c>
      <c r="H747" s="1353">
        <f t="shared" si="231"/>
        <v>0</v>
      </c>
      <c r="I747" s="1353">
        <f t="shared" si="232"/>
        <v>0</v>
      </c>
      <c r="J747" s="1353">
        <f t="shared" si="233"/>
        <v>0</v>
      </c>
      <c r="M747" s="1324" t="str">
        <f t="shared" si="234"/>
        <v>Vehicle Maintenance (includes Police Vehicles) Salaries &amp; Wages</v>
      </c>
      <c r="N747" s="1368">
        <f t="shared" si="235"/>
        <v>0</v>
      </c>
      <c r="O747" s="1368">
        <f t="shared" si="240"/>
        <v>0</v>
      </c>
      <c r="P747" s="1368">
        <f t="shared" si="240"/>
        <v>0</v>
      </c>
      <c r="Q747" s="1368">
        <f t="shared" si="240"/>
        <v>0</v>
      </c>
      <c r="R747" s="1368">
        <f t="shared" si="240"/>
        <v>0</v>
      </c>
      <c r="T747" s="1369">
        <v>0.02</v>
      </c>
      <c r="U747" s="1369">
        <v>0.02</v>
      </c>
      <c r="V747" s="1369">
        <v>0.02</v>
      </c>
      <c r="W747" s="1369">
        <v>0.02</v>
      </c>
      <c r="X747" s="1369">
        <v>0.02</v>
      </c>
      <c r="Y747" s="1367"/>
      <c r="Z747" s="1370">
        <v>0</v>
      </c>
      <c r="AA747" s="1370">
        <v>0</v>
      </c>
      <c r="AB747" s="1370">
        <v>0</v>
      </c>
      <c r="AC747" s="1370">
        <v>0</v>
      </c>
      <c r="AD747" s="1370">
        <v>0</v>
      </c>
      <c r="AK747" s="1354">
        <f t="shared" si="238"/>
        <v>0</v>
      </c>
      <c r="AL747" s="1352">
        <f t="shared" si="237"/>
        <v>53</v>
      </c>
      <c r="AM747" s="1354">
        <f t="shared" si="226"/>
        <v>0</v>
      </c>
      <c r="AN747" s="1352" t="str">
        <f t="shared" si="225"/>
        <v>Vehicle Maintenance (includes Police Vehicles) Salaries &amp; Wages</v>
      </c>
    </row>
    <row r="748" spans="1:40" x14ac:dyDescent="0.2">
      <c r="A748" s="1324" t="str">
        <f>A747</f>
        <v>26-315</v>
      </c>
      <c r="B748" s="1324" t="s">
        <v>5891</v>
      </c>
      <c r="C748" s="1353">
        <f>'Key Metrics'!$D$264</f>
        <v>0</v>
      </c>
      <c r="D748" s="1353">
        <f>'Key Metrics'!$H$264</f>
        <v>0</v>
      </c>
      <c r="E748" s="1351">
        <f t="shared" si="228"/>
        <v>0</v>
      </c>
      <c r="F748" s="1353">
        <f t="shared" si="229"/>
        <v>0</v>
      </c>
      <c r="G748" s="1353">
        <f t="shared" si="230"/>
        <v>0</v>
      </c>
      <c r="H748" s="1353">
        <f t="shared" si="231"/>
        <v>0</v>
      </c>
      <c r="I748" s="1353">
        <f t="shared" si="232"/>
        <v>0</v>
      </c>
      <c r="J748" s="1353">
        <f t="shared" si="233"/>
        <v>0</v>
      </c>
      <c r="M748" s="1324" t="str">
        <f t="shared" si="234"/>
        <v>Vehicle Maintenance (includes Police Vehicles) Other Expenses</v>
      </c>
      <c r="N748" s="1368">
        <f t="shared" si="235"/>
        <v>0</v>
      </c>
      <c r="O748" s="1368">
        <f t="shared" si="240"/>
        <v>0</v>
      </c>
      <c r="P748" s="1368">
        <f t="shared" si="240"/>
        <v>0</v>
      </c>
      <c r="Q748" s="1368">
        <f t="shared" si="240"/>
        <v>0</v>
      </c>
      <c r="R748" s="1368">
        <f t="shared" si="240"/>
        <v>0</v>
      </c>
      <c r="T748" s="1369">
        <v>0.02</v>
      </c>
      <c r="U748" s="1369">
        <v>0.02</v>
      </c>
      <c r="V748" s="1369">
        <v>0.02</v>
      </c>
      <c r="W748" s="1369">
        <v>0.02</v>
      </c>
      <c r="X748" s="1369">
        <v>0.02</v>
      </c>
      <c r="Y748" s="1367"/>
      <c r="Z748" s="1370">
        <v>0</v>
      </c>
      <c r="AA748" s="1370">
        <v>0</v>
      </c>
      <c r="AB748" s="1370">
        <v>0</v>
      </c>
      <c r="AC748" s="1370">
        <v>0</v>
      </c>
      <c r="AD748" s="1370">
        <v>0</v>
      </c>
      <c r="AK748" s="1354">
        <f t="shared" si="238"/>
        <v>0</v>
      </c>
      <c r="AL748" s="1352">
        <f t="shared" si="237"/>
        <v>53</v>
      </c>
      <c r="AM748" s="1354">
        <f t="shared" si="226"/>
        <v>0</v>
      </c>
      <c r="AN748" s="1352" t="str">
        <f t="shared" si="225"/>
        <v>Vehicle Maintenance (includes Police Vehicles) Other Expenses</v>
      </c>
    </row>
    <row r="749" spans="1:40" x14ac:dyDescent="0.2">
      <c r="A749" s="1324" t="str">
        <f>A748</f>
        <v>26-315</v>
      </c>
      <c r="B749" s="1324" t="s">
        <v>5892</v>
      </c>
      <c r="C749" s="1353">
        <f>'Key Metrics'!$E$264</f>
        <v>0</v>
      </c>
      <c r="D749" s="1353">
        <f>'Key Metrics'!$I$264</f>
        <v>0</v>
      </c>
      <c r="E749" s="1351">
        <f t="shared" si="228"/>
        <v>0</v>
      </c>
      <c r="F749" s="1353">
        <f t="shared" si="229"/>
        <v>0</v>
      </c>
      <c r="G749" s="1353">
        <f t="shared" si="230"/>
        <v>0</v>
      </c>
      <c r="H749" s="1353">
        <f t="shared" si="231"/>
        <v>0</v>
      </c>
      <c r="I749" s="1353">
        <f t="shared" si="232"/>
        <v>0</v>
      </c>
      <c r="J749" s="1353">
        <f t="shared" si="233"/>
        <v>0</v>
      </c>
      <c r="M749" s="1324" t="str">
        <f t="shared" si="234"/>
        <v>Vehicle Maintenance (includes Police Vehicles) Unclassified</v>
      </c>
      <c r="N749" s="1368">
        <f t="shared" si="235"/>
        <v>0</v>
      </c>
      <c r="O749" s="1368">
        <f t="shared" si="240"/>
        <v>0</v>
      </c>
      <c r="P749" s="1368">
        <f t="shared" si="240"/>
        <v>0</v>
      </c>
      <c r="Q749" s="1368">
        <f t="shared" si="240"/>
        <v>0</v>
      </c>
      <c r="R749" s="1368">
        <f t="shared" si="240"/>
        <v>0</v>
      </c>
      <c r="T749" s="1369">
        <v>0.02</v>
      </c>
      <c r="U749" s="1369">
        <v>0.02</v>
      </c>
      <c r="V749" s="1369">
        <v>0.02</v>
      </c>
      <c r="W749" s="1369">
        <v>0.02</v>
      </c>
      <c r="X749" s="1369">
        <v>0.02</v>
      </c>
      <c r="Y749" s="1367"/>
      <c r="Z749" s="1370">
        <v>0</v>
      </c>
      <c r="AA749" s="1370">
        <v>0</v>
      </c>
      <c r="AB749" s="1370">
        <v>0</v>
      </c>
      <c r="AC749" s="1370">
        <v>0</v>
      </c>
      <c r="AD749" s="1370">
        <v>0</v>
      </c>
      <c r="AK749" s="1354">
        <f t="shared" si="238"/>
        <v>0</v>
      </c>
      <c r="AL749" s="1352">
        <f t="shared" si="237"/>
        <v>53</v>
      </c>
      <c r="AM749" s="1354">
        <f t="shared" si="226"/>
        <v>0</v>
      </c>
      <c r="AN749" s="1352" t="str">
        <f t="shared" si="225"/>
        <v>Vehicle Maintenance (includes Police Vehicles) Unclassified</v>
      </c>
    </row>
    <row r="750" spans="1:40" x14ac:dyDescent="0.2">
      <c r="A750" s="1324" t="s">
        <v>5179</v>
      </c>
      <c r="B750" s="1324" t="s">
        <v>5694</v>
      </c>
      <c r="C750" s="1353">
        <f>'Key Metrics'!$C$265</f>
        <v>0</v>
      </c>
      <c r="D750" s="1353">
        <f>'Key Metrics'!$G$265</f>
        <v>0</v>
      </c>
      <c r="E750" s="1351">
        <f t="shared" si="228"/>
        <v>0</v>
      </c>
      <c r="F750" s="1353">
        <f t="shared" si="229"/>
        <v>0</v>
      </c>
      <c r="G750" s="1353">
        <f t="shared" si="230"/>
        <v>0</v>
      </c>
      <c r="H750" s="1353">
        <f t="shared" si="231"/>
        <v>0</v>
      </c>
      <c r="I750" s="1353">
        <f t="shared" si="232"/>
        <v>0</v>
      </c>
      <c r="J750" s="1353">
        <f t="shared" si="233"/>
        <v>0</v>
      </c>
      <c r="M750" s="1324" t="str">
        <f t="shared" si="234"/>
        <v>Mosquito Control Salaries &amp; Wages</v>
      </c>
      <c r="N750" s="1368">
        <f t="shared" si="235"/>
        <v>0</v>
      </c>
      <c r="O750" s="1368">
        <f t="shared" si="240"/>
        <v>0</v>
      </c>
      <c r="P750" s="1368">
        <f t="shared" si="240"/>
        <v>0</v>
      </c>
      <c r="Q750" s="1368">
        <f t="shared" si="240"/>
        <v>0</v>
      </c>
      <c r="R750" s="1368">
        <f t="shared" si="240"/>
        <v>0</v>
      </c>
      <c r="T750" s="1369">
        <v>0.02</v>
      </c>
      <c r="U750" s="1369">
        <v>0.02</v>
      </c>
      <c r="V750" s="1369">
        <v>0.02</v>
      </c>
      <c r="W750" s="1369">
        <v>0.02</v>
      </c>
      <c r="X750" s="1369">
        <v>0.02</v>
      </c>
      <c r="Y750" s="1367"/>
      <c r="Z750" s="1370">
        <v>0</v>
      </c>
      <c r="AA750" s="1370">
        <v>0</v>
      </c>
      <c r="AB750" s="1370">
        <v>0</v>
      </c>
      <c r="AC750" s="1370">
        <v>0</v>
      </c>
      <c r="AD750" s="1370">
        <v>0</v>
      </c>
      <c r="AK750" s="1354">
        <f t="shared" si="238"/>
        <v>0</v>
      </c>
      <c r="AL750" s="1352">
        <f t="shared" si="237"/>
        <v>53</v>
      </c>
      <c r="AM750" s="1354">
        <f t="shared" si="226"/>
        <v>0</v>
      </c>
      <c r="AN750" s="1352" t="str">
        <f t="shared" si="225"/>
        <v>Mosquito Control Salaries &amp; Wages</v>
      </c>
    </row>
    <row r="751" spans="1:40" x14ac:dyDescent="0.2">
      <c r="A751" s="1324" t="str">
        <f>A750</f>
        <v>26-320</v>
      </c>
      <c r="B751" s="1324" t="s">
        <v>5893</v>
      </c>
      <c r="C751" s="1353">
        <f>'Key Metrics'!$D$265</f>
        <v>0</v>
      </c>
      <c r="D751" s="1353">
        <f>'Key Metrics'!$H$265</f>
        <v>0</v>
      </c>
      <c r="E751" s="1351">
        <f t="shared" si="228"/>
        <v>0</v>
      </c>
      <c r="F751" s="1353">
        <f t="shared" si="229"/>
        <v>0</v>
      </c>
      <c r="G751" s="1353">
        <f t="shared" si="230"/>
        <v>0</v>
      </c>
      <c r="H751" s="1353">
        <f t="shared" si="231"/>
        <v>0</v>
      </c>
      <c r="I751" s="1353">
        <f t="shared" si="232"/>
        <v>0</v>
      </c>
      <c r="J751" s="1353">
        <f t="shared" si="233"/>
        <v>0</v>
      </c>
      <c r="M751" s="1324" t="str">
        <f t="shared" si="234"/>
        <v>Mosquito Control Other Expenses</v>
      </c>
      <c r="N751" s="1368">
        <f t="shared" si="235"/>
        <v>0</v>
      </c>
      <c r="O751" s="1368">
        <f t="shared" si="240"/>
        <v>0</v>
      </c>
      <c r="P751" s="1368">
        <f t="shared" si="240"/>
        <v>0</v>
      </c>
      <c r="Q751" s="1368">
        <f t="shared" si="240"/>
        <v>0</v>
      </c>
      <c r="R751" s="1368">
        <f t="shared" si="240"/>
        <v>0</v>
      </c>
      <c r="T751" s="1369">
        <v>0.02</v>
      </c>
      <c r="U751" s="1369">
        <v>0.02</v>
      </c>
      <c r="V751" s="1369">
        <v>0.02</v>
      </c>
      <c r="W751" s="1369">
        <v>0.02</v>
      </c>
      <c r="X751" s="1369">
        <v>0.02</v>
      </c>
      <c r="Y751" s="1367"/>
      <c r="Z751" s="1370">
        <v>0</v>
      </c>
      <c r="AA751" s="1370">
        <v>0</v>
      </c>
      <c r="AB751" s="1370">
        <v>0</v>
      </c>
      <c r="AC751" s="1370">
        <v>0</v>
      </c>
      <c r="AD751" s="1370">
        <v>0</v>
      </c>
      <c r="AK751" s="1354">
        <f t="shared" si="238"/>
        <v>0</v>
      </c>
      <c r="AL751" s="1352">
        <f t="shared" si="237"/>
        <v>53</v>
      </c>
      <c r="AM751" s="1354">
        <f t="shared" si="226"/>
        <v>0</v>
      </c>
      <c r="AN751" s="1352" t="str">
        <f t="shared" si="225"/>
        <v>Mosquito Control Other Expenses</v>
      </c>
    </row>
    <row r="752" spans="1:40" x14ac:dyDescent="0.2">
      <c r="A752" s="1324" t="str">
        <f>A751</f>
        <v>26-320</v>
      </c>
      <c r="B752" s="1324" t="s">
        <v>5894</v>
      </c>
      <c r="C752" s="1353">
        <f>'Key Metrics'!$E$265</f>
        <v>0</v>
      </c>
      <c r="D752" s="1353">
        <f>'Key Metrics'!$I$265</f>
        <v>0</v>
      </c>
      <c r="E752" s="1351">
        <f t="shared" si="228"/>
        <v>0</v>
      </c>
      <c r="F752" s="1353">
        <f t="shared" si="229"/>
        <v>0</v>
      </c>
      <c r="G752" s="1353">
        <f t="shared" si="230"/>
        <v>0</v>
      </c>
      <c r="H752" s="1353">
        <f t="shared" si="231"/>
        <v>0</v>
      </c>
      <c r="I752" s="1353">
        <f t="shared" si="232"/>
        <v>0</v>
      </c>
      <c r="J752" s="1353">
        <f t="shared" si="233"/>
        <v>0</v>
      </c>
      <c r="M752" s="1324" t="str">
        <f t="shared" si="234"/>
        <v>Mosquito Control Unclassified</v>
      </c>
      <c r="N752" s="1368">
        <f t="shared" si="235"/>
        <v>0</v>
      </c>
      <c r="O752" s="1368">
        <f t="shared" si="240"/>
        <v>0</v>
      </c>
      <c r="P752" s="1368">
        <f t="shared" si="240"/>
        <v>0</v>
      </c>
      <c r="Q752" s="1368">
        <f t="shared" si="240"/>
        <v>0</v>
      </c>
      <c r="R752" s="1368">
        <f t="shared" si="240"/>
        <v>0</v>
      </c>
      <c r="T752" s="1369">
        <v>0.02</v>
      </c>
      <c r="U752" s="1369">
        <v>0.02</v>
      </c>
      <c r="V752" s="1369">
        <v>0.02</v>
      </c>
      <c r="W752" s="1369">
        <v>0.02</v>
      </c>
      <c r="X752" s="1369">
        <v>0.02</v>
      </c>
      <c r="Y752" s="1367"/>
      <c r="Z752" s="1370">
        <v>0</v>
      </c>
      <c r="AA752" s="1370">
        <v>0</v>
      </c>
      <c r="AB752" s="1370">
        <v>0</v>
      </c>
      <c r="AC752" s="1370">
        <v>0</v>
      </c>
      <c r="AD752" s="1370">
        <v>0</v>
      </c>
      <c r="AK752" s="1354">
        <f t="shared" si="238"/>
        <v>0</v>
      </c>
      <c r="AL752" s="1352">
        <f t="shared" si="237"/>
        <v>53</v>
      </c>
      <c r="AM752" s="1354">
        <f t="shared" si="226"/>
        <v>0</v>
      </c>
      <c r="AN752" s="1352" t="str">
        <f t="shared" si="225"/>
        <v>Mosquito Control Unclassified</v>
      </c>
    </row>
    <row r="753" spans="1:40" x14ac:dyDescent="0.2">
      <c r="A753" s="1324" t="s">
        <v>5180</v>
      </c>
      <c r="B753" s="1324" t="s">
        <v>5695</v>
      </c>
      <c r="C753" s="1353">
        <f>'Key Metrics'!$C$266</f>
        <v>0</v>
      </c>
      <c r="D753" s="1353">
        <f>'Key Metrics'!$G$266</f>
        <v>0</v>
      </c>
      <c r="E753" s="1351">
        <f t="shared" si="228"/>
        <v>0</v>
      </c>
      <c r="F753" s="1353">
        <f t="shared" si="229"/>
        <v>0</v>
      </c>
      <c r="G753" s="1353">
        <f t="shared" si="230"/>
        <v>0</v>
      </c>
      <c r="H753" s="1353">
        <f t="shared" si="231"/>
        <v>0</v>
      </c>
      <c r="I753" s="1353">
        <f t="shared" si="232"/>
        <v>0</v>
      </c>
      <c r="J753" s="1353">
        <f t="shared" si="233"/>
        <v>0</v>
      </c>
      <c r="M753" s="1324" t="str">
        <f t="shared" si="234"/>
        <v>Community Services Act (Condominium Community Costs) Salaries &amp; Wages</v>
      </c>
      <c r="N753" s="1368">
        <f t="shared" si="235"/>
        <v>0</v>
      </c>
      <c r="O753" s="1368">
        <f t="shared" si="240"/>
        <v>0</v>
      </c>
      <c r="P753" s="1368">
        <f t="shared" si="240"/>
        <v>0</v>
      </c>
      <c r="Q753" s="1368">
        <f t="shared" si="240"/>
        <v>0</v>
      </c>
      <c r="R753" s="1368">
        <f t="shared" si="240"/>
        <v>0</v>
      </c>
      <c r="T753" s="1369">
        <v>0.02</v>
      </c>
      <c r="U753" s="1369">
        <v>0.02</v>
      </c>
      <c r="V753" s="1369">
        <v>0.02</v>
      </c>
      <c r="W753" s="1369">
        <v>0.02</v>
      </c>
      <c r="X753" s="1369">
        <v>0.02</v>
      </c>
      <c r="Y753" s="1367"/>
      <c r="Z753" s="1370">
        <v>0</v>
      </c>
      <c r="AA753" s="1370">
        <v>0</v>
      </c>
      <c r="AB753" s="1370">
        <v>0</v>
      </c>
      <c r="AC753" s="1370">
        <v>0</v>
      </c>
      <c r="AD753" s="1370">
        <v>0</v>
      </c>
      <c r="AK753" s="1354">
        <f t="shared" si="238"/>
        <v>0</v>
      </c>
      <c r="AL753" s="1352">
        <f t="shared" si="237"/>
        <v>53</v>
      </c>
      <c r="AM753" s="1354">
        <f t="shared" si="226"/>
        <v>0</v>
      </c>
      <c r="AN753" s="1352" t="str">
        <f t="shared" si="225"/>
        <v>Community Services Act (Condominium Community Costs) Salaries &amp; Wages</v>
      </c>
    </row>
    <row r="754" spans="1:40" x14ac:dyDescent="0.2">
      <c r="A754" s="1324" t="str">
        <f>A753</f>
        <v>26-325</v>
      </c>
      <c r="B754" s="1324" t="s">
        <v>5895</v>
      </c>
      <c r="C754" s="1353">
        <f>'Key Metrics'!$D$266</f>
        <v>0</v>
      </c>
      <c r="D754" s="1353">
        <f>'Key Metrics'!$H$266</f>
        <v>0</v>
      </c>
      <c r="E754" s="1351">
        <f t="shared" si="228"/>
        <v>0</v>
      </c>
      <c r="F754" s="1353">
        <f t="shared" si="229"/>
        <v>0</v>
      </c>
      <c r="G754" s="1353">
        <f t="shared" si="230"/>
        <v>0</v>
      </c>
      <c r="H754" s="1353">
        <f t="shared" si="231"/>
        <v>0</v>
      </c>
      <c r="I754" s="1353">
        <f t="shared" si="232"/>
        <v>0</v>
      </c>
      <c r="J754" s="1353">
        <f t="shared" si="233"/>
        <v>0</v>
      </c>
      <c r="M754" s="1324" t="str">
        <f t="shared" si="234"/>
        <v>Community Services Act (Condominium Community Costs) Other Expenses</v>
      </c>
      <c r="N754" s="1368">
        <f t="shared" si="235"/>
        <v>0</v>
      </c>
      <c r="O754" s="1368">
        <f t="shared" si="240"/>
        <v>0</v>
      </c>
      <c r="P754" s="1368">
        <f t="shared" si="240"/>
        <v>0</v>
      </c>
      <c r="Q754" s="1368">
        <f t="shared" si="240"/>
        <v>0</v>
      </c>
      <c r="R754" s="1368">
        <f t="shared" si="240"/>
        <v>0</v>
      </c>
      <c r="T754" s="1369">
        <v>0.02</v>
      </c>
      <c r="U754" s="1369">
        <v>0.02</v>
      </c>
      <c r="V754" s="1369">
        <v>0.02</v>
      </c>
      <c r="W754" s="1369">
        <v>0.02</v>
      </c>
      <c r="X754" s="1369">
        <v>0.02</v>
      </c>
      <c r="Y754" s="1367"/>
      <c r="Z754" s="1370">
        <v>0</v>
      </c>
      <c r="AA754" s="1370">
        <v>0</v>
      </c>
      <c r="AB754" s="1370">
        <v>0</v>
      </c>
      <c r="AC754" s="1370">
        <v>0</v>
      </c>
      <c r="AD754" s="1370">
        <v>0</v>
      </c>
      <c r="AK754" s="1354">
        <f t="shared" si="238"/>
        <v>0</v>
      </c>
      <c r="AL754" s="1352">
        <f t="shared" si="237"/>
        <v>53</v>
      </c>
      <c r="AM754" s="1354">
        <f t="shared" si="226"/>
        <v>0</v>
      </c>
      <c r="AN754" s="1352" t="str">
        <f t="shared" si="225"/>
        <v>Community Services Act (Condominium Community Costs) Other Expenses</v>
      </c>
    </row>
    <row r="755" spans="1:40" x14ac:dyDescent="0.2">
      <c r="A755" s="1324" t="str">
        <f>A754</f>
        <v>26-325</v>
      </c>
      <c r="B755" s="1324" t="s">
        <v>5896</v>
      </c>
      <c r="C755" s="1353">
        <f>'Key Metrics'!$E$266</f>
        <v>0</v>
      </c>
      <c r="D755" s="1353">
        <f>'Key Metrics'!$I$266</f>
        <v>0</v>
      </c>
      <c r="E755" s="1351">
        <f t="shared" si="228"/>
        <v>0</v>
      </c>
      <c r="F755" s="1353">
        <f t="shared" si="229"/>
        <v>0</v>
      </c>
      <c r="G755" s="1353">
        <f t="shared" si="230"/>
        <v>0</v>
      </c>
      <c r="H755" s="1353">
        <f t="shared" si="231"/>
        <v>0</v>
      </c>
      <c r="I755" s="1353">
        <f t="shared" si="232"/>
        <v>0</v>
      </c>
      <c r="J755" s="1353">
        <f t="shared" si="233"/>
        <v>0</v>
      </c>
      <c r="M755" s="1324" t="str">
        <f t="shared" si="234"/>
        <v>Community Services Act (Condominium Community Costs) Unclassified</v>
      </c>
      <c r="N755" s="1368">
        <f t="shared" si="235"/>
        <v>0</v>
      </c>
      <c r="O755" s="1368">
        <f t="shared" si="240"/>
        <v>0</v>
      </c>
      <c r="P755" s="1368">
        <f t="shared" si="240"/>
        <v>0</v>
      </c>
      <c r="Q755" s="1368">
        <f t="shared" si="240"/>
        <v>0</v>
      </c>
      <c r="R755" s="1368">
        <f t="shared" si="240"/>
        <v>0</v>
      </c>
      <c r="T755" s="1369">
        <v>0.02</v>
      </c>
      <c r="U755" s="1369">
        <v>0.02</v>
      </c>
      <c r="V755" s="1369">
        <v>0.02</v>
      </c>
      <c r="W755" s="1369">
        <v>0.02</v>
      </c>
      <c r="X755" s="1369">
        <v>0.02</v>
      </c>
      <c r="Y755" s="1367"/>
      <c r="Z755" s="1370">
        <v>0</v>
      </c>
      <c r="AA755" s="1370">
        <v>0</v>
      </c>
      <c r="AB755" s="1370">
        <v>0</v>
      </c>
      <c r="AC755" s="1370">
        <v>0</v>
      </c>
      <c r="AD755" s="1370">
        <v>0</v>
      </c>
      <c r="AK755" s="1354">
        <f t="shared" si="238"/>
        <v>0</v>
      </c>
      <c r="AL755" s="1352">
        <f t="shared" si="237"/>
        <v>53</v>
      </c>
      <c r="AM755" s="1354">
        <f t="shared" si="226"/>
        <v>0</v>
      </c>
      <c r="AN755" s="1352" t="str">
        <f t="shared" si="225"/>
        <v>Community Services Act (Condominium Community Costs) Unclassified</v>
      </c>
    </row>
    <row r="756" spans="1:40" x14ac:dyDescent="0.2">
      <c r="B756" s="1373" t="s">
        <v>5623</v>
      </c>
      <c r="C756" s="1360">
        <f>SUM(C714:C755)</f>
        <v>33108.629999999997</v>
      </c>
      <c r="D756" s="1360">
        <f>SUM(D714:D755)</f>
        <v>46216.55</v>
      </c>
      <c r="E756" s="1356">
        <f t="shared" si="228"/>
        <v>0.39590644493595795</v>
      </c>
      <c r="F756" s="1360">
        <f>SUM(F714:F755)</f>
        <v>47140.881000000001</v>
      </c>
      <c r="G756" s="1360">
        <f>SUM(G714:G755)</f>
        <v>48083.698620000003</v>
      </c>
      <c r="H756" s="1360">
        <f>SUM(H714:H755)</f>
        <v>49045.372592400003</v>
      </c>
      <c r="I756" s="1360">
        <f>SUM(I714:I755)</f>
        <v>50026.280044248007</v>
      </c>
      <c r="J756" s="1360">
        <f>SUM(J714:J755)</f>
        <v>51026.805645132968</v>
      </c>
      <c r="N756" s="1328"/>
      <c r="O756" s="1328"/>
      <c r="P756" s="1328"/>
      <c r="Q756" s="1328"/>
      <c r="R756" s="1328"/>
      <c r="T756" s="1371"/>
      <c r="U756" s="1371"/>
      <c r="V756" s="1371"/>
      <c r="W756" s="1371"/>
      <c r="X756" s="1371"/>
      <c r="Y756" s="1367"/>
      <c r="Z756" s="1372"/>
      <c r="AA756" s="1372"/>
      <c r="AB756" s="1372"/>
      <c r="AC756" s="1372"/>
      <c r="AD756" s="1372"/>
      <c r="AK756" s="1354"/>
      <c r="AL756" s="1352"/>
      <c r="AM756" s="1354"/>
      <c r="AN756" s="1352"/>
    </row>
    <row r="757" spans="1:40" x14ac:dyDescent="0.2">
      <c r="E757" s="1351"/>
      <c r="N757" s="1328"/>
      <c r="O757" s="1328"/>
      <c r="P757" s="1328"/>
      <c r="Q757" s="1328"/>
      <c r="R757" s="1328"/>
      <c r="T757" s="1371"/>
      <c r="U757" s="1371"/>
      <c r="V757" s="1371"/>
      <c r="W757" s="1371"/>
      <c r="X757" s="1371"/>
      <c r="Y757" s="1367"/>
      <c r="Z757" s="1372"/>
      <c r="AA757" s="1372"/>
      <c r="AB757" s="1372"/>
      <c r="AC757" s="1372"/>
      <c r="AD757" s="1372"/>
      <c r="AK757" s="1354"/>
      <c r="AL757" s="1352"/>
      <c r="AM757" s="1354"/>
      <c r="AN757" s="1352"/>
    </row>
    <row r="758" spans="1:40" ht="15" x14ac:dyDescent="0.25">
      <c r="A758" s="1364" t="s">
        <v>5444</v>
      </c>
      <c r="B758" s="1365"/>
      <c r="C758" s="1365"/>
      <c r="D758" s="1365"/>
      <c r="E758" s="1380"/>
      <c r="F758" s="1365"/>
      <c r="G758" s="1365"/>
      <c r="H758" s="1365"/>
      <c r="I758" s="1365"/>
      <c r="J758" s="1365"/>
      <c r="M758" s="1381" t="str">
        <f>A758</f>
        <v>Health and Human Services</v>
      </c>
      <c r="N758" s="1364"/>
      <c r="O758" s="1364"/>
      <c r="P758" s="1364"/>
      <c r="Q758" s="1364"/>
      <c r="R758" s="1364"/>
      <c r="S758" s="1365"/>
      <c r="T758" s="1389"/>
      <c r="U758" s="1389"/>
      <c r="V758" s="1389"/>
      <c r="W758" s="1389"/>
      <c r="X758" s="1389"/>
      <c r="Y758" s="1390"/>
      <c r="Z758" s="1391"/>
      <c r="AA758" s="1391"/>
      <c r="AB758" s="1391"/>
      <c r="AC758" s="1391"/>
      <c r="AD758" s="1391"/>
      <c r="AK758" s="1354"/>
      <c r="AL758" s="1352"/>
      <c r="AM758" s="1354"/>
      <c r="AN758" s="1352"/>
    </row>
    <row r="759" spans="1:40" x14ac:dyDescent="0.2">
      <c r="A759" s="1324" t="s">
        <v>5181</v>
      </c>
      <c r="B759" s="1324" t="s">
        <v>5696</v>
      </c>
      <c r="C759" s="1353">
        <f>'Key Metrics'!$C$270</f>
        <v>0</v>
      </c>
      <c r="D759" s="1353">
        <f>'Key Metrics'!$G$270</f>
        <v>0</v>
      </c>
      <c r="E759" s="1351">
        <f t="shared" ref="E759:E792" si="241">IFERROR(D759/C759-1,0)</f>
        <v>0</v>
      </c>
      <c r="F759" s="1353">
        <f t="shared" ref="F759:F791" si="242">IFERROR(IF($I$3=1,D759*(1+N759),IF($I$3=2,D759*(1+T759),IF($I$3=3,Z759,"--"))),0)</f>
        <v>0</v>
      </c>
      <c r="G759" s="1353">
        <f t="shared" ref="G759:G791" si="243">IFERROR(IF($I$3=1,F759*(1+O759),IF($I$3=2,F759*(1+U759),IF($I$3=3,AA759,"--"))),0)</f>
        <v>0</v>
      </c>
      <c r="H759" s="1353">
        <f t="shared" ref="H759:H791" si="244">IFERROR(IF($I$3=1,G759*(1+P759),IF($I$3=2,G759*(1+V759),IF($I$3=3,AB759,"--"))),0)</f>
        <v>0</v>
      </c>
      <c r="I759" s="1353">
        <f t="shared" ref="I759:I791" si="245">IFERROR(IF($I$3=1,H759*(1+Q759),IF($I$3=2,H759*(1+W759),IF($I$3=3,AC759,"--"))),0)</f>
        <v>0</v>
      </c>
      <c r="J759" s="1353">
        <f t="shared" ref="J759:J791" si="246">IFERROR(IF($I$3=1,I759*(1+R759),IF($I$3=2,I759*(1+X759),IF($I$3=3,AD759,"--"))),0)</f>
        <v>0</v>
      </c>
      <c r="M759" s="1324" t="str">
        <f t="shared" ref="M759:M791" si="247">B759</f>
        <v>Public Health Services (Board of Health) Salaries &amp; Wages</v>
      </c>
      <c r="N759" s="1368">
        <f t="shared" ref="N759:N791" si="248">E759</f>
        <v>0</v>
      </c>
      <c r="O759" s="1368">
        <f t="shared" ref="O759:R774" si="249">N759</f>
        <v>0</v>
      </c>
      <c r="P759" s="1368">
        <f t="shared" si="249"/>
        <v>0</v>
      </c>
      <c r="Q759" s="1368">
        <f t="shared" si="249"/>
        <v>0</v>
      </c>
      <c r="R759" s="1368">
        <f t="shared" si="249"/>
        <v>0</v>
      </c>
      <c r="T759" s="1369">
        <v>0.1</v>
      </c>
      <c r="U759" s="1369">
        <v>0.02</v>
      </c>
      <c r="V759" s="1369">
        <v>0.02</v>
      </c>
      <c r="W759" s="1369">
        <v>0.02</v>
      </c>
      <c r="X759" s="1369">
        <v>0.02</v>
      </c>
      <c r="Y759" s="1367"/>
      <c r="Z759" s="1370">
        <v>0</v>
      </c>
      <c r="AA759" s="1370">
        <v>0</v>
      </c>
      <c r="AB759" s="1370">
        <v>0</v>
      </c>
      <c r="AC759" s="1370">
        <v>0</v>
      </c>
      <c r="AD759" s="1370">
        <v>0</v>
      </c>
      <c r="AK759" s="1354">
        <f t="shared" si="238"/>
        <v>0</v>
      </c>
      <c r="AL759" s="1352">
        <f t="shared" ref="AL759:AL791" si="250">RANK(AM759,$AM$504:$AM$1172,0)</f>
        <v>53</v>
      </c>
      <c r="AM759" s="1354">
        <f t="shared" si="226"/>
        <v>0</v>
      </c>
      <c r="AN759" s="1352" t="str">
        <f t="shared" si="225"/>
        <v>Public Health Services (Board of Health) Salaries &amp; Wages</v>
      </c>
    </row>
    <row r="760" spans="1:40" x14ac:dyDescent="0.2">
      <c r="A760" s="1324" t="str">
        <f>A759</f>
        <v>27-330</v>
      </c>
      <c r="B760" s="1324" t="s">
        <v>5897</v>
      </c>
      <c r="C760" s="1353">
        <f>'Key Metrics'!$D$270</f>
        <v>0</v>
      </c>
      <c r="D760" s="1353">
        <f>'Key Metrics'!$H$270</f>
        <v>100</v>
      </c>
      <c r="E760" s="1351">
        <f t="shared" si="241"/>
        <v>0</v>
      </c>
      <c r="F760" s="1353">
        <f t="shared" si="242"/>
        <v>110.00000000000001</v>
      </c>
      <c r="G760" s="1353">
        <f t="shared" si="243"/>
        <v>112.20000000000002</v>
      </c>
      <c r="H760" s="1353">
        <f t="shared" si="244"/>
        <v>114.44400000000002</v>
      </c>
      <c r="I760" s="1353">
        <f t="shared" si="245"/>
        <v>116.73288000000002</v>
      </c>
      <c r="J760" s="1353">
        <f t="shared" si="246"/>
        <v>119.06753760000002</v>
      </c>
      <c r="M760" s="1324" t="str">
        <f t="shared" si="247"/>
        <v>Public Health Services (Board of Health) Other Expenses</v>
      </c>
      <c r="N760" s="1368">
        <f t="shared" si="248"/>
        <v>0</v>
      </c>
      <c r="O760" s="1368">
        <f t="shared" si="249"/>
        <v>0</v>
      </c>
      <c r="P760" s="1368">
        <f t="shared" si="249"/>
        <v>0</v>
      </c>
      <c r="Q760" s="1368">
        <f t="shared" si="249"/>
        <v>0</v>
      </c>
      <c r="R760" s="1368">
        <f t="shared" si="249"/>
        <v>0</v>
      </c>
      <c r="T760" s="1369">
        <v>0.1</v>
      </c>
      <c r="U760" s="1369">
        <v>0.02</v>
      </c>
      <c r="V760" s="1369">
        <v>0.02</v>
      </c>
      <c r="W760" s="1369">
        <v>0.02</v>
      </c>
      <c r="X760" s="1369">
        <v>0.02</v>
      </c>
      <c r="Y760" s="1367"/>
      <c r="Z760" s="1370">
        <v>0</v>
      </c>
      <c r="AA760" s="1370">
        <v>0</v>
      </c>
      <c r="AB760" s="1370">
        <v>0</v>
      </c>
      <c r="AC760" s="1370">
        <v>0</v>
      </c>
      <c r="AD760" s="1370">
        <v>0</v>
      </c>
      <c r="AK760" s="1354">
        <f t="shared" si="238"/>
        <v>672.44441760000007</v>
      </c>
      <c r="AL760" s="1352">
        <f t="shared" si="250"/>
        <v>43</v>
      </c>
      <c r="AM760" s="1354">
        <f t="shared" si="226"/>
        <v>19.067537600000023</v>
      </c>
      <c r="AN760" s="1352" t="str">
        <f t="shared" si="225"/>
        <v>Public Health Services (Board of Health) Other Expenses</v>
      </c>
    </row>
    <row r="761" spans="1:40" x14ac:dyDescent="0.2">
      <c r="A761" s="1324" t="str">
        <f>A760</f>
        <v>27-330</v>
      </c>
      <c r="B761" s="1324" t="s">
        <v>5898</v>
      </c>
      <c r="C761" s="1353">
        <f>'Key Metrics'!$E$270</f>
        <v>0</v>
      </c>
      <c r="D761" s="1353">
        <f>'Key Metrics'!$I$270</f>
        <v>0</v>
      </c>
      <c r="E761" s="1351">
        <f t="shared" si="241"/>
        <v>0</v>
      </c>
      <c r="F761" s="1353">
        <f t="shared" si="242"/>
        <v>0</v>
      </c>
      <c r="G761" s="1353">
        <f t="shared" si="243"/>
        <v>0</v>
      </c>
      <c r="H761" s="1353">
        <f t="shared" si="244"/>
        <v>0</v>
      </c>
      <c r="I761" s="1353">
        <f t="shared" si="245"/>
        <v>0</v>
      </c>
      <c r="J761" s="1353">
        <f t="shared" si="246"/>
        <v>0</v>
      </c>
      <c r="M761" s="1324" t="str">
        <f t="shared" si="247"/>
        <v>Public Health Services (Board of Health) Unclassified</v>
      </c>
      <c r="N761" s="1368">
        <f t="shared" si="248"/>
        <v>0</v>
      </c>
      <c r="O761" s="1368">
        <f t="shared" si="249"/>
        <v>0</v>
      </c>
      <c r="P761" s="1368">
        <f t="shared" si="249"/>
        <v>0</v>
      </c>
      <c r="Q761" s="1368">
        <f t="shared" si="249"/>
        <v>0</v>
      </c>
      <c r="R761" s="1368">
        <f t="shared" si="249"/>
        <v>0</v>
      </c>
      <c r="T761" s="1369">
        <v>0.1</v>
      </c>
      <c r="U761" s="1369">
        <v>0.02</v>
      </c>
      <c r="V761" s="1369">
        <v>0.02</v>
      </c>
      <c r="W761" s="1369">
        <v>0.02</v>
      </c>
      <c r="X761" s="1369">
        <v>0.02</v>
      </c>
      <c r="Y761" s="1367"/>
      <c r="Z761" s="1370">
        <v>0</v>
      </c>
      <c r="AA761" s="1370">
        <v>0</v>
      </c>
      <c r="AB761" s="1370">
        <v>0</v>
      </c>
      <c r="AC761" s="1370">
        <v>0</v>
      </c>
      <c r="AD761" s="1370">
        <v>0</v>
      </c>
      <c r="AK761" s="1354">
        <f t="shared" si="238"/>
        <v>0</v>
      </c>
      <c r="AL761" s="1352">
        <f t="shared" si="250"/>
        <v>53</v>
      </c>
      <c r="AM761" s="1354">
        <f t="shared" si="226"/>
        <v>0</v>
      </c>
      <c r="AN761" s="1352" t="str">
        <f t="shared" si="225"/>
        <v>Public Health Services (Board of Health) Unclassified</v>
      </c>
    </row>
    <row r="762" spans="1:40" x14ac:dyDescent="0.2">
      <c r="A762" s="1324" t="s">
        <v>5182</v>
      </c>
      <c r="B762" s="1324" t="s">
        <v>5697</v>
      </c>
      <c r="C762" s="1353">
        <f>'Key Metrics'!$C$272</f>
        <v>0</v>
      </c>
      <c r="D762" s="1353">
        <f>'Key Metrics'!$G$272</f>
        <v>0</v>
      </c>
      <c r="E762" s="1351">
        <f t="shared" si="241"/>
        <v>0</v>
      </c>
      <c r="F762" s="1353">
        <f t="shared" si="242"/>
        <v>0</v>
      </c>
      <c r="G762" s="1353">
        <f t="shared" si="243"/>
        <v>0</v>
      </c>
      <c r="H762" s="1353">
        <f t="shared" si="244"/>
        <v>0</v>
      </c>
      <c r="I762" s="1353">
        <f t="shared" si="245"/>
        <v>0</v>
      </c>
      <c r="J762" s="1353">
        <f t="shared" si="246"/>
        <v>0</v>
      </c>
      <c r="M762" s="1324" t="str">
        <f t="shared" si="247"/>
        <v>"User Defined" Health &amp; Human Services Salaries &amp; Wages</v>
      </c>
      <c r="N762" s="1368">
        <f t="shared" si="248"/>
        <v>0</v>
      </c>
      <c r="O762" s="1368">
        <f t="shared" si="249"/>
        <v>0</v>
      </c>
      <c r="P762" s="1368">
        <f t="shared" si="249"/>
        <v>0</v>
      </c>
      <c r="Q762" s="1368">
        <f t="shared" si="249"/>
        <v>0</v>
      </c>
      <c r="R762" s="1368">
        <f t="shared" si="249"/>
        <v>0</v>
      </c>
      <c r="T762" s="1369">
        <v>0.02</v>
      </c>
      <c r="U762" s="1369">
        <v>0.02</v>
      </c>
      <c r="V762" s="1369">
        <v>0.02</v>
      </c>
      <c r="W762" s="1369">
        <v>0.02</v>
      </c>
      <c r="X762" s="1369">
        <v>0.02</v>
      </c>
      <c r="Y762" s="1367"/>
      <c r="Z762" s="1370">
        <v>0</v>
      </c>
      <c r="AA762" s="1370">
        <v>0</v>
      </c>
      <c r="AB762" s="1370">
        <v>0</v>
      </c>
      <c r="AC762" s="1370">
        <v>0</v>
      </c>
      <c r="AD762" s="1370">
        <v>0</v>
      </c>
      <c r="AK762" s="1354">
        <f t="shared" si="238"/>
        <v>0</v>
      </c>
      <c r="AL762" s="1352">
        <f t="shared" si="250"/>
        <v>53</v>
      </c>
      <c r="AM762" s="1354">
        <f t="shared" si="226"/>
        <v>0</v>
      </c>
      <c r="AN762" s="1352" t="str">
        <f t="shared" si="225"/>
        <v>"User Defined" Health &amp; Human Services Salaries &amp; Wages</v>
      </c>
    </row>
    <row r="763" spans="1:40" x14ac:dyDescent="0.2">
      <c r="A763" s="1324" t="str">
        <f>A762</f>
        <v>27-331</v>
      </c>
      <c r="B763" s="1324" t="s">
        <v>5899</v>
      </c>
      <c r="C763" s="1353">
        <f>'Key Metrics'!$D$272</f>
        <v>0</v>
      </c>
      <c r="D763" s="1353">
        <f>'Key Metrics'!$H$272</f>
        <v>100</v>
      </c>
      <c r="E763" s="1351">
        <f t="shared" si="241"/>
        <v>0</v>
      </c>
      <c r="F763" s="1353">
        <f t="shared" si="242"/>
        <v>102</v>
      </c>
      <c r="G763" s="1353">
        <f t="shared" si="243"/>
        <v>104.04</v>
      </c>
      <c r="H763" s="1353">
        <f t="shared" si="244"/>
        <v>106.1208</v>
      </c>
      <c r="I763" s="1353">
        <f t="shared" si="245"/>
        <v>108.243216</v>
      </c>
      <c r="J763" s="1353">
        <f t="shared" si="246"/>
        <v>110.40808032000001</v>
      </c>
      <c r="M763" s="1324" t="str">
        <f t="shared" si="247"/>
        <v>"User Defined" Health &amp; Human Services Other Expenses</v>
      </c>
      <c r="N763" s="1368">
        <f t="shared" si="248"/>
        <v>0</v>
      </c>
      <c r="O763" s="1368">
        <f t="shared" si="249"/>
        <v>0</v>
      </c>
      <c r="P763" s="1368">
        <f t="shared" si="249"/>
        <v>0</v>
      </c>
      <c r="Q763" s="1368">
        <f t="shared" si="249"/>
        <v>0</v>
      </c>
      <c r="R763" s="1368">
        <f t="shared" si="249"/>
        <v>0</v>
      </c>
      <c r="T763" s="1369">
        <v>0.02</v>
      </c>
      <c r="U763" s="1369">
        <v>0.02</v>
      </c>
      <c r="V763" s="1369">
        <v>0.02</v>
      </c>
      <c r="W763" s="1369">
        <v>0.02</v>
      </c>
      <c r="X763" s="1369">
        <v>0.02</v>
      </c>
      <c r="Y763" s="1367"/>
      <c r="Z763" s="1370">
        <v>0</v>
      </c>
      <c r="AA763" s="1370">
        <v>0</v>
      </c>
      <c r="AB763" s="1370">
        <v>0</v>
      </c>
      <c r="AC763" s="1370">
        <v>0</v>
      </c>
      <c r="AD763" s="1370">
        <v>0</v>
      </c>
      <c r="AK763" s="1354">
        <f t="shared" si="238"/>
        <v>630.81209631999991</v>
      </c>
      <c r="AL763" s="1352">
        <f t="shared" si="250"/>
        <v>44</v>
      </c>
      <c r="AM763" s="1354">
        <f t="shared" si="226"/>
        <v>10.40808032000001</v>
      </c>
      <c r="AN763" s="1352" t="str">
        <f t="shared" ref="AN763:AN826" si="251">B763</f>
        <v>"User Defined" Health &amp; Human Services Other Expenses</v>
      </c>
    </row>
    <row r="764" spans="1:40" x14ac:dyDescent="0.2">
      <c r="A764" s="1324" t="str">
        <f>A763</f>
        <v>27-331</v>
      </c>
      <c r="B764" s="1324" t="s">
        <v>5900</v>
      </c>
      <c r="C764" s="1353">
        <f>'Key Metrics'!$E$272</f>
        <v>0</v>
      </c>
      <c r="D764" s="1353">
        <f>'Key Metrics'!$I$272</f>
        <v>0</v>
      </c>
      <c r="E764" s="1351">
        <f t="shared" si="241"/>
        <v>0</v>
      </c>
      <c r="F764" s="1353">
        <f t="shared" si="242"/>
        <v>0</v>
      </c>
      <c r="G764" s="1353">
        <f t="shared" si="243"/>
        <v>0</v>
      </c>
      <c r="H764" s="1353">
        <f t="shared" si="244"/>
        <v>0</v>
      </c>
      <c r="I764" s="1353">
        <f t="shared" si="245"/>
        <v>0</v>
      </c>
      <c r="J764" s="1353">
        <f t="shared" si="246"/>
        <v>0</v>
      </c>
      <c r="M764" s="1324" t="str">
        <f t="shared" si="247"/>
        <v>"User Defined" Health &amp; Human Services Unclassified</v>
      </c>
      <c r="N764" s="1368">
        <f t="shared" si="248"/>
        <v>0</v>
      </c>
      <c r="O764" s="1368">
        <f t="shared" si="249"/>
        <v>0</v>
      </c>
      <c r="P764" s="1368">
        <f t="shared" si="249"/>
        <v>0</v>
      </c>
      <c r="Q764" s="1368">
        <f t="shared" si="249"/>
        <v>0</v>
      </c>
      <c r="R764" s="1368">
        <f t="shared" si="249"/>
        <v>0</v>
      </c>
      <c r="T764" s="1369">
        <v>0.02</v>
      </c>
      <c r="U764" s="1369">
        <v>0.02</v>
      </c>
      <c r="V764" s="1369">
        <v>0.02</v>
      </c>
      <c r="W764" s="1369">
        <v>0.02</v>
      </c>
      <c r="X764" s="1369">
        <v>0.02</v>
      </c>
      <c r="Y764" s="1367"/>
      <c r="Z764" s="1370">
        <v>0</v>
      </c>
      <c r="AA764" s="1370">
        <v>0</v>
      </c>
      <c r="AB764" s="1370">
        <v>0</v>
      </c>
      <c r="AC764" s="1370">
        <v>0</v>
      </c>
      <c r="AD764" s="1370">
        <v>0</v>
      </c>
      <c r="AK764" s="1354">
        <f t="shared" si="238"/>
        <v>0</v>
      </c>
      <c r="AL764" s="1352">
        <f t="shared" si="250"/>
        <v>53</v>
      </c>
      <c r="AM764" s="1354">
        <f t="shared" ref="AM764:AM827" si="252">J764-D764</f>
        <v>0</v>
      </c>
      <c r="AN764" s="1352" t="str">
        <f t="shared" si="251"/>
        <v>"User Defined" Health &amp; Human Services Unclassified</v>
      </c>
    </row>
    <row r="765" spans="1:40" x14ac:dyDescent="0.2">
      <c r="A765" s="1324" t="s">
        <v>5183</v>
      </c>
      <c r="B765" s="1324" t="s">
        <v>5697</v>
      </c>
      <c r="C765" s="1353">
        <f>'Key Metrics'!$C$273</f>
        <v>0</v>
      </c>
      <c r="D765" s="1353">
        <f>'Key Metrics'!$G$273</f>
        <v>0</v>
      </c>
      <c r="E765" s="1351">
        <f t="shared" si="241"/>
        <v>0</v>
      </c>
      <c r="F765" s="1353">
        <f t="shared" si="242"/>
        <v>0</v>
      </c>
      <c r="G765" s="1353">
        <f t="shared" si="243"/>
        <v>0</v>
      </c>
      <c r="H765" s="1353">
        <f t="shared" si="244"/>
        <v>0</v>
      </c>
      <c r="I765" s="1353">
        <f t="shared" si="245"/>
        <v>0</v>
      </c>
      <c r="J765" s="1353">
        <f t="shared" si="246"/>
        <v>0</v>
      </c>
      <c r="M765" s="1324" t="str">
        <f t="shared" si="247"/>
        <v>"User Defined" Health &amp; Human Services Salaries &amp; Wages</v>
      </c>
      <c r="N765" s="1368">
        <f t="shared" si="248"/>
        <v>0</v>
      </c>
      <c r="O765" s="1368">
        <f t="shared" si="249"/>
        <v>0</v>
      </c>
      <c r="P765" s="1368">
        <f t="shared" si="249"/>
        <v>0</v>
      </c>
      <c r="Q765" s="1368">
        <f t="shared" si="249"/>
        <v>0</v>
      </c>
      <c r="R765" s="1368">
        <f t="shared" si="249"/>
        <v>0</v>
      </c>
      <c r="T765" s="1369">
        <v>0.02</v>
      </c>
      <c r="U765" s="1369">
        <v>0.02</v>
      </c>
      <c r="V765" s="1369">
        <v>0.02</v>
      </c>
      <c r="W765" s="1369">
        <v>0.02</v>
      </c>
      <c r="X765" s="1369">
        <v>0.02</v>
      </c>
      <c r="Y765" s="1367"/>
      <c r="Z765" s="1370">
        <v>0</v>
      </c>
      <c r="AA765" s="1370">
        <v>0</v>
      </c>
      <c r="AB765" s="1370">
        <v>0</v>
      </c>
      <c r="AC765" s="1370">
        <v>0</v>
      </c>
      <c r="AD765" s="1370">
        <v>0</v>
      </c>
      <c r="AK765" s="1354">
        <f t="shared" si="238"/>
        <v>0</v>
      </c>
      <c r="AL765" s="1352">
        <f t="shared" si="250"/>
        <v>53</v>
      </c>
      <c r="AM765" s="1354">
        <f t="shared" si="252"/>
        <v>0</v>
      </c>
      <c r="AN765" s="1352" t="str">
        <f t="shared" si="251"/>
        <v>"User Defined" Health &amp; Human Services Salaries &amp; Wages</v>
      </c>
    </row>
    <row r="766" spans="1:40" x14ac:dyDescent="0.2">
      <c r="A766" s="1324" t="str">
        <f>A765</f>
        <v>27-332</v>
      </c>
      <c r="B766" s="1324" t="s">
        <v>5899</v>
      </c>
      <c r="C766" s="1353">
        <f>'Key Metrics'!$D$273</f>
        <v>0</v>
      </c>
      <c r="D766" s="1353">
        <f>'Key Metrics'!$H$273</f>
        <v>0</v>
      </c>
      <c r="E766" s="1351">
        <f t="shared" si="241"/>
        <v>0</v>
      </c>
      <c r="F766" s="1353">
        <f t="shared" si="242"/>
        <v>0</v>
      </c>
      <c r="G766" s="1353">
        <f t="shared" si="243"/>
        <v>0</v>
      </c>
      <c r="H766" s="1353">
        <f t="shared" si="244"/>
        <v>0</v>
      </c>
      <c r="I766" s="1353">
        <f t="shared" si="245"/>
        <v>0</v>
      </c>
      <c r="J766" s="1353">
        <f t="shared" si="246"/>
        <v>0</v>
      </c>
      <c r="M766" s="1324" t="str">
        <f t="shared" si="247"/>
        <v>"User Defined" Health &amp; Human Services Other Expenses</v>
      </c>
      <c r="N766" s="1368">
        <f t="shared" si="248"/>
        <v>0</v>
      </c>
      <c r="O766" s="1368">
        <f t="shared" si="249"/>
        <v>0</v>
      </c>
      <c r="P766" s="1368">
        <f t="shared" si="249"/>
        <v>0</v>
      </c>
      <c r="Q766" s="1368">
        <f t="shared" si="249"/>
        <v>0</v>
      </c>
      <c r="R766" s="1368">
        <f t="shared" si="249"/>
        <v>0</v>
      </c>
      <c r="T766" s="1369">
        <v>0.02</v>
      </c>
      <c r="U766" s="1369">
        <v>0.02</v>
      </c>
      <c r="V766" s="1369">
        <v>0.02</v>
      </c>
      <c r="W766" s="1369">
        <v>0.02</v>
      </c>
      <c r="X766" s="1369">
        <v>0.02</v>
      </c>
      <c r="Y766" s="1367"/>
      <c r="Z766" s="1370">
        <v>0</v>
      </c>
      <c r="AA766" s="1370">
        <v>0</v>
      </c>
      <c r="AB766" s="1370">
        <v>0</v>
      </c>
      <c r="AC766" s="1370">
        <v>0</v>
      </c>
      <c r="AD766" s="1370">
        <v>0</v>
      </c>
      <c r="AK766" s="1354">
        <f t="shared" si="238"/>
        <v>0</v>
      </c>
      <c r="AL766" s="1352">
        <f t="shared" si="250"/>
        <v>53</v>
      </c>
      <c r="AM766" s="1354">
        <f t="shared" si="252"/>
        <v>0</v>
      </c>
      <c r="AN766" s="1352" t="str">
        <f t="shared" si="251"/>
        <v>"User Defined" Health &amp; Human Services Other Expenses</v>
      </c>
    </row>
    <row r="767" spans="1:40" x14ac:dyDescent="0.2">
      <c r="A767" s="1324" t="str">
        <f>A766</f>
        <v>27-332</v>
      </c>
      <c r="B767" s="1324" t="s">
        <v>5900</v>
      </c>
      <c r="C767" s="1353">
        <f>'Key Metrics'!$E$273</f>
        <v>0</v>
      </c>
      <c r="D767" s="1353">
        <f>'Key Metrics'!$I$273</f>
        <v>0</v>
      </c>
      <c r="E767" s="1351">
        <f t="shared" si="241"/>
        <v>0</v>
      </c>
      <c r="F767" s="1353">
        <f t="shared" si="242"/>
        <v>0</v>
      </c>
      <c r="G767" s="1353">
        <f t="shared" si="243"/>
        <v>0</v>
      </c>
      <c r="H767" s="1353">
        <f t="shared" si="244"/>
        <v>0</v>
      </c>
      <c r="I767" s="1353">
        <f t="shared" si="245"/>
        <v>0</v>
      </c>
      <c r="J767" s="1353">
        <f t="shared" si="246"/>
        <v>0</v>
      </c>
      <c r="M767" s="1324" t="str">
        <f t="shared" si="247"/>
        <v>"User Defined" Health &amp; Human Services Unclassified</v>
      </c>
      <c r="N767" s="1368">
        <f t="shared" si="248"/>
        <v>0</v>
      </c>
      <c r="O767" s="1368">
        <f t="shared" si="249"/>
        <v>0</v>
      </c>
      <c r="P767" s="1368">
        <f t="shared" si="249"/>
        <v>0</v>
      </c>
      <c r="Q767" s="1368">
        <f t="shared" si="249"/>
        <v>0</v>
      </c>
      <c r="R767" s="1368">
        <f t="shared" si="249"/>
        <v>0</v>
      </c>
      <c r="T767" s="1369">
        <v>0.02</v>
      </c>
      <c r="U767" s="1369">
        <v>0.02</v>
      </c>
      <c r="V767" s="1369">
        <v>0.02</v>
      </c>
      <c r="W767" s="1369">
        <v>0.02</v>
      </c>
      <c r="X767" s="1369">
        <v>0.02</v>
      </c>
      <c r="Y767" s="1367"/>
      <c r="Z767" s="1370">
        <v>0</v>
      </c>
      <c r="AA767" s="1370">
        <v>0</v>
      </c>
      <c r="AB767" s="1370">
        <v>0</v>
      </c>
      <c r="AC767" s="1370">
        <v>0</v>
      </c>
      <c r="AD767" s="1370">
        <v>0</v>
      </c>
      <c r="AK767" s="1354">
        <f t="shared" si="238"/>
        <v>0</v>
      </c>
      <c r="AL767" s="1352">
        <f t="shared" si="250"/>
        <v>53</v>
      </c>
      <c r="AM767" s="1354">
        <f t="shared" si="252"/>
        <v>0</v>
      </c>
      <c r="AN767" s="1352" t="str">
        <f t="shared" si="251"/>
        <v>"User Defined" Health &amp; Human Services Unclassified</v>
      </c>
    </row>
    <row r="768" spans="1:40" x14ac:dyDescent="0.2">
      <c r="A768" s="1324" t="s">
        <v>5184</v>
      </c>
      <c r="B768" s="1324" t="s">
        <v>5697</v>
      </c>
      <c r="C768" s="1353">
        <f>'Key Metrics'!$C$274</f>
        <v>0</v>
      </c>
      <c r="D768" s="1353">
        <f>'Key Metrics'!$G$274</f>
        <v>0</v>
      </c>
      <c r="E768" s="1351">
        <f t="shared" si="241"/>
        <v>0</v>
      </c>
      <c r="F768" s="1353">
        <f t="shared" si="242"/>
        <v>0</v>
      </c>
      <c r="G768" s="1353">
        <f t="shared" si="243"/>
        <v>0</v>
      </c>
      <c r="H768" s="1353">
        <f t="shared" si="244"/>
        <v>0</v>
      </c>
      <c r="I768" s="1353">
        <f t="shared" si="245"/>
        <v>0</v>
      </c>
      <c r="J768" s="1353">
        <f t="shared" si="246"/>
        <v>0</v>
      </c>
      <c r="M768" s="1324" t="str">
        <f t="shared" si="247"/>
        <v>"User Defined" Health &amp; Human Services Salaries &amp; Wages</v>
      </c>
      <c r="N768" s="1368">
        <f t="shared" si="248"/>
        <v>0</v>
      </c>
      <c r="O768" s="1368">
        <f t="shared" si="249"/>
        <v>0</v>
      </c>
      <c r="P768" s="1368">
        <f t="shared" si="249"/>
        <v>0</v>
      </c>
      <c r="Q768" s="1368">
        <f t="shared" si="249"/>
        <v>0</v>
      </c>
      <c r="R768" s="1368">
        <f t="shared" si="249"/>
        <v>0</v>
      </c>
      <c r="T768" s="1369">
        <v>0.02</v>
      </c>
      <c r="U768" s="1369">
        <v>0.02</v>
      </c>
      <c r="V768" s="1369">
        <v>0.02</v>
      </c>
      <c r="W768" s="1369">
        <v>0.02</v>
      </c>
      <c r="X768" s="1369">
        <v>0.02</v>
      </c>
      <c r="Y768" s="1367"/>
      <c r="Z768" s="1370">
        <v>0</v>
      </c>
      <c r="AA768" s="1370">
        <v>0</v>
      </c>
      <c r="AB768" s="1370">
        <v>0</v>
      </c>
      <c r="AC768" s="1370">
        <v>0</v>
      </c>
      <c r="AD768" s="1370">
        <v>0</v>
      </c>
      <c r="AK768" s="1354">
        <f t="shared" si="238"/>
        <v>0</v>
      </c>
      <c r="AL768" s="1352">
        <f t="shared" si="250"/>
        <v>53</v>
      </c>
      <c r="AM768" s="1354">
        <f t="shared" si="252"/>
        <v>0</v>
      </c>
      <c r="AN768" s="1352" t="str">
        <f t="shared" si="251"/>
        <v>"User Defined" Health &amp; Human Services Salaries &amp; Wages</v>
      </c>
    </row>
    <row r="769" spans="1:40" x14ac:dyDescent="0.2">
      <c r="A769" s="1324" t="str">
        <f>A768</f>
        <v>27-333</v>
      </c>
      <c r="B769" s="1324" t="s">
        <v>5899</v>
      </c>
      <c r="C769" s="1353">
        <f>'Key Metrics'!$D$274</f>
        <v>0</v>
      </c>
      <c r="D769" s="1353">
        <f>'Key Metrics'!$H$274</f>
        <v>0</v>
      </c>
      <c r="E769" s="1351">
        <f t="shared" si="241"/>
        <v>0</v>
      </c>
      <c r="F769" s="1353">
        <f t="shared" si="242"/>
        <v>0</v>
      </c>
      <c r="G769" s="1353">
        <f t="shared" si="243"/>
        <v>0</v>
      </c>
      <c r="H769" s="1353">
        <f t="shared" si="244"/>
        <v>0</v>
      </c>
      <c r="I769" s="1353">
        <f t="shared" si="245"/>
        <v>0</v>
      </c>
      <c r="J769" s="1353">
        <f t="shared" si="246"/>
        <v>0</v>
      </c>
      <c r="M769" s="1324" t="str">
        <f t="shared" si="247"/>
        <v>"User Defined" Health &amp; Human Services Other Expenses</v>
      </c>
      <c r="N769" s="1368">
        <f t="shared" si="248"/>
        <v>0</v>
      </c>
      <c r="O769" s="1368">
        <f t="shared" si="249"/>
        <v>0</v>
      </c>
      <c r="P769" s="1368">
        <f t="shared" si="249"/>
        <v>0</v>
      </c>
      <c r="Q769" s="1368">
        <f t="shared" si="249"/>
        <v>0</v>
      </c>
      <c r="R769" s="1368">
        <f t="shared" si="249"/>
        <v>0</v>
      </c>
      <c r="T769" s="1369">
        <v>0.02</v>
      </c>
      <c r="U769" s="1369">
        <v>0.02</v>
      </c>
      <c r="V769" s="1369">
        <v>0.02</v>
      </c>
      <c r="W769" s="1369">
        <v>0.02</v>
      </c>
      <c r="X769" s="1369">
        <v>0.02</v>
      </c>
      <c r="Y769" s="1367"/>
      <c r="Z769" s="1370">
        <v>0</v>
      </c>
      <c r="AA769" s="1370">
        <v>0</v>
      </c>
      <c r="AB769" s="1370">
        <v>0</v>
      </c>
      <c r="AC769" s="1370">
        <v>0</v>
      </c>
      <c r="AD769" s="1370">
        <v>0</v>
      </c>
      <c r="AK769" s="1354">
        <f t="shared" si="238"/>
        <v>0</v>
      </c>
      <c r="AL769" s="1352">
        <f t="shared" si="250"/>
        <v>53</v>
      </c>
      <c r="AM769" s="1354">
        <f t="shared" si="252"/>
        <v>0</v>
      </c>
      <c r="AN769" s="1352" t="str">
        <f t="shared" si="251"/>
        <v>"User Defined" Health &amp; Human Services Other Expenses</v>
      </c>
    </row>
    <row r="770" spans="1:40" x14ac:dyDescent="0.2">
      <c r="A770" s="1324" t="str">
        <f>A769</f>
        <v>27-333</v>
      </c>
      <c r="B770" s="1324" t="s">
        <v>5900</v>
      </c>
      <c r="C770" s="1353">
        <f>'Key Metrics'!$E$274</f>
        <v>0</v>
      </c>
      <c r="D770" s="1353">
        <f>'Key Metrics'!$I$274</f>
        <v>0</v>
      </c>
      <c r="E770" s="1351">
        <f t="shared" si="241"/>
        <v>0</v>
      </c>
      <c r="F770" s="1353">
        <f t="shared" si="242"/>
        <v>0</v>
      </c>
      <c r="G770" s="1353">
        <f t="shared" si="243"/>
        <v>0</v>
      </c>
      <c r="H770" s="1353">
        <f t="shared" si="244"/>
        <v>0</v>
      </c>
      <c r="I770" s="1353">
        <f t="shared" si="245"/>
        <v>0</v>
      </c>
      <c r="J770" s="1353">
        <f t="shared" si="246"/>
        <v>0</v>
      </c>
      <c r="M770" s="1324" t="str">
        <f t="shared" si="247"/>
        <v>"User Defined" Health &amp; Human Services Unclassified</v>
      </c>
      <c r="N770" s="1368">
        <f t="shared" si="248"/>
        <v>0</v>
      </c>
      <c r="O770" s="1368">
        <f t="shared" si="249"/>
        <v>0</v>
      </c>
      <c r="P770" s="1368">
        <f t="shared" si="249"/>
        <v>0</v>
      </c>
      <c r="Q770" s="1368">
        <f t="shared" si="249"/>
        <v>0</v>
      </c>
      <c r="R770" s="1368">
        <f t="shared" si="249"/>
        <v>0</v>
      </c>
      <c r="T770" s="1369">
        <v>0.02</v>
      </c>
      <c r="U770" s="1369">
        <v>0.02</v>
      </c>
      <c r="V770" s="1369">
        <v>0.02</v>
      </c>
      <c r="W770" s="1369">
        <v>0.02</v>
      </c>
      <c r="X770" s="1369">
        <v>0.02</v>
      </c>
      <c r="Y770" s="1367"/>
      <c r="Z770" s="1370">
        <v>0</v>
      </c>
      <c r="AA770" s="1370">
        <v>0</v>
      </c>
      <c r="AB770" s="1370">
        <v>0</v>
      </c>
      <c r="AC770" s="1370">
        <v>0</v>
      </c>
      <c r="AD770" s="1370">
        <v>0</v>
      </c>
      <c r="AK770" s="1354">
        <f t="shared" si="238"/>
        <v>0</v>
      </c>
      <c r="AL770" s="1352">
        <f t="shared" si="250"/>
        <v>53</v>
      </c>
      <c r="AM770" s="1354">
        <f t="shared" si="252"/>
        <v>0</v>
      </c>
      <c r="AN770" s="1352" t="str">
        <f t="shared" si="251"/>
        <v>"User Defined" Health &amp; Human Services Unclassified</v>
      </c>
    </row>
    <row r="771" spans="1:40" x14ac:dyDescent="0.2">
      <c r="A771" s="1324" t="s">
        <v>5185</v>
      </c>
      <c r="B771" s="1324" t="s">
        <v>5697</v>
      </c>
      <c r="C771" s="1353">
        <f>'Key Metrics'!$C$275</f>
        <v>0</v>
      </c>
      <c r="D771" s="1353">
        <f>'Key Metrics'!$G$275</f>
        <v>0</v>
      </c>
      <c r="E771" s="1351">
        <f t="shared" si="241"/>
        <v>0</v>
      </c>
      <c r="F771" s="1353">
        <f t="shared" si="242"/>
        <v>0</v>
      </c>
      <c r="G771" s="1353">
        <f t="shared" si="243"/>
        <v>0</v>
      </c>
      <c r="H771" s="1353">
        <f t="shared" si="244"/>
        <v>0</v>
      </c>
      <c r="I771" s="1353">
        <f t="shared" si="245"/>
        <v>0</v>
      </c>
      <c r="J771" s="1353">
        <f t="shared" si="246"/>
        <v>0</v>
      </c>
      <c r="M771" s="1324" t="str">
        <f t="shared" si="247"/>
        <v>"User Defined" Health &amp; Human Services Salaries &amp; Wages</v>
      </c>
      <c r="N771" s="1368">
        <f t="shared" si="248"/>
        <v>0</v>
      </c>
      <c r="O771" s="1368">
        <f t="shared" si="249"/>
        <v>0</v>
      </c>
      <c r="P771" s="1368">
        <f t="shared" si="249"/>
        <v>0</v>
      </c>
      <c r="Q771" s="1368">
        <f t="shared" si="249"/>
        <v>0</v>
      </c>
      <c r="R771" s="1368">
        <f t="shared" si="249"/>
        <v>0</v>
      </c>
      <c r="T771" s="1369">
        <v>0.02</v>
      </c>
      <c r="U771" s="1369">
        <v>0.02</v>
      </c>
      <c r="V771" s="1369">
        <v>0.02</v>
      </c>
      <c r="W771" s="1369">
        <v>0.02</v>
      </c>
      <c r="X771" s="1369">
        <v>0.02</v>
      </c>
      <c r="Y771" s="1367"/>
      <c r="Z771" s="1370">
        <v>0</v>
      </c>
      <c r="AA771" s="1370">
        <v>0</v>
      </c>
      <c r="AB771" s="1370">
        <v>0</v>
      </c>
      <c r="AC771" s="1370">
        <v>0</v>
      </c>
      <c r="AD771" s="1370">
        <v>0</v>
      </c>
      <c r="AK771" s="1354">
        <f t="shared" si="238"/>
        <v>0</v>
      </c>
      <c r="AL771" s="1352">
        <f t="shared" si="250"/>
        <v>53</v>
      </c>
      <c r="AM771" s="1354">
        <f t="shared" si="252"/>
        <v>0</v>
      </c>
      <c r="AN771" s="1352" t="str">
        <f t="shared" si="251"/>
        <v>"User Defined" Health &amp; Human Services Salaries &amp; Wages</v>
      </c>
    </row>
    <row r="772" spans="1:40" x14ac:dyDescent="0.2">
      <c r="A772" s="1324" t="str">
        <f>A771</f>
        <v>27-334</v>
      </c>
      <c r="B772" s="1324" t="s">
        <v>5899</v>
      </c>
      <c r="C772" s="1353">
        <f>'Key Metrics'!$D$275</f>
        <v>0</v>
      </c>
      <c r="D772" s="1353">
        <f>'Key Metrics'!$H$275</f>
        <v>0</v>
      </c>
      <c r="E772" s="1351">
        <f t="shared" si="241"/>
        <v>0</v>
      </c>
      <c r="F772" s="1353">
        <f t="shared" si="242"/>
        <v>0</v>
      </c>
      <c r="G772" s="1353">
        <f t="shared" si="243"/>
        <v>0</v>
      </c>
      <c r="H772" s="1353">
        <f t="shared" si="244"/>
        <v>0</v>
      </c>
      <c r="I772" s="1353">
        <f t="shared" si="245"/>
        <v>0</v>
      </c>
      <c r="J772" s="1353">
        <f t="shared" si="246"/>
        <v>0</v>
      </c>
      <c r="M772" s="1324" t="str">
        <f t="shared" si="247"/>
        <v>"User Defined" Health &amp; Human Services Other Expenses</v>
      </c>
      <c r="N772" s="1368">
        <f t="shared" si="248"/>
        <v>0</v>
      </c>
      <c r="O772" s="1368">
        <f t="shared" si="249"/>
        <v>0</v>
      </c>
      <c r="P772" s="1368">
        <f t="shared" si="249"/>
        <v>0</v>
      </c>
      <c r="Q772" s="1368">
        <f t="shared" si="249"/>
        <v>0</v>
      </c>
      <c r="R772" s="1368">
        <f t="shared" si="249"/>
        <v>0</v>
      </c>
      <c r="T772" s="1369">
        <v>0.02</v>
      </c>
      <c r="U772" s="1369">
        <v>0.02</v>
      </c>
      <c r="V772" s="1369">
        <v>0.02</v>
      </c>
      <c r="W772" s="1369">
        <v>0.02</v>
      </c>
      <c r="X772" s="1369">
        <v>0.02</v>
      </c>
      <c r="Y772" s="1367"/>
      <c r="Z772" s="1370">
        <v>0</v>
      </c>
      <c r="AA772" s="1370">
        <v>0</v>
      </c>
      <c r="AB772" s="1370">
        <v>0</v>
      </c>
      <c r="AC772" s="1370">
        <v>0</v>
      </c>
      <c r="AD772" s="1370">
        <v>0</v>
      </c>
      <c r="AK772" s="1354">
        <f t="shared" si="238"/>
        <v>0</v>
      </c>
      <c r="AL772" s="1352">
        <f t="shared" si="250"/>
        <v>53</v>
      </c>
      <c r="AM772" s="1354">
        <f t="shared" si="252"/>
        <v>0</v>
      </c>
      <c r="AN772" s="1352" t="str">
        <f t="shared" si="251"/>
        <v>"User Defined" Health &amp; Human Services Other Expenses</v>
      </c>
    </row>
    <row r="773" spans="1:40" x14ac:dyDescent="0.2">
      <c r="A773" s="1324" t="str">
        <f>A772</f>
        <v>27-334</v>
      </c>
      <c r="B773" s="1324" t="s">
        <v>5900</v>
      </c>
      <c r="C773" s="1353">
        <f>'Key Metrics'!$E$275</f>
        <v>0</v>
      </c>
      <c r="D773" s="1353">
        <f>'Key Metrics'!$I$275</f>
        <v>0</v>
      </c>
      <c r="E773" s="1351">
        <f t="shared" si="241"/>
        <v>0</v>
      </c>
      <c r="F773" s="1353">
        <f t="shared" si="242"/>
        <v>0</v>
      </c>
      <c r="G773" s="1353">
        <f t="shared" si="243"/>
        <v>0</v>
      </c>
      <c r="H773" s="1353">
        <f t="shared" si="244"/>
        <v>0</v>
      </c>
      <c r="I773" s="1353">
        <f t="shared" si="245"/>
        <v>0</v>
      </c>
      <c r="J773" s="1353">
        <f t="shared" si="246"/>
        <v>0</v>
      </c>
      <c r="M773" s="1324" t="str">
        <f t="shared" si="247"/>
        <v>"User Defined" Health &amp; Human Services Unclassified</v>
      </c>
      <c r="N773" s="1368">
        <f t="shared" si="248"/>
        <v>0</v>
      </c>
      <c r="O773" s="1368">
        <f t="shared" si="249"/>
        <v>0</v>
      </c>
      <c r="P773" s="1368">
        <f t="shared" si="249"/>
        <v>0</v>
      </c>
      <c r="Q773" s="1368">
        <f t="shared" si="249"/>
        <v>0</v>
      </c>
      <c r="R773" s="1368">
        <f t="shared" si="249"/>
        <v>0</v>
      </c>
      <c r="T773" s="1369">
        <v>0.02</v>
      </c>
      <c r="U773" s="1369">
        <v>0.02</v>
      </c>
      <c r="V773" s="1369">
        <v>0.02</v>
      </c>
      <c r="W773" s="1369">
        <v>0.02</v>
      </c>
      <c r="X773" s="1369">
        <v>0.02</v>
      </c>
      <c r="Y773" s="1367"/>
      <c r="Z773" s="1370">
        <v>0</v>
      </c>
      <c r="AA773" s="1370">
        <v>0</v>
      </c>
      <c r="AB773" s="1370">
        <v>0</v>
      </c>
      <c r="AC773" s="1370">
        <v>0</v>
      </c>
      <c r="AD773" s="1370">
        <v>0</v>
      </c>
      <c r="AK773" s="1354">
        <f t="shared" si="238"/>
        <v>0</v>
      </c>
      <c r="AL773" s="1352">
        <f t="shared" si="250"/>
        <v>53</v>
      </c>
      <c r="AM773" s="1354">
        <f t="shared" si="252"/>
        <v>0</v>
      </c>
      <c r="AN773" s="1352" t="str">
        <f t="shared" si="251"/>
        <v>"User Defined" Health &amp; Human Services Unclassified</v>
      </c>
    </row>
    <row r="774" spans="1:40" x14ac:dyDescent="0.2">
      <c r="A774" s="1324" t="s">
        <v>5186</v>
      </c>
      <c r="B774" s="1324" t="s">
        <v>5698</v>
      </c>
      <c r="C774" s="1353">
        <f>'Key Metrics'!$C$276</f>
        <v>0</v>
      </c>
      <c r="D774" s="1353">
        <f>'Key Metrics'!$G$276</f>
        <v>0</v>
      </c>
      <c r="E774" s="1351">
        <f t="shared" si="241"/>
        <v>0</v>
      </c>
      <c r="F774" s="1353">
        <f t="shared" si="242"/>
        <v>0</v>
      </c>
      <c r="G774" s="1353">
        <f t="shared" si="243"/>
        <v>0</v>
      </c>
      <c r="H774" s="1353">
        <f t="shared" si="244"/>
        <v>0</v>
      </c>
      <c r="I774" s="1353">
        <f t="shared" si="245"/>
        <v>0</v>
      </c>
      <c r="J774" s="1353">
        <f t="shared" si="246"/>
        <v>0</v>
      </c>
      <c r="M774" s="1324" t="str">
        <f t="shared" si="247"/>
        <v>Environmental Health Services Salaries &amp; Wages</v>
      </c>
      <c r="N774" s="1368">
        <f t="shared" si="248"/>
        <v>0</v>
      </c>
      <c r="O774" s="1368">
        <f t="shared" si="249"/>
        <v>0</v>
      </c>
      <c r="P774" s="1368">
        <f t="shared" si="249"/>
        <v>0</v>
      </c>
      <c r="Q774" s="1368">
        <f t="shared" si="249"/>
        <v>0</v>
      </c>
      <c r="R774" s="1368">
        <f t="shared" si="249"/>
        <v>0</v>
      </c>
      <c r="T774" s="1369">
        <v>0.02</v>
      </c>
      <c r="U774" s="1369">
        <v>0.02</v>
      </c>
      <c r="V774" s="1369">
        <v>0.02</v>
      </c>
      <c r="W774" s="1369">
        <v>0.02</v>
      </c>
      <c r="X774" s="1369">
        <v>0.02</v>
      </c>
      <c r="Y774" s="1367"/>
      <c r="Z774" s="1370">
        <v>0</v>
      </c>
      <c r="AA774" s="1370">
        <v>0</v>
      </c>
      <c r="AB774" s="1370">
        <v>0</v>
      </c>
      <c r="AC774" s="1370">
        <v>0</v>
      </c>
      <c r="AD774" s="1370">
        <v>0</v>
      </c>
      <c r="AK774" s="1354">
        <f t="shared" si="238"/>
        <v>0</v>
      </c>
      <c r="AL774" s="1352">
        <f t="shared" si="250"/>
        <v>53</v>
      </c>
      <c r="AM774" s="1354">
        <f t="shared" si="252"/>
        <v>0</v>
      </c>
      <c r="AN774" s="1352" t="str">
        <f t="shared" si="251"/>
        <v>Environmental Health Services Salaries &amp; Wages</v>
      </c>
    </row>
    <row r="775" spans="1:40" x14ac:dyDescent="0.2">
      <c r="A775" s="1324" t="str">
        <f>A774</f>
        <v>27-335</v>
      </c>
      <c r="B775" s="1324" t="s">
        <v>5901</v>
      </c>
      <c r="C775" s="1353">
        <f>'Key Metrics'!$D$276</f>
        <v>0</v>
      </c>
      <c r="D775" s="1353">
        <f>'Key Metrics'!$H$276</f>
        <v>100</v>
      </c>
      <c r="E775" s="1351">
        <f t="shared" si="241"/>
        <v>0</v>
      </c>
      <c r="F775" s="1353">
        <f t="shared" si="242"/>
        <v>102</v>
      </c>
      <c r="G775" s="1353">
        <f t="shared" si="243"/>
        <v>104.04</v>
      </c>
      <c r="H775" s="1353">
        <f t="shared" si="244"/>
        <v>106.1208</v>
      </c>
      <c r="I775" s="1353">
        <f t="shared" si="245"/>
        <v>108.243216</v>
      </c>
      <c r="J775" s="1353">
        <f t="shared" si="246"/>
        <v>110.40808032000001</v>
      </c>
      <c r="M775" s="1324" t="str">
        <f t="shared" si="247"/>
        <v>Environmental Health Services Other Expenses</v>
      </c>
      <c r="N775" s="1368">
        <f t="shared" si="248"/>
        <v>0</v>
      </c>
      <c r="O775" s="1368">
        <f t="shared" ref="O775:R790" si="253">N775</f>
        <v>0</v>
      </c>
      <c r="P775" s="1368">
        <f t="shared" si="253"/>
        <v>0</v>
      </c>
      <c r="Q775" s="1368">
        <f t="shared" si="253"/>
        <v>0</v>
      </c>
      <c r="R775" s="1368">
        <f t="shared" si="253"/>
        <v>0</v>
      </c>
      <c r="T775" s="1369">
        <v>0.02</v>
      </c>
      <c r="U775" s="1369">
        <v>0.02</v>
      </c>
      <c r="V775" s="1369">
        <v>0.02</v>
      </c>
      <c r="W775" s="1369">
        <v>0.02</v>
      </c>
      <c r="X775" s="1369">
        <v>0.02</v>
      </c>
      <c r="Y775" s="1367"/>
      <c r="Z775" s="1370">
        <v>0</v>
      </c>
      <c r="AA775" s="1370">
        <v>0</v>
      </c>
      <c r="AB775" s="1370">
        <v>0</v>
      </c>
      <c r="AC775" s="1370">
        <v>0</v>
      </c>
      <c r="AD775" s="1370">
        <v>0</v>
      </c>
      <c r="AK775" s="1354">
        <f t="shared" si="238"/>
        <v>630.81209631999991</v>
      </c>
      <c r="AL775" s="1352">
        <f t="shared" si="250"/>
        <v>44</v>
      </c>
      <c r="AM775" s="1354">
        <f t="shared" si="252"/>
        <v>10.40808032000001</v>
      </c>
      <c r="AN775" s="1352" t="str">
        <f t="shared" si="251"/>
        <v>Environmental Health Services Other Expenses</v>
      </c>
    </row>
    <row r="776" spans="1:40" x14ac:dyDescent="0.2">
      <c r="A776" s="1324" t="str">
        <f>A775</f>
        <v>27-335</v>
      </c>
      <c r="B776" s="1324" t="s">
        <v>5902</v>
      </c>
      <c r="C776" s="1353">
        <f>'Key Metrics'!$E$276</f>
        <v>0</v>
      </c>
      <c r="D776" s="1353">
        <f>'Key Metrics'!$I$276</f>
        <v>0</v>
      </c>
      <c r="E776" s="1351">
        <f t="shared" si="241"/>
        <v>0</v>
      </c>
      <c r="F776" s="1353">
        <f t="shared" si="242"/>
        <v>0</v>
      </c>
      <c r="G776" s="1353">
        <f t="shared" si="243"/>
        <v>0</v>
      </c>
      <c r="H776" s="1353">
        <f t="shared" si="244"/>
        <v>0</v>
      </c>
      <c r="I776" s="1353">
        <f t="shared" si="245"/>
        <v>0</v>
      </c>
      <c r="J776" s="1353">
        <f t="shared" si="246"/>
        <v>0</v>
      </c>
      <c r="M776" s="1324" t="str">
        <f t="shared" si="247"/>
        <v>Environmental Health Services Unclassified</v>
      </c>
      <c r="N776" s="1368">
        <f t="shared" si="248"/>
        <v>0</v>
      </c>
      <c r="O776" s="1368">
        <f t="shared" si="253"/>
        <v>0</v>
      </c>
      <c r="P776" s="1368">
        <f t="shared" si="253"/>
        <v>0</v>
      </c>
      <c r="Q776" s="1368">
        <f t="shared" si="253"/>
        <v>0</v>
      </c>
      <c r="R776" s="1368">
        <f t="shared" si="253"/>
        <v>0</v>
      </c>
      <c r="T776" s="1369">
        <v>0.02</v>
      </c>
      <c r="U776" s="1369">
        <v>0.02</v>
      </c>
      <c r="V776" s="1369">
        <v>0.02</v>
      </c>
      <c r="W776" s="1369">
        <v>0.02</v>
      </c>
      <c r="X776" s="1369">
        <v>0.02</v>
      </c>
      <c r="Y776" s="1367"/>
      <c r="Z776" s="1370">
        <v>0</v>
      </c>
      <c r="AA776" s="1370">
        <v>0</v>
      </c>
      <c r="AB776" s="1370">
        <v>0</v>
      </c>
      <c r="AC776" s="1370">
        <v>0</v>
      </c>
      <c r="AD776" s="1370">
        <v>0</v>
      </c>
      <c r="AK776" s="1354">
        <f t="shared" si="238"/>
        <v>0</v>
      </c>
      <c r="AL776" s="1352">
        <f t="shared" si="250"/>
        <v>53</v>
      </c>
      <c r="AM776" s="1354">
        <f t="shared" si="252"/>
        <v>0</v>
      </c>
      <c r="AN776" s="1352" t="str">
        <f t="shared" si="251"/>
        <v>Environmental Health Services Unclassified</v>
      </c>
    </row>
    <row r="777" spans="1:40" x14ac:dyDescent="0.2">
      <c r="A777" s="1324" t="s">
        <v>5187</v>
      </c>
      <c r="B777" s="1324" t="s">
        <v>5699</v>
      </c>
      <c r="C777" s="1353">
        <f>'Key Metrics'!$C$277</f>
        <v>500</v>
      </c>
      <c r="D777" s="1353">
        <f>'Key Metrics'!$G$277</f>
        <v>530.6</v>
      </c>
      <c r="E777" s="1351">
        <f t="shared" si="241"/>
        <v>6.1200000000000143E-2</v>
      </c>
      <c r="F777" s="1353">
        <f t="shared" si="242"/>
        <v>541.21199999999999</v>
      </c>
      <c r="G777" s="1353">
        <f t="shared" si="243"/>
        <v>552.03624000000002</v>
      </c>
      <c r="H777" s="1353">
        <f t="shared" si="244"/>
        <v>563.07696480000004</v>
      </c>
      <c r="I777" s="1353">
        <f t="shared" si="245"/>
        <v>574.33850409600007</v>
      </c>
      <c r="J777" s="1353">
        <f t="shared" si="246"/>
        <v>585.82527417792005</v>
      </c>
      <c r="M777" s="1324" t="str">
        <f t="shared" si="247"/>
        <v>Animal Control Services Salaries &amp; Wages</v>
      </c>
      <c r="N777" s="1368">
        <f t="shared" si="248"/>
        <v>6.1200000000000143E-2</v>
      </c>
      <c r="O777" s="1368">
        <f t="shared" si="253"/>
        <v>6.1200000000000143E-2</v>
      </c>
      <c r="P777" s="1368">
        <f t="shared" si="253"/>
        <v>6.1200000000000143E-2</v>
      </c>
      <c r="Q777" s="1368">
        <f t="shared" si="253"/>
        <v>6.1200000000000143E-2</v>
      </c>
      <c r="R777" s="1368">
        <f t="shared" si="253"/>
        <v>6.1200000000000143E-2</v>
      </c>
      <c r="T777" s="1369">
        <v>0.02</v>
      </c>
      <c r="U777" s="1369">
        <v>0.02</v>
      </c>
      <c r="V777" s="1369">
        <v>0.02</v>
      </c>
      <c r="W777" s="1369">
        <v>0.02</v>
      </c>
      <c r="X777" s="1369">
        <v>0.02</v>
      </c>
      <c r="Y777" s="1367"/>
      <c r="Z777" s="1370">
        <v>0</v>
      </c>
      <c r="AA777" s="1370">
        <v>0</v>
      </c>
      <c r="AB777" s="1370">
        <v>0</v>
      </c>
      <c r="AC777" s="1370">
        <v>0</v>
      </c>
      <c r="AD777" s="1370">
        <v>0</v>
      </c>
      <c r="AK777" s="1354">
        <f t="shared" si="238"/>
        <v>3847.0889830739202</v>
      </c>
      <c r="AL777" s="1352">
        <f t="shared" si="250"/>
        <v>41</v>
      </c>
      <c r="AM777" s="1354">
        <f t="shared" si="252"/>
        <v>55.225274177920028</v>
      </c>
      <c r="AN777" s="1352" t="str">
        <f t="shared" si="251"/>
        <v>Animal Control Services Salaries &amp; Wages</v>
      </c>
    </row>
    <row r="778" spans="1:40" x14ac:dyDescent="0.2">
      <c r="A778" s="1324" t="str">
        <f>A777</f>
        <v>27-340</v>
      </c>
      <c r="B778" s="1324" t="s">
        <v>5903</v>
      </c>
      <c r="C778" s="1353">
        <f>'Key Metrics'!$D$277</f>
        <v>5813</v>
      </c>
      <c r="D778" s="1353">
        <f>'Key Metrics'!$H$277</f>
        <v>6225</v>
      </c>
      <c r="E778" s="1351">
        <f t="shared" si="241"/>
        <v>7.0875623602270732E-2</v>
      </c>
      <c r="F778" s="1353">
        <f t="shared" si="242"/>
        <v>6349.5</v>
      </c>
      <c r="G778" s="1353">
        <f t="shared" si="243"/>
        <v>6476.49</v>
      </c>
      <c r="H778" s="1353">
        <f t="shared" si="244"/>
        <v>6606.0198</v>
      </c>
      <c r="I778" s="1353">
        <f t="shared" si="245"/>
        <v>6738.1401960000003</v>
      </c>
      <c r="J778" s="1353">
        <f t="shared" si="246"/>
        <v>6872.9029999200002</v>
      </c>
      <c r="M778" s="1324" t="str">
        <f t="shared" si="247"/>
        <v>Animal Control Services Other Expenses</v>
      </c>
      <c r="N778" s="1368">
        <f t="shared" si="248"/>
        <v>7.0875623602270732E-2</v>
      </c>
      <c r="O778" s="1368">
        <f t="shared" si="253"/>
        <v>7.0875623602270732E-2</v>
      </c>
      <c r="P778" s="1368">
        <f t="shared" si="253"/>
        <v>7.0875623602270732E-2</v>
      </c>
      <c r="Q778" s="1368">
        <f t="shared" si="253"/>
        <v>7.0875623602270732E-2</v>
      </c>
      <c r="R778" s="1368">
        <f t="shared" si="253"/>
        <v>7.0875623602270732E-2</v>
      </c>
      <c r="T778" s="1369">
        <v>0.02</v>
      </c>
      <c r="U778" s="1369">
        <v>0.02</v>
      </c>
      <c r="V778" s="1369">
        <v>0.02</v>
      </c>
      <c r="W778" s="1369">
        <v>0.02</v>
      </c>
      <c r="X778" s="1369">
        <v>0.02</v>
      </c>
      <c r="Y778" s="1367"/>
      <c r="Z778" s="1370">
        <v>0</v>
      </c>
      <c r="AA778" s="1370">
        <v>0</v>
      </c>
      <c r="AB778" s="1370">
        <v>0</v>
      </c>
      <c r="AC778" s="1370">
        <v>0</v>
      </c>
      <c r="AD778" s="1370">
        <v>0</v>
      </c>
      <c r="AK778" s="1354">
        <f t="shared" si="238"/>
        <v>45081.052995919999</v>
      </c>
      <c r="AL778" s="1352">
        <f t="shared" si="250"/>
        <v>19</v>
      </c>
      <c r="AM778" s="1354">
        <f t="shared" si="252"/>
        <v>647.90299992000018</v>
      </c>
      <c r="AN778" s="1352" t="str">
        <f t="shared" si="251"/>
        <v>Animal Control Services Other Expenses</v>
      </c>
    </row>
    <row r="779" spans="1:40" x14ac:dyDescent="0.2">
      <c r="A779" s="1324" t="str">
        <f>A778</f>
        <v>27-340</v>
      </c>
      <c r="B779" s="1324" t="s">
        <v>5904</v>
      </c>
      <c r="C779" s="1353">
        <f>'Key Metrics'!$E$277</f>
        <v>0</v>
      </c>
      <c r="D779" s="1353">
        <f>'Key Metrics'!$I$277</f>
        <v>0</v>
      </c>
      <c r="E779" s="1351">
        <f t="shared" si="241"/>
        <v>0</v>
      </c>
      <c r="F779" s="1353">
        <f t="shared" si="242"/>
        <v>0</v>
      </c>
      <c r="G779" s="1353">
        <f t="shared" si="243"/>
        <v>0</v>
      </c>
      <c r="H779" s="1353">
        <f t="shared" si="244"/>
        <v>0</v>
      </c>
      <c r="I779" s="1353">
        <f t="shared" si="245"/>
        <v>0</v>
      </c>
      <c r="J779" s="1353">
        <f t="shared" si="246"/>
        <v>0</v>
      </c>
      <c r="M779" s="1324" t="str">
        <f t="shared" si="247"/>
        <v>Animal Control Services Unclassified</v>
      </c>
      <c r="N779" s="1368">
        <f t="shared" si="248"/>
        <v>0</v>
      </c>
      <c r="O779" s="1368">
        <f t="shared" si="253"/>
        <v>0</v>
      </c>
      <c r="P779" s="1368">
        <f t="shared" si="253"/>
        <v>0</v>
      </c>
      <c r="Q779" s="1368">
        <f t="shared" si="253"/>
        <v>0</v>
      </c>
      <c r="R779" s="1368">
        <f t="shared" si="253"/>
        <v>0</v>
      </c>
      <c r="T779" s="1369">
        <v>0.02</v>
      </c>
      <c r="U779" s="1369">
        <v>0.02</v>
      </c>
      <c r="V779" s="1369">
        <v>0.02</v>
      </c>
      <c r="W779" s="1369">
        <v>0.02</v>
      </c>
      <c r="X779" s="1369">
        <v>0.02</v>
      </c>
      <c r="Y779" s="1367"/>
      <c r="Z779" s="1370">
        <v>0</v>
      </c>
      <c r="AA779" s="1370">
        <v>0</v>
      </c>
      <c r="AB779" s="1370">
        <v>0</v>
      </c>
      <c r="AC779" s="1370">
        <v>0</v>
      </c>
      <c r="AD779" s="1370">
        <v>0</v>
      </c>
      <c r="AK779" s="1354">
        <f t="shared" si="238"/>
        <v>0</v>
      </c>
      <c r="AL779" s="1352">
        <f t="shared" si="250"/>
        <v>53</v>
      </c>
      <c r="AM779" s="1354">
        <f t="shared" si="252"/>
        <v>0</v>
      </c>
      <c r="AN779" s="1352" t="str">
        <f t="shared" si="251"/>
        <v>Animal Control Services Unclassified</v>
      </c>
    </row>
    <row r="780" spans="1:40" x14ac:dyDescent="0.2">
      <c r="A780" s="1324" t="s">
        <v>5456</v>
      </c>
      <c r="B780" s="1324" t="s">
        <v>5700</v>
      </c>
      <c r="C780" s="1353">
        <f>'Key Metrics'!$C$278</f>
        <v>0</v>
      </c>
      <c r="D780" s="1353">
        <f>'Key Metrics'!$G$278</f>
        <v>0</v>
      </c>
      <c r="E780" s="1351">
        <f t="shared" si="241"/>
        <v>0</v>
      </c>
      <c r="F780" s="1353">
        <f t="shared" si="242"/>
        <v>0</v>
      </c>
      <c r="G780" s="1353">
        <f t="shared" si="243"/>
        <v>0</v>
      </c>
      <c r="H780" s="1353">
        <f t="shared" si="244"/>
        <v>0</v>
      </c>
      <c r="I780" s="1353">
        <f t="shared" si="245"/>
        <v>0</v>
      </c>
      <c r="J780" s="1353">
        <f t="shared" si="246"/>
        <v>0</v>
      </c>
      <c r="M780" s="1324" t="str">
        <f t="shared" si="247"/>
        <v>Welfare/Administration of Public Service Salaries &amp; Wages</v>
      </c>
      <c r="N780" s="1368">
        <f t="shared" si="248"/>
        <v>0</v>
      </c>
      <c r="O780" s="1368">
        <f t="shared" si="253"/>
        <v>0</v>
      </c>
      <c r="P780" s="1368">
        <f t="shared" si="253"/>
        <v>0</v>
      </c>
      <c r="Q780" s="1368">
        <f t="shared" si="253"/>
        <v>0</v>
      </c>
      <c r="R780" s="1368">
        <f t="shared" si="253"/>
        <v>0</v>
      </c>
      <c r="T780" s="1369">
        <v>0.02</v>
      </c>
      <c r="U780" s="1369">
        <v>0.02</v>
      </c>
      <c r="V780" s="1369">
        <v>0.02</v>
      </c>
      <c r="W780" s="1369">
        <v>0.02</v>
      </c>
      <c r="X780" s="1369">
        <v>0.02</v>
      </c>
      <c r="Y780" s="1367"/>
      <c r="Z780" s="1370">
        <v>0</v>
      </c>
      <c r="AA780" s="1370">
        <v>0</v>
      </c>
      <c r="AB780" s="1370">
        <v>0</v>
      </c>
      <c r="AC780" s="1370">
        <v>0</v>
      </c>
      <c r="AD780" s="1370">
        <v>0</v>
      </c>
      <c r="AK780" s="1354">
        <f t="shared" si="238"/>
        <v>0</v>
      </c>
      <c r="AL780" s="1352">
        <f t="shared" si="250"/>
        <v>53</v>
      </c>
      <c r="AM780" s="1354">
        <f t="shared" si="252"/>
        <v>0</v>
      </c>
      <c r="AN780" s="1352" t="str">
        <f t="shared" si="251"/>
        <v>Welfare/Administration of Public Service Salaries &amp; Wages</v>
      </c>
    </row>
    <row r="781" spans="1:40" x14ac:dyDescent="0.2">
      <c r="A781" s="1324" t="str">
        <f>A780</f>
        <v>27-345</v>
      </c>
      <c r="B781" s="1324" t="s">
        <v>5905</v>
      </c>
      <c r="C781" s="1353">
        <f>'Key Metrics'!$D$278</f>
        <v>0</v>
      </c>
      <c r="D781" s="1353">
        <f>'Key Metrics'!$H$278</f>
        <v>0</v>
      </c>
      <c r="E781" s="1351">
        <f t="shared" si="241"/>
        <v>0</v>
      </c>
      <c r="F781" s="1353">
        <f t="shared" si="242"/>
        <v>0</v>
      </c>
      <c r="G781" s="1353">
        <f t="shared" si="243"/>
        <v>0</v>
      </c>
      <c r="H781" s="1353">
        <f t="shared" si="244"/>
        <v>0</v>
      </c>
      <c r="I781" s="1353">
        <f t="shared" si="245"/>
        <v>0</v>
      </c>
      <c r="J781" s="1353">
        <f t="shared" si="246"/>
        <v>0</v>
      </c>
      <c r="M781" s="1324" t="str">
        <f t="shared" si="247"/>
        <v>Welfare/Administration of Public Service Other Expenses</v>
      </c>
      <c r="N781" s="1368">
        <f t="shared" si="248"/>
        <v>0</v>
      </c>
      <c r="O781" s="1368">
        <f t="shared" si="253"/>
        <v>0</v>
      </c>
      <c r="P781" s="1368">
        <f t="shared" si="253"/>
        <v>0</v>
      </c>
      <c r="Q781" s="1368">
        <f t="shared" si="253"/>
        <v>0</v>
      </c>
      <c r="R781" s="1368">
        <f t="shared" si="253"/>
        <v>0</v>
      </c>
      <c r="T781" s="1369">
        <v>0.02</v>
      </c>
      <c r="U781" s="1369">
        <v>0.02</v>
      </c>
      <c r="V781" s="1369">
        <v>0.02</v>
      </c>
      <c r="W781" s="1369">
        <v>0.02</v>
      </c>
      <c r="X781" s="1369">
        <v>0.02</v>
      </c>
      <c r="Y781" s="1367"/>
      <c r="Z781" s="1370">
        <v>0</v>
      </c>
      <c r="AA781" s="1370">
        <v>0</v>
      </c>
      <c r="AB781" s="1370">
        <v>0</v>
      </c>
      <c r="AC781" s="1370">
        <v>0</v>
      </c>
      <c r="AD781" s="1370">
        <v>0</v>
      </c>
      <c r="AK781" s="1354">
        <f t="shared" si="238"/>
        <v>0</v>
      </c>
      <c r="AL781" s="1352">
        <f t="shared" si="250"/>
        <v>53</v>
      </c>
      <c r="AM781" s="1354">
        <f t="shared" si="252"/>
        <v>0</v>
      </c>
      <c r="AN781" s="1352" t="str">
        <f t="shared" si="251"/>
        <v>Welfare/Administration of Public Service Other Expenses</v>
      </c>
    </row>
    <row r="782" spans="1:40" x14ac:dyDescent="0.2">
      <c r="A782" s="1324" t="str">
        <f>A781</f>
        <v>27-345</v>
      </c>
      <c r="B782" s="1324" t="s">
        <v>5906</v>
      </c>
      <c r="C782" s="1353">
        <f>'Key Metrics'!$E$278</f>
        <v>0</v>
      </c>
      <c r="D782" s="1353">
        <f>'Key Metrics'!$I$278</f>
        <v>0</v>
      </c>
      <c r="E782" s="1351">
        <f t="shared" si="241"/>
        <v>0</v>
      </c>
      <c r="F782" s="1353">
        <f t="shared" si="242"/>
        <v>0</v>
      </c>
      <c r="G782" s="1353">
        <f t="shared" si="243"/>
        <v>0</v>
      </c>
      <c r="H782" s="1353">
        <f t="shared" si="244"/>
        <v>0</v>
      </c>
      <c r="I782" s="1353">
        <f t="shared" si="245"/>
        <v>0</v>
      </c>
      <c r="J782" s="1353">
        <f t="shared" si="246"/>
        <v>0</v>
      </c>
      <c r="M782" s="1324" t="str">
        <f t="shared" si="247"/>
        <v>Welfare/Administration of Public Service Unclassified</v>
      </c>
      <c r="N782" s="1368">
        <f t="shared" si="248"/>
        <v>0</v>
      </c>
      <c r="O782" s="1368">
        <f t="shared" si="253"/>
        <v>0</v>
      </c>
      <c r="P782" s="1368">
        <f t="shared" si="253"/>
        <v>0</v>
      </c>
      <c r="Q782" s="1368">
        <f t="shared" si="253"/>
        <v>0</v>
      </c>
      <c r="R782" s="1368">
        <f t="shared" si="253"/>
        <v>0</v>
      </c>
      <c r="T782" s="1369">
        <v>0.02</v>
      </c>
      <c r="U782" s="1369">
        <v>0.02</v>
      </c>
      <c r="V782" s="1369">
        <v>0.02</v>
      </c>
      <c r="W782" s="1369">
        <v>0.02</v>
      </c>
      <c r="X782" s="1369">
        <v>0.02</v>
      </c>
      <c r="Y782" s="1367"/>
      <c r="Z782" s="1370">
        <v>0</v>
      </c>
      <c r="AA782" s="1370">
        <v>0</v>
      </c>
      <c r="AB782" s="1370">
        <v>0</v>
      </c>
      <c r="AC782" s="1370">
        <v>0</v>
      </c>
      <c r="AD782" s="1370">
        <v>0</v>
      </c>
      <c r="AK782" s="1354">
        <f t="shared" si="238"/>
        <v>0</v>
      </c>
      <c r="AL782" s="1352">
        <f t="shared" si="250"/>
        <v>53</v>
      </c>
      <c r="AM782" s="1354">
        <f t="shared" si="252"/>
        <v>0</v>
      </c>
      <c r="AN782" s="1352" t="str">
        <f t="shared" si="251"/>
        <v>Welfare/Administration of Public Service Unclassified</v>
      </c>
    </row>
    <row r="783" spans="1:40" x14ac:dyDescent="0.2">
      <c r="A783" s="1324" t="s">
        <v>5457</v>
      </c>
      <c r="B783" s="1324" t="s">
        <v>5701</v>
      </c>
      <c r="C783" s="1353">
        <f>'Key Metrics'!$C$279</f>
        <v>0</v>
      </c>
      <c r="D783" s="1353">
        <f>'Key Metrics'!$G$279</f>
        <v>0</v>
      </c>
      <c r="E783" s="1351">
        <f t="shared" si="241"/>
        <v>0</v>
      </c>
      <c r="F783" s="1353">
        <f t="shared" si="242"/>
        <v>0</v>
      </c>
      <c r="G783" s="1353">
        <f t="shared" si="243"/>
        <v>0</v>
      </c>
      <c r="H783" s="1353">
        <f t="shared" si="244"/>
        <v>0</v>
      </c>
      <c r="I783" s="1353">
        <f t="shared" si="245"/>
        <v>0</v>
      </c>
      <c r="J783" s="1353">
        <f t="shared" si="246"/>
        <v>0</v>
      </c>
      <c r="M783" s="1324" t="str">
        <f t="shared" si="247"/>
        <v>Operation of a Health Facility (County) Salaries &amp; Wages</v>
      </c>
      <c r="N783" s="1368">
        <f t="shared" si="248"/>
        <v>0</v>
      </c>
      <c r="O783" s="1368">
        <f t="shared" si="253"/>
        <v>0</v>
      </c>
      <c r="P783" s="1368">
        <f t="shared" si="253"/>
        <v>0</v>
      </c>
      <c r="Q783" s="1368">
        <f t="shared" si="253"/>
        <v>0</v>
      </c>
      <c r="R783" s="1368">
        <f t="shared" si="253"/>
        <v>0</v>
      </c>
      <c r="T783" s="1369">
        <v>0.02</v>
      </c>
      <c r="U783" s="1369">
        <v>0.02</v>
      </c>
      <c r="V783" s="1369">
        <v>0.02</v>
      </c>
      <c r="W783" s="1369">
        <v>0.02</v>
      </c>
      <c r="X783" s="1369">
        <v>0.02</v>
      </c>
      <c r="Y783" s="1367"/>
      <c r="Z783" s="1370">
        <v>0</v>
      </c>
      <c r="AA783" s="1370">
        <v>0</v>
      </c>
      <c r="AB783" s="1370">
        <v>0</v>
      </c>
      <c r="AC783" s="1370">
        <v>0</v>
      </c>
      <c r="AD783" s="1370">
        <v>0</v>
      </c>
      <c r="AK783" s="1354">
        <f t="shared" si="238"/>
        <v>0</v>
      </c>
      <c r="AL783" s="1352">
        <f t="shared" si="250"/>
        <v>53</v>
      </c>
      <c r="AM783" s="1354">
        <f t="shared" si="252"/>
        <v>0</v>
      </c>
      <c r="AN783" s="1352" t="str">
        <f t="shared" si="251"/>
        <v>Operation of a Health Facility (County) Salaries &amp; Wages</v>
      </c>
    </row>
    <row r="784" spans="1:40" x14ac:dyDescent="0.2">
      <c r="A784" s="1324" t="str">
        <f>A783</f>
        <v>27-350</v>
      </c>
      <c r="B784" s="1324" t="s">
        <v>5907</v>
      </c>
      <c r="C784" s="1353">
        <f>'Key Metrics'!$D$279</f>
        <v>0</v>
      </c>
      <c r="D784" s="1353">
        <f>'Key Metrics'!$H$279</f>
        <v>0</v>
      </c>
      <c r="E784" s="1351">
        <f t="shared" si="241"/>
        <v>0</v>
      </c>
      <c r="F784" s="1353">
        <f t="shared" si="242"/>
        <v>0</v>
      </c>
      <c r="G784" s="1353">
        <f t="shared" si="243"/>
        <v>0</v>
      </c>
      <c r="H784" s="1353">
        <f t="shared" si="244"/>
        <v>0</v>
      </c>
      <c r="I784" s="1353">
        <f t="shared" si="245"/>
        <v>0</v>
      </c>
      <c r="J784" s="1353">
        <f t="shared" si="246"/>
        <v>0</v>
      </c>
      <c r="M784" s="1324" t="str">
        <f t="shared" si="247"/>
        <v>Operation of a Health Facility (County) Other Expenses</v>
      </c>
      <c r="N784" s="1368">
        <f t="shared" si="248"/>
        <v>0</v>
      </c>
      <c r="O784" s="1368">
        <f t="shared" si="253"/>
        <v>0</v>
      </c>
      <c r="P784" s="1368">
        <f t="shared" si="253"/>
        <v>0</v>
      </c>
      <c r="Q784" s="1368">
        <f t="shared" si="253"/>
        <v>0</v>
      </c>
      <c r="R784" s="1368">
        <f t="shared" si="253"/>
        <v>0</v>
      </c>
      <c r="T784" s="1369">
        <v>0.02</v>
      </c>
      <c r="U784" s="1369">
        <v>0.02</v>
      </c>
      <c r="V784" s="1369">
        <v>0.02</v>
      </c>
      <c r="W784" s="1369">
        <v>0.02</v>
      </c>
      <c r="X784" s="1369">
        <v>0.02</v>
      </c>
      <c r="Y784" s="1367"/>
      <c r="Z784" s="1370">
        <v>0</v>
      </c>
      <c r="AA784" s="1370">
        <v>0</v>
      </c>
      <c r="AB784" s="1370">
        <v>0</v>
      </c>
      <c r="AC784" s="1370">
        <v>0</v>
      </c>
      <c r="AD784" s="1370">
        <v>0</v>
      </c>
      <c r="AK784" s="1354">
        <f t="shared" si="238"/>
        <v>0</v>
      </c>
      <c r="AL784" s="1352">
        <f t="shared" si="250"/>
        <v>53</v>
      </c>
      <c r="AM784" s="1354">
        <f t="shared" si="252"/>
        <v>0</v>
      </c>
      <c r="AN784" s="1352" t="str">
        <f t="shared" si="251"/>
        <v>Operation of a Health Facility (County) Other Expenses</v>
      </c>
    </row>
    <row r="785" spans="1:40" x14ac:dyDescent="0.2">
      <c r="A785" s="1324" t="str">
        <f>A784</f>
        <v>27-350</v>
      </c>
      <c r="B785" s="1324" t="s">
        <v>5908</v>
      </c>
      <c r="C785" s="1353">
        <f>'Key Metrics'!$E$279</f>
        <v>0</v>
      </c>
      <c r="D785" s="1353">
        <f>'Key Metrics'!$I$279</f>
        <v>0</v>
      </c>
      <c r="E785" s="1351">
        <f t="shared" si="241"/>
        <v>0</v>
      </c>
      <c r="F785" s="1353">
        <f t="shared" si="242"/>
        <v>0</v>
      </c>
      <c r="G785" s="1353">
        <f t="shared" si="243"/>
        <v>0</v>
      </c>
      <c r="H785" s="1353">
        <f t="shared" si="244"/>
        <v>0</v>
      </c>
      <c r="I785" s="1353">
        <f t="shared" si="245"/>
        <v>0</v>
      </c>
      <c r="J785" s="1353">
        <f t="shared" si="246"/>
        <v>0</v>
      </c>
      <c r="M785" s="1324" t="str">
        <f t="shared" si="247"/>
        <v>Operation of a Health Facility (County) Unclassified</v>
      </c>
      <c r="N785" s="1368">
        <f t="shared" si="248"/>
        <v>0</v>
      </c>
      <c r="O785" s="1368">
        <f t="shared" si="253"/>
        <v>0</v>
      </c>
      <c r="P785" s="1368">
        <f t="shared" si="253"/>
        <v>0</v>
      </c>
      <c r="Q785" s="1368">
        <f t="shared" si="253"/>
        <v>0</v>
      </c>
      <c r="R785" s="1368">
        <f t="shared" si="253"/>
        <v>0</v>
      </c>
      <c r="T785" s="1369">
        <v>0.02</v>
      </c>
      <c r="U785" s="1369">
        <v>0.02</v>
      </c>
      <c r="V785" s="1369">
        <v>0.02</v>
      </c>
      <c r="W785" s="1369">
        <v>0.02</v>
      </c>
      <c r="X785" s="1369">
        <v>0.02</v>
      </c>
      <c r="Y785" s="1367"/>
      <c r="Z785" s="1370">
        <v>0</v>
      </c>
      <c r="AA785" s="1370">
        <v>0</v>
      </c>
      <c r="AB785" s="1370">
        <v>0</v>
      </c>
      <c r="AC785" s="1370">
        <v>0</v>
      </c>
      <c r="AD785" s="1370">
        <v>0</v>
      </c>
      <c r="AK785" s="1354">
        <f t="shared" si="238"/>
        <v>0</v>
      </c>
      <c r="AL785" s="1352">
        <f t="shared" si="250"/>
        <v>53</v>
      </c>
      <c r="AM785" s="1354">
        <f t="shared" si="252"/>
        <v>0</v>
      </c>
      <c r="AN785" s="1352" t="str">
        <f t="shared" si="251"/>
        <v>Operation of a Health Facility (County) Unclassified</v>
      </c>
    </row>
    <row r="786" spans="1:40" x14ac:dyDescent="0.2">
      <c r="A786" s="1324" t="s">
        <v>5458</v>
      </c>
      <c r="B786" s="1324" t="s">
        <v>5702</v>
      </c>
      <c r="C786" s="1353">
        <f>'Key Metrics'!$C$280</f>
        <v>0</v>
      </c>
      <c r="D786" s="1353">
        <f>'Key Metrics'!$G$280</f>
        <v>0</v>
      </c>
      <c r="E786" s="1351">
        <f t="shared" si="241"/>
        <v>0</v>
      </c>
      <c r="F786" s="1353">
        <f t="shared" si="242"/>
        <v>0</v>
      </c>
      <c r="G786" s="1353">
        <f t="shared" si="243"/>
        <v>0</v>
      </c>
      <c r="H786" s="1353">
        <f t="shared" si="244"/>
        <v>0</v>
      </c>
      <c r="I786" s="1353">
        <f t="shared" si="245"/>
        <v>0</v>
      </c>
      <c r="J786" s="1353">
        <f t="shared" si="246"/>
        <v>0</v>
      </c>
      <c r="M786" s="1324" t="str">
        <f t="shared" si="247"/>
        <v>Contributions to Social Service Agencies Salaries &amp; Wages</v>
      </c>
      <c r="N786" s="1368">
        <f t="shared" si="248"/>
        <v>0</v>
      </c>
      <c r="O786" s="1368">
        <f t="shared" si="253"/>
        <v>0</v>
      </c>
      <c r="P786" s="1368">
        <f t="shared" si="253"/>
        <v>0</v>
      </c>
      <c r="Q786" s="1368">
        <f t="shared" si="253"/>
        <v>0</v>
      </c>
      <c r="R786" s="1368">
        <f t="shared" si="253"/>
        <v>0</v>
      </c>
      <c r="T786" s="1369">
        <v>0.02</v>
      </c>
      <c r="U786" s="1369">
        <v>0.02</v>
      </c>
      <c r="V786" s="1369">
        <v>0.02</v>
      </c>
      <c r="W786" s="1369">
        <v>0.02</v>
      </c>
      <c r="X786" s="1369">
        <v>0.02</v>
      </c>
      <c r="Y786" s="1367"/>
      <c r="Z786" s="1370">
        <v>0</v>
      </c>
      <c r="AA786" s="1370">
        <v>0</v>
      </c>
      <c r="AB786" s="1370">
        <v>0</v>
      </c>
      <c r="AC786" s="1370">
        <v>0</v>
      </c>
      <c r="AD786" s="1370">
        <v>0</v>
      </c>
      <c r="AK786" s="1354">
        <f t="shared" si="238"/>
        <v>0</v>
      </c>
      <c r="AL786" s="1352">
        <f t="shared" si="250"/>
        <v>53</v>
      </c>
      <c r="AM786" s="1354">
        <f t="shared" si="252"/>
        <v>0</v>
      </c>
      <c r="AN786" s="1352" t="str">
        <f t="shared" si="251"/>
        <v>Contributions to Social Service Agencies Salaries &amp; Wages</v>
      </c>
    </row>
    <row r="787" spans="1:40" x14ac:dyDescent="0.2">
      <c r="A787" s="1324" t="str">
        <f>A786</f>
        <v>27-360</v>
      </c>
      <c r="B787" s="1324" t="s">
        <v>5909</v>
      </c>
      <c r="C787" s="1353">
        <f>'Key Metrics'!$D$280</f>
        <v>0</v>
      </c>
      <c r="D787" s="1353">
        <f>'Key Metrics'!$H$280</f>
        <v>0</v>
      </c>
      <c r="E787" s="1351">
        <f t="shared" si="241"/>
        <v>0</v>
      </c>
      <c r="F787" s="1353">
        <f t="shared" si="242"/>
        <v>0</v>
      </c>
      <c r="G787" s="1353">
        <f t="shared" si="243"/>
        <v>0</v>
      </c>
      <c r="H787" s="1353">
        <f t="shared" si="244"/>
        <v>0</v>
      </c>
      <c r="I787" s="1353">
        <f t="shared" si="245"/>
        <v>0</v>
      </c>
      <c r="J787" s="1353">
        <f t="shared" si="246"/>
        <v>0</v>
      </c>
      <c r="M787" s="1324" t="str">
        <f t="shared" si="247"/>
        <v>Contributions to Social Service Agencies Other Expenses</v>
      </c>
      <c r="N787" s="1368">
        <f t="shared" si="248"/>
        <v>0</v>
      </c>
      <c r="O787" s="1368">
        <f t="shared" si="253"/>
        <v>0</v>
      </c>
      <c r="P787" s="1368">
        <f t="shared" si="253"/>
        <v>0</v>
      </c>
      <c r="Q787" s="1368">
        <f t="shared" si="253"/>
        <v>0</v>
      </c>
      <c r="R787" s="1368">
        <f t="shared" si="253"/>
        <v>0</v>
      </c>
      <c r="T787" s="1369">
        <v>0.02</v>
      </c>
      <c r="U787" s="1369">
        <v>0.02</v>
      </c>
      <c r="V787" s="1369">
        <v>0.02</v>
      </c>
      <c r="W787" s="1369">
        <v>0.02</v>
      </c>
      <c r="X787" s="1369">
        <v>0.02</v>
      </c>
      <c r="Y787" s="1367"/>
      <c r="Z787" s="1370">
        <v>0</v>
      </c>
      <c r="AA787" s="1370">
        <v>0</v>
      </c>
      <c r="AB787" s="1370">
        <v>0</v>
      </c>
      <c r="AC787" s="1370">
        <v>0</v>
      </c>
      <c r="AD787" s="1370">
        <v>0</v>
      </c>
      <c r="AK787" s="1354">
        <f t="shared" si="238"/>
        <v>0</v>
      </c>
      <c r="AL787" s="1352">
        <f t="shared" si="250"/>
        <v>53</v>
      </c>
      <c r="AM787" s="1354">
        <f t="shared" si="252"/>
        <v>0</v>
      </c>
      <c r="AN787" s="1352" t="str">
        <f t="shared" si="251"/>
        <v>Contributions to Social Service Agencies Other Expenses</v>
      </c>
    </row>
    <row r="788" spans="1:40" x14ac:dyDescent="0.2">
      <c r="A788" s="1324" t="str">
        <f>A787</f>
        <v>27-360</v>
      </c>
      <c r="B788" s="1324" t="s">
        <v>5910</v>
      </c>
      <c r="C788" s="1353">
        <f>'Key Metrics'!$E$280</f>
        <v>0</v>
      </c>
      <c r="D788" s="1353">
        <f>'Key Metrics'!$I$280</f>
        <v>0</v>
      </c>
      <c r="E788" s="1351">
        <f t="shared" si="241"/>
        <v>0</v>
      </c>
      <c r="F788" s="1353">
        <f t="shared" si="242"/>
        <v>0</v>
      </c>
      <c r="G788" s="1353">
        <f t="shared" si="243"/>
        <v>0</v>
      </c>
      <c r="H788" s="1353">
        <f t="shared" si="244"/>
        <v>0</v>
      </c>
      <c r="I788" s="1353">
        <f t="shared" si="245"/>
        <v>0</v>
      </c>
      <c r="J788" s="1353">
        <f t="shared" si="246"/>
        <v>0</v>
      </c>
      <c r="M788" s="1324" t="str">
        <f t="shared" si="247"/>
        <v>Contributions to Social Service Agencies Unclassified</v>
      </c>
      <c r="N788" s="1368">
        <f t="shared" si="248"/>
        <v>0</v>
      </c>
      <c r="O788" s="1368">
        <f t="shared" si="253"/>
        <v>0</v>
      </c>
      <c r="P788" s="1368">
        <f t="shared" si="253"/>
        <v>0</v>
      </c>
      <c r="Q788" s="1368">
        <f t="shared" si="253"/>
        <v>0</v>
      </c>
      <c r="R788" s="1368">
        <f t="shared" si="253"/>
        <v>0</v>
      </c>
      <c r="T788" s="1369">
        <v>0.02</v>
      </c>
      <c r="U788" s="1369">
        <v>0.02</v>
      </c>
      <c r="V788" s="1369">
        <v>0.02</v>
      </c>
      <c r="W788" s="1369">
        <v>0.02</v>
      </c>
      <c r="X788" s="1369">
        <v>0.02</v>
      </c>
      <c r="Y788" s="1367"/>
      <c r="Z788" s="1370">
        <v>0</v>
      </c>
      <c r="AA788" s="1370">
        <v>0</v>
      </c>
      <c r="AB788" s="1370">
        <v>0</v>
      </c>
      <c r="AC788" s="1370">
        <v>0</v>
      </c>
      <c r="AD788" s="1370">
        <v>0</v>
      </c>
      <c r="AK788" s="1354">
        <f t="shared" si="238"/>
        <v>0</v>
      </c>
      <c r="AL788" s="1352">
        <f t="shared" si="250"/>
        <v>53</v>
      </c>
      <c r="AM788" s="1354">
        <f t="shared" si="252"/>
        <v>0</v>
      </c>
      <c r="AN788" s="1352" t="str">
        <f t="shared" si="251"/>
        <v>Contributions to Social Service Agencies Unclassified</v>
      </c>
    </row>
    <row r="789" spans="1:40" x14ac:dyDescent="0.2">
      <c r="A789" s="1324" t="s">
        <v>5188</v>
      </c>
      <c r="B789" s="1324" t="s">
        <v>5703</v>
      </c>
      <c r="C789" s="1353">
        <f>'Key Metrics'!$C$281</f>
        <v>0</v>
      </c>
      <c r="D789" s="1353">
        <f>'Key Metrics'!$G$281</f>
        <v>0</v>
      </c>
      <c r="E789" s="1351">
        <f t="shared" si="241"/>
        <v>0</v>
      </c>
      <c r="F789" s="1353">
        <f t="shared" si="242"/>
        <v>0</v>
      </c>
      <c r="G789" s="1353">
        <f t="shared" si="243"/>
        <v>0</v>
      </c>
      <c r="H789" s="1353">
        <f t="shared" si="244"/>
        <v>0</v>
      </c>
      <c r="I789" s="1353">
        <f t="shared" si="245"/>
        <v>0</v>
      </c>
      <c r="J789" s="1353">
        <f t="shared" si="246"/>
        <v>0</v>
      </c>
      <c r="M789" s="1324" t="str">
        <f t="shared" si="247"/>
        <v>Senior Citizen Services and Programs Salaries &amp; Wages</v>
      </c>
      <c r="N789" s="1368">
        <f t="shared" si="248"/>
        <v>0</v>
      </c>
      <c r="O789" s="1368">
        <f t="shared" si="253"/>
        <v>0</v>
      </c>
      <c r="P789" s="1368">
        <f t="shared" si="253"/>
        <v>0</v>
      </c>
      <c r="Q789" s="1368">
        <f t="shared" si="253"/>
        <v>0</v>
      </c>
      <c r="R789" s="1368">
        <f t="shared" si="253"/>
        <v>0</v>
      </c>
      <c r="T789" s="1369">
        <v>0.02</v>
      </c>
      <c r="U789" s="1369">
        <v>0.02</v>
      </c>
      <c r="V789" s="1369">
        <v>0.02</v>
      </c>
      <c r="W789" s="1369">
        <v>0.02</v>
      </c>
      <c r="X789" s="1369">
        <v>0.02</v>
      </c>
      <c r="Y789" s="1367"/>
      <c r="Z789" s="1370">
        <v>0</v>
      </c>
      <c r="AA789" s="1370">
        <v>0</v>
      </c>
      <c r="AB789" s="1370">
        <v>0</v>
      </c>
      <c r="AC789" s="1370">
        <v>0</v>
      </c>
      <c r="AD789" s="1370">
        <v>0</v>
      </c>
      <c r="AK789" s="1354">
        <f t="shared" si="238"/>
        <v>0</v>
      </c>
      <c r="AL789" s="1352">
        <f t="shared" si="250"/>
        <v>53</v>
      </c>
      <c r="AM789" s="1354">
        <f t="shared" si="252"/>
        <v>0</v>
      </c>
      <c r="AN789" s="1352" t="str">
        <f t="shared" si="251"/>
        <v>Senior Citizen Services and Programs Salaries &amp; Wages</v>
      </c>
    </row>
    <row r="790" spans="1:40" x14ac:dyDescent="0.2">
      <c r="A790" s="1324" t="str">
        <f>A789</f>
        <v>27-365</v>
      </c>
      <c r="B790" s="1324" t="s">
        <v>5911</v>
      </c>
      <c r="C790" s="1353">
        <f>'Key Metrics'!$D$281</f>
        <v>0</v>
      </c>
      <c r="D790" s="1353">
        <f>'Key Metrics'!$H$281</f>
        <v>0</v>
      </c>
      <c r="E790" s="1351">
        <f t="shared" si="241"/>
        <v>0</v>
      </c>
      <c r="F790" s="1353">
        <f t="shared" si="242"/>
        <v>0</v>
      </c>
      <c r="G790" s="1353">
        <f t="shared" si="243"/>
        <v>0</v>
      </c>
      <c r="H790" s="1353">
        <f t="shared" si="244"/>
        <v>0</v>
      </c>
      <c r="I790" s="1353">
        <f t="shared" si="245"/>
        <v>0</v>
      </c>
      <c r="J790" s="1353">
        <f t="shared" si="246"/>
        <v>0</v>
      </c>
      <c r="M790" s="1324" t="str">
        <f t="shared" si="247"/>
        <v>Senior Citizen Services and Programs Other Expenses</v>
      </c>
      <c r="N790" s="1368">
        <f t="shared" si="248"/>
        <v>0</v>
      </c>
      <c r="O790" s="1368">
        <f t="shared" si="253"/>
        <v>0</v>
      </c>
      <c r="P790" s="1368">
        <f t="shared" si="253"/>
        <v>0</v>
      </c>
      <c r="Q790" s="1368">
        <f t="shared" si="253"/>
        <v>0</v>
      </c>
      <c r="R790" s="1368">
        <f t="shared" si="253"/>
        <v>0</v>
      </c>
      <c r="T790" s="1369">
        <v>0.02</v>
      </c>
      <c r="U790" s="1369">
        <v>0.02</v>
      </c>
      <c r="V790" s="1369">
        <v>0.02</v>
      </c>
      <c r="W790" s="1369">
        <v>0.02</v>
      </c>
      <c r="X790" s="1369">
        <v>0.02</v>
      </c>
      <c r="Y790" s="1367"/>
      <c r="Z790" s="1370">
        <v>0</v>
      </c>
      <c r="AA790" s="1370">
        <v>0</v>
      </c>
      <c r="AB790" s="1370">
        <v>0</v>
      </c>
      <c r="AC790" s="1370">
        <v>0</v>
      </c>
      <c r="AD790" s="1370">
        <v>0</v>
      </c>
      <c r="AK790" s="1354">
        <f t="shared" si="238"/>
        <v>0</v>
      </c>
      <c r="AL790" s="1352">
        <f t="shared" si="250"/>
        <v>53</v>
      </c>
      <c r="AM790" s="1354">
        <f t="shared" si="252"/>
        <v>0</v>
      </c>
      <c r="AN790" s="1352" t="str">
        <f t="shared" si="251"/>
        <v>Senior Citizen Services and Programs Other Expenses</v>
      </c>
    </row>
    <row r="791" spans="1:40" x14ac:dyDescent="0.2">
      <c r="A791" s="1324" t="str">
        <f>A790</f>
        <v>27-365</v>
      </c>
      <c r="B791" s="1324" t="s">
        <v>5912</v>
      </c>
      <c r="C791" s="1353">
        <f>'Key Metrics'!$E$281</f>
        <v>0</v>
      </c>
      <c r="D791" s="1353">
        <f>'Key Metrics'!$I$281</f>
        <v>0</v>
      </c>
      <c r="E791" s="1351">
        <f t="shared" si="241"/>
        <v>0</v>
      </c>
      <c r="F791" s="1353">
        <f t="shared" si="242"/>
        <v>0</v>
      </c>
      <c r="G791" s="1353">
        <f t="shared" si="243"/>
        <v>0</v>
      </c>
      <c r="H791" s="1353">
        <f t="shared" si="244"/>
        <v>0</v>
      </c>
      <c r="I791" s="1353">
        <f t="shared" si="245"/>
        <v>0</v>
      </c>
      <c r="J791" s="1353">
        <f t="shared" si="246"/>
        <v>0</v>
      </c>
      <c r="M791" s="1324" t="str">
        <f t="shared" si="247"/>
        <v>Senior Citizen Services and Programs Unclassified</v>
      </c>
      <c r="N791" s="1368">
        <f t="shared" si="248"/>
        <v>0</v>
      </c>
      <c r="O791" s="1368">
        <f>N791</f>
        <v>0</v>
      </c>
      <c r="P791" s="1368">
        <f>O791</f>
        <v>0</v>
      </c>
      <c r="Q791" s="1368">
        <f>P791</f>
        <v>0</v>
      </c>
      <c r="R791" s="1368">
        <f>Q791</f>
        <v>0</v>
      </c>
      <c r="T791" s="1369">
        <v>0.02</v>
      </c>
      <c r="U791" s="1369">
        <v>0.02</v>
      </c>
      <c r="V791" s="1369">
        <v>0.02</v>
      </c>
      <c r="W791" s="1369">
        <v>0.02</v>
      </c>
      <c r="X791" s="1369">
        <v>0.02</v>
      </c>
      <c r="Y791" s="1367"/>
      <c r="Z791" s="1370">
        <v>0</v>
      </c>
      <c r="AA791" s="1370">
        <v>0</v>
      </c>
      <c r="AB791" s="1370">
        <v>0</v>
      </c>
      <c r="AC791" s="1370">
        <v>0</v>
      </c>
      <c r="AD791" s="1370">
        <v>0</v>
      </c>
      <c r="AK791" s="1354">
        <f t="shared" ref="AK791:AK854" si="254">SUM(C791:D791,F791:J791)</f>
        <v>0</v>
      </c>
      <c r="AL791" s="1352">
        <f t="shared" si="250"/>
        <v>53</v>
      </c>
      <c r="AM791" s="1354">
        <f t="shared" si="252"/>
        <v>0</v>
      </c>
      <c r="AN791" s="1352" t="str">
        <f t="shared" si="251"/>
        <v>Senior Citizen Services and Programs Unclassified</v>
      </c>
    </row>
    <row r="792" spans="1:40" x14ac:dyDescent="0.2">
      <c r="B792" s="1373" t="s">
        <v>5624</v>
      </c>
      <c r="C792" s="1360">
        <f>SUM(C759:C791)</f>
        <v>6313</v>
      </c>
      <c r="D792" s="1360">
        <f>SUM(D759:D791)</f>
        <v>7055.6</v>
      </c>
      <c r="E792" s="1356">
        <f t="shared" si="241"/>
        <v>0.11763028670996367</v>
      </c>
      <c r="F792" s="1360">
        <f>SUM(F759:F791)</f>
        <v>7204.7119999999995</v>
      </c>
      <c r="G792" s="1360">
        <f>SUM(G759:G791)</f>
        <v>7348.8062399999999</v>
      </c>
      <c r="H792" s="1360">
        <f>SUM(H759:H791)</f>
        <v>7495.7823648000003</v>
      </c>
      <c r="I792" s="1360">
        <f>SUM(I759:I791)</f>
        <v>7645.6980120960006</v>
      </c>
      <c r="J792" s="1360">
        <f>SUM(J759:J791)</f>
        <v>7798.6119723379206</v>
      </c>
      <c r="N792" s="1328"/>
      <c r="O792" s="1328"/>
      <c r="P792" s="1328"/>
      <c r="Q792" s="1328"/>
      <c r="R792" s="1328"/>
      <c r="T792" s="1371"/>
      <c r="U792" s="1371"/>
      <c r="V792" s="1371"/>
      <c r="W792" s="1371"/>
      <c r="X792" s="1371"/>
      <c r="Y792" s="1367"/>
      <c r="Z792" s="1372"/>
      <c r="AA792" s="1372"/>
      <c r="AB792" s="1372"/>
      <c r="AC792" s="1372"/>
      <c r="AD792" s="1372"/>
      <c r="AK792" s="1354"/>
      <c r="AL792" s="1352"/>
      <c r="AM792" s="1354"/>
      <c r="AN792" s="1352"/>
    </row>
    <row r="793" spans="1:40" x14ac:dyDescent="0.2">
      <c r="E793" s="1351"/>
      <c r="N793" s="1328"/>
      <c r="O793" s="1328"/>
      <c r="P793" s="1328"/>
      <c r="Q793" s="1328"/>
      <c r="R793" s="1328"/>
      <c r="T793" s="1371"/>
      <c r="U793" s="1371"/>
      <c r="V793" s="1371"/>
      <c r="W793" s="1371"/>
      <c r="X793" s="1371"/>
      <c r="Y793" s="1367"/>
      <c r="Z793" s="1372"/>
      <c r="AA793" s="1372"/>
      <c r="AB793" s="1372"/>
      <c r="AC793" s="1372"/>
      <c r="AD793" s="1372"/>
      <c r="AK793" s="1354"/>
      <c r="AL793" s="1352"/>
      <c r="AM793" s="1354"/>
      <c r="AN793" s="1352"/>
    </row>
    <row r="794" spans="1:40" ht="15" x14ac:dyDescent="0.25">
      <c r="A794" s="1364" t="s">
        <v>5445</v>
      </c>
      <c r="B794" s="1365"/>
      <c r="C794" s="1365"/>
      <c r="D794" s="1365"/>
      <c r="E794" s="1380"/>
      <c r="F794" s="1365"/>
      <c r="G794" s="1365"/>
      <c r="H794" s="1365"/>
      <c r="I794" s="1365"/>
      <c r="J794" s="1365"/>
      <c r="M794" s="1381" t="str">
        <f>A794</f>
        <v>Recreation</v>
      </c>
      <c r="N794" s="1364"/>
      <c r="O794" s="1364"/>
      <c r="P794" s="1364"/>
      <c r="Q794" s="1364"/>
      <c r="R794" s="1364"/>
      <c r="S794" s="1365"/>
      <c r="T794" s="1389"/>
      <c r="U794" s="1389"/>
      <c r="V794" s="1389"/>
      <c r="W794" s="1389"/>
      <c r="X794" s="1389"/>
      <c r="Y794" s="1390"/>
      <c r="Z794" s="1391"/>
      <c r="AA794" s="1391"/>
      <c r="AB794" s="1391"/>
      <c r="AC794" s="1391"/>
      <c r="AD794" s="1391"/>
      <c r="AK794" s="1354"/>
      <c r="AL794" s="1352"/>
      <c r="AM794" s="1354"/>
      <c r="AN794" s="1352"/>
    </row>
    <row r="795" spans="1:40" x14ac:dyDescent="0.2">
      <c r="A795" s="1324" t="s">
        <v>5189</v>
      </c>
      <c r="B795" s="1324" t="s">
        <v>5704</v>
      </c>
      <c r="C795" s="1353">
        <f>'Key Metrics'!$C$285</f>
        <v>0</v>
      </c>
      <c r="D795" s="1353">
        <f>'Key Metrics'!$G$285</f>
        <v>0</v>
      </c>
      <c r="E795" s="1351">
        <f t="shared" ref="E795:E816" si="255">IFERROR(D795/C795-1,0)</f>
        <v>0</v>
      </c>
      <c r="F795" s="1353">
        <f t="shared" ref="F795:F815" si="256">IFERROR(IF($I$3=1,D795*(1+N795),IF($I$3=2,D795*(1+T795),IF($I$3=3,Z795,"--"))),0)</f>
        <v>0</v>
      </c>
      <c r="G795" s="1353">
        <f t="shared" ref="G795:G815" si="257">IFERROR(IF($I$3=1,F795*(1+O795),IF($I$3=2,F795*(1+U795),IF($I$3=3,AA795,"--"))),0)</f>
        <v>0</v>
      </c>
      <c r="H795" s="1353">
        <f t="shared" ref="H795:H815" si="258">IFERROR(IF($I$3=1,G795*(1+P795),IF($I$3=2,G795*(1+V795),IF($I$3=3,AB795,"--"))),0)</f>
        <v>0</v>
      </c>
      <c r="I795" s="1353">
        <f t="shared" ref="I795:I815" si="259">IFERROR(IF($I$3=1,H795*(1+Q795),IF($I$3=2,H795*(1+W795),IF($I$3=3,AC795,"--"))),0)</f>
        <v>0</v>
      </c>
      <c r="J795" s="1353">
        <f t="shared" ref="J795:J815" si="260">IFERROR(IF($I$3=1,I795*(1+R795),IF($I$3=2,I795*(1+X795),IF($I$3=3,AD795,"--"))),0)</f>
        <v>0</v>
      </c>
      <c r="M795" s="1324" t="str">
        <f t="shared" ref="M795:M815" si="261">B795</f>
        <v>Recreation Services and Programs Salaries &amp; Wages</v>
      </c>
      <c r="N795" s="1368">
        <f t="shared" ref="N795:N815" si="262">E795</f>
        <v>0</v>
      </c>
      <c r="O795" s="1368">
        <f t="shared" ref="O795:R810" si="263">N795</f>
        <v>0</v>
      </c>
      <c r="P795" s="1368">
        <f t="shared" si="263"/>
        <v>0</v>
      </c>
      <c r="Q795" s="1368">
        <f t="shared" si="263"/>
        <v>0</v>
      </c>
      <c r="R795" s="1368">
        <f t="shared" si="263"/>
        <v>0</v>
      </c>
      <c r="T795" s="1369">
        <v>0.02</v>
      </c>
      <c r="U795" s="1369">
        <v>0.02</v>
      </c>
      <c r="V795" s="1369">
        <v>0.02</v>
      </c>
      <c r="W795" s="1369">
        <v>0.02</v>
      </c>
      <c r="X795" s="1369">
        <v>0.02</v>
      </c>
      <c r="Y795" s="1367"/>
      <c r="Z795" s="1370">
        <v>0</v>
      </c>
      <c r="AA795" s="1370">
        <v>0</v>
      </c>
      <c r="AB795" s="1370">
        <v>0</v>
      </c>
      <c r="AC795" s="1370">
        <v>0</v>
      </c>
      <c r="AD795" s="1370">
        <v>0</v>
      </c>
      <c r="AK795" s="1354">
        <f t="shared" si="254"/>
        <v>0</v>
      </c>
      <c r="AL795" s="1352">
        <f t="shared" ref="AL795:AL815" si="264">RANK(AM795,$AM$504:$AM$1172,0)</f>
        <v>53</v>
      </c>
      <c r="AM795" s="1354">
        <f t="shared" si="252"/>
        <v>0</v>
      </c>
      <c r="AN795" s="1352" t="str">
        <f t="shared" si="251"/>
        <v>Recreation Services and Programs Salaries &amp; Wages</v>
      </c>
    </row>
    <row r="796" spans="1:40" x14ac:dyDescent="0.2">
      <c r="A796" s="1324" t="str">
        <f>A795</f>
        <v>28-370</v>
      </c>
      <c r="B796" s="1324" t="s">
        <v>5913</v>
      </c>
      <c r="C796" s="1353">
        <f>'Key Metrics'!$D$285</f>
        <v>0</v>
      </c>
      <c r="D796" s="1353">
        <f>'Key Metrics'!$H$285</f>
        <v>100</v>
      </c>
      <c r="E796" s="1351">
        <f t="shared" si="255"/>
        <v>0</v>
      </c>
      <c r="F796" s="1353">
        <f t="shared" si="256"/>
        <v>102</v>
      </c>
      <c r="G796" s="1353">
        <f t="shared" si="257"/>
        <v>104.04</v>
      </c>
      <c r="H796" s="1353">
        <f t="shared" si="258"/>
        <v>106.1208</v>
      </c>
      <c r="I796" s="1353">
        <f t="shared" si="259"/>
        <v>108.243216</v>
      </c>
      <c r="J796" s="1353">
        <f t="shared" si="260"/>
        <v>110.40808032000001</v>
      </c>
      <c r="M796" s="1324" t="str">
        <f t="shared" si="261"/>
        <v>Recreation Services and Programs Other Expenses</v>
      </c>
      <c r="N796" s="1368">
        <f t="shared" si="262"/>
        <v>0</v>
      </c>
      <c r="O796" s="1368">
        <f t="shared" si="263"/>
        <v>0</v>
      </c>
      <c r="P796" s="1368">
        <f t="shared" si="263"/>
        <v>0</v>
      </c>
      <c r="Q796" s="1368">
        <f t="shared" si="263"/>
        <v>0</v>
      </c>
      <c r="R796" s="1368">
        <f t="shared" si="263"/>
        <v>0</v>
      </c>
      <c r="T796" s="1369">
        <v>0.02</v>
      </c>
      <c r="U796" s="1369">
        <v>0.02</v>
      </c>
      <c r="V796" s="1369">
        <v>0.02</v>
      </c>
      <c r="W796" s="1369">
        <v>0.02</v>
      </c>
      <c r="X796" s="1369">
        <v>0.02</v>
      </c>
      <c r="Y796" s="1367"/>
      <c r="Z796" s="1370">
        <v>0</v>
      </c>
      <c r="AA796" s="1370">
        <v>0</v>
      </c>
      <c r="AB796" s="1370">
        <v>0</v>
      </c>
      <c r="AC796" s="1370">
        <v>0</v>
      </c>
      <c r="AD796" s="1370">
        <v>0</v>
      </c>
      <c r="AK796" s="1354">
        <f t="shared" si="254"/>
        <v>630.81209631999991</v>
      </c>
      <c r="AL796" s="1352">
        <f t="shared" si="264"/>
        <v>44</v>
      </c>
      <c r="AM796" s="1354">
        <f t="shared" si="252"/>
        <v>10.40808032000001</v>
      </c>
      <c r="AN796" s="1352" t="str">
        <f t="shared" si="251"/>
        <v>Recreation Services and Programs Other Expenses</v>
      </c>
    </row>
    <row r="797" spans="1:40" x14ac:dyDescent="0.2">
      <c r="A797" s="1324" t="str">
        <f>A796</f>
        <v>28-370</v>
      </c>
      <c r="B797" s="1324" t="s">
        <v>5914</v>
      </c>
      <c r="C797" s="1353">
        <f>'Key Metrics'!$E$285</f>
        <v>0</v>
      </c>
      <c r="D797" s="1353">
        <f>'Key Metrics'!$I$285</f>
        <v>0</v>
      </c>
      <c r="E797" s="1351">
        <f t="shared" si="255"/>
        <v>0</v>
      </c>
      <c r="F797" s="1353">
        <f t="shared" si="256"/>
        <v>0</v>
      </c>
      <c r="G797" s="1353">
        <f t="shared" si="257"/>
        <v>0</v>
      </c>
      <c r="H797" s="1353">
        <f t="shared" si="258"/>
        <v>0</v>
      </c>
      <c r="I797" s="1353">
        <f t="shared" si="259"/>
        <v>0</v>
      </c>
      <c r="J797" s="1353">
        <f t="shared" si="260"/>
        <v>0</v>
      </c>
      <c r="M797" s="1324" t="str">
        <f t="shared" si="261"/>
        <v>Recreation Services and Programs Unclassified</v>
      </c>
      <c r="N797" s="1368">
        <f t="shared" si="262"/>
        <v>0</v>
      </c>
      <c r="O797" s="1368">
        <f t="shared" si="263"/>
        <v>0</v>
      </c>
      <c r="P797" s="1368">
        <f t="shared" si="263"/>
        <v>0</v>
      </c>
      <c r="Q797" s="1368">
        <f t="shared" si="263"/>
        <v>0</v>
      </c>
      <c r="R797" s="1368">
        <f t="shared" si="263"/>
        <v>0</v>
      </c>
      <c r="T797" s="1369">
        <v>0.02</v>
      </c>
      <c r="U797" s="1369">
        <v>0.02</v>
      </c>
      <c r="V797" s="1369">
        <v>0.02</v>
      </c>
      <c r="W797" s="1369">
        <v>0.02</v>
      </c>
      <c r="X797" s="1369">
        <v>0.02</v>
      </c>
      <c r="Y797" s="1367"/>
      <c r="Z797" s="1370">
        <v>0</v>
      </c>
      <c r="AA797" s="1370">
        <v>0</v>
      </c>
      <c r="AB797" s="1370">
        <v>0</v>
      </c>
      <c r="AC797" s="1370">
        <v>0</v>
      </c>
      <c r="AD797" s="1370">
        <v>0</v>
      </c>
      <c r="AK797" s="1354">
        <f t="shared" si="254"/>
        <v>0</v>
      </c>
      <c r="AL797" s="1352">
        <f t="shared" si="264"/>
        <v>53</v>
      </c>
      <c r="AM797" s="1354">
        <f t="shared" si="252"/>
        <v>0</v>
      </c>
      <c r="AN797" s="1352" t="str">
        <f t="shared" si="251"/>
        <v>Recreation Services and Programs Unclassified</v>
      </c>
    </row>
    <row r="798" spans="1:40" x14ac:dyDescent="0.2">
      <c r="A798" s="1324" t="s">
        <v>5190</v>
      </c>
      <c r="B798" s="1324" t="s">
        <v>5705</v>
      </c>
      <c r="C798" s="1353">
        <f>'Key Metrics'!$C$287</f>
        <v>0</v>
      </c>
      <c r="D798" s="1353">
        <f>'Key Metrics'!$G$287</f>
        <v>0</v>
      </c>
      <c r="E798" s="1351">
        <f t="shared" si="255"/>
        <v>0</v>
      </c>
      <c r="F798" s="1353">
        <f t="shared" si="256"/>
        <v>0</v>
      </c>
      <c r="G798" s="1353">
        <f t="shared" si="257"/>
        <v>0</v>
      </c>
      <c r="H798" s="1353">
        <f t="shared" si="258"/>
        <v>0</v>
      </c>
      <c r="I798" s="1353">
        <f t="shared" si="259"/>
        <v>0</v>
      </c>
      <c r="J798" s="1353">
        <f t="shared" si="260"/>
        <v>0</v>
      </c>
      <c r="M798" s="1324" t="str">
        <f t="shared" si="261"/>
        <v>"User Defined" Recreation Salaries &amp; Wages</v>
      </c>
      <c r="N798" s="1368">
        <f t="shared" si="262"/>
        <v>0</v>
      </c>
      <c r="O798" s="1368">
        <f t="shared" si="263"/>
        <v>0</v>
      </c>
      <c r="P798" s="1368">
        <f t="shared" si="263"/>
        <v>0</v>
      </c>
      <c r="Q798" s="1368">
        <f t="shared" si="263"/>
        <v>0</v>
      </c>
      <c r="R798" s="1368">
        <f t="shared" si="263"/>
        <v>0</v>
      </c>
      <c r="T798" s="1369">
        <v>0.02</v>
      </c>
      <c r="U798" s="1369">
        <v>0.02</v>
      </c>
      <c r="V798" s="1369">
        <v>0.02</v>
      </c>
      <c r="W798" s="1369">
        <v>0.02</v>
      </c>
      <c r="X798" s="1369">
        <v>0.02</v>
      </c>
      <c r="Y798" s="1367"/>
      <c r="Z798" s="1370">
        <v>0</v>
      </c>
      <c r="AA798" s="1370">
        <v>0</v>
      </c>
      <c r="AB798" s="1370">
        <v>0</v>
      </c>
      <c r="AC798" s="1370">
        <v>0</v>
      </c>
      <c r="AD798" s="1370">
        <v>0</v>
      </c>
      <c r="AK798" s="1354">
        <f t="shared" si="254"/>
        <v>0</v>
      </c>
      <c r="AL798" s="1352">
        <f t="shared" si="264"/>
        <v>53</v>
      </c>
      <c r="AM798" s="1354">
        <f t="shared" si="252"/>
        <v>0</v>
      </c>
      <c r="AN798" s="1352" t="str">
        <f t="shared" si="251"/>
        <v>"User Defined" Recreation Salaries &amp; Wages</v>
      </c>
    </row>
    <row r="799" spans="1:40" x14ac:dyDescent="0.2">
      <c r="A799" s="1324" t="str">
        <f>A798</f>
        <v>28-371</v>
      </c>
      <c r="B799" s="1324" t="s">
        <v>5915</v>
      </c>
      <c r="C799" s="1353">
        <f>'Key Metrics'!$D$287</f>
        <v>0</v>
      </c>
      <c r="D799" s="1353">
        <f>'Key Metrics'!$H$287</f>
        <v>0</v>
      </c>
      <c r="E799" s="1351">
        <f t="shared" si="255"/>
        <v>0</v>
      </c>
      <c r="F799" s="1353">
        <f t="shared" si="256"/>
        <v>0</v>
      </c>
      <c r="G799" s="1353">
        <f t="shared" si="257"/>
        <v>0</v>
      </c>
      <c r="H799" s="1353">
        <f t="shared" si="258"/>
        <v>0</v>
      </c>
      <c r="I799" s="1353">
        <f t="shared" si="259"/>
        <v>0</v>
      </c>
      <c r="J799" s="1353">
        <f t="shared" si="260"/>
        <v>0</v>
      </c>
      <c r="M799" s="1324" t="str">
        <f t="shared" si="261"/>
        <v>"User Defined" Recreation Other Expenses</v>
      </c>
      <c r="N799" s="1368">
        <f t="shared" si="262"/>
        <v>0</v>
      </c>
      <c r="O799" s="1368">
        <f t="shared" si="263"/>
        <v>0</v>
      </c>
      <c r="P799" s="1368">
        <f t="shared" si="263"/>
        <v>0</v>
      </c>
      <c r="Q799" s="1368">
        <f t="shared" si="263"/>
        <v>0</v>
      </c>
      <c r="R799" s="1368">
        <f t="shared" si="263"/>
        <v>0</v>
      </c>
      <c r="T799" s="1369">
        <v>0.02</v>
      </c>
      <c r="U799" s="1369">
        <v>0.02</v>
      </c>
      <c r="V799" s="1369">
        <v>0.02</v>
      </c>
      <c r="W799" s="1369">
        <v>0.02</v>
      </c>
      <c r="X799" s="1369">
        <v>0.02</v>
      </c>
      <c r="Y799" s="1367"/>
      <c r="Z799" s="1370">
        <v>0</v>
      </c>
      <c r="AA799" s="1370">
        <v>0</v>
      </c>
      <c r="AB799" s="1370">
        <v>0</v>
      </c>
      <c r="AC799" s="1370">
        <v>0</v>
      </c>
      <c r="AD799" s="1370">
        <v>0</v>
      </c>
      <c r="AK799" s="1354">
        <f t="shared" si="254"/>
        <v>0</v>
      </c>
      <c r="AL799" s="1352">
        <f t="shared" si="264"/>
        <v>53</v>
      </c>
      <c r="AM799" s="1354">
        <f t="shared" si="252"/>
        <v>0</v>
      </c>
      <c r="AN799" s="1352" t="str">
        <f t="shared" si="251"/>
        <v>"User Defined" Recreation Other Expenses</v>
      </c>
    </row>
    <row r="800" spans="1:40" x14ac:dyDescent="0.2">
      <c r="A800" s="1324" t="str">
        <f>A799</f>
        <v>28-371</v>
      </c>
      <c r="B800" s="1324" t="s">
        <v>5916</v>
      </c>
      <c r="C800" s="1353">
        <f>'Key Metrics'!$E$287</f>
        <v>0</v>
      </c>
      <c r="D800" s="1353">
        <f>'Key Metrics'!$I$287</f>
        <v>0</v>
      </c>
      <c r="E800" s="1351">
        <f t="shared" si="255"/>
        <v>0</v>
      </c>
      <c r="F800" s="1353">
        <f t="shared" si="256"/>
        <v>0</v>
      </c>
      <c r="G800" s="1353">
        <f t="shared" si="257"/>
        <v>0</v>
      </c>
      <c r="H800" s="1353">
        <f t="shared" si="258"/>
        <v>0</v>
      </c>
      <c r="I800" s="1353">
        <f t="shared" si="259"/>
        <v>0</v>
      </c>
      <c r="J800" s="1353">
        <f t="shared" si="260"/>
        <v>0</v>
      </c>
      <c r="M800" s="1324" t="str">
        <f t="shared" si="261"/>
        <v>"User Defined" Recreation Unclassified</v>
      </c>
      <c r="N800" s="1368">
        <f t="shared" si="262"/>
        <v>0</v>
      </c>
      <c r="O800" s="1368">
        <f t="shared" si="263"/>
        <v>0</v>
      </c>
      <c r="P800" s="1368">
        <f t="shared" si="263"/>
        <v>0</v>
      </c>
      <c r="Q800" s="1368">
        <f t="shared" si="263"/>
        <v>0</v>
      </c>
      <c r="R800" s="1368">
        <f t="shared" si="263"/>
        <v>0</v>
      </c>
      <c r="T800" s="1369">
        <v>0.02</v>
      </c>
      <c r="U800" s="1369">
        <v>0.02</v>
      </c>
      <c r="V800" s="1369">
        <v>0.02</v>
      </c>
      <c r="W800" s="1369">
        <v>0.02</v>
      </c>
      <c r="X800" s="1369">
        <v>0.02</v>
      </c>
      <c r="Y800" s="1367"/>
      <c r="Z800" s="1370">
        <v>0</v>
      </c>
      <c r="AA800" s="1370">
        <v>0</v>
      </c>
      <c r="AB800" s="1370">
        <v>0</v>
      </c>
      <c r="AC800" s="1370">
        <v>0</v>
      </c>
      <c r="AD800" s="1370">
        <v>0</v>
      </c>
      <c r="AK800" s="1354">
        <f t="shared" si="254"/>
        <v>0</v>
      </c>
      <c r="AL800" s="1352">
        <f t="shared" si="264"/>
        <v>53</v>
      </c>
      <c r="AM800" s="1354">
        <f t="shared" si="252"/>
        <v>0</v>
      </c>
      <c r="AN800" s="1352" t="str">
        <f t="shared" si="251"/>
        <v>"User Defined" Recreation Unclassified</v>
      </c>
    </row>
    <row r="801" spans="1:40" x14ac:dyDescent="0.2">
      <c r="A801" s="1324" t="s">
        <v>5191</v>
      </c>
      <c r="B801" s="1324" t="s">
        <v>5705</v>
      </c>
      <c r="C801" s="1353">
        <f>'Key Metrics'!$C$288</f>
        <v>0</v>
      </c>
      <c r="D801" s="1353">
        <f>'Key Metrics'!$G$288</f>
        <v>0</v>
      </c>
      <c r="E801" s="1351">
        <f t="shared" si="255"/>
        <v>0</v>
      </c>
      <c r="F801" s="1353">
        <f t="shared" si="256"/>
        <v>0</v>
      </c>
      <c r="G801" s="1353">
        <f t="shared" si="257"/>
        <v>0</v>
      </c>
      <c r="H801" s="1353">
        <f t="shared" si="258"/>
        <v>0</v>
      </c>
      <c r="I801" s="1353">
        <f t="shared" si="259"/>
        <v>0</v>
      </c>
      <c r="J801" s="1353">
        <f t="shared" si="260"/>
        <v>0</v>
      </c>
      <c r="M801" s="1324" t="str">
        <f t="shared" si="261"/>
        <v>"User Defined" Recreation Salaries &amp; Wages</v>
      </c>
      <c r="N801" s="1368">
        <f t="shared" si="262"/>
        <v>0</v>
      </c>
      <c r="O801" s="1368">
        <f t="shared" si="263"/>
        <v>0</v>
      </c>
      <c r="P801" s="1368">
        <f t="shared" si="263"/>
        <v>0</v>
      </c>
      <c r="Q801" s="1368">
        <f t="shared" si="263"/>
        <v>0</v>
      </c>
      <c r="R801" s="1368">
        <f t="shared" si="263"/>
        <v>0</v>
      </c>
      <c r="T801" s="1369">
        <v>0.02</v>
      </c>
      <c r="U801" s="1369">
        <v>0.02</v>
      </c>
      <c r="V801" s="1369">
        <v>0.02</v>
      </c>
      <c r="W801" s="1369">
        <v>0.02</v>
      </c>
      <c r="X801" s="1369">
        <v>0.02</v>
      </c>
      <c r="Y801" s="1367"/>
      <c r="Z801" s="1370">
        <v>0</v>
      </c>
      <c r="AA801" s="1370">
        <v>0</v>
      </c>
      <c r="AB801" s="1370">
        <v>0</v>
      </c>
      <c r="AC801" s="1370">
        <v>0</v>
      </c>
      <c r="AD801" s="1370">
        <v>0</v>
      </c>
      <c r="AK801" s="1354">
        <f t="shared" si="254"/>
        <v>0</v>
      </c>
      <c r="AL801" s="1352">
        <f t="shared" si="264"/>
        <v>53</v>
      </c>
      <c r="AM801" s="1354">
        <f t="shared" si="252"/>
        <v>0</v>
      </c>
      <c r="AN801" s="1352" t="str">
        <f t="shared" si="251"/>
        <v>"User Defined" Recreation Salaries &amp; Wages</v>
      </c>
    </row>
    <row r="802" spans="1:40" x14ac:dyDescent="0.2">
      <c r="A802" s="1324" t="str">
        <f>A801</f>
        <v>28-372</v>
      </c>
      <c r="B802" s="1324" t="s">
        <v>5915</v>
      </c>
      <c r="C802" s="1353">
        <f>'Key Metrics'!$D$288</f>
        <v>0</v>
      </c>
      <c r="D802" s="1353">
        <f>'Key Metrics'!$H$288</f>
        <v>0</v>
      </c>
      <c r="E802" s="1351">
        <f t="shared" si="255"/>
        <v>0</v>
      </c>
      <c r="F802" s="1353">
        <f t="shared" si="256"/>
        <v>0</v>
      </c>
      <c r="G802" s="1353">
        <f t="shared" si="257"/>
        <v>0</v>
      </c>
      <c r="H802" s="1353">
        <f t="shared" si="258"/>
        <v>0</v>
      </c>
      <c r="I802" s="1353">
        <f t="shared" si="259"/>
        <v>0</v>
      </c>
      <c r="J802" s="1353">
        <f t="shared" si="260"/>
        <v>0</v>
      </c>
      <c r="M802" s="1324" t="str">
        <f t="shared" si="261"/>
        <v>"User Defined" Recreation Other Expenses</v>
      </c>
      <c r="N802" s="1368">
        <f t="shared" si="262"/>
        <v>0</v>
      </c>
      <c r="O802" s="1368">
        <f t="shared" si="263"/>
        <v>0</v>
      </c>
      <c r="P802" s="1368">
        <f t="shared" si="263"/>
        <v>0</v>
      </c>
      <c r="Q802" s="1368">
        <f t="shared" si="263"/>
        <v>0</v>
      </c>
      <c r="R802" s="1368">
        <f t="shared" si="263"/>
        <v>0</v>
      </c>
      <c r="T802" s="1369">
        <v>0.02</v>
      </c>
      <c r="U802" s="1369">
        <v>0.02</v>
      </c>
      <c r="V802" s="1369">
        <v>0.02</v>
      </c>
      <c r="W802" s="1369">
        <v>0.02</v>
      </c>
      <c r="X802" s="1369">
        <v>0.02</v>
      </c>
      <c r="Y802" s="1367"/>
      <c r="Z802" s="1370">
        <v>0</v>
      </c>
      <c r="AA802" s="1370">
        <v>0</v>
      </c>
      <c r="AB802" s="1370">
        <v>0</v>
      </c>
      <c r="AC802" s="1370">
        <v>0</v>
      </c>
      <c r="AD802" s="1370">
        <v>0</v>
      </c>
      <c r="AK802" s="1354">
        <f t="shared" si="254"/>
        <v>0</v>
      </c>
      <c r="AL802" s="1352">
        <f t="shared" si="264"/>
        <v>53</v>
      </c>
      <c r="AM802" s="1354">
        <f t="shared" si="252"/>
        <v>0</v>
      </c>
      <c r="AN802" s="1352" t="str">
        <f t="shared" si="251"/>
        <v>"User Defined" Recreation Other Expenses</v>
      </c>
    </row>
    <row r="803" spans="1:40" x14ac:dyDescent="0.2">
      <c r="A803" s="1324" t="str">
        <f>A802</f>
        <v>28-372</v>
      </c>
      <c r="B803" s="1324" t="s">
        <v>5916</v>
      </c>
      <c r="C803" s="1353">
        <f>'Key Metrics'!$E$288</f>
        <v>0</v>
      </c>
      <c r="D803" s="1353">
        <f>'Key Metrics'!$I$288</f>
        <v>0</v>
      </c>
      <c r="E803" s="1351">
        <f t="shared" si="255"/>
        <v>0</v>
      </c>
      <c r="F803" s="1353">
        <f t="shared" si="256"/>
        <v>0</v>
      </c>
      <c r="G803" s="1353">
        <f t="shared" si="257"/>
        <v>0</v>
      </c>
      <c r="H803" s="1353">
        <f t="shared" si="258"/>
        <v>0</v>
      </c>
      <c r="I803" s="1353">
        <f t="shared" si="259"/>
        <v>0</v>
      </c>
      <c r="J803" s="1353">
        <f t="shared" si="260"/>
        <v>0</v>
      </c>
      <c r="M803" s="1324" t="str">
        <f t="shared" si="261"/>
        <v>"User Defined" Recreation Unclassified</v>
      </c>
      <c r="N803" s="1368">
        <f t="shared" si="262"/>
        <v>0</v>
      </c>
      <c r="O803" s="1368">
        <f t="shared" si="263"/>
        <v>0</v>
      </c>
      <c r="P803" s="1368">
        <f t="shared" si="263"/>
        <v>0</v>
      </c>
      <c r="Q803" s="1368">
        <f t="shared" si="263"/>
        <v>0</v>
      </c>
      <c r="R803" s="1368">
        <f t="shared" si="263"/>
        <v>0</v>
      </c>
      <c r="T803" s="1369">
        <v>0.02</v>
      </c>
      <c r="U803" s="1369">
        <v>0.02</v>
      </c>
      <c r="V803" s="1369">
        <v>0.02</v>
      </c>
      <c r="W803" s="1369">
        <v>0.02</v>
      </c>
      <c r="X803" s="1369">
        <v>0.02</v>
      </c>
      <c r="Y803" s="1367"/>
      <c r="Z803" s="1370">
        <v>0</v>
      </c>
      <c r="AA803" s="1370">
        <v>0</v>
      </c>
      <c r="AB803" s="1370">
        <v>0</v>
      </c>
      <c r="AC803" s="1370">
        <v>0</v>
      </c>
      <c r="AD803" s="1370">
        <v>0</v>
      </c>
      <c r="AK803" s="1354">
        <f t="shared" si="254"/>
        <v>0</v>
      </c>
      <c r="AL803" s="1352">
        <f t="shared" si="264"/>
        <v>53</v>
      </c>
      <c r="AM803" s="1354">
        <f t="shared" si="252"/>
        <v>0</v>
      </c>
      <c r="AN803" s="1352" t="str">
        <f t="shared" si="251"/>
        <v>"User Defined" Recreation Unclassified</v>
      </c>
    </row>
    <row r="804" spans="1:40" x14ac:dyDescent="0.2">
      <c r="A804" s="1324" t="s">
        <v>5192</v>
      </c>
      <c r="B804" s="1324" t="s">
        <v>5705</v>
      </c>
      <c r="C804" s="1353">
        <f>'Key Metrics'!$C$289</f>
        <v>0</v>
      </c>
      <c r="D804" s="1353">
        <f>'Key Metrics'!$G$289</f>
        <v>0</v>
      </c>
      <c r="E804" s="1351">
        <f t="shared" si="255"/>
        <v>0</v>
      </c>
      <c r="F804" s="1353">
        <f t="shared" si="256"/>
        <v>0</v>
      </c>
      <c r="G804" s="1353">
        <f t="shared" si="257"/>
        <v>0</v>
      </c>
      <c r="H804" s="1353">
        <f t="shared" si="258"/>
        <v>0</v>
      </c>
      <c r="I804" s="1353">
        <f t="shared" si="259"/>
        <v>0</v>
      </c>
      <c r="J804" s="1353">
        <f t="shared" si="260"/>
        <v>0</v>
      </c>
      <c r="M804" s="1324" t="str">
        <f t="shared" si="261"/>
        <v>"User Defined" Recreation Salaries &amp; Wages</v>
      </c>
      <c r="N804" s="1368">
        <f t="shared" si="262"/>
        <v>0</v>
      </c>
      <c r="O804" s="1368">
        <f t="shared" si="263"/>
        <v>0</v>
      </c>
      <c r="P804" s="1368">
        <f t="shared" si="263"/>
        <v>0</v>
      </c>
      <c r="Q804" s="1368">
        <f t="shared" si="263"/>
        <v>0</v>
      </c>
      <c r="R804" s="1368">
        <f t="shared" si="263"/>
        <v>0</v>
      </c>
      <c r="T804" s="1369">
        <v>0.02</v>
      </c>
      <c r="U804" s="1369">
        <v>0.02</v>
      </c>
      <c r="V804" s="1369">
        <v>0.02</v>
      </c>
      <c r="W804" s="1369">
        <v>0.02</v>
      </c>
      <c r="X804" s="1369">
        <v>0.02</v>
      </c>
      <c r="Y804" s="1367"/>
      <c r="Z804" s="1370">
        <v>0</v>
      </c>
      <c r="AA804" s="1370">
        <v>0</v>
      </c>
      <c r="AB804" s="1370">
        <v>0</v>
      </c>
      <c r="AC804" s="1370">
        <v>0</v>
      </c>
      <c r="AD804" s="1370">
        <v>0</v>
      </c>
      <c r="AK804" s="1354">
        <f t="shared" si="254"/>
        <v>0</v>
      </c>
      <c r="AL804" s="1352">
        <f t="shared" si="264"/>
        <v>53</v>
      </c>
      <c r="AM804" s="1354">
        <f t="shared" si="252"/>
        <v>0</v>
      </c>
      <c r="AN804" s="1352" t="str">
        <f t="shared" si="251"/>
        <v>"User Defined" Recreation Salaries &amp; Wages</v>
      </c>
    </row>
    <row r="805" spans="1:40" x14ac:dyDescent="0.2">
      <c r="A805" s="1324" t="str">
        <f>A804</f>
        <v>28-373</v>
      </c>
      <c r="B805" s="1324" t="s">
        <v>5915</v>
      </c>
      <c r="C805" s="1353">
        <f>'Key Metrics'!$D$289</f>
        <v>0</v>
      </c>
      <c r="D805" s="1353">
        <f>'Key Metrics'!$H$289</f>
        <v>0</v>
      </c>
      <c r="E805" s="1351">
        <f t="shared" si="255"/>
        <v>0</v>
      </c>
      <c r="F805" s="1353">
        <f t="shared" si="256"/>
        <v>0</v>
      </c>
      <c r="G805" s="1353">
        <f t="shared" si="257"/>
        <v>0</v>
      </c>
      <c r="H805" s="1353">
        <f t="shared" si="258"/>
        <v>0</v>
      </c>
      <c r="I805" s="1353">
        <f t="shared" si="259"/>
        <v>0</v>
      </c>
      <c r="J805" s="1353">
        <f t="shared" si="260"/>
        <v>0</v>
      </c>
      <c r="M805" s="1324" t="str">
        <f t="shared" si="261"/>
        <v>"User Defined" Recreation Other Expenses</v>
      </c>
      <c r="N805" s="1368">
        <f t="shared" si="262"/>
        <v>0</v>
      </c>
      <c r="O805" s="1368">
        <f t="shared" si="263"/>
        <v>0</v>
      </c>
      <c r="P805" s="1368">
        <f t="shared" si="263"/>
        <v>0</v>
      </c>
      <c r="Q805" s="1368">
        <f t="shared" si="263"/>
        <v>0</v>
      </c>
      <c r="R805" s="1368">
        <f t="shared" si="263"/>
        <v>0</v>
      </c>
      <c r="T805" s="1369">
        <v>0.02</v>
      </c>
      <c r="U805" s="1369">
        <v>0.02</v>
      </c>
      <c r="V805" s="1369">
        <v>0.02</v>
      </c>
      <c r="W805" s="1369">
        <v>0.02</v>
      </c>
      <c r="X805" s="1369">
        <v>0.02</v>
      </c>
      <c r="Y805" s="1367"/>
      <c r="Z805" s="1370">
        <v>0</v>
      </c>
      <c r="AA805" s="1370">
        <v>0</v>
      </c>
      <c r="AB805" s="1370">
        <v>0</v>
      </c>
      <c r="AC805" s="1370">
        <v>0</v>
      </c>
      <c r="AD805" s="1370">
        <v>0</v>
      </c>
      <c r="AK805" s="1354">
        <f t="shared" si="254"/>
        <v>0</v>
      </c>
      <c r="AL805" s="1352">
        <f t="shared" si="264"/>
        <v>53</v>
      </c>
      <c r="AM805" s="1354">
        <f t="shared" si="252"/>
        <v>0</v>
      </c>
      <c r="AN805" s="1352" t="str">
        <f t="shared" si="251"/>
        <v>"User Defined" Recreation Other Expenses</v>
      </c>
    </row>
    <row r="806" spans="1:40" x14ac:dyDescent="0.2">
      <c r="A806" s="1324" t="str">
        <f>A805</f>
        <v>28-373</v>
      </c>
      <c r="B806" s="1324" t="s">
        <v>5916</v>
      </c>
      <c r="C806" s="1353">
        <f>'Key Metrics'!$E$289</f>
        <v>0</v>
      </c>
      <c r="D806" s="1353">
        <f>'Key Metrics'!$I$289</f>
        <v>0</v>
      </c>
      <c r="E806" s="1351">
        <f t="shared" si="255"/>
        <v>0</v>
      </c>
      <c r="F806" s="1353">
        <f t="shared" si="256"/>
        <v>0</v>
      </c>
      <c r="G806" s="1353">
        <f t="shared" si="257"/>
        <v>0</v>
      </c>
      <c r="H806" s="1353">
        <f t="shared" si="258"/>
        <v>0</v>
      </c>
      <c r="I806" s="1353">
        <f t="shared" si="259"/>
        <v>0</v>
      </c>
      <c r="J806" s="1353">
        <f t="shared" si="260"/>
        <v>0</v>
      </c>
      <c r="M806" s="1324" t="str">
        <f t="shared" si="261"/>
        <v>"User Defined" Recreation Unclassified</v>
      </c>
      <c r="N806" s="1368">
        <f t="shared" si="262"/>
        <v>0</v>
      </c>
      <c r="O806" s="1368">
        <f t="shared" si="263"/>
        <v>0</v>
      </c>
      <c r="P806" s="1368">
        <f t="shared" si="263"/>
        <v>0</v>
      </c>
      <c r="Q806" s="1368">
        <f t="shared" si="263"/>
        <v>0</v>
      </c>
      <c r="R806" s="1368">
        <f t="shared" si="263"/>
        <v>0</v>
      </c>
      <c r="T806" s="1369">
        <v>0.02</v>
      </c>
      <c r="U806" s="1369">
        <v>0.02</v>
      </c>
      <c r="V806" s="1369">
        <v>0.02</v>
      </c>
      <c r="W806" s="1369">
        <v>0.02</v>
      </c>
      <c r="X806" s="1369">
        <v>0.02</v>
      </c>
      <c r="Y806" s="1367"/>
      <c r="Z806" s="1370">
        <v>0</v>
      </c>
      <c r="AA806" s="1370">
        <v>0</v>
      </c>
      <c r="AB806" s="1370">
        <v>0</v>
      </c>
      <c r="AC806" s="1370">
        <v>0</v>
      </c>
      <c r="AD806" s="1370">
        <v>0</v>
      </c>
      <c r="AK806" s="1354">
        <f t="shared" si="254"/>
        <v>0</v>
      </c>
      <c r="AL806" s="1352">
        <f t="shared" si="264"/>
        <v>53</v>
      </c>
      <c r="AM806" s="1354">
        <f t="shared" si="252"/>
        <v>0</v>
      </c>
      <c r="AN806" s="1352" t="str">
        <f t="shared" si="251"/>
        <v>"User Defined" Recreation Unclassified</v>
      </c>
    </row>
    <row r="807" spans="1:40" x14ac:dyDescent="0.2">
      <c r="A807" s="1324" t="s">
        <v>5193</v>
      </c>
      <c r="B807" s="1324" t="s">
        <v>5705</v>
      </c>
      <c r="C807" s="1353">
        <f>'Key Metrics'!$C$290</f>
        <v>0</v>
      </c>
      <c r="D807" s="1353">
        <f>'Key Metrics'!$G$290</f>
        <v>0</v>
      </c>
      <c r="E807" s="1351">
        <f t="shared" si="255"/>
        <v>0</v>
      </c>
      <c r="F807" s="1353">
        <f t="shared" si="256"/>
        <v>0</v>
      </c>
      <c r="G807" s="1353">
        <f t="shared" si="257"/>
        <v>0</v>
      </c>
      <c r="H807" s="1353">
        <f t="shared" si="258"/>
        <v>0</v>
      </c>
      <c r="I807" s="1353">
        <f t="shared" si="259"/>
        <v>0</v>
      </c>
      <c r="J807" s="1353">
        <f t="shared" si="260"/>
        <v>0</v>
      </c>
      <c r="M807" s="1324" t="str">
        <f t="shared" si="261"/>
        <v>"User Defined" Recreation Salaries &amp; Wages</v>
      </c>
      <c r="N807" s="1368">
        <f t="shared" si="262"/>
        <v>0</v>
      </c>
      <c r="O807" s="1368">
        <f t="shared" si="263"/>
        <v>0</v>
      </c>
      <c r="P807" s="1368">
        <f t="shared" si="263"/>
        <v>0</v>
      </c>
      <c r="Q807" s="1368">
        <f t="shared" si="263"/>
        <v>0</v>
      </c>
      <c r="R807" s="1368">
        <f t="shared" si="263"/>
        <v>0</v>
      </c>
      <c r="T807" s="1369">
        <v>0.02</v>
      </c>
      <c r="U807" s="1369">
        <v>0.02</v>
      </c>
      <c r="V807" s="1369">
        <v>0.02</v>
      </c>
      <c r="W807" s="1369">
        <v>0.02</v>
      </c>
      <c r="X807" s="1369">
        <v>0.02</v>
      </c>
      <c r="Y807" s="1367"/>
      <c r="Z807" s="1370">
        <v>0</v>
      </c>
      <c r="AA807" s="1370">
        <v>0</v>
      </c>
      <c r="AB807" s="1370">
        <v>0</v>
      </c>
      <c r="AC807" s="1370">
        <v>0</v>
      </c>
      <c r="AD807" s="1370">
        <v>0</v>
      </c>
      <c r="AK807" s="1354">
        <f t="shared" si="254"/>
        <v>0</v>
      </c>
      <c r="AL807" s="1352">
        <f t="shared" si="264"/>
        <v>53</v>
      </c>
      <c r="AM807" s="1354">
        <f t="shared" si="252"/>
        <v>0</v>
      </c>
      <c r="AN807" s="1352" t="str">
        <f t="shared" si="251"/>
        <v>"User Defined" Recreation Salaries &amp; Wages</v>
      </c>
    </row>
    <row r="808" spans="1:40" x14ac:dyDescent="0.2">
      <c r="A808" s="1324" t="str">
        <f>A807</f>
        <v>28-374</v>
      </c>
      <c r="B808" s="1324" t="s">
        <v>5915</v>
      </c>
      <c r="C808" s="1353">
        <f>'Key Metrics'!$D$290</f>
        <v>0</v>
      </c>
      <c r="D808" s="1353">
        <f>'Key Metrics'!$H$290</f>
        <v>0</v>
      </c>
      <c r="E808" s="1351">
        <f t="shared" si="255"/>
        <v>0</v>
      </c>
      <c r="F808" s="1353">
        <f t="shared" si="256"/>
        <v>0</v>
      </c>
      <c r="G808" s="1353">
        <f t="shared" si="257"/>
        <v>0</v>
      </c>
      <c r="H808" s="1353">
        <f t="shared" si="258"/>
        <v>0</v>
      </c>
      <c r="I808" s="1353">
        <f t="shared" si="259"/>
        <v>0</v>
      </c>
      <c r="J808" s="1353">
        <f t="shared" si="260"/>
        <v>0</v>
      </c>
      <c r="M808" s="1324" t="str">
        <f t="shared" si="261"/>
        <v>"User Defined" Recreation Other Expenses</v>
      </c>
      <c r="N808" s="1368">
        <f t="shared" si="262"/>
        <v>0</v>
      </c>
      <c r="O808" s="1368">
        <f t="shared" si="263"/>
        <v>0</v>
      </c>
      <c r="P808" s="1368">
        <f t="shared" si="263"/>
        <v>0</v>
      </c>
      <c r="Q808" s="1368">
        <f t="shared" si="263"/>
        <v>0</v>
      </c>
      <c r="R808" s="1368">
        <f t="shared" si="263"/>
        <v>0</v>
      </c>
      <c r="T808" s="1369">
        <v>0.02</v>
      </c>
      <c r="U808" s="1369">
        <v>0.02</v>
      </c>
      <c r="V808" s="1369">
        <v>0.02</v>
      </c>
      <c r="W808" s="1369">
        <v>0.02</v>
      </c>
      <c r="X808" s="1369">
        <v>0.02</v>
      </c>
      <c r="Y808" s="1367"/>
      <c r="Z808" s="1370">
        <v>0</v>
      </c>
      <c r="AA808" s="1370">
        <v>0</v>
      </c>
      <c r="AB808" s="1370">
        <v>0</v>
      </c>
      <c r="AC808" s="1370">
        <v>0</v>
      </c>
      <c r="AD808" s="1370">
        <v>0</v>
      </c>
      <c r="AK808" s="1354">
        <f t="shared" si="254"/>
        <v>0</v>
      </c>
      <c r="AL808" s="1352">
        <f t="shared" si="264"/>
        <v>53</v>
      </c>
      <c r="AM808" s="1354">
        <f t="shared" si="252"/>
        <v>0</v>
      </c>
      <c r="AN808" s="1352" t="str">
        <f t="shared" si="251"/>
        <v>"User Defined" Recreation Other Expenses</v>
      </c>
    </row>
    <row r="809" spans="1:40" x14ac:dyDescent="0.2">
      <c r="A809" s="1324" t="str">
        <f>A808</f>
        <v>28-374</v>
      </c>
      <c r="B809" s="1324" t="s">
        <v>5916</v>
      </c>
      <c r="C809" s="1353">
        <f>'Key Metrics'!$E$290</f>
        <v>0</v>
      </c>
      <c r="D809" s="1353">
        <f>'Key Metrics'!$I$290</f>
        <v>0</v>
      </c>
      <c r="E809" s="1351">
        <f t="shared" si="255"/>
        <v>0</v>
      </c>
      <c r="F809" s="1353">
        <f t="shared" si="256"/>
        <v>0</v>
      </c>
      <c r="G809" s="1353">
        <f t="shared" si="257"/>
        <v>0</v>
      </c>
      <c r="H809" s="1353">
        <f t="shared" si="258"/>
        <v>0</v>
      </c>
      <c r="I809" s="1353">
        <f t="shared" si="259"/>
        <v>0</v>
      </c>
      <c r="J809" s="1353">
        <f t="shared" si="260"/>
        <v>0</v>
      </c>
      <c r="M809" s="1324" t="str">
        <f t="shared" si="261"/>
        <v>"User Defined" Recreation Unclassified</v>
      </c>
      <c r="N809" s="1368">
        <f t="shared" si="262"/>
        <v>0</v>
      </c>
      <c r="O809" s="1368">
        <f t="shared" si="263"/>
        <v>0</v>
      </c>
      <c r="P809" s="1368">
        <f t="shared" si="263"/>
        <v>0</v>
      </c>
      <c r="Q809" s="1368">
        <f t="shared" si="263"/>
        <v>0</v>
      </c>
      <c r="R809" s="1368">
        <f t="shared" si="263"/>
        <v>0</v>
      </c>
      <c r="T809" s="1369">
        <v>0.02</v>
      </c>
      <c r="U809" s="1369">
        <v>0.02</v>
      </c>
      <c r="V809" s="1369">
        <v>0.02</v>
      </c>
      <c r="W809" s="1369">
        <v>0.02</v>
      </c>
      <c r="X809" s="1369">
        <v>0.02</v>
      </c>
      <c r="Y809" s="1367"/>
      <c r="Z809" s="1370">
        <v>0</v>
      </c>
      <c r="AA809" s="1370">
        <v>0</v>
      </c>
      <c r="AB809" s="1370">
        <v>0</v>
      </c>
      <c r="AC809" s="1370">
        <v>0</v>
      </c>
      <c r="AD809" s="1370">
        <v>0</v>
      </c>
      <c r="AK809" s="1354">
        <f t="shared" si="254"/>
        <v>0</v>
      </c>
      <c r="AL809" s="1352">
        <f t="shared" si="264"/>
        <v>53</v>
      </c>
      <c r="AM809" s="1354">
        <f t="shared" si="252"/>
        <v>0</v>
      </c>
      <c r="AN809" s="1352" t="str">
        <f t="shared" si="251"/>
        <v>"User Defined" Recreation Unclassified</v>
      </c>
    </row>
    <row r="810" spans="1:40" x14ac:dyDescent="0.2">
      <c r="A810" s="1324" t="s">
        <v>5194</v>
      </c>
      <c r="B810" s="1324" t="s">
        <v>5706</v>
      </c>
      <c r="C810" s="1353">
        <f>'Key Metrics'!$C$291</f>
        <v>0</v>
      </c>
      <c r="D810" s="1353">
        <f>'Key Metrics'!$G$291</f>
        <v>0</v>
      </c>
      <c r="E810" s="1351">
        <f t="shared" si="255"/>
        <v>0</v>
      </c>
      <c r="F810" s="1353">
        <f t="shared" si="256"/>
        <v>0</v>
      </c>
      <c r="G810" s="1353">
        <f t="shared" si="257"/>
        <v>0</v>
      </c>
      <c r="H810" s="1353">
        <f t="shared" si="258"/>
        <v>0</v>
      </c>
      <c r="I810" s="1353">
        <f t="shared" si="259"/>
        <v>0</v>
      </c>
      <c r="J810" s="1353">
        <f t="shared" si="260"/>
        <v>0</v>
      </c>
      <c r="M810" s="1324" t="str">
        <f t="shared" si="261"/>
        <v>Maintenance of Parks Salaries &amp; Wages</v>
      </c>
      <c r="N810" s="1368">
        <f t="shared" si="262"/>
        <v>0</v>
      </c>
      <c r="O810" s="1368">
        <f t="shared" si="263"/>
        <v>0</v>
      </c>
      <c r="P810" s="1368">
        <f t="shared" si="263"/>
        <v>0</v>
      </c>
      <c r="Q810" s="1368">
        <f t="shared" si="263"/>
        <v>0</v>
      </c>
      <c r="R810" s="1368">
        <f t="shared" si="263"/>
        <v>0</v>
      </c>
      <c r="T810" s="1369">
        <v>0.02</v>
      </c>
      <c r="U810" s="1369">
        <v>0.02</v>
      </c>
      <c r="V810" s="1369">
        <v>0.02</v>
      </c>
      <c r="W810" s="1369">
        <v>0.02</v>
      </c>
      <c r="X810" s="1369">
        <v>0.02</v>
      </c>
      <c r="Y810" s="1367"/>
      <c r="Z810" s="1370">
        <v>0</v>
      </c>
      <c r="AA810" s="1370">
        <v>0</v>
      </c>
      <c r="AB810" s="1370">
        <v>0</v>
      </c>
      <c r="AC810" s="1370">
        <v>0</v>
      </c>
      <c r="AD810" s="1370">
        <v>0</v>
      </c>
      <c r="AK810" s="1354">
        <f t="shared" si="254"/>
        <v>0</v>
      </c>
      <c r="AL810" s="1352">
        <f t="shared" si="264"/>
        <v>53</v>
      </c>
      <c r="AM810" s="1354">
        <f t="shared" si="252"/>
        <v>0</v>
      </c>
      <c r="AN810" s="1352" t="str">
        <f t="shared" si="251"/>
        <v>Maintenance of Parks Salaries &amp; Wages</v>
      </c>
    </row>
    <row r="811" spans="1:40" x14ac:dyDescent="0.2">
      <c r="A811" s="1324" t="str">
        <f>A810</f>
        <v>28-375</v>
      </c>
      <c r="B811" s="1324" t="s">
        <v>5917</v>
      </c>
      <c r="C811" s="1353">
        <f>'Key Metrics'!$D$291</f>
        <v>0</v>
      </c>
      <c r="D811" s="1353">
        <f>'Key Metrics'!$H$291</f>
        <v>0</v>
      </c>
      <c r="E811" s="1351">
        <f t="shared" si="255"/>
        <v>0</v>
      </c>
      <c r="F811" s="1353">
        <f t="shared" si="256"/>
        <v>0</v>
      </c>
      <c r="G811" s="1353">
        <f t="shared" si="257"/>
        <v>0</v>
      </c>
      <c r="H811" s="1353">
        <f t="shared" si="258"/>
        <v>0</v>
      </c>
      <c r="I811" s="1353">
        <f t="shared" si="259"/>
        <v>0</v>
      </c>
      <c r="J811" s="1353">
        <f t="shared" si="260"/>
        <v>0</v>
      </c>
      <c r="M811" s="1324" t="str">
        <f t="shared" si="261"/>
        <v>Maintenance of Parks Other Expenses</v>
      </c>
      <c r="N811" s="1368">
        <f t="shared" si="262"/>
        <v>0</v>
      </c>
      <c r="O811" s="1368">
        <f t="shared" ref="O811:R815" si="265">N811</f>
        <v>0</v>
      </c>
      <c r="P811" s="1368">
        <f t="shared" si="265"/>
        <v>0</v>
      </c>
      <c r="Q811" s="1368">
        <f t="shared" si="265"/>
        <v>0</v>
      </c>
      <c r="R811" s="1368">
        <f t="shared" si="265"/>
        <v>0</v>
      </c>
      <c r="T811" s="1369">
        <v>0.02</v>
      </c>
      <c r="U811" s="1369">
        <v>0.02</v>
      </c>
      <c r="V811" s="1369">
        <v>0.02</v>
      </c>
      <c r="W811" s="1369">
        <v>0.02</v>
      </c>
      <c r="X811" s="1369">
        <v>0.02</v>
      </c>
      <c r="Y811" s="1367"/>
      <c r="Z811" s="1370">
        <v>0</v>
      </c>
      <c r="AA811" s="1370">
        <v>0</v>
      </c>
      <c r="AB811" s="1370">
        <v>0</v>
      </c>
      <c r="AC811" s="1370">
        <v>0</v>
      </c>
      <c r="AD811" s="1370">
        <v>0</v>
      </c>
      <c r="AK811" s="1354">
        <f t="shared" si="254"/>
        <v>0</v>
      </c>
      <c r="AL811" s="1352">
        <f t="shared" si="264"/>
        <v>53</v>
      </c>
      <c r="AM811" s="1354">
        <f t="shared" si="252"/>
        <v>0</v>
      </c>
      <c r="AN811" s="1352" t="str">
        <f t="shared" si="251"/>
        <v>Maintenance of Parks Other Expenses</v>
      </c>
    </row>
    <row r="812" spans="1:40" x14ac:dyDescent="0.2">
      <c r="A812" s="1324" t="str">
        <f>A811</f>
        <v>28-375</v>
      </c>
      <c r="B812" s="1324" t="s">
        <v>5918</v>
      </c>
      <c r="C812" s="1353">
        <f>'Key Metrics'!$E$291</f>
        <v>0</v>
      </c>
      <c r="D812" s="1353">
        <f>'Key Metrics'!$I$291</f>
        <v>0</v>
      </c>
      <c r="E812" s="1351">
        <f t="shared" si="255"/>
        <v>0</v>
      </c>
      <c r="F812" s="1353">
        <f t="shared" si="256"/>
        <v>0</v>
      </c>
      <c r="G812" s="1353">
        <f t="shared" si="257"/>
        <v>0</v>
      </c>
      <c r="H812" s="1353">
        <f t="shared" si="258"/>
        <v>0</v>
      </c>
      <c r="I812" s="1353">
        <f t="shared" si="259"/>
        <v>0</v>
      </c>
      <c r="J812" s="1353">
        <f t="shared" si="260"/>
        <v>0</v>
      </c>
      <c r="M812" s="1324" t="str">
        <f t="shared" si="261"/>
        <v>Maintenance of Parks Unclassified</v>
      </c>
      <c r="N812" s="1368">
        <f t="shared" si="262"/>
        <v>0</v>
      </c>
      <c r="O812" s="1368">
        <f t="shared" si="265"/>
        <v>0</v>
      </c>
      <c r="P812" s="1368">
        <f t="shared" si="265"/>
        <v>0</v>
      </c>
      <c r="Q812" s="1368">
        <f t="shared" si="265"/>
        <v>0</v>
      </c>
      <c r="R812" s="1368">
        <f t="shared" si="265"/>
        <v>0</v>
      </c>
      <c r="T812" s="1369">
        <v>0.02</v>
      </c>
      <c r="U812" s="1369">
        <v>0.02</v>
      </c>
      <c r="V812" s="1369">
        <v>0.02</v>
      </c>
      <c r="W812" s="1369">
        <v>0.02</v>
      </c>
      <c r="X812" s="1369">
        <v>0.02</v>
      </c>
      <c r="Y812" s="1367"/>
      <c r="Z812" s="1370">
        <v>0</v>
      </c>
      <c r="AA812" s="1370">
        <v>0</v>
      </c>
      <c r="AB812" s="1370">
        <v>0</v>
      </c>
      <c r="AC812" s="1370">
        <v>0</v>
      </c>
      <c r="AD812" s="1370">
        <v>0</v>
      </c>
      <c r="AK812" s="1354">
        <f t="shared" si="254"/>
        <v>0</v>
      </c>
      <c r="AL812" s="1352">
        <f t="shared" si="264"/>
        <v>53</v>
      </c>
      <c r="AM812" s="1354">
        <f t="shared" si="252"/>
        <v>0</v>
      </c>
      <c r="AN812" s="1352" t="str">
        <f t="shared" si="251"/>
        <v>Maintenance of Parks Unclassified</v>
      </c>
    </row>
    <row r="813" spans="1:40" x14ac:dyDescent="0.2">
      <c r="A813" s="1324" t="s">
        <v>5195</v>
      </c>
      <c r="B813" s="1324" t="s">
        <v>5707</v>
      </c>
      <c r="C813" s="1353">
        <f>'Key Metrics'!$C$292</f>
        <v>0</v>
      </c>
      <c r="D813" s="1353">
        <f>'Key Metrics'!$G$292</f>
        <v>0</v>
      </c>
      <c r="E813" s="1351">
        <f t="shared" si="255"/>
        <v>0</v>
      </c>
      <c r="F813" s="1353">
        <f t="shared" si="256"/>
        <v>0</v>
      </c>
      <c r="G813" s="1353">
        <f t="shared" si="257"/>
        <v>0</v>
      </c>
      <c r="H813" s="1353">
        <f t="shared" si="258"/>
        <v>0</v>
      </c>
      <c r="I813" s="1353">
        <f t="shared" si="259"/>
        <v>0</v>
      </c>
      <c r="J813" s="1353">
        <f t="shared" si="260"/>
        <v>0</v>
      </c>
      <c r="M813" s="1324" t="str">
        <f t="shared" si="261"/>
        <v>Beach and Boardwalk Operations Salaries &amp; Wages</v>
      </c>
      <c r="N813" s="1368">
        <f t="shared" si="262"/>
        <v>0</v>
      </c>
      <c r="O813" s="1368">
        <f t="shared" si="265"/>
        <v>0</v>
      </c>
      <c r="P813" s="1368">
        <f t="shared" si="265"/>
        <v>0</v>
      </c>
      <c r="Q813" s="1368">
        <f t="shared" si="265"/>
        <v>0</v>
      </c>
      <c r="R813" s="1368">
        <f t="shared" si="265"/>
        <v>0</v>
      </c>
      <c r="T813" s="1369">
        <v>0.02</v>
      </c>
      <c r="U813" s="1369">
        <v>0.02</v>
      </c>
      <c r="V813" s="1369">
        <v>0.02</v>
      </c>
      <c r="W813" s="1369">
        <v>0.02</v>
      </c>
      <c r="X813" s="1369">
        <v>0.02</v>
      </c>
      <c r="Y813" s="1367"/>
      <c r="Z813" s="1370">
        <v>0</v>
      </c>
      <c r="AA813" s="1370">
        <v>0</v>
      </c>
      <c r="AB813" s="1370">
        <v>0</v>
      </c>
      <c r="AC813" s="1370">
        <v>0</v>
      </c>
      <c r="AD813" s="1370">
        <v>0</v>
      </c>
      <c r="AK813" s="1354">
        <f t="shared" si="254"/>
        <v>0</v>
      </c>
      <c r="AL813" s="1352">
        <f t="shared" si="264"/>
        <v>53</v>
      </c>
      <c r="AM813" s="1354">
        <f t="shared" si="252"/>
        <v>0</v>
      </c>
      <c r="AN813" s="1352" t="str">
        <f t="shared" si="251"/>
        <v>Beach and Boardwalk Operations Salaries &amp; Wages</v>
      </c>
    </row>
    <row r="814" spans="1:40" x14ac:dyDescent="0.2">
      <c r="A814" s="1324" t="str">
        <f>A813</f>
        <v>28-380</v>
      </c>
      <c r="B814" s="1324" t="s">
        <v>5919</v>
      </c>
      <c r="C814" s="1353">
        <f>'Key Metrics'!$D$292</f>
        <v>0</v>
      </c>
      <c r="D814" s="1353">
        <f>'Key Metrics'!$H$292</f>
        <v>0</v>
      </c>
      <c r="E814" s="1351">
        <f t="shared" si="255"/>
        <v>0</v>
      </c>
      <c r="F814" s="1353">
        <f t="shared" si="256"/>
        <v>0</v>
      </c>
      <c r="G814" s="1353">
        <f t="shared" si="257"/>
        <v>0</v>
      </c>
      <c r="H814" s="1353">
        <f t="shared" si="258"/>
        <v>0</v>
      </c>
      <c r="I814" s="1353">
        <f t="shared" si="259"/>
        <v>0</v>
      </c>
      <c r="J814" s="1353">
        <f t="shared" si="260"/>
        <v>0</v>
      </c>
      <c r="M814" s="1324" t="str">
        <f t="shared" si="261"/>
        <v>Beach and Boardwalk Operations Other Expenses</v>
      </c>
      <c r="N814" s="1368">
        <f t="shared" si="262"/>
        <v>0</v>
      </c>
      <c r="O814" s="1368">
        <f t="shared" si="265"/>
        <v>0</v>
      </c>
      <c r="P814" s="1368">
        <f t="shared" si="265"/>
        <v>0</v>
      </c>
      <c r="Q814" s="1368">
        <f t="shared" si="265"/>
        <v>0</v>
      </c>
      <c r="R814" s="1368">
        <f t="shared" si="265"/>
        <v>0</v>
      </c>
      <c r="T814" s="1369">
        <v>0.02</v>
      </c>
      <c r="U814" s="1369">
        <v>0.02</v>
      </c>
      <c r="V814" s="1369">
        <v>0.02</v>
      </c>
      <c r="W814" s="1369">
        <v>0.02</v>
      </c>
      <c r="X814" s="1369">
        <v>0.02</v>
      </c>
      <c r="Y814" s="1367"/>
      <c r="Z814" s="1370">
        <v>0</v>
      </c>
      <c r="AA814" s="1370">
        <v>0</v>
      </c>
      <c r="AB814" s="1370">
        <v>0</v>
      </c>
      <c r="AC814" s="1370">
        <v>0</v>
      </c>
      <c r="AD814" s="1370">
        <v>0</v>
      </c>
      <c r="AK814" s="1354">
        <f t="shared" si="254"/>
        <v>0</v>
      </c>
      <c r="AL814" s="1352">
        <f t="shared" si="264"/>
        <v>53</v>
      </c>
      <c r="AM814" s="1354">
        <f t="shared" si="252"/>
        <v>0</v>
      </c>
      <c r="AN814" s="1352" t="str">
        <f t="shared" si="251"/>
        <v>Beach and Boardwalk Operations Other Expenses</v>
      </c>
    </row>
    <row r="815" spans="1:40" x14ac:dyDescent="0.2">
      <c r="A815" s="1324" t="str">
        <f>A814</f>
        <v>28-380</v>
      </c>
      <c r="B815" s="1324" t="s">
        <v>5920</v>
      </c>
      <c r="C815" s="1353">
        <f>'Key Metrics'!$E$292</f>
        <v>0</v>
      </c>
      <c r="D815" s="1353">
        <f>'Key Metrics'!$I$292</f>
        <v>0</v>
      </c>
      <c r="E815" s="1351">
        <f t="shared" si="255"/>
        <v>0</v>
      </c>
      <c r="F815" s="1353">
        <f t="shared" si="256"/>
        <v>0</v>
      </c>
      <c r="G815" s="1353">
        <f t="shared" si="257"/>
        <v>0</v>
      </c>
      <c r="H815" s="1353">
        <f t="shared" si="258"/>
        <v>0</v>
      </c>
      <c r="I815" s="1353">
        <f t="shared" si="259"/>
        <v>0</v>
      </c>
      <c r="J815" s="1353">
        <f t="shared" si="260"/>
        <v>0</v>
      </c>
      <c r="M815" s="1324" t="str">
        <f t="shared" si="261"/>
        <v>Beach and Boardwalk Operations Unclassified</v>
      </c>
      <c r="N815" s="1368">
        <f t="shared" si="262"/>
        <v>0</v>
      </c>
      <c r="O815" s="1368">
        <f t="shared" si="265"/>
        <v>0</v>
      </c>
      <c r="P815" s="1368">
        <f t="shared" si="265"/>
        <v>0</v>
      </c>
      <c r="Q815" s="1368">
        <f t="shared" si="265"/>
        <v>0</v>
      </c>
      <c r="R815" s="1368">
        <f t="shared" si="265"/>
        <v>0</v>
      </c>
      <c r="T815" s="1369">
        <v>0.02</v>
      </c>
      <c r="U815" s="1369">
        <v>0.02</v>
      </c>
      <c r="V815" s="1369">
        <v>0.02</v>
      </c>
      <c r="W815" s="1369">
        <v>0.02</v>
      </c>
      <c r="X815" s="1369">
        <v>0.02</v>
      </c>
      <c r="Y815" s="1367"/>
      <c r="Z815" s="1370">
        <v>0</v>
      </c>
      <c r="AA815" s="1370">
        <v>0</v>
      </c>
      <c r="AB815" s="1370">
        <v>0</v>
      </c>
      <c r="AC815" s="1370">
        <v>0</v>
      </c>
      <c r="AD815" s="1370">
        <v>0</v>
      </c>
      <c r="AK815" s="1354">
        <f t="shared" si="254"/>
        <v>0</v>
      </c>
      <c r="AL815" s="1352">
        <f t="shared" si="264"/>
        <v>53</v>
      </c>
      <c r="AM815" s="1354">
        <f t="shared" si="252"/>
        <v>0</v>
      </c>
      <c r="AN815" s="1352" t="str">
        <f t="shared" si="251"/>
        <v>Beach and Boardwalk Operations Unclassified</v>
      </c>
    </row>
    <row r="816" spans="1:40" x14ac:dyDescent="0.2">
      <c r="B816" s="1373" t="s">
        <v>5625</v>
      </c>
      <c r="C816" s="1360">
        <f>SUM(C795:C815)</f>
        <v>0</v>
      </c>
      <c r="D816" s="1360">
        <f>SUM(D795:D815)</f>
        <v>100</v>
      </c>
      <c r="E816" s="1356">
        <f t="shared" si="255"/>
        <v>0</v>
      </c>
      <c r="F816" s="1360">
        <f>SUM(F795:F815)</f>
        <v>102</v>
      </c>
      <c r="G816" s="1360">
        <f>SUM(G795:G815)</f>
        <v>104.04</v>
      </c>
      <c r="H816" s="1360">
        <f>SUM(H795:H815)</f>
        <v>106.1208</v>
      </c>
      <c r="I816" s="1360">
        <f>SUM(I795:I815)</f>
        <v>108.243216</v>
      </c>
      <c r="J816" s="1360">
        <f>SUM(J795:J815)</f>
        <v>110.40808032000001</v>
      </c>
      <c r="N816" s="1328"/>
      <c r="O816" s="1328"/>
      <c r="P816" s="1328"/>
      <c r="Q816" s="1328"/>
      <c r="R816" s="1328"/>
      <c r="T816" s="1371"/>
      <c r="U816" s="1371"/>
      <c r="V816" s="1371"/>
      <c r="W816" s="1371"/>
      <c r="X816" s="1371"/>
      <c r="Y816" s="1367"/>
      <c r="Z816" s="1372"/>
      <c r="AA816" s="1372"/>
      <c r="AB816" s="1372"/>
      <c r="AC816" s="1372"/>
      <c r="AD816" s="1372"/>
      <c r="AK816" s="1354"/>
      <c r="AL816" s="1352"/>
      <c r="AM816" s="1354"/>
      <c r="AN816" s="1352"/>
    </row>
    <row r="817" spans="1:40" x14ac:dyDescent="0.2">
      <c r="E817" s="1351"/>
      <c r="N817" s="1328"/>
      <c r="O817" s="1328"/>
      <c r="P817" s="1328"/>
      <c r="Q817" s="1328"/>
      <c r="R817" s="1328"/>
      <c r="T817" s="1371"/>
      <c r="U817" s="1371"/>
      <c r="V817" s="1371"/>
      <c r="W817" s="1371"/>
      <c r="X817" s="1371"/>
      <c r="Y817" s="1367"/>
      <c r="Z817" s="1372"/>
      <c r="AA817" s="1372"/>
      <c r="AB817" s="1372"/>
      <c r="AC817" s="1372"/>
      <c r="AD817" s="1372"/>
      <c r="AK817" s="1354"/>
      <c r="AL817" s="1352"/>
      <c r="AM817" s="1354"/>
      <c r="AN817" s="1352"/>
    </row>
    <row r="818" spans="1:40" ht="14.25" customHeight="1" x14ac:dyDescent="0.25">
      <c r="A818" s="1364" t="s">
        <v>5446</v>
      </c>
      <c r="B818" s="1365"/>
      <c r="C818" s="1365"/>
      <c r="D818" s="1365"/>
      <c r="E818" s="1380"/>
      <c r="F818" s="1365"/>
      <c r="G818" s="1365"/>
      <c r="H818" s="1365"/>
      <c r="I818" s="1365"/>
      <c r="J818" s="1365"/>
      <c r="M818" s="1381" t="str">
        <f>A818</f>
        <v>Education (Including Library)</v>
      </c>
      <c r="N818" s="1364"/>
      <c r="O818" s="1364"/>
      <c r="P818" s="1364"/>
      <c r="Q818" s="1364"/>
      <c r="R818" s="1364"/>
      <c r="S818" s="1365"/>
      <c r="T818" s="1389"/>
      <c r="U818" s="1389"/>
      <c r="V818" s="1389"/>
      <c r="W818" s="1389"/>
      <c r="X818" s="1389"/>
      <c r="Y818" s="1390"/>
      <c r="Z818" s="1391"/>
      <c r="AA818" s="1391"/>
      <c r="AB818" s="1391"/>
      <c r="AC818" s="1391"/>
      <c r="AD818" s="1391"/>
      <c r="AK818" s="1354"/>
      <c r="AL818" s="1352"/>
      <c r="AM818" s="1354"/>
      <c r="AN818" s="1352"/>
    </row>
    <row r="819" spans="1:40" x14ac:dyDescent="0.2">
      <c r="A819" s="1324" t="s">
        <v>5106</v>
      </c>
      <c r="B819" s="1324" t="s">
        <v>5708</v>
      </c>
      <c r="C819" s="1353">
        <f>'Key Metrics'!$C$296</f>
        <v>0</v>
      </c>
      <c r="D819" s="1353">
        <f>'Key Metrics'!$G$296</f>
        <v>0</v>
      </c>
      <c r="E819" s="1351">
        <f t="shared" ref="E819:E846" si="266">IFERROR(D819/C819-1,0)</f>
        <v>0</v>
      </c>
      <c r="F819" s="1353">
        <f t="shared" ref="F819:F845" si="267">IFERROR(IF($I$3=1,D819*(1+N819),IF($I$3=2,D819*(1+T819),IF($I$3=3,Z819,"--"))),0)</f>
        <v>0</v>
      </c>
      <c r="G819" s="1353">
        <f t="shared" ref="G819:G845" si="268">IFERROR(IF($I$3=1,F819*(1+O819),IF($I$3=2,F819*(1+U819),IF($I$3=3,AA819,"--"))),0)</f>
        <v>0</v>
      </c>
      <c r="H819" s="1353">
        <f t="shared" ref="H819:H845" si="269">IFERROR(IF($I$3=1,G819*(1+P819),IF($I$3=2,G819*(1+V819),IF($I$3=3,AB819,"--"))),0)</f>
        <v>0</v>
      </c>
      <c r="I819" s="1353">
        <f t="shared" ref="I819:I845" si="270">IFERROR(IF($I$3=1,H819*(1+Q819),IF($I$3=2,H819*(1+W819),IF($I$3=3,AC819,"--"))),0)</f>
        <v>0</v>
      </c>
      <c r="J819" s="1353">
        <f t="shared" ref="J819:J845" si="271">IFERROR(IF($I$3=1,I819*(1+R819),IF($I$3=2,I819*(1+X819),IF($I$3=3,AD819,"--"))),0)</f>
        <v>0</v>
      </c>
      <c r="M819" s="1324" t="str">
        <f t="shared" ref="M819:M845" si="272">B819</f>
        <v>Maintenance of Free Public Library (Outside CAP) Salaries &amp; Wages</v>
      </c>
      <c r="N819" s="1368">
        <f t="shared" ref="N819:N845" si="273">E819</f>
        <v>0</v>
      </c>
      <c r="O819" s="1368">
        <f t="shared" ref="O819:R834" si="274">N819</f>
        <v>0</v>
      </c>
      <c r="P819" s="1368">
        <f t="shared" si="274"/>
        <v>0</v>
      </c>
      <c r="Q819" s="1368">
        <f t="shared" si="274"/>
        <v>0</v>
      </c>
      <c r="R819" s="1368">
        <f t="shared" si="274"/>
        <v>0</v>
      </c>
      <c r="T819" s="1369">
        <v>0</v>
      </c>
      <c r="U819" s="1369">
        <v>0</v>
      </c>
      <c r="V819" s="1369">
        <v>0</v>
      </c>
      <c r="W819" s="1369">
        <v>0</v>
      </c>
      <c r="X819" s="1369">
        <v>0</v>
      </c>
      <c r="Y819" s="1367"/>
      <c r="Z819" s="1370">
        <v>0</v>
      </c>
      <c r="AA819" s="1370">
        <v>0</v>
      </c>
      <c r="AB819" s="1370">
        <v>0</v>
      </c>
      <c r="AC819" s="1370">
        <v>0</v>
      </c>
      <c r="AD819" s="1370">
        <v>0</v>
      </c>
      <c r="AK819" s="1354">
        <f t="shared" si="254"/>
        <v>0</v>
      </c>
      <c r="AL819" s="1352">
        <f t="shared" ref="AL819:AL845" si="275">RANK(AM819,$AM$504:$AM$1172,0)</f>
        <v>53</v>
      </c>
      <c r="AM819" s="1354">
        <f t="shared" si="252"/>
        <v>0</v>
      </c>
      <c r="AN819" s="1352" t="str">
        <f t="shared" si="251"/>
        <v>Maintenance of Free Public Library (Outside CAP) Salaries &amp; Wages</v>
      </c>
    </row>
    <row r="820" spans="1:40" x14ac:dyDescent="0.2">
      <c r="A820" s="1324" t="str">
        <f>A819</f>
        <v>29-390</v>
      </c>
      <c r="B820" s="1324" t="s">
        <v>5921</v>
      </c>
      <c r="C820" s="1353">
        <f>'Key Metrics'!$D$296</f>
        <v>0</v>
      </c>
      <c r="D820" s="1353">
        <f>'Key Metrics'!$H$296</f>
        <v>0</v>
      </c>
      <c r="E820" s="1351">
        <f t="shared" si="266"/>
        <v>0</v>
      </c>
      <c r="F820" s="1353">
        <f t="shared" si="267"/>
        <v>0</v>
      </c>
      <c r="G820" s="1353">
        <f t="shared" si="268"/>
        <v>0</v>
      </c>
      <c r="H820" s="1353">
        <f t="shared" si="269"/>
        <v>0</v>
      </c>
      <c r="I820" s="1353">
        <f t="shared" si="270"/>
        <v>0</v>
      </c>
      <c r="J820" s="1353">
        <f t="shared" si="271"/>
        <v>0</v>
      </c>
      <c r="M820" s="1324" t="str">
        <f t="shared" si="272"/>
        <v>Maintenance of Free Public Library (Outside CAP) Other Expenses</v>
      </c>
      <c r="N820" s="1368">
        <f t="shared" si="273"/>
        <v>0</v>
      </c>
      <c r="O820" s="1368">
        <f t="shared" si="274"/>
        <v>0</v>
      </c>
      <c r="P820" s="1368">
        <f t="shared" si="274"/>
        <v>0</v>
      </c>
      <c r="Q820" s="1368">
        <f t="shared" si="274"/>
        <v>0</v>
      </c>
      <c r="R820" s="1368">
        <f t="shared" si="274"/>
        <v>0</v>
      </c>
      <c r="T820" s="1369">
        <v>0</v>
      </c>
      <c r="U820" s="1369">
        <v>0</v>
      </c>
      <c r="V820" s="1369">
        <v>0</v>
      </c>
      <c r="W820" s="1369">
        <v>0</v>
      </c>
      <c r="X820" s="1369">
        <v>0</v>
      </c>
      <c r="Y820" s="1367"/>
      <c r="Z820" s="1370">
        <v>0</v>
      </c>
      <c r="AA820" s="1370">
        <v>0</v>
      </c>
      <c r="AB820" s="1370">
        <v>0</v>
      </c>
      <c r="AC820" s="1370">
        <v>0</v>
      </c>
      <c r="AD820" s="1370">
        <v>0</v>
      </c>
      <c r="AK820" s="1354">
        <f t="shared" si="254"/>
        <v>0</v>
      </c>
      <c r="AL820" s="1352">
        <f t="shared" si="275"/>
        <v>53</v>
      </c>
      <c r="AM820" s="1354">
        <f t="shared" si="252"/>
        <v>0</v>
      </c>
      <c r="AN820" s="1352" t="str">
        <f t="shared" si="251"/>
        <v>Maintenance of Free Public Library (Outside CAP) Other Expenses</v>
      </c>
    </row>
    <row r="821" spans="1:40" x14ac:dyDescent="0.2">
      <c r="A821" s="1324" t="str">
        <f>A820</f>
        <v>29-390</v>
      </c>
      <c r="B821" s="1324" t="s">
        <v>5922</v>
      </c>
      <c r="C821" s="1353">
        <f>'Key Metrics'!$E$296</f>
        <v>0</v>
      </c>
      <c r="D821" s="1353">
        <f>'Key Metrics'!$I$296</f>
        <v>0</v>
      </c>
      <c r="E821" s="1351">
        <f t="shared" si="266"/>
        <v>0</v>
      </c>
      <c r="F821" s="1353">
        <f t="shared" si="267"/>
        <v>0</v>
      </c>
      <c r="G821" s="1353">
        <f t="shared" si="268"/>
        <v>0</v>
      </c>
      <c r="H821" s="1353">
        <f t="shared" si="269"/>
        <v>0</v>
      </c>
      <c r="I821" s="1353">
        <f t="shared" si="270"/>
        <v>0</v>
      </c>
      <c r="J821" s="1353">
        <f t="shared" si="271"/>
        <v>0</v>
      </c>
      <c r="M821" s="1324" t="str">
        <f t="shared" si="272"/>
        <v>Maintenance of Free Public Library (Outside CAP) Unclassified</v>
      </c>
      <c r="N821" s="1368">
        <f t="shared" si="273"/>
        <v>0</v>
      </c>
      <c r="O821" s="1368">
        <f t="shared" si="274"/>
        <v>0</v>
      </c>
      <c r="P821" s="1368">
        <f t="shared" si="274"/>
        <v>0</v>
      </c>
      <c r="Q821" s="1368">
        <f t="shared" si="274"/>
        <v>0</v>
      </c>
      <c r="R821" s="1368">
        <f t="shared" si="274"/>
        <v>0</v>
      </c>
      <c r="T821" s="1369">
        <v>0</v>
      </c>
      <c r="U821" s="1369">
        <v>0</v>
      </c>
      <c r="V821" s="1369">
        <v>0</v>
      </c>
      <c r="W821" s="1369">
        <v>0</v>
      </c>
      <c r="X821" s="1369">
        <v>0</v>
      </c>
      <c r="Y821" s="1367"/>
      <c r="Z821" s="1370">
        <v>0</v>
      </c>
      <c r="AA821" s="1370">
        <v>0</v>
      </c>
      <c r="AB821" s="1370">
        <v>0</v>
      </c>
      <c r="AC821" s="1370">
        <v>0</v>
      </c>
      <c r="AD821" s="1370">
        <v>0</v>
      </c>
      <c r="AK821" s="1354">
        <f t="shared" si="254"/>
        <v>0</v>
      </c>
      <c r="AL821" s="1352">
        <f t="shared" si="275"/>
        <v>53</v>
      </c>
      <c r="AM821" s="1354">
        <f t="shared" si="252"/>
        <v>0</v>
      </c>
      <c r="AN821" s="1352" t="str">
        <f t="shared" si="251"/>
        <v>Maintenance of Free Public Library (Outside CAP) Unclassified</v>
      </c>
    </row>
    <row r="822" spans="1:40" x14ac:dyDescent="0.2">
      <c r="A822" s="1324" t="s">
        <v>5196</v>
      </c>
      <c r="B822" s="1324" t="s">
        <v>5709</v>
      </c>
      <c r="C822" s="1353">
        <f>'Key Metrics'!$C$297</f>
        <v>0</v>
      </c>
      <c r="D822" s="1353">
        <f>'Key Metrics'!$G$297</f>
        <v>0</v>
      </c>
      <c r="E822" s="1351">
        <f t="shared" si="266"/>
        <v>0</v>
      </c>
      <c r="F822" s="1353">
        <f t="shared" si="267"/>
        <v>0</v>
      </c>
      <c r="G822" s="1353">
        <f t="shared" si="268"/>
        <v>0</v>
      </c>
      <c r="H822" s="1353">
        <f t="shared" si="269"/>
        <v>0</v>
      </c>
      <c r="I822" s="1353">
        <f t="shared" si="270"/>
        <v>0</v>
      </c>
      <c r="J822" s="1353">
        <f t="shared" si="271"/>
        <v>0</v>
      </c>
      <c r="M822" s="1324" t="str">
        <f t="shared" si="272"/>
        <v>Additional Aid to Municipal Library (Outside CAP) Salaries &amp; Wages</v>
      </c>
      <c r="N822" s="1368">
        <f t="shared" si="273"/>
        <v>0</v>
      </c>
      <c r="O822" s="1368">
        <f t="shared" si="274"/>
        <v>0</v>
      </c>
      <c r="P822" s="1368">
        <f t="shared" si="274"/>
        <v>0</v>
      </c>
      <c r="Q822" s="1368">
        <f t="shared" si="274"/>
        <v>0</v>
      </c>
      <c r="R822" s="1368">
        <f t="shared" si="274"/>
        <v>0</v>
      </c>
      <c r="T822" s="1369">
        <v>0</v>
      </c>
      <c r="U822" s="1369">
        <v>0</v>
      </c>
      <c r="V822" s="1369">
        <v>0</v>
      </c>
      <c r="W822" s="1369">
        <v>0</v>
      </c>
      <c r="X822" s="1369">
        <v>0</v>
      </c>
      <c r="Y822" s="1367"/>
      <c r="Z822" s="1370">
        <v>0</v>
      </c>
      <c r="AA822" s="1370">
        <v>0</v>
      </c>
      <c r="AB822" s="1370">
        <v>0</v>
      </c>
      <c r="AC822" s="1370">
        <v>0</v>
      </c>
      <c r="AD822" s="1370">
        <v>0</v>
      </c>
      <c r="AK822" s="1354">
        <f t="shared" si="254"/>
        <v>0</v>
      </c>
      <c r="AL822" s="1352">
        <f t="shared" si="275"/>
        <v>53</v>
      </c>
      <c r="AM822" s="1354">
        <f t="shared" si="252"/>
        <v>0</v>
      </c>
      <c r="AN822" s="1352" t="str">
        <f t="shared" si="251"/>
        <v>Additional Aid to Municipal Library (Outside CAP) Salaries &amp; Wages</v>
      </c>
    </row>
    <row r="823" spans="1:40" x14ac:dyDescent="0.2">
      <c r="A823" s="1324" t="str">
        <f>A822</f>
        <v>29-391</v>
      </c>
      <c r="B823" s="1324" t="s">
        <v>5923</v>
      </c>
      <c r="C823" s="1353">
        <f>'Key Metrics'!$D$297</f>
        <v>0</v>
      </c>
      <c r="D823" s="1353">
        <f>'Key Metrics'!$H$297</f>
        <v>0</v>
      </c>
      <c r="E823" s="1351">
        <f t="shared" si="266"/>
        <v>0</v>
      </c>
      <c r="F823" s="1353">
        <f t="shared" si="267"/>
        <v>0</v>
      </c>
      <c r="G823" s="1353">
        <f t="shared" si="268"/>
        <v>0</v>
      </c>
      <c r="H823" s="1353">
        <f t="shared" si="269"/>
        <v>0</v>
      </c>
      <c r="I823" s="1353">
        <f t="shared" si="270"/>
        <v>0</v>
      </c>
      <c r="J823" s="1353">
        <f t="shared" si="271"/>
        <v>0</v>
      </c>
      <c r="M823" s="1324" t="str">
        <f t="shared" si="272"/>
        <v>Additional Aid to Municipal Library (Outside CAP) Other Expenses</v>
      </c>
      <c r="N823" s="1368">
        <f t="shared" si="273"/>
        <v>0</v>
      </c>
      <c r="O823" s="1368">
        <f t="shared" si="274"/>
        <v>0</v>
      </c>
      <c r="P823" s="1368">
        <f t="shared" si="274"/>
        <v>0</v>
      </c>
      <c r="Q823" s="1368">
        <f t="shared" si="274"/>
        <v>0</v>
      </c>
      <c r="R823" s="1368">
        <f t="shared" si="274"/>
        <v>0</v>
      </c>
      <c r="T823" s="1369">
        <v>0</v>
      </c>
      <c r="U823" s="1369">
        <v>0</v>
      </c>
      <c r="V823" s="1369">
        <v>0</v>
      </c>
      <c r="W823" s="1369">
        <v>0</v>
      </c>
      <c r="X823" s="1369">
        <v>0</v>
      </c>
      <c r="Y823" s="1367"/>
      <c r="Z823" s="1370">
        <v>0</v>
      </c>
      <c r="AA823" s="1370">
        <v>0</v>
      </c>
      <c r="AB823" s="1370">
        <v>0</v>
      </c>
      <c r="AC823" s="1370">
        <v>0</v>
      </c>
      <c r="AD823" s="1370">
        <v>0</v>
      </c>
      <c r="AK823" s="1354">
        <f t="shared" si="254"/>
        <v>0</v>
      </c>
      <c r="AL823" s="1352">
        <f t="shared" si="275"/>
        <v>53</v>
      </c>
      <c r="AM823" s="1354">
        <f t="shared" si="252"/>
        <v>0</v>
      </c>
      <c r="AN823" s="1352" t="str">
        <f t="shared" si="251"/>
        <v>Additional Aid to Municipal Library (Outside CAP) Other Expenses</v>
      </c>
    </row>
    <row r="824" spans="1:40" x14ac:dyDescent="0.2">
      <c r="A824" s="1324" t="str">
        <f>A823</f>
        <v>29-391</v>
      </c>
      <c r="B824" s="1324" t="s">
        <v>5924</v>
      </c>
      <c r="C824" s="1353">
        <f>'Key Metrics'!$E$297</f>
        <v>0</v>
      </c>
      <c r="D824" s="1353">
        <f>'Key Metrics'!$I$297</f>
        <v>0</v>
      </c>
      <c r="E824" s="1351">
        <f t="shared" si="266"/>
        <v>0</v>
      </c>
      <c r="F824" s="1353">
        <f t="shared" si="267"/>
        <v>0</v>
      </c>
      <c r="G824" s="1353">
        <f t="shared" si="268"/>
        <v>0</v>
      </c>
      <c r="H824" s="1353">
        <f t="shared" si="269"/>
        <v>0</v>
      </c>
      <c r="I824" s="1353">
        <f t="shared" si="270"/>
        <v>0</v>
      </c>
      <c r="J824" s="1353">
        <f t="shared" si="271"/>
        <v>0</v>
      </c>
      <c r="M824" s="1324" t="str">
        <f t="shared" si="272"/>
        <v>Additional Aid to Municipal Library (Outside CAP) Unclassified</v>
      </c>
      <c r="N824" s="1368">
        <f t="shared" si="273"/>
        <v>0</v>
      </c>
      <c r="O824" s="1368">
        <f t="shared" si="274"/>
        <v>0</v>
      </c>
      <c r="P824" s="1368">
        <f t="shared" si="274"/>
        <v>0</v>
      </c>
      <c r="Q824" s="1368">
        <f t="shared" si="274"/>
        <v>0</v>
      </c>
      <c r="R824" s="1368">
        <f t="shared" si="274"/>
        <v>0</v>
      </c>
      <c r="T824" s="1369">
        <v>0</v>
      </c>
      <c r="U824" s="1369">
        <v>0</v>
      </c>
      <c r="V824" s="1369">
        <v>0</v>
      </c>
      <c r="W824" s="1369">
        <v>0</v>
      </c>
      <c r="X824" s="1369">
        <v>0</v>
      </c>
      <c r="Y824" s="1367"/>
      <c r="Z824" s="1370">
        <v>0</v>
      </c>
      <c r="AA824" s="1370">
        <v>0</v>
      </c>
      <c r="AB824" s="1370">
        <v>0</v>
      </c>
      <c r="AC824" s="1370">
        <v>0</v>
      </c>
      <c r="AD824" s="1370">
        <v>0</v>
      </c>
      <c r="AK824" s="1354">
        <f t="shared" si="254"/>
        <v>0</v>
      </c>
      <c r="AL824" s="1352">
        <f t="shared" si="275"/>
        <v>53</v>
      </c>
      <c r="AM824" s="1354">
        <f t="shared" si="252"/>
        <v>0</v>
      </c>
      <c r="AN824" s="1352" t="str">
        <f t="shared" si="251"/>
        <v>Additional Aid to Municipal Library (Outside CAP) Unclassified</v>
      </c>
    </row>
    <row r="825" spans="1:40" x14ac:dyDescent="0.2">
      <c r="A825" s="1324" t="s">
        <v>5197</v>
      </c>
      <c r="B825" s="1324" t="s">
        <v>5710</v>
      </c>
      <c r="C825" s="1353">
        <f>'Key Metrics'!$C$298</f>
        <v>0</v>
      </c>
      <c r="D825" s="1353">
        <f>'Key Metrics'!$G$298</f>
        <v>0</v>
      </c>
      <c r="E825" s="1351">
        <f t="shared" si="266"/>
        <v>0</v>
      </c>
      <c r="F825" s="1353">
        <f t="shared" si="267"/>
        <v>0</v>
      </c>
      <c r="G825" s="1353">
        <f t="shared" si="268"/>
        <v>0</v>
      </c>
      <c r="H825" s="1353">
        <f t="shared" si="269"/>
        <v>0</v>
      </c>
      <c r="I825" s="1353">
        <f t="shared" si="270"/>
        <v>0</v>
      </c>
      <c r="J825" s="1353">
        <f t="shared" si="271"/>
        <v>0</v>
      </c>
      <c r="M825" s="1324" t="str">
        <f t="shared" si="272"/>
        <v>County Library (Inside CAP) Salaries &amp; Wages</v>
      </c>
      <c r="N825" s="1368">
        <f t="shared" si="273"/>
        <v>0</v>
      </c>
      <c r="O825" s="1368">
        <f t="shared" si="274"/>
        <v>0</v>
      </c>
      <c r="P825" s="1368">
        <f t="shared" si="274"/>
        <v>0</v>
      </c>
      <c r="Q825" s="1368">
        <f t="shared" si="274"/>
        <v>0</v>
      </c>
      <c r="R825" s="1368">
        <f t="shared" si="274"/>
        <v>0</v>
      </c>
      <c r="T825" s="1369">
        <v>0</v>
      </c>
      <c r="U825" s="1369">
        <v>0</v>
      </c>
      <c r="V825" s="1369">
        <v>0</v>
      </c>
      <c r="W825" s="1369">
        <v>0</v>
      </c>
      <c r="X825" s="1369">
        <v>0</v>
      </c>
      <c r="Y825" s="1367"/>
      <c r="Z825" s="1370">
        <v>0</v>
      </c>
      <c r="AA825" s="1370">
        <v>0</v>
      </c>
      <c r="AB825" s="1370">
        <v>0</v>
      </c>
      <c r="AC825" s="1370">
        <v>0</v>
      </c>
      <c r="AD825" s="1370">
        <v>0</v>
      </c>
      <c r="AK825" s="1354">
        <f t="shared" si="254"/>
        <v>0</v>
      </c>
      <c r="AL825" s="1352">
        <f t="shared" si="275"/>
        <v>53</v>
      </c>
      <c r="AM825" s="1354">
        <f t="shared" si="252"/>
        <v>0</v>
      </c>
      <c r="AN825" s="1352" t="str">
        <f t="shared" si="251"/>
        <v>County Library (Inside CAP) Salaries &amp; Wages</v>
      </c>
    </row>
    <row r="826" spans="1:40" x14ac:dyDescent="0.2">
      <c r="A826" s="1324" t="str">
        <f>A825</f>
        <v>29-392</v>
      </c>
      <c r="B826" s="1324" t="s">
        <v>5925</v>
      </c>
      <c r="C826" s="1353">
        <f>'Key Metrics'!$D$298</f>
        <v>0</v>
      </c>
      <c r="D826" s="1353">
        <f>'Key Metrics'!$H$298</f>
        <v>0</v>
      </c>
      <c r="E826" s="1351">
        <f t="shared" si="266"/>
        <v>0</v>
      </c>
      <c r="F826" s="1353">
        <f t="shared" si="267"/>
        <v>0</v>
      </c>
      <c r="G826" s="1353">
        <f t="shared" si="268"/>
        <v>0</v>
      </c>
      <c r="H826" s="1353">
        <f t="shared" si="269"/>
        <v>0</v>
      </c>
      <c r="I826" s="1353">
        <f t="shared" si="270"/>
        <v>0</v>
      </c>
      <c r="J826" s="1353">
        <f t="shared" si="271"/>
        <v>0</v>
      </c>
      <c r="M826" s="1324" t="str">
        <f t="shared" si="272"/>
        <v>County Library (Inside CAP) Other Expenses</v>
      </c>
      <c r="N826" s="1368">
        <f t="shared" si="273"/>
        <v>0</v>
      </c>
      <c r="O826" s="1368">
        <f t="shared" si="274"/>
        <v>0</v>
      </c>
      <c r="P826" s="1368">
        <f t="shared" si="274"/>
        <v>0</v>
      </c>
      <c r="Q826" s="1368">
        <f t="shared" si="274"/>
        <v>0</v>
      </c>
      <c r="R826" s="1368">
        <f t="shared" si="274"/>
        <v>0</v>
      </c>
      <c r="T826" s="1369">
        <v>0</v>
      </c>
      <c r="U826" s="1369">
        <v>0</v>
      </c>
      <c r="V826" s="1369">
        <v>0</v>
      </c>
      <c r="W826" s="1369">
        <v>0</v>
      </c>
      <c r="X826" s="1369">
        <v>0</v>
      </c>
      <c r="Y826" s="1367"/>
      <c r="Z826" s="1370">
        <v>0</v>
      </c>
      <c r="AA826" s="1370">
        <v>0</v>
      </c>
      <c r="AB826" s="1370">
        <v>0</v>
      </c>
      <c r="AC826" s="1370">
        <v>0</v>
      </c>
      <c r="AD826" s="1370">
        <v>0</v>
      </c>
      <c r="AK826" s="1354">
        <f t="shared" si="254"/>
        <v>0</v>
      </c>
      <c r="AL826" s="1352">
        <f t="shared" si="275"/>
        <v>53</v>
      </c>
      <c r="AM826" s="1354">
        <f t="shared" si="252"/>
        <v>0</v>
      </c>
      <c r="AN826" s="1352" t="str">
        <f t="shared" si="251"/>
        <v>County Library (Inside CAP) Other Expenses</v>
      </c>
    </row>
    <row r="827" spans="1:40" x14ac:dyDescent="0.2">
      <c r="A827" s="1324" t="str">
        <f>A826</f>
        <v>29-392</v>
      </c>
      <c r="B827" s="1324" t="s">
        <v>5926</v>
      </c>
      <c r="C827" s="1353">
        <f>'Key Metrics'!$E$298</f>
        <v>0</v>
      </c>
      <c r="D827" s="1353">
        <f>'Key Metrics'!$I$298</f>
        <v>0</v>
      </c>
      <c r="E827" s="1351">
        <f t="shared" si="266"/>
        <v>0</v>
      </c>
      <c r="F827" s="1353">
        <f t="shared" si="267"/>
        <v>0</v>
      </c>
      <c r="G827" s="1353">
        <f t="shared" si="268"/>
        <v>0</v>
      </c>
      <c r="H827" s="1353">
        <f t="shared" si="269"/>
        <v>0</v>
      </c>
      <c r="I827" s="1353">
        <f t="shared" si="270"/>
        <v>0</v>
      </c>
      <c r="J827" s="1353">
        <f t="shared" si="271"/>
        <v>0</v>
      </c>
      <c r="M827" s="1324" t="str">
        <f t="shared" si="272"/>
        <v>County Library (Inside CAP) Unclassified</v>
      </c>
      <c r="N827" s="1368">
        <f t="shared" si="273"/>
        <v>0</v>
      </c>
      <c r="O827" s="1368">
        <f t="shared" si="274"/>
        <v>0</v>
      </c>
      <c r="P827" s="1368">
        <f t="shared" si="274"/>
        <v>0</v>
      </c>
      <c r="Q827" s="1368">
        <f t="shared" si="274"/>
        <v>0</v>
      </c>
      <c r="R827" s="1368">
        <f t="shared" si="274"/>
        <v>0</v>
      </c>
      <c r="T827" s="1369">
        <v>0</v>
      </c>
      <c r="U827" s="1369">
        <v>0</v>
      </c>
      <c r="V827" s="1369">
        <v>0</v>
      </c>
      <c r="W827" s="1369">
        <v>0</v>
      </c>
      <c r="X827" s="1369">
        <v>0</v>
      </c>
      <c r="Y827" s="1367"/>
      <c r="Z827" s="1370">
        <v>0</v>
      </c>
      <c r="AA827" s="1370">
        <v>0</v>
      </c>
      <c r="AB827" s="1370">
        <v>0</v>
      </c>
      <c r="AC827" s="1370">
        <v>0</v>
      </c>
      <c r="AD827" s="1370">
        <v>0</v>
      </c>
      <c r="AK827" s="1354">
        <f t="shared" si="254"/>
        <v>0</v>
      </c>
      <c r="AL827" s="1352">
        <f t="shared" si="275"/>
        <v>53</v>
      </c>
      <c r="AM827" s="1354">
        <f t="shared" si="252"/>
        <v>0</v>
      </c>
      <c r="AN827" s="1352" t="str">
        <f t="shared" ref="AN827:AN887" si="276">B827</f>
        <v>County Library (Inside CAP) Unclassified</v>
      </c>
    </row>
    <row r="828" spans="1:40" x14ac:dyDescent="0.2">
      <c r="A828" s="1324" t="s">
        <v>5284</v>
      </c>
      <c r="B828" s="1324" t="s">
        <v>5711</v>
      </c>
      <c r="C828" s="1353">
        <f>'Key Metrics'!$C$299</f>
        <v>0</v>
      </c>
      <c r="D828" s="1353">
        <f>'Key Metrics'!$G$299</f>
        <v>0</v>
      </c>
      <c r="E828" s="1351">
        <f t="shared" si="266"/>
        <v>0</v>
      </c>
      <c r="F828" s="1353">
        <f t="shared" si="267"/>
        <v>0</v>
      </c>
      <c r="G828" s="1353">
        <f t="shared" si="268"/>
        <v>0</v>
      </c>
      <c r="H828" s="1353">
        <f t="shared" si="269"/>
        <v>0</v>
      </c>
      <c r="I828" s="1353">
        <f t="shared" si="270"/>
        <v>0</v>
      </c>
      <c r="J828" s="1353">
        <f t="shared" si="271"/>
        <v>0</v>
      </c>
      <c r="M828" s="1324" t="str">
        <f t="shared" si="272"/>
        <v>Aid to Private Library Salaries &amp; Wages</v>
      </c>
      <c r="N828" s="1368">
        <f t="shared" si="273"/>
        <v>0</v>
      </c>
      <c r="O828" s="1368">
        <f t="shared" si="274"/>
        <v>0</v>
      </c>
      <c r="P828" s="1368">
        <f t="shared" si="274"/>
        <v>0</v>
      </c>
      <c r="Q828" s="1368">
        <f t="shared" si="274"/>
        <v>0</v>
      </c>
      <c r="R828" s="1368">
        <f t="shared" si="274"/>
        <v>0</v>
      </c>
      <c r="T828" s="1369">
        <v>0</v>
      </c>
      <c r="U828" s="1369">
        <v>0</v>
      </c>
      <c r="V828" s="1369">
        <v>0</v>
      </c>
      <c r="W828" s="1369">
        <v>0</v>
      </c>
      <c r="X828" s="1369">
        <v>0</v>
      </c>
      <c r="Y828" s="1367"/>
      <c r="Z828" s="1370">
        <v>0</v>
      </c>
      <c r="AA828" s="1370">
        <v>0</v>
      </c>
      <c r="AB828" s="1370">
        <v>0</v>
      </c>
      <c r="AC828" s="1370">
        <v>0</v>
      </c>
      <c r="AD828" s="1370">
        <v>0</v>
      </c>
      <c r="AK828" s="1354">
        <f t="shared" si="254"/>
        <v>0</v>
      </c>
      <c r="AL828" s="1352">
        <f t="shared" si="275"/>
        <v>53</v>
      </c>
      <c r="AM828" s="1354">
        <f t="shared" ref="AM828:AM887" si="277">J828-D828</f>
        <v>0</v>
      </c>
      <c r="AN828" s="1352" t="str">
        <f t="shared" si="276"/>
        <v>Aid to Private Library Salaries &amp; Wages</v>
      </c>
    </row>
    <row r="829" spans="1:40" x14ac:dyDescent="0.2">
      <c r="A829" s="1324" t="str">
        <f>A828</f>
        <v>29-393</v>
      </c>
      <c r="B829" s="1324" t="s">
        <v>5927</v>
      </c>
      <c r="C829" s="1353">
        <f>'Key Metrics'!$D$299</f>
        <v>0</v>
      </c>
      <c r="D829" s="1353">
        <f>'Key Metrics'!$H$299</f>
        <v>0</v>
      </c>
      <c r="E829" s="1351">
        <f t="shared" si="266"/>
        <v>0</v>
      </c>
      <c r="F829" s="1353">
        <f t="shared" si="267"/>
        <v>0</v>
      </c>
      <c r="G829" s="1353">
        <f t="shared" si="268"/>
        <v>0</v>
      </c>
      <c r="H829" s="1353">
        <f t="shared" si="269"/>
        <v>0</v>
      </c>
      <c r="I829" s="1353">
        <f t="shared" si="270"/>
        <v>0</v>
      </c>
      <c r="J829" s="1353">
        <f t="shared" si="271"/>
        <v>0</v>
      </c>
      <c r="M829" s="1324" t="str">
        <f t="shared" si="272"/>
        <v>Aid to Private Library Other Expenses</v>
      </c>
      <c r="N829" s="1368">
        <f t="shared" si="273"/>
        <v>0</v>
      </c>
      <c r="O829" s="1368">
        <f t="shared" si="274"/>
        <v>0</v>
      </c>
      <c r="P829" s="1368">
        <f t="shared" si="274"/>
        <v>0</v>
      </c>
      <c r="Q829" s="1368">
        <f t="shared" si="274"/>
        <v>0</v>
      </c>
      <c r="R829" s="1368">
        <f t="shared" si="274"/>
        <v>0</v>
      </c>
      <c r="T829" s="1369">
        <v>0</v>
      </c>
      <c r="U829" s="1369">
        <v>0</v>
      </c>
      <c r="V829" s="1369">
        <v>0</v>
      </c>
      <c r="W829" s="1369">
        <v>0</v>
      </c>
      <c r="X829" s="1369">
        <v>0</v>
      </c>
      <c r="Y829" s="1367"/>
      <c r="Z829" s="1370">
        <v>0</v>
      </c>
      <c r="AA829" s="1370">
        <v>0</v>
      </c>
      <c r="AB829" s="1370">
        <v>0</v>
      </c>
      <c r="AC829" s="1370">
        <v>0</v>
      </c>
      <c r="AD829" s="1370">
        <v>0</v>
      </c>
      <c r="AK829" s="1354">
        <f t="shared" si="254"/>
        <v>0</v>
      </c>
      <c r="AL829" s="1352">
        <f t="shared" si="275"/>
        <v>53</v>
      </c>
      <c r="AM829" s="1354">
        <f t="shared" si="277"/>
        <v>0</v>
      </c>
      <c r="AN829" s="1352" t="str">
        <f t="shared" si="276"/>
        <v>Aid to Private Library Other Expenses</v>
      </c>
    </row>
    <row r="830" spans="1:40" x14ac:dyDescent="0.2">
      <c r="A830" s="1324" t="str">
        <f>A829</f>
        <v>29-393</v>
      </c>
      <c r="B830" s="1324" t="s">
        <v>5928</v>
      </c>
      <c r="C830" s="1353">
        <f>'Key Metrics'!$E$299</f>
        <v>0</v>
      </c>
      <c r="D830" s="1353">
        <f>'Key Metrics'!$I$299</f>
        <v>0</v>
      </c>
      <c r="E830" s="1351">
        <f t="shared" si="266"/>
        <v>0</v>
      </c>
      <c r="F830" s="1353">
        <f t="shared" si="267"/>
        <v>0</v>
      </c>
      <c r="G830" s="1353">
        <f t="shared" si="268"/>
        <v>0</v>
      </c>
      <c r="H830" s="1353">
        <f t="shared" si="269"/>
        <v>0</v>
      </c>
      <c r="I830" s="1353">
        <f t="shared" si="270"/>
        <v>0</v>
      </c>
      <c r="J830" s="1353">
        <f t="shared" si="271"/>
        <v>0</v>
      </c>
      <c r="M830" s="1324" t="str">
        <f t="shared" si="272"/>
        <v>Aid to Private Library Unclassified</v>
      </c>
      <c r="N830" s="1368">
        <f t="shared" si="273"/>
        <v>0</v>
      </c>
      <c r="O830" s="1368">
        <f t="shared" si="274"/>
        <v>0</v>
      </c>
      <c r="P830" s="1368">
        <f t="shared" si="274"/>
        <v>0</v>
      </c>
      <c r="Q830" s="1368">
        <f t="shared" si="274"/>
        <v>0</v>
      </c>
      <c r="R830" s="1368">
        <f t="shared" si="274"/>
        <v>0</v>
      </c>
      <c r="T830" s="1369">
        <v>0</v>
      </c>
      <c r="U830" s="1369">
        <v>0</v>
      </c>
      <c r="V830" s="1369">
        <v>0</v>
      </c>
      <c r="W830" s="1369">
        <v>0</v>
      </c>
      <c r="X830" s="1369">
        <v>0</v>
      </c>
      <c r="Y830" s="1367"/>
      <c r="Z830" s="1370">
        <v>0</v>
      </c>
      <c r="AA830" s="1370">
        <v>0</v>
      </c>
      <c r="AB830" s="1370">
        <v>0</v>
      </c>
      <c r="AC830" s="1370">
        <v>0</v>
      </c>
      <c r="AD830" s="1370">
        <v>0</v>
      </c>
      <c r="AK830" s="1354">
        <f t="shared" si="254"/>
        <v>0</v>
      </c>
      <c r="AL830" s="1352">
        <f t="shared" si="275"/>
        <v>53</v>
      </c>
      <c r="AM830" s="1354">
        <f t="shared" si="277"/>
        <v>0</v>
      </c>
      <c r="AN830" s="1352" t="str">
        <f t="shared" si="276"/>
        <v>Aid to Private Library Unclassified</v>
      </c>
    </row>
    <row r="831" spans="1:40" x14ac:dyDescent="0.2">
      <c r="A831" s="1324" t="s">
        <v>5459</v>
      </c>
      <c r="B831" s="1324" t="s">
        <v>5712</v>
      </c>
      <c r="C831" s="1353">
        <f>'Key Metrics'!$C$300</f>
        <v>0</v>
      </c>
      <c r="D831" s="1353">
        <f>'Key Metrics'!$G$300</f>
        <v>0</v>
      </c>
      <c r="E831" s="1351">
        <f t="shared" si="266"/>
        <v>0</v>
      </c>
      <c r="F831" s="1353">
        <f t="shared" si="267"/>
        <v>0</v>
      </c>
      <c r="G831" s="1353">
        <f t="shared" si="268"/>
        <v>0</v>
      </c>
      <c r="H831" s="1353">
        <f t="shared" si="269"/>
        <v>0</v>
      </c>
      <c r="I831" s="1353">
        <f t="shared" si="270"/>
        <v>0</v>
      </c>
      <c r="J831" s="1353">
        <f t="shared" si="271"/>
        <v>0</v>
      </c>
      <c r="M831" s="1324" t="str">
        <f t="shared" si="272"/>
        <v>Contribution to County College Salaries &amp; Wages</v>
      </c>
      <c r="N831" s="1368">
        <f t="shared" si="273"/>
        <v>0</v>
      </c>
      <c r="O831" s="1368">
        <f t="shared" si="274"/>
        <v>0</v>
      </c>
      <c r="P831" s="1368">
        <f t="shared" si="274"/>
        <v>0</v>
      </c>
      <c r="Q831" s="1368">
        <f t="shared" si="274"/>
        <v>0</v>
      </c>
      <c r="R831" s="1368">
        <f t="shared" si="274"/>
        <v>0</v>
      </c>
      <c r="T831" s="1369">
        <v>0</v>
      </c>
      <c r="U831" s="1369">
        <v>0</v>
      </c>
      <c r="V831" s="1369">
        <v>0</v>
      </c>
      <c r="W831" s="1369">
        <v>0</v>
      </c>
      <c r="X831" s="1369">
        <v>0</v>
      </c>
      <c r="Y831" s="1367"/>
      <c r="Z831" s="1370">
        <v>0</v>
      </c>
      <c r="AA831" s="1370">
        <v>0</v>
      </c>
      <c r="AB831" s="1370">
        <v>0</v>
      </c>
      <c r="AC831" s="1370">
        <v>0</v>
      </c>
      <c r="AD831" s="1370">
        <v>0</v>
      </c>
      <c r="AK831" s="1354">
        <f t="shared" si="254"/>
        <v>0</v>
      </c>
      <c r="AL831" s="1352">
        <f t="shared" si="275"/>
        <v>53</v>
      </c>
      <c r="AM831" s="1354">
        <f t="shared" si="277"/>
        <v>0</v>
      </c>
      <c r="AN831" s="1352" t="str">
        <f t="shared" si="276"/>
        <v>Contribution to County College Salaries &amp; Wages</v>
      </c>
    </row>
    <row r="832" spans="1:40" x14ac:dyDescent="0.2">
      <c r="A832" s="1324" t="str">
        <f>A831</f>
        <v>29-395</v>
      </c>
      <c r="B832" s="1324" t="s">
        <v>5929</v>
      </c>
      <c r="C832" s="1353">
        <f>'Key Metrics'!$D$300</f>
        <v>0</v>
      </c>
      <c r="D832" s="1353">
        <f>'Key Metrics'!$H$300</f>
        <v>0</v>
      </c>
      <c r="E832" s="1351">
        <f t="shared" si="266"/>
        <v>0</v>
      </c>
      <c r="F832" s="1353">
        <f t="shared" si="267"/>
        <v>0</v>
      </c>
      <c r="G832" s="1353">
        <f t="shared" si="268"/>
        <v>0</v>
      </c>
      <c r="H832" s="1353">
        <f t="shared" si="269"/>
        <v>0</v>
      </c>
      <c r="I832" s="1353">
        <f t="shared" si="270"/>
        <v>0</v>
      </c>
      <c r="J832" s="1353">
        <f t="shared" si="271"/>
        <v>0</v>
      </c>
      <c r="M832" s="1324" t="str">
        <f t="shared" si="272"/>
        <v>Contribution to County College Other Expenses</v>
      </c>
      <c r="N832" s="1368">
        <f t="shared" si="273"/>
        <v>0</v>
      </c>
      <c r="O832" s="1368">
        <f t="shared" si="274"/>
        <v>0</v>
      </c>
      <c r="P832" s="1368">
        <f t="shared" si="274"/>
        <v>0</v>
      </c>
      <c r="Q832" s="1368">
        <f t="shared" si="274"/>
        <v>0</v>
      </c>
      <c r="R832" s="1368">
        <f t="shared" si="274"/>
        <v>0</v>
      </c>
      <c r="T832" s="1369">
        <v>0</v>
      </c>
      <c r="U832" s="1369">
        <v>0</v>
      </c>
      <c r="V832" s="1369">
        <v>0</v>
      </c>
      <c r="W832" s="1369">
        <v>0</v>
      </c>
      <c r="X832" s="1369">
        <v>0</v>
      </c>
      <c r="Y832" s="1367"/>
      <c r="Z832" s="1370">
        <v>0</v>
      </c>
      <c r="AA832" s="1370">
        <v>0</v>
      </c>
      <c r="AB832" s="1370">
        <v>0</v>
      </c>
      <c r="AC832" s="1370">
        <v>0</v>
      </c>
      <c r="AD832" s="1370">
        <v>0</v>
      </c>
      <c r="AK832" s="1354">
        <f t="shared" si="254"/>
        <v>0</v>
      </c>
      <c r="AL832" s="1352">
        <f t="shared" si="275"/>
        <v>53</v>
      </c>
      <c r="AM832" s="1354">
        <f t="shared" si="277"/>
        <v>0</v>
      </c>
      <c r="AN832" s="1352" t="str">
        <f t="shared" si="276"/>
        <v>Contribution to County College Other Expenses</v>
      </c>
    </row>
    <row r="833" spans="1:40" x14ac:dyDescent="0.2">
      <c r="A833" s="1324" t="str">
        <f>A832</f>
        <v>29-395</v>
      </c>
      <c r="B833" s="1324" t="s">
        <v>5930</v>
      </c>
      <c r="C833" s="1353">
        <f>'Key Metrics'!$E$300</f>
        <v>0</v>
      </c>
      <c r="D833" s="1353">
        <f>'Key Metrics'!$I$300</f>
        <v>0</v>
      </c>
      <c r="E833" s="1351">
        <f t="shared" si="266"/>
        <v>0</v>
      </c>
      <c r="F833" s="1353">
        <f t="shared" si="267"/>
        <v>0</v>
      </c>
      <c r="G833" s="1353">
        <f t="shared" si="268"/>
        <v>0</v>
      </c>
      <c r="H833" s="1353">
        <f t="shared" si="269"/>
        <v>0</v>
      </c>
      <c r="I833" s="1353">
        <f t="shared" si="270"/>
        <v>0</v>
      </c>
      <c r="J833" s="1353">
        <f t="shared" si="271"/>
        <v>0</v>
      </c>
      <c r="M833" s="1324" t="str">
        <f t="shared" si="272"/>
        <v>Contribution to County College Unclassified</v>
      </c>
      <c r="N833" s="1368">
        <f t="shared" si="273"/>
        <v>0</v>
      </c>
      <c r="O833" s="1368">
        <f t="shared" si="274"/>
        <v>0</v>
      </c>
      <c r="P833" s="1368">
        <f t="shared" si="274"/>
        <v>0</v>
      </c>
      <c r="Q833" s="1368">
        <f t="shared" si="274"/>
        <v>0</v>
      </c>
      <c r="R833" s="1368">
        <f t="shared" si="274"/>
        <v>0</v>
      </c>
      <c r="T833" s="1369">
        <v>0</v>
      </c>
      <c r="U833" s="1369">
        <v>0</v>
      </c>
      <c r="V833" s="1369">
        <v>0</v>
      </c>
      <c r="W833" s="1369">
        <v>0</v>
      </c>
      <c r="X833" s="1369">
        <v>0</v>
      </c>
      <c r="Y833" s="1367"/>
      <c r="Z833" s="1370">
        <v>0</v>
      </c>
      <c r="AA833" s="1370">
        <v>0</v>
      </c>
      <c r="AB833" s="1370">
        <v>0</v>
      </c>
      <c r="AC833" s="1370">
        <v>0</v>
      </c>
      <c r="AD833" s="1370">
        <v>0</v>
      </c>
      <c r="AK833" s="1354">
        <f t="shared" si="254"/>
        <v>0</v>
      </c>
      <c r="AL833" s="1352">
        <f t="shared" si="275"/>
        <v>53</v>
      </c>
      <c r="AM833" s="1354">
        <f t="shared" si="277"/>
        <v>0</v>
      </c>
      <c r="AN833" s="1352" t="str">
        <f t="shared" si="276"/>
        <v>Contribution to County College Unclassified</v>
      </c>
    </row>
    <row r="834" spans="1:40" x14ac:dyDescent="0.2">
      <c r="A834" s="1324" t="s">
        <v>5460</v>
      </c>
      <c r="B834" s="1324" t="s">
        <v>5713</v>
      </c>
      <c r="C834" s="1353">
        <f>'Key Metrics'!$C$301</f>
        <v>0</v>
      </c>
      <c r="D834" s="1353">
        <f>'Key Metrics'!$G$301</f>
        <v>0</v>
      </c>
      <c r="E834" s="1351">
        <f t="shared" si="266"/>
        <v>0</v>
      </c>
      <c r="F834" s="1353">
        <f t="shared" si="267"/>
        <v>0</v>
      </c>
      <c r="G834" s="1353">
        <f t="shared" si="268"/>
        <v>0</v>
      </c>
      <c r="H834" s="1353">
        <f t="shared" si="269"/>
        <v>0</v>
      </c>
      <c r="I834" s="1353">
        <f t="shared" si="270"/>
        <v>0</v>
      </c>
      <c r="J834" s="1353">
        <f t="shared" si="271"/>
        <v>0</v>
      </c>
      <c r="M834" s="1324" t="str">
        <f t="shared" si="272"/>
        <v>Contribution to County Technical School Salaries &amp; Wages</v>
      </c>
      <c r="N834" s="1368">
        <f t="shared" si="273"/>
        <v>0</v>
      </c>
      <c r="O834" s="1368">
        <f t="shared" si="274"/>
        <v>0</v>
      </c>
      <c r="P834" s="1368">
        <f t="shared" si="274"/>
        <v>0</v>
      </c>
      <c r="Q834" s="1368">
        <f t="shared" si="274"/>
        <v>0</v>
      </c>
      <c r="R834" s="1368">
        <f t="shared" si="274"/>
        <v>0</v>
      </c>
      <c r="T834" s="1369">
        <v>0</v>
      </c>
      <c r="U834" s="1369">
        <v>0</v>
      </c>
      <c r="V834" s="1369">
        <v>0</v>
      </c>
      <c r="W834" s="1369">
        <v>0</v>
      </c>
      <c r="X834" s="1369">
        <v>0</v>
      </c>
      <c r="Y834" s="1367"/>
      <c r="Z834" s="1370">
        <v>0</v>
      </c>
      <c r="AA834" s="1370">
        <v>0</v>
      </c>
      <c r="AB834" s="1370">
        <v>0</v>
      </c>
      <c r="AC834" s="1370">
        <v>0</v>
      </c>
      <c r="AD834" s="1370">
        <v>0</v>
      </c>
      <c r="AK834" s="1354">
        <f t="shared" si="254"/>
        <v>0</v>
      </c>
      <c r="AL834" s="1352">
        <f t="shared" si="275"/>
        <v>53</v>
      </c>
      <c r="AM834" s="1354">
        <f t="shared" si="277"/>
        <v>0</v>
      </c>
      <c r="AN834" s="1352" t="str">
        <f t="shared" si="276"/>
        <v>Contribution to County Technical School Salaries &amp; Wages</v>
      </c>
    </row>
    <row r="835" spans="1:40" x14ac:dyDescent="0.2">
      <c r="A835" s="1324" t="str">
        <f>A834</f>
        <v>29-400</v>
      </c>
      <c r="B835" s="1324" t="s">
        <v>5931</v>
      </c>
      <c r="C835" s="1353">
        <f>'Key Metrics'!$D$301</f>
        <v>0</v>
      </c>
      <c r="D835" s="1353">
        <f>'Key Metrics'!$H$301</f>
        <v>0</v>
      </c>
      <c r="E835" s="1351">
        <f t="shared" si="266"/>
        <v>0</v>
      </c>
      <c r="F835" s="1353">
        <f t="shared" si="267"/>
        <v>0</v>
      </c>
      <c r="G835" s="1353">
        <f t="shared" si="268"/>
        <v>0</v>
      </c>
      <c r="H835" s="1353">
        <f t="shared" si="269"/>
        <v>0</v>
      </c>
      <c r="I835" s="1353">
        <f t="shared" si="270"/>
        <v>0</v>
      </c>
      <c r="J835" s="1353">
        <f t="shared" si="271"/>
        <v>0</v>
      </c>
      <c r="M835" s="1324" t="str">
        <f t="shared" si="272"/>
        <v>Contribution to County Technical School Other Expenses</v>
      </c>
      <c r="N835" s="1368">
        <f t="shared" si="273"/>
        <v>0</v>
      </c>
      <c r="O835" s="1368">
        <f t="shared" ref="O835:R845" si="278">N835</f>
        <v>0</v>
      </c>
      <c r="P835" s="1368">
        <f t="shared" si="278"/>
        <v>0</v>
      </c>
      <c r="Q835" s="1368">
        <f t="shared" si="278"/>
        <v>0</v>
      </c>
      <c r="R835" s="1368">
        <f t="shared" si="278"/>
        <v>0</v>
      </c>
      <c r="T835" s="1369">
        <v>0</v>
      </c>
      <c r="U835" s="1369">
        <v>0</v>
      </c>
      <c r="V835" s="1369">
        <v>0</v>
      </c>
      <c r="W835" s="1369">
        <v>0</v>
      </c>
      <c r="X835" s="1369">
        <v>0</v>
      </c>
      <c r="Y835" s="1367"/>
      <c r="Z835" s="1370">
        <v>0</v>
      </c>
      <c r="AA835" s="1370">
        <v>0</v>
      </c>
      <c r="AB835" s="1370">
        <v>0</v>
      </c>
      <c r="AC835" s="1370">
        <v>0</v>
      </c>
      <c r="AD835" s="1370">
        <v>0</v>
      </c>
      <c r="AK835" s="1354">
        <f t="shared" si="254"/>
        <v>0</v>
      </c>
      <c r="AL835" s="1352">
        <f t="shared" si="275"/>
        <v>53</v>
      </c>
      <c r="AM835" s="1354">
        <f t="shared" si="277"/>
        <v>0</v>
      </c>
      <c r="AN835" s="1352" t="str">
        <f t="shared" si="276"/>
        <v>Contribution to County Technical School Other Expenses</v>
      </c>
    </row>
    <row r="836" spans="1:40" x14ac:dyDescent="0.2">
      <c r="A836" s="1324" t="str">
        <f>A835</f>
        <v>29-400</v>
      </c>
      <c r="B836" s="1324" t="s">
        <v>5932</v>
      </c>
      <c r="C836" s="1353">
        <f>'Key Metrics'!$E$301</f>
        <v>0</v>
      </c>
      <c r="D836" s="1353">
        <f>'Key Metrics'!$I$301</f>
        <v>0</v>
      </c>
      <c r="E836" s="1351">
        <f t="shared" si="266"/>
        <v>0</v>
      </c>
      <c r="F836" s="1353">
        <f t="shared" si="267"/>
        <v>0</v>
      </c>
      <c r="G836" s="1353">
        <f t="shared" si="268"/>
        <v>0</v>
      </c>
      <c r="H836" s="1353">
        <f t="shared" si="269"/>
        <v>0</v>
      </c>
      <c r="I836" s="1353">
        <f t="shared" si="270"/>
        <v>0</v>
      </c>
      <c r="J836" s="1353">
        <f t="shared" si="271"/>
        <v>0</v>
      </c>
      <c r="M836" s="1324" t="str">
        <f t="shared" si="272"/>
        <v>Contribution to County Technical School Unclassified</v>
      </c>
      <c r="N836" s="1368">
        <f t="shared" si="273"/>
        <v>0</v>
      </c>
      <c r="O836" s="1368">
        <f t="shared" si="278"/>
        <v>0</v>
      </c>
      <c r="P836" s="1368">
        <f t="shared" si="278"/>
        <v>0</v>
      </c>
      <c r="Q836" s="1368">
        <f t="shared" si="278"/>
        <v>0</v>
      </c>
      <c r="R836" s="1368">
        <f t="shared" si="278"/>
        <v>0</v>
      </c>
      <c r="T836" s="1369">
        <v>0</v>
      </c>
      <c r="U836" s="1369">
        <v>0</v>
      </c>
      <c r="V836" s="1369">
        <v>0</v>
      </c>
      <c r="W836" s="1369">
        <v>0</v>
      </c>
      <c r="X836" s="1369">
        <v>0</v>
      </c>
      <c r="Y836" s="1367"/>
      <c r="Z836" s="1370">
        <v>0</v>
      </c>
      <c r="AA836" s="1370">
        <v>0</v>
      </c>
      <c r="AB836" s="1370">
        <v>0</v>
      </c>
      <c r="AC836" s="1370">
        <v>0</v>
      </c>
      <c r="AD836" s="1370">
        <v>0</v>
      </c>
      <c r="AK836" s="1354">
        <f t="shared" si="254"/>
        <v>0</v>
      </c>
      <c r="AL836" s="1352">
        <f t="shared" si="275"/>
        <v>53</v>
      </c>
      <c r="AM836" s="1354">
        <f t="shared" si="277"/>
        <v>0</v>
      </c>
      <c r="AN836" s="1352" t="str">
        <f t="shared" si="276"/>
        <v>Contribution to County Technical School Unclassified</v>
      </c>
    </row>
    <row r="837" spans="1:40" x14ac:dyDescent="0.2">
      <c r="A837" s="1324" t="s">
        <v>550</v>
      </c>
      <c r="B837" s="1324" t="s">
        <v>5714</v>
      </c>
      <c r="C837" s="1353">
        <f>'Key Metrics'!$C$302</f>
        <v>0</v>
      </c>
      <c r="D837" s="1353">
        <f>'Key Metrics'!$G$302</f>
        <v>0</v>
      </c>
      <c r="E837" s="1351">
        <f t="shared" si="266"/>
        <v>0</v>
      </c>
      <c r="F837" s="1353">
        <f t="shared" si="267"/>
        <v>0</v>
      </c>
      <c r="G837" s="1353">
        <f t="shared" si="268"/>
        <v>0</v>
      </c>
      <c r="H837" s="1353">
        <f t="shared" si="269"/>
        <v>0</v>
      </c>
      <c r="I837" s="1353">
        <f t="shared" si="270"/>
        <v>0</v>
      </c>
      <c r="J837" s="1353">
        <f t="shared" si="271"/>
        <v>0</v>
      </c>
      <c r="M837" s="1324" t="str">
        <f t="shared" si="272"/>
        <v>Contribution to Local School Board Salaries &amp; Wages</v>
      </c>
      <c r="N837" s="1368">
        <f t="shared" si="273"/>
        <v>0</v>
      </c>
      <c r="O837" s="1368">
        <f t="shared" si="278"/>
        <v>0</v>
      </c>
      <c r="P837" s="1368">
        <f t="shared" si="278"/>
        <v>0</v>
      </c>
      <c r="Q837" s="1368">
        <f t="shared" si="278"/>
        <v>0</v>
      </c>
      <c r="R837" s="1368">
        <f t="shared" si="278"/>
        <v>0</v>
      </c>
      <c r="T837" s="1369">
        <v>0</v>
      </c>
      <c r="U837" s="1369">
        <v>0</v>
      </c>
      <c r="V837" s="1369">
        <v>0</v>
      </c>
      <c r="W837" s="1369">
        <v>0</v>
      </c>
      <c r="X837" s="1369">
        <v>0</v>
      </c>
      <c r="Y837" s="1367"/>
      <c r="Z837" s="1370">
        <v>0</v>
      </c>
      <c r="AA837" s="1370">
        <v>0</v>
      </c>
      <c r="AB837" s="1370">
        <v>0</v>
      </c>
      <c r="AC837" s="1370">
        <v>0</v>
      </c>
      <c r="AD837" s="1370">
        <v>0</v>
      </c>
      <c r="AK837" s="1354">
        <f t="shared" si="254"/>
        <v>0</v>
      </c>
      <c r="AL837" s="1352">
        <f t="shared" si="275"/>
        <v>53</v>
      </c>
      <c r="AM837" s="1354">
        <f t="shared" si="277"/>
        <v>0</v>
      </c>
      <c r="AN837" s="1352" t="str">
        <f t="shared" si="276"/>
        <v>Contribution to Local School Board Salaries &amp; Wages</v>
      </c>
    </row>
    <row r="838" spans="1:40" x14ac:dyDescent="0.2">
      <c r="A838" s="1324" t="str">
        <f>A837</f>
        <v>29-405</v>
      </c>
      <c r="B838" s="1324" t="s">
        <v>5933</v>
      </c>
      <c r="C838" s="1353">
        <f>'Key Metrics'!$D$302</f>
        <v>0</v>
      </c>
      <c r="D838" s="1353">
        <f>'Key Metrics'!$H$302</f>
        <v>0</v>
      </c>
      <c r="E838" s="1351">
        <f t="shared" si="266"/>
        <v>0</v>
      </c>
      <c r="F838" s="1353">
        <f t="shared" si="267"/>
        <v>0</v>
      </c>
      <c r="G838" s="1353">
        <f t="shared" si="268"/>
        <v>0</v>
      </c>
      <c r="H838" s="1353">
        <f t="shared" si="269"/>
        <v>0</v>
      </c>
      <c r="I838" s="1353">
        <f t="shared" si="270"/>
        <v>0</v>
      </c>
      <c r="J838" s="1353">
        <f t="shared" si="271"/>
        <v>0</v>
      </c>
      <c r="M838" s="1324" t="str">
        <f t="shared" si="272"/>
        <v>Contribution to Local School Board Other Expenses</v>
      </c>
      <c r="N838" s="1368">
        <f t="shared" si="273"/>
        <v>0</v>
      </c>
      <c r="O838" s="1368">
        <f t="shared" si="278"/>
        <v>0</v>
      </c>
      <c r="P838" s="1368">
        <f t="shared" si="278"/>
        <v>0</v>
      </c>
      <c r="Q838" s="1368">
        <f t="shared" si="278"/>
        <v>0</v>
      </c>
      <c r="R838" s="1368">
        <f t="shared" si="278"/>
        <v>0</v>
      </c>
      <c r="T838" s="1369">
        <v>0</v>
      </c>
      <c r="U838" s="1369">
        <v>0</v>
      </c>
      <c r="V838" s="1369">
        <v>0</v>
      </c>
      <c r="W838" s="1369">
        <v>0</v>
      </c>
      <c r="X838" s="1369">
        <v>0</v>
      </c>
      <c r="Y838" s="1367"/>
      <c r="Z838" s="1370">
        <v>0</v>
      </c>
      <c r="AA838" s="1370">
        <v>0</v>
      </c>
      <c r="AB838" s="1370">
        <v>0</v>
      </c>
      <c r="AC838" s="1370">
        <v>0</v>
      </c>
      <c r="AD838" s="1370">
        <v>0</v>
      </c>
      <c r="AK838" s="1354">
        <f t="shared" si="254"/>
        <v>0</v>
      </c>
      <c r="AL838" s="1352">
        <f t="shared" si="275"/>
        <v>53</v>
      </c>
      <c r="AM838" s="1354">
        <f t="shared" si="277"/>
        <v>0</v>
      </c>
      <c r="AN838" s="1352" t="str">
        <f t="shared" si="276"/>
        <v>Contribution to Local School Board Other Expenses</v>
      </c>
    </row>
    <row r="839" spans="1:40" x14ac:dyDescent="0.2">
      <c r="A839" s="1324" t="str">
        <f>A838</f>
        <v>29-405</v>
      </c>
      <c r="B839" s="1324" t="s">
        <v>5934</v>
      </c>
      <c r="C839" s="1353">
        <f>'Key Metrics'!$E$302</f>
        <v>0</v>
      </c>
      <c r="D839" s="1353">
        <f>'Key Metrics'!$I$302</f>
        <v>0</v>
      </c>
      <c r="E839" s="1351">
        <f t="shared" si="266"/>
        <v>0</v>
      </c>
      <c r="F839" s="1353">
        <f t="shared" si="267"/>
        <v>0</v>
      </c>
      <c r="G839" s="1353">
        <f t="shared" si="268"/>
        <v>0</v>
      </c>
      <c r="H839" s="1353">
        <f t="shared" si="269"/>
        <v>0</v>
      </c>
      <c r="I839" s="1353">
        <f t="shared" si="270"/>
        <v>0</v>
      </c>
      <c r="J839" s="1353">
        <f t="shared" si="271"/>
        <v>0</v>
      </c>
      <c r="M839" s="1324" t="str">
        <f t="shared" si="272"/>
        <v>Contribution to Local School Board Unclassified</v>
      </c>
      <c r="N839" s="1368">
        <f t="shared" si="273"/>
        <v>0</v>
      </c>
      <c r="O839" s="1368">
        <f t="shared" si="278"/>
        <v>0</v>
      </c>
      <c r="P839" s="1368">
        <f t="shared" si="278"/>
        <v>0</v>
      </c>
      <c r="Q839" s="1368">
        <f t="shared" si="278"/>
        <v>0</v>
      </c>
      <c r="R839" s="1368">
        <f t="shared" si="278"/>
        <v>0</v>
      </c>
      <c r="T839" s="1369">
        <v>0</v>
      </c>
      <c r="U839" s="1369">
        <v>0</v>
      </c>
      <c r="V839" s="1369">
        <v>0</v>
      </c>
      <c r="W839" s="1369">
        <v>0</v>
      </c>
      <c r="X839" s="1369">
        <v>0</v>
      </c>
      <c r="Y839" s="1367"/>
      <c r="Z839" s="1370">
        <v>0</v>
      </c>
      <c r="AA839" s="1370">
        <v>0</v>
      </c>
      <c r="AB839" s="1370">
        <v>0</v>
      </c>
      <c r="AC839" s="1370">
        <v>0</v>
      </c>
      <c r="AD839" s="1370">
        <v>0</v>
      </c>
      <c r="AK839" s="1354">
        <f t="shared" si="254"/>
        <v>0</v>
      </c>
      <c r="AL839" s="1352">
        <f t="shared" si="275"/>
        <v>53</v>
      </c>
      <c r="AM839" s="1354">
        <f t="shared" si="277"/>
        <v>0</v>
      </c>
      <c r="AN839" s="1352" t="str">
        <f t="shared" si="276"/>
        <v>Contribution to Local School Board Unclassified</v>
      </c>
    </row>
    <row r="840" spans="1:40" x14ac:dyDescent="0.2">
      <c r="A840" s="1324" t="s">
        <v>556</v>
      </c>
      <c r="B840" s="1324" t="s">
        <v>5715</v>
      </c>
      <c r="C840" s="1353">
        <f>'Key Metrics'!$C$303</f>
        <v>0</v>
      </c>
      <c r="D840" s="1353">
        <f>'Key Metrics'!$G$303</f>
        <v>0</v>
      </c>
      <c r="E840" s="1351">
        <f t="shared" si="266"/>
        <v>0</v>
      </c>
      <c r="F840" s="1353">
        <f t="shared" si="267"/>
        <v>0</v>
      </c>
      <c r="G840" s="1353">
        <f t="shared" si="268"/>
        <v>0</v>
      </c>
      <c r="H840" s="1353">
        <f t="shared" si="269"/>
        <v>0</v>
      </c>
      <c r="I840" s="1353">
        <f t="shared" si="270"/>
        <v>0</v>
      </c>
      <c r="J840" s="1353">
        <f t="shared" si="271"/>
        <v>0</v>
      </c>
      <c r="M840" s="1324" t="str">
        <f t="shared" si="272"/>
        <v>Emergency Authorizations - Schools Salaries &amp; Wages</v>
      </c>
      <c r="N840" s="1368">
        <f t="shared" si="273"/>
        <v>0</v>
      </c>
      <c r="O840" s="1368">
        <f t="shared" si="278"/>
        <v>0</v>
      </c>
      <c r="P840" s="1368">
        <f t="shared" si="278"/>
        <v>0</v>
      </c>
      <c r="Q840" s="1368">
        <f t="shared" si="278"/>
        <v>0</v>
      </c>
      <c r="R840" s="1368">
        <f t="shared" si="278"/>
        <v>0</v>
      </c>
      <c r="T840" s="1369">
        <v>0</v>
      </c>
      <c r="U840" s="1369">
        <v>0</v>
      </c>
      <c r="V840" s="1369">
        <v>0</v>
      </c>
      <c r="W840" s="1369">
        <v>0</v>
      </c>
      <c r="X840" s="1369">
        <v>0</v>
      </c>
      <c r="Y840" s="1367"/>
      <c r="Z840" s="1370">
        <v>0</v>
      </c>
      <c r="AA840" s="1370">
        <v>0</v>
      </c>
      <c r="AB840" s="1370">
        <v>0</v>
      </c>
      <c r="AC840" s="1370">
        <v>0</v>
      </c>
      <c r="AD840" s="1370">
        <v>0</v>
      </c>
      <c r="AK840" s="1354">
        <f t="shared" si="254"/>
        <v>0</v>
      </c>
      <c r="AL840" s="1352">
        <f t="shared" si="275"/>
        <v>53</v>
      </c>
      <c r="AM840" s="1354">
        <f t="shared" si="277"/>
        <v>0</v>
      </c>
      <c r="AN840" s="1352" t="str">
        <f t="shared" si="276"/>
        <v>Emergency Authorizations - Schools Salaries &amp; Wages</v>
      </c>
    </row>
    <row r="841" spans="1:40" x14ac:dyDescent="0.2">
      <c r="A841" s="1324" t="str">
        <f>A840</f>
        <v>29-406</v>
      </c>
      <c r="B841" s="1324" t="s">
        <v>5935</v>
      </c>
      <c r="C841" s="1353">
        <f>'Key Metrics'!$D$303</f>
        <v>0</v>
      </c>
      <c r="D841" s="1353">
        <f>'Key Metrics'!$H$303</f>
        <v>0</v>
      </c>
      <c r="E841" s="1351">
        <f t="shared" si="266"/>
        <v>0</v>
      </c>
      <c r="F841" s="1353">
        <f t="shared" si="267"/>
        <v>0</v>
      </c>
      <c r="G841" s="1353">
        <f t="shared" si="268"/>
        <v>0</v>
      </c>
      <c r="H841" s="1353">
        <f t="shared" si="269"/>
        <v>0</v>
      </c>
      <c r="I841" s="1353">
        <f t="shared" si="270"/>
        <v>0</v>
      </c>
      <c r="J841" s="1353">
        <f t="shared" si="271"/>
        <v>0</v>
      </c>
      <c r="M841" s="1324" t="str">
        <f t="shared" si="272"/>
        <v>Emergency Authorizations - Schools Other Expenses</v>
      </c>
      <c r="N841" s="1368">
        <f t="shared" si="273"/>
        <v>0</v>
      </c>
      <c r="O841" s="1368">
        <f t="shared" si="278"/>
        <v>0</v>
      </c>
      <c r="P841" s="1368">
        <f t="shared" si="278"/>
        <v>0</v>
      </c>
      <c r="Q841" s="1368">
        <f t="shared" si="278"/>
        <v>0</v>
      </c>
      <c r="R841" s="1368">
        <f t="shared" si="278"/>
        <v>0</v>
      </c>
      <c r="T841" s="1369">
        <v>0</v>
      </c>
      <c r="U841" s="1369">
        <v>0</v>
      </c>
      <c r="V841" s="1369">
        <v>0</v>
      </c>
      <c r="W841" s="1369">
        <v>0</v>
      </c>
      <c r="X841" s="1369">
        <v>0</v>
      </c>
      <c r="Y841" s="1367"/>
      <c r="Z841" s="1370">
        <v>0</v>
      </c>
      <c r="AA841" s="1370">
        <v>0</v>
      </c>
      <c r="AB841" s="1370">
        <v>0</v>
      </c>
      <c r="AC841" s="1370">
        <v>0</v>
      </c>
      <c r="AD841" s="1370">
        <v>0</v>
      </c>
      <c r="AK841" s="1354">
        <f t="shared" si="254"/>
        <v>0</v>
      </c>
      <c r="AL841" s="1352">
        <f t="shared" si="275"/>
        <v>53</v>
      </c>
      <c r="AM841" s="1354">
        <f t="shared" si="277"/>
        <v>0</v>
      </c>
      <c r="AN841" s="1352" t="str">
        <f t="shared" si="276"/>
        <v>Emergency Authorizations - Schools Other Expenses</v>
      </c>
    </row>
    <row r="842" spans="1:40" x14ac:dyDescent="0.2">
      <c r="A842" s="1324" t="str">
        <f>A841</f>
        <v>29-406</v>
      </c>
      <c r="B842" s="1324" t="s">
        <v>5936</v>
      </c>
      <c r="C842" s="1353">
        <f>'Key Metrics'!$E$303</f>
        <v>0</v>
      </c>
      <c r="D842" s="1353">
        <f>'Key Metrics'!$I$303</f>
        <v>0</v>
      </c>
      <c r="E842" s="1351">
        <f t="shared" si="266"/>
        <v>0</v>
      </c>
      <c r="F842" s="1353">
        <f t="shared" si="267"/>
        <v>0</v>
      </c>
      <c r="G842" s="1353">
        <f t="shared" si="268"/>
        <v>0</v>
      </c>
      <c r="H842" s="1353">
        <f t="shared" si="269"/>
        <v>0</v>
      </c>
      <c r="I842" s="1353">
        <f t="shared" si="270"/>
        <v>0</v>
      </c>
      <c r="J842" s="1353">
        <f t="shared" si="271"/>
        <v>0</v>
      </c>
      <c r="M842" s="1324" t="str">
        <f t="shared" si="272"/>
        <v>Emergency Authorizations - Schools Unclassified</v>
      </c>
      <c r="N842" s="1368">
        <f t="shared" si="273"/>
        <v>0</v>
      </c>
      <c r="O842" s="1368">
        <f t="shared" si="278"/>
        <v>0</v>
      </c>
      <c r="P842" s="1368">
        <f t="shared" si="278"/>
        <v>0</v>
      </c>
      <c r="Q842" s="1368">
        <f t="shared" si="278"/>
        <v>0</v>
      </c>
      <c r="R842" s="1368">
        <f t="shared" si="278"/>
        <v>0</v>
      </c>
      <c r="T842" s="1369">
        <v>0</v>
      </c>
      <c r="U842" s="1369">
        <v>0</v>
      </c>
      <c r="V842" s="1369">
        <v>0</v>
      </c>
      <c r="W842" s="1369">
        <v>0</v>
      </c>
      <c r="X842" s="1369">
        <v>0</v>
      </c>
      <c r="Y842" s="1367"/>
      <c r="Z842" s="1370">
        <v>0</v>
      </c>
      <c r="AA842" s="1370">
        <v>0</v>
      </c>
      <c r="AB842" s="1370">
        <v>0</v>
      </c>
      <c r="AC842" s="1370">
        <v>0</v>
      </c>
      <c r="AD842" s="1370">
        <v>0</v>
      </c>
      <c r="AK842" s="1354">
        <f t="shared" si="254"/>
        <v>0</v>
      </c>
      <c r="AL842" s="1352">
        <f t="shared" si="275"/>
        <v>53</v>
      </c>
      <c r="AM842" s="1354">
        <f t="shared" si="277"/>
        <v>0</v>
      </c>
      <c r="AN842" s="1352" t="str">
        <f t="shared" si="276"/>
        <v>Emergency Authorizations - Schools Unclassified</v>
      </c>
    </row>
    <row r="843" spans="1:40" x14ac:dyDescent="0.2">
      <c r="A843" s="1324" t="s">
        <v>557</v>
      </c>
      <c r="B843" s="1324" t="s">
        <v>5716</v>
      </c>
      <c r="C843" s="1353">
        <f>'Key Metrics'!$C$304</f>
        <v>0</v>
      </c>
      <c r="D843" s="1353">
        <f>'Key Metrics'!$G$304</f>
        <v>0</v>
      </c>
      <c r="E843" s="1351">
        <f t="shared" si="266"/>
        <v>0</v>
      </c>
      <c r="F843" s="1353">
        <f t="shared" si="267"/>
        <v>0</v>
      </c>
      <c r="G843" s="1353">
        <f t="shared" si="268"/>
        <v>0</v>
      </c>
      <c r="H843" s="1353">
        <f t="shared" si="269"/>
        <v>0</v>
      </c>
      <c r="I843" s="1353">
        <f t="shared" si="270"/>
        <v>0</v>
      </c>
      <c r="J843" s="1353">
        <f t="shared" si="271"/>
        <v>0</v>
      </c>
      <c r="M843" s="1324" t="str">
        <f t="shared" si="272"/>
        <v>Capital Projects - Schools Salaries &amp; Wages</v>
      </c>
      <c r="N843" s="1368">
        <f t="shared" si="273"/>
        <v>0</v>
      </c>
      <c r="O843" s="1368">
        <f t="shared" si="278"/>
        <v>0</v>
      </c>
      <c r="P843" s="1368">
        <f t="shared" si="278"/>
        <v>0</v>
      </c>
      <c r="Q843" s="1368">
        <f t="shared" si="278"/>
        <v>0</v>
      </c>
      <c r="R843" s="1368">
        <f t="shared" si="278"/>
        <v>0</v>
      </c>
      <c r="T843" s="1369">
        <v>0</v>
      </c>
      <c r="U843" s="1369">
        <v>0</v>
      </c>
      <c r="V843" s="1369">
        <v>0</v>
      </c>
      <c r="W843" s="1369">
        <v>0</v>
      </c>
      <c r="X843" s="1369">
        <v>0</v>
      </c>
      <c r="Y843" s="1367"/>
      <c r="Z843" s="1370">
        <v>0</v>
      </c>
      <c r="AA843" s="1370">
        <v>0</v>
      </c>
      <c r="AB843" s="1370">
        <v>0</v>
      </c>
      <c r="AC843" s="1370">
        <v>0</v>
      </c>
      <c r="AD843" s="1370">
        <v>0</v>
      </c>
      <c r="AK843" s="1354">
        <f t="shared" si="254"/>
        <v>0</v>
      </c>
      <c r="AL843" s="1352">
        <f t="shared" si="275"/>
        <v>53</v>
      </c>
      <c r="AM843" s="1354">
        <f t="shared" si="277"/>
        <v>0</v>
      </c>
      <c r="AN843" s="1352" t="str">
        <f t="shared" si="276"/>
        <v>Capital Projects - Schools Salaries &amp; Wages</v>
      </c>
    </row>
    <row r="844" spans="1:40" x14ac:dyDescent="0.2">
      <c r="A844" s="1324" t="str">
        <f>A843</f>
        <v>29-407</v>
      </c>
      <c r="B844" s="1324" t="s">
        <v>5937</v>
      </c>
      <c r="C844" s="1353">
        <f>'Key Metrics'!$D$304</f>
        <v>0</v>
      </c>
      <c r="D844" s="1353">
        <f>'Key Metrics'!$H$304</f>
        <v>0</v>
      </c>
      <c r="E844" s="1351">
        <f t="shared" si="266"/>
        <v>0</v>
      </c>
      <c r="F844" s="1353">
        <f t="shared" si="267"/>
        <v>0</v>
      </c>
      <c r="G844" s="1353">
        <f t="shared" si="268"/>
        <v>0</v>
      </c>
      <c r="H844" s="1353">
        <f t="shared" si="269"/>
        <v>0</v>
      </c>
      <c r="I844" s="1353">
        <f t="shared" si="270"/>
        <v>0</v>
      </c>
      <c r="J844" s="1353">
        <f t="shared" si="271"/>
        <v>0</v>
      </c>
      <c r="M844" s="1324" t="str">
        <f t="shared" si="272"/>
        <v>Capital Projects - Schools Other Expenses</v>
      </c>
      <c r="N844" s="1368">
        <f t="shared" si="273"/>
        <v>0</v>
      </c>
      <c r="O844" s="1368">
        <f t="shared" si="278"/>
        <v>0</v>
      </c>
      <c r="P844" s="1368">
        <f t="shared" si="278"/>
        <v>0</v>
      </c>
      <c r="Q844" s="1368">
        <f t="shared" si="278"/>
        <v>0</v>
      </c>
      <c r="R844" s="1368">
        <f t="shared" si="278"/>
        <v>0</v>
      </c>
      <c r="T844" s="1369">
        <v>0</v>
      </c>
      <c r="U844" s="1369">
        <v>0</v>
      </c>
      <c r="V844" s="1369">
        <v>0</v>
      </c>
      <c r="W844" s="1369">
        <v>0</v>
      </c>
      <c r="X844" s="1369">
        <v>0</v>
      </c>
      <c r="Y844" s="1367"/>
      <c r="Z844" s="1370">
        <v>0</v>
      </c>
      <c r="AA844" s="1370">
        <v>0</v>
      </c>
      <c r="AB844" s="1370">
        <v>0</v>
      </c>
      <c r="AC844" s="1370">
        <v>0</v>
      </c>
      <c r="AD844" s="1370">
        <v>0</v>
      </c>
      <c r="AK844" s="1354">
        <f t="shared" si="254"/>
        <v>0</v>
      </c>
      <c r="AL844" s="1352">
        <f t="shared" si="275"/>
        <v>53</v>
      </c>
      <c r="AM844" s="1354">
        <f t="shared" si="277"/>
        <v>0</v>
      </c>
      <c r="AN844" s="1352" t="str">
        <f t="shared" si="276"/>
        <v>Capital Projects - Schools Other Expenses</v>
      </c>
    </row>
    <row r="845" spans="1:40" x14ac:dyDescent="0.2">
      <c r="A845" s="1324" t="str">
        <f>A844</f>
        <v>29-407</v>
      </c>
      <c r="B845" s="1324" t="s">
        <v>5938</v>
      </c>
      <c r="C845" s="1353">
        <f>'Key Metrics'!$E$304</f>
        <v>0</v>
      </c>
      <c r="D845" s="1353">
        <f>'Key Metrics'!$I$304</f>
        <v>0</v>
      </c>
      <c r="E845" s="1351">
        <f t="shared" si="266"/>
        <v>0</v>
      </c>
      <c r="F845" s="1353">
        <f t="shared" si="267"/>
        <v>0</v>
      </c>
      <c r="G845" s="1353">
        <f t="shared" si="268"/>
        <v>0</v>
      </c>
      <c r="H845" s="1353">
        <f t="shared" si="269"/>
        <v>0</v>
      </c>
      <c r="I845" s="1353">
        <f t="shared" si="270"/>
        <v>0</v>
      </c>
      <c r="J845" s="1353">
        <f t="shared" si="271"/>
        <v>0</v>
      </c>
      <c r="M845" s="1324" t="str">
        <f t="shared" si="272"/>
        <v>Capital Projects - Schools Unclassified</v>
      </c>
      <c r="N845" s="1368">
        <f t="shared" si="273"/>
        <v>0</v>
      </c>
      <c r="O845" s="1368">
        <f t="shared" si="278"/>
        <v>0</v>
      </c>
      <c r="P845" s="1368">
        <f t="shared" si="278"/>
        <v>0</v>
      </c>
      <c r="Q845" s="1368">
        <f t="shared" si="278"/>
        <v>0</v>
      </c>
      <c r="R845" s="1368">
        <f t="shared" si="278"/>
        <v>0</v>
      </c>
      <c r="T845" s="1369">
        <v>0</v>
      </c>
      <c r="U845" s="1369">
        <v>0</v>
      </c>
      <c r="V845" s="1369">
        <v>0</v>
      </c>
      <c r="W845" s="1369">
        <v>0</v>
      </c>
      <c r="X845" s="1369">
        <v>0</v>
      </c>
      <c r="Y845" s="1367"/>
      <c r="Z845" s="1370">
        <v>0</v>
      </c>
      <c r="AA845" s="1370">
        <v>0</v>
      </c>
      <c r="AB845" s="1370">
        <v>0</v>
      </c>
      <c r="AC845" s="1370">
        <v>0</v>
      </c>
      <c r="AD845" s="1370">
        <v>0</v>
      </c>
      <c r="AK845" s="1354">
        <f t="shared" si="254"/>
        <v>0</v>
      </c>
      <c r="AL845" s="1352">
        <f t="shared" si="275"/>
        <v>53</v>
      </c>
      <c r="AM845" s="1354">
        <f t="shared" si="277"/>
        <v>0</v>
      </c>
      <c r="AN845" s="1352" t="str">
        <f t="shared" si="276"/>
        <v>Capital Projects - Schools Unclassified</v>
      </c>
    </row>
    <row r="846" spans="1:40" x14ac:dyDescent="0.2">
      <c r="B846" s="1373" t="s">
        <v>5626</v>
      </c>
      <c r="C846" s="1360">
        <f>SUM(C819:C845)</f>
        <v>0</v>
      </c>
      <c r="D846" s="1360">
        <f>SUM(D819:D845)</f>
        <v>0</v>
      </c>
      <c r="E846" s="1356">
        <f t="shared" si="266"/>
        <v>0</v>
      </c>
      <c r="F846" s="1360">
        <f>SUM(F819:F845)</f>
        <v>0</v>
      </c>
      <c r="G846" s="1360">
        <f>SUM(G819:G845)</f>
        <v>0</v>
      </c>
      <c r="H846" s="1360">
        <f>SUM(H819:H845)</f>
        <v>0</v>
      </c>
      <c r="I846" s="1360">
        <f>SUM(I819:I845)</f>
        <v>0</v>
      </c>
      <c r="J846" s="1360">
        <f>SUM(J819:J845)</f>
        <v>0</v>
      </c>
      <c r="N846" s="1328"/>
      <c r="O846" s="1328"/>
      <c r="P846" s="1328"/>
      <c r="Q846" s="1328"/>
      <c r="R846" s="1328"/>
      <c r="T846" s="1371"/>
      <c r="U846" s="1371"/>
      <c r="V846" s="1371"/>
      <c r="W846" s="1371"/>
      <c r="X846" s="1371"/>
      <c r="Y846" s="1367"/>
      <c r="Z846" s="1372"/>
      <c r="AA846" s="1372"/>
      <c r="AB846" s="1372"/>
      <c r="AC846" s="1372"/>
      <c r="AD846" s="1372"/>
      <c r="AK846" s="1354"/>
      <c r="AL846" s="1352"/>
      <c r="AM846" s="1354"/>
      <c r="AN846" s="1352"/>
    </row>
    <row r="847" spans="1:40" x14ac:dyDescent="0.2">
      <c r="B847" s="1379"/>
      <c r="E847" s="1351"/>
      <c r="N847" s="1328"/>
      <c r="O847" s="1328"/>
      <c r="P847" s="1328"/>
      <c r="Q847" s="1328"/>
      <c r="R847" s="1328"/>
      <c r="T847" s="1371"/>
      <c r="U847" s="1371"/>
      <c r="V847" s="1371"/>
      <c r="W847" s="1371"/>
      <c r="X847" s="1371"/>
      <c r="Y847" s="1367"/>
      <c r="Z847" s="1372"/>
      <c r="AA847" s="1372"/>
      <c r="AB847" s="1372"/>
      <c r="AC847" s="1372"/>
      <c r="AD847" s="1372"/>
      <c r="AK847" s="1354"/>
      <c r="AL847" s="1352"/>
      <c r="AM847" s="1354"/>
      <c r="AN847" s="1352"/>
    </row>
    <row r="848" spans="1:40" ht="15" x14ac:dyDescent="0.25">
      <c r="A848" s="1364" t="s">
        <v>5447</v>
      </c>
      <c r="B848" s="1365"/>
      <c r="C848" s="1365"/>
      <c r="D848" s="1365"/>
      <c r="E848" s="1380"/>
      <c r="F848" s="1365"/>
      <c r="G848" s="1365"/>
      <c r="H848" s="1365"/>
      <c r="I848" s="1365"/>
      <c r="J848" s="1365"/>
      <c r="M848" s="1381" t="str">
        <f>A848</f>
        <v>Unclassified</v>
      </c>
      <c r="N848" s="1364"/>
      <c r="O848" s="1364"/>
      <c r="P848" s="1364"/>
      <c r="Q848" s="1364"/>
      <c r="R848" s="1364"/>
      <c r="S848" s="1365"/>
      <c r="T848" s="1389"/>
      <c r="U848" s="1389"/>
      <c r="V848" s="1389"/>
      <c r="W848" s="1389"/>
      <c r="X848" s="1389"/>
      <c r="Y848" s="1390"/>
      <c r="Z848" s="1391"/>
      <c r="AA848" s="1391"/>
      <c r="AB848" s="1391"/>
      <c r="AC848" s="1391"/>
      <c r="AD848" s="1391"/>
      <c r="AK848" s="1354"/>
      <c r="AL848" s="1352"/>
      <c r="AM848" s="1354"/>
      <c r="AN848" s="1352"/>
    </row>
    <row r="849" spans="1:40" x14ac:dyDescent="0.2">
      <c r="A849" s="1324" t="s">
        <v>5068</v>
      </c>
      <c r="B849" s="1324" t="s">
        <v>5717</v>
      </c>
      <c r="C849" s="1353">
        <f>'Key Metrics'!$C$308</f>
        <v>0</v>
      </c>
      <c r="D849" s="1353">
        <f>'Key Metrics'!$G$308</f>
        <v>0</v>
      </c>
      <c r="E849" s="1351">
        <f t="shared" ref="E849:E863" si="279">IFERROR(D849/C849-1,0)</f>
        <v>0</v>
      </c>
      <c r="F849" s="1353">
        <f t="shared" ref="F849:F887" si="280">IFERROR(IF($I$3=1,D849*(1+N849),IF($I$3=2,D849*(1+T849),IF($I$3=3,Z849,"--"))),0)</f>
        <v>0</v>
      </c>
      <c r="G849" s="1353">
        <f t="shared" ref="G849:G887" si="281">IFERROR(IF($I$3=1,F849*(1+O849),IF($I$3=2,F849*(1+U849),IF($I$3=3,AA849,"--"))),0)</f>
        <v>0</v>
      </c>
      <c r="H849" s="1353">
        <f t="shared" ref="H849:H887" si="282">IFERROR(IF($I$3=1,G849*(1+P849),IF($I$3=2,G849*(1+V849),IF($I$3=3,AB849,"--"))),0)</f>
        <v>0</v>
      </c>
      <c r="I849" s="1353">
        <f t="shared" ref="I849:I887" si="283">IFERROR(IF($I$3=1,H849*(1+Q849),IF($I$3=2,H849*(1+W849),IF($I$3=3,AC849,"--"))),0)</f>
        <v>0</v>
      </c>
      <c r="J849" s="1353">
        <f t="shared" ref="J849:J887" si="284">IFERROR(IF($I$3=1,I849*(1+R849),IF($I$3=2,I849*(1+X849),IF($I$3=3,AD849,"--"))),0)</f>
        <v>0</v>
      </c>
      <c r="M849" s="1324" t="str">
        <f t="shared" ref="M849:M887" si="285">B849</f>
        <v>Prior Year's Bills Salaries &amp; Wages</v>
      </c>
      <c r="N849" s="1368">
        <f t="shared" ref="N849:N887" si="286">E849</f>
        <v>0</v>
      </c>
      <c r="O849" s="1368">
        <f t="shared" ref="O849:R863" si="287">N849</f>
        <v>0</v>
      </c>
      <c r="P849" s="1368">
        <f t="shared" si="287"/>
        <v>0</v>
      </c>
      <c r="Q849" s="1368">
        <f t="shared" si="287"/>
        <v>0</v>
      </c>
      <c r="R849" s="1368">
        <f t="shared" si="287"/>
        <v>0</v>
      </c>
      <c r="T849" s="1369">
        <v>0</v>
      </c>
      <c r="U849" s="1369">
        <v>0</v>
      </c>
      <c r="V849" s="1369">
        <v>0</v>
      </c>
      <c r="W849" s="1369">
        <v>0</v>
      </c>
      <c r="X849" s="1369">
        <v>0</v>
      </c>
      <c r="Y849" s="1367"/>
      <c r="Z849" s="1370">
        <v>0</v>
      </c>
      <c r="AA849" s="1370">
        <v>0</v>
      </c>
      <c r="AB849" s="1370">
        <v>0</v>
      </c>
      <c r="AC849" s="1370">
        <v>0</v>
      </c>
      <c r="AD849" s="1370">
        <v>0</v>
      </c>
      <c r="AK849" s="1354">
        <f t="shared" si="254"/>
        <v>0</v>
      </c>
      <c r="AL849" s="1352">
        <f t="shared" ref="AL849:AL887" si="288">RANK(AM849,$AM$504:$AM$1172,0)</f>
        <v>53</v>
      </c>
      <c r="AM849" s="1354">
        <f t="shared" si="277"/>
        <v>0</v>
      </c>
      <c r="AN849" s="1352" t="str">
        <f t="shared" si="276"/>
        <v>Prior Year's Bills Salaries &amp; Wages</v>
      </c>
    </row>
    <row r="850" spans="1:40" x14ac:dyDescent="0.2">
      <c r="A850" s="1324" t="str">
        <f>A849</f>
        <v>30-410</v>
      </c>
      <c r="B850" s="1324" t="s">
        <v>5939</v>
      </c>
      <c r="C850" s="1353">
        <f>'Key Metrics'!$D$308</f>
        <v>0</v>
      </c>
      <c r="D850" s="1353">
        <f>'Key Metrics'!$H$308</f>
        <v>0</v>
      </c>
      <c r="E850" s="1351">
        <f t="shared" si="279"/>
        <v>0</v>
      </c>
      <c r="F850" s="1353">
        <f t="shared" si="280"/>
        <v>0</v>
      </c>
      <c r="G850" s="1353">
        <f t="shared" si="281"/>
        <v>0</v>
      </c>
      <c r="H850" s="1353">
        <f t="shared" si="282"/>
        <v>0</v>
      </c>
      <c r="I850" s="1353">
        <f t="shared" si="283"/>
        <v>0</v>
      </c>
      <c r="J850" s="1353">
        <f t="shared" si="284"/>
        <v>0</v>
      </c>
      <c r="M850" s="1324" t="str">
        <f t="shared" si="285"/>
        <v>Prior Year's Bills Other Expenses</v>
      </c>
      <c r="N850" s="1368">
        <f t="shared" si="286"/>
        <v>0</v>
      </c>
      <c r="O850" s="1368">
        <f t="shared" si="287"/>
        <v>0</v>
      </c>
      <c r="P850" s="1368">
        <f t="shared" si="287"/>
        <v>0</v>
      </c>
      <c r="Q850" s="1368">
        <f t="shared" si="287"/>
        <v>0</v>
      </c>
      <c r="R850" s="1368">
        <f t="shared" si="287"/>
        <v>0</v>
      </c>
      <c r="T850" s="1369">
        <v>0</v>
      </c>
      <c r="U850" s="1369">
        <v>0</v>
      </c>
      <c r="V850" s="1369">
        <v>0</v>
      </c>
      <c r="W850" s="1369">
        <v>0</v>
      </c>
      <c r="X850" s="1369">
        <v>0</v>
      </c>
      <c r="Y850" s="1367"/>
      <c r="Z850" s="1370">
        <v>0</v>
      </c>
      <c r="AA850" s="1370">
        <v>0</v>
      </c>
      <c r="AB850" s="1370">
        <v>0</v>
      </c>
      <c r="AC850" s="1370">
        <v>0</v>
      </c>
      <c r="AD850" s="1370">
        <v>0</v>
      </c>
      <c r="AK850" s="1354">
        <f t="shared" si="254"/>
        <v>0</v>
      </c>
      <c r="AL850" s="1352">
        <f t="shared" si="288"/>
        <v>53</v>
      </c>
      <c r="AM850" s="1354">
        <f t="shared" si="277"/>
        <v>0</v>
      </c>
      <c r="AN850" s="1352" t="str">
        <f t="shared" si="276"/>
        <v>Prior Year's Bills Other Expenses</v>
      </c>
    </row>
    <row r="851" spans="1:40" x14ac:dyDescent="0.2">
      <c r="A851" s="1324" t="str">
        <f>A850</f>
        <v>30-410</v>
      </c>
      <c r="B851" s="1324" t="s">
        <v>5940</v>
      </c>
      <c r="C851" s="1353">
        <f>'Key Metrics'!$E$308</f>
        <v>0</v>
      </c>
      <c r="D851" s="1353">
        <f>'Key Metrics'!$I$308</f>
        <v>0</v>
      </c>
      <c r="E851" s="1351">
        <f t="shared" si="279"/>
        <v>0</v>
      </c>
      <c r="F851" s="1353">
        <f t="shared" si="280"/>
        <v>0</v>
      </c>
      <c r="G851" s="1353">
        <f t="shared" si="281"/>
        <v>0</v>
      </c>
      <c r="H851" s="1353">
        <f t="shared" si="282"/>
        <v>0</v>
      </c>
      <c r="I851" s="1353">
        <f t="shared" si="283"/>
        <v>0</v>
      </c>
      <c r="J851" s="1353">
        <f t="shared" si="284"/>
        <v>0</v>
      </c>
      <c r="M851" s="1324" t="str">
        <f t="shared" si="285"/>
        <v>Prior Year's Bills Unclassified</v>
      </c>
      <c r="N851" s="1368">
        <f t="shared" si="286"/>
        <v>0</v>
      </c>
      <c r="O851" s="1368">
        <f t="shared" si="287"/>
        <v>0</v>
      </c>
      <c r="P851" s="1368">
        <f t="shared" si="287"/>
        <v>0</v>
      </c>
      <c r="Q851" s="1368">
        <f t="shared" si="287"/>
        <v>0</v>
      </c>
      <c r="R851" s="1368">
        <f t="shared" si="287"/>
        <v>0</v>
      </c>
      <c r="T851" s="1369">
        <v>0</v>
      </c>
      <c r="U851" s="1369">
        <v>0</v>
      </c>
      <c r="V851" s="1369">
        <v>0</v>
      </c>
      <c r="W851" s="1369">
        <v>0</v>
      </c>
      <c r="X851" s="1369">
        <v>0</v>
      </c>
      <c r="Y851" s="1367"/>
      <c r="Z851" s="1370">
        <v>0</v>
      </c>
      <c r="AA851" s="1370">
        <v>0</v>
      </c>
      <c r="AB851" s="1370">
        <v>0</v>
      </c>
      <c r="AC851" s="1370">
        <v>0</v>
      </c>
      <c r="AD851" s="1370">
        <v>0</v>
      </c>
      <c r="AK851" s="1354">
        <f t="shared" si="254"/>
        <v>0</v>
      </c>
      <c r="AL851" s="1352">
        <f t="shared" si="288"/>
        <v>53</v>
      </c>
      <c r="AM851" s="1354">
        <f t="shared" si="277"/>
        <v>0</v>
      </c>
      <c r="AN851" s="1352" t="str">
        <f t="shared" si="276"/>
        <v>Prior Year's Bills Unclassified</v>
      </c>
    </row>
    <row r="852" spans="1:40" x14ac:dyDescent="0.2">
      <c r="A852" s="1324" t="s">
        <v>5285</v>
      </c>
      <c r="B852" s="1324" t="s">
        <v>5718</v>
      </c>
      <c r="C852" s="1353">
        <f>'Key Metrics'!$C$310</f>
        <v>0</v>
      </c>
      <c r="D852" s="1353">
        <f>'Key Metrics'!$G$310</f>
        <v>0</v>
      </c>
      <c r="E852" s="1351">
        <f t="shared" si="279"/>
        <v>0</v>
      </c>
      <c r="F852" s="1353">
        <f t="shared" si="280"/>
        <v>0</v>
      </c>
      <c r="G852" s="1353">
        <f t="shared" si="281"/>
        <v>0</v>
      </c>
      <c r="H852" s="1353">
        <f t="shared" si="282"/>
        <v>0</v>
      </c>
      <c r="I852" s="1353">
        <f t="shared" si="283"/>
        <v>0</v>
      </c>
      <c r="J852" s="1353">
        <f t="shared" si="284"/>
        <v>0</v>
      </c>
      <c r="M852" s="1324" t="str">
        <f t="shared" si="285"/>
        <v>"User Defined" Unclassified Salaries &amp; Wages</v>
      </c>
      <c r="N852" s="1368">
        <f t="shared" si="286"/>
        <v>0</v>
      </c>
      <c r="O852" s="1368">
        <f t="shared" si="287"/>
        <v>0</v>
      </c>
      <c r="P852" s="1368">
        <f t="shared" si="287"/>
        <v>0</v>
      </c>
      <c r="Q852" s="1368">
        <f t="shared" si="287"/>
        <v>0</v>
      </c>
      <c r="R852" s="1368">
        <f t="shared" si="287"/>
        <v>0</v>
      </c>
      <c r="T852" s="1369">
        <v>0</v>
      </c>
      <c r="U852" s="1369">
        <v>0</v>
      </c>
      <c r="V852" s="1369">
        <v>0</v>
      </c>
      <c r="W852" s="1369">
        <v>0</v>
      </c>
      <c r="X852" s="1369">
        <v>0</v>
      </c>
      <c r="Y852" s="1367"/>
      <c r="Z852" s="1370">
        <v>0</v>
      </c>
      <c r="AA852" s="1370">
        <v>0</v>
      </c>
      <c r="AB852" s="1370">
        <v>0</v>
      </c>
      <c r="AC852" s="1370">
        <v>0</v>
      </c>
      <c r="AD852" s="1370">
        <v>0</v>
      </c>
      <c r="AK852" s="1354">
        <f t="shared" si="254"/>
        <v>0</v>
      </c>
      <c r="AL852" s="1352">
        <f t="shared" si="288"/>
        <v>53</v>
      </c>
      <c r="AM852" s="1354">
        <f t="shared" si="277"/>
        <v>0</v>
      </c>
      <c r="AN852" s="1352" t="str">
        <f t="shared" si="276"/>
        <v>"User Defined" Unclassified Salaries &amp; Wages</v>
      </c>
    </row>
    <row r="853" spans="1:40" x14ac:dyDescent="0.2">
      <c r="A853" s="1324" t="str">
        <f>A852</f>
        <v>30-411</v>
      </c>
      <c r="B853" s="1324" t="s">
        <v>5941</v>
      </c>
      <c r="C853" s="1353">
        <f>'Key Metrics'!$D$310</f>
        <v>0</v>
      </c>
      <c r="D853" s="1353">
        <f>'Key Metrics'!$H$310</f>
        <v>0</v>
      </c>
      <c r="E853" s="1351">
        <f t="shared" si="279"/>
        <v>0</v>
      </c>
      <c r="F853" s="1353">
        <f t="shared" si="280"/>
        <v>0</v>
      </c>
      <c r="G853" s="1353">
        <f t="shared" si="281"/>
        <v>0</v>
      </c>
      <c r="H853" s="1353">
        <f t="shared" si="282"/>
        <v>0</v>
      </c>
      <c r="I853" s="1353">
        <f t="shared" si="283"/>
        <v>0</v>
      </c>
      <c r="J853" s="1353">
        <f t="shared" si="284"/>
        <v>0</v>
      </c>
      <c r="M853" s="1324" t="str">
        <f t="shared" si="285"/>
        <v>"User Defined" Unclassified Other Expenses</v>
      </c>
      <c r="N853" s="1368">
        <f t="shared" si="286"/>
        <v>0</v>
      </c>
      <c r="O853" s="1368">
        <f t="shared" si="287"/>
        <v>0</v>
      </c>
      <c r="P853" s="1368">
        <f t="shared" si="287"/>
        <v>0</v>
      </c>
      <c r="Q853" s="1368">
        <f t="shared" si="287"/>
        <v>0</v>
      </c>
      <c r="R853" s="1368">
        <f t="shared" si="287"/>
        <v>0</v>
      </c>
      <c r="T853" s="1369">
        <v>0</v>
      </c>
      <c r="U853" s="1369">
        <v>0</v>
      </c>
      <c r="V853" s="1369">
        <v>0</v>
      </c>
      <c r="W853" s="1369">
        <v>0</v>
      </c>
      <c r="X853" s="1369">
        <v>0</v>
      </c>
      <c r="Y853" s="1367"/>
      <c r="Z853" s="1370">
        <v>0</v>
      </c>
      <c r="AA853" s="1370">
        <v>0</v>
      </c>
      <c r="AB853" s="1370">
        <v>0</v>
      </c>
      <c r="AC853" s="1370">
        <v>0</v>
      </c>
      <c r="AD853" s="1370">
        <v>0</v>
      </c>
      <c r="AK853" s="1354">
        <f t="shared" si="254"/>
        <v>0</v>
      </c>
      <c r="AL853" s="1352">
        <f t="shared" si="288"/>
        <v>53</v>
      </c>
      <c r="AM853" s="1354">
        <f t="shared" si="277"/>
        <v>0</v>
      </c>
      <c r="AN853" s="1352" t="str">
        <f t="shared" si="276"/>
        <v>"User Defined" Unclassified Other Expenses</v>
      </c>
    </row>
    <row r="854" spans="1:40" x14ac:dyDescent="0.2">
      <c r="A854" s="1324" t="str">
        <f>A853</f>
        <v>30-411</v>
      </c>
      <c r="B854" s="1324" t="s">
        <v>5942</v>
      </c>
      <c r="C854" s="1353">
        <f>'Key Metrics'!$E$310</f>
        <v>0</v>
      </c>
      <c r="D854" s="1353">
        <f>'Key Metrics'!$I$310</f>
        <v>0</v>
      </c>
      <c r="E854" s="1351">
        <f t="shared" si="279"/>
        <v>0</v>
      </c>
      <c r="F854" s="1353">
        <f t="shared" si="280"/>
        <v>0</v>
      </c>
      <c r="G854" s="1353">
        <f t="shared" si="281"/>
        <v>0</v>
      </c>
      <c r="H854" s="1353">
        <f t="shared" si="282"/>
        <v>0</v>
      </c>
      <c r="I854" s="1353">
        <f t="shared" si="283"/>
        <v>0</v>
      </c>
      <c r="J854" s="1353">
        <f t="shared" si="284"/>
        <v>0</v>
      </c>
      <c r="M854" s="1324" t="str">
        <f t="shared" si="285"/>
        <v>"User Defined" Unclassified Unclassified</v>
      </c>
      <c r="N854" s="1368">
        <f t="shared" si="286"/>
        <v>0</v>
      </c>
      <c r="O854" s="1368">
        <f t="shared" si="287"/>
        <v>0</v>
      </c>
      <c r="P854" s="1368">
        <f t="shared" si="287"/>
        <v>0</v>
      </c>
      <c r="Q854" s="1368">
        <f t="shared" si="287"/>
        <v>0</v>
      </c>
      <c r="R854" s="1368">
        <f t="shared" si="287"/>
        <v>0</v>
      </c>
      <c r="T854" s="1369">
        <v>0</v>
      </c>
      <c r="U854" s="1369">
        <v>0</v>
      </c>
      <c r="V854" s="1369">
        <v>0</v>
      </c>
      <c r="W854" s="1369">
        <v>0</v>
      </c>
      <c r="X854" s="1369">
        <v>0</v>
      </c>
      <c r="Y854" s="1367"/>
      <c r="Z854" s="1370">
        <v>0</v>
      </c>
      <c r="AA854" s="1370">
        <v>0</v>
      </c>
      <c r="AB854" s="1370">
        <v>0</v>
      </c>
      <c r="AC854" s="1370">
        <v>0</v>
      </c>
      <c r="AD854" s="1370">
        <v>0</v>
      </c>
      <c r="AK854" s="1354">
        <f t="shared" si="254"/>
        <v>0</v>
      </c>
      <c r="AL854" s="1352">
        <f t="shared" si="288"/>
        <v>53</v>
      </c>
      <c r="AM854" s="1354">
        <f t="shared" si="277"/>
        <v>0</v>
      </c>
      <c r="AN854" s="1352" t="str">
        <f t="shared" si="276"/>
        <v>"User Defined" Unclassified Unclassified</v>
      </c>
    </row>
    <row r="855" spans="1:40" x14ac:dyDescent="0.2">
      <c r="A855" s="1324" t="s">
        <v>5286</v>
      </c>
      <c r="B855" s="1324" t="s">
        <v>5718</v>
      </c>
      <c r="C855" s="1353">
        <f>'Key Metrics'!$C$311</f>
        <v>0</v>
      </c>
      <c r="D855" s="1353">
        <f>'Key Metrics'!$G$311</f>
        <v>0</v>
      </c>
      <c r="E855" s="1351">
        <f t="shared" si="279"/>
        <v>0</v>
      </c>
      <c r="F855" s="1353">
        <f t="shared" si="280"/>
        <v>0</v>
      </c>
      <c r="G855" s="1353">
        <f t="shared" si="281"/>
        <v>0</v>
      </c>
      <c r="H855" s="1353">
        <f t="shared" si="282"/>
        <v>0</v>
      </c>
      <c r="I855" s="1353">
        <f t="shared" si="283"/>
        <v>0</v>
      </c>
      <c r="J855" s="1353">
        <f t="shared" si="284"/>
        <v>0</v>
      </c>
      <c r="M855" s="1324" t="str">
        <f t="shared" si="285"/>
        <v>"User Defined" Unclassified Salaries &amp; Wages</v>
      </c>
      <c r="N855" s="1368">
        <f t="shared" si="286"/>
        <v>0</v>
      </c>
      <c r="O855" s="1368">
        <f t="shared" si="287"/>
        <v>0</v>
      </c>
      <c r="P855" s="1368">
        <f t="shared" si="287"/>
        <v>0</v>
      </c>
      <c r="Q855" s="1368">
        <f t="shared" si="287"/>
        <v>0</v>
      </c>
      <c r="R855" s="1368">
        <f t="shared" si="287"/>
        <v>0</v>
      </c>
      <c r="T855" s="1369">
        <v>0</v>
      </c>
      <c r="U855" s="1369">
        <v>0</v>
      </c>
      <c r="V855" s="1369">
        <v>0</v>
      </c>
      <c r="W855" s="1369">
        <v>0</v>
      </c>
      <c r="X855" s="1369">
        <v>0</v>
      </c>
      <c r="Y855" s="1367"/>
      <c r="Z855" s="1370">
        <v>0</v>
      </c>
      <c r="AA855" s="1370">
        <v>0</v>
      </c>
      <c r="AB855" s="1370">
        <v>0</v>
      </c>
      <c r="AC855" s="1370">
        <v>0</v>
      </c>
      <c r="AD855" s="1370">
        <v>0</v>
      </c>
      <c r="AK855" s="1354">
        <f t="shared" ref="AK855:AK915" si="289">SUM(C855:D855,F855:J855)</f>
        <v>0</v>
      </c>
      <c r="AL855" s="1352">
        <f t="shared" si="288"/>
        <v>53</v>
      </c>
      <c r="AM855" s="1354">
        <f t="shared" si="277"/>
        <v>0</v>
      </c>
      <c r="AN855" s="1352" t="str">
        <f t="shared" si="276"/>
        <v>"User Defined" Unclassified Salaries &amp; Wages</v>
      </c>
    </row>
    <row r="856" spans="1:40" x14ac:dyDescent="0.2">
      <c r="A856" s="1324" t="str">
        <f>A855</f>
        <v>30-412</v>
      </c>
      <c r="B856" s="1324" t="s">
        <v>5941</v>
      </c>
      <c r="C856" s="1353">
        <f>'Key Metrics'!$D$311</f>
        <v>0</v>
      </c>
      <c r="D856" s="1353">
        <f>'Key Metrics'!$H$311</f>
        <v>0</v>
      </c>
      <c r="E856" s="1351">
        <f t="shared" si="279"/>
        <v>0</v>
      </c>
      <c r="F856" s="1353">
        <f t="shared" si="280"/>
        <v>0</v>
      </c>
      <c r="G856" s="1353">
        <f t="shared" si="281"/>
        <v>0</v>
      </c>
      <c r="H856" s="1353">
        <f t="shared" si="282"/>
        <v>0</v>
      </c>
      <c r="I856" s="1353">
        <f t="shared" si="283"/>
        <v>0</v>
      </c>
      <c r="J856" s="1353">
        <f t="shared" si="284"/>
        <v>0</v>
      </c>
      <c r="M856" s="1324" t="str">
        <f t="shared" si="285"/>
        <v>"User Defined" Unclassified Other Expenses</v>
      </c>
      <c r="N856" s="1368">
        <f t="shared" si="286"/>
        <v>0</v>
      </c>
      <c r="O856" s="1368">
        <f t="shared" si="287"/>
        <v>0</v>
      </c>
      <c r="P856" s="1368">
        <f t="shared" si="287"/>
        <v>0</v>
      </c>
      <c r="Q856" s="1368">
        <f t="shared" si="287"/>
        <v>0</v>
      </c>
      <c r="R856" s="1368">
        <f t="shared" si="287"/>
        <v>0</v>
      </c>
      <c r="T856" s="1369">
        <v>0</v>
      </c>
      <c r="U856" s="1369">
        <v>0</v>
      </c>
      <c r="V856" s="1369">
        <v>0</v>
      </c>
      <c r="W856" s="1369">
        <v>0</v>
      </c>
      <c r="X856" s="1369">
        <v>0</v>
      </c>
      <c r="Y856" s="1367"/>
      <c r="Z856" s="1370">
        <v>0</v>
      </c>
      <c r="AA856" s="1370">
        <v>0</v>
      </c>
      <c r="AB856" s="1370">
        <v>0</v>
      </c>
      <c r="AC856" s="1370">
        <v>0</v>
      </c>
      <c r="AD856" s="1370">
        <v>0</v>
      </c>
      <c r="AK856" s="1354">
        <f t="shared" si="289"/>
        <v>0</v>
      </c>
      <c r="AL856" s="1352">
        <f t="shared" si="288"/>
        <v>53</v>
      </c>
      <c r="AM856" s="1354">
        <f t="shared" si="277"/>
        <v>0</v>
      </c>
      <c r="AN856" s="1352" t="str">
        <f t="shared" si="276"/>
        <v>"User Defined" Unclassified Other Expenses</v>
      </c>
    </row>
    <row r="857" spans="1:40" x14ac:dyDescent="0.2">
      <c r="A857" s="1324" t="str">
        <f>A856</f>
        <v>30-412</v>
      </c>
      <c r="B857" s="1324" t="s">
        <v>5942</v>
      </c>
      <c r="C857" s="1353">
        <f>'Key Metrics'!$E$311</f>
        <v>0</v>
      </c>
      <c r="D857" s="1353">
        <f>'Key Metrics'!$I$311</f>
        <v>0</v>
      </c>
      <c r="E857" s="1351">
        <f t="shared" si="279"/>
        <v>0</v>
      </c>
      <c r="F857" s="1353">
        <f t="shared" si="280"/>
        <v>0</v>
      </c>
      <c r="G857" s="1353">
        <f t="shared" si="281"/>
        <v>0</v>
      </c>
      <c r="H857" s="1353">
        <f t="shared" si="282"/>
        <v>0</v>
      </c>
      <c r="I857" s="1353">
        <f t="shared" si="283"/>
        <v>0</v>
      </c>
      <c r="J857" s="1353">
        <f t="shared" si="284"/>
        <v>0</v>
      </c>
      <c r="M857" s="1324" t="str">
        <f t="shared" si="285"/>
        <v>"User Defined" Unclassified Unclassified</v>
      </c>
      <c r="N857" s="1368">
        <f t="shared" si="286"/>
        <v>0</v>
      </c>
      <c r="O857" s="1368">
        <f t="shared" si="287"/>
        <v>0</v>
      </c>
      <c r="P857" s="1368">
        <f t="shared" si="287"/>
        <v>0</v>
      </c>
      <c r="Q857" s="1368">
        <f t="shared" si="287"/>
        <v>0</v>
      </c>
      <c r="R857" s="1368">
        <f t="shared" si="287"/>
        <v>0</v>
      </c>
      <c r="T857" s="1369">
        <v>0</v>
      </c>
      <c r="U857" s="1369">
        <v>0</v>
      </c>
      <c r="V857" s="1369">
        <v>0</v>
      </c>
      <c r="W857" s="1369">
        <v>0</v>
      </c>
      <c r="X857" s="1369">
        <v>0</v>
      </c>
      <c r="Y857" s="1367"/>
      <c r="Z857" s="1370">
        <v>0</v>
      </c>
      <c r="AA857" s="1370">
        <v>0</v>
      </c>
      <c r="AB857" s="1370">
        <v>0</v>
      </c>
      <c r="AC857" s="1370">
        <v>0</v>
      </c>
      <c r="AD857" s="1370">
        <v>0</v>
      </c>
      <c r="AK857" s="1354">
        <f t="shared" si="289"/>
        <v>0</v>
      </c>
      <c r="AL857" s="1352">
        <f t="shared" si="288"/>
        <v>53</v>
      </c>
      <c r="AM857" s="1354">
        <f t="shared" si="277"/>
        <v>0</v>
      </c>
      <c r="AN857" s="1352" t="str">
        <f t="shared" si="276"/>
        <v>"User Defined" Unclassified Unclassified</v>
      </c>
    </row>
    <row r="858" spans="1:40" x14ac:dyDescent="0.2">
      <c r="A858" s="1324" t="s">
        <v>5287</v>
      </c>
      <c r="B858" s="1324" t="s">
        <v>5718</v>
      </c>
      <c r="C858" s="1353">
        <f>'Key Metrics'!$C$312</f>
        <v>0</v>
      </c>
      <c r="D858" s="1353">
        <f>'Key Metrics'!$G$312</f>
        <v>0</v>
      </c>
      <c r="E858" s="1351">
        <f t="shared" si="279"/>
        <v>0</v>
      </c>
      <c r="F858" s="1353">
        <f t="shared" si="280"/>
        <v>0</v>
      </c>
      <c r="G858" s="1353">
        <f t="shared" si="281"/>
        <v>0</v>
      </c>
      <c r="H858" s="1353">
        <f t="shared" si="282"/>
        <v>0</v>
      </c>
      <c r="I858" s="1353">
        <f t="shared" si="283"/>
        <v>0</v>
      </c>
      <c r="J858" s="1353">
        <f t="shared" si="284"/>
        <v>0</v>
      </c>
      <c r="M858" s="1324" t="str">
        <f t="shared" si="285"/>
        <v>"User Defined" Unclassified Salaries &amp; Wages</v>
      </c>
      <c r="N858" s="1368">
        <f t="shared" si="286"/>
        <v>0</v>
      </c>
      <c r="O858" s="1368">
        <f t="shared" si="287"/>
        <v>0</v>
      </c>
      <c r="P858" s="1368">
        <f t="shared" si="287"/>
        <v>0</v>
      </c>
      <c r="Q858" s="1368">
        <f t="shared" si="287"/>
        <v>0</v>
      </c>
      <c r="R858" s="1368">
        <f t="shared" si="287"/>
        <v>0</v>
      </c>
      <c r="T858" s="1369">
        <v>0</v>
      </c>
      <c r="U858" s="1369">
        <v>0</v>
      </c>
      <c r="V858" s="1369">
        <v>0</v>
      </c>
      <c r="W858" s="1369">
        <v>0</v>
      </c>
      <c r="X858" s="1369">
        <v>0</v>
      </c>
      <c r="Y858" s="1367"/>
      <c r="Z858" s="1370">
        <v>0</v>
      </c>
      <c r="AA858" s="1370">
        <v>0</v>
      </c>
      <c r="AB858" s="1370">
        <v>0</v>
      </c>
      <c r="AC858" s="1370">
        <v>0</v>
      </c>
      <c r="AD858" s="1370">
        <v>0</v>
      </c>
      <c r="AK858" s="1354">
        <f t="shared" si="289"/>
        <v>0</v>
      </c>
      <c r="AL858" s="1352">
        <f t="shared" si="288"/>
        <v>53</v>
      </c>
      <c r="AM858" s="1354">
        <f t="shared" si="277"/>
        <v>0</v>
      </c>
      <c r="AN858" s="1352" t="str">
        <f t="shared" si="276"/>
        <v>"User Defined" Unclassified Salaries &amp; Wages</v>
      </c>
    </row>
    <row r="859" spans="1:40" x14ac:dyDescent="0.2">
      <c r="A859" s="1324" t="str">
        <f>A858</f>
        <v>30-413</v>
      </c>
      <c r="B859" s="1324" t="s">
        <v>5941</v>
      </c>
      <c r="C859" s="1353">
        <f>'Key Metrics'!$D$312</f>
        <v>0</v>
      </c>
      <c r="D859" s="1353">
        <f>'Key Metrics'!$H$312</f>
        <v>0</v>
      </c>
      <c r="E859" s="1351">
        <f t="shared" si="279"/>
        <v>0</v>
      </c>
      <c r="F859" s="1353">
        <f t="shared" si="280"/>
        <v>0</v>
      </c>
      <c r="G859" s="1353">
        <f t="shared" si="281"/>
        <v>0</v>
      </c>
      <c r="H859" s="1353">
        <f t="shared" si="282"/>
        <v>0</v>
      </c>
      <c r="I859" s="1353">
        <f t="shared" si="283"/>
        <v>0</v>
      </c>
      <c r="J859" s="1353">
        <f t="shared" si="284"/>
        <v>0</v>
      </c>
      <c r="M859" s="1324" t="str">
        <f t="shared" si="285"/>
        <v>"User Defined" Unclassified Other Expenses</v>
      </c>
      <c r="N859" s="1368">
        <f t="shared" si="286"/>
        <v>0</v>
      </c>
      <c r="O859" s="1368">
        <f t="shared" si="287"/>
        <v>0</v>
      </c>
      <c r="P859" s="1368">
        <f t="shared" si="287"/>
        <v>0</v>
      </c>
      <c r="Q859" s="1368">
        <f t="shared" si="287"/>
        <v>0</v>
      </c>
      <c r="R859" s="1368">
        <f t="shared" si="287"/>
        <v>0</v>
      </c>
      <c r="T859" s="1369">
        <v>0</v>
      </c>
      <c r="U859" s="1369">
        <v>0</v>
      </c>
      <c r="V859" s="1369">
        <v>0</v>
      </c>
      <c r="W859" s="1369">
        <v>0</v>
      </c>
      <c r="X859" s="1369">
        <v>0</v>
      </c>
      <c r="Y859" s="1367"/>
      <c r="Z859" s="1370">
        <v>0</v>
      </c>
      <c r="AA859" s="1370">
        <v>0</v>
      </c>
      <c r="AB859" s="1370">
        <v>0</v>
      </c>
      <c r="AC859" s="1370">
        <v>0</v>
      </c>
      <c r="AD859" s="1370">
        <v>0</v>
      </c>
      <c r="AK859" s="1354">
        <f t="shared" si="289"/>
        <v>0</v>
      </c>
      <c r="AL859" s="1352">
        <f t="shared" si="288"/>
        <v>53</v>
      </c>
      <c r="AM859" s="1354">
        <f t="shared" si="277"/>
        <v>0</v>
      </c>
      <c r="AN859" s="1352" t="str">
        <f t="shared" si="276"/>
        <v>"User Defined" Unclassified Other Expenses</v>
      </c>
    </row>
    <row r="860" spans="1:40" x14ac:dyDescent="0.2">
      <c r="A860" s="1324" t="str">
        <f>A859</f>
        <v>30-413</v>
      </c>
      <c r="B860" s="1324" t="s">
        <v>5942</v>
      </c>
      <c r="C860" s="1353">
        <f>'Key Metrics'!$E$312</f>
        <v>0</v>
      </c>
      <c r="D860" s="1353">
        <f>'Key Metrics'!$I$312</f>
        <v>0</v>
      </c>
      <c r="E860" s="1351">
        <f t="shared" si="279"/>
        <v>0</v>
      </c>
      <c r="F860" s="1353">
        <f t="shared" si="280"/>
        <v>0</v>
      </c>
      <c r="G860" s="1353">
        <f t="shared" si="281"/>
        <v>0</v>
      </c>
      <c r="H860" s="1353">
        <f t="shared" si="282"/>
        <v>0</v>
      </c>
      <c r="I860" s="1353">
        <f t="shared" si="283"/>
        <v>0</v>
      </c>
      <c r="J860" s="1353">
        <f t="shared" si="284"/>
        <v>0</v>
      </c>
      <c r="M860" s="1324" t="str">
        <f t="shared" si="285"/>
        <v>"User Defined" Unclassified Unclassified</v>
      </c>
      <c r="N860" s="1368">
        <f t="shared" si="286"/>
        <v>0</v>
      </c>
      <c r="O860" s="1368">
        <f t="shared" si="287"/>
        <v>0</v>
      </c>
      <c r="P860" s="1368">
        <f t="shared" si="287"/>
        <v>0</v>
      </c>
      <c r="Q860" s="1368">
        <f t="shared" si="287"/>
        <v>0</v>
      </c>
      <c r="R860" s="1368">
        <f t="shared" si="287"/>
        <v>0</v>
      </c>
      <c r="T860" s="1369">
        <v>0</v>
      </c>
      <c r="U860" s="1369">
        <v>0</v>
      </c>
      <c r="V860" s="1369">
        <v>0</v>
      </c>
      <c r="W860" s="1369">
        <v>0</v>
      </c>
      <c r="X860" s="1369">
        <v>0</v>
      </c>
      <c r="Y860" s="1367"/>
      <c r="Z860" s="1370">
        <v>0</v>
      </c>
      <c r="AA860" s="1370">
        <v>0</v>
      </c>
      <c r="AB860" s="1370">
        <v>0</v>
      </c>
      <c r="AC860" s="1370">
        <v>0</v>
      </c>
      <c r="AD860" s="1370">
        <v>0</v>
      </c>
      <c r="AK860" s="1354">
        <f t="shared" si="289"/>
        <v>0</v>
      </c>
      <c r="AL860" s="1352">
        <f t="shared" si="288"/>
        <v>53</v>
      </c>
      <c r="AM860" s="1354">
        <f t="shared" si="277"/>
        <v>0</v>
      </c>
      <c r="AN860" s="1352" t="str">
        <f t="shared" si="276"/>
        <v>"User Defined" Unclassified Unclassified</v>
      </c>
    </row>
    <row r="861" spans="1:40" x14ac:dyDescent="0.2">
      <c r="A861" s="1324" t="s">
        <v>5288</v>
      </c>
      <c r="B861" s="1324" t="s">
        <v>5718</v>
      </c>
      <c r="C861" s="1353">
        <f>'Key Metrics'!$C$313</f>
        <v>0</v>
      </c>
      <c r="D861" s="1353">
        <f>'Key Metrics'!$G$313</f>
        <v>0</v>
      </c>
      <c r="E861" s="1351">
        <f t="shared" si="279"/>
        <v>0</v>
      </c>
      <c r="F861" s="1353">
        <f t="shared" si="280"/>
        <v>0</v>
      </c>
      <c r="G861" s="1353">
        <f t="shared" si="281"/>
        <v>0</v>
      </c>
      <c r="H861" s="1353">
        <f t="shared" si="282"/>
        <v>0</v>
      </c>
      <c r="I861" s="1353">
        <f t="shared" si="283"/>
        <v>0</v>
      </c>
      <c r="J861" s="1353">
        <f t="shared" si="284"/>
        <v>0</v>
      </c>
      <c r="M861" s="1324" t="str">
        <f t="shared" si="285"/>
        <v>"User Defined" Unclassified Salaries &amp; Wages</v>
      </c>
      <c r="N861" s="1368">
        <f t="shared" si="286"/>
        <v>0</v>
      </c>
      <c r="O861" s="1368">
        <f t="shared" si="287"/>
        <v>0</v>
      </c>
      <c r="P861" s="1368">
        <f t="shared" si="287"/>
        <v>0</v>
      </c>
      <c r="Q861" s="1368">
        <f t="shared" si="287"/>
        <v>0</v>
      </c>
      <c r="R861" s="1368">
        <f t="shared" si="287"/>
        <v>0</v>
      </c>
      <c r="T861" s="1369">
        <v>0</v>
      </c>
      <c r="U861" s="1369">
        <v>0</v>
      </c>
      <c r="V861" s="1369">
        <v>0</v>
      </c>
      <c r="W861" s="1369">
        <v>0</v>
      </c>
      <c r="X861" s="1369">
        <v>0</v>
      </c>
      <c r="Y861" s="1367"/>
      <c r="Z861" s="1370">
        <v>0</v>
      </c>
      <c r="AA861" s="1370">
        <v>0</v>
      </c>
      <c r="AB861" s="1370">
        <v>0</v>
      </c>
      <c r="AC861" s="1370">
        <v>0</v>
      </c>
      <c r="AD861" s="1370">
        <v>0</v>
      </c>
      <c r="AK861" s="1354">
        <f t="shared" si="289"/>
        <v>0</v>
      </c>
      <c r="AL861" s="1352">
        <f t="shared" si="288"/>
        <v>53</v>
      </c>
      <c r="AM861" s="1354">
        <f t="shared" si="277"/>
        <v>0</v>
      </c>
      <c r="AN861" s="1352" t="str">
        <f t="shared" si="276"/>
        <v>"User Defined" Unclassified Salaries &amp; Wages</v>
      </c>
    </row>
    <row r="862" spans="1:40" x14ac:dyDescent="0.2">
      <c r="A862" s="1324" t="str">
        <f>A861</f>
        <v>30-414</v>
      </c>
      <c r="B862" s="1324" t="s">
        <v>5941</v>
      </c>
      <c r="C862" s="1353">
        <f>'Key Metrics'!$D$313</f>
        <v>0</v>
      </c>
      <c r="D862" s="1353">
        <f>'Key Metrics'!$H$313</f>
        <v>0</v>
      </c>
      <c r="E862" s="1351">
        <f t="shared" si="279"/>
        <v>0</v>
      </c>
      <c r="F862" s="1353">
        <f t="shared" si="280"/>
        <v>0</v>
      </c>
      <c r="G862" s="1353">
        <f t="shared" si="281"/>
        <v>0</v>
      </c>
      <c r="H862" s="1353">
        <f t="shared" si="282"/>
        <v>0</v>
      </c>
      <c r="I862" s="1353">
        <f t="shared" si="283"/>
        <v>0</v>
      </c>
      <c r="J862" s="1353">
        <f t="shared" si="284"/>
        <v>0</v>
      </c>
      <c r="M862" s="1324" t="str">
        <f t="shared" si="285"/>
        <v>"User Defined" Unclassified Other Expenses</v>
      </c>
      <c r="N862" s="1368">
        <f t="shared" si="286"/>
        <v>0</v>
      </c>
      <c r="O862" s="1368">
        <f t="shared" si="287"/>
        <v>0</v>
      </c>
      <c r="P862" s="1368">
        <f t="shared" si="287"/>
        <v>0</v>
      </c>
      <c r="Q862" s="1368">
        <f t="shared" si="287"/>
        <v>0</v>
      </c>
      <c r="R862" s="1368">
        <f t="shared" si="287"/>
        <v>0</v>
      </c>
      <c r="T862" s="1369">
        <v>0</v>
      </c>
      <c r="U862" s="1369">
        <v>0</v>
      </c>
      <c r="V862" s="1369">
        <v>0</v>
      </c>
      <c r="W862" s="1369">
        <v>0</v>
      </c>
      <c r="X862" s="1369">
        <v>0</v>
      </c>
      <c r="Y862" s="1367"/>
      <c r="Z862" s="1370">
        <v>0</v>
      </c>
      <c r="AA862" s="1370">
        <v>0</v>
      </c>
      <c r="AB862" s="1370">
        <v>0</v>
      </c>
      <c r="AC862" s="1370">
        <v>0</v>
      </c>
      <c r="AD862" s="1370">
        <v>0</v>
      </c>
      <c r="AK862" s="1354">
        <f t="shared" si="289"/>
        <v>0</v>
      </c>
      <c r="AL862" s="1352">
        <f t="shared" si="288"/>
        <v>53</v>
      </c>
      <c r="AM862" s="1354">
        <f t="shared" si="277"/>
        <v>0</v>
      </c>
      <c r="AN862" s="1352" t="str">
        <f t="shared" si="276"/>
        <v>"User Defined" Unclassified Other Expenses</v>
      </c>
    </row>
    <row r="863" spans="1:40" x14ac:dyDescent="0.2">
      <c r="A863" s="1324" t="str">
        <f>A862</f>
        <v>30-414</v>
      </c>
      <c r="B863" s="1324" t="s">
        <v>5942</v>
      </c>
      <c r="C863" s="1353">
        <f>'Key Metrics'!$E$313</f>
        <v>0</v>
      </c>
      <c r="D863" s="1353">
        <f>'Key Metrics'!$I$313</f>
        <v>0</v>
      </c>
      <c r="E863" s="1351">
        <f t="shared" si="279"/>
        <v>0</v>
      </c>
      <c r="F863" s="1353">
        <f t="shared" si="280"/>
        <v>0</v>
      </c>
      <c r="G863" s="1353">
        <f t="shared" si="281"/>
        <v>0</v>
      </c>
      <c r="H863" s="1353">
        <f t="shared" si="282"/>
        <v>0</v>
      </c>
      <c r="I863" s="1353">
        <f t="shared" si="283"/>
        <v>0</v>
      </c>
      <c r="J863" s="1353">
        <f t="shared" si="284"/>
        <v>0</v>
      </c>
      <c r="M863" s="1324" t="str">
        <f t="shared" si="285"/>
        <v>"User Defined" Unclassified Unclassified</v>
      </c>
      <c r="N863" s="1368">
        <f t="shared" si="286"/>
        <v>0</v>
      </c>
      <c r="O863" s="1368">
        <f t="shared" si="287"/>
        <v>0</v>
      </c>
      <c r="P863" s="1368">
        <f t="shared" si="287"/>
        <v>0</v>
      </c>
      <c r="Q863" s="1368">
        <f t="shared" si="287"/>
        <v>0</v>
      </c>
      <c r="R863" s="1368">
        <f t="shared" si="287"/>
        <v>0</v>
      </c>
      <c r="T863" s="1369">
        <v>0</v>
      </c>
      <c r="U863" s="1369">
        <v>0</v>
      </c>
      <c r="V863" s="1369">
        <v>0</v>
      </c>
      <c r="W863" s="1369">
        <v>0</v>
      </c>
      <c r="X863" s="1369">
        <v>0</v>
      </c>
      <c r="Y863" s="1367"/>
      <c r="Z863" s="1370">
        <v>0</v>
      </c>
      <c r="AA863" s="1370">
        <v>0</v>
      </c>
      <c r="AB863" s="1370">
        <v>0</v>
      </c>
      <c r="AC863" s="1370">
        <v>0</v>
      </c>
      <c r="AD863" s="1370">
        <v>0</v>
      </c>
      <c r="AK863" s="1354">
        <f t="shared" si="289"/>
        <v>0</v>
      </c>
      <c r="AL863" s="1352">
        <f t="shared" si="288"/>
        <v>53</v>
      </c>
      <c r="AM863" s="1354">
        <f t="shared" si="277"/>
        <v>0</v>
      </c>
      <c r="AN863" s="1352" t="str">
        <f t="shared" si="276"/>
        <v>"User Defined" Unclassified Unclassified</v>
      </c>
    </row>
    <row r="864" spans="1:40" x14ac:dyDescent="0.2">
      <c r="A864" s="1324" t="s">
        <v>5093</v>
      </c>
      <c r="B864" s="1324" t="s">
        <v>5718</v>
      </c>
      <c r="C864" s="1353">
        <f>'Key Metrics'!$C$314</f>
        <v>0</v>
      </c>
      <c r="D864" s="1353">
        <f>'Key Metrics'!$G$314</f>
        <v>0</v>
      </c>
      <c r="E864" s="1351">
        <f t="shared" ref="E864:E888" si="290">IFERROR(D864/C864-1,0)</f>
        <v>0</v>
      </c>
      <c r="F864" s="1353">
        <f t="shared" si="280"/>
        <v>0</v>
      </c>
      <c r="G864" s="1353">
        <f t="shared" si="281"/>
        <v>0</v>
      </c>
      <c r="H864" s="1353">
        <f t="shared" si="282"/>
        <v>0</v>
      </c>
      <c r="I864" s="1353">
        <f t="shared" si="283"/>
        <v>0</v>
      </c>
      <c r="J864" s="1353">
        <f t="shared" si="284"/>
        <v>0</v>
      </c>
      <c r="M864" s="1324" t="str">
        <f t="shared" si="285"/>
        <v>"User Defined" Unclassified Salaries &amp; Wages</v>
      </c>
      <c r="N864" s="1368">
        <f t="shared" si="286"/>
        <v>0</v>
      </c>
      <c r="O864" s="1368">
        <f t="shared" ref="O864:R877" si="291">N864</f>
        <v>0</v>
      </c>
      <c r="P864" s="1368">
        <f t="shared" si="291"/>
        <v>0</v>
      </c>
      <c r="Q864" s="1368">
        <f t="shared" si="291"/>
        <v>0</v>
      </c>
      <c r="R864" s="1368">
        <f t="shared" si="291"/>
        <v>0</v>
      </c>
      <c r="T864" s="1369">
        <v>0</v>
      </c>
      <c r="U864" s="1369">
        <v>0</v>
      </c>
      <c r="V864" s="1369">
        <v>0</v>
      </c>
      <c r="W864" s="1369">
        <v>0</v>
      </c>
      <c r="X864" s="1369">
        <v>0</v>
      </c>
      <c r="Y864" s="1367"/>
      <c r="Z864" s="1370">
        <v>0</v>
      </c>
      <c r="AA864" s="1370">
        <v>0</v>
      </c>
      <c r="AB864" s="1370">
        <v>0</v>
      </c>
      <c r="AC864" s="1370">
        <v>0</v>
      </c>
      <c r="AD864" s="1370">
        <v>0</v>
      </c>
      <c r="AK864" s="1354">
        <f t="shared" si="289"/>
        <v>0</v>
      </c>
      <c r="AL864" s="1352">
        <f t="shared" si="288"/>
        <v>53</v>
      </c>
      <c r="AM864" s="1354">
        <f t="shared" si="277"/>
        <v>0</v>
      </c>
      <c r="AN864" s="1352" t="str">
        <f t="shared" si="276"/>
        <v>"User Defined" Unclassified Salaries &amp; Wages</v>
      </c>
    </row>
    <row r="865" spans="1:40" x14ac:dyDescent="0.2">
      <c r="A865" s="1324" t="str">
        <f>A864</f>
        <v>30-429</v>
      </c>
      <c r="B865" s="1324" t="s">
        <v>5941</v>
      </c>
      <c r="C865" s="1353">
        <f>'Key Metrics'!$D$314</f>
        <v>0</v>
      </c>
      <c r="D865" s="1353">
        <f>'Key Metrics'!$H$314</f>
        <v>0</v>
      </c>
      <c r="E865" s="1351">
        <f t="shared" si="290"/>
        <v>0</v>
      </c>
      <c r="F865" s="1353">
        <f t="shared" si="280"/>
        <v>0</v>
      </c>
      <c r="G865" s="1353">
        <f t="shared" si="281"/>
        <v>0</v>
      </c>
      <c r="H865" s="1353">
        <f t="shared" si="282"/>
        <v>0</v>
      </c>
      <c r="I865" s="1353">
        <f t="shared" si="283"/>
        <v>0</v>
      </c>
      <c r="J865" s="1353">
        <f t="shared" si="284"/>
        <v>0</v>
      </c>
      <c r="M865" s="1324" t="str">
        <f t="shared" si="285"/>
        <v>"User Defined" Unclassified Other Expenses</v>
      </c>
      <c r="N865" s="1368">
        <f t="shared" si="286"/>
        <v>0</v>
      </c>
      <c r="O865" s="1368">
        <f t="shared" si="291"/>
        <v>0</v>
      </c>
      <c r="P865" s="1368">
        <f t="shared" si="291"/>
        <v>0</v>
      </c>
      <c r="Q865" s="1368">
        <f t="shared" si="291"/>
        <v>0</v>
      </c>
      <c r="R865" s="1368">
        <f t="shared" si="291"/>
        <v>0</v>
      </c>
      <c r="T865" s="1369">
        <v>0</v>
      </c>
      <c r="U865" s="1369">
        <v>0</v>
      </c>
      <c r="V865" s="1369">
        <v>0</v>
      </c>
      <c r="W865" s="1369">
        <v>0</v>
      </c>
      <c r="X865" s="1369">
        <v>0</v>
      </c>
      <c r="Y865" s="1367"/>
      <c r="Z865" s="1370">
        <v>0</v>
      </c>
      <c r="AA865" s="1370">
        <v>0</v>
      </c>
      <c r="AB865" s="1370">
        <v>0</v>
      </c>
      <c r="AC865" s="1370">
        <v>0</v>
      </c>
      <c r="AD865" s="1370">
        <v>0</v>
      </c>
      <c r="AK865" s="1354">
        <f t="shared" si="289"/>
        <v>0</v>
      </c>
      <c r="AL865" s="1352">
        <f t="shared" si="288"/>
        <v>53</v>
      </c>
      <c r="AM865" s="1354">
        <f t="shared" si="277"/>
        <v>0</v>
      </c>
      <c r="AN865" s="1352" t="str">
        <f t="shared" si="276"/>
        <v>"User Defined" Unclassified Other Expenses</v>
      </c>
    </row>
    <row r="866" spans="1:40" x14ac:dyDescent="0.2">
      <c r="A866" s="1324" t="str">
        <f>A865</f>
        <v>30-429</v>
      </c>
      <c r="B866" s="1324" t="s">
        <v>5942</v>
      </c>
      <c r="C866" s="1353">
        <f>'Key Metrics'!$E$314</f>
        <v>0</v>
      </c>
      <c r="D866" s="1353">
        <f>'Key Metrics'!$I$314</f>
        <v>0</v>
      </c>
      <c r="E866" s="1351">
        <f t="shared" si="290"/>
        <v>0</v>
      </c>
      <c r="F866" s="1353">
        <f t="shared" si="280"/>
        <v>0</v>
      </c>
      <c r="G866" s="1353">
        <f t="shared" si="281"/>
        <v>0</v>
      </c>
      <c r="H866" s="1353">
        <f t="shared" si="282"/>
        <v>0</v>
      </c>
      <c r="I866" s="1353">
        <f t="shared" si="283"/>
        <v>0</v>
      </c>
      <c r="J866" s="1353">
        <f t="shared" si="284"/>
        <v>0</v>
      </c>
      <c r="M866" s="1324" t="str">
        <f t="shared" si="285"/>
        <v>"User Defined" Unclassified Unclassified</v>
      </c>
      <c r="N866" s="1368">
        <f t="shared" si="286"/>
        <v>0</v>
      </c>
      <c r="O866" s="1368">
        <f t="shared" si="291"/>
        <v>0</v>
      </c>
      <c r="P866" s="1368">
        <f t="shared" si="291"/>
        <v>0</v>
      </c>
      <c r="Q866" s="1368">
        <f t="shared" si="291"/>
        <v>0</v>
      </c>
      <c r="R866" s="1368">
        <f t="shared" si="291"/>
        <v>0</v>
      </c>
      <c r="T866" s="1369">
        <v>0</v>
      </c>
      <c r="U866" s="1369">
        <v>0</v>
      </c>
      <c r="V866" s="1369">
        <v>0</v>
      </c>
      <c r="W866" s="1369">
        <v>0</v>
      </c>
      <c r="X866" s="1369">
        <v>0</v>
      </c>
      <c r="Y866" s="1367"/>
      <c r="Z866" s="1370">
        <v>0</v>
      </c>
      <c r="AA866" s="1370">
        <v>0</v>
      </c>
      <c r="AB866" s="1370">
        <v>0</v>
      </c>
      <c r="AC866" s="1370">
        <v>0</v>
      </c>
      <c r="AD866" s="1370">
        <v>0</v>
      </c>
      <c r="AK866" s="1354">
        <f t="shared" si="289"/>
        <v>0</v>
      </c>
      <c r="AL866" s="1352">
        <f t="shared" si="288"/>
        <v>53</v>
      </c>
      <c r="AM866" s="1354">
        <f t="shared" si="277"/>
        <v>0</v>
      </c>
      <c r="AN866" s="1352" t="str">
        <f t="shared" si="276"/>
        <v>"User Defined" Unclassified Unclassified</v>
      </c>
    </row>
    <row r="867" spans="1:40" x14ac:dyDescent="0.2">
      <c r="A867" s="1324" t="s">
        <v>5073</v>
      </c>
      <c r="B867" s="1324" t="s">
        <v>5719</v>
      </c>
      <c r="C867" s="1353">
        <f>'Key Metrics'!$C$315</f>
        <v>0</v>
      </c>
      <c r="D867" s="1353">
        <f>'Key Metrics'!$G$315</f>
        <v>0</v>
      </c>
      <c r="E867" s="1351">
        <f t="shared" si="290"/>
        <v>0</v>
      </c>
      <c r="F867" s="1353">
        <f t="shared" si="280"/>
        <v>0</v>
      </c>
      <c r="G867" s="1353">
        <f t="shared" si="281"/>
        <v>0</v>
      </c>
      <c r="H867" s="1353">
        <f t="shared" si="282"/>
        <v>0</v>
      </c>
      <c r="I867" s="1353">
        <f t="shared" si="283"/>
        <v>0</v>
      </c>
      <c r="J867" s="1353">
        <f t="shared" si="284"/>
        <v>0</v>
      </c>
      <c r="M867" s="1324" t="str">
        <f t="shared" si="285"/>
        <v>Accumulated Leave Compensation Salaries &amp; Wages</v>
      </c>
      <c r="N867" s="1368">
        <f t="shared" si="286"/>
        <v>0</v>
      </c>
      <c r="O867" s="1368">
        <f t="shared" si="291"/>
        <v>0</v>
      </c>
      <c r="P867" s="1368">
        <f t="shared" si="291"/>
        <v>0</v>
      </c>
      <c r="Q867" s="1368">
        <f t="shared" si="291"/>
        <v>0</v>
      </c>
      <c r="R867" s="1368">
        <f t="shared" si="291"/>
        <v>0</v>
      </c>
      <c r="T867" s="1369">
        <v>0</v>
      </c>
      <c r="U867" s="1369">
        <v>0</v>
      </c>
      <c r="V867" s="1369">
        <v>0</v>
      </c>
      <c r="W867" s="1369">
        <v>0</v>
      </c>
      <c r="X867" s="1369">
        <v>0</v>
      </c>
      <c r="Y867" s="1367"/>
      <c r="Z867" s="1370">
        <v>0</v>
      </c>
      <c r="AA867" s="1370">
        <v>0</v>
      </c>
      <c r="AB867" s="1370">
        <v>0</v>
      </c>
      <c r="AC867" s="1370">
        <v>0</v>
      </c>
      <c r="AD867" s="1370">
        <v>0</v>
      </c>
      <c r="AK867" s="1354">
        <f t="shared" si="289"/>
        <v>0</v>
      </c>
      <c r="AL867" s="1352">
        <f t="shared" si="288"/>
        <v>53</v>
      </c>
      <c r="AM867" s="1354">
        <f t="shared" si="277"/>
        <v>0</v>
      </c>
      <c r="AN867" s="1352" t="str">
        <f t="shared" si="276"/>
        <v>Accumulated Leave Compensation Salaries &amp; Wages</v>
      </c>
    </row>
    <row r="868" spans="1:40" x14ac:dyDescent="0.2">
      <c r="A868" s="1324" t="str">
        <f>A867</f>
        <v>30-415</v>
      </c>
      <c r="B868" s="1324" t="s">
        <v>5943</v>
      </c>
      <c r="C868" s="1353">
        <f>'Key Metrics'!$D$315</f>
        <v>0</v>
      </c>
      <c r="D868" s="1353">
        <f>'Key Metrics'!$H$315</f>
        <v>0</v>
      </c>
      <c r="E868" s="1351">
        <f t="shared" si="290"/>
        <v>0</v>
      </c>
      <c r="F868" s="1353">
        <f t="shared" si="280"/>
        <v>0</v>
      </c>
      <c r="G868" s="1353">
        <f t="shared" si="281"/>
        <v>0</v>
      </c>
      <c r="H868" s="1353">
        <f t="shared" si="282"/>
        <v>0</v>
      </c>
      <c r="I868" s="1353">
        <f t="shared" si="283"/>
        <v>0</v>
      </c>
      <c r="J868" s="1353">
        <f t="shared" si="284"/>
        <v>0</v>
      </c>
      <c r="M868" s="1324" t="str">
        <f t="shared" si="285"/>
        <v>Accumulated Leave Compensation Other Expenses</v>
      </c>
      <c r="N868" s="1368">
        <f t="shared" si="286"/>
        <v>0</v>
      </c>
      <c r="O868" s="1368">
        <f t="shared" si="291"/>
        <v>0</v>
      </c>
      <c r="P868" s="1368">
        <f t="shared" si="291"/>
        <v>0</v>
      </c>
      <c r="Q868" s="1368">
        <f t="shared" si="291"/>
        <v>0</v>
      </c>
      <c r="R868" s="1368">
        <f t="shared" si="291"/>
        <v>0</v>
      </c>
      <c r="T868" s="1369">
        <v>0</v>
      </c>
      <c r="U868" s="1369">
        <v>0</v>
      </c>
      <c r="V868" s="1369">
        <v>0</v>
      </c>
      <c r="W868" s="1369">
        <v>0</v>
      </c>
      <c r="X868" s="1369">
        <v>0</v>
      </c>
      <c r="Y868" s="1367"/>
      <c r="Z868" s="1370">
        <v>0</v>
      </c>
      <c r="AA868" s="1370">
        <v>0</v>
      </c>
      <c r="AB868" s="1370">
        <v>0</v>
      </c>
      <c r="AC868" s="1370">
        <v>0</v>
      </c>
      <c r="AD868" s="1370">
        <v>0</v>
      </c>
      <c r="AK868" s="1354">
        <f t="shared" si="289"/>
        <v>0</v>
      </c>
      <c r="AL868" s="1352">
        <f t="shared" si="288"/>
        <v>53</v>
      </c>
      <c r="AM868" s="1354">
        <f t="shared" si="277"/>
        <v>0</v>
      </c>
      <c r="AN868" s="1352" t="str">
        <f t="shared" si="276"/>
        <v>Accumulated Leave Compensation Other Expenses</v>
      </c>
    </row>
    <row r="869" spans="1:40" x14ac:dyDescent="0.2">
      <c r="A869" s="1324" t="str">
        <f>A868</f>
        <v>30-415</v>
      </c>
      <c r="B869" s="1324" t="s">
        <v>5944</v>
      </c>
      <c r="C869" s="1353">
        <f>'Key Metrics'!$E$315</f>
        <v>0</v>
      </c>
      <c r="D869" s="1353">
        <f>'Key Metrics'!$I$315</f>
        <v>0</v>
      </c>
      <c r="E869" s="1351">
        <f t="shared" si="290"/>
        <v>0</v>
      </c>
      <c r="F869" s="1353">
        <f t="shared" si="280"/>
        <v>0</v>
      </c>
      <c r="G869" s="1353">
        <f t="shared" si="281"/>
        <v>0</v>
      </c>
      <c r="H869" s="1353">
        <f t="shared" si="282"/>
        <v>0</v>
      </c>
      <c r="I869" s="1353">
        <f t="shared" si="283"/>
        <v>0</v>
      </c>
      <c r="J869" s="1353">
        <f t="shared" si="284"/>
        <v>0</v>
      </c>
      <c r="M869" s="1324" t="str">
        <f t="shared" si="285"/>
        <v>Accumulated Leave Compensation Unclassified</v>
      </c>
      <c r="N869" s="1368">
        <f t="shared" si="286"/>
        <v>0</v>
      </c>
      <c r="O869" s="1368">
        <f t="shared" si="291"/>
        <v>0</v>
      </c>
      <c r="P869" s="1368">
        <f t="shared" si="291"/>
        <v>0</v>
      </c>
      <c r="Q869" s="1368">
        <f t="shared" si="291"/>
        <v>0</v>
      </c>
      <c r="R869" s="1368">
        <f t="shared" si="291"/>
        <v>0</v>
      </c>
      <c r="T869" s="1369">
        <v>0</v>
      </c>
      <c r="U869" s="1369">
        <v>0</v>
      </c>
      <c r="V869" s="1369">
        <v>0</v>
      </c>
      <c r="W869" s="1369">
        <v>0</v>
      </c>
      <c r="X869" s="1369">
        <v>0</v>
      </c>
      <c r="Y869" s="1367"/>
      <c r="Z869" s="1370">
        <v>0</v>
      </c>
      <c r="AA869" s="1370">
        <v>0</v>
      </c>
      <c r="AB869" s="1370">
        <v>0</v>
      </c>
      <c r="AC869" s="1370">
        <v>0</v>
      </c>
      <c r="AD869" s="1370">
        <v>0</v>
      </c>
      <c r="AK869" s="1354">
        <f t="shared" si="289"/>
        <v>0</v>
      </c>
      <c r="AL869" s="1352">
        <f t="shared" si="288"/>
        <v>53</v>
      </c>
      <c r="AM869" s="1354">
        <f t="shared" si="277"/>
        <v>0</v>
      </c>
      <c r="AN869" s="1352" t="str">
        <f t="shared" si="276"/>
        <v>Accumulated Leave Compensation Unclassified</v>
      </c>
    </row>
    <row r="870" spans="1:40" x14ac:dyDescent="0.2">
      <c r="A870" s="1324" t="s">
        <v>5080</v>
      </c>
      <c r="B870" s="1324" t="s">
        <v>5720</v>
      </c>
      <c r="C870" s="1353">
        <f>'Key Metrics'!$C$316</f>
        <v>0</v>
      </c>
      <c r="D870" s="1353">
        <f>'Key Metrics'!$G$316</f>
        <v>0</v>
      </c>
      <c r="E870" s="1351">
        <f t="shared" si="290"/>
        <v>0</v>
      </c>
      <c r="F870" s="1353">
        <f t="shared" si="280"/>
        <v>0</v>
      </c>
      <c r="G870" s="1353">
        <f t="shared" si="281"/>
        <v>0</v>
      </c>
      <c r="H870" s="1353">
        <f t="shared" si="282"/>
        <v>0</v>
      </c>
      <c r="I870" s="1353">
        <f t="shared" si="283"/>
        <v>0</v>
      </c>
      <c r="J870" s="1353">
        <f t="shared" si="284"/>
        <v>0</v>
      </c>
      <c r="M870" s="1324" t="str">
        <f t="shared" si="285"/>
        <v>Celebration of Public Events Salaries &amp; Wages</v>
      </c>
      <c r="N870" s="1368">
        <f t="shared" si="286"/>
        <v>0</v>
      </c>
      <c r="O870" s="1368">
        <f t="shared" si="291"/>
        <v>0</v>
      </c>
      <c r="P870" s="1368">
        <f t="shared" si="291"/>
        <v>0</v>
      </c>
      <c r="Q870" s="1368">
        <f t="shared" si="291"/>
        <v>0</v>
      </c>
      <c r="R870" s="1368">
        <f t="shared" si="291"/>
        <v>0</v>
      </c>
      <c r="T870" s="1369">
        <v>0</v>
      </c>
      <c r="U870" s="1369">
        <v>0</v>
      </c>
      <c r="V870" s="1369">
        <v>0</v>
      </c>
      <c r="W870" s="1369">
        <v>0</v>
      </c>
      <c r="X870" s="1369">
        <v>0</v>
      </c>
      <c r="Y870" s="1367"/>
      <c r="Z870" s="1370">
        <v>0</v>
      </c>
      <c r="AA870" s="1370">
        <v>0</v>
      </c>
      <c r="AB870" s="1370">
        <v>0</v>
      </c>
      <c r="AC870" s="1370">
        <v>0</v>
      </c>
      <c r="AD870" s="1370">
        <v>0</v>
      </c>
      <c r="AK870" s="1354">
        <f t="shared" si="289"/>
        <v>0</v>
      </c>
      <c r="AL870" s="1352">
        <f t="shared" si="288"/>
        <v>53</v>
      </c>
      <c r="AM870" s="1354">
        <f t="shared" si="277"/>
        <v>0</v>
      </c>
      <c r="AN870" s="1352" t="str">
        <f t="shared" si="276"/>
        <v>Celebration of Public Events Salaries &amp; Wages</v>
      </c>
    </row>
    <row r="871" spans="1:40" x14ac:dyDescent="0.2">
      <c r="A871" s="1324" t="str">
        <f>A870</f>
        <v>30-420</v>
      </c>
      <c r="B871" s="1324" t="s">
        <v>5945</v>
      </c>
      <c r="C871" s="1353">
        <f>'Key Metrics'!$D$316</f>
        <v>0</v>
      </c>
      <c r="D871" s="1353">
        <f>'Key Metrics'!$H$316</f>
        <v>500</v>
      </c>
      <c r="E871" s="1351">
        <f t="shared" si="290"/>
        <v>0</v>
      </c>
      <c r="F871" s="1353">
        <f t="shared" si="280"/>
        <v>500</v>
      </c>
      <c r="G871" s="1353">
        <f t="shared" si="281"/>
        <v>500</v>
      </c>
      <c r="H871" s="1353">
        <f t="shared" si="282"/>
        <v>500</v>
      </c>
      <c r="I871" s="1353">
        <f t="shared" si="283"/>
        <v>500</v>
      </c>
      <c r="J871" s="1353">
        <f t="shared" si="284"/>
        <v>500</v>
      </c>
      <c r="M871" s="1324" t="str">
        <f t="shared" si="285"/>
        <v>Celebration of Public Events Other Expenses</v>
      </c>
      <c r="N871" s="1368">
        <f t="shared" si="286"/>
        <v>0</v>
      </c>
      <c r="O871" s="1368">
        <f t="shared" si="291"/>
        <v>0</v>
      </c>
      <c r="P871" s="1368">
        <f t="shared" si="291"/>
        <v>0</v>
      </c>
      <c r="Q871" s="1368">
        <f t="shared" si="291"/>
        <v>0</v>
      </c>
      <c r="R871" s="1368">
        <f t="shared" si="291"/>
        <v>0</v>
      </c>
      <c r="T871" s="1369">
        <v>0</v>
      </c>
      <c r="U871" s="1369">
        <v>0</v>
      </c>
      <c r="V871" s="1369">
        <v>0</v>
      </c>
      <c r="W871" s="1369">
        <v>0</v>
      </c>
      <c r="X871" s="1369">
        <v>0</v>
      </c>
      <c r="Y871" s="1367"/>
      <c r="Z871" s="1370">
        <v>0</v>
      </c>
      <c r="AA871" s="1370">
        <v>0</v>
      </c>
      <c r="AB871" s="1370">
        <v>0</v>
      </c>
      <c r="AC871" s="1370">
        <v>0</v>
      </c>
      <c r="AD871" s="1370">
        <v>0</v>
      </c>
      <c r="AK871" s="1354">
        <f t="shared" si="289"/>
        <v>3000</v>
      </c>
      <c r="AL871" s="1352">
        <f t="shared" si="288"/>
        <v>53</v>
      </c>
      <c r="AM871" s="1354">
        <f t="shared" si="277"/>
        <v>0</v>
      </c>
      <c r="AN871" s="1352" t="str">
        <f t="shared" si="276"/>
        <v>Celebration of Public Events Other Expenses</v>
      </c>
    </row>
    <row r="872" spans="1:40" x14ac:dyDescent="0.2">
      <c r="A872" s="1324" t="str">
        <f>A871</f>
        <v>30-420</v>
      </c>
      <c r="B872" s="1324" t="s">
        <v>5946</v>
      </c>
      <c r="C872" s="1353">
        <f>'Key Metrics'!$E$316</f>
        <v>0</v>
      </c>
      <c r="D872" s="1353">
        <f>'Key Metrics'!$I$316</f>
        <v>0</v>
      </c>
      <c r="E872" s="1351">
        <f t="shared" si="290"/>
        <v>0</v>
      </c>
      <c r="F872" s="1353">
        <f t="shared" si="280"/>
        <v>0</v>
      </c>
      <c r="G872" s="1353">
        <f t="shared" si="281"/>
        <v>0</v>
      </c>
      <c r="H872" s="1353">
        <f t="shared" si="282"/>
        <v>0</v>
      </c>
      <c r="I872" s="1353">
        <f t="shared" si="283"/>
        <v>0</v>
      </c>
      <c r="J872" s="1353">
        <f t="shared" si="284"/>
        <v>0</v>
      </c>
      <c r="M872" s="1324" t="str">
        <f t="shared" si="285"/>
        <v>Celebration of Public Events Unclassified</v>
      </c>
      <c r="N872" s="1368">
        <f t="shared" si="286"/>
        <v>0</v>
      </c>
      <c r="O872" s="1368">
        <f t="shared" si="291"/>
        <v>0</v>
      </c>
      <c r="P872" s="1368">
        <f t="shared" si="291"/>
        <v>0</v>
      </c>
      <c r="Q872" s="1368">
        <f t="shared" si="291"/>
        <v>0</v>
      </c>
      <c r="R872" s="1368">
        <f t="shared" si="291"/>
        <v>0</v>
      </c>
      <c r="T872" s="1369">
        <v>0</v>
      </c>
      <c r="U872" s="1369">
        <v>0</v>
      </c>
      <c r="V872" s="1369">
        <v>0</v>
      </c>
      <c r="W872" s="1369">
        <v>0</v>
      </c>
      <c r="X872" s="1369">
        <v>0</v>
      </c>
      <c r="Y872" s="1367"/>
      <c r="Z872" s="1370">
        <v>0</v>
      </c>
      <c r="AA872" s="1370">
        <v>0</v>
      </c>
      <c r="AB872" s="1370">
        <v>0</v>
      </c>
      <c r="AC872" s="1370">
        <v>0</v>
      </c>
      <c r="AD872" s="1370">
        <v>0</v>
      </c>
      <c r="AK872" s="1354">
        <f t="shared" si="289"/>
        <v>0</v>
      </c>
      <c r="AL872" s="1352">
        <f t="shared" si="288"/>
        <v>53</v>
      </c>
      <c r="AM872" s="1354">
        <f t="shared" si="277"/>
        <v>0</v>
      </c>
      <c r="AN872" s="1352" t="str">
        <f t="shared" si="276"/>
        <v>Celebration of Public Events Unclassified</v>
      </c>
    </row>
    <row r="873" spans="1:40" x14ac:dyDescent="0.2">
      <c r="A873" s="1324" t="s">
        <v>5087</v>
      </c>
      <c r="B873" s="1324" t="s">
        <v>5721</v>
      </c>
      <c r="C873" s="1353">
        <f>'Key Metrics'!$C$317</f>
        <v>0</v>
      </c>
      <c r="D873" s="1353">
        <f>'Key Metrics'!$G$317</f>
        <v>0</v>
      </c>
      <c r="E873" s="1351">
        <f t="shared" si="290"/>
        <v>0</v>
      </c>
      <c r="F873" s="1353">
        <f t="shared" si="280"/>
        <v>0</v>
      </c>
      <c r="G873" s="1353">
        <f t="shared" si="281"/>
        <v>0</v>
      </c>
      <c r="H873" s="1353">
        <f t="shared" si="282"/>
        <v>0</v>
      </c>
      <c r="I873" s="1353">
        <f t="shared" si="283"/>
        <v>0</v>
      </c>
      <c r="J873" s="1353">
        <f t="shared" si="284"/>
        <v>0</v>
      </c>
      <c r="M873" s="1324" t="str">
        <f t="shared" si="285"/>
        <v>Salary and Wage Adjustments Salaries &amp; Wages</v>
      </c>
      <c r="N873" s="1368">
        <f t="shared" si="286"/>
        <v>0</v>
      </c>
      <c r="O873" s="1368">
        <f t="shared" si="291"/>
        <v>0</v>
      </c>
      <c r="P873" s="1368">
        <f t="shared" si="291"/>
        <v>0</v>
      </c>
      <c r="Q873" s="1368">
        <f t="shared" si="291"/>
        <v>0</v>
      </c>
      <c r="R873" s="1368">
        <f t="shared" si="291"/>
        <v>0</v>
      </c>
      <c r="T873" s="1369">
        <v>0</v>
      </c>
      <c r="U873" s="1369">
        <v>0</v>
      </c>
      <c r="V873" s="1369">
        <v>0</v>
      </c>
      <c r="W873" s="1369">
        <v>0</v>
      </c>
      <c r="X873" s="1369">
        <v>0</v>
      </c>
      <c r="Y873" s="1367"/>
      <c r="Z873" s="1370">
        <v>0</v>
      </c>
      <c r="AA873" s="1370">
        <v>0</v>
      </c>
      <c r="AB873" s="1370">
        <v>0</v>
      </c>
      <c r="AC873" s="1370">
        <v>0</v>
      </c>
      <c r="AD873" s="1370">
        <v>0</v>
      </c>
      <c r="AK873" s="1354">
        <f t="shared" si="289"/>
        <v>0</v>
      </c>
      <c r="AL873" s="1352">
        <f t="shared" si="288"/>
        <v>53</v>
      </c>
      <c r="AM873" s="1354">
        <f t="shared" si="277"/>
        <v>0</v>
      </c>
      <c r="AN873" s="1352" t="str">
        <f t="shared" si="276"/>
        <v>Salary and Wage Adjustments Salaries &amp; Wages</v>
      </c>
    </row>
    <row r="874" spans="1:40" x14ac:dyDescent="0.2">
      <c r="A874" s="1324" t="str">
        <f>A873</f>
        <v>30-425</v>
      </c>
      <c r="B874" s="1324" t="s">
        <v>5947</v>
      </c>
      <c r="C874" s="1353">
        <f>'Key Metrics'!$D$317</f>
        <v>0</v>
      </c>
      <c r="D874" s="1353">
        <f>'Key Metrics'!$H$317</f>
        <v>0</v>
      </c>
      <c r="E874" s="1351">
        <f t="shared" si="290"/>
        <v>0</v>
      </c>
      <c r="F874" s="1353">
        <f t="shared" si="280"/>
        <v>0</v>
      </c>
      <c r="G874" s="1353">
        <f t="shared" si="281"/>
        <v>0</v>
      </c>
      <c r="H874" s="1353">
        <f t="shared" si="282"/>
        <v>0</v>
      </c>
      <c r="I874" s="1353">
        <f t="shared" si="283"/>
        <v>0</v>
      </c>
      <c r="J874" s="1353">
        <f t="shared" si="284"/>
        <v>0</v>
      </c>
      <c r="M874" s="1324" t="str">
        <f t="shared" si="285"/>
        <v>Salary and Wage Adjustments Other Expenses</v>
      </c>
      <c r="N874" s="1368">
        <f t="shared" si="286"/>
        <v>0</v>
      </c>
      <c r="O874" s="1368">
        <f t="shared" si="291"/>
        <v>0</v>
      </c>
      <c r="P874" s="1368">
        <f t="shared" si="291"/>
        <v>0</v>
      </c>
      <c r="Q874" s="1368">
        <f t="shared" si="291"/>
        <v>0</v>
      </c>
      <c r="R874" s="1368">
        <f t="shared" si="291"/>
        <v>0</v>
      </c>
      <c r="T874" s="1369">
        <v>0</v>
      </c>
      <c r="U874" s="1369">
        <v>0</v>
      </c>
      <c r="V874" s="1369">
        <v>0</v>
      </c>
      <c r="W874" s="1369">
        <v>0</v>
      </c>
      <c r="X874" s="1369">
        <v>0</v>
      </c>
      <c r="Y874" s="1367"/>
      <c r="Z874" s="1370">
        <v>0</v>
      </c>
      <c r="AA874" s="1370">
        <v>0</v>
      </c>
      <c r="AB874" s="1370">
        <v>0</v>
      </c>
      <c r="AC874" s="1370">
        <v>0</v>
      </c>
      <c r="AD874" s="1370">
        <v>0</v>
      </c>
      <c r="AK874" s="1354">
        <f t="shared" si="289"/>
        <v>0</v>
      </c>
      <c r="AL874" s="1352">
        <f t="shared" si="288"/>
        <v>53</v>
      </c>
      <c r="AM874" s="1354">
        <f t="shared" si="277"/>
        <v>0</v>
      </c>
      <c r="AN874" s="1352" t="str">
        <f t="shared" si="276"/>
        <v>Salary and Wage Adjustments Other Expenses</v>
      </c>
    </row>
    <row r="875" spans="1:40" x14ac:dyDescent="0.2">
      <c r="A875" s="1324" t="str">
        <f>A874</f>
        <v>30-425</v>
      </c>
      <c r="B875" s="1324" t="s">
        <v>5948</v>
      </c>
      <c r="C875" s="1353">
        <f>'Key Metrics'!$E$317</f>
        <v>0</v>
      </c>
      <c r="D875" s="1353">
        <f>'Key Metrics'!$G$317</f>
        <v>0</v>
      </c>
      <c r="E875" s="1351">
        <f t="shared" si="290"/>
        <v>0</v>
      </c>
      <c r="F875" s="1353">
        <f t="shared" si="280"/>
        <v>0</v>
      </c>
      <c r="G875" s="1353">
        <f t="shared" si="281"/>
        <v>0</v>
      </c>
      <c r="H875" s="1353">
        <f t="shared" si="282"/>
        <v>0</v>
      </c>
      <c r="I875" s="1353">
        <f t="shared" si="283"/>
        <v>0</v>
      </c>
      <c r="J875" s="1353">
        <f t="shared" si="284"/>
        <v>0</v>
      </c>
      <c r="M875" s="1324" t="str">
        <f t="shared" si="285"/>
        <v>Salary and Wage Adjustments Unclassified</v>
      </c>
      <c r="N875" s="1368">
        <f t="shared" si="286"/>
        <v>0</v>
      </c>
      <c r="O875" s="1368">
        <f t="shared" si="291"/>
        <v>0</v>
      </c>
      <c r="P875" s="1368">
        <f t="shared" si="291"/>
        <v>0</v>
      </c>
      <c r="Q875" s="1368">
        <f t="shared" si="291"/>
        <v>0</v>
      </c>
      <c r="R875" s="1368">
        <f t="shared" si="291"/>
        <v>0</v>
      </c>
      <c r="T875" s="1369">
        <v>0</v>
      </c>
      <c r="U875" s="1369">
        <v>0</v>
      </c>
      <c r="V875" s="1369">
        <v>0</v>
      </c>
      <c r="W875" s="1369">
        <v>0</v>
      </c>
      <c r="X875" s="1369">
        <v>0</v>
      </c>
      <c r="Y875" s="1367"/>
      <c r="Z875" s="1370">
        <v>0</v>
      </c>
      <c r="AA875" s="1370">
        <v>0</v>
      </c>
      <c r="AB875" s="1370">
        <v>0</v>
      </c>
      <c r="AC875" s="1370">
        <v>0</v>
      </c>
      <c r="AD875" s="1370">
        <v>0</v>
      </c>
      <c r="AK875" s="1354">
        <f t="shared" si="289"/>
        <v>0</v>
      </c>
      <c r="AL875" s="1352">
        <f t="shared" si="288"/>
        <v>53</v>
      </c>
      <c r="AM875" s="1354">
        <f t="shared" si="277"/>
        <v>0</v>
      </c>
      <c r="AN875" s="1352" t="str">
        <f t="shared" si="276"/>
        <v>Salary and Wage Adjustments Unclassified</v>
      </c>
    </row>
    <row r="876" spans="1:40" x14ac:dyDescent="0.2">
      <c r="A876" s="1324" t="s">
        <v>5109</v>
      </c>
      <c r="B876" s="1324" t="s">
        <v>5722</v>
      </c>
      <c r="C876" s="1353">
        <f>'Key Metrics'!$C$318</f>
        <v>0</v>
      </c>
      <c r="D876" s="1353">
        <f>'Key Metrics'!$G$318</f>
        <v>0</v>
      </c>
      <c r="E876" s="1351">
        <f t="shared" si="290"/>
        <v>0</v>
      </c>
      <c r="F876" s="1353">
        <f t="shared" si="280"/>
        <v>0</v>
      </c>
      <c r="G876" s="1353">
        <f t="shared" si="281"/>
        <v>0</v>
      </c>
      <c r="H876" s="1353">
        <f t="shared" si="282"/>
        <v>0</v>
      </c>
      <c r="I876" s="1353">
        <f t="shared" si="283"/>
        <v>0</v>
      </c>
      <c r="J876" s="1353">
        <f t="shared" si="284"/>
        <v>0</v>
      </c>
      <c r="M876" s="1324" t="str">
        <f t="shared" si="285"/>
        <v>Tax Appeal Refunds (Outside CAP) Salaries &amp; Wages</v>
      </c>
      <c r="N876" s="1368">
        <f t="shared" si="286"/>
        <v>0</v>
      </c>
      <c r="O876" s="1368">
        <f t="shared" si="291"/>
        <v>0</v>
      </c>
      <c r="P876" s="1368">
        <f t="shared" si="291"/>
        <v>0</v>
      </c>
      <c r="Q876" s="1368">
        <f t="shared" si="291"/>
        <v>0</v>
      </c>
      <c r="R876" s="1368">
        <f t="shared" si="291"/>
        <v>0</v>
      </c>
      <c r="T876" s="1369">
        <v>0</v>
      </c>
      <c r="U876" s="1369">
        <v>0</v>
      </c>
      <c r="V876" s="1369">
        <v>0</v>
      </c>
      <c r="W876" s="1369">
        <v>0</v>
      </c>
      <c r="X876" s="1369">
        <v>0</v>
      </c>
      <c r="Y876" s="1367"/>
      <c r="Z876" s="1370">
        <v>0</v>
      </c>
      <c r="AA876" s="1370">
        <v>0</v>
      </c>
      <c r="AB876" s="1370">
        <v>0</v>
      </c>
      <c r="AC876" s="1370">
        <v>0</v>
      </c>
      <c r="AD876" s="1370">
        <v>0</v>
      </c>
      <c r="AK876" s="1354">
        <f t="shared" si="289"/>
        <v>0</v>
      </c>
      <c r="AL876" s="1352">
        <f t="shared" si="288"/>
        <v>53</v>
      </c>
      <c r="AM876" s="1354">
        <f t="shared" si="277"/>
        <v>0</v>
      </c>
      <c r="AN876" s="1352" t="str">
        <f t="shared" si="276"/>
        <v>Tax Appeal Refunds (Outside CAP) Salaries &amp; Wages</v>
      </c>
    </row>
    <row r="877" spans="1:40" x14ac:dyDescent="0.2">
      <c r="A877" s="1324" t="str">
        <f>A876</f>
        <v>30-426</v>
      </c>
      <c r="B877" s="1324" t="s">
        <v>5949</v>
      </c>
      <c r="C877" s="1353">
        <f>'Key Metrics'!$D$318</f>
        <v>0</v>
      </c>
      <c r="D877" s="1353">
        <f>'Key Metrics'!$H$318</f>
        <v>0</v>
      </c>
      <c r="E877" s="1351">
        <f t="shared" si="290"/>
        <v>0</v>
      </c>
      <c r="F877" s="1353">
        <f t="shared" si="280"/>
        <v>0</v>
      </c>
      <c r="G877" s="1353">
        <f t="shared" si="281"/>
        <v>0</v>
      </c>
      <c r="H877" s="1353">
        <f t="shared" si="282"/>
        <v>0</v>
      </c>
      <c r="I877" s="1353">
        <f t="shared" si="283"/>
        <v>0</v>
      </c>
      <c r="J877" s="1353">
        <f t="shared" si="284"/>
        <v>0</v>
      </c>
      <c r="M877" s="1324" t="str">
        <f t="shared" si="285"/>
        <v>Tax Appeal Refunds (Outside CAP) Other Expenses</v>
      </c>
      <c r="N877" s="1368">
        <f t="shared" si="286"/>
        <v>0</v>
      </c>
      <c r="O877" s="1368">
        <f t="shared" si="291"/>
        <v>0</v>
      </c>
      <c r="P877" s="1368">
        <f t="shared" si="291"/>
        <v>0</v>
      </c>
      <c r="Q877" s="1368">
        <f t="shared" si="291"/>
        <v>0</v>
      </c>
      <c r="R877" s="1368">
        <f t="shared" si="291"/>
        <v>0</v>
      </c>
      <c r="T877" s="1369">
        <v>0</v>
      </c>
      <c r="U877" s="1369">
        <v>0</v>
      </c>
      <c r="V877" s="1369">
        <v>0</v>
      </c>
      <c r="W877" s="1369">
        <v>0</v>
      </c>
      <c r="X877" s="1369">
        <v>0</v>
      </c>
      <c r="Y877" s="1367"/>
      <c r="Z877" s="1370">
        <v>0</v>
      </c>
      <c r="AA877" s="1370">
        <v>0</v>
      </c>
      <c r="AB877" s="1370">
        <v>0</v>
      </c>
      <c r="AC877" s="1370">
        <v>0</v>
      </c>
      <c r="AD877" s="1370">
        <v>0</v>
      </c>
      <c r="AK877" s="1354">
        <f t="shared" si="289"/>
        <v>0</v>
      </c>
      <c r="AL877" s="1352">
        <f t="shared" si="288"/>
        <v>53</v>
      </c>
      <c r="AM877" s="1354">
        <f t="shared" si="277"/>
        <v>0</v>
      </c>
      <c r="AN877" s="1352" t="str">
        <f t="shared" si="276"/>
        <v>Tax Appeal Refunds (Outside CAP) Other Expenses</v>
      </c>
    </row>
    <row r="878" spans="1:40" x14ac:dyDescent="0.2">
      <c r="A878" s="1324" t="str">
        <f>A877</f>
        <v>30-426</v>
      </c>
      <c r="B878" s="1324" t="s">
        <v>5950</v>
      </c>
      <c r="C878" s="1353">
        <f>'Key Metrics'!$E$318</f>
        <v>0</v>
      </c>
      <c r="D878" s="1353">
        <f>'Key Metrics'!$I$318</f>
        <v>0</v>
      </c>
      <c r="E878" s="1351">
        <f t="shared" si="290"/>
        <v>0</v>
      </c>
      <c r="F878" s="1353">
        <f t="shared" si="280"/>
        <v>0</v>
      </c>
      <c r="G878" s="1353">
        <f t="shared" si="281"/>
        <v>0</v>
      </c>
      <c r="H878" s="1353">
        <f t="shared" si="282"/>
        <v>0</v>
      </c>
      <c r="I878" s="1353">
        <f t="shared" si="283"/>
        <v>0</v>
      </c>
      <c r="J878" s="1353">
        <f t="shared" si="284"/>
        <v>0</v>
      </c>
      <c r="M878" s="1324" t="str">
        <f t="shared" si="285"/>
        <v>Tax Appeal Refunds (Outside CAP) Unclassified</v>
      </c>
      <c r="N878" s="1368">
        <f t="shared" si="286"/>
        <v>0</v>
      </c>
      <c r="O878" s="1368">
        <f t="shared" ref="O878:R887" si="292">N878</f>
        <v>0</v>
      </c>
      <c r="P878" s="1368">
        <f t="shared" si="292"/>
        <v>0</v>
      </c>
      <c r="Q878" s="1368">
        <f t="shared" si="292"/>
        <v>0</v>
      </c>
      <c r="R878" s="1368">
        <f t="shared" si="292"/>
        <v>0</v>
      </c>
      <c r="T878" s="1369">
        <v>0</v>
      </c>
      <c r="U878" s="1369">
        <v>0</v>
      </c>
      <c r="V878" s="1369">
        <v>0</v>
      </c>
      <c r="W878" s="1369">
        <v>0</v>
      </c>
      <c r="X878" s="1369">
        <v>0</v>
      </c>
      <c r="Y878" s="1367"/>
      <c r="Z878" s="1370">
        <v>0</v>
      </c>
      <c r="AA878" s="1370">
        <v>0</v>
      </c>
      <c r="AB878" s="1370">
        <v>0</v>
      </c>
      <c r="AC878" s="1370">
        <v>0</v>
      </c>
      <c r="AD878" s="1370">
        <v>0</v>
      </c>
      <c r="AK878" s="1354">
        <f t="shared" si="289"/>
        <v>0</v>
      </c>
      <c r="AL878" s="1352">
        <f t="shared" si="288"/>
        <v>53</v>
      </c>
      <c r="AM878" s="1354">
        <f t="shared" si="277"/>
        <v>0</v>
      </c>
      <c r="AN878" s="1352" t="str">
        <f t="shared" si="276"/>
        <v>Tax Appeal Refunds (Outside CAP) Unclassified</v>
      </c>
    </row>
    <row r="879" spans="1:40" x14ac:dyDescent="0.2">
      <c r="A879" s="1324" t="s">
        <v>5112</v>
      </c>
      <c r="B879" s="1324" t="s">
        <v>5723</v>
      </c>
      <c r="C879" s="1353">
        <f>'Key Metrics'!$C$319</f>
        <v>0</v>
      </c>
      <c r="D879" s="1353">
        <f>'Key Metrics'!$G$319</f>
        <v>0</v>
      </c>
      <c r="E879" s="1351">
        <f t="shared" si="290"/>
        <v>0</v>
      </c>
      <c r="F879" s="1353">
        <f t="shared" si="280"/>
        <v>0</v>
      </c>
      <c r="G879" s="1353">
        <f t="shared" si="281"/>
        <v>0</v>
      </c>
      <c r="H879" s="1353">
        <f t="shared" si="282"/>
        <v>0</v>
      </c>
      <c r="I879" s="1353">
        <f t="shared" si="283"/>
        <v>0</v>
      </c>
      <c r="J879" s="1353">
        <f t="shared" si="284"/>
        <v>0</v>
      </c>
      <c r="M879" s="1324" t="str">
        <f t="shared" si="285"/>
        <v>County Pass-Through Salaries &amp; Wages</v>
      </c>
      <c r="N879" s="1368">
        <f t="shared" si="286"/>
        <v>0</v>
      </c>
      <c r="O879" s="1368">
        <f t="shared" si="292"/>
        <v>0</v>
      </c>
      <c r="P879" s="1368">
        <f t="shared" si="292"/>
        <v>0</v>
      </c>
      <c r="Q879" s="1368">
        <f t="shared" si="292"/>
        <v>0</v>
      </c>
      <c r="R879" s="1368">
        <f t="shared" si="292"/>
        <v>0</v>
      </c>
      <c r="T879" s="1369">
        <v>0</v>
      </c>
      <c r="U879" s="1369">
        <v>0</v>
      </c>
      <c r="V879" s="1369">
        <v>0</v>
      </c>
      <c r="W879" s="1369">
        <v>0</v>
      </c>
      <c r="X879" s="1369">
        <v>0</v>
      </c>
      <c r="Y879" s="1367"/>
      <c r="Z879" s="1370">
        <v>0</v>
      </c>
      <c r="AA879" s="1370">
        <v>0</v>
      </c>
      <c r="AB879" s="1370">
        <v>0</v>
      </c>
      <c r="AC879" s="1370">
        <v>0</v>
      </c>
      <c r="AD879" s="1370">
        <v>0</v>
      </c>
      <c r="AK879" s="1354">
        <f t="shared" si="289"/>
        <v>0</v>
      </c>
      <c r="AL879" s="1352">
        <f t="shared" si="288"/>
        <v>53</v>
      </c>
      <c r="AM879" s="1354">
        <f t="shared" si="277"/>
        <v>0</v>
      </c>
      <c r="AN879" s="1352" t="str">
        <f t="shared" si="276"/>
        <v>County Pass-Through Salaries &amp; Wages</v>
      </c>
    </row>
    <row r="880" spans="1:40" x14ac:dyDescent="0.2">
      <c r="A880" s="1324" t="str">
        <f>A879</f>
        <v>30-427</v>
      </c>
      <c r="B880" s="1324" t="s">
        <v>5951</v>
      </c>
      <c r="C880" s="1353">
        <f>'Key Metrics'!$D$319</f>
        <v>0</v>
      </c>
      <c r="D880" s="1353">
        <f>'Key Metrics'!$H$319</f>
        <v>0</v>
      </c>
      <c r="E880" s="1351">
        <f t="shared" si="290"/>
        <v>0</v>
      </c>
      <c r="F880" s="1353">
        <f t="shared" si="280"/>
        <v>0</v>
      </c>
      <c r="G880" s="1353">
        <f t="shared" si="281"/>
        <v>0</v>
      </c>
      <c r="H880" s="1353">
        <f t="shared" si="282"/>
        <v>0</v>
      </c>
      <c r="I880" s="1353">
        <f t="shared" si="283"/>
        <v>0</v>
      </c>
      <c r="J880" s="1353">
        <f t="shared" si="284"/>
        <v>0</v>
      </c>
      <c r="M880" s="1324" t="str">
        <f t="shared" si="285"/>
        <v>County Pass-Through Other Expenses</v>
      </c>
      <c r="N880" s="1368">
        <f t="shared" si="286"/>
        <v>0</v>
      </c>
      <c r="O880" s="1368">
        <f t="shared" si="292"/>
        <v>0</v>
      </c>
      <c r="P880" s="1368">
        <f t="shared" si="292"/>
        <v>0</v>
      </c>
      <c r="Q880" s="1368">
        <f t="shared" si="292"/>
        <v>0</v>
      </c>
      <c r="R880" s="1368">
        <f t="shared" si="292"/>
        <v>0</v>
      </c>
      <c r="T880" s="1369">
        <v>0</v>
      </c>
      <c r="U880" s="1369">
        <v>0</v>
      </c>
      <c r="V880" s="1369">
        <v>0</v>
      </c>
      <c r="W880" s="1369">
        <v>0</v>
      </c>
      <c r="X880" s="1369">
        <v>0</v>
      </c>
      <c r="Y880" s="1367"/>
      <c r="Z880" s="1370">
        <v>0</v>
      </c>
      <c r="AA880" s="1370">
        <v>0</v>
      </c>
      <c r="AB880" s="1370">
        <v>0</v>
      </c>
      <c r="AC880" s="1370">
        <v>0</v>
      </c>
      <c r="AD880" s="1370">
        <v>0</v>
      </c>
      <c r="AK880" s="1354">
        <f t="shared" si="289"/>
        <v>0</v>
      </c>
      <c r="AL880" s="1352">
        <f t="shared" si="288"/>
        <v>53</v>
      </c>
      <c r="AM880" s="1354">
        <f t="shared" si="277"/>
        <v>0</v>
      </c>
      <c r="AN880" s="1352" t="str">
        <f t="shared" si="276"/>
        <v>County Pass-Through Other Expenses</v>
      </c>
    </row>
    <row r="881" spans="1:40" x14ac:dyDescent="0.2">
      <c r="A881" s="1324" t="str">
        <f>A880</f>
        <v>30-427</v>
      </c>
      <c r="B881" s="1324" t="s">
        <v>5952</v>
      </c>
      <c r="C881" s="1353">
        <f>'Key Metrics'!$E$319</f>
        <v>0</v>
      </c>
      <c r="D881" s="1353">
        <f>'Key Metrics'!$I$319</f>
        <v>0</v>
      </c>
      <c r="E881" s="1351">
        <f t="shared" si="290"/>
        <v>0</v>
      </c>
      <c r="F881" s="1353">
        <f t="shared" si="280"/>
        <v>0</v>
      </c>
      <c r="G881" s="1353">
        <f t="shared" si="281"/>
        <v>0</v>
      </c>
      <c r="H881" s="1353">
        <f t="shared" si="282"/>
        <v>0</v>
      </c>
      <c r="I881" s="1353">
        <f t="shared" si="283"/>
        <v>0</v>
      </c>
      <c r="J881" s="1353">
        <f t="shared" si="284"/>
        <v>0</v>
      </c>
      <c r="M881" s="1324" t="str">
        <f t="shared" si="285"/>
        <v>County Pass-Through Unclassified</v>
      </c>
      <c r="N881" s="1368">
        <f t="shared" si="286"/>
        <v>0</v>
      </c>
      <c r="O881" s="1368">
        <f t="shared" si="292"/>
        <v>0</v>
      </c>
      <c r="P881" s="1368">
        <f t="shared" si="292"/>
        <v>0</v>
      </c>
      <c r="Q881" s="1368">
        <f t="shared" si="292"/>
        <v>0</v>
      </c>
      <c r="R881" s="1368">
        <f t="shared" si="292"/>
        <v>0</v>
      </c>
      <c r="T881" s="1369">
        <v>0</v>
      </c>
      <c r="U881" s="1369">
        <v>0</v>
      </c>
      <c r="V881" s="1369">
        <v>0</v>
      </c>
      <c r="W881" s="1369">
        <v>0</v>
      </c>
      <c r="X881" s="1369">
        <v>0</v>
      </c>
      <c r="Y881" s="1367"/>
      <c r="Z881" s="1370">
        <v>0</v>
      </c>
      <c r="AA881" s="1370">
        <v>0</v>
      </c>
      <c r="AB881" s="1370">
        <v>0</v>
      </c>
      <c r="AC881" s="1370">
        <v>0</v>
      </c>
      <c r="AD881" s="1370">
        <v>0</v>
      </c>
      <c r="AK881" s="1354">
        <f t="shared" si="289"/>
        <v>0</v>
      </c>
      <c r="AL881" s="1352">
        <f t="shared" si="288"/>
        <v>53</v>
      </c>
      <c r="AM881" s="1354">
        <f t="shared" si="277"/>
        <v>0</v>
      </c>
      <c r="AN881" s="1352" t="str">
        <f t="shared" si="276"/>
        <v>County Pass-Through Unclassified</v>
      </c>
    </row>
    <row r="882" spans="1:40" x14ac:dyDescent="0.2">
      <c r="A882" s="1324" t="s">
        <v>5115</v>
      </c>
      <c r="B882" s="1324" t="s">
        <v>5724</v>
      </c>
      <c r="C882" s="1353">
        <f>'Key Metrics'!$C$320</f>
        <v>0</v>
      </c>
      <c r="D882" s="1353">
        <f>'Key Metrics'!$G$320</f>
        <v>0</v>
      </c>
      <c r="E882" s="1351">
        <f t="shared" si="290"/>
        <v>0</v>
      </c>
      <c r="F882" s="1353">
        <f t="shared" si="280"/>
        <v>0</v>
      </c>
      <c r="G882" s="1353">
        <f t="shared" si="281"/>
        <v>0</v>
      </c>
      <c r="H882" s="1353">
        <f t="shared" si="282"/>
        <v>0</v>
      </c>
      <c r="I882" s="1353">
        <f t="shared" si="283"/>
        <v>0</v>
      </c>
      <c r="J882" s="1353">
        <f t="shared" si="284"/>
        <v>0</v>
      </c>
      <c r="M882" s="1324" t="str">
        <f t="shared" si="285"/>
        <v>School District Pass-Through Salaries &amp; Wages</v>
      </c>
      <c r="N882" s="1368">
        <f t="shared" si="286"/>
        <v>0</v>
      </c>
      <c r="O882" s="1368">
        <f t="shared" si="292"/>
        <v>0</v>
      </c>
      <c r="P882" s="1368">
        <f t="shared" si="292"/>
        <v>0</v>
      </c>
      <c r="Q882" s="1368">
        <f t="shared" si="292"/>
        <v>0</v>
      </c>
      <c r="R882" s="1368">
        <f t="shared" si="292"/>
        <v>0</v>
      </c>
      <c r="T882" s="1369">
        <v>0</v>
      </c>
      <c r="U882" s="1369">
        <v>0</v>
      </c>
      <c r="V882" s="1369">
        <v>0</v>
      </c>
      <c r="W882" s="1369">
        <v>0</v>
      </c>
      <c r="X882" s="1369">
        <v>0</v>
      </c>
      <c r="Y882" s="1367"/>
      <c r="Z882" s="1370">
        <v>0</v>
      </c>
      <c r="AA882" s="1370">
        <v>0</v>
      </c>
      <c r="AB882" s="1370">
        <v>0</v>
      </c>
      <c r="AC882" s="1370">
        <v>0</v>
      </c>
      <c r="AD882" s="1370">
        <v>0</v>
      </c>
      <c r="AK882" s="1354">
        <f t="shared" si="289"/>
        <v>0</v>
      </c>
      <c r="AL882" s="1352">
        <f t="shared" si="288"/>
        <v>53</v>
      </c>
      <c r="AM882" s="1354">
        <f t="shared" si="277"/>
        <v>0</v>
      </c>
      <c r="AN882" s="1352" t="str">
        <f t="shared" si="276"/>
        <v>School District Pass-Through Salaries &amp; Wages</v>
      </c>
    </row>
    <row r="883" spans="1:40" x14ac:dyDescent="0.2">
      <c r="A883" s="1324" t="str">
        <f>A882</f>
        <v>30-428</v>
      </c>
      <c r="B883" s="1324" t="s">
        <v>5953</v>
      </c>
      <c r="C883" s="1353">
        <f>'Key Metrics'!$D$320</f>
        <v>0</v>
      </c>
      <c r="D883" s="1353">
        <f>'Key Metrics'!$H$320</f>
        <v>0</v>
      </c>
      <c r="E883" s="1351">
        <f t="shared" si="290"/>
        <v>0</v>
      </c>
      <c r="F883" s="1353">
        <f t="shared" si="280"/>
        <v>0</v>
      </c>
      <c r="G883" s="1353">
        <f t="shared" si="281"/>
        <v>0</v>
      </c>
      <c r="H883" s="1353">
        <f t="shared" si="282"/>
        <v>0</v>
      </c>
      <c r="I883" s="1353">
        <f t="shared" si="283"/>
        <v>0</v>
      </c>
      <c r="J883" s="1353">
        <f t="shared" si="284"/>
        <v>0</v>
      </c>
      <c r="M883" s="1324" t="str">
        <f t="shared" si="285"/>
        <v>School District Pass-Through Other Expenses</v>
      </c>
      <c r="N883" s="1368">
        <f t="shared" si="286"/>
        <v>0</v>
      </c>
      <c r="O883" s="1368">
        <f t="shared" si="292"/>
        <v>0</v>
      </c>
      <c r="P883" s="1368">
        <f t="shared" si="292"/>
        <v>0</v>
      </c>
      <c r="Q883" s="1368">
        <f t="shared" si="292"/>
        <v>0</v>
      </c>
      <c r="R883" s="1368">
        <f t="shared" si="292"/>
        <v>0</v>
      </c>
      <c r="T883" s="1369">
        <v>0</v>
      </c>
      <c r="U883" s="1369">
        <v>0</v>
      </c>
      <c r="V883" s="1369">
        <v>0</v>
      </c>
      <c r="W883" s="1369">
        <v>0</v>
      </c>
      <c r="X883" s="1369">
        <v>0</v>
      </c>
      <c r="Y883" s="1367"/>
      <c r="Z883" s="1370">
        <v>0</v>
      </c>
      <c r="AA883" s="1370">
        <v>0</v>
      </c>
      <c r="AB883" s="1370">
        <v>0</v>
      </c>
      <c r="AC883" s="1370">
        <v>0</v>
      </c>
      <c r="AD883" s="1370">
        <v>0</v>
      </c>
      <c r="AK883" s="1354">
        <f t="shared" si="289"/>
        <v>0</v>
      </c>
      <c r="AL883" s="1352">
        <f t="shared" si="288"/>
        <v>53</v>
      </c>
      <c r="AM883" s="1354">
        <f t="shared" si="277"/>
        <v>0</v>
      </c>
      <c r="AN883" s="1352" t="str">
        <f t="shared" si="276"/>
        <v>School District Pass-Through Other Expenses</v>
      </c>
    </row>
    <row r="884" spans="1:40" x14ac:dyDescent="0.2">
      <c r="A884" s="1324" t="str">
        <f>A883</f>
        <v>30-428</v>
      </c>
      <c r="B884" s="1324" t="s">
        <v>5954</v>
      </c>
      <c r="C884" s="1353">
        <f>'Key Metrics'!$E$320</f>
        <v>0</v>
      </c>
      <c r="D884" s="1353">
        <f>'Key Metrics'!$I$320</f>
        <v>0</v>
      </c>
      <c r="E884" s="1351">
        <f t="shared" si="290"/>
        <v>0</v>
      </c>
      <c r="F884" s="1353">
        <f t="shared" si="280"/>
        <v>0</v>
      </c>
      <c r="G884" s="1353">
        <f t="shared" si="281"/>
        <v>0</v>
      </c>
      <c r="H884" s="1353">
        <f t="shared" si="282"/>
        <v>0</v>
      </c>
      <c r="I884" s="1353">
        <f t="shared" si="283"/>
        <v>0</v>
      </c>
      <c r="J884" s="1353">
        <f t="shared" si="284"/>
        <v>0</v>
      </c>
      <c r="M884" s="1324" t="str">
        <f t="shared" si="285"/>
        <v>School District Pass-Through Unclassified</v>
      </c>
      <c r="N884" s="1368">
        <f t="shared" si="286"/>
        <v>0</v>
      </c>
      <c r="O884" s="1368">
        <f t="shared" si="292"/>
        <v>0</v>
      </c>
      <c r="P884" s="1368">
        <f t="shared" si="292"/>
        <v>0</v>
      </c>
      <c r="Q884" s="1368">
        <f t="shared" si="292"/>
        <v>0</v>
      </c>
      <c r="R884" s="1368">
        <f t="shared" si="292"/>
        <v>0</v>
      </c>
      <c r="T884" s="1369">
        <v>0</v>
      </c>
      <c r="U884" s="1369">
        <v>0</v>
      </c>
      <c r="V884" s="1369">
        <v>0</v>
      </c>
      <c r="W884" s="1369">
        <v>0</v>
      </c>
      <c r="X884" s="1369">
        <v>0</v>
      </c>
      <c r="Y884" s="1367"/>
      <c r="Z884" s="1370">
        <v>0</v>
      </c>
      <c r="AA884" s="1370">
        <v>0</v>
      </c>
      <c r="AB884" s="1370">
        <v>0</v>
      </c>
      <c r="AC884" s="1370">
        <v>0</v>
      </c>
      <c r="AD884" s="1370">
        <v>0</v>
      </c>
      <c r="AK884" s="1354">
        <f t="shared" si="289"/>
        <v>0</v>
      </c>
      <c r="AL884" s="1352">
        <f t="shared" si="288"/>
        <v>53</v>
      </c>
      <c r="AM884" s="1354">
        <f t="shared" si="277"/>
        <v>0</v>
      </c>
      <c r="AN884" s="1352" t="str">
        <f t="shared" si="276"/>
        <v>School District Pass-Through Unclassified</v>
      </c>
    </row>
    <row r="885" spans="1:40" x14ac:dyDescent="0.2">
      <c r="A885" s="1324" t="s">
        <v>5118</v>
      </c>
      <c r="B885" s="1324" t="s">
        <v>5725</v>
      </c>
      <c r="C885" s="1353">
        <f>'Key Metrics'!$C$321</f>
        <v>0</v>
      </c>
      <c r="D885" s="1353">
        <f>'Key Metrics'!$G$321</f>
        <v>0</v>
      </c>
      <c r="E885" s="1351">
        <f t="shared" si="290"/>
        <v>0</v>
      </c>
      <c r="F885" s="1353">
        <f t="shared" si="280"/>
        <v>0</v>
      </c>
      <c r="G885" s="1353">
        <f t="shared" si="281"/>
        <v>0</v>
      </c>
      <c r="H885" s="1353">
        <f t="shared" si="282"/>
        <v>0</v>
      </c>
      <c r="I885" s="1353">
        <f t="shared" si="283"/>
        <v>0</v>
      </c>
      <c r="J885" s="1353">
        <f t="shared" si="284"/>
        <v>0</v>
      </c>
      <c r="M885" s="1324" t="str">
        <f t="shared" si="285"/>
        <v>Declared State of Emergency - Snow Removal (Outside CAP) Salaries &amp; Wages</v>
      </c>
      <c r="N885" s="1368">
        <f t="shared" si="286"/>
        <v>0</v>
      </c>
      <c r="O885" s="1368">
        <f t="shared" si="292"/>
        <v>0</v>
      </c>
      <c r="P885" s="1368">
        <f t="shared" si="292"/>
        <v>0</v>
      </c>
      <c r="Q885" s="1368">
        <f t="shared" si="292"/>
        <v>0</v>
      </c>
      <c r="R885" s="1368">
        <f t="shared" si="292"/>
        <v>0</v>
      </c>
      <c r="T885" s="1369">
        <v>0</v>
      </c>
      <c r="U885" s="1369">
        <v>0</v>
      </c>
      <c r="V885" s="1369">
        <v>0</v>
      </c>
      <c r="W885" s="1369">
        <v>0</v>
      </c>
      <c r="X885" s="1369">
        <v>0</v>
      </c>
      <c r="Y885" s="1367"/>
      <c r="Z885" s="1370">
        <v>0</v>
      </c>
      <c r="AA885" s="1370">
        <v>0</v>
      </c>
      <c r="AB885" s="1370">
        <v>0</v>
      </c>
      <c r="AC885" s="1370">
        <v>0</v>
      </c>
      <c r="AD885" s="1370">
        <v>0</v>
      </c>
      <c r="AK885" s="1354">
        <f t="shared" si="289"/>
        <v>0</v>
      </c>
      <c r="AL885" s="1352">
        <f t="shared" si="288"/>
        <v>53</v>
      </c>
      <c r="AM885" s="1354">
        <f t="shared" si="277"/>
        <v>0</v>
      </c>
      <c r="AN885" s="1352" t="str">
        <f t="shared" si="276"/>
        <v>Declared State of Emergency - Snow Removal (Outside CAP) Salaries &amp; Wages</v>
      </c>
    </row>
    <row r="886" spans="1:40" x14ac:dyDescent="0.2">
      <c r="A886" s="1324" t="str">
        <f>A885</f>
        <v>30-430</v>
      </c>
      <c r="B886" s="1324" t="s">
        <v>5955</v>
      </c>
      <c r="C886" s="1353">
        <f>'Key Metrics'!$D$321</f>
        <v>0</v>
      </c>
      <c r="D886" s="1353">
        <f>'Key Metrics'!$H$321</f>
        <v>0</v>
      </c>
      <c r="E886" s="1351">
        <f t="shared" si="290"/>
        <v>0</v>
      </c>
      <c r="F886" s="1353">
        <f t="shared" si="280"/>
        <v>0</v>
      </c>
      <c r="G886" s="1353">
        <f t="shared" si="281"/>
        <v>0</v>
      </c>
      <c r="H886" s="1353">
        <f t="shared" si="282"/>
        <v>0</v>
      </c>
      <c r="I886" s="1353">
        <f t="shared" si="283"/>
        <v>0</v>
      </c>
      <c r="J886" s="1353">
        <f t="shared" si="284"/>
        <v>0</v>
      </c>
      <c r="M886" s="1324" t="str">
        <f t="shared" si="285"/>
        <v>Declared State of Emergency - Snow Removal (Outside CAP) Other Expenses</v>
      </c>
      <c r="N886" s="1368">
        <f t="shared" si="286"/>
        <v>0</v>
      </c>
      <c r="O886" s="1368">
        <f t="shared" si="292"/>
        <v>0</v>
      </c>
      <c r="P886" s="1368">
        <f t="shared" si="292"/>
        <v>0</v>
      </c>
      <c r="Q886" s="1368">
        <f t="shared" si="292"/>
        <v>0</v>
      </c>
      <c r="R886" s="1368">
        <f t="shared" si="292"/>
        <v>0</v>
      </c>
      <c r="T886" s="1369">
        <v>0</v>
      </c>
      <c r="U886" s="1369">
        <v>0</v>
      </c>
      <c r="V886" s="1369">
        <v>0</v>
      </c>
      <c r="W886" s="1369">
        <v>0</v>
      </c>
      <c r="X886" s="1369">
        <v>0</v>
      </c>
      <c r="Y886" s="1367"/>
      <c r="Z886" s="1370">
        <v>0</v>
      </c>
      <c r="AA886" s="1370">
        <v>0</v>
      </c>
      <c r="AB886" s="1370">
        <v>0</v>
      </c>
      <c r="AC886" s="1370">
        <v>0</v>
      </c>
      <c r="AD886" s="1370">
        <v>0</v>
      </c>
      <c r="AK886" s="1354">
        <f t="shared" si="289"/>
        <v>0</v>
      </c>
      <c r="AL886" s="1352">
        <f t="shared" si="288"/>
        <v>53</v>
      </c>
      <c r="AM886" s="1354">
        <f t="shared" si="277"/>
        <v>0</v>
      </c>
      <c r="AN886" s="1352" t="str">
        <f t="shared" si="276"/>
        <v>Declared State of Emergency - Snow Removal (Outside CAP) Other Expenses</v>
      </c>
    </row>
    <row r="887" spans="1:40" x14ac:dyDescent="0.2">
      <c r="A887" s="1324" t="str">
        <f>A886</f>
        <v>30-430</v>
      </c>
      <c r="B887" s="1324" t="s">
        <v>5956</v>
      </c>
      <c r="C887" s="1353">
        <f>'Key Metrics'!$E$321</f>
        <v>0</v>
      </c>
      <c r="D887" s="1353">
        <f>'Key Metrics'!$I$321</f>
        <v>0</v>
      </c>
      <c r="E887" s="1351">
        <f t="shared" si="290"/>
        <v>0</v>
      </c>
      <c r="F887" s="1353">
        <f t="shared" si="280"/>
        <v>0</v>
      </c>
      <c r="G887" s="1353">
        <f t="shared" si="281"/>
        <v>0</v>
      </c>
      <c r="H887" s="1353">
        <f t="shared" si="282"/>
        <v>0</v>
      </c>
      <c r="I887" s="1353">
        <f t="shared" si="283"/>
        <v>0</v>
      </c>
      <c r="J887" s="1353">
        <f t="shared" si="284"/>
        <v>0</v>
      </c>
      <c r="M887" s="1324" t="str">
        <f t="shared" si="285"/>
        <v>Declared State of Emergency - Snow Removal (Outside CAP) Unclassified</v>
      </c>
      <c r="N887" s="1368">
        <f t="shared" si="286"/>
        <v>0</v>
      </c>
      <c r="O887" s="1368">
        <f t="shared" si="292"/>
        <v>0</v>
      </c>
      <c r="P887" s="1368">
        <f t="shared" si="292"/>
        <v>0</v>
      </c>
      <c r="Q887" s="1368">
        <f t="shared" si="292"/>
        <v>0</v>
      </c>
      <c r="R887" s="1368">
        <f t="shared" si="292"/>
        <v>0</v>
      </c>
      <c r="T887" s="1369">
        <v>0</v>
      </c>
      <c r="U887" s="1369">
        <v>0</v>
      </c>
      <c r="V887" s="1369">
        <v>0</v>
      </c>
      <c r="W887" s="1369">
        <v>0</v>
      </c>
      <c r="X887" s="1369">
        <v>0</v>
      </c>
      <c r="Y887" s="1367"/>
      <c r="Z887" s="1370">
        <v>0</v>
      </c>
      <c r="AA887" s="1370">
        <v>0</v>
      </c>
      <c r="AB887" s="1370">
        <v>0</v>
      </c>
      <c r="AC887" s="1370">
        <v>0</v>
      </c>
      <c r="AD887" s="1370">
        <v>0</v>
      </c>
      <c r="AK887" s="1354">
        <f t="shared" si="289"/>
        <v>0</v>
      </c>
      <c r="AL887" s="1352">
        <f t="shared" si="288"/>
        <v>53</v>
      </c>
      <c r="AM887" s="1354">
        <f t="shared" si="277"/>
        <v>0</v>
      </c>
      <c r="AN887" s="1352" t="str">
        <f t="shared" si="276"/>
        <v>Declared State of Emergency - Snow Removal (Outside CAP) Unclassified</v>
      </c>
    </row>
    <row r="888" spans="1:40" x14ac:dyDescent="0.2">
      <c r="B888" s="1373" t="s">
        <v>5627</v>
      </c>
      <c r="C888" s="1360">
        <f>SUM(C849:C887)</f>
        <v>0</v>
      </c>
      <c r="D888" s="1360">
        <f>SUM(D849:D887)</f>
        <v>500</v>
      </c>
      <c r="E888" s="1356">
        <f t="shared" si="290"/>
        <v>0</v>
      </c>
      <c r="F888" s="1360">
        <f>SUM(F849:F887)</f>
        <v>500</v>
      </c>
      <c r="G888" s="1360">
        <f>SUM(G849:G887)</f>
        <v>500</v>
      </c>
      <c r="H888" s="1360">
        <f>SUM(H849:H887)</f>
        <v>500</v>
      </c>
      <c r="I888" s="1360">
        <f>SUM(I849:I887)</f>
        <v>500</v>
      </c>
      <c r="J888" s="1360">
        <f>SUM(J849:J887)</f>
        <v>500</v>
      </c>
      <c r="N888" s="1328"/>
      <c r="O888" s="1328"/>
      <c r="P888" s="1328"/>
      <c r="Q888" s="1328"/>
      <c r="R888" s="1328"/>
      <c r="T888" s="1371"/>
      <c r="U888" s="1371"/>
      <c r="V888" s="1371"/>
      <c r="W888" s="1371"/>
      <c r="X888" s="1371"/>
      <c r="Y888" s="1367"/>
      <c r="Z888" s="1372"/>
      <c r="AA888" s="1372"/>
      <c r="AB888" s="1372"/>
      <c r="AC888" s="1372"/>
      <c r="AD888" s="1372"/>
      <c r="AK888" s="1354"/>
      <c r="AL888" s="1352"/>
      <c r="AM888" s="1354"/>
      <c r="AN888" s="1352"/>
    </row>
    <row r="889" spans="1:40" x14ac:dyDescent="0.2">
      <c r="E889" s="1351"/>
      <c r="N889" s="1328"/>
      <c r="O889" s="1328"/>
      <c r="P889" s="1328"/>
      <c r="Q889" s="1328"/>
      <c r="R889" s="1328"/>
      <c r="T889" s="1371"/>
      <c r="U889" s="1371"/>
      <c r="V889" s="1371"/>
      <c r="W889" s="1371"/>
      <c r="X889" s="1371"/>
      <c r="Y889" s="1367"/>
      <c r="Z889" s="1372"/>
      <c r="AA889" s="1372"/>
      <c r="AB889" s="1372"/>
      <c r="AC889" s="1372"/>
      <c r="AD889" s="1372"/>
      <c r="AK889" s="1354"/>
      <c r="AL889" s="1352"/>
      <c r="AM889" s="1354"/>
      <c r="AN889" s="1352"/>
    </row>
    <row r="890" spans="1:40" ht="15" x14ac:dyDescent="0.25">
      <c r="A890" s="1364" t="s">
        <v>5448</v>
      </c>
      <c r="B890" s="1365"/>
      <c r="C890" s="1365"/>
      <c r="D890" s="1365"/>
      <c r="E890" s="1380"/>
      <c r="F890" s="1365"/>
      <c r="G890" s="1365"/>
      <c r="H890" s="1365"/>
      <c r="I890" s="1365"/>
      <c r="J890" s="1365"/>
      <c r="M890" s="1381" t="str">
        <f>A890</f>
        <v>Utilities and Bulk Purchases</v>
      </c>
      <c r="N890" s="1364"/>
      <c r="O890" s="1364"/>
      <c r="P890" s="1364"/>
      <c r="Q890" s="1364"/>
      <c r="R890" s="1364"/>
      <c r="S890" s="1365"/>
      <c r="T890" s="1389"/>
      <c r="U890" s="1389"/>
      <c r="V890" s="1389"/>
      <c r="W890" s="1389"/>
      <c r="X890" s="1389"/>
      <c r="Y890" s="1390"/>
      <c r="Z890" s="1391"/>
      <c r="AA890" s="1391"/>
      <c r="AB890" s="1391"/>
      <c r="AC890" s="1391"/>
      <c r="AD890" s="1391"/>
      <c r="AK890" s="1354"/>
      <c r="AL890" s="1352"/>
      <c r="AM890" s="1354"/>
      <c r="AN890" s="1352"/>
    </row>
    <row r="891" spans="1:40" x14ac:dyDescent="0.2">
      <c r="A891" s="1324" t="s">
        <v>5198</v>
      </c>
      <c r="B891" s="1324" t="s">
        <v>5726</v>
      </c>
      <c r="C891" s="1353">
        <f>'Key Metrics'!$C$325</f>
        <v>0</v>
      </c>
      <c r="D891" s="1353">
        <f>'Key Metrics'!$G$325</f>
        <v>0</v>
      </c>
      <c r="E891" s="1351">
        <f t="shared" ref="E891:E921" si="293">IFERROR(D891/C891-1,0)</f>
        <v>0</v>
      </c>
      <c r="F891" s="1353">
        <f t="shared" ref="F891:F920" si="294">IFERROR(IF($I$3=1,D891*(1+N891),IF($I$3=2,D891*(1+T891),IF($I$3=3,Z891,"--"))),0)</f>
        <v>0</v>
      </c>
      <c r="G891" s="1353">
        <f t="shared" ref="G891:G920" si="295">IFERROR(IF($I$3=1,F891*(1+O891),IF($I$3=2,F891*(1+U891),IF($I$3=3,AA891,"--"))),0)</f>
        <v>0</v>
      </c>
      <c r="H891" s="1353">
        <f t="shared" ref="H891:H920" si="296">IFERROR(IF($I$3=1,G891*(1+P891),IF($I$3=2,G891*(1+V891),IF($I$3=3,AB891,"--"))),0)</f>
        <v>0</v>
      </c>
      <c r="I891" s="1353">
        <f t="shared" ref="I891:I920" si="297">IFERROR(IF($I$3=1,H891*(1+Q891),IF($I$3=2,H891*(1+W891),IF($I$3=3,AC891,"--"))),0)</f>
        <v>0</v>
      </c>
      <c r="J891" s="1353">
        <f t="shared" ref="J891:J920" si="298">IFERROR(IF($I$3=1,I891*(1+R891),IF($I$3=2,I891*(1+X891),IF($I$3=3,AD891,"--"))),0)</f>
        <v>0</v>
      </c>
      <c r="M891" s="1324" t="str">
        <f t="shared" ref="M891:M920" si="299">B891</f>
        <v>Electricity Salaries &amp; Wages</v>
      </c>
      <c r="N891" s="1368">
        <f t="shared" ref="N891:N920" si="300">E891</f>
        <v>0</v>
      </c>
      <c r="O891" s="1368">
        <f t="shared" ref="O891:R906" si="301">N891</f>
        <v>0</v>
      </c>
      <c r="P891" s="1368">
        <f t="shared" si="301"/>
        <v>0</v>
      </c>
      <c r="Q891" s="1368">
        <f t="shared" si="301"/>
        <v>0</v>
      </c>
      <c r="R891" s="1368">
        <f t="shared" si="301"/>
        <v>0</v>
      </c>
      <c r="T891" s="1369">
        <v>0.02</v>
      </c>
      <c r="U891" s="1369">
        <v>0.02</v>
      </c>
      <c r="V891" s="1369">
        <v>0.02</v>
      </c>
      <c r="W891" s="1369">
        <v>0.02</v>
      </c>
      <c r="X891" s="1369">
        <v>0.02</v>
      </c>
      <c r="Y891" s="1367"/>
      <c r="Z891" s="1370">
        <v>0</v>
      </c>
      <c r="AA891" s="1370">
        <v>0</v>
      </c>
      <c r="AB891" s="1370">
        <v>0</v>
      </c>
      <c r="AC891" s="1370">
        <v>0</v>
      </c>
      <c r="AD891" s="1370">
        <v>0</v>
      </c>
      <c r="AK891" s="1354">
        <f t="shared" si="289"/>
        <v>0</v>
      </c>
      <c r="AL891" s="1352">
        <f t="shared" ref="AL891:AL920" si="302">RANK(AM891,$AM$504:$AM$1172,0)</f>
        <v>53</v>
      </c>
      <c r="AM891" s="1354">
        <f t="shared" ref="AM891:AM954" si="303">J891-D891</f>
        <v>0</v>
      </c>
      <c r="AN891" s="1352" t="str">
        <f t="shared" ref="AN891:AN954" si="304">B891</f>
        <v>Electricity Salaries &amp; Wages</v>
      </c>
    </row>
    <row r="892" spans="1:40" x14ac:dyDescent="0.2">
      <c r="A892" s="1324" t="str">
        <f>A891</f>
        <v>31-430</v>
      </c>
      <c r="B892" s="1324" t="s">
        <v>5957</v>
      </c>
      <c r="C892" s="1353">
        <f>'Key Metrics'!$D$325</f>
        <v>4163.3100000000004</v>
      </c>
      <c r="D892" s="1353">
        <f>'Key Metrics'!$H$325</f>
        <v>6367.25</v>
      </c>
      <c r="E892" s="1351">
        <f t="shared" si="293"/>
        <v>0.5293720621332545</v>
      </c>
      <c r="F892" s="1353">
        <f t="shared" si="294"/>
        <v>6494.5950000000003</v>
      </c>
      <c r="G892" s="1353">
        <f t="shared" si="295"/>
        <v>6624.4869000000008</v>
      </c>
      <c r="H892" s="1353">
        <f t="shared" si="296"/>
        <v>6756.976638000001</v>
      </c>
      <c r="I892" s="1353">
        <f t="shared" si="297"/>
        <v>6892.1161707600013</v>
      </c>
      <c r="J892" s="1353">
        <f t="shared" si="298"/>
        <v>7029.9584941752018</v>
      </c>
      <c r="M892" s="1324" t="str">
        <f t="shared" si="299"/>
        <v>Electricity Other Expenses</v>
      </c>
      <c r="N892" s="1368">
        <f t="shared" si="300"/>
        <v>0.5293720621332545</v>
      </c>
      <c r="O892" s="1368">
        <f t="shared" si="301"/>
        <v>0.5293720621332545</v>
      </c>
      <c r="P892" s="1368">
        <f t="shared" si="301"/>
        <v>0.5293720621332545</v>
      </c>
      <c r="Q892" s="1368">
        <f t="shared" si="301"/>
        <v>0.5293720621332545</v>
      </c>
      <c r="R892" s="1368">
        <f t="shared" si="301"/>
        <v>0.5293720621332545</v>
      </c>
      <c r="T892" s="1369">
        <v>0.02</v>
      </c>
      <c r="U892" s="1369">
        <v>0.02</v>
      </c>
      <c r="V892" s="1369">
        <v>0.02</v>
      </c>
      <c r="W892" s="1369">
        <v>0.02</v>
      </c>
      <c r="X892" s="1369">
        <v>0.02</v>
      </c>
      <c r="Y892" s="1367"/>
      <c r="Z892" s="1370">
        <v>0</v>
      </c>
      <c r="AA892" s="1370">
        <v>0</v>
      </c>
      <c r="AB892" s="1370">
        <v>0</v>
      </c>
      <c r="AC892" s="1370">
        <v>0</v>
      </c>
      <c r="AD892" s="1370">
        <v>0</v>
      </c>
      <c r="AK892" s="1354">
        <f t="shared" si="289"/>
        <v>44328.69320293521</v>
      </c>
      <c r="AL892" s="1352">
        <f t="shared" si="302"/>
        <v>18</v>
      </c>
      <c r="AM892" s="1354">
        <f t="shared" si="303"/>
        <v>662.70849417520185</v>
      </c>
      <c r="AN892" s="1352" t="str">
        <f t="shared" si="304"/>
        <v>Electricity Other Expenses</v>
      </c>
    </row>
    <row r="893" spans="1:40" x14ac:dyDescent="0.2">
      <c r="A893" s="1324" t="str">
        <f>A892</f>
        <v>31-430</v>
      </c>
      <c r="B893" s="1324" t="s">
        <v>5958</v>
      </c>
      <c r="C893" s="1353">
        <f>'Key Metrics'!$E$325</f>
        <v>0</v>
      </c>
      <c r="D893" s="1353">
        <f>'Key Metrics'!$I$325</f>
        <v>0</v>
      </c>
      <c r="E893" s="1351">
        <f t="shared" si="293"/>
        <v>0</v>
      </c>
      <c r="F893" s="1353">
        <f t="shared" si="294"/>
        <v>0</v>
      </c>
      <c r="G893" s="1353">
        <f t="shared" si="295"/>
        <v>0</v>
      </c>
      <c r="H893" s="1353">
        <f t="shared" si="296"/>
        <v>0</v>
      </c>
      <c r="I893" s="1353">
        <f t="shared" si="297"/>
        <v>0</v>
      </c>
      <c r="J893" s="1353">
        <f t="shared" si="298"/>
        <v>0</v>
      </c>
      <c r="M893" s="1324" t="str">
        <f t="shared" si="299"/>
        <v>Electricity Unclassified</v>
      </c>
      <c r="N893" s="1368">
        <f t="shared" si="300"/>
        <v>0</v>
      </c>
      <c r="O893" s="1368">
        <f t="shared" si="301"/>
        <v>0</v>
      </c>
      <c r="P893" s="1368">
        <f t="shared" si="301"/>
        <v>0</v>
      </c>
      <c r="Q893" s="1368">
        <f t="shared" si="301"/>
        <v>0</v>
      </c>
      <c r="R893" s="1368">
        <f t="shared" si="301"/>
        <v>0</v>
      </c>
      <c r="T893" s="1369">
        <v>0.02</v>
      </c>
      <c r="U893" s="1369">
        <v>0.02</v>
      </c>
      <c r="V893" s="1369">
        <v>0.02</v>
      </c>
      <c r="W893" s="1369">
        <v>0.02</v>
      </c>
      <c r="X893" s="1369">
        <v>0.02</v>
      </c>
      <c r="Y893" s="1367"/>
      <c r="Z893" s="1370">
        <v>0</v>
      </c>
      <c r="AA893" s="1370">
        <v>0</v>
      </c>
      <c r="AB893" s="1370">
        <v>0</v>
      </c>
      <c r="AC893" s="1370">
        <v>0</v>
      </c>
      <c r="AD893" s="1370">
        <v>0</v>
      </c>
      <c r="AK893" s="1354">
        <f t="shared" si="289"/>
        <v>0</v>
      </c>
      <c r="AL893" s="1352">
        <f t="shared" si="302"/>
        <v>53</v>
      </c>
      <c r="AM893" s="1354">
        <f t="shared" si="303"/>
        <v>0</v>
      </c>
      <c r="AN893" s="1352" t="str">
        <f t="shared" si="304"/>
        <v>Electricity Unclassified</v>
      </c>
    </row>
    <row r="894" spans="1:40" x14ac:dyDescent="0.2">
      <c r="A894" s="1324" t="s">
        <v>5199</v>
      </c>
      <c r="B894" s="1324" t="s">
        <v>5727</v>
      </c>
      <c r="C894" s="1353">
        <f>'Key Metrics'!$C$326</f>
        <v>0</v>
      </c>
      <c r="D894" s="1353">
        <f>'Key Metrics'!$G$326</f>
        <v>0</v>
      </c>
      <c r="E894" s="1351">
        <f t="shared" si="293"/>
        <v>0</v>
      </c>
      <c r="F894" s="1353">
        <f t="shared" si="294"/>
        <v>0</v>
      </c>
      <c r="G894" s="1353">
        <f t="shared" si="295"/>
        <v>0</v>
      </c>
      <c r="H894" s="1353">
        <f t="shared" si="296"/>
        <v>0</v>
      </c>
      <c r="I894" s="1353">
        <f t="shared" si="297"/>
        <v>0</v>
      </c>
      <c r="J894" s="1353">
        <f t="shared" si="298"/>
        <v>0</v>
      </c>
      <c r="M894" s="1324" t="str">
        <f t="shared" si="299"/>
        <v>Street Lighting Salaries &amp; Wages</v>
      </c>
      <c r="N894" s="1368">
        <f t="shared" si="300"/>
        <v>0</v>
      </c>
      <c r="O894" s="1368">
        <f t="shared" si="301"/>
        <v>0</v>
      </c>
      <c r="P894" s="1368">
        <f t="shared" si="301"/>
        <v>0</v>
      </c>
      <c r="Q894" s="1368">
        <f t="shared" si="301"/>
        <v>0</v>
      </c>
      <c r="R894" s="1368">
        <f t="shared" si="301"/>
        <v>0</v>
      </c>
      <c r="T894" s="1369">
        <v>0.02</v>
      </c>
      <c r="U894" s="1369">
        <v>0.02</v>
      </c>
      <c r="V894" s="1369">
        <v>0.02</v>
      </c>
      <c r="W894" s="1369">
        <v>0.02</v>
      </c>
      <c r="X894" s="1369">
        <v>0.02</v>
      </c>
      <c r="Y894" s="1367"/>
      <c r="Z894" s="1370">
        <v>0</v>
      </c>
      <c r="AA894" s="1370">
        <v>0</v>
      </c>
      <c r="AB894" s="1370">
        <v>0</v>
      </c>
      <c r="AC894" s="1370">
        <v>0</v>
      </c>
      <c r="AD894" s="1370">
        <v>0</v>
      </c>
      <c r="AK894" s="1354">
        <f t="shared" si="289"/>
        <v>0</v>
      </c>
      <c r="AL894" s="1352">
        <f t="shared" si="302"/>
        <v>53</v>
      </c>
      <c r="AM894" s="1354">
        <f t="shared" si="303"/>
        <v>0</v>
      </c>
      <c r="AN894" s="1352" t="str">
        <f t="shared" si="304"/>
        <v>Street Lighting Salaries &amp; Wages</v>
      </c>
    </row>
    <row r="895" spans="1:40" x14ac:dyDescent="0.2">
      <c r="A895" s="1324" t="str">
        <f>A894</f>
        <v>31-435</v>
      </c>
      <c r="B895" s="1324" t="s">
        <v>5959</v>
      </c>
      <c r="C895" s="1353">
        <f>'Key Metrics'!$D$326</f>
        <v>9882.61</v>
      </c>
      <c r="D895" s="1353">
        <f>'Key Metrics'!$H$326</f>
        <v>10404</v>
      </c>
      <c r="E895" s="1351">
        <f t="shared" si="293"/>
        <v>5.2758330036295931E-2</v>
      </c>
      <c r="F895" s="1353">
        <f t="shared" si="294"/>
        <v>10612.08</v>
      </c>
      <c r="G895" s="1353">
        <f t="shared" si="295"/>
        <v>10824.321599999999</v>
      </c>
      <c r="H895" s="1353">
        <f t="shared" si="296"/>
        <v>11040.808031999999</v>
      </c>
      <c r="I895" s="1353">
        <f t="shared" si="297"/>
        <v>11261.62419264</v>
      </c>
      <c r="J895" s="1353">
        <f t="shared" si="298"/>
        <v>11486.8566764928</v>
      </c>
      <c r="M895" s="1324" t="str">
        <f t="shared" si="299"/>
        <v>Street Lighting Other Expenses</v>
      </c>
      <c r="N895" s="1368">
        <f t="shared" si="300"/>
        <v>5.2758330036295931E-2</v>
      </c>
      <c r="O895" s="1368">
        <f t="shared" si="301"/>
        <v>5.2758330036295931E-2</v>
      </c>
      <c r="P895" s="1368">
        <f t="shared" si="301"/>
        <v>5.2758330036295931E-2</v>
      </c>
      <c r="Q895" s="1368">
        <f t="shared" si="301"/>
        <v>5.2758330036295931E-2</v>
      </c>
      <c r="R895" s="1368">
        <f t="shared" si="301"/>
        <v>5.2758330036295931E-2</v>
      </c>
      <c r="T895" s="1369">
        <v>0.02</v>
      </c>
      <c r="U895" s="1369">
        <v>0.02</v>
      </c>
      <c r="V895" s="1369">
        <v>0.02</v>
      </c>
      <c r="W895" s="1369">
        <v>0.02</v>
      </c>
      <c r="X895" s="1369">
        <v>0.02</v>
      </c>
      <c r="Y895" s="1367"/>
      <c r="Z895" s="1370">
        <v>0</v>
      </c>
      <c r="AA895" s="1370">
        <v>0</v>
      </c>
      <c r="AB895" s="1370">
        <v>0</v>
      </c>
      <c r="AC895" s="1370">
        <v>0</v>
      </c>
      <c r="AD895" s="1370">
        <v>0</v>
      </c>
      <c r="AK895" s="1354">
        <f t="shared" si="289"/>
        <v>75512.300501132791</v>
      </c>
      <c r="AL895" s="1352">
        <f t="shared" si="302"/>
        <v>10</v>
      </c>
      <c r="AM895" s="1354">
        <f t="shared" si="303"/>
        <v>1082.8566764928</v>
      </c>
      <c r="AN895" s="1352" t="str">
        <f t="shared" si="304"/>
        <v>Street Lighting Other Expenses</v>
      </c>
    </row>
    <row r="896" spans="1:40" x14ac:dyDescent="0.2">
      <c r="A896" s="1324" t="str">
        <f>A895</f>
        <v>31-435</v>
      </c>
      <c r="B896" s="1324" t="s">
        <v>5960</v>
      </c>
      <c r="C896" s="1353">
        <f>'Key Metrics'!$E$326</f>
        <v>0</v>
      </c>
      <c r="D896" s="1353">
        <f>'Key Metrics'!$I$326</f>
        <v>0</v>
      </c>
      <c r="E896" s="1351">
        <f t="shared" si="293"/>
        <v>0</v>
      </c>
      <c r="F896" s="1353">
        <f t="shared" si="294"/>
        <v>0</v>
      </c>
      <c r="G896" s="1353">
        <f t="shared" si="295"/>
        <v>0</v>
      </c>
      <c r="H896" s="1353">
        <f t="shared" si="296"/>
        <v>0</v>
      </c>
      <c r="I896" s="1353">
        <f t="shared" si="297"/>
        <v>0</v>
      </c>
      <c r="J896" s="1353">
        <f t="shared" si="298"/>
        <v>0</v>
      </c>
      <c r="M896" s="1324" t="str">
        <f t="shared" si="299"/>
        <v>Street Lighting Unclassified</v>
      </c>
      <c r="N896" s="1368">
        <f t="shared" si="300"/>
        <v>0</v>
      </c>
      <c r="O896" s="1368">
        <f t="shared" si="301"/>
        <v>0</v>
      </c>
      <c r="P896" s="1368">
        <f t="shared" si="301"/>
        <v>0</v>
      </c>
      <c r="Q896" s="1368">
        <f t="shared" si="301"/>
        <v>0</v>
      </c>
      <c r="R896" s="1368">
        <f t="shared" si="301"/>
        <v>0</v>
      </c>
      <c r="T896" s="1369">
        <v>0.02</v>
      </c>
      <c r="U896" s="1369">
        <v>0.02</v>
      </c>
      <c r="V896" s="1369">
        <v>0.02</v>
      </c>
      <c r="W896" s="1369">
        <v>0.02</v>
      </c>
      <c r="X896" s="1369">
        <v>0.02</v>
      </c>
      <c r="Y896" s="1367"/>
      <c r="Z896" s="1370">
        <v>0</v>
      </c>
      <c r="AA896" s="1370">
        <v>0</v>
      </c>
      <c r="AB896" s="1370">
        <v>0</v>
      </c>
      <c r="AC896" s="1370">
        <v>0</v>
      </c>
      <c r="AD896" s="1370">
        <v>0</v>
      </c>
      <c r="AK896" s="1354">
        <f t="shared" si="289"/>
        <v>0</v>
      </c>
      <c r="AL896" s="1352">
        <f t="shared" si="302"/>
        <v>53</v>
      </c>
      <c r="AM896" s="1354">
        <f t="shared" si="303"/>
        <v>0</v>
      </c>
      <c r="AN896" s="1352" t="str">
        <f t="shared" si="304"/>
        <v>Street Lighting Unclassified</v>
      </c>
    </row>
    <row r="897" spans="1:40" x14ac:dyDescent="0.2">
      <c r="A897" s="1324" t="s">
        <v>5200</v>
      </c>
      <c r="B897" s="1324" t="s">
        <v>5728</v>
      </c>
      <c r="C897" s="1353">
        <f>'Key Metrics'!$C$327</f>
        <v>0</v>
      </c>
      <c r="D897" s="1353">
        <f>'Key Metrics'!$G$327</f>
        <v>0</v>
      </c>
      <c r="E897" s="1351">
        <f t="shared" si="293"/>
        <v>0</v>
      </c>
      <c r="F897" s="1353">
        <f t="shared" si="294"/>
        <v>0</v>
      </c>
      <c r="G897" s="1353">
        <f t="shared" si="295"/>
        <v>0</v>
      </c>
      <c r="H897" s="1353">
        <f t="shared" si="296"/>
        <v>0</v>
      </c>
      <c r="I897" s="1353">
        <f t="shared" si="297"/>
        <v>0</v>
      </c>
      <c r="J897" s="1353">
        <f t="shared" si="298"/>
        <v>0</v>
      </c>
      <c r="M897" s="1324" t="str">
        <f t="shared" si="299"/>
        <v>Telephone Salaries &amp; Wages</v>
      </c>
      <c r="N897" s="1368">
        <f t="shared" si="300"/>
        <v>0</v>
      </c>
      <c r="O897" s="1368">
        <f t="shared" si="301"/>
        <v>0</v>
      </c>
      <c r="P897" s="1368">
        <f t="shared" si="301"/>
        <v>0</v>
      </c>
      <c r="Q897" s="1368">
        <f t="shared" si="301"/>
        <v>0</v>
      </c>
      <c r="R897" s="1368">
        <f t="shared" si="301"/>
        <v>0</v>
      </c>
      <c r="T897" s="1369">
        <v>0.02</v>
      </c>
      <c r="U897" s="1369">
        <v>0.02</v>
      </c>
      <c r="V897" s="1369">
        <v>0.02</v>
      </c>
      <c r="W897" s="1369">
        <v>0.02</v>
      </c>
      <c r="X897" s="1369">
        <v>0.02</v>
      </c>
      <c r="Y897" s="1367"/>
      <c r="Z897" s="1370">
        <v>0</v>
      </c>
      <c r="AA897" s="1370">
        <v>0</v>
      </c>
      <c r="AB897" s="1370">
        <v>0</v>
      </c>
      <c r="AC897" s="1370">
        <v>0</v>
      </c>
      <c r="AD897" s="1370">
        <v>0</v>
      </c>
      <c r="AK897" s="1354">
        <f t="shared" si="289"/>
        <v>0</v>
      </c>
      <c r="AL897" s="1352">
        <f t="shared" si="302"/>
        <v>53</v>
      </c>
      <c r="AM897" s="1354">
        <f t="shared" si="303"/>
        <v>0</v>
      </c>
      <c r="AN897" s="1352" t="str">
        <f t="shared" si="304"/>
        <v>Telephone Salaries &amp; Wages</v>
      </c>
    </row>
    <row r="898" spans="1:40" x14ac:dyDescent="0.2">
      <c r="A898" s="1324" t="str">
        <f>A897</f>
        <v>31-440</v>
      </c>
      <c r="B898" s="1324" t="s">
        <v>5961</v>
      </c>
      <c r="C898" s="1353">
        <f>'Key Metrics'!$D$327</f>
        <v>4181.54</v>
      </c>
      <c r="D898" s="1353">
        <f>'Key Metrics'!$H$327</f>
        <v>4890.92</v>
      </c>
      <c r="E898" s="1351">
        <f t="shared" si="293"/>
        <v>0.16964563294862667</v>
      </c>
      <c r="F898" s="1353">
        <f t="shared" si="294"/>
        <v>4988.7384000000002</v>
      </c>
      <c r="G898" s="1353">
        <f t="shared" si="295"/>
        <v>5088.5131680000004</v>
      </c>
      <c r="H898" s="1353">
        <f t="shared" si="296"/>
        <v>5190.2834313600006</v>
      </c>
      <c r="I898" s="1353">
        <f t="shared" si="297"/>
        <v>5294.0890999872008</v>
      </c>
      <c r="J898" s="1353">
        <f t="shared" si="298"/>
        <v>5399.9708819869447</v>
      </c>
      <c r="M898" s="1324" t="str">
        <f t="shared" si="299"/>
        <v>Telephone Other Expenses</v>
      </c>
      <c r="N898" s="1368">
        <f t="shared" si="300"/>
        <v>0.16964563294862667</v>
      </c>
      <c r="O898" s="1368">
        <f t="shared" si="301"/>
        <v>0.16964563294862667</v>
      </c>
      <c r="P898" s="1368">
        <f t="shared" si="301"/>
        <v>0.16964563294862667</v>
      </c>
      <c r="Q898" s="1368">
        <f t="shared" si="301"/>
        <v>0.16964563294862667</v>
      </c>
      <c r="R898" s="1368">
        <f t="shared" si="301"/>
        <v>0.16964563294862667</v>
      </c>
      <c r="T898" s="1369">
        <v>0.02</v>
      </c>
      <c r="U898" s="1369">
        <v>0.02</v>
      </c>
      <c r="V898" s="1369">
        <v>0.02</v>
      </c>
      <c r="W898" s="1369">
        <v>0.02</v>
      </c>
      <c r="X898" s="1369">
        <v>0.02</v>
      </c>
      <c r="Y898" s="1367"/>
      <c r="Z898" s="1370">
        <v>0</v>
      </c>
      <c r="AA898" s="1370">
        <v>0</v>
      </c>
      <c r="AB898" s="1370">
        <v>0</v>
      </c>
      <c r="AC898" s="1370">
        <v>0</v>
      </c>
      <c r="AD898" s="1370">
        <v>0</v>
      </c>
      <c r="AK898" s="1354">
        <f t="shared" si="289"/>
        <v>35034.054981334149</v>
      </c>
      <c r="AL898" s="1352">
        <f t="shared" si="302"/>
        <v>27</v>
      </c>
      <c r="AM898" s="1354">
        <f t="shared" si="303"/>
        <v>509.05088198694466</v>
      </c>
      <c r="AN898" s="1352" t="str">
        <f t="shared" si="304"/>
        <v>Telephone Other Expenses</v>
      </c>
    </row>
    <row r="899" spans="1:40" x14ac:dyDescent="0.2">
      <c r="A899" s="1324" t="str">
        <f>A898</f>
        <v>31-440</v>
      </c>
      <c r="B899" s="1324" t="s">
        <v>5962</v>
      </c>
      <c r="C899" s="1353">
        <f>'Key Metrics'!$E$327</f>
        <v>0</v>
      </c>
      <c r="D899" s="1353">
        <f>'Key Metrics'!$I$327</f>
        <v>0</v>
      </c>
      <c r="E899" s="1351">
        <f t="shared" si="293"/>
        <v>0</v>
      </c>
      <c r="F899" s="1353">
        <f t="shared" si="294"/>
        <v>0</v>
      </c>
      <c r="G899" s="1353">
        <f t="shared" si="295"/>
        <v>0</v>
      </c>
      <c r="H899" s="1353">
        <f t="shared" si="296"/>
        <v>0</v>
      </c>
      <c r="I899" s="1353">
        <f t="shared" si="297"/>
        <v>0</v>
      </c>
      <c r="J899" s="1353">
        <f t="shared" si="298"/>
        <v>0</v>
      </c>
      <c r="M899" s="1324" t="str">
        <f t="shared" si="299"/>
        <v>Telephone Unclassified</v>
      </c>
      <c r="N899" s="1368">
        <f t="shared" si="300"/>
        <v>0</v>
      </c>
      <c r="O899" s="1368">
        <f t="shared" si="301"/>
        <v>0</v>
      </c>
      <c r="P899" s="1368">
        <f t="shared" si="301"/>
        <v>0</v>
      </c>
      <c r="Q899" s="1368">
        <f t="shared" si="301"/>
        <v>0</v>
      </c>
      <c r="R899" s="1368">
        <f t="shared" si="301"/>
        <v>0</v>
      </c>
      <c r="T899" s="1369">
        <v>0.02</v>
      </c>
      <c r="U899" s="1369">
        <v>0.02</v>
      </c>
      <c r="V899" s="1369">
        <v>0.02</v>
      </c>
      <c r="W899" s="1369">
        <v>0.02</v>
      </c>
      <c r="X899" s="1369">
        <v>0.02</v>
      </c>
      <c r="Y899" s="1367"/>
      <c r="Z899" s="1370">
        <v>0</v>
      </c>
      <c r="AA899" s="1370">
        <v>0</v>
      </c>
      <c r="AB899" s="1370">
        <v>0</v>
      </c>
      <c r="AC899" s="1370">
        <v>0</v>
      </c>
      <c r="AD899" s="1370">
        <v>0</v>
      </c>
      <c r="AK899" s="1354">
        <f t="shared" si="289"/>
        <v>0</v>
      </c>
      <c r="AL899" s="1352">
        <f t="shared" si="302"/>
        <v>53</v>
      </c>
      <c r="AM899" s="1354">
        <f t="shared" si="303"/>
        <v>0</v>
      </c>
      <c r="AN899" s="1352" t="str">
        <f t="shared" si="304"/>
        <v>Telephone Unclassified</v>
      </c>
    </row>
    <row r="900" spans="1:40" x14ac:dyDescent="0.2">
      <c r="A900" s="1324" t="s">
        <v>5201</v>
      </c>
      <c r="B900" s="1324" t="s">
        <v>5729</v>
      </c>
      <c r="C900" s="1353">
        <f>'Key Metrics'!$C$328</f>
        <v>0</v>
      </c>
      <c r="D900" s="1353">
        <f>'Key Metrics'!$G$328</f>
        <v>0</v>
      </c>
      <c r="E900" s="1351">
        <f t="shared" si="293"/>
        <v>0</v>
      </c>
      <c r="F900" s="1353">
        <f t="shared" si="294"/>
        <v>0</v>
      </c>
      <c r="G900" s="1353">
        <f t="shared" si="295"/>
        <v>0</v>
      </c>
      <c r="H900" s="1353">
        <f t="shared" si="296"/>
        <v>0</v>
      </c>
      <c r="I900" s="1353">
        <f t="shared" si="297"/>
        <v>0</v>
      </c>
      <c r="J900" s="1353">
        <f t="shared" si="298"/>
        <v>0</v>
      </c>
      <c r="M900" s="1324" t="str">
        <f t="shared" si="299"/>
        <v>Water Salaries &amp; Wages</v>
      </c>
      <c r="N900" s="1368">
        <f t="shared" si="300"/>
        <v>0</v>
      </c>
      <c r="O900" s="1368">
        <f t="shared" si="301"/>
        <v>0</v>
      </c>
      <c r="P900" s="1368">
        <f t="shared" si="301"/>
        <v>0</v>
      </c>
      <c r="Q900" s="1368">
        <f t="shared" si="301"/>
        <v>0</v>
      </c>
      <c r="R900" s="1368">
        <f t="shared" si="301"/>
        <v>0</v>
      </c>
      <c r="T900" s="1369">
        <v>0.02</v>
      </c>
      <c r="U900" s="1369">
        <v>0.02</v>
      </c>
      <c r="V900" s="1369">
        <v>0.02</v>
      </c>
      <c r="W900" s="1369">
        <v>0.02</v>
      </c>
      <c r="X900" s="1369">
        <v>0.02</v>
      </c>
      <c r="Y900" s="1367"/>
      <c r="Z900" s="1370">
        <v>0</v>
      </c>
      <c r="AA900" s="1370">
        <v>0</v>
      </c>
      <c r="AB900" s="1370">
        <v>0</v>
      </c>
      <c r="AC900" s="1370">
        <v>0</v>
      </c>
      <c r="AD900" s="1370">
        <v>0</v>
      </c>
      <c r="AK900" s="1354">
        <f t="shared" si="289"/>
        <v>0</v>
      </c>
      <c r="AL900" s="1352">
        <f t="shared" si="302"/>
        <v>53</v>
      </c>
      <c r="AM900" s="1354">
        <f t="shared" si="303"/>
        <v>0</v>
      </c>
      <c r="AN900" s="1352" t="str">
        <f t="shared" si="304"/>
        <v>Water Salaries &amp; Wages</v>
      </c>
    </row>
    <row r="901" spans="1:40" x14ac:dyDescent="0.2">
      <c r="A901" s="1324" t="str">
        <f>A900</f>
        <v>31-445</v>
      </c>
      <c r="B901" s="1324" t="s">
        <v>5963</v>
      </c>
      <c r="C901" s="1353">
        <f>'Key Metrics'!$D$328</f>
        <v>0</v>
      </c>
      <c r="D901" s="1353">
        <f>'Key Metrics'!$H$328</f>
        <v>0</v>
      </c>
      <c r="E901" s="1351">
        <f t="shared" si="293"/>
        <v>0</v>
      </c>
      <c r="F901" s="1353">
        <f t="shared" si="294"/>
        <v>0</v>
      </c>
      <c r="G901" s="1353">
        <f t="shared" si="295"/>
        <v>0</v>
      </c>
      <c r="H901" s="1353">
        <f t="shared" si="296"/>
        <v>0</v>
      </c>
      <c r="I901" s="1353">
        <f t="shared" si="297"/>
        <v>0</v>
      </c>
      <c r="J901" s="1353">
        <f t="shared" si="298"/>
        <v>0</v>
      </c>
      <c r="M901" s="1324" t="str">
        <f t="shared" si="299"/>
        <v>Water Other Expenses</v>
      </c>
      <c r="N901" s="1368">
        <f t="shared" si="300"/>
        <v>0</v>
      </c>
      <c r="O901" s="1368">
        <f t="shared" si="301"/>
        <v>0</v>
      </c>
      <c r="P901" s="1368">
        <f t="shared" si="301"/>
        <v>0</v>
      </c>
      <c r="Q901" s="1368">
        <f t="shared" si="301"/>
        <v>0</v>
      </c>
      <c r="R901" s="1368">
        <f t="shared" si="301"/>
        <v>0</v>
      </c>
      <c r="T901" s="1369">
        <v>0.02</v>
      </c>
      <c r="U901" s="1369">
        <v>0.02</v>
      </c>
      <c r="V901" s="1369">
        <v>0.02</v>
      </c>
      <c r="W901" s="1369">
        <v>0.02</v>
      </c>
      <c r="X901" s="1369">
        <v>0.02</v>
      </c>
      <c r="Y901" s="1367"/>
      <c r="Z901" s="1370">
        <v>0</v>
      </c>
      <c r="AA901" s="1370">
        <v>0</v>
      </c>
      <c r="AB901" s="1370">
        <v>0</v>
      </c>
      <c r="AC901" s="1370">
        <v>0</v>
      </c>
      <c r="AD901" s="1370">
        <v>0</v>
      </c>
      <c r="AK901" s="1354">
        <f t="shared" si="289"/>
        <v>0</v>
      </c>
      <c r="AL901" s="1352">
        <f t="shared" si="302"/>
        <v>53</v>
      </c>
      <c r="AM901" s="1354">
        <f t="shared" si="303"/>
        <v>0</v>
      </c>
      <c r="AN901" s="1352" t="str">
        <f t="shared" si="304"/>
        <v>Water Other Expenses</v>
      </c>
    </row>
    <row r="902" spans="1:40" x14ac:dyDescent="0.2">
      <c r="A902" s="1324" t="str">
        <f>A901</f>
        <v>31-445</v>
      </c>
      <c r="B902" s="1324" t="s">
        <v>5964</v>
      </c>
      <c r="C902" s="1353">
        <f>'Key Metrics'!$E$328</f>
        <v>0</v>
      </c>
      <c r="D902" s="1353">
        <f>'Key Metrics'!$I$328</f>
        <v>0</v>
      </c>
      <c r="E902" s="1351">
        <f t="shared" si="293"/>
        <v>0</v>
      </c>
      <c r="F902" s="1353">
        <f t="shared" si="294"/>
        <v>0</v>
      </c>
      <c r="G902" s="1353">
        <f t="shared" si="295"/>
        <v>0</v>
      </c>
      <c r="H902" s="1353">
        <f t="shared" si="296"/>
        <v>0</v>
      </c>
      <c r="I902" s="1353">
        <f t="shared" si="297"/>
        <v>0</v>
      </c>
      <c r="J902" s="1353">
        <f t="shared" si="298"/>
        <v>0</v>
      </c>
      <c r="M902" s="1324" t="str">
        <f t="shared" si="299"/>
        <v>Water Unclassified</v>
      </c>
      <c r="N902" s="1368">
        <f t="shared" si="300"/>
        <v>0</v>
      </c>
      <c r="O902" s="1368">
        <f t="shared" si="301"/>
        <v>0</v>
      </c>
      <c r="P902" s="1368">
        <f t="shared" si="301"/>
        <v>0</v>
      </c>
      <c r="Q902" s="1368">
        <f t="shared" si="301"/>
        <v>0</v>
      </c>
      <c r="R902" s="1368">
        <f t="shared" si="301"/>
        <v>0</v>
      </c>
      <c r="T902" s="1369">
        <v>0.02</v>
      </c>
      <c r="U902" s="1369">
        <v>0.02</v>
      </c>
      <c r="V902" s="1369">
        <v>0.02</v>
      </c>
      <c r="W902" s="1369">
        <v>0.02</v>
      </c>
      <c r="X902" s="1369">
        <v>0.02</v>
      </c>
      <c r="Y902" s="1367"/>
      <c r="Z902" s="1370">
        <v>0</v>
      </c>
      <c r="AA902" s="1370">
        <v>0</v>
      </c>
      <c r="AB902" s="1370">
        <v>0</v>
      </c>
      <c r="AC902" s="1370">
        <v>0</v>
      </c>
      <c r="AD902" s="1370">
        <v>0</v>
      </c>
      <c r="AK902" s="1354">
        <f t="shared" si="289"/>
        <v>0</v>
      </c>
      <c r="AL902" s="1352">
        <f t="shared" si="302"/>
        <v>53</v>
      </c>
      <c r="AM902" s="1354">
        <f t="shared" si="303"/>
        <v>0</v>
      </c>
      <c r="AN902" s="1352" t="str">
        <f t="shared" si="304"/>
        <v>Water Unclassified</v>
      </c>
    </row>
    <row r="903" spans="1:40" x14ac:dyDescent="0.2">
      <c r="A903" s="1324" t="s">
        <v>5282</v>
      </c>
      <c r="B903" s="1324" t="s">
        <v>5730</v>
      </c>
      <c r="C903" s="1353">
        <f>'Key Metrics'!$C$329</f>
        <v>0</v>
      </c>
      <c r="D903" s="1353">
        <f>'Key Metrics'!$G$329</f>
        <v>0</v>
      </c>
      <c r="E903" s="1351">
        <f t="shared" si="293"/>
        <v>0</v>
      </c>
      <c r="F903" s="1353">
        <f t="shared" si="294"/>
        <v>0</v>
      </c>
      <c r="G903" s="1353">
        <f t="shared" si="295"/>
        <v>0</v>
      </c>
      <c r="H903" s="1353">
        <f t="shared" si="296"/>
        <v>0</v>
      </c>
      <c r="I903" s="1353">
        <f t="shared" si="297"/>
        <v>0</v>
      </c>
      <c r="J903" s="1353">
        <f t="shared" si="298"/>
        <v>0</v>
      </c>
      <c r="M903" s="1324" t="str">
        <f t="shared" si="299"/>
        <v>Natural Gas Salaries &amp; Wages</v>
      </c>
      <c r="N903" s="1368">
        <f t="shared" si="300"/>
        <v>0</v>
      </c>
      <c r="O903" s="1368">
        <f t="shared" si="301"/>
        <v>0</v>
      </c>
      <c r="P903" s="1368">
        <f t="shared" si="301"/>
        <v>0</v>
      </c>
      <c r="Q903" s="1368">
        <f t="shared" si="301"/>
        <v>0</v>
      </c>
      <c r="R903" s="1368">
        <f t="shared" si="301"/>
        <v>0</v>
      </c>
      <c r="T903" s="1369">
        <v>0.02</v>
      </c>
      <c r="U903" s="1369">
        <v>0.02</v>
      </c>
      <c r="V903" s="1369">
        <v>0.02</v>
      </c>
      <c r="W903" s="1369">
        <v>0.02</v>
      </c>
      <c r="X903" s="1369">
        <v>0.02</v>
      </c>
      <c r="Y903" s="1367"/>
      <c r="Z903" s="1370">
        <v>0</v>
      </c>
      <c r="AA903" s="1370">
        <v>0</v>
      </c>
      <c r="AB903" s="1370">
        <v>0</v>
      </c>
      <c r="AC903" s="1370">
        <v>0</v>
      </c>
      <c r="AD903" s="1370">
        <v>0</v>
      </c>
      <c r="AK903" s="1354">
        <f t="shared" si="289"/>
        <v>0</v>
      </c>
      <c r="AL903" s="1352">
        <f t="shared" si="302"/>
        <v>53</v>
      </c>
      <c r="AM903" s="1354">
        <f t="shared" si="303"/>
        <v>0</v>
      </c>
      <c r="AN903" s="1352" t="str">
        <f t="shared" si="304"/>
        <v>Natural Gas Salaries &amp; Wages</v>
      </c>
    </row>
    <row r="904" spans="1:40" x14ac:dyDescent="0.2">
      <c r="A904" s="1324" t="str">
        <f>A903</f>
        <v>31-446</v>
      </c>
      <c r="B904" s="1324" t="s">
        <v>5965</v>
      </c>
      <c r="C904" s="1353">
        <f>'Key Metrics'!$D$329</f>
        <v>0</v>
      </c>
      <c r="D904" s="1353">
        <f>'Key Metrics'!$H$329</f>
        <v>0</v>
      </c>
      <c r="E904" s="1351">
        <f t="shared" si="293"/>
        <v>0</v>
      </c>
      <c r="F904" s="1353">
        <f t="shared" si="294"/>
        <v>0</v>
      </c>
      <c r="G904" s="1353">
        <f t="shared" si="295"/>
        <v>0</v>
      </c>
      <c r="H904" s="1353">
        <f t="shared" si="296"/>
        <v>0</v>
      </c>
      <c r="I904" s="1353">
        <f t="shared" si="297"/>
        <v>0</v>
      </c>
      <c r="J904" s="1353">
        <f t="shared" si="298"/>
        <v>0</v>
      </c>
      <c r="M904" s="1324" t="str">
        <f t="shared" si="299"/>
        <v>Natural Gas Other Expenses</v>
      </c>
      <c r="N904" s="1368">
        <f t="shared" si="300"/>
        <v>0</v>
      </c>
      <c r="O904" s="1368">
        <f t="shared" si="301"/>
        <v>0</v>
      </c>
      <c r="P904" s="1368">
        <f t="shared" si="301"/>
        <v>0</v>
      </c>
      <c r="Q904" s="1368">
        <f t="shared" si="301"/>
        <v>0</v>
      </c>
      <c r="R904" s="1368">
        <f t="shared" si="301"/>
        <v>0</v>
      </c>
      <c r="T904" s="1369">
        <v>0.02</v>
      </c>
      <c r="U904" s="1369">
        <v>0.02</v>
      </c>
      <c r="V904" s="1369">
        <v>0.02</v>
      </c>
      <c r="W904" s="1369">
        <v>0.02</v>
      </c>
      <c r="X904" s="1369">
        <v>0.02</v>
      </c>
      <c r="Y904" s="1367"/>
      <c r="Z904" s="1370">
        <v>0</v>
      </c>
      <c r="AA904" s="1370">
        <v>0</v>
      </c>
      <c r="AB904" s="1370">
        <v>0</v>
      </c>
      <c r="AC904" s="1370">
        <v>0</v>
      </c>
      <c r="AD904" s="1370">
        <v>0</v>
      </c>
      <c r="AK904" s="1354">
        <f t="shared" si="289"/>
        <v>0</v>
      </c>
      <c r="AL904" s="1352">
        <f t="shared" si="302"/>
        <v>53</v>
      </c>
      <c r="AM904" s="1354">
        <f t="shared" si="303"/>
        <v>0</v>
      </c>
      <c r="AN904" s="1352" t="str">
        <f t="shared" si="304"/>
        <v>Natural Gas Other Expenses</v>
      </c>
    </row>
    <row r="905" spans="1:40" x14ac:dyDescent="0.2">
      <c r="A905" s="1324" t="str">
        <f>A904</f>
        <v>31-446</v>
      </c>
      <c r="B905" s="1324" t="s">
        <v>5966</v>
      </c>
      <c r="C905" s="1353">
        <f>'Key Metrics'!$E$329</f>
        <v>0</v>
      </c>
      <c r="D905" s="1353">
        <f>'Key Metrics'!$I$329</f>
        <v>0</v>
      </c>
      <c r="E905" s="1351">
        <f t="shared" si="293"/>
        <v>0</v>
      </c>
      <c r="F905" s="1353">
        <f t="shared" si="294"/>
        <v>0</v>
      </c>
      <c r="G905" s="1353">
        <f t="shared" si="295"/>
        <v>0</v>
      </c>
      <c r="H905" s="1353">
        <f t="shared" si="296"/>
        <v>0</v>
      </c>
      <c r="I905" s="1353">
        <f t="shared" si="297"/>
        <v>0</v>
      </c>
      <c r="J905" s="1353">
        <f t="shared" si="298"/>
        <v>0</v>
      </c>
      <c r="M905" s="1324" t="str">
        <f t="shared" si="299"/>
        <v>Natural Gas Unclassified</v>
      </c>
      <c r="N905" s="1368">
        <f t="shared" si="300"/>
        <v>0</v>
      </c>
      <c r="O905" s="1368">
        <f t="shared" si="301"/>
        <v>0</v>
      </c>
      <c r="P905" s="1368">
        <f t="shared" si="301"/>
        <v>0</v>
      </c>
      <c r="Q905" s="1368">
        <f t="shared" si="301"/>
        <v>0</v>
      </c>
      <c r="R905" s="1368">
        <f t="shared" si="301"/>
        <v>0</v>
      </c>
      <c r="T905" s="1369">
        <v>0.02</v>
      </c>
      <c r="U905" s="1369">
        <v>0.02</v>
      </c>
      <c r="V905" s="1369">
        <v>0.02</v>
      </c>
      <c r="W905" s="1369">
        <v>0.02</v>
      </c>
      <c r="X905" s="1369">
        <v>0.02</v>
      </c>
      <c r="Y905" s="1367"/>
      <c r="Z905" s="1370">
        <v>0</v>
      </c>
      <c r="AA905" s="1370">
        <v>0</v>
      </c>
      <c r="AB905" s="1370">
        <v>0</v>
      </c>
      <c r="AC905" s="1370">
        <v>0</v>
      </c>
      <c r="AD905" s="1370">
        <v>0</v>
      </c>
      <c r="AK905" s="1354">
        <f t="shared" si="289"/>
        <v>0</v>
      </c>
      <c r="AL905" s="1352">
        <f t="shared" si="302"/>
        <v>53</v>
      </c>
      <c r="AM905" s="1354">
        <f t="shared" si="303"/>
        <v>0</v>
      </c>
      <c r="AN905" s="1352" t="str">
        <f t="shared" si="304"/>
        <v>Natural Gas Unclassified</v>
      </c>
    </row>
    <row r="906" spans="1:40" x14ac:dyDescent="0.2">
      <c r="A906" s="1324" t="s">
        <v>5202</v>
      </c>
      <c r="B906" s="1324" t="s">
        <v>5731</v>
      </c>
      <c r="C906" s="1353">
        <f>'Key Metrics'!$C$330</f>
        <v>0</v>
      </c>
      <c r="D906" s="1353">
        <f>'Key Metrics'!$G$330</f>
        <v>0</v>
      </c>
      <c r="E906" s="1351">
        <f t="shared" si="293"/>
        <v>0</v>
      </c>
      <c r="F906" s="1353">
        <f t="shared" si="294"/>
        <v>0</v>
      </c>
      <c r="G906" s="1353">
        <f t="shared" si="295"/>
        <v>0</v>
      </c>
      <c r="H906" s="1353">
        <f t="shared" si="296"/>
        <v>0</v>
      </c>
      <c r="I906" s="1353">
        <f t="shared" si="297"/>
        <v>0</v>
      </c>
      <c r="J906" s="1353">
        <f t="shared" si="298"/>
        <v>0</v>
      </c>
      <c r="M906" s="1324" t="str">
        <f t="shared" si="299"/>
        <v>Petroleum Products Salaries &amp; Wages</v>
      </c>
      <c r="N906" s="1368">
        <f t="shared" si="300"/>
        <v>0</v>
      </c>
      <c r="O906" s="1368">
        <f t="shared" si="301"/>
        <v>0</v>
      </c>
      <c r="P906" s="1368">
        <f t="shared" si="301"/>
        <v>0</v>
      </c>
      <c r="Q906" s="1368">
        <f t="shared" si="301"/>
        <v>0</v>
      </c>
      <c r="R906" s="1368">
        <f t="shared" si="301"/>
        <v>0</v>
      </c>
      <c r="T906" s="1369">
        <v>0.02</v>
      </c>
      <c r="U906" s="1369">
        <v>0.02</v>
      </c>
      <c r="V906" s="1369">
        <v>0.02</v>
      </c>
      <c r="W906" s="1369">
        <v>0.02</v>
      </c>
      <c r="X906" s="1369">
        <v>0.02</v>
      </c>
      <c r="Y906" s="1367"/>
      <c r="Z906" s="1370">
        <v>0</v>
      </c>
      <c r="AA906" s="1370">
        <v>0</v>
      </c>
      <c r="AB906" s="1370">
        <v>0</v>
      </c>
      <c r="AC906" s="1370">
        <v>0</v>
      </c>
      <c r="AD906" s="1370">
        <v>0</v>
      </c>
      <c r="AK906" s="1354">
        <f t="shared" si="289"/>
        <v>0</v>
      </c>
      <c r="AL906" s="1352">
        <f t="shared" si="302"/>
        <v>53</v>
      </c>
      <c r="AM906" s="1354">
        <f t="shared" si="303"/>
        <v>0</v>
      </c>
      <c r="AN906" s="1352" t="str">
        <f t="shared" si="304"/>
        <v>Petroleum Products Salaries &amp; Wages</v>
      </c>
    </row>
    <row r="907" spans="1:40" x14ac:dyDescent="0.2">
      <c r="A907" s="1324" t="str">
        <f>A906</f>
        <v>31-447</v>
      </c>
      <c r="B907" s="1324" t="s">
        <v>5967</v>
      </c>
      <c r="C907" s="1353">
        <f>'Key Metrics'!$D$330</f>
        <v>1768.64</v>
      </c>
      <c r="D907" s="1353">
        <f>'Key Metrics'!$H$330</f>
        <v>5360.14</v>
      </c>
      <c r="E907" s="1351">
        <f t="shared" si="293"/>
        <v>2.0306563235028046</v>
      </c>
      <c r="F907" s="1353">
        <f t="shared" si="294"/>
        <v>5467.3428000000004</v>
      </c>
      <c r="G907" s="1353">
        <f t="shared" si="295"/>
        <v>5576.6896560000005</v>
      </c>
      <c r="H907" s="1353">
        <f t="shared" si="296"/>
        <v>5688.2234491200006</v>
      </c>
      <c r="I907" s="1353">
        <f t="shared" si="297"/>
        <v>5801.9879181024007</v>
      </c>
      <c r="J907" s="1353">
        <f t="shared" si="298"/>
        <v>5918.0276764644486</v>
      </c>
      <c r="M907" s="1324" t="str">
        <f t="shared" si="299"/>
        <v>Petroleum Products Other Expenses</v>
      </c>
      <c r="N907" s="1368">
        <f t="shared" si="300"/>
        <v>2.0306563235028046</v>
      </c>
      <c r="O907" s="1368">
        <f t="shared" ref="O907:R920" si="305">N907</f>
        <v>2.0306563235028046</v>
      </c>
      <c r="P907" s="1368">
        <f t="shared" si="305"/>
        <v>2.0306563235028046</v>
      </c>
      <c r="Q907" s="1368">
        <f t="shared" si="305"/>
        <v>2.0306563235028046</v>
      </c>
      <c r="R907" s="1368">
        <f t="shared" si="305"/>
        <v>2.0306563235028046</v>
      </c>
      <c r="T907" s="1369">
        <v>0.02</v>
      </c>
      <c r="U907" s="1369">
        <v>0.02</v>
      </c>
      <c r="V907" s="1369">
        <v>0.02</v>
      </c>
      <c r="W907" s="1369">
        <v>0.02</v>
      </c>
      <c r="X907" s="1369">
        <v>0.02</v>
      </c>
      <c r="Y907" s="1367"/>
      <c r="Z907" s="1370">
        <v>0</v>
      </c>
      <c r="AA907" s="1370">
        <v>0</v>
      </c>
      <c r="AB907" s="1370">
        <v>0</v>
      </c>
      <c r="AC907" s="1370">
        <v>0</v>
      </c>
      <c r="AD907" s="1370">
        <v>0</v>
      </c>
      <c r="AK907" s="1354">
        <f t="shared" si="289"/>
        <v>35581.051499686851</v>
      </c>
      <c r="AL907" s="1352">
        <f t="shared" si="302"/>
        <v>21</v>
      </c>
      <c r="AM907" s="1354">
        <f t="shared" si="303"/>
        <v>557.8876764644483</v>
      </c>
      <c r="AN907" s="1352" t="str">
        <f t="shared" si="304"/>
        <v>Petroleum Products Other Expenses</v>
      </c>
    </row>
    <row r="908" spans="1:40" x14ac:dyDescent="0.2">
      <c r="A908" s="1324" t="str">
        <f>A907</f>
        <v>31-447</v>
      </c>
      <c r="B908" s="1324" t="s">
        <v>5968</v>
      </c>
      <c r="C908" s="1353">
        <f>'Key Metrics'!$E$330</f>
        <v>0</v>
      </c>
      <c r="D908" s="1353">
        <f>'Key Metrics'!$I$330</f>
        <v>0</v>
      </c>
      <c r="E908" s="1351">
        <f t="shared" si="293"/>
        <v>0</v>
      </c>
      <c r="F908" s="1353">
        <f t="shared" si="294"/>
        <v>0</v>
      </c>
      <c r="G908" s="1353">
        <f t="shared" si="295"/>
        <v>0</v>
      </c>
      <c r="H908" s="1353">
        <f t="shared" si="296"/>
        <v>0</v>
      </c>
      <c r="I908" s="1353">
        <f t="shared" si="297"/>
        <v>0</v>
      </c>
      <c r="J908" s="1353">
        <f t="shared" si="298"/>
        <v>0</v>
      </c>
      <c r="M908" s="1324" t="str">
        <f t="shared" si="299"/>
        <v>Petroleum Products Unclassified</v>
      </c>
      <c r="N908" s="1368">
        <f t="shared" si="300"/>
        <v>0</v>
      </c>
      <c r="O908" s="1368">
        <f t="shared" si="305"/>
        <v>0</v>
      </c>
      <c r="P908" s="1368">
        <f t="shared" si="305"/>
        <v>0</v>
      </c>
      <c r="Q908" s="1368">
        <f t="shared" si="305"/>
        <v>0</v>
      </c>
      <c r="R908" s="1368">
        <f t="shared" si="305"/>
        <v>0</v>
      </c>
      <c r="T908" s="1369">
        <v>0.02</v>
      </c>
      <c r="U908" s="1369">
        <v>0.02</v>
      </c>
      <c r="V908" s="1369">
        <v>0.02</v>
      </c>
      <c r="W908" s="1369">
        <v>0.02</v>
      </c>
      <c r="X908" s="1369">
        <v>0.02</v>
      </c>
      <c r="Y908" s="1367"/>
      <c r="Z908" s="1370">
        <v>0</v>
      </c>
      <c r="AA908" s="1370">
        <v>0</v>
      </c>
      <c r="AB908" s="1370">
        <v>0</v>
      </c>
      <c r="AC908" s="1370">
        <v>0</v>
      </c>
      <c r="AD908" s="1370">
        <v>0</v>
      </c>
      <c r="AK908" s="1354">
        <f t="shared" si="289"/>
        <v>0</v>
      </c>
      <c r="AL908" s="1352">
        <f t="shared" si="302"/>
        <v>53</v>
      </c>
      <c r="AM908" s="1354">
        <f t="shared" si="303"/>
        <v>0</v>
      </c>
      <c r="AN908" s="1352" t="str">
        <f t="shared" si="304"/>
        <v>Petroleum Products Unclassified</v>
      </c>
    </row>
    <row r="909" spans="1:40" x14ac:dyDescent="0.2">
      <c r="A909" s="1324" t="s">
        <v>5283</v>
      </c>
      <c r="B909" s="1324" t="s">
        <v>5732</v>
      </c>
      <c r="C909" s="1353">
        <f>'Key Metrics'!$C$331</f>
        <v>0</v>
      </c>
      <c r="D909" s="1353">
        <f>'Key Metrics'!$G$331</f>
        <v>0</v>
      </c>
      <c r="E909" s="1351">
        <f t="shared" si="293"/>
        <v>0</v>
      </c>
      <c r="F909" s="1353">
        <f t="shared" si="294"/>
        <v>0</v>
      </c>
      <c r="G909" s="1353">
        <f t="shared" si="295"/>
        <v>0</v>
      </c>
      <c r="H909" s="1353">
        <f t="shared" si="296"/>
        <v>0</v>
      </c>
      <c r="I909" s="1353">
        <f t="shared" si="297"/>
        <v>0</v>
      </c>
      <c r="J909" s="1353">
        <f t="shared" si="298"/>
        <v>0</v>
      </c>
      <c r="M909" s="1324" t="str">
        <f t="shared" si="299"/>
        <v>Telecommunications (Cell Phone) Salaries &amp; Wages</v>
      </c>
      <c r="N909" s="1368">
        <f t="shared" si="300"/>
        <v>0</v>
      </c>
      <c r="O909" s="1368">
        <f t="shared" si="305"/>
        <v>0</v>
      </c>
      <c r="P909" s="1368">
        <f t="shared" si="305"/>
        <v>0</v>
      </c>
      <c r="Q909" s="1368">
        <f t="shared" si="305"/>
        <v>0</v>
      </c>
      <c r="R909" s="1368">
        <f t="shared" si="305"/>
        <v>0</v>
      </c>
      <c r="T909" s="1369">
        <v>0.02</v>
      </c>
      <c r="U909" s="1369">
        <v>0.02</v>
      </c>
      <c r="V909" s="1369">
        <v>0.02</v>
      </c>
      <c r="W909" s="1369">
        <v>0.02</v>
      </c>
      <c r="X909" s="1369">
        <v>0.02</v>
      </c>
      <c r="Y909" s="1367"/>
      <c r="Z909" s="1370">
        <v>0</v>
      </c>
      <c r="AA909" s="1370">
        <v>0</v>
      </c>
      <c r="AB909" s="1370">
        <v>0</v>
      </c>
      <c r="AC909" s="1370">
        <v>0</v>
      </c>
      <c r="AD909" s="1370">
        <v>0</v>
      </c>
      <c r="AK909" s="1354">
        <f t="shared" si="289"/>
        <v>0</v>
      </c>
      <c r="AL909" s="1352">
        <f t="shared" si="302"/>
        <v>53</v>
      </c>
      <c r="AM909" s="1354">
        <f t="shared" si="303"/>
        <v>0</v>
      </c>
      <c r="AN909" s="1352" t="str">
        <f t="shared" si="304"/>
        <v>Telecommunications (Cell Phone) Salaries &amp; Wages</v>
      </c>
    </row>
    <row r="910" spans="1:40" x14ac:dyDescent="0.2">
      <c r="A910" s="1324" t="str">
        <f>A909</f>
        <v>31-450</v>
      </c>
      <c r="B910" s="1324" t="s">
        <v>5969</v>
      </c>
      <c r="C910" s="1353">
        <f>'Key Metrics'!$D$331</f>
        <v>0</v>
      </c>
      <c r="D910" s="1353">
        <f>'Key Metrics'!$H$331</f>
        <v>0</v>
      </c>
      <c r="E910" s="1351">
        <f t="shared" si="293"/>
        <v>0</v>
      </c>
      <c r="F910" s="1353">
        <f t="shared" si="294"/>
        <v>0</v>
      </c>
      <c r="G910" s="1353">
        <f t="shared" si="295"/>
        <v>0</v>
      </c>
      <c r="H910" s="1353">
        <f t="shared" si="296"/>
        <v>0</v>
      </c>
      <c r="I910" s="1353">
        <f t="shared" si="297"/>
        <v>0</v>
      </c>
      <c r="J910" s="1353">
        <f t="shared" si="298"/>
        <v>0</v>
      </c>
      <c r="M910" s="1324" t="str">
        <f t="shared" si="299"/>
        <v>Telecommunications (Cell Phone) Other Expenses</v>
      </c>
      <c r="N910" s="1368">
        <f t="shared" si="300"/>
        <v>0</v>
      </c>
      <c r="O910" s="1368">
        <f t="shared" si="305"/>
        <v>0</v>
      </c>
      <c r="P910" s="1368">
        <f t="shared" si="305"/>
        <v>0</v>
      </c>
      <c r="Q910" s="1368">
        <f t="shared" si="305"/>
        <v>0</v>
      </c>
      <c r="R910" s="1368">
        <f t="shared" si="305"/>
        <v>0</v>
      </c>
      <c r="T910" s="1369">
        <v>0.02</v>
      </c>
      <c r="U910" s="1369">
        <v>0.02</v>
      </c>
      <c r="V910" s="1369">
        <v>0.02</v>
      </c>
      <c r="W910" s="1369">
        <v>0.02</v>
      </c>
      <c r="X910" s="1369">
        <v>0.02</v>
      </c>
      <c r="Y910" s="1367"/>
      <c r="Z910" s="1370">
        <v>0</v>
      </c>
      <c r="AA910" s="1370">
        <v>0</v>
      </c>
      <c r="AB910" s="1370">
        <v>0</v>
      </c>
      <c r="AC910" s="1370">
        <v>0</v>
      </c>
      <c r="AD910" s="1370">
        <v>0</v>
      </c>
      <c r="AK910" s="1354">
        <f t="shared" si="289"/>
        <v>0</v>
      </c>
      <c r="AL910" s="1352">
        <f t="shared" si="302"/>
        <v>53</v>
      </c>
      <c r="AM910" s="1354">
        <f t="shared" si="303"/>
        <v>0</v>
      </c>
      <c r="AN910" s="1352" t="str">
        <f t="shared" si="304"/>
        <v>Telecommunications (Cell Phone) Other Expenses</v>
      </c>
    </row>
    <row r="911" spans="1:40" x14ac:dyDescent="0.2">
      <c r="A911" s="1324" t="str">
        <f>A910</f>
        <v>31-450</v>
      </c>
      <c r="B911" s="1324" t="s">
        <v>5970</v>
      </c>
      <c r="C911" s="1353">
        <f>'Key Metrics'!$E$331</f>
        <v>0</v>
      </c>
      <c r="D911" s="1353">
        <f>'Key Metrics'!$I$331</f>
        <v>0</v>
      </c>
      <c r="E911" s="1351">
        <f t="shared" si="293"/>
        <v>0</v>
      </c>
      <c r="F911" s="1353">
        <f t="shared" si="294"/>
        <v>0</v>
      </c>
      <c r="G911" s="1353">
        <f t="shared" si="295"/>
        <v>0</v>
      </c>
      <c r="H911" s="1353">
        <f t="shared" si="296"/>
        <v>0</v>
      </c>
      <c r="I911" s="1353">
        <f t="shared" si="297"/>
        <v>0</v>
      </c>
      <c r="J911" s="1353">
        <f t="shared" si="298"/>
        <v>0</v>
      </c>
      <c r="M911" s="1324" t="str">
        <f t="shared" si="299"/>
        <v>Telecommunications (Cell Phone) Unclassified</v>
      </c>
      <c r="N911" s="1368">
        <f t="shared" si="300"/>
        <v>0</v>
      </c>
      <c r="O911" s="1368">
        <f t="shared" si="305"/>
        <v>0</v>
      </c>
      <c r="P911" s="1368">
        <f t="shared" si="305"/>
        <v>0</v>
      </c>
      <c r="Q911" s="1368">
        <f t="shared" si="305"/>
        <v>0</v>
      </c>
      <c r="R911" s="1368">
        <f t="shared" si="305"/>
        <v>0</v>
      </c>
      <c r="T911" s="1369">
        <v>0.02</v>
      </c>
      <c r="U911" s="1369">
        <v>0.02</v>
      </c>
      <c r="V911" s="1369">
        <v>0.02</v>
      </c>
      <c r="W911" s="1369">
        <v>0.02</v>
      </c>
      <c r="X911" s="1369">
        <v>0.02</v>
      </c>
      <c r="Y911" s="1367"/>
      <c r="Z911" s="1370">
        <v>0</v>
      </c>
      <c r="AA911" s="1370">
        <v>0</v>
      </c>
      <c r="AB911" s="1370">
        <v>0</v>
      </c>
      <c r="AC911" s="1370">
        <v>0</v>
      </c>
      <c r="AD911" s="1370">
        <v>0</v>
      </c>
      <c r="AK911" s="1354">
        <f t="shared" si="289"/>
        <v>0</v>
      </c>
      <c r="AL911" s="1352">
        <f t="shared" si="302"/>
        <v>53</v>
      </c>
      <c r="AM911" s="1354">
        <f t="shared" si="303"/>
        <v>0</v>
      </c>
      <c r="AN911" s="1352" t="str">
        <f t="shared" si="304"/>
        <v>Telecommunications (Cell Phone) Unclassified</v>
      </c>
    </row>
    <row r="912" spans="1:40" x14ac:dyDescent="0.2">
      <c r="A912" s="1324" t="s">
        <v>5203</v>
      </c>
      <c r="B912" s="1324" t="s">
        <v>5733</v>
      </c>
      <c r="C912" s="1353">
        <f>'Key Metrics'!$C$332</f>
        <v>0</v>
      </c>
      <c r="D912" s="1353">
        <f>'Key Metrics'!$G$332</f>
        <v>0</v>
      </c>
      <c r="E912" s="1351">
        <f t="shared" si="293"/>
        <v>0</v>
      </c>
      <c r="F912" s="1353">
        <f t="shared" si="294"/>
        <v>0</v>
      </c>
      <c r="G912" s="1353">
        <f t="shared" si="295"/>
        <v>0</v>
      </c>
      <c r="H912" s="1353">
        <f t="shared" si="296"/>
        <v>0</v>
      </c>
      <c r="I912" s="1353">
        <f t="shared" si="297"/>
        <v>0</v>
      </c>
      <c r="J912" s="1353">
        <f t="shared" si="298"/>
        <v>0</v>
      </c>
      <c r="M912" s="1324" t="str">
        <f t="shared" si="299"/>
        <v>Sewerage Processing and Disposal Salaries &amp; Wages</v>
      </c>
      <c r="N912" s="1368">
        <f t="shared" si="300"/>
        <v>0</v>
      </c>
      <c r="O912" s="1368">
        <f t="shared" si="305"/>
        <v>0</v>
      </c>
      <c r="P912" s="1368">
        <f t="shared" si="305"/>
        <v>0</v>
      </c>
      <c r="Q912" s="1368">
        <f t="shared" si="305"/>
        <v>0</v>
      </c>
      <c r="R912" s="1368">
        <f t="shared" si="305"/>
        <v>0</v>
      </c>
      <c r="T912" s="1369">
        <v>0.02</v>
      </c>
      <c r="U912" s="1369">
        <v>0.02</v>
      </c>
      <c r="V912" s="1369">
        <v>0.02</v>
      </c>
      <c r="W912" s="1369">
        <v>0.02</v>
      </c>
      <c r="X912" s="1369">
        <v>0.02</v>
      </c>
      <c r="Y912" s="1367"/>
      <c r="Z912" s="1370">
        <v>0</v>
      </c>
      <c r="AA912" s="1370">
        <v>0</v>
      </c>
      <c r="AB912" s="1370">
        <v>0</v>
      </c>
      <c r="AC912" s="1370">
        <v>0</v>
      </c>
      <c r="AD912" s="1370">
        <v>0</v>
      </c>
      <c r="AK912" s="1354">
        <f t="shared" si="289"/>
        <v>0</v>
      </c>
      <c r="AL912" s="1352">
        <f t="shared" si="302"/>
        <v>53</v>
      </c>
      <c r="AM912" s="1354">
        <f t="shared" si="303"/>
        <v>0</v>
      </c>
      <c r="AN912" s="1352" t="str">
        <f t="shared" si="304"/>
        <v>Sewerage Processing and Disposal Salaries &amp; Wages</v>
      </c>
    </row>
    <row r="913" spans="1:40" x14ac:dyDescent="0.2">
      <c r="A913" s="1324" t="str">
        <f>A912</f>
        <v>31-455</v>
      </c>
      <c r="B913" s="1324" t="s">
        <v>5971</v>
      </c>
      <c r="C913" s="1353">
        <f>'Key Metrics'!$D$332</f>
        <v>0</v>
      </c>
      <c r="D913" s="1353">
        <f>'Key Metrics'!$H$332</f>
        <v>0</v>
      </c>
      <c r="E913" s="1351">
        <f t="shared" si="293"/>
        <v>0</v>
      </c>
      <c r="F913" s="1353">
        <f t="shared" si="294"/>
        <v>0</v>
      </c>
      <c r="G913" s="1353">
        <f t="shared" si="295"/>
        <v>0</v>
      </c>
      <c r="H913" s="1353">
        <f t="shared" si="296"/>
        <v>0</v>
      </c>
      <c r="I913" s="1353">
        <f t="shared" si="297"/>
        <v>0</v>
      </c>
      <c r="J913" s="1353">
        <f t="shared" si="298"/>
        <v>0</v>
      </c>
      <c r="M913" s="1324" t="str">
        <f t="shared" si="299"/>
        <v>Sewerage Processing and Disposal Other Expenses</v>
      </c>
      <c r="N913" s="1368">
        <f t="shared" si="300"/>
        <v>0</v>
      </c>
      <c r="O913" s="1368">
        <f t="shared" si="305"/>
        <v>0</v>
      </c>
      <c r="P913" s="1368">
        <f t="shared" si="305"/>
        <v>0</v>
      </c>
      <c r="Q913" s="1368">
        <f t="shared" si="305"/>
        <v>0</v>
      </c>
      <c r="R913" s="1368">
        <f t="shared" si="305"/>
        <v>0</v>
      </c>
      <c r="T913" s="1369">
        <v>0.02</v>
      </c>
      <c r="U913" s="1369">
        <v>0.02</v>
      </c>
      <c r="V913" s="1369">
        <v>0.02</v>
      </c>
      <c r="W913" s="1369">
        <v>0.02</v>
      </c>
      <c r="X913" s="1369">
        <v>0.02</v>
      </c>
      <c r="Y913" s="1367"/>
      <c r="Z913" s="1370">
        <v>0</v>
      </c>
      <c r="AA913" s="1370">
        <v>0</v>
      </c>
      <c r="AB913" s="1370">
        <v>0</v>
      </c>
      <c r="AC913" s="1370">
        <v>0</v>
      </c>
      <c r="AD913" s="1370">
        <v>0</v>
      </c>
      <c r="AK913" s="1354">
        <f t="shared" si="289"/>
        <v>0</v>
      </c>
      <c r="AL913" s="1352">
        <f t="shared" si="302"/>
        <v>53</v>
      </c>
      <c r="AM913" s="1354">
        <f t="shared" si="303"/>
        <v>0</v>
      </c>
      <c r="AN913" s="1352" t="str">
        <f t="shared" si="304"/>
        <v>Sewerage Processing and Disposal Other Expenses</v>
      </c>
    </row>
    <row r="914" spans="1:40" x14ac:dyDescent="0.2">
      <c r="A914" s="1324" t="str">
        <f>A913</f>
        <v>31-455</v>
      </c>
      <c r="B914" s="1324" t="s">
        <v>5972</v>
      </c>
      <c r="C914" s="1353">
        <f>'Key Metrics'!$E$332</f>
        <v>0</v>
      </c>
      <c r="D914" s="1353">
        <f>'Key Metrics'!$I$332</f>
        <v>0</v>
      </c>
      <c r="E914" s="1351">
        <f t="shared" si="293"/>
        <v>0</v>
      </c>
      <c r="F914" s="1353">
        <f t="shared" si="294"/>
        <v>0</v>
      </c>
      <c r="G914" s="1353">
        <f t="shared" si="295"/>
        <v>0</v>
      </c>
      <c r="H914" s="1353">
        <f t="shared" si="296"/>
        <v>0</v>
      </c>
      <c r="I914" s="1353">
        <f t="shared" si="297"/>
        <v>0</v>
      </c>
      <c r="J914" s="1353">
        <f t="shared" si="298"/>
        <v>0</v>
      </c>
      <c r="M914" s="1324" t="str">
        <f t="shared" si="299"/>
        <v>Sewerage Processing and Disposal Unclassified</v>
      </c>
      <c r="N914" s="1368">
        <f t="shared" si="300"/>
        <v>0</v>
      </c>
      <c r="O914" s="1368">
        <f t="shared" si="305"/>
        <v>0</v>
      </c>
      <c r="P914" s="1368">
        <f t="shared" si="305"/>
        <v>0</v>
      </c>
      <c r="Q914" s="1368">
        <f t="shared" si="305"/>
        <v>0</v>
      </c>
      <c r="R914" s="1368">
        <f t="shared" si="305"/>
        <v>0</v>
      </c>
      <c r="T914" s="1369">
        <v>0.02</v>
      </c>
      <c r="U914" s="1369">
        <v>0.02</v>
      </c>
      <c r="V914" s="1369">
        <v>0.02</v>
      </c>
      <c r="W914" s="1369">
        <v>0.02</v>
      </c>
      <c r="X914" s="1369">
        <v>0.02</v>
      </c>
      <c r="Y914" s="1367"/>
      <c r="Z914" s="1370">
        <v>0</v>
      </c>
      <c r="AA914" s="1370">
        <v>0</v>
      </c>
      <c r="AB914" s="1370">
        <v>0</v>
      </c>
      <c r="AC914" s="1370">
        <v>0</v>
      </c>
      <c r="AD914" s="1370">
        <v>0</v>
      </c>
      <c r="AK914" s="1354">
        <f t="shared" si="289"/>
        <v>0</v>
      </c>
      <c r="AL914" s="1352">
        <f t="shared" si="302"/>
        <v>53</v>
      </c>
      <c r="AM914" s="1354">
        <f t="shared" si="303"/>
        <v>0</v>
      </c>
      <c r="AN914" s="1352" t="str">
        <f t="shared" si="304"/>
        <v>Sewerage Processing and Disposal Unclassified</v>
      </c>
    </row>
    <row r="915" spans="1:40" x14ac:dyDescent="0.2">
      <c r="A915" s="1324" t="s">
        <v>5121</v>
      </c>
      <c r="B915" s="1324" t="s">
        <v>5734</v>
      </c>
      <c r="C915" s="1353">
        <f>'Key Metrics'!$C$333</f>
        <v>0</v>
      </c>
      <c r="D915" s="1353">
        <f>'Key Metrics'!$G$333</f>
        <v>0</v>
      </c>
      <c r="E915" s="1351">
        <f t="shared" si="293"/>
        <v>0</v>
      </c>
      <c r="F915" s="1353">
        <f t="shared" si="294"/>
        <v>0</v>
      </c>
      <c r="G915" s="1353">
        <f t="shared" si="295"/>
        <v>0</v>
      </c>
      <c r="H915" s="1353">
        <f t="shared" si="296"/>
        <v>0</v>
      </c>
      <c r="I915" s="1353">
        <f t="shared" si="297"/>
        <v>0</v>
      </c>
      <c r="J915" s="1353">
        <f t="shared" si="298"/>
        <v>0</v>
      </c>
      <c r="M915" s="1324" t="str">
        <f t="shared" si="299"/>
        <v>Authority Share of Cost (Outside CAP) Salaries &amp; Wages</v>
      </c>
      <c r="N915" s="1368">
        <f t="shared" si="300"/>
        <v>0</v>
      </c>
      <c r="O915" s="1368">
        <f t="shared" si="305"/>
        <v>0</v>
      </c>
      <c r="P915" s="1368">
        <f t="shared" si="305"/>
        <v>0</v>
      </c>
      <c r="Q915" s="1368">
        <f t="shared" si="305"/>
        <v>0</v>
      </c>
      <c r="R915" s="1368">
        <f t="shared" si="305"/>
        <v>0</v>
      </c>
      <c r="T915" s="1369">
        <v>0.02</v>
      </c>
      <c r="U915" s="1369">
        <v>0.02</v>
      </c>
      <c r="V915" s="1369">
        <v>0.02</v>
      </c>
      <c r="W915" s="1369">
        <v>0.02</v>
      </c>
      <c r="X915" s="1369">
        <v>0.02</v>
      </c>
      <c r="Y915" s="1367"/>
      <c r="Z915" s="1370">
        <v>0</v>
      </c>
      <c r="AA915" s="1370">
        <v>0</v>
      </c>
      <c r="AB915" s="1370">
        <v>0</v>
      </c>
      <c r="AC915" s="1370">
        <v>0</v>
      </c>
      <c r="AD915" s="1370">
        <v>0</v>
      </c>
      <c r="AK915" s="1354">
        <f t="shared" si="289"/>
        <v>0</v>
      </c>
      <c r="AL915" s="1352">
        <f t="shared" si="302"/>
        <v>53</v>
      </c>
      <c r="AM915" s="1354">
        <f t="shared" si="303"/>
        <v>0</v>
      </c>
      <c r="AN915" s="1352" t="str">
        <f t="shared" si="304"/>
        <v>Authority Share of Cost (Outside CAP) Salaries &amp; Wages</v>
      </c>
    </row>
    <row r="916" spans="1:40" x14ac:dyDescent="0.2">
      <c r="A916" s="1324" t="str">
        <f>A915</f>
        <v>31-456</v>
      </c>
      <c r="B916" s="1324" t="s">
        <v>5973</v>
      </c>
      <c r="C916" s="1353">
        <f>'Key Metrics'!$D$333</f>
        <v>0</v>
      </c>
      <c r="D916" s="1353">
        <f>'Key Metrics'!$H$333</f>
        <v>0</v>
      </c>
      <c r="E916" s="1351">
        <f t="shared" si="293"/>
        <v>0</v>
      </c>
      <c r="F916" s="1353">
        <f t="shared" si="294"/>
        <v>0</v>
      </c>
      <c r="G916" s="1353">
        <f t="shared" si="295"/>
        <v>0</v>
      </c>
      <c r="H916" s="1353">
        <f t="shared" si="296"/>
        <v>0</v>
      </c>
      <c r="I916" s="1353">
        <f t="shared" si="297"/>
        <v>0</v>
      </c>
      <c r="J916" s="1353">
        <f t="shared" si="298"/>
        <v>0</v>
      </c>
      <c r="M916" s="1324" t="str">
        <f t="shared" si="299"/>
        <v>Authority Share of Cost (Outside CAP) Other Expenses</v>
      </c>
      <c r="N916" s="1368">
        <f t="shared" si="300"/>
        <v>0</v>
      </c>
      <c r="O916" s="1368">
        <f t="shared" si="305"/>
        <v>0</v>
      </c>
      <c r="P916" s="1368">
        <f t="shared" si="305"/>
        <v>0</v>
      </c>
      <c r="Q916" s="1368">
        <f t="shared" si="305"/>
        <v>0</v>
      </c>
      <c r="R916" s="1368">
        <f t="shared" si="305"/>
        <v>0</v>
      </c>
      <c r="T916" s="1369">
        <v>0.02</v>
      </c>
      <c r="U916" s="1369">
        <v>0.02</v>
      </c>
      <c r="V916" s="1369">
        <v>0.02</v>
      </c>
      <c r="W916" s="1369">
        <v>0.02</v>
      </c>
      <c r="X916" s="1369">
        <v>0.02</v>
      </c>
      <c r="Y916" s="1367"/>
      <c r="Z916" s="1370">
        <v>0</v>
      </c>
      <c r="AA916" s="1370">
        <v>0</v>
      </c>
      <c r="AB916" s="1370">
        <v>0</v>
      </c>
      <c r="AC916" s="1370">
        <v>0</v>
      </c>
      <c r="AD916" s="1370">
        <v>0</v>
      </c>
      <c r="AK916" s="1354">
        <f t="shared" ref="AK916:AK979" si="306">SUM(C916:D916,F916:J916)</f>
        <v>0</v>
      </c>
      <c r="AL916" s="1352">
        <f t="shared" si="302"/>
        <v>53</v>
      </c>
      <c r="AM916" s="1354">
        <f t="shared" si="303"/>
        <v>0</v>
      </c>
      <c r="AN916" s="1352" t="str">
        <f t="shared" si="304"/>
        <v>Authority Share of Cost (Outside CAP) Other Expenses</v>
      </c>
    </row>
    <row r="917" spans="1:40" x14ac:dyDescent="0.2">
      <c r="A917" s="1324" t="str">
        <f>A916</f>
        <v>31-456</v>
      </c>
      <c r="B917" s="1324" t="s">
        <v>5974</v>
      </c>
      <c r="C917" s="1353">
        <f>'Key Metrics'!$E$333</f>
        <v>0</v>
      </c>
      <c r="D917" s="1353">
        <f>'Key Metrics'!$I$333</f>
        <v>0</v>
      </c>
      <c r="E917" s="1351">
        <f t="shared" si="293"/>
        <v>0</v>
      </c>
      <c r="F917" s="1353">
        <f t="shared" si="294"/>
        <v>0</v>
      </c>
      <c r="G917" s="1353">
        <f t="shared" si="295"/>
        <v>0</v>
      </c>
      <c r="H917" s="1353">
        <f t="shared" si="296"/>
        <v>0</v>
      </c>
      <c r="I917" s="1353">
        <f t="shared" si="297"/>
        <v>0</v>
      </c>
      <c r="J917" s="1353">
        <f t="shared" si="298"/>
        <v>0</v>
      </c>
      <c r="M917" s="1324" t="str">
        <f t="shared" si="299"/>
        <v>Authority Share of Cost (Outside CAP) Unclassified</v>
      </c>
      <c r="N917" s="1368">
        <f t="shared" si="300"/>
        <v>0</v>
      </c>
      <c r="O917" s="1368">
        <f t="shared" si="305"/>
        <v>0</v>
      </c>
      <c r="P917" s="1368">
        <f t="shared" si="305"/>
        <v>0</v>
      </c>
      <c r="Q917" s="1368">
        <f t="shared" si="305"/>
        <v>0</v>
      </c>
      <c r="R917" s="1368">
        <f t="shared" si="305"/>
        <v>0</v>
      </c>
      <c r="T917" s="1369">
        <v>0.02</v>
      </c>
      <c r="U917" s="1369">
        <v>0.02</v>
      </c>
      <c r="V917" s="1369">
        <v>0.02</v>
      </c>
      <c r="W917" s="1369">
        <v>0.02</v>
      </c>
      <c r="X917" s="1369">
        <v>0.02</v>
      </c>
      <c r="Y917" s="1367"/>
      <c r="Z917" s="1370">
        <v>0</v>
      </c>
      <c r="AA917" s="1370">
        <v>0</v>
      </c>
      <c r="AB917" s="1370">
        <v>0</v>
      </c>
      <c r="AC917" s="1370">
        <v>0</v>
      </c>
      <c r="AD917" s="1370">
        <v>0</v>
      </c>
      <c r="AK917" s="1354">
        <f t="shared" si="306"/>
        <v>0</v>
      </c>
      <c r="AL917" s="1352">
        <f t="shared" si="302"/>
        <v>53</v>
      </c>
      <c r="AM917" s="1354">
        <f t="shared" si="303"/>
        <v>0</v>
      </c>
      <c r="AN917" s="1352" t="str">
        <f t="shared" si="304"/>
        <v>Authority Share of Cost (Outside CAP) Unclassified</v>
      </c>
    </row>
    <row r="918" spans="1:40" x14ac:dyDescent="0.2">
      <c r="A918" s="1324" t="s">
        <v>5204</v>
      </c>
      <c r="B918" s="1324" t="s">
        <v>5735</v>
      </c>
      <c r="C918" s="1353">
        <f>'Key Metrics'!$C$334</f>
        <v>0</v>
      </c>
      <c r="D918" s="1353">
        <f>'Key Metrics'!$G$334</f>
        <v>0</v>
      </c>
      <c r="E918" s="1351">
        <f t="shared" si="293"/>
        <v>0</v>
      </c>
      <c r="F918" s="1353">
        <f t="shared" si="294"/>
        <v>0</v>
      </c>
      <c r="G918" s="1353">
        <f t="shared" si="295"/>
        <v>0</v>
      </c>
      <c r="H918" s="1353">
        <f t="shared" si="296"/>
        <v>0</v>
      </c>
      <c r="I918" s="1353">
        <f t="shared" si="297"/>
        <v>0</v>
      </c>
      <c r="J918" s="1353">
        <f t="shared" si="298"/>
        <v>0</v>
      </c>
      <c r="M918" s="1324" t="str">
        <f t="shared" si="299"/>
        <v>Other Utilities and Bulk Purchases Salaries &amp; Wages</v>
      </c>
      <c r="N918" s="1368">
        <f t="shared" si="300"/>
        <v>0</v>
      </c>
      <c r="O918" s="1368">
        <f t="shared" si="305"/>
        <v>0</v>
      </c>
      <c r="P918" s="1368">
        <f t="shared" si="305"/>
        <v>0</v>
      </c>
      <c r="Q918" s="1368">
        <f t="shared" si="305"/>
        <v>0</v>
      </c>
      <c r="R918" s="1368">
        <f t="shared" si="305"/>
        <v>0</v>
      </c>
      <c r="T918" s="1369">
        <v>0.02</v>
      </c>
      <c r="U918" s="1369">
        <v>0.02</v>
      </c>
      <c r="V918" s="1369">
        <v>0.02</v>
      </c>
      <c r="W918" s="1369">
        <v>0.02</v>
      </c>
      <c r="X918" s="1369">
        <v>0.02</v>
      </c>
      <c r="Y918" s="1367"/>
      <c r="Z918" s="1370">
        <v>0</v>
      </c>
      <c r="AA918" s="1370">
        <v>0</v>
      </c>
      <c r="AB918" s="1370">
        <v>0</v>
      </c>
      <c r="AC918" s="1370">
        <v>0</v>
      </c>
      <c r="AD918" s="1370">
        <v>0</v>
      </c>
      <c r="AK918" s="1354">
        <f t="shared" si="306"/>
        <v>0</v>
      </c>
      <c r="AL918" s="1352">
        <f t="shared" si="302"/>
        <v>53</v>
      </c>
      <c r="AM918" s="1354">
        <f t="shared" si="303"/>
        <v>0</v>
      </c>
      <c r="AN918" s="1352" t="str">
        <f t="shared" si="304"/>
        <v>Other Utilities and Bulk Purchases Salaries &amp; Wages</v>
      </c>
    </row>
    <row r="919" spans="1:40" x14ac:dyDescent="0.2">
      <c r="A919" s="1324" t="str">
        <f>A918</f>
        <v>31-460</v>
      </c>
      <c r="B919" s="1324" t="s">
        <v>5975</v>
      </c>
      <c r="C919" s="1353">
        <f>'Key Metrics'!$D$334</f>
        <v>0</v>
      </c>
      <c r="D919" s="1353">
        <f>'Key Metrics'!$H$334</f>
        <v>0</v>
      </c>
      <c r="E919" s="1351">
        <f t="shared" si="293"/>
        <v>0</v>
      </c>
      <c r="F919" s="1353">
        <f t="shared" si="294"/>
        <v>0</v>
      </c>
      <c r="G919" s="1353">
        <f t="shared" si="295"/>
        <v>0</v>
      </c>
      <c r="H919" s="1353">
        <f t="shared" si="296"/>
        <v>0</v>
      </c>
      <c r="I919" s="1353">
        <f t="shared" si="297"/>
        <v>0</v>
      </c>
      <c r="J919" s="1353">
        <f t="shared" si="298"/>
        <v>0</v>
      </c>
      <c r="M919" s="1324" t="str">
        <f t="shared" si="299"/>
        <v>Other Utilities and Bulk Purchases Other Expenses</v>
      </c>
      <c r="N919" s="1368">
        <f t="shared" si="300"/>
        <v>0</v>
      </c>
      <c r="O919" s="1368">
        <f t="shared" si="305"/>
        <v>0</v>
      </c>
      <c r="P919" s="1368">
        <f t="shared" si="305"/>
        <v>0</v>
      </c>
      <c r="Q919" s="1368">
        <f t="shared" si="305"/>
        <v>0</v>
      </c>
      <c r="R919" s="1368">
        <f t="shared" si="305"/>
        <v>0</v>
      </c>
      <c r="T919" s="1369">
        <v>0.02</v>
      </c>
      <c r="U919" s="1369">
        <v>0.02</v>
      </c>
      <c r="V919" s="1369">
        <v>0.02</v>
      </c>
      <c r="W919" s="1369">
        <v>0.02</v>
      </c>
      <c r="X919" s="1369">
        <v>0.02</v>
      </c>
      <c r="Y919" s="1367"/>
      <c r="Z919" s="1370">
        <v>0</v>
      </c>
      <c r="AA919" s="1370">
        <v>0</v>
      </c>
      <c r="AB919" s="1370">
        <v>0</v>
      </c>
      <c r="AC919" s="1370">
        <v>0</v>
      </c>
      <c r="AD919" s="1370">
        <v>0</v>
      </c>
      <c r="AK919" s="1354">
        <f t="shared" si="306"/>
        <v>0</v>
      </c>
      <c r="AL919" s="1352">
        <f t="shared" si="302"/>
        <v>53</v>
      </c>
      <c r="AM919" s="1354">
        <f t="shared" si="303"/>
        <v>0</v>
      </c>
      <c r="AN919" s="1352" t="str">
        <f t="shared" si="304"/>
        <v>Other Utilities and Bulk Purchases Other Expenses</v>
      </c>
    </row>
    <row r="920" spans="1:40" x14ac:dyDescent="0.2">
      <c r="A920" s="1324" t="str">
        <f>A919</f>
        <v>31-460</v>
      </c>
      <c r="B920" s="1324" t="s">
        <v>5976</v>
      </c>
      <c r="C920" s="1353">
        <f>'Key Metrics'!$E$334</f>
        <v>0</v>
      </c>
      <c r="D920" s="1353">
        <f>'Key Metrics'!$I$334</f>
        <v>0</v>
      </c>
      <c r="E920" s="1351">
        <f t="shared" si="293"/>
        <v>0</v>
      </c>
      <c r="F920" s="1353">
        <f t="shared" si="294"/>
        <v>0</v>
      </c>
      <c r="G920" s="1353">
        <f t="shared" si="295"/>
        <v>0</v>
      </c>
      <c r="H920" s="1353">
        <f t="shared" si="296"/>
        <v>0</v>
      </c>
      <c r="I920" s="1353">
        <f t="shared" si="297"/>
        <v>0</v>
      </c>
      <c r="J920" s="1353">
        <f t="shared" si="298"/>
        <v>0</v>
      </c>
      <c r="M920" s="1324" t="str">
        <f t="shared" si="299"/>
        <v>Other Utilities and Bulk Purchases Unclassified</v>
      </c>
      <c r="N920" s="1368">
        <f t="shared" si="300"/>
        <v>0</v>
      </c>
      <c r="O920" s="1368">
        <f t="shared" si="305"/>
        <v>0</v>
      </c>
      <c r="P920" s="1368">
        <f t="shared" si="305"/>
        <v>0</v>
      </c>
      <c r="Q920" s="1368">
        <f t="shared" si="305"/>
        <v>0</v>
      </c>
      <c r="R920" s="1368">
        <f t="shared" si="305"/>
        <v>0</v>
      </c>
      <c r="T920" s="1369">
        <v>0.02</v>
      </c>
      <c r="U920" s="1369">
        <v>0.02</v>
      </c>
      <c r="V920" s="1369">
        <v>0.02</v>
      </c>
      <c r="W920" s="1369">
        <v>0.02</v>
      </c>
      <c r="X920" s="1369">
        <v>0.02</v>
      </c>
      <c r="Y920" s="1367"/>
      <c r="Z920" s="1370">
        <v>0</v>
      </c>
      <c r="AA920" s="1370">
        <v>0</v>
      </c>
      <c r="AB920" s="1370">
        <v>0</v>
      </c>
      <c r="AC920" s="1370">
        <v>0</v>
      </c>
      <c r="AD920" s="1370">
        <v>0</v>
      </c>
      <c r="AK920" s="1354">
        <f t="shared" si="306"/>
        <v>0</v>
      </c>
      <c r="AL920" s="1352">
        <f t="shared" si="302"/>
        <v>53</v>
      </c>
      <c r="AM920" s="1354">
        <f t="shared" si="303"/>
        <v>0</v>
      </c>
      <c r="AN920" s="1352" t="str">
        <f t="shared" si="304"/>
        <v>Other Utilities and Bulk Purchases Unclassified</v>
      </c>
    </row>
    <row r="921" spans="1:40" x14ac:dyDescent="0.2">
      <c r="B921" s="1373" t="s">
        <v>5628</v>
      </c>
      <c r="C921" s="1360">
        <f>SUM(C891:C920)</f>
        <v>19996.100000000002</v>
      </c>
      <c r="D921" s="1360">
        <f>SUM(D891:D920)</f>
        <v>27022.309999999998</v>
      </c>
      <c r="E921" s="1356">
        <f t="shared" si="293"/>
        <v>0.35137901890868695</v>
      </c>
      <c r="F921" s="1360">
        <f>SUM(F891:F920)</f>
        <v>27562.756199999996</v>
      </c>
      <c r="G921" s="1360">
        <f>SUM(G891:G920)</f>
        <v>28114.011323999999</v>
      </c>
      <c r="H921" s="1360">
        <f>SUM(H891:H920)</f>
        <v>28676.29155048</v>
      </c>
      <c r="I921" s="1360">
        <f>SUM(I891:I920)</f>
        <v>29249.8173814896</v>
      </c>
      <c r="J921" s="1360">
        <f>SUM(J891:J920)</f>
        <v>29834.813729119393</v>
      </c>
      <c r="N921" s="1328"/>
      <c r="O921" s="1328"/>
      <c r="P921" s="1328"/>
      <c r="Q921" s="1328"/>
      <c r="R921" s="1328"/>
      <c r="T921" s="1371"/>
      <c r="U921" s="1371"/>
      <c r="V921" s="1371"/>
      <c r="W921" s="1371"/>
      <c r="X921" s="1371"/>
      <c r="Y921" s="1367"/>
      <c r="Z921" s="1372"/>
      <c r="AA921" s="1372"/>
      <c r="AB921" s="1372"/>
      <c r="AC921" s="1372"/>
      <c r="AD921" s="1372"/>
      <c r="AK921" s="1354"/>
      <c r="AL921" s="1352"/>
      <c r="AM921" s="1354"/>
      <c r="AN921" s="1352"/>
    </row>
    <row r="922" spans="1:40" x14ac:dyDescent="0.2">
      <c r="E922" s="1351"/>
      <c r="N922" s="1328"/>
      <c r="O922" s="1328"/>
      <c r="P922" s="1328"/>
      <c r="Q922" s="1328"/>
      <c r="R922" s="1328"/>
      <c r="T922" s="1371"/>
      <c r="U922" s="1371"/>
      <c r="V922" s="1371"/>
      <c r="W922" s="1371"/>
      <c r="X922" s="1371"/>
      <c r="Y922" s="1367"/>
      <c r="Z922" s="1372"/>
      <c r="AA922" s="1372"/>
      <c r="AB922" s="1372"/>
      <c r="AC922" s="1372"/>
      <c r="AD922" s="1372"/>
      <c r="AK922" s="1354"/>
      <c r="AL922" s="1352"/>
      <c r="AM922" s="1354"/>
      <c r="AN922" s="1352"/>
    </row>
    <row r="923" spans="1:40" ht="15" x14ac:dyDescent="0.25">
      <c r="A923" s="1364" t="s">
        <v>5449</v>
      </c>
      <c r="B923" s="1365"/>
      <c r="C923" s="1365"/>
      <c r="D923" s="1365"/>
      <c r="E923" s="1380"/>
      <c r="F923" s="1365"/>
      <c r="G923" s="1365"/>
      <c r="H923" s="1365"/>
      <c r="I923" s="1365"/>
      <c r="J923" s="1365"/>
      <c r="M923" s="1381" t="str">
        <f>A923</f>
        <v>Recycling and Landfill</v>
      </c>
      <c r="N923" s="1364"/>
      <c r="O923" s="1364"/>
      <c r="P923" s="1364"/>
      <c r="Q923" s="1364"/>
      <c r="R923" s="1364"/>
      <c r="S923" s="1365"/>
      <c r="T923" s="1389"/>
      <c r="U923" s="1389"/>
      <c r="V923" s="1389"/>
      <c r="W923" s="1389"/>
      <c r="X923" s="1389"/>
      <c r="Y923" s="1390"/>
      <c r="Z923" s="1391"/>
      <c r="AA923" s="1391"/>
      <c r="AB923" s="1391"/>
      <c r="AC923" s="1391"/>
      <c r="AD923" s="1391"/>
      <c r="AK923" s="1354"/>
      <c r="AL923" s="1352"/>
      <c r="AM923" s="1354"/>
      <c r="AN923" s="1352"/>
    </row>
    <row r="924" spans="1:40" x14ac:dyDescent="0.2">
      <c r="A924" s="1324" t="s">
        <v>5123</v>
      </c>
      <c r="B924" s="1324" t="s">
        <v>5736</v>
      </c>
      <c r="C924" s="1353">
        <f>'Key Metrics'!$C$338</f>
        <v>0</v>
      </c>
      <c r="D924" s="1353">
        <f>'Key Metrics'!$G$338</f>
        <v>0</v>
      </c>
      <c r="E924" s="1351">
        <f>IFERROR(D924/C924-1,0)</f>
        <v>0</v>
      </c>
      <c r="F924" s="1353">
        <f>IFERROR(IF($I$3=1,D924*(1+N924),IF($I$3=2,D924*(1+T924),IF($I$3=3,Z924,"--"))),0)</f>
        <v>0</v>
      </c>
      <c r="G924" s="1353">
        <f t="shared" ref="G924:J926" si="307">IFERROR(IF($I$3=1,F924*(1+O924),IF($I$3=2,F924*(1+U924),IF($I$3=3,AA924,"--"))),0)</f>
        <v>0</v>
      </c>
      <c r="H924" s="1353">
        <f t="shared" si="307"/>
        <v>0</v>
      </c>
      <c r="I924" s="1353">
        <f t="shared" si="307"/>
        <v>0</v>
      </c>
      <c r="J924" s="1353">
        <f t="shared" si="307"/>
        <v>0</v>
      </c>
      <c r="M924" s="1324" t="str">
        <f>B924</f>
        <v>Landfill/Solid Waste Disposal Cost/Recycling Tax (Outside CAP) Salaries &amp; Wages</v>
      </c>
      <c r="N924" s="1368">
        <f>E924</f>
        <v>0</v>
      </c>
      <c r="O924" s="1368">
        <f t="shared" ref="O924:R926" si="308">N924</f>
        <v>0</v>
      </c>
      <c r="P924" s="1368">
        <f t="shared" si="308"/>
        <v>0</v>
      </c>
      <c r="Q924" s="1368">
        <f t="shared" si="308"/>
        <v>0</v>
      </c>
      <c r="R924" s="1368">
        <f t="shared" si="308"/>
        <v>0</v>
      </c>
      <c r="T924" s="1369">
        <v>0.02</v>
      </c>
      <c r="U924" s="1369">
        <v>0.02</v>
      </c>
      <c r="V924" s="1369">
        <v>0.02</v>
      </c>
      <c r="W924" s="1369">
        <v>0.02</v>
      </c>
      <c r="X924" s="1369">
        <v>0.02</v>
      </c>
      <c r="Y924" s="1367"/>
      <c r="Z924" s="1370">
        <v>0</v>
      </c>
      <c r="AA924" s="1370">
        <v>0</v>
      </c>
      <c r="AB924" s="1370">
        <v>0</v>
      </c>
      <c r="AC924" s="1370">
        <v>0</v>
      </c>
      <c r="AD924" s="1370">
        <v>0</v>
      </c>
      <c r="AK924" s="1354">
        <f t="shared" si="306"/>
        <v>0</v>
      </c>
      <c r="AL924" s="1352">
        <f>RANK(AM924,$AM$504:$AM$1172,0)</f>
        <v>53</v>
      </c>
      <c r="AM924" s="1354">
        <f t="shared" si="303"/>
        <v>0</v>
      </c>
      <c r="AN924" s="1352" t="str">
        <f t="shared" si="304"/>
        <v>Landfill/Solid Waste Disposal Cost/Recycling Tax (Outside CAP) Salaries &amp; Wages</v>
      </c>
    </row>
    <row r="925" spans="1:40" x14ac:dyDescent="0.2">
      <c r="A925" s="1324" t="str">
        <f>A924</f>
        <v>32-465</v>
      </c>
      <c r="B925" s="1324" t="s">
        <v>5977</v>
      </c>
      <c r="C925" s="1353">
        <f>'Key Metrics'!$D$338</f>
        <v>33018.44</v>
      </c>
      <c r="D925" s="1353">
        <f>'Key Metrics'!$H$338</f>
        <v>38000</v>
      </c>
      <c r="E925" s="1351">
        <f>IFERROR(D925/C925-1,0)</f>
        <v>0.15087205815901661</v>
      </c>
      <c r="F925" s="1353">
        <f>IFERROR(IF($I$3=1,D925*(1+N925),IF($I$3=2,D925*(1+T925),IF($I$3=3,Z925,"--"))),0)</f>
        <v>38760</v>
      </c>
      <c r="G925" s="1353">
        <f t="shared" si="307"/>
        <v>39535.199999999997</v>
      </c>
      <c r="H925" s="1353">
        <f t="shared" si="307"/>
        <v>40325.903999999995</v>
      </c>
      <c r="I925" s="1353">
        <f t="shared" si="307"/>
        <v>41132.422079999997</v>
      </c>
      <c r="J925" s="1353">
        <f t="shared" si="307"/>
        <v>41955.070521599999</v>
      </c>
      <c r="M925" s="1324" t="str">
        <f>B925</f>
        <v>Landfill/Solid Waste Disposal Cost/Recycling Tax (Outside CAP) Other Expenses</v>
      </c>
      <c r="N925" s="1368">
        <f>E925</f>
        <v>0.15087205815901661</v>
      </c>
      <c r="O925" s="1368">
        <f t="shared" si="308"/>
        <v>0.15087205815901661</v>
      </c>
      <c r="P925" s="1368">
        <f t="shared" si="308"/>
        <v>0.15087205815901661</v>
      </c>
      <c r="Q925" s="1368">
        <f t="shared" si="308"/>
        <v>0.15087205815901661</v>
      </c>
      <c r="R925" s="1368">
        <f t="shared" si="308"/>
        <v>0.15087205815901661</v>
      </c>
      <c r="T925" s="1369">
        <v>0.02</v>
      </c>
      <c r="U925" s="1369">
        <v>0.02</v>
      </c>
      <c r="V925" s="1369">
        <v>0.02</v>
      </c>
      <c r="W925" s="1369">
        <v>0.02</v>
      </c>
      <c r="X925" s="1369">
        <v>0.02</v>
      </c>
      <c r="Y925" s="1367"/>
      <c r="Z925" s="1370">
        <v>0</v>
      </c>
      <c r="AA925" s="1370">
        <v>0</v>
      </c>
      <c r="AB925" s="1370">
        <v>0</v>
      </c>
      <c r="AC925" s="1370">
        <v>0</v>
      </c>
      <c r="AD925" s="1370">
        <v>0</v>
      </c>
      <c r="AK925" s="1354">
        <f t="shared" si="306"/>
        <v>272727.0366016</v>
      </c>
      <c r="AL925" s="1352">
        <f>RANK(AM925,$AM$504:$AM$1172,0)</f>
        <v>2</v>
      </c>
      <c r="AM925" s="1354">
        <f t="shared" si="303"/>
        <v>3955.0705215999988</v>
      </c>
      <c r="AN925" s="1352" t="str">
        <f t="shared" si="304"/>
        <v>Landfill/Solid Waste Disposal Cost/Recycling Tax (Outside CAP) Other Expenses</v>
      </c>
    </row>
    <row r="926" spans="1:40" x14ac:dyDescent="0.2">
      <c r="A926" s="1324" t="str">
        <f>A925</f>
        <v>32-465</v>
      </c>
      <c r="B926" s="1324" t="s">
        <v>5978</v>
      </c>
      <c r="C926" s="1353">
        <f>'Key Metrics'!$E$338</f>
        <v>0</v>
      </c>
      <c r="D926" s="1353">
        <f>'Key Metrics'!$I$338</f>
        <v>0</v>
      </c>
      <c r="E926" s="1351">
        <f>IFERROR(D926/C926-1,0)</f>
        <v>0</v>
      </c>
      <c r="F926" s="1353">
        <f>IFERROR(IF($I$3=1,D926*(1+N926),IF($I$3=2,D926*(1+T926),IF($I$3=3,Z926,"--"))),0)</f>
        <v>0</v>
      </c>
      <c r="G926" s="1353">
        <f t="shared" si="307"/>
        <v>0</v>
      </c>
      <c r="H926" s="1353">
        <f t="shared" si="307"/>
        <v>0</v>
      </c>
      <c r="I926" s="1353">
        <f t="shared" si="307"/>
        <v>0</v>
      </c>
      <c r="J926" s="1353">
        <f t="shared" si="307"/>
        <v>0</v>
      </c>
      <c r="M926" s="1324" t="str">
        <f>B926</f>
        <v>Landfill/Solid Waste Disposal Cost/Recycling Tax (Outside CAP) Unclassified</v>
      </c>
      <c r="N926" s="1368">
        <f>E926</f>
        <v>0</v>
      </c>
      <c r="O926" s="1368">
        <f t="shared" si="308"/>
        <v>0</v>
      </c>
      <c r="P926" s="1368">
        <f t="shared" si="308"/>
        <v>0</v>
      </c>
      <c r="Q926" s="1368">
        <f t="shared" si="308"/>
        <v>0</v>
      </c>
      <c r="R926" s="1368">
        <f t="shared" si="308"/>
        <v>0</v>
      </c>
      <c r="T926" s="1369">
        <v>0.02</v>
      </c>
      <c r="U926" s="1369">
        <v>0.02</v>
      </c>
      <c r="V926" s="1369">
        <v>0.02</v>
      </c>
      <c r="W926" s="1369">
        <v>0.02</v>
      </c>
      <c r="X926" s="1369">
        <v>0.02</v>
      </c>
      <c r="Y926" s="1367"/>
      <c r="Z926" s="1370">
        <v>0</v>
      </c>
      <c r="AA926" s="1370">
        <v>0</v>
      </c>
      <c r="AB926" s="1370">
        <v>0</v>
      </c>
      <c r="AC926" s="1370">
        <v>0</v>
      </c>
      <c r="AD926" s="1370">
        <v>0</v>
      </c>
      <c r="AK926" s="1354">
        <f t="shared" si="306"/>
        <v>0</v>
      </c>
      <c r="AL926" s="1352">
        <f>RANK(AM926,$AM$504:$AM$1172,0)</f>
        <v>53</v>
      </c>
      <c r="AM926" s="1354">
        <f t="shared" si="303"/>
        <v>0</v>
      </c>
      <c r="AN926" s="1352" t="str">
        <f t="shared" si="304"/>
        <v>Landfill/Solid Waste Disposal Cost/Recycling Tax (Outside CAP) Unclassified</v>
      </c>
    </row>
    <row r="927" spans="1:40" x14ac:dyDescent="0.2">
      <c r="B927" s="1373" t="s">
        <v>5629</v>
      </c>
      <c r="C927" s="1360">
        <f>SUM(C924:C926)</f>
        <v>33018.44</v>
      </c>
      <c r="D927" s="1360">
        <f>SUM(D924:D926)</f>
        <v>38000</v>
      </c>
      <c r="E927" s="1356">
        <f>IFERROR(D927/C927-1,0)</f>
        <v>0.15087205815901661</v>
      </c>
      <c r="F927" s="1360">
        <f>SUM(F924:F926)</f>
        <v>38760</v>
      </c>
      <c r="G927" s="1360">
        <f>SUM(G924:G926)</f>
        <v>39535.199999999997</v>
      </c>
      <c r="H927" s="1360">
        <f>SUM(H924:H926)</f>
        <v>40325.903999999995</v>
      </c>
      <c r="I927" s="1360">
        <f>SUM(I924:I926)</f>
        <v>41132.422079999997</v>
      </c>
      <c r="J927" s="1360">
        <f>SUM(J924:J926)</f>
        <v>41955.070521599999</v>
      </c>
      <c r="N927" s="1328"/>
      <c r="O927" s="1328"/>
      <c r="P927" s="1328"/>
      <c r="Q927" s="1328"/>
      <c r="R927" s="1328"/>
      <c r="T927" s="1371"/>
      <c r="U927" s="1371"/>
      <c r="V927" s="1371"/>
      <c r="W927" s="1371"/>
      <c r="X927" s="1371"/>
      <c r="Y927" s="1367"/>
      <c r="Z927" s="1372"/>
      <c r="AA927" s="1372"/>
      <c r="AB927" s="1372"/>
      <c r="AC927" s="1372"/>
      <c r="AD927" s="1372"/>
      <c r="AK927" s="1354"/>
      <c r="AL927" s="1352"/>
      <c r="AM927" s="1354"/>
      <c r="AN927" s="1352"/>
    </row>
    <row r="928" spans="1:40" x14ac:dyDescent="0.2">
      <c r="E928" s="1351"/>
      <c r="N928" s="1328"/>
      <c r="O928" s="1328"/>
      <c r="P928" s="1328"/>
      <c r="Q928" s="1328"/>
      <c r="R928" s="1328"/>
      <c r="T928" s="1371"/>
      <c r="U928" s="1371"/>
      <c r="V928" s="1371"/>
      <c r="W928" s="1371"/>
      <c r="X928" s="1371"/>
      <c r="Y928" s="1367"/>
      <c r="Z928" s="1372"/>
      <c r="AA928" s="1372"/>
      <c r="AB928" s="1372"/>
      <c r="AC928" s="1372"/>
      <c r="AD928" s="1372"/>
      <c r="AK928" s="1354"/>
      <c r="AL928" s="1352"/>
      <c r="AM928" s="1354"/>
      <c r="AN928" s="1352"/>
    </row>
    <row r="929" spans="1:40" ht="15" x14ac:dyDescent="0.25">
      <c r="A929" s="1364" t="s">
        <v>508</v>
      </c>
      <c r="B929" s="1365"/>
      <c r="C929" s="1365"/>
      <c r="D929" s="1365"/>
      <c r="E929" s="1380"/>
      <c r="F929" s="1365"/>
      <c r="G929" s="1365"/>
      <c r="H929" s="1365"/>
      <c r="I929" s="1365"/>
      <c r="J929" s="1365"/>
      <c r="M929" s="1381" t="str">
        <f>A929</f>
        <v>Additional Appropriations Offset by Revenues</v>
      </c>
      <c r="N929" s="1364"/>
      <c r="O929" s="1364"/>
      <c r="P929" s="1364"/>
      <c r="Q929" s="1364"/>
      <c r="R929" s="1364"/>
      <c r="S929" s="1365"/>
      <c r="T929" s="1389"/>
      <c r="U929" s="1389"/>
      <c r="V929" s="1389"/>
      <c r="W929" s="1389"/>
      <c r="X929" s="1389"/>
      <c r="Y929" s="1390"/>
      <c r="Z929" s="1391"/>
      <c r="AA929" s="1391"/>
      <c r="AB929" s="1391"/>
      <c r="AC929" s="1391"/>
      <c r="AD929" s="1391"/>
      <c r="AK929" s="1354"/>
      <c r="AL929" s="1352"/>
      <c r="AM929" s="1354"/>
      <c r="AN929" s="1352"/>
    </row>
    <row r="930" spans="1:40" x14ac:dyDescent="0.2">
      <c r="A930" s="1324" t="s">
        <v>5461</v>
      </c>
      <c r="B930" s="1324" t="s">
        <v>5737</v>
      </c>
      <c r="C930" s="1353">
        <f>'Key Metrics'!$C$342</f>
        <v>0</v>
      </c>
      <c r="D930" s="1353">
        <f>'Key Metrics'!$G$342</f>
        <v>0</v>
      </c>
      <c r="E930" s="1351">
        <f>IFERROR(D930/C930-1,0)</f>
        <v>0</v>
      </c>
      <c r="F930" s="1353">
        <f>IFERROR(IF($I$3=1,D930*(1+N930),IF($I$3=2,D930*(1+T930),IF($I$3=3,Z930,"--"))),0)</f>
        <v>0</v>
      </c>
      <c r="G930" s="1353">
        <f t="shared" ref="G930:J932" si="309">IFERROR(IF($I$3=1,F930*(1+O930),IF($I$3=2,F930*(1+U930),IF($I$3=3,AA930,"--"))),0)</f>
        <v>0</v>
      </c>
      <c r="H930" s="1353">
        <f t="shared" si="309"/>
        <v>0</v>
      </c>
      <c r="I930" s="1353">
        <f t="shared" si="309"/>
        <v>0</v>
      </c>
      <c r="J930" s="1353">
        <f t="shared" si="309"/>
        <v>0</v>
      </c>
      <c r="M930" s="1324" t="str">
        <f>B930</f>
        <v>Additional Appropriations Offset by Revenues Salaries &amp; Wages</v>
      </c>
      <c r="N930" s="1368">
        <f>E930</f>
        <v>0</v>
      </c>
      <c r="O930" s="1368">
        <f t="shared" ref="O930:R932" si="310">N930</f>
        <v>0</v>
      </c>
      <c r="P930" s="1368">
        <f t="shared" si="310"/>
        <v>0</v>
      </c>
      <c r="Q930" s="1368">
        <f t="shared" si="310"/>
        <v>0</v>
      </c>
      <c r="R930" s="1368">
        <f t="shared" si="310"/>
        <v>0</v>
      </c>
      <c r="T930" s="1369">
        <v>0</v>
      </c>
      <c r="U930" s="1369">
        <v>0</v>
      </c>
      <c r="V930" s="1369">
        <v>0</v>
      </c>
      <c r="W930" s="1369">
        <v>0</v>
      </c>
      <c r="X930" s="1369">
        <v>0</v>
      </c>
      <c r="Y930" s="1367"/>
      <c r="Z930" s="1370">
        <v>0</v>
      </c>
      <c r="AA930" s="1370">
        <v>0</v>
      </c>
      <c r="AB930" s="1370">
        <v>0</v>
      </c>
      <c r="AC930" s="1370">
        <v>0</v>
      </c>
      <c r="AD930" s="1370">
        <v>0</v>
      </c>
      <c r="AK930" s="1354">
        <f t="shared" si="306"/>
        <v>0</v>
      </c>
      <c r="AL930" s="1352">
        <f>RANK(AM930,$AM$504:$AM$1172,0)</f>
        <v>53</v>
      </c>
      <c r="AM930" s="1354">
        <f t="shared" si="303"/>
        <v>0</v>
      </c>
      <c r="AN930" s="1352" t="str">
        <f t="shared" si="304"/>
        <v>Additional Appropriations Offset by Revenues Salaries &amp; Wages</v>
      </c>
    </row>
    <row r="931" spans="1:40" x14ac:dyDescent="0.2">
      <c r="A931" s="1324" t="str">
        <f>A930</f>
        <v>34-302</v>
      </c>
      <c r="B931" s="1324" t="s">
        <v>5979</v>
      </c>
      <c r="C931" s="1353">
        <f>'Key Metrics'!$D$342</f>
        <v>0</v>
      </c>
      <c r="D931" s="1353">
        <f>'Key Metrics'!$H$342</f>
        <v>0</v>
      </c>
      <c r="E931" s="1351">
        <f>IFERROR(D931/C931-1,0)</f>
        <v>0</v>
      </c>
      <c r="F931" s="1353">
        <f>IFERROR(IF($I$3=1,D931*(1+N931),IF($I$3=2,D931*(1+T931),IF($I$3=3,Z931,"--"))),0)</f>
        <v>0</v>
      </c>
      <c r="G931" s="1353">
        <f t="shared" si="309"/>
        <v>0</v>
      </c>
      <c r="H931" s="1353">
        <f t="shared" si="309"/>
        <v>0</v>
      </c>
      <c r="I931" s="1353">
        <f t="shared" si="309"/>
        <v>0</v>
      </c>
      <c r="J931" s="1353">
        <f t="shared" si="309"/>
        <v>0</v>
      </c>
      <c r="M931" s="1324" t="str">
        <f>B931</f>
        <v>Additional Appropriations Offset by Revenues Other Expenses</v>
      </c>
      <c r="N931" s="1368">
        <f>E931</f>
        <v>0</v>
      </c>
      <c r="O931" s="1368">
        <f t="shared" si="310"/>
        <v>0</v>
      </c>
      <c r="P931" s="1368">
        <f t="shared" si="310"/>
        <v>0</v>
      </c>
      <c r="Q931" s="1368">
        <f t="shared" si="310"/>
        <v>0</v>
      </c>
      <c r="R931" s="1368">
        <f t="shared" si="310"/>
        <v>0</v>
      </c>
      <c r="T931" s="1369">
        <v>0</v>
      </c>
      <c r="U931" s="1369">
        <v>0</v>
      </c>
      <c r="V931" s="1369">
        <v>0</v>
      </c>
      <c r="W931" s="1369">
        <v>0</v>
      </c>
      <c r="X931" s="1369">
        <v>0</v>
      </c>
      <c r="Y931" s="1367"/>
      <c r="Z931" s="1370">
        <v>0</v>
      </c>
      <c r="AA931" s="1370">
        <v>0</v>
      </c>
      <c r="AB931" s="1370">
        <v>0</v>
      </c>
      <c r="AC931" s="1370">
        <v>0</v>
      </c>
      <c r="AD931" s="1370">
        <v>0</v>
      </c>
      <c r="AK931" s="1354">
        <f t="shared" si="306"/>
        <v>0</v>
      </c>
      <c r="AL931" s="1352">
        <f>RANK(AM931,$AM$504:$AM$1172,0)</f>
        <v>53</v>
      </c>
      <c r="AM931" s="1354">
        <f t="shared" si="303"/>
        <v>0</v>
      </c>
      <c r="AN931" s="1352" t="str">
        <f t="shared" si="304"/>
        <v>Additional Appropriations Offset by Revenues Other Expenses</v>
      </c>
    </row>
    <row r="932" spans="1:40" x14ac:dyDescent="0.2">
      <c r="A932" s="1324" t="str">
        <f>A931</f>
        <v>34-302</v>
      </c>
      <c r="B932" s="1324" t="s">
        <v>5980</v>
      </c>
      <c r="C932" s="1353">
        <f>'Key Metrics'!$E$342</f>
        <v>0</v>
      </c>
      <c r="D932" s="1353">
        <f>'Key Metrics'!$I$342</f>
        <v>0</v>
      </c>
      <c r="E932" s="1351">
        <f>IFERROR(D932/C932-1,0)</f>
        <v>0</v>
      </c>
      <c r="F932" s="1353">
        <f>IFERROR(IF($I$3=1,D932*(1+N932),IF($I$3=2,D932*(1+T932),IF($I$3=3,Z932,"--"))),0)</f>
        <v>0</v>
      </c>
      <c r="G932" s="1353">
        <f t="shared" si="309"/>
        <v>0</v>
      </c>
      <c r="H932" s="1353">
        <f t="shared" si="309"/>
        <v>0</v>
      </c>
      <c r="I932" s="1353">
        <f t="shared" si="309"/>
        <v>0</v>
      </c>
      <c r="J932" s="1353">
        <f t="shared" si="309"/>
        <v>0</v>
      </c>
      <c r="M932" s="1324" t="str">
        <f>B932</f>
        <v>Additional Appropriations Offset by Revenues Unclassified</v>
      </c>
      <c r="N932" s="1368">
        <f>E932</f>
        <v>0</v>
      </c>
      <c r="O932" s="1368">
        <f t="shared" si="310"/>
        <v>0</v>
      </c>
      <c r="P932" s="1368">
        <f t="shared" si="310"/>
        <v>0</v>
      </c>
      <c r="Q932" s="1368">
        <f t="shared" si="310"/>
        <v>0</v>
      </c>
      <c r="R932" s="1368">
        <f t="shared" si="310"/>
        <v>0</v>
      </c>
      <c r="T932" s="1369">
        <v>0</v>
      </c>
      <c r="U932" s="1369">
        <v>0</v>
      </c>
      <c r="V932" s="1369">
        <v>0</v>
      </c>
      <c r="W932" s="1369">
        <v>0</v>
      </c>
      <c r="X932" s="1369">
        <v>0</v>
      </c>
      <c r="Y932" s="1367"/>
      <c r="Z932" s="1370">
        <v>0</v>
      </c>
      <c r="AA932" s="1370">
        <v>0</v>
      </c>
      <c r="AB932" s="1370">
        <v>0</v>
      </c>
      <c r="AC932" s="1370">
        <v>0</v>
      </c>
      <c r="AD932" s="1370">
        <v>0</v>
      </c>
      <c r="AK932" s="1354">
        <f t="shared" si="306"/>
        <v>0</v>
      </c>
      <c r="AL932" s="1352">
        <f>RANK(AM932,$AM$504:$AM$1172,0)</f>
        <v>53</v>
      </c>
      <c r="AM932" s="1354">
        <f t="shared" si="303"/>
        <v>0</v>
      </c>
      <c r="AN932" s="1352" t="str">
        <f t="shared" si="304"/>
        <v>Additional Appropriations Offset by Revenues Unclassified</v>
      </c>
    </row>
    <row r="933" spans="1:40" x14ac:dyDescent="0.2">
      <c r="B933" s="1373" t="s">
        <v>5630</v>
      </c>
      <c r="C933" s="1360">
        <f>SUM(C930:C932)</f>
        <v>0</v>
      </c>
      <c r="D933" s="1360">
        <f>SUM(D930:D932)</f>
        <v>0</v>
      </c>
      <c r="E933" s="1356">
        <f>IFERROR(D933/C933-1,0)</f>
        <v>0</v>
      </c>
      <c r="F933" s="1360">
        <f>SUM(F930:F932)</f>
        <v>0</v>
      </c>
      <c r="G933" s="1360">
        <f>SUM(G930:G932)</f>
        <v>0</v>
      </c>
      <c r="H933" s="1360">
        <f>SUM(H930:H932)</f>
        <v>0</v>
      </c>
      <c r="I933" s="1360">
        <f>SUM(I930:I932)</f>
        <v>0</v>
      </c>
      <c r="J933" s="1360">
        <f>SUM(J930:J932)</f>
        <v>0</v>
      </c>
      <c r="N933" s="1328"/>
      <c r="O933" s="1328"/>
      <c r="P933" s="1328"/>
      <c r="Q933" s="1328"/>
      <c r="R933" s="1328"/>
      <c r="T933" s="1371"/>
      <c r="U933" s="1371"/>
      <c r="V933" s="1371"/>
      <c r="W933" s="1371"/>
      <c r="X933" s="1371"/>
      <c r="Y933" s="1367"/>
      <c r="Z933" s="1372"/>
      <c r="AA933" s="1372"/>
      <c r="AB933" s="1372"/>
      <c r="AC933" s="1372"/>
      <c r="AD933" s="1372"/>
      <c r="AK933" s="1354"/>
      <c r="AL933" s="1352"/>
      <c r="AM933" s="1354"/>
      <c r="AN933" s="1352"/>
    </row>
    <row r="934" spans="1:40" x14ac:dyDescent="0.2">
      <c r="E934" s="1351"/>
      <c r="N934" s="1328"/>
      <c r="O934" s="1328"/>
      <c r="P934" s="1328"/>
      <c r="Q934" s="1328"/>
      <c r="R934" s="1328"/>
      <c r="T934" s="1371"/>
      <c r="U934" s="1371"/>
      <c r="V934" s="1371"/>
      <c r="W934" s="1371"/>
      <c r="X934" s="1371"/>
      <c r="Y934" s="1367"/>
      <c r="Z934" s="1372"/>
      <c r="AA934" s="1372"/>
      <c r="AB934" s="1372"/>
      <c r="AC934" s="1372"/>
      <c r="AD934" s="1372"/>
      <c r="AK934" s="1354"/>
      <c r="AL934" s="1352"/>
      <c r="AM934" s="1354"/>
      <c r="AN934" s="1352"/>
    </row>
    <row r="935" spans="1:40" ht="15" x14ac:dyDescent="0.25">
      <c r="A935" s="1364" t="s">
        <v>208</v>
      </c>
      <c r="B935" s="1365"/>
      <c r="C935" s="1365"/>
      <c r="D935" s="1365"/>
      <c r="E935" s="1380"/>
      <c r="F935" s="1365"/>
      <c r="G935" s="1365"/>
      <c r="H935" s="1365"/>
      <c r="I935" s="1365"/>
      <c r="J935" s="1365"/>
      <c r="M935" s="1381" t="str">
        <f>A935</f>
        <v>Contingent</v>
      </c>
      <c r="N935" s="1364"/>
      <c r="O935" s="1364"/>
      <c r="P935" s="1364"/>
      <c r="Q935" s="1364"/>
      <c r="R935" s="1364"/>
      <c r="S935" s="1365"/>
      <c r="T935" s="1389"/>
      <c r="U935" s="1389"/>
      <c r="V935" s="1389"/>
      <c r="W935" s="1389"/>
      <c r="X935" s="1389"/>
      <c r="Y935" s="1390"/>
      <c r="Z935" s="1391"/>
      <c r="AA935" s="1391"/>
      <c r="AB935" s="1391"/>
      <c r="AC935" s="1391"/>
      <c r="AD935" s="1391"/>
      <c r="AK935" s="1354"/>
      <c r="AL935" s="1352"/>
      <c r="AM935" s="1354"/>
      <c r="AN935" s="1352"/>
    </row>
    <row r="936" spans="1:40" x14ac:dyDescent="0.2">
      <c r="A936" s="1324" t="s">
        <v>534</v>
      </c>
      <c r="B936" s="1324" t="s">
        <v>5738</v>
      </c>
      <c r="C936" s="1353">
        <f>'Key Metrics'!$C$346</f>
        <v>0</v>
      </c>
      <c r="D936" s="1353">
        <f>'Key Metrics'!$G$346</f>
        <v>0</v>
      </c>
      <c r="E936" s="1351">
        <f>IFERROR(D936/C936-1,0)</f>
        <v>0</v>
      </c>
      <c r="F936" s="1353">
        <f>IFERROR(IF($I$3=1,D936*(1+N936),IF($I$3=2,D936*(1+T936),IF($I$3=3,Z936,"--"))),0)</f>
        <v>0</v>
      </c>
      <c r="G936" s="1353">
        <f t="shared" ref="G936:J938" si="311">IFERROR(IF($I$3=1,F936*(1+O936),IF($I$3=2,F936*(1+U936),IF($I$3=3,AA936,"--"))),0)</f>
        <v>0</v>
      </c>
      <c r="H936" s="1353">
        <f t="shared" si="311"/>
        <v>0</v>
      </c>
      <c r="I936" s="1353">
        <f t="shared" si="311"/>
        <v>0</v>
      </c>
      <c r="J936" s="1353">
        <f t="shared" si="311"/>
        <v>0</v>
      </c>
      <c r="M936" s="1324" t="str">
        <f>B936</f>
        <v>Contingent Salaries &amp; Wages</v>
      </c>
      <c r="N936" s="1368">
        <f>E936</f>
        <v>0</v>
      </c>
      <c r="O936" s="1368">
        <f t="shared" ref="O936:R938" si="312">N936</f>
        <v>0</v>
      </c>
      <c r="P936" s="1368">
        <f t="shared" si="312"/>
        <v>0</v>
      </c>
      <c r="Q936" s="1368">
        <f t="shared" si="312"/>
        <v>0</v>
      </c>
      <c r="R936" s="1368">
        <f t="shared" si="312"/>
        <v>0</v>
      </c>
      <c r="T936" s="1369">
        <v>0.02</v>
      </c>
      <c r="U936" s="1369">
        <v>0.02</v>
      </c>
      <c r="V936" s="1369">
        <v>0.02</v>
      </c>
      <c r="W936" s="1369">
        <v>0.02</v>
      </c>
      <c r="X936" s="1369">
        <v>0.02</v>
      </c>
      <c r="Y936" s="1367"/>
      <c r="Z936" s="1370">
        <v>0</v>
      </c>
      <c r="AA936" s="1370">
        <v>0</v>
      </c>
      <c r="AB936" s="1370">
        <v>0</v>
      </c>
      <c r="AC936" s="1370">
        <v>0</v>
      </c>
      <c r="AD936" s="1370">
        <v>0</v>
      </c>
      <c r="AK936" s="1354">
        <f t="shared" si="306"/>
        <v>0</v>
      </c>
      <c r="AL936" s="1352">
        <f>RANK(AM936,$AM$504:$AM$1172,0)</f>
        <v>53</v>
      </c>
      <c r="AM936" s="1354">
        <f t="shared" si="303"/>
        <v>0</v>
      </c>
      <c r="AN936" s="1352" t="str">
        <f t="shared" si="304"/>
        <v>Contingent Salaries &amp; Wages</v>
      </c>
    </row>
    <row r="937" spans="1:40" x14ac:dyDescent="0.2">
      <c r="A937" s="1324" t="str">
        <f>A936</f>
        <v>35-470</v>
      </c>
      <c r="B937" s="1324" t="s">
        <v>5981</v>
      </c>
      <c r="C937" s="1353">
        <f>'Key Metrics'!$D$346</f>
        <v>0</v>
      </c>
      <c r="D937" s="1353">
        <f>'Key Metrics'!$H$346</f>
        <v>0</v>
      </c>
      <c r="E937" s="1351">
        <f>IFERROR(D937/C937-1,0)</f>
        <v>0</v>
      </c>
      <c r="F937" s="1353">
        <f>IFERROR(IF($I$3=1,D937*(1+N937),IF($I$3=2,D937*(1+T937),IF($I$3=3,Z937,"--"))),0)</f>
        <v>0</v>
      </c>
      <c r="G937" s="1353">
        <f t="shared" si="311"/>
        <v>0</v>
      </c>
      <c r="H937" s="1353">
        <f t="shared" si="311"/>
        <v>0</v>
      </c>
      <c r="I937" s="1353">
        <f t="shared" si="311"/>
        <v>0</v>
      </c>
      <c r="J937" s="1353">
        <f t="shared" si="311"/>
        <v>0</v>
      </c>
      <c r="M937" s="1324" t="str">
        <f>B937</f>
        <v>Contingent Other Expenses</v>
      </c>
      <c r="N937" s="1368">
        <f>E937</f>
        <v>0</v>
      </c>
      <c r="O937" s="1368">
        <f t="shared" si="312"/>
        <v>0</v>
      </c>
      <c r="P937" s="1368">
        <f t="shared" si="312"/>
        <v>0</v>
      </c>
      <c r="Q937" s="1368">
        <f t="shared" si="312"/>
        <v>0</v>
      </c>
      <c r="R937" s="1368">
        <f t="shared" si="312"/>
        <v>0</v>
      </c>
      <c r="T937" s="1369">
        <v>0.02</v>
      </c>
      <c r="U937" s="1369">
        <v>0.02</v>
      </c>
      <c r="V937" s="1369">
        <v>0.02</v>
      </c>
      <c r="W937" s="1369">
        <v>0.02</v>
      </c>
      <c r="X937" s="1369">
        <v>0.02</v>
      </c>
      <c r="Y937" s="1367"/>
      <c r="Z937" s="1370">
        <v>0</v>
      </c>
      <c r="AA937" s="1370">
        <v>0</v>
      </c>
      <c r="AB937" s="1370">
        <v>0</v>
      </c>
      <c r="AC937" s="1370">
        <v>0</v>
      </c>
      <c r="AD937" s="1370">
        <v>0</v>
      </c>
      <c r="AK937" s="1354">
        <f t="shared" si="306"/>
        <v>0</v>
      </c>
      <c r="AL937" s="1352">
        <f>RANK(AM937,$AM$504:$AM$1172,0)</f>
        <v>53</v>
      </c>
      <c r="AM937" s="1354">
        <f t="shared" si="303"/>
        <v>0</v>
      </c>
      <c r="AN937" s="1352" t="str">
        <f t="shared" si="304"/>
        <v>Contingent Other Expenses</v>
      </c>
    </row>
    <row r="938" spans="1:40" x14ac:dyDescent="0.2">
      <c r="A938" s="1324" t="str">
        <f>A937</f>
        <v>35-470</v>
      </c>
      <c r="B938" s="1324" t="s">
        <v>5982</v>
      </c>
      <c r="C938" s="1353">
        <f>'Key Metrics'!$E$346</f>
        <v>0</v>
      </c>
      <c r="D938" s="1353">
        <f>'Key Metrics'!$I$346</f>
        <v>0</v>
      </c>
      <c r="E938" s="1351">
        <f>IFERROR(D938/C938-1,0)</f>
        <v>0</v>
      </c>
      <c r="F938" s="1353">
        <f>IFERROR(IF($I$3=1,D938*(1+N938),IF($I$3=2,D938*(1+T938),IF($I$3=3,Z938,"--"))),0)</f>
        <v>0</v>
      </c>
      <c r="G938" s="1353">
        <f t="shared" si="311"/>
        <v>0</v>
      </c>
      <c r="H938" s="1353">
        <f t="shared" si="311"/>
        <v>0</v>
      </c>
      <c r="I938" s="1353">
        <f t="shared" si="311"/>
        <v>0</v>
      </c>
      <c r="J938" s="1353">
        <f t="shared" si="311"/>
        <v>0</v>
      </c>
      <c r="M938" s="1324" t="str">
        <f>B938</f>
        <v>Contingent Unclassified</v>
      </c>
      <c r="N938" s="1368">
        <f>E938</f>
        <v>0</v>
      </c>
      <c r="O938" s="1368">
        <f t="shared" si="312"/>
        <v>0</v>
      </c>
      <c r="P938" s="1368">
        <f t="shared" si="312"/>
        <v>0</v>
      </c>
      <c r="Q938" s="1368">
        <f t="shared" si="312"/>
        <v>0</v>
      </c>
      <c r="R938" s="1368">
        <f t="shared" si="312"/>
        <v>0</v>
      </c>
      <c r="T938" s="1369">
        <v>0.02</v>
      </c>
      <c r="U938" s="1369">
        <v>0.02</v>
      </c>
      <c r="V938" s="1369">
        <v>0.02</v>
      </c>
      <c r="W938" s="1369">
        <v>0.02</v>
      </c>
      <c r="X938" s="1369">
        <v>0.02</v>
      </c>
      <c r="Y938" s="1367"/>
      <c r="Z938" s="1370">
        <v>0</v>
      </c>
      <c r="AA938" s="1370">
        <v>0</v>
      </c>
      <c r="AB938" s="1370">
        <v>0</v>
      </c>
      <c r="AC938" s="1370">
        <v>0</v>
      </c>
      <c r="AD938" s="1370">
        <v>0</v>
      </c>
      <c r="AK938" s="1354">
        <f t="shared" si="306"/>
        <v>0</v>
      </c>
      <c r="AL938" s="1352">
        <f>RANK(AM938,$AM$504:$AM$1172,0)</f>
        <v>53</v>
      </c>
      <c r="AM938" s="1354">
        <f t="shared" si="303"/>
        <v>0</v>
      </c>
      <c r="AN938" s="1352" t="str">
        <f t="shared" si="304"/>
        <v>Contingent Unclassified</v>
      </c>
    </row>
    <row r="939" spans="1:40" x14ac:dyDescent="0.2">
      <c r="B939" s="1373" t="s">
        <v>5631</v>
      </c>
      <c r="C939" s="1360">
        <f>SUM(C936:C938)</f>
        <v>0</v>
      </c>
      <c r="D939" s="1360">
        <f>SUM(D936:D938)</f>
        <v>0</v>
      </c>
      <c r="E939" s="1356">
        <f>IFERROR(D939/C939-1,0)</f>
        <v>0</v>
      </c>
      <c r="F939" s="1360">
        <f>SUM(F936:F938)</f>
        <v>0</v>
      </c>
      <c r="G939" s="1360">
        <f>SUM(G936:G938)</f>
        <v>0</v>
      </c>
      <c r="H939" s="1360">
        <f>SUM(H936:H938)</f>
        <v>0</v>
      </c>
      <c r="I939" s="1360">
        <f>SUM(I936:I938)</f>
        <v>0</v>
      </c>
      <c r="J939" s="1360">
        <f>SUM(J936:J938)</f>
        <v>0</v>
      </c>
      <c r="N939" s="1328"/>
      <c r="O939" s="1328"/>
      <c r="P939" s="1328"/>
      <c r="Q939" s="1328"/>
      <c r="R939" s="1328"/>
      <c r="T939" s="1371"/>
      <c r="U939" s="1371"/>
      <c r="V939" s="1371"/>
      <c r="W939" s="1371"/>
      <c r="X939" s="1371"/>
      <c r="Y939" s="1367"/>
      <c r="Z939" s="1372"/>
      <c r="AA939" s="1372"/>
      <c r="AB939" s="1372"/>
      <c r="AC939" s="1372"/>
      <c r="AD939" s="1372"/>
      <c r="AK939" s="1354"/>
      <c r="AL939" s="1352"/>
      <c r="AM939" s="1354"/>
      <c r="AN939" s="1352"/>
    </row>
    <row r="940" spans="1:40" x14ac:dyDescent="0.2">
      <c r="E940" s="1351"/>
      <c r="N940" s="1328"/>
      <c r="O940" s="1328"/>
      <c r="P940" s="1328"/>
      <c r="Q940" s="1328"/>
      <c r="R940" s="1328"/>
      <c r="T940" s="1371"/>
      <c r="U940" s="1371"/>
      <c r="V940" s="1371"/>
      <c r="W940" s="1371"/>
      <c r="X940" s="1371"/>
      <c r="Y940" s="1367"/>
      <c r="Z940" s="1372"/>
      <c r="AA940" s="1372"/>
      <c r="AB940" s="1372"/>
      <c r="AC940" s="1372"/>
      <c r="AD940" s="1372"/>
      <c r="AK940" s="1354"/>
      <c r="AL940" s="1352"/>
      <c r="AM940" s="1354"/>
      <c r="AN940" s="1352"/>
    </row>
    <row r="941" spans="1:40" ht="15" x14ac:dyDescent="0.25">
      <c r="A941" s="1364" t="s">
        <v>5450</v>
      </c>
      <c r="B941" s="1365"/>
      <c r="C941" s="1365"/>
      <c r="D941" s="1365"/>
      <c r="E941" s="1380"/>
      <c r="F941" s="1365"/>
      <c r="G941" s="1365"/>
      <c r="H941" s="1365"/>
      <c r="I941" s="1365"/>
      <c r="J941" s="1365"/>
      <c r="M941" s="1381" t="str">
        <f>A941</f>
        <v>Statutory Expenditures</v>
      </c>
      <c r="N941" s="1364"/>
      <c r="O941" s="1364"/>
      <c r="P941" s="1364"/>
      <c r="Q941" s="1364"/>
      <c r="R941" s="1364"/>
      <c r="S941" s="1365"/>
      <c r="T941" s="1389"/>
      <c r="U941" s="1389"/>
      <c r="V941" s="1389"/>
      <c r="W941" s="1389"/>
      <c r="X941" s="1389"/>
      <c r="Y941" s="1390"/>
      <c r="Z941" s="1391"/>
      <c r="AA941" s="1391"/>
      <c r="AB941" s="1391"/>
      <c r="AC941" s="1391"/>
      <c r="AD941" s="1391"/>
      <c r="AK941" s="1354"/>
      <c r="AL941" s="1352"/>
      <c r="AM941" s="1354"/>
      <c r="AN941" s="1352"/>
    </row>
    <row r="942" spans="1:40" x14ac:dyDescent="0.2">
      <c r="A942" s="1324" t="s">
        <v>536</v>
      </c>
      <c r="B942" s="1324" t="s">
        <v>5739</v>
      </c>
      <c r="C942" s="1353">
        <f>'Key Metrics'!$C$350</f>
        <v>0</v>
      </c>
      <c r="D942" s="1353">
        <f>'Key Metrics'!$G$350</f>
        <v>0</v>
      </c>
      <c r="E942" s="1351">
        <f t="shared" ref="E942:E963" si="313">IFERROR(D942/C942-1,0)</f>
        <v>0</v>
      </c>
      <c r="F942" s="1353">
        <f t="shared" ref="F942:F962" si="314">IFERROR(IF($I$3=1,D942*(1+N942),IF($I$3=2,D942*(1+T942),IF($I$3=3,Z942,"--"))),0)</f>
        <v>0</v>
      </c>
      <c r="G942" s="1353">
        <f t="shared" ref="G942:G962" si="315">IFERROR(IF($I$3=1,F942*(1+O942),IF($I$3=2,F942*(1+U942),IF($I$3=3,AA942,"--"))),0)</f>
        <v>0</v>
      </c>
      <c r="H942" s="1353">
        <f t="shared" ref="H942:H962" si="316">IFERROR(IF($I$3=1,G942*(1+P942),IF($I$3=2,G942*(1+V942),IF($I$3=3,AB942,"--"))),0)</f>
        <v>0</v>
      </c>
      <c r="I942" s="1353">
        <f t="shared" ref="I942:I962" si="317">IFERROR(IF($I$3=1,H942*(1+Q942),IF($I$3=2,H942*(1+W942),IF($I$3=3,AC942,"--"))),0)</f>
        <v>0</v>
      </c>
      <c r="J942" s="1353">
        <f t="shared" ref="J942:J962" si="318">IFERROR(IF($I$3=1,I942*(1+R942),IF($I$3=2,I942*(1+X942),IF($I$3=3,AD942,"--"))),0)</f>
        <v>0</v>
      </c>
      <c r="M942" s="1324" t="str">
        <f t="shared" ref="M942:M962" si="319">B942</f>
        <v>Public Employees Retirement System (PERS) Salaries &amp; Wages</v>
      </c>
      <c r="N942" s="1368">
        <f t="shared" ref="N942:N962" si="320">E942</f>
        <v>0</v>
      </c>
      <c r="O942" s="1368">
        <f t="shared" ref="O942:R957" si="321">N942</f>
        <v>0</v>
      </c>
      <c r="P942" s="1368">
        <f t="shared" si="321"/>
        <v>0</v>
      </c>
      <c r="Q942" s="1368">
        <f t="shared" si="321"/>
        <v>0</v>
      </c>
      <c r="R942" s="1368">
        <f t="shared" si="321"/>
        <v>0</v>
      </c>
      <c r="T942" s="1369">
        <v>5.3999999999999999E-2</v>
      </c>
      <c r="U942" s="1369">
        <v>5.3999999999999999E-2</v>
      </c>
      <c r="V942" s="1369">
        <v>5.3999999999999999E-2</v>
      </c>
      <c r="W942" s="1369">
        <v>5.3999999999999999E-2</v>
      </c>
      <c r="X942" s="1369">
        <v>5.3999999999999999E-2</v>
      </c>
      <c r="Y942" s="1369"/>
      <c r="Z942" s="1370">
        <v>0</v>
      </c>
      <c r="AA942" s="1370">
        <v>0</v>
      </c>
      <c r="AB942" s="1370">
        <v>0</v>
      </c>
      <c r="AC942" s="1370">
        <v>0</v>
      </c>
      <c r="AD942" s="1370">
        <v>0</v>
      </c>
      <c r="AK942" s="1354">
        <f t="shared" si="306"/>
        <v>0</v>
      </c>
      <c r="AL942" s="1352">
        <f t="shared" ref="AL942:AL962" si="322">RANK(AM942,$AM$504:$AM$1172,0)</f>
        <v>53</v>
      </c>
      <c r="AM942" s="1354">
        <f t="shared" si="303"/>
        <v>0</v>
      </c>
      <c r="AN942" s="1352" t="str">
        <f t="shared" si="304"/>
        <v>Public Employees Retirement System (PERS) Salaries &amp; Wages</v>
      </c>
    </row>
    <row r="943" spans="1:40" x14ac:dyDescent="0.2">
      <c r="A943" s="1324" t="str">
        <f>A942</f>
        <v>36-471</v>
      </c>
      <c r="B943" s="1324" t="s">
        <v>5983</v>
      </c>
      <c r="C943" s="1353">
        <f>'Key Metrics'!$D$350</f>
        <v>0</v>
      </c>
      <c r="D943" s="1353">
        <f>'Key Metrics'!$H$350</f>
        <v>0</v>
      </c>
      <c r="E943" s="1351">
        <f t="shared" si="313"/>
        <v>0</v>
      </c>
      <c r="F943" s="1353">
        <f t="shared" si="314"/>
        <v>0</v>
      </c>
      <c r="G943" s="1353">
        <f t="shared" si="315"/>
        <v>0</v>
      </c>
      <c r="H943" s="1353">
        <f t="shared" si="316"/>
        <v>0</v>
      </c>
      <c r="I943" s="1353">
        <f t="shared" si="317"/>
        <v>0</v>
      </c>
      <c r="J943" s="1353">
        <f t="shared" si="318"/>
        <v>0</v>
      </c>
      <c r="M943" s="1324" t="str">
        <f t="shared" si="319"/>
        <v>Public Employees Retirement System (PERS) Other Expenses</v>
      </c>
      <c r="N943" s="1368">
        <f t="shared" si="320"/>
        <v>0</v>
      </c>
      <c r="O943" s="1368">
        <f t="shared" si="321"/>
        <v>0</v>
      </c>
      <c r="P943" s="1368">
        <f t="shared" si="321"/>
        <v>0</v>
      </c>
      <c r="Q943" s="1368">
        <f t="shared" si="321"/>
        <v>0</v>
      </c>
      <c r="R943" s="1368">
        <f t="shared" si="321"/>
        <v>0</v>
      </c>
      <c r="T943" s="1369">
        <v>5.3999999999999999E-2</v>
      </c>
      <c r="U943" s="1369">
        <v>5.3999999999999999E-2</v>
      </c>
      <c r="V943" s="1369">
        <v>5.3999999999999999E-2</v>
      </c>
      <c r="W943" s="1369">
        <v>5.3999999999999999E-2</v>
      </c>
      <c r="X943" s="1369">
        <v>5.3999999999999999E-2</v>
      </c>
      <c r="Y943" s="1369"/>
      <c r="Z943" s="1370">
        <v>0</v>
      </c>
      <c r="AA943" s="1370">
        <v>0</v>
      </c>
      <c r="AB943" s="1370">
        <v>0</v>
      </c>
      <c r="AC943" s="1370">
        <v>0</v>
      </c>
      <c r="AD943" s="1370">
        <v>0</v>
      </c>
      <c r="AK943" s="1354">
        <f t="shared" si="306"/>
        <v>0</v>
      </c>
      <c r="AL943" s="1352">
        <f t="shared" si="322"/>
        <v>53</v>
      </c>
      <c r="AM943" s="1354">
        <f t="shared" si="303"/>
        <v>0</v>
      </c>
      <c r="AN943" s="1352" t="str">
        <f t="shared" si="304"/>
        <v>Public Employees Retirement System (PERS) Other Expenses</v>
      </c>
    </row>
    <row r="944" spans="1:40" x14ac:dyDescent="0.2">
      <c r="A944" s="1324" t="str">
        <f>A943</f>
        <v>36-471</v>
      </c>
      <c r="B944" s="1324" t="s">
        <v>5984</v>
      </c>
      <c r="C944" s="1353">
        <f>'Key Metrics'!$E$350</f>
        <v>1720</v>
      </c>
      <c r="D944" s="1353">
        <f>'Key Metrics'!$I$350</f>
        <v>1720</v>
      </c>
      <c r="E944" s="1351">
        <f t="shared" si="313"/>
        <v>0</v>
      </c>
      <c r="F944" s="1353">
        <f t="shared" si="314"/>
        <v>1812.88</v>
      </c>
      <c r="G944" s="1353">
        <f t="shared" si="315"/>
        <v>1910.7755200000001</v>
      </c>
      <c r="H944" s="1353">
        <f t="shared" si="316"/>
        <v>2013.9573980800003</v>
      </c>
      <c r="I944" s="1353">
        <f t="shared" si="317"/>
        <v>2122.7110975763203</v>
      </c>
      <c r="J944" s="1353">
        <f t="shared" si="318"/>
        <v>2237.3374968454418</v>
      </c>
      <c r="M944" s="1324" t="str">
        <f t="shared" si="319"/>
        <v>Public Employees Retirement System (PERS) Unclassified</v>
      </c>
      <c r="N944" s="1368">
        <f t="shared" si="320"/>
        <v>0</v>
      </c>
      <c r="O944" s="1368">
        <f t="shared" si="321"/>
        <v>0</v>
      </c>
      <c r="P944" s="1368">
        <f t="shared" si="321"/>
        <v>0</v>
      </c>
      <c r="Q944" s="1368">
        <f t="shared" si="321"/>
        <v>0</v>
      </c>
      <c r="R944" s="1368">
        <f t="shared" si="321"/>
        <v>0</v>
      </c>
      <c r="T944" s="1369">
        <v>5.3999999999999999E-2</v>
      </c>
      <c r="U944" s="1369">
        <v>5.3999999999999999E-2</v>
      </c>
      <c r="V944" s="1369">
        <v>5.3999999999999999E-2</v>
      </c>
      <c r="W944" s="1369">
        <v>5.3999999999999999E-2</v>
      </c>
      <c r="X944" s="1369">
        <v>5.3999999999999999E-2</v>
      </c>
      <c r="Y944" s="1369"/>
      <c r="Z944" s="1370">
        <v>0</v>
      </c>
      <c r="AA944" s="1370">
        <v>0</v>
      </c>
      <c r="AB944" s="1370">
        <v>0</v>
      </c>
      <c r="AC944" s="1370">
        <v>0</v>
      </c>
      <c r="AD944" s="1370">
        <v>0</v>
      </c>
      <c r="AK944" s="1354">
        <f t="shared" si="306"/>
        <v>13537.661512501763</v>
      </c>
      <c r="AL944" s="1352">
        <f t="shared" si="322"/>
        <v>26</v>
      </c>
      <c r="AM944" s="1354">
        <f t="shared" si="303"/>
        <v>517.33749684544182</v>
      </c>
      <c r="AN944" s="1352" t="str">
        <f t="shared" si="304"/>
        <v>Public Employees Retirement System (PERS) Unclassified</v>
      </c>
    </row>
    <row r="945" spans="1:40" x14ac:dyDescent="0.2">
      <c r="A945" s="1324" t="s">
        <v>537</v>
      </c>
      <c r="B945" s="1324" t="s">
        <v>5740</v>
      </c>
      <c r="C945" s="1353">
        <f>'Key Metrics'!$C$351</f>
        <v>0</v>
      </c>
      <c r="D945" s="1353">
        <f>'Key Metrics'!$G$351</f>
        <v>0</v>
      </c>
      <c r="E945" s="1351">
        <f t="shared" si="313"/>
        <v>0</v>
      </c>
      <c r="F945" s="1353">
        <f t="shared" si="314"/>
        <v>0</v>
      </c>
      <c r="G945" s="1353">
        <f t="shared" si="315"/>
        <v>0</v>
      </c>
      <c r="H945" s="1353">
        <f t="shared" si="316"/>
        <v>0</v>
      </c>
      <c r="I945" s="1353">
        <f t="shared" si="317"/>
        <v>0</v>
      </c>
      <c r="J945" s="1353">
        <f t="shared" si="318"/>
        <v>0</v>
      </c>
      <c r="M945" s="1324" t="str">
        <f t="shared" si="319"/>
        <v>Social Security Salaries &amp; Wages</v>
      </c>
      <c r="N945" s="1368">
        <f t="shared" si="320"/>
        <v>0</v>
      </c>
      <c r="O945" s="1368">
        <f t="shared" si="321"/>
        <v>0</v>
      </c>
      <c r="P945" s="1368">
        <f t="shared" si="321"/>
        <v>0</v>
      </c>
      <c r="Q945" s="1368">
        <f t="shared" si="321"/>
        <v>0</v>
      </c>
      <c r="R945" s="1368">
        <f t="shared" si="321"/>
        <v>0</v>
      </c>
      <c r="T945" s="1369">
        <v>0.02</v>
      </c>
      <c r="U945" s="1369">
        <v>0.02</v>
      </c>
      <c r="V945" s="1369">
        <v>0.02</v>
      </c>
      <c r="W945" s="1369">
        <v>0.02</v>
      </c>
      <c r="X945" s="1369">
        <v>0.02</v>
      </c>
      <c r="Y945" s="1367"/>
      <c r="Z945" s="1370">
        <v>0</v>
      </c>
      <c r="AA945" s="1370">
        <v>0</v>
      </c>
      <c r="AB945" s="1370">
        <v>0</v>
      </c>
      <c r="AC945" s="1370">
        <v>0</v>
      </c>
      <c r="AD945" s="1370">
        <v>0</v>
      </c>
      <c r="AK945" s="1354">
        <f t="shared" si="306"/>
        <v>0</v>
      </c>
      <c r="AL945" s="1352">
        <f t="shared" si="322"/>
        <v>53</v>
      </c>
      <c r="AM945" s="1354">
        <f t="shared" si="303"/>
        <v>0</v>
      </c>
      <c r="AN945" s="1352" t="str">
        <f t="shared" si="304"/>
        <v>Social Security Salaries &amp; Wages</v>
      </c>
    </row>
    <row r="946" spans="1:40" x14ac:dyDescent="0.2">
      <c r="A946" s="1324" t="str">
        <f>A945</f>
        <v>36-472</v>
      </c>
      <c r="B946" s="1324" t="s">
        <v>5985</v>
      </c>
      <c r="C946" s="1353">
        <f>'Key Metrics'!$D$351</f>
        <v>0</v>
      </c>
      <c r="D946" s="1353">
        <f>'Key Metrics'!$H$351</f>
        <v>0</v>
      </c>
      <c r="E946" s="1351">
        <f t="shared" si="313"/>
        <v>0</v>
      </c>
      <c r="F946" s="1353">
        <f t="shared" si="314"/>
        <v>0</v>
      </c>
      <c r="G946" s="1353">
        <f t="shared" si="315"/>
        <v>0</v>
      </c>
      <c r="H946" s="1353">
        <f t="shared" si="316"/>
        <v>0</v>
      </c>
      <c r="I946" s="1353">
        <f t="shared" si="317"/>
        <v>0</v>
      </c>
      <c r="J946" s="1353">
        <f t="shared" si="318"/>
        <v>0</v>
      </c>
      <c r="M946" s="1324" t="str">
        <f t="shared" si="319"/>
        <v>Social Security Other Expenses</v>
      </c>
      <c r="N946" s="1368">
        <f t="shared" si="320"/>
        <v>0</v>
      </c>
      <c r="O946" s="1368">
        <f t="shared" si="321"/>
        <v>0</v>
      </c>
      <c r="P946" s="1368">
        <f t="shared" si="321"/>
        <v>0</v>
      </c>
      <c r="Q946" s="1368">
        <f t="shared" si="321"/>
        <v>0</v>
      </c>
      <c r="R946" s="1368">
        <f t="shared" si="321"/>
        <v>0</v>
      </c>
      <c r="T946" s="1369">
        <v>0.02</v>
      </c>
      <c r="U946" s="1369">
        <v>0.02</v>
      </c>
      <c r="V946" s="1369">
        <v>0.02</v>
      </c>
      <c r="W946" s="1369">
        <v>0.02</v>
      </c>
      <c r="X946" s="1369">
        <v>0.02</v>
      </c>
      <c r="Y946" s="1367"/>
      <c r="Z946" s="1370">
        <v>0</v>
      </c>
      <c r="AA946" s="1370">
        <v>0</v>
      </c>
      <c r="AB946" s="1370">
        <v>0</v>
      </c>
      <c r="AC946" s="1370">
        <v>0</v>
      </c>
      <c r="AD946" s="1370">
        <v>0</v>
      </c>
      <c r="AK946" s="1354">
        <f t="shared" si="306"/>
        <v>0</v>
      </c>
      <c r="AL946" s="1352">
        <f t="shared" si="322"/>
        <v>53</v>
      </c>
      <c r="AM946" s="1354">
        <f t="shared" si="303"/>
        <v>0</v>
      </c>
      <c r="AN946" s="1352" t="str">
        <f t="shared" si="304"/>
        <v>Social Security Other Expenses</v>
      </c>
    </row>
    <row r="947" spans="1:40" x14ac:dyDescent="0.2">
      <c r="A947" s="1324" t="str">
        <f>A946</f>
        <v>36-472</v>
      </c>
      <c r="B947" s="1324" t="s">
        <v>5986</v>
      </c>
      <c r="C947" s="1353">
        <f>'Key Metrics'!$E$351</f>
        <v>3964.09</v>
      </c>
      <c r="D947" s="1353">
        <f>'Key Metrics'!$I$351</f>
        <v>4596.49</v>
      </c>
      <c r="E947" s="1351">
        <f t="shared" si="313"/>
        <v>0.1595322003284485</v>
      </c>
      <c r="F947" s="1353">
        <f t="shared" si="314"/>
        <v>4688.4197999999997</v>
      </c>
      <c r="G947" s="1353">
        <f t="shared" si="315"/>
        <v>4782.1881960000001</v>
      </c>
      <c r="H947" s="1353">
        <f t="shared" si="316"/>
        <v>4877.8319599200004</v>
      </c>
      <c r="I947" s="1353">
        <f t="shared" si="317"/>
        <v>4975.3885991184006</v>
      </c>
      <c r="J947" s="1353">
        <f t="shared" si="318"/>
        <v>5074.8963711007691</v>
      </c>
      <c r="M947" s="1324" t="str">
        <f t="shared" si="319"/>
        <v>Social Security Unclassified</v>
      </c>
      <c r="N947" s="1368">
        <f t="shared" si="320"/>
        <v>0.1595322003284485</v>
      </c>
      <c r="O947" s="1368">
        <f t="shared" si="321"/>
        <v>0.1595322003284485</v>
      </c>
      <c r="P947" s="1368">
        <f t="shared" si="321"/>
        <v>0.1595322003284485</v>
      </c>
      <c r="Q947" s="1368">
        <f t="shared" si="321"/>
        <v>0.1595322003284485</v>
      </c>
      <c r="R947" s="1368">
        <f t="shared" si="321"/>
        <v>0.1595322003284485</v>
      </c>
      <c r="T947" s="1369">
        <v>0.02</v>
      </c>
      <c r="U947" s="1369">
        <v>0.02</v>
      </c>
      <c r="V947" s="1369">
        <v>0.02</v>
      </c>
      <c r="W947" s="1369">
        <v>0.02</v>
      </c>
      <c r="X947" s="1369">
        <v>0.02</v>
      </c>
      <c r="Y947" s="1367"/>
      <c r="Z947" s="1370">
        <v>0</v>
      </c>
      <c r="AA947" s="1370">
        <v>0</v>
      </c>
      <c r="AB947" s="1370">
        <v>0</v>
      </c>
      <c r="AC947" s="1370">
        <v>0</v>
      </c>
      <c r="AD947" s="1370">
        <v>0</v>
      </c>
      <c r="AK947" s="1354">
        <f t="shared" si="306"/>
        <v>32959.304926139172</v>
      </c>
      <c r="AL947" s="1352">
        <f t="shared" si="322"/>
        <v>28</v>
      </c>
      <c r="AM947" s="1354">
        <f t="shared" si="303"/>
        <v>478.40637110076932</v>
      </c>
      <c r="AN947" s="1352" t="str">
        <f t="shared" si="304"/>
        <v>Social Security Unclassified</v>
      </c>
    </row>
    <row r="948" spans="1:40" x14ac:dyDescent="0.2">
      <c r="A948" s="1324" t="s">
        <v>5072</v>
      </c>
      <c r="B948" s="1324" t="s">
        <v>5741</v>
      </c>
      <c r="C948" s="1353">
        <f>'Key Metrics'!$C$352</f>
        <v>0</v>
      </c>
      <c r="D948" s="1353">
        <f>'Key Metrics'!$G$352</f>
        <v>0</v>
      </c>
      <c r="E948" s="1351">
        <f t="shared" si="313"/>
        <v>0</v>
      </c>
      <c r="F948" s="1353">
        <f t="shared" si="314"/>
        <v>0</v>
      </c>
      <c r="G948" s="1353">
        <f t="shared" si="315"/>
        <v>0</v>
      </c>
      <c r="H948" s="1353">
        <f t="shared" si="316"/>
        <v>0</v>
      </c>
      <c r="I948" s="1353">
        <f t="shared" si="317"/>
        <v>0</v>
      </c>
      <c r="J948" s="1353">
        <f t="shared" si="318"/>
        <v>0</v>
      </c>
      <c r="M948" s="1324" t="str">
        <f t="shared" si="319"/>
        <v>Other Statutory Expenditure Salaries &amp; Wages</v>
      </c>
      <c r="N948" s="1368">
        <f t="shared" si="320"/>
        <v>0</v>
      </c>
      <c r="O948" s="1368">
        <f t="shared" si="321"/>
        <v>0</v>
      </c>
      <c r="P948" s="1368">
        <f t="shared" si="321"/>
        <v>0</v>
      </c>
      <c r="Q948" s="1368">
        <f t="shared" si="321"/>
        <v>0</v>
      </c>
      <c r="R948" s="1368">
        <f t="shared" si="321"/>
        <v>0</v>
      </c>
      <c r="T948" s="1369">
        <v>0.02</v>
      </c>
      <c r="U948" s="1369">
        <v>0.02</v>
      </c>
      <c r="V948" s="1369">
        <v>0.02</v>
      </c>
      <c r="W948" s="1369">
        <v>0.02</v>
      </c>
      <c r="X948" s="1369">
        <v>0.02</v>
      </c>
      <c r="Y948" s="1367"/>
      <c r="Z948" s="1370">
        <v>0</v>
      </c>
      <c r="AA948" s="1370">
        <v>0</v>
      </c>
      <c r="AB948" s="1370">
        <v>0</v>
      </c>
      <c r="AC948" s="1370">
        <v>0</v>
      </c>
      <c r="AD948" s="1370">
        <v>0</v>
      </c>
      <c r="AK948" s="1354">
        <f t="shared" si="306"/>
        <v>0</v>
      </c>
      <c r="AL948" s="1352">
        <f t="shared" si="322"/>
        <v>53</v>
      </c>
      <c r="AM948" s="1354">
        <f t="shared" si="303"/>
        <v>0</v>
      </c>
      <c r="AN948" s="1352" t="str">
        <f t="shared" si="304"/>
        <v>Other Statutory Expenditure Salaries &amp; Wages</v>
      </c>
    </row>
    <row r="949" spans="1:40" x14ac:dyDescent="0.2">
      <c r="A949" s="1324" t="str">
        <f>A948</f>
        <v>36-473</v>
      </c>
      <c r="B949" s="1324" t="s">
        <v>5987</v>
      </c>
      <c r="C949" s="1353">
        <f>'Key Metrics'!$D$352</f>
        <v>0</v>
      </c>
      <c r="D949" s="1353">
        <f>'Key Metrics'!$H$352</f>
        <v>0</v>
      </c>
      <c r="E949" s="1351">
        <f t="shared" si="313"/>
        <v>0</v>
      </c>
      <c r="F949" s="1353">
        <f t="shared" si="314"/>
        <v>0</v>
      </c>
      <c r="G949" s="1353">
        <f t="shared" si="315"/>
        <v>0</v>
      </c>
      <c r="H949" s="1353">
        <f t="shared" si="316"/>
        <v>0</v>
      </c>
      <c r="I949" s="1353">
        <f t="shared" si="317"/>
        <v>0</v>
      </c>
      <c r="J949" s="1353">
        <f t="shared" si="318"/>
        <v>0</v>
      </c>
      <c r="M949" s="1324" t="str">
        <f t="shared" si="319"/>
        <v>Other Statutory Expenditure Other Expenses</v>
      </c>
      <c r="N949" s="1368">
        <f t="shared" si="320"/>
        <v>0</v>
      </c>
      <c r="O949" s="1368">
        <f t="shared" si="321"/>
        <v>0</v>
      </c>
      <c r="P949" s="1368">
        <f t="shared" si="321"/>
        <v>0</v>
      </c>
      <c r="Q949" s="1368">
        <f t="shared" si="321"/>
        <v>0</v>
      </c>
      <c r="R949" s="1368">
        <f t="shared" si="321"/>
        <v>0</v>
      </c>
      <c r="T949" s="1369">
        <v>0.02</v>
      </c>
      <c r="U949" s="1369">
        <v>0.02</v>
      </c>
      <c r="V949" s="1369">
        <v>0.02</v>
      </c>
      <c r="W949" s="1369">
        <v>0.02</v>
      </c>
      <c r="X949" s="1369">
        <v>0.02</v>
      </c>
      <c r="Y949" s="1367"/>
      <c r="Z949" s="1370">
        <v>0</v>
      </c>
      <c r="AA949" s="1370">
        <v>0</v>
      </c>
      <c r="AB949" s="1370">
        <v>0</v>
      </c>
      <c r="AC949" s="1370">
        <v>0</v>
      </c>
      <c r="AD949" s="1370">
        <v>0</v>
      </c>
      <c r="AK949" s="1354">
        <f t="shared" si="306"/>
        <v>0</v>
      </c>
      <c r="AL949" s="1352">
        <f t="shared" si="322"/>
        <v>53</v>
      </c>
      <c r="AM949" s="1354">
        <f t="shared" si="303"/>
        <v>0</v>
      </c>
      <c r="AN949" s="1352" t="str">
        <f t="shared" si="304"/>
        <v>Other Statutory Expenditure Other Expenses</v>
      </c>
    </row>
    <row r="950" spans="1:40" x14ac:dyDescent="0.2">
      <c r="A950" s="1324" t="str">
        <f>A949</f>
        <v>36-473</v>
      </c>
      <c r="B950" s="1324" t="s">
        <v>5988</v>
      </c>
      <c r="C950" s="1353">
        <f>'Key Metrics'!$E$352</f>
        <v>0</v>
      </c>
      <c r="D950" s="1353">
        <f>'Key Metrics'!$I$352</f>
        <v>0</v>
      </c>
      <c r="E950" s="1351">
        <f t="shared" si="313"/>
        <v>0</v>
      </c>
      <c r="F950" s="1353">
        <f t="shared" si="314"/>
        <v>0</v>
      </c>
      <c r="G950" s="1353">
        <f t="shared" si="315"/>
        <v>0</v>
      </c>
      <c r="H950" s="1353">
        <f t="shared" si="316"/>
        <v>0</v>
      </c>
      <c r="I950" s="1353">
        <f t="shared" si="317"/>
        <v>0</v>
      </c>
      <c r="J950" s="1353">
        <f t="shared" si="318"/>
        <v>0</v>
      </c>
      <c r="M950" s="1324" t="str">
        <f t="shared" si="319"/>
        <v>Other Statutory Expenditure Unclassified</v>
      </c>
      <c r="N950" s="1368">
        <f t="shared" si="320"/>
        <v>0</v>
      </c>
      <c r="O950" s="1368">
        <f t="shared" si="321"/>
        <v>0</v>
      </c>
      <c r="P950" s="1368">
        <f t="shared" si="321"/>
        <v>0</v>
      </c>
      <c r="Q950" s="1368">
        <f t="shared" si="321"/>
        <v>0</v>
      </c>
      <c r="R950" s="1368">
        <f t="shared" si="321"/>
        <v>0</v>
      </c>
      <c r="T950" s="1369">
        <v>0.02</v>
      </c>
      <c r="U950" s="1369">
        <v>0.02</v>
      </c>
      <c r="V950" s="1369">
        <v>0.02</v>
      </c>
      <c r="W950" s="1369">
        <v>0.02</v>
      </c>
      <c r="X950" s="1369">
        <v>0.02</v>
      </c>
      <c r="Y950" s="1367"/>
      <c r="Z950" s="1370">
        <v>0</v>
      </c>
      <c r="AA950" s="1370">
        <v>0</v>
      </c>
      <c r="AB950" s="1370">
        <v>0</v>
      </c>
      <c r="AC950" s="1370">
        <v>0</v>
      </c>
      <c r="AD950" s="1370">
        <v>0</v>
      </c>
      <c r="AK950" s="1354">
        <f t="shared" si="306"/>
        <v>0</v>
      </c>
      <c r="AL950" s="1352">
        <f t="shared" si="322"/>
        <v>53</v>
      </c>
      <c r="AM950" s="1354">
        <f t="shared" si="303"/>
        <v>0</v>
      </c>
      <c r="AN950" s="1352" t="str">
        <f t="shared" si="304"/>
        <v>Other Statutory Expenditure Unclassified</v>
      </c>
    </row>
    <row r="951" spans="1:40" x14ac:dyDescent="0.2">
      <c r="A951" s="1324" t="s">
        <v>538</v>
      </c>
      <c r="B951" s="1324" t="s">
        <v>5742</v>
      </c>
      <c r="C951" s="1353">
        <f>'Key Metrics'!$C$353</f>
        <v>0</v>
      </c>
      <c r="D951" s="1353">
        <f>'Key Metrics'!$G$353</f>
        <v>0</v>
      </c>
      <c r="E951" s="1351">
        <f t="shared" si="313"/>
        <v>0</v>
      </c>
      <c r="F951" s="1353">
        <f t="shared" si="314"/>
        <v>0</v>
      </c>
      <c r="G951" s="1353">
        <f t="shared" si="315"/>
        <v>0</v>
      </c>
      <c r="H951" s="1353">
        <f t="shared" si="316"/>
        <v>0</v>
      </c>
      <c r="I951" s="1353">
        <f t="shared" si="317"/>
        <v>0</v>
      </c>
      <c r="J951" s="1353">
        <f t="shared" si="318"/>
        <v>0</v>
      </c>
      <c r="M951" s="1324" t="str">
        <f t="shared" si="319"/>
        <v>Consolidated Police and Fire Retirement System Salaries &amp; Wages</v>
      </c>
      <c r="N951" s="1368">
        <f t="shared" si="320"/>
        <v>0</v>
      </c>
      <c r="O951" s="1368">
        <f t="shared" si="321"/>
        <v>0</v>
      </c>
      <c r="P951" s="1368">
        <f t="shared" si="321"/>
        <v>0</v>
      </c>
      <c r="Q951" s="1368">
        <f t="shared" si="321"/>
        <v>0</v>
      </c>
      <c r="R951" s="1368">
        <f t="shared" si="321"/>
        <v>0</v>
      </c>
      <c r="T951" s="1369">
        <v>5.3999999999999999E-2</v>
      </c>
      <c r="U951" s="1369">
        <v>5.3999999999999999E-2</v>
      </c>
      <c r="V951" s="1369">
        <v>5.3999999999999999E-2</v>
      </c>
      <c r="W951" s="1369">
        <v>5.3999999999999999E-2</v>
      </c>
      <c r="X951" s="1369">
        <v>5.3999999999999999E-2</v>
      </c>
      <c r="Y951" s="1367"/>
      <c r="Z951" s="1370">
        <v>0</v>
      </c>
      <c r="AA951" s="1370">
        <v>0</v>
      </c>
      <c r="AB951" s="1370">
        <v>0</v>
      </c>
      <c r="AC951" s="1370">
        <v>0</v>
      </c>
      <c r="AD951" s="1370">
        <v>0</v>
      </c>
      <c r="AK951" s="1354">
        <f t="shared" si="306"/>
        <v>0</v>
      </c>
      <c r="AL951" s="1352">
        <f t="shared" si="322"/>
        <v>53</v>
      </c>
      <c r="AM951" s="1354">
        <f t="shared" si="303"/>
        <v>0</v>
      </c>
      <c r="AN951" s="1352" t="str">
        <f t="shared" si="304"/>
        <v>Consolidated Police and Fire Retirement System Salaries &amp; Wages</v>
      </c>
    </row>
    <row r="952" spans="1:40" x14ac:dyDescent="0.2">
      <c r="A952" s="1324" t="str">
        <f>A951</f>
        <v>36-474</v>
      </c>
      <c r="B952" s="1324" t="s">
        <v>5989</v>
      </c>
      <c r="C952" s="1353">
        <f>'Key Metrics'!$D$353</f>
        <v>0</v>
      </c>
      <c r="D952" s="1353">
        <f>'Key Metrics'!$H$353</f>
        <v>0</v>
      </c>
      <c r="E952" s="1351">
        <f t="shared" si="313"/>
        <v>0</v>
      </c>
      <c r="F952" s="1353">
        <f t="shared" si="314"/>
        <v>0</v>
      </c>
      <c r="G952" s="1353">
        <f t="shared" si="315"/>
        <v>0</v>
      </c>
      <c r="H952" s="1353">
        <f t="shared" si="316"/>
        <v>0</v>
      </c>
      <c r="I952" s="1353">
        <f t="shared" si="317"/>
        <v>0</v>
      </c>
      <c r="J952" s="1353">
        <f t="shared" si="318"/>
        <v>0</v>
      </c>
      <c r="M952" s="1324" t="str">
        <f t="shared" si="319"/>
        <v>Consolidated Police and Fire Retirement System Other Expenses</v>
      </c>
      <c r="N952" s="1368">
        <f t="shared" si="320"/>
        <v>0</v>
      </c>
      <c r="O952" s="1368">
        <f t="shared" si="321"/>
        <v>0</v>
      </c>
      <c r="P952" s="1368">
        <f t="shared" si="321"/>
        <v>0</v>
      </c>
      <c r="Q952" s="1368">
        <f t="shared" si="321"/>
        <v>0</v>
      </c>
      <c r="R952" s="1368">
        <f t="shared" si="321"/>
        <v>0</v>
      </c>
      <c r="T952" s="1369">
        <v>5.3999999999999999E-2</v>
      </c>
      <c r="U952" s="1369">
        <v>5.3999999999999999E-2</v>
      </c>
      <c r="V952" s="1369">
        <v>5.3999999999999999E-2</v>
      </c>
      <c r="W952" s="1369">
        <v>5.3999999999999999E-2</v>
      </c>
      <c r="X952" s="1369">
        <v>5.3999999999999999E-2</v>
      </c>
      <c r="Y952" s="1367"/>
      <c r="Z952" s="1370">
        <v>0</v>
      </c>
      <c r="AA952" s="1370">
        <v>0</v>
      </c>
      <c r="AB952" s="1370">
        <v>0</v>
      </c>
      <c r="AC952" s="1370">
        <v>0</v>
      </c>
      <c r="AD952" s="1370">
        <v>0</v>
      </c>
      <c r="AK952" s="1354">
        <f t="shared" si="306"/>
        <v>0</v>
      </c>
      <c r="AL952" s="1352">
        <f t="shared" si="322"/>
        <v>53</v>
      </c>
      <c r="AM952" s="1354">
        <f t="shared" si="303"/>
        <v>0</v>
      </c>
      <c r="AN952" s="1352" t="str">
        <f t="shared" si="304"/>
        <v>Consolidated Police and Fire Retirement System Other Expenses</v>
      </c>
    </row>
    <row r="953" spans="1:40" x14ac:dyDescent="0.2">
      <c r="A953" s="1324" t="str">
        <f>A952</f>
        <v>36-474</v>
      </c>
      <c r="B953" s="1324" t="s">
        <v>5990</v>
      </c>
      <c r="C953" s="1353">
        <f>'Key Metrics'!$E$353</f>
        <v>0</v>
      </c>
      <c r="D953" s="1353">
        <f>'Key Metrics'!$I$353</f>
        <v>0</v>
      </c>
      <c r="E953" s="1351">
        <f t="shared" si="313"/>
        <v>0</v>
      </c>
      <c r="F953" s="1353">
        <f t="shared" si="314"/>
        <v>0</v>
      </c>
      <c r="G953" s="1353">
        <f t="shared" si="315"/>
        <v>0</v>
      </c>
      <c r="H953" s="1353">
        <f t="shared" si="316"/>
        <v>0</v>
      </c>
      <c r="I953" s="1353">
        <f t="shared" si="317"/>
        <v>0</v>
      </c>
      <c r="J953" s="1353">
        <f t="shared" si="318"/>
        <v>0</v>
      </c>
      <c r="M953" s="1324" t="str">
        <f t="shared" si="319"/>
        <v>Consolidated Police and Fire Retirement System Unclassified</v>
      </c>
      <c r="N953" s="1368">
        <f t="shared" si="320"/>
        <v>0</v>
      </c>
      <c r="O953" s="1368">
        <f t="shared" si="321"/>
        <v>0</v>
      </c>
      <c r="P953" s="1368">
        <f t="shared" si="321"/>
        <v>0</v>
      </c>
      <c r="Q953" s="1368">
        <f t="shared" si="321"/>
        <v>0</v>
      </c>
      <c r="R953" s="1368">
        <f t="shared" si="321"/>
        <v>0</v>
      </c>
      <c r="T953" s="1369">
        <v>5.3999999999999999E-2</v>
      </c>
      <c r="U953" s="1369">
        <v>5.3999999999999999E-2</v>
      </c>
      <c r="V953" s="1369">
        <v>5.3999999999999999E-2</v>
      </c>
      <c r="W953" s="1369">
        <v>5.3999999999999999E-2</v>
      </c>
      <c r="X953" s="1369">
        <v>5.3999999999999999E-2</v>
      </c>
      <c r="Y953" s="1367"/>
      <c r="Z953" s="1370">
        <v>0</v>
      </c>
      <c r="AA953" s="1370">
        <v>0</v>
      </c>
      <c r="AB953" s="1370">
        <v>0</v>
      </c>
      <c r="AC953" s="1370">
        <v>0</v>
      </c>
      <c r="AD953" s="1370">
        <v>0</v>
      </c>
      <c r="AK953" s="1354">
        <f t="shared" si="306"/>
        <v>0</v>
      </c>
      <c r="AL953" s="1352">
        <f t="shared" si="322"/>
        <v>53</v>
      </c>
      <c r="AM953" s="1354">
        <f t="shared" si="303"/>
        <v>0</v>
      </c>
      <c r="AN953" s="1352" t="str">
        <f t="shared" si="304"/>
        <v>Consolidated Police and Fire Retirement System Unclassified</v>
      </c>
    </row>
    <row r="954" spans="1:40" x14ac:dyDescent="0.2">
      <c r="A954" s="1324" t="s">
        <v>539</v>
      </c>
      <c r="B954" s="1324" t="s">
        <v>5743</v>
      </c>
      <c r="C954" s="1353">
        <f>'Key Metrics'!$C$354</f>
        <v>0</v>
      </c>
      <c r="D954" s="1353">
        <f>'Key Metrics'!$G$354</f>
        <v>0</v>
      </c>
      <c r="E954" s="1351">
        <f t="shared" si="313"/>
        <v>0</v>
      </c>
      <c r="F954" s="1353">
        <f t="shared" si="314"/>
        <v>0</v>
      </c>
      <c r="G954" s="1353">
        <f t="shared" si="315"/>
        <v>0</v>
      </c>
      <c r="H954" s="1353">
        <f t="shared" si="316"/>
        <v>0</v>
      </c>
      <c r="I954" s="1353">
        <f t="shared" si="317"/>
        <v>0</v>
      </c>
      <c r="J954" s="1353">
        <f t="shared" si="318"/>
        <v>0</v>
      </c>
      <c r="M954" s="1324" t="str">
        <f t="shared" si="319"/>
        <v>Police and Firemen's Retirement System Salaries &amp; Wages</v>
      </c>
      <c r="N954" s="1368">
        <f t="shared" si="320"/>
        <v>0</v>
      </c>
      <c r="O954" s="1368">
        <f t="shared" si="321"/>
        <v>0</v>
      </c>
      <c r="P954" s="1368">
        <f t="shared" si="321"/>
        <v>0</v>
      </c>
      <c r="Q954" s="1368">
        <f t="shared" si="321"/>
        <v>0</v>
      </c>
      <c r="R954" s="1368">
        <f t="shared" si="321"/>
        <v>0</v>
      </c>
      <c r="T954" s="1369">
        <v>5.3999999999999999E-2</v>
      </c>
      <c r="U954" s="1369">
        <v>5.3999999999999999E-2</v>
      </c>
      <c r="V954" s="1369">
        <v>5.3999999999999999E-2</v>
      </c>
      <c r="W954" s="1369">
        <v>5.3999999999999999E-2</v>
      </c>
      <c r="X954" s="1369">
        <v>5.3999999999999999E-2</v>
      </c>
      <c r="Y954" s="1367"/>
      <c r="Z954" s="1370">
        <v>0</v>
      </c>
      <c r="AA954" s="1370">
        <v>0</v>
      </c>
      <c r="AB954" s="1370">
        <v>0</v>
      </c>
      <c r="AC954" s="1370">
        <v>0</v>
      </c>
      <c r="AD954" s="1370">
        <v>0</v>
      </c>
      <c r="AK954" s="1354">
        <f t="shared" si="306"/>
        <v>0</v>
      </c>
      <c r="AL954" s="1352">
        <f t="shared" si="322"/>
        <v>53</v>
      </c>
      <c r="AM954" s="1354">
        <f t="shared" si="303"/>
        <v>0</v>
      </c>
      <c r="AN954" s="1352" t="str">
        <f t="shared" si="304"/>
        <v>Police and Firemen's Retirement System Salaries &amp; Wages</v>
      </c>
    </row>
    <row r="955" spans="1:40" x14ac:dyDescent="0.2">
      <c r="A955" s="1324" t="str">
        <f>A954</f>
        <v>36-475</v>
      </c>
      <c r="B955" s="1324" t="s">
        <v>5991</v>
      </c>
      <c r="C955" s="1353">
        <f>'Key Metrics'!$D$354</f>
        <v>0</v>
      </c>
      <c r="D955" s="1353">
        <f>'Key Metrics'!$H$354</f>
        <v>0</v>
      </c>
      <c r="E955" s="1351">
        <f t="shared" si="313"/>
        <v>0</v>
      </c>
      <c r="F955" s="1353">
        <f t="shared" si="314"/>
        <v>0</v>
      </c>
      <c r="G955" s="1353">
        <f t="shared" si="315"/>
        <v>0</v>
      </c>
      <c r="H955" s="1353">
        <f t="shared" si="316"/>
        <v>0</v>
      </c>
      <c r="I955" s="1353">
        <f t="shared" si="317"/>
        <v>0</v>
      </c>
      <c r="J955" s="1353">
        <f t="shared" si="318"/>
        <v>0</v>
      </c>
      <c r="M955" s="1324" t="str">
        <f t="shared" si="319"/>
        <v>Police and Firemen's Retirement System Other Expenses</v>
      </c>
      <c r="N955" s="1368">
        <f t="shared" si="320"/>
        <v>0</v>
      </c>
      <c r="O955" s="1368">
        <f t="shared" si="321"/>
        <v>0</v>
      </c>
      <c r="P955" s="1368">
        <f t="shared" si="321"/>
        <v>0</v>
      </c>
      <c r="Q955" s="1368">
        <f t="shared" si="321"/>
        <v>0</v>
      </c>
      <c r="R955" s="1368">
        <f t="shared" si="321"/>
        <v>0</v>
      </c>
      <c r="T955" s="1369">
        <v>5.3999999999999999E-2</v>
      </c>
      <c r="U955" s="1369">
        <v>5.3999999999999999E-2</v>
      </c>
      <c r="V955" s="1369">
        <v>5.3999999999999999E-2</v>
      </c>
      <c r="W955" s="1369">
        <v>5.3999999999999999E-2</v>
      </c>
      <c r="X955" s="1369">
        <v>5.3999999999999999E-2</v>
      </c>
      <c r="Y955" s="1367"/>
      <c r="Z955" s="1370">
        <v>0</v>
      </c>
      <c r="AA955" s="1370">
        <v>0</v>
      </c>
      <c r="AB955" s="1370">
        <v>0</v>
      </c>
      <c r="AC955" s="1370">
        <v>0</v>
      </c>
      <c r="AD955" s="1370">
        <v>0</v>
      </c>
      <c r="AK955" s="1354">
        <f t="shared" si="306"/>
        <v>0</v>
      </c>
      <c r="AL955" s="1352">
        <f t="shared" si="322"/>
        <v>53</v>
      </c>
      <c r="AM955" s="1354">
        <f t="shared" ref="AM955:AM1018" si="323">J955-D955</f>
        <v>0</v>
      </c>
      <c r="AN955" s="1352" t="str">
        <f t="shared" ref="AN955:AN1018" si="324">B955</f>
        <v>Police and Firemen's Retirement System Other Expenses</v>
      </c>
    </row>
    <row r="956" spans="1:40" x14ac:dyDescent="0.2">
      <c r="A956" s="1324" t="str">
        <f>A955</f>
        <v>36-475</v>
      </c>
      <c r="B956" s="1324" t="s">
        <v>5992</v>
      </c>
      <c r="C956" s="1353">
        <f>'Key Metrics'!$E$354</f>
        <v>0</v>
      </c>
      <c r="D956" s="1353">
        <f>'Key Metrics'!$I$354</f>
        <v>0</v>
      </c>
      <c r="E956" s="1351">
        <f t="shared" si="313"/>
        <v>0</v>
      </c>
      <c r="F956" s="1353">
        <f t="shared" si="314"/>
        <v>0</v>
      </c>
      <c r="G956" s="1353">
        <f t="shared" si="315"/>
        <v>0</v>
      </c>
      <c r="H956" s="1353">
        <f t="shared" si="316"/>
        <v>0</v>
      </c>
      <c r="I956" s="1353">
        <f t="shared" si="317"/>
        <v>0</v>
      </c>
      <c r="J956" s="1353">
        <f t="shared" si="318"/>
        <v>0</v>
      </c>
      <c r="M956" s="1324" t="str">
        <f t="shared" si="319"/>
        <v>Police and Firemen's Retirement System Unclassified</v>
      </c>
      <c r="N956" s="1368">
        <f t="shared" si="320"/>
        <v>0</v>
      </c>
      <c r="O956" s="1368">
        <f t="shared" si="321"/>
        <v>0</v>
      </c>
      <c r="P956" s="1368">
        <f t="shared" si="321"/>
        <v>0</v>
      </c>
      <c r="Q956" s="1368">
        <f t="shared" si="321"/>
        <v>0</v>
      </c>
      <c r="R956" s="1368">
        <f t="shared" si="321"/>
        <v>0</v>
      </c>
      <c r="T956" s="1369">
        <v>5.3999999999999999E-2</v>
      </c>
      <c r="U956" s="1369">
        <v>5.3999999999999999E-2</v>
      </c>
      <c r="V956" s="1369">
        <v>5.3999999999999999E-2</v>
      </c>
      <c r="W956" s="1369">
        <v>5.3999999999999999E-2</v>
      </c>
      <c r="X956" s="1369">
        <v>5.3999999999999999E-2</v>
      </c>
      <c r="Y956" s="1367"/>
      <c r="Z956" s="1370">
        <v>0</v>
      </c>
      <c r="AA956" s="1370">
        <v>0</v>
      </c>
      <c r="AB956" s="1370">
        <v>0</v>
      </c>
      <c r="AC956" s="1370">
        <v>0</v>
      </c>
      <c r="AD956" s="1370">
        <v>0</v>
      </c>
      <c r="AK956" s="1354">
        <f t="shared" si="306"/>
        <v>0</v>
      </c>
      <c r="AL956" s="1352">
        <f t="shared" si="322"/>
        <v>53</v>
      </c>
      <c r="AM956" s="1354">
        <f t="shared" si="323"/>
        <v>0</v>
      </c>
      <c r="AN956" s="1352" t="str">
        <f t="shared" si="324"/>
        <v>Police and Firemen's Retirement System Unclassified</v>
      </c>
    </row>
    <row r="957" spans="1:40" x14ac:dyDescent="0.2">
      <c r="A957" s="1324" t="s">
        <v>5079</v>
      </c>
      <c r="B957" s="1324" t="s">
        <v>5744</v>
      </c>
      <c r="C957" s="1353">
        <f>'Key Metrics'!$C$355</f>
        <v>0</v>
      </c>
      <c r="D957" s="1353">
        <f>'Key Metrics'!$G$355</f>
        <v>0</v>
      </c>
      <c r="E957" s="1351">
        <f t="shared" si="313"/>
        <v>0</v>
      </c>
      <c r="F957" s="1353">
        <f t="shared" si="314"/>
        <v>0</v>
      </c>
      <c r="G957" s="1353">
        <f t="shared" si="315"/>
        <v>0</v>
      </c>
      <c r="H957" s="1353">
        <f t="shared" si="316"/>
        <v>0</v>
      </c>
      <c r="I957" s="1353">
        <f t="shared" si="317"/>
        <v>0</v>
      </c>
      <c r="J957" s="1353">
        <f t="shared" si="318"/>
        <v>0</v>
      </c>
      <c r="M957" s="1324" t="str">
        <f t="shared" si="319"/>
        <v>Other Pension Salaries &amp; Wages</v>
      </c>
      <c r="N957" s="1368">
        <f t="shared" si="320"/>
        <v>0</v>
      </c>
      <c r="O957" s="1368">
        <f t="shared" si="321"/>
        <v>0</v>
      </c>
      <c r="P957" s="1368">
        <f t="shared" si="321"/>
        <v>0</v>
      </c>
      <c r="Q957" s="1368">
        <f t="shared" si="321"/>
        <v>0</v>
      </c>
      <c r="R957" s="1368">
        <f t="shared" si="321"/>
        <v>0</v>
      </c>
      <c r="T957" s="1369">
        <v>5.3999999999999999E-2</v>
      </c>
      <c r="U957" s="1369">
        <v>5.3999999999999999E-2</v>
      </c>
      <c r="V957" s="1369">
        <v>5.3999999999999999E-2</v>
      </c>
      <c r="W957" s="1369">
        <v>5.3999999999999999E-2</v>
      </c>
      <c r="X957" s="1369">
        <v>5.3999999999999999E-2</v>
      </c>
      <c r="Y957" s="1367"/>
      <c r="Z957" s="1370">
        <v>0</v>
      </c>
      <c r="AA957" s="1370">
        <v>0</v>
      </c>
      <c r="AB957" s="1370">
        <v>0</v>
      </c>
      <c r="AC957" s="1370">
        <v>0</v>
      </c>
      <c r="AD957" s="1370">
        <v>0</v>
      </c>
      <c r="AK957" s="1354">
        <f t="shared" si="306"/>
        <v>0</v>
      </c>
      <c r="AL957" s="1352">
        <f t="shared" si="322"/>
        <v>53</v>
      </c>
      <c r="AM957" s="1354">
        <f t="shared" si="323"/>
        <v>0</v>
      </c>
      <c r="AN957" s="1352" t="str">
        <f t="shared" si="324"/>
        <v>Other Pension Salaries &amp; Wages</v>
      </c>
    </row>
    <row r="958" spans="1:40" x14ac:dyDescent="0.2">
      <c r="A958" s="1324" t="str">
        <f>A957</f>
        <v>36-476</v>
      </c>
      <c r="B958" s="1324" t="s">
        <v>5993</v>
      </c>
      <c r="C958" s="1353">
        <f>'Key Metrics'!$D$355</f>
        <v>0</v>
      </c>
      <c r="D958" s="1353">
        <f>'Key Metrics'!$H$355</f>
        <v>0</v>
      </c>
      <c r="E958" s="1351">
        <f t="shared" si="313"/>
        <v>0</v>
      </c>
      <c r="F958" s="1353">
        <f t="shared" si="314"/>
        <v>0</v>
      </c>
      <c r="G958" s="1353">
        <f t="shared" si="315"/>
        <v>0</v>
      </c>
      <c r="H958" s="1353">
        <f t="shared" si="316"/>
        <v>0</v>
      </c>
      <c r="I958" s="1353">
        <f t="shared" si="317"/>
        <v>0</v>
      </c>
      <c r="J958" s="1353">
        <f t="shared" si="318"/>
        <v>0</v>
      </c>
      <c r="M958" s="1324" t="str">
        <f t="shared" si="319"/>
        <v>Other Pension Other Expenses</v>
      </c>
      <c r="N958" s="1368">
        <f t="shared" si="320"/>
        <v>0</v>
      </c>
      <c r="O958" s="1368">
        <f t="shared" ref="O958:R962" si="325">N958</f>
        <v>0</v>
      </c>
      <c r="P958" s="1368">
        <f t="shared" si="325"/>
        <v>0</v>
      </c>
      <c r="Q958" s="1368">
        <f t="shared" si="325"/>
        <v>0</v>
      </c>
      <c r="R958" s="1368">
        <f t="shared" si="325"/>
        <v>0</v>
      </c>
      <c r="T958" s="1369">
        <v>5.3999999999999999E-2</v>
      </c>
      <c r="U958" s="1369">
        <v>5.3999999999999999E-2</v>
      </c>
      <c r="V958" s="1369">
        <v>5.3999999999999999E-2</v>
      </c>
      <c r="W958" s="1369">
        <v>5.3999999999999999E-2</v>
      </c>
      <c r="X958" s="1369">
        <v>5.3999999999999999E-2</v>
      </c>
      <c r="Y958" s="1367"/>
      <c r="Z958" s="1370">
        <v>0</v>
      </c>
      <c r="AA958" s="1370">
        <v>0</v>
      </c>
      <c r="AB958" s="1370">
        <v>0</v>
      </c>
      <c r="AC958" s="1370">
        <v>0</v>
      </c>
      <c r="AD958" s="1370">
        <v>0</v>
      </c>
      <c r="AK958" s="1354">
        <f t="shared" si="306"/>
        <v>0</v>
      </c>
      <c r="AL958" s="1352">
        <f t="shared" si="322"/>
        <v>53</v>
      </c>
      <c r="AM958" s="1354">
        <f t="shared" si="323"/>
        <v>0</v>
      </c>
      <c r="AN958" s="1352" t="str">
        <f t="shared" si="324"/>
        <v>Other Pension Other Expenses</v>
      </c>
    </row>
    <row r="959" spans="1:40" x14ac:dyDescent="0.2">
      <c r="A959" s="1324" t="str">
        <f>A958</f>
        <v>36-476</v>
      </c>
      <c r="B959" s="1324" t="s">
        <v>5994</v>
      </c>
      <c r="C959" s="1353">
        <f>'Key Metrics'!$E$355</f>
        <v>0</v>
      </c>
      <c r="D959" s="1353">
        <f>'Key Metrics'!$I$355</f>
        <v>0</v>
      </c>
      <c r="E959" s="1351">
        <f t="shared" si="313"/>
        <v>0</v>
      </c>
      <c r="F959" s="1353">
        <f t="shared" si="314"/>
        <v>0</v>
      </c>
      <c r="G959" s="1353">
        <f t="shared" si="315"/>
        <v>0</v>
      </c>
      <c r="H959" s="1353">
        <f t="shared" si="316"/>
        <v>0</v>
      </c>
      <c r="I959" s="1353">
        <f t="shared" si="317"/>
        <v>0</v>
      </c>
      <c r="J959" s="1353">
        <f t="shared" si="318"/>
        <v>0</v>
      </c>
      <c r="M959" s="1324" t="str">
        <f t="shared" si="319"/>
        <v>Other Pension Unclassified</v>
      </c>
      <c r="N959" s="1368">
        <f t="shared" si="320"/>
        <v>0</v>
      </c>
      <c r="O959" s="1368">
        <f t="shared" si="325"/>
        <v>0</v>
      </c>
      <c r="P959" s="1368">
        <f t="shared" si="325"/>
        <v>0</v>
      </c>
      <c r="Q959" s="1368">
        <f t="shared" si="325"/>
        <v>0</v>
      </c>
      <c r="R959" s="1368">
        <f t="shared" si="325"/>
        <v>0</v>
      </c>
      <c r="T959" s="1369">
        <v>5.3999999999999999E-2</v>
      </c>
      <c r="U959" s="1369">
        <v>5.3999999999999999E-2</v>
      </c>
      <c r="V959" s="1369">
        <v>5.3999999999999999E-2</v>
      </c>
      <c r="W959" s="1369">
        <v>5.3999999999999999E-2</v>
      </c>
      <c r="X959" s="1369">
        <v>5.3999999999999999E-2</v>
      </c>
      <c r="Y959" s="1367"/>
      <c r="Z959" s="1370">
        <v>0</v>
      </c>
      <c r="AA959" s="1370">
        <v>0</v>
      </c>
      <c r="AB959" s="1370">
        <v>0</v>
      </c>
      <c r="AC959" s="1370">
        <v>0</v>
      </c>
      <c r="AD959" s="1370">
        <v>0</v>
      </c>
      <c r="AK959" s="1354">
        <f t="shared" si="306"/>
        <v>0</v>
      </c>
      <c r="AL959" s="1352">
        <f t="shared" si="322"/>
        <v>53</v>
      </c>
      <c r="AM959" s="1354">
        <f t="shared" si="323"/>
        <v>0</v>
      </c>
      <c r="AN959" s="1352" t="str">
        <f t="shared" si="324"/>
        <v>Other Pension Unclassified</v>
      </c>
    </row>
    <row r="960" spans="1:40" x14ac:dyDescent="0.2">
      <c r="A960" s="1324" t="s">
        <v>161</v>
      </c>
      <c r="B960" s="1324" t="s">
        <v>5745</v>
      </c>
      <c r="C960" s="1353">
        <f>'Key Metrics'!$C$356</f>
        <v>0</v>
      </c>
      <c r="D960" s="1353">
        <f>'Key Metrics'!$G$356</f>
        <v>0</v>
      </c>
      <c r="E960" s="1351">
        <f t="shared" si="313"/>
        <v>0</v>
      </c>
      <c r="F960" s="1353">
        <f t="shared" si="314"/>
        <v>0</v>
      </c>
      <c r="G960" s="1353">
        <f t="shared" si="315"/>
        <v>0</v>
      </c>
      <c r="H960" s="1353">
        <f t="shared" si="316"/>
        <v>0</v>
      </c>
      <c r="I960" s="1353">
        <f t="shared" si="317"/>
        <v>0</v>
      </c>
      <c r="J960" s="1353">
        <f t="shared" si="318"/>
        <v>0</v>
      </c>
      <c r="M960" s="1324" t="str">
        <f t="shared" si="319"/>
        <v>Defined Contribution Retirement Program (DCRP) Salaries &amp; Wages</v>
      </c>
      <c r="N960" s="1368">
        <f t="shared" si="320"/>
        <v>0</v>
      </c>
      <c r="O960" s="1368">
        <f t="shared" si="325"/>
        <v>0</v>
      </c>
      <c r="P960" s="1368">
        <f t="shared" si="325"/>
        <v>0</v>
      </c>
      <c r="Q960" s="1368">
        <f t="shared" si="325"/>
        <v>0</v>
      </c>
      <c r="R960" s="1368">
        <f t="shared" si="325"/>
        <v>0</v>
      </c>
      <c r="T960" s="1369">
        <v>5.3999999999999999E-2</v>
      </c>
      <c r="U960" s="1369">
        <v>5.3999999999999999E-2</v>
      </c>
      <c r="V960" s="1369">
        <v>5.3999999999999999E-2</v>
      </c>
      <c r="W960" s="1369">
        <v>5.3999999999999999E-2</v>
      </c>
      <c r="X960" s="1369">
        <v>5.3999999999999999E-2</v>
      </c>
      <c r="Y960" s="1367"/>
      <c r="Z960" s="1370">
        <v>0</v>
      </c>
      <c r="AA960" s="1370">
        <v>0</v>
      </c>
      <c r="AB960" s="1370">
        <v>0</v>
      </c>
      <c r="AC960" s="1370">
        <v>0</v>
      </c>
      <c r="AD960" s="1370">
        <v>0</v>
      </c>
      <c r="AK960" s="1354">
        <f t="shared" si="306"/>
        <v>0</v>
      </c>
      <c r="AL960" s="1352">
        <f t="shared" si="322"/>
        <v>53</v>
      </c>
      <c r="AM960" s="1354">
        <f t="shared" si="323"/>
        <v>0</v>
      </c>
      <c r="AN960" s="1352" t="str">
        <f t="shared" si="324"/>
        <v>Defined Contribution Retirement Program (DCRP) Salaries &amp; Wages</v>
      </c>
    </row>
    <row r="961" spans="1:40" x14ac:dyDescent="0.2">
      <c r="A961" s="1324" t="str">
        <f>A960</f>
        <v>36-477</v>
      </c>
      <c r="B961" s="1324" t="s">
        <v>5995</v>
      </c>
      <c r="C961" s="1353">
        <f>'Key Metrics'!$D$356</f>
        <v>0</v>
      </c>
      <c r="D961" s="1353">
        <f>'Key Metrics'!$H$356</f>
        <v>0</v>
      </c>
      <c r="E961" s="1351">
        <f t="shared" si="313"/>
        <v>0</v>
      </c>
      <c r="F961" s="1353">
        <f t="shared" si="314"/>
        <v>0</v>
      </c>
      <c r="G961" s="1353">
        <f t="shared" si="315"/>
        <v>0</v>
      </c>
      <c r="H961" s="1353">
        <f t="shared" si="316"/>
        <v>0</v>
      </c>
      <c r="I961" s="1353">
        <f t="shared" si="317"/>
        <v>0</v>
      </c>
      <c r="J961" s="1353">
        <f t="shared" si="318"/>
        <v>0</v>
      </c>
      <c r="M961" s="1324" t="str">
        <f t="shared" si="319"/>
        <v>Defined Contribution Retirement Program (DCRP) Other Expenses</v>
      </c>
      <c r="N961" s="1368">
        <f t="shared" si="320"/>
        <v>0</v>
      </c>
      <c r="O961" s="1368">
        <f t="shared" si="325"/>
        <v>0</v>
      </c>
      <c r="P961" s="1368">
        <f t="shared" si="325"/>
        <v>0</v>
      </c>
      <c r="Q961" s="1368">
        <f t="shared" si="325"/>
        <v>0</v>
      </c>
      <c r="R961" s="1368">
        <f t="shared" si="325"/>
        <v>0</v>
      </c>
      <c r="T961" s="1369">
        <v>5.3999999999999999E-2</v>
      </c>
      <c r="U961" s="1369">
        <v>5.3999999999999999E-2</v>
      </c>
      <c r="V961" s="1369">
        <v>5.3999999999999999E-2</v>
      </c>
      <c r="W961" s="1369">
        <v>5.3999999999999999E-2</v>
      </c>
      <c r="X961" s="1369">
        <v>5.3999999999999999E-2</v>
      </c>
      <c r="Y961" s="1367"/>
      <c r="Z961" s="1370">
        <v>0</v>
      </c>
      <c r="AA961" s="1370">
        <v>0</v>
      </c>
      <c r="AB961" s="1370">
        <v>0</v>
      </c>
      <c r="AC961" s="1370">
        <v>0</v>
      </c>
      <c r="AD961" s="1370">
        <v>0</v>
      </c>
      <c r="AK961" s="1354">
        <f t="shared" si="306"/>
        <v>0</v>
      </c>
      <c r="AL961" s="1352">
        <f t="shared" si="322"/>
        <v>53</v>
      </c>
      <c r="AM961" s="1354">
        <f t="shared" si="323"/>
        <v>0</v>
      </c>
      <c r="AN961" s="1352" t="str">
        <f t="shared" si="324"/>
        <v>Defined Contribution Retirement Program (DCRP) Other Expenses</v>
      </c>
    </row>
    <row r="962" spans="1:40" x14ac:dyDescent="0.2">
      <c r="A962" s="1324" t="str">
        <f>A961</f>
        <v>36-477</v>
      </c>
      <c r="B962" s="1324" t="s">
        <v>5996</v>
      </c>
      <c r="C962" s="1353">
        <f>'Key Metrics'!$E$356</f>
        <v>0</v>
      </c>
      <c r="D962" s="1353">
        <f>'Key Metrics'!$I$356</f>
        <v>0</v>
      </c>
      <c r="E962" s="1351">
        <f t="shared" si="313"/>
        <v>0</v>
      </c>
      <c r="F962" s="1353">
        <f t="shared" si="314"/>
        <v>0</v>
      </c>
      <c r="G962" s="1353">
        <f t="shared" si="315"/>
        <v>0</v>
      </c>
      <c r="H962" s="1353">
        <f t="shared" si="316"/>
        <v>0</v>
      </c>
      <c r="I962" s="1353">
        <f t="shared" si="317"/>
        <v>0</v>
      </c>
      <c r="J962" s="1353">
        <f t="shared" si="318"/>
        <v>0</v>
      </c>
      <c r="M962" s="1324" t="str">
        <f t="shared" si="319"/>
        <v>Defined Contribution Retirement Program (DCRP) Unclassified</v>
      </c>
      <c r="N962" s="1368">
        <f t="shared" si="320"/>
        <v>0</v>
      </c>
      <c r="O962" s="1368">
        <f t="shared" si="325"/>
        <v>0</v>
      </c>
      <c r="P962" s="1368">
        <f t="shared" si="325"/>
        <v>0</v>
      </c>
      <c r="Q962" s="1368">
        <f t="shared" si="325"/>
        <v>0</v>
      </c>
      <c r="R962" s="1368">
        <f t="shared" si="325"/>
        <v>0</v>
      </c>
      <c r="T962" s="1369">
        <v>5.3999999999999999E-2</v>
      </c>
      <c r="U962" s="1369">
        <v>5.3999999999999999E-2</v>
      </c>
      <c r="V962" s="1369">
        <v>5.3999999999999999E-2</v>
      </c>
      <c r="W962" s="1369">
        <v>5.3999999999999999E-2</v>
      </c>
      <c r="X962" s="1369">
        <v>5.3999999999999999E-2</v>
      </c>
      <c r="Y962" s="1367"/>
      <c r="Z962" s="1370">
        <v>0</v>
      </c>
      <c r="AA962" s="1370">
        <v>0</v>
      </c>
      <c r="AB962" s="1370">
        <v>0</v>
      </c>
      <c r="AC962" s="1370">
        <v>0</v>
      </c>
      <c r="AD962" s="1370">
        <v>0</v>
      </c>
      <c r="AK962" s="1354">
        <f t="shared" si="306"/>
        <v>0</v>
      </c>
      <c r="AL962" s="1352">
        <f t="shared" si="322"/>
        <v>53</v>
      </c>
      <c r="AM962" s="1354">
        <f t="shared" si="323"/>
        <v>0</v>
      </c>
      <c r="AN962" s="1352" t="str">
        <f t="shared" si="324"/>
        <v>Defined Contribution Retirement Program (DCRP) Unclassified</v>
      </c>
    </row>
    <row r="963" spans="1:40" x14ac:dyDescent="0.2">
      <c r="B963" s="1373" t="s">
        <v>5632</v>
      </c>
      <c r="C963" s="1360">
        <f>SUM(C942:C962)</f>
        <v>5684.09</v>
      </c>
      <c r="D963" s="1360">
        <f>SUM(D942:D962)</f>
        <v>6316.49</v>
      </c>
      <c r="E963" s="1356">
        <f t="shared" si="313"/>
        <v>0.11125791463541201</v>
      </c>
      <c r="F963" s="1360">
        <f>SUM(F942:F962)</f>
        <v>6501.2997999999998</v>
      </c>
      <c r="G963" s="1360">
        <f>SUM(G942:G962)</f>
        <v>6692.9637160000002</v>
      </c>
      <c r="H963" s="1360">
        <f>SUM(H942:H962)</f>
        <v>6891.7893580000009</v>
      </c>
      <c r="I963" s="1360">
        <f>SUM(I942:I962)</f>
        <v>7098.0996966947205</v>
      </c>
      <c r="J963" s="1360">
        <f>SUM(J942:J962)</f>
        <v>7312.2338679462109</v>
      </c>
      <c r="N963" s="1328"/>
      <c r="O963" s="1328"/>
      <c r="P963" s="1328"/>
      <c r="Q963" s="1328"/>
      <c r="R963" s="1328"/>
      <c r="T963" s="1371"/>
      <c r="U963" s="1371"/>
      <c r="V963" s="1371"/>
      <c r="W963" s="1371"/>
      <c r="X963" s="1371"/>
      <c r="Y963" s="1367"/>
      <c r="Z963" s="1372"/>
      <c r="AA963" s="1372"/>
      <c r="AB963" s="1372"/>
      <c r="AC963" s="1372"/>
      <c r="AD963" s="1372"/>
      <c r="AK963" s="1354"/>
      <c r="AL963" s="1352"/>
      <c r="AM963" s="1354"/>
      <c r="AN963" s="1352"/>
    </row>
    <row r="964" spans="1:40" x14ac:dyDescent="0.2">
      <c r="E964" s="1351"/>
      <c r="N964" s="1328"/>
      <c r="O964" s="1328"/>
      <c r="P964" s="1328"/>
      <c r="Q964" s="1328"/>
      <c r="R964" s="1328"/>
      <c r="T964" s="1371"/>
      <c r="U964" s="1371"/>
      <c r="V964" s="1371"/>
      <c r="W964" s="1371"/>
      <c r="X964" s="1371"/>
      <c r="Y964" s="1367"/>
      <c r="Z964" s="1372"/>
      <c r="AA964" s="1372"/>
      <c r="AB964" s="1372"/>
      <c r="AC964" s="1372"/>
      <c r="AD964" s="1372"/>
      <c r="AK964" s="1354"/>
      <c r="AL964" s="1352"/>
      <c r="AM964" s="1354"/>
      <c r="AN964" s="1352"/>
    </row>
    <row r="965" spans="1:40" ht="15" x14ac:dyDescent="0.25">
      <c r="A965" s="1364" t="s">
        <v>326</v>
      </c>
      <c r="B965" s="1365"/>
      <c r="C965" s="1365"/>
      <c r="D965" s="1365"/>
      <c r="E965" s="1380"/>
      <c r="F965" s="1365"/>
      <c r="G965" s="1365"/>
      <c r="H965" s="1365"/>
      <c r="I965" s="1365"/>
      <c r="J965" s="1365"/>
      <c r="M965" s="1381" t="str">
        <f>A965</f>
        <v>Judgements</v>
      </c>
      <c r="N965" s="1364"/>
      <c r="O965" s="1364"/>
      <c r="P965" s="1364"/>
      <c r="Q965" s="1364"/>
      <c r="R965" s="1364"/>
      <c r="S965" s="1365"/>
      <c r="T965" s="1389"/>
      <c r="U965" s="1389"/>
      <c r="V965" s="1389"/>
      <c r="W965" s="1389"/>
      <c r="X965" s="1389"/>
      <c r="Y965" s="1390"/>
      <c r="Z965" s="1391"/>
      <c r="AA965" s="1391"/>
      <c r="AB965" s="1391"/>
      <c r="AC965" s="1391"/>
      <c r="AD965" s="1391"/>
      <c r="AK965" s="1354"/>
      <c r="AL965" s="1352"/>
      <c r="AM965" s="1354"/>
      <c r="AN965" s="1352"/>
    </row>
    <row r="966" spans="1:40" x14ac:dyDescent="0.2">
      <c r="A966" s="1324" t="s">
        <v>559</v>
      </c>
      <c r="B966" s="1324" t="s">
        <v>5746</v>
      </c>
      <c r="C966" s="1353">
        <f>'Key Metrics'!$C$360</f>
        <v>0</v>
      </c>
      <c r="D966" s="1353">
        <f>'Key Metrics'!$G$360</f>
        <v>0</v>
      </c>
      <c r="E966" s="1351">
        <f>IFERROR(D966/C966-1,0)</f>
        <v>0</v>
      </c>
      <c r="F966" s="1353">
        <f>IFERROR(IF($I$3=1,D966*(1+N966),IF($I$3=2,D966*(1+T966),IF($I$3=3,Z966,"--"))),0)</f>
        <v>0</v>
      </c>
      <c r="G966" s="1353">
        <f t="shared" ref="G966:J968" si="326">IFERROR(IF($I$3=1,F966*(1+O966),IF($I$3=2,F966*(1+U966),IF($I$3=3,AA966,"--"))),0)</f>
        <v>0</v>
      </c>
      <c r="H966" s="1353">
        <f t="shared" si="326"/>
        <v>0</v>
      </c>
      <c r="I966" s="1353">
        <f t="shared" si="326"/>
        <v>0</v>
      </c>
      <c r="J966" s="1353">
        <f t="shared" si="326"/>
        <v>0</v>
      </c>
      <c r="M966" s="1324" t="str">
        <f>B966</f>
        <v>Judgments (Inside or Outside CAP) Salaries &amp; Wages</v>
      </c>
      <c r="N966" s="1368">
        <f>E966</f>
        <v>0</v>
      </c>
      <c r="O966" s="1368">
        <f t="shared" ref="O966:R968" si="327">N966</f>
        <v>0</v>
      </c>
      <c r="P966" s="1368">
        <f t="shared" si="327"/>
        <v>0</v>
      </c>
      <c r="Q966" s="1368">
        <f t="shared" si="327"/>
        <v>0</v>
      </c>
      <c r="R966" s="1368">
        <f t="shared" si="327"/>
        <v>0</v>
      </c>
      <c r="T966" s="1369">
        <v>0</v>
      </c>
      <c r="U966" s="1369">
        <v>0</v>
      </c>
      <c r="V966" s="1369">
        <v>0</v>
      </c>
      <c r="W966" s="1369">
        <v>0</v>
      </c>
      <c r="X966" s="1369">
        <v>0</v>
      </c>
      <c r="Y966" s="1367"/>
      <c r="Z966" s="1370">
        <v>0</v>
      </c>
      <c r="AA966" s="1370">
        <v>0</v>
      </c>
      <c r="AB966" s="1370">
        <v>0</v>
      </c>
      <c r="AC966" s="1370">
        <v>0</v>
      </c>
      <c r="AD966" s="1370">
        <v>0</v>
      </c>
      <c r="AK966" s="1354">
        <f t="shared" si="306"/>
        <v>0</v>
      </c>
      <c r="AL966" s="1352">
        <f>RANK(AM966,$AM$504:$AM$1172,0)</f>
        <v>53</v>
      </c>
      <c r="AM966" s="1354">
        <f t="shared" si="323"/>
        <v>0</v>
      </c>
      <c r="AN966" s="1352" t="str">
        <f t="shared" si="324"/>
        <v>Judgments (Inside or Outside CAP) Salaries &amp; Wages</v>
      </c>
    </row>
    <row r="967" spans="1:40" x14ac:dyDescent="0.2">
      <c r="A967" s="1324" t="str">
        <f>A966</f>
        <v>37-480</v>
      </c>
      <c r="B967" s="1324" t="s">
        <v>5997</v>
      </c>
      <c r="C967" s="1353">
        <f>'Key Metrics'!$D$360</f>
        <v>0</v>
      </c>
      <c r="D967" s="1353">
        <f>'Key Metrics'!$H$360</f>
        <v>0</v>
      </c>
      <c r="E967" s="1351">
        <f>IFERROR(D967/C967-1,0)</f>
        <v>0</v>
      </c>
      <c r="F967" s="1353">
        <f>IFERROR(IF($I$3=1,D967*(1+N967),IF($I$3=2,D967*(1+T967),IF($I$3=3,Z967,"--"))),0)</f>
        <v>0</v>
      </c>
      <c r="G967" s="1353">
        <f t="shared" si="326"/>
        <v>0</v>
      </c>
      <c r="H967" s="1353">
        <f t="shared" si="326"/>
        <v>0</v>
      </c>
      <c r="I967" s="1353">
        <f t="shared" si="326"/>
        <v>0</v>
      </c>
      <c r="J967" s="1353">
        <f t="shared" si="326"/>
        <v>0</v>
      </c>
      <c r="M967" s="1324" t="str">
        <f>B967</f>
        <v>Judgments (Inside or Outside CAP) Other Expenses</v>
      </c>
      <c r="N967" s="1368">
        <f>E967</f>
        <v>0</v>
      </c>
      <c r="O967" s="1368">
        <f t="shared" si="327"/>
        <v>0</v>
      </c>
      <c r="P967" s="1368">
        <f t="shared" si="327"/>
        <v>0</v>
      </c>
      <c r="Q967" s="1368">
        <f t="shared" si="327"/>
        <v>0</v>
      </c>
      <c r="R967" s="1368">
        <f t="shared" si="327"/>
        <v>0</v>
      </c>
      <c r="T967" s="1369">
        <v>0</v>
      </c>
      <c r="U967" s="1369">
        <v>0</v>
      </c>
      <c r="V967" s="1369">
        <v>0</v>
      </c>
      <c r="W967" s="1369">
        <v>0</v>
      </c>
      <c r="X967" s="1369">
        <v>0</v>
      </c>
      <c r="Y967" s="1367"/>
      <c r="Z967" s="1370">
        <v>0</v>
      </c>
      <c r="AA967" s="1370">
        <v>0</v>
      </c>
      <c r="AB967" s="1370">
        <v>0</v>
      </c>
      <c r="AC967" s="1370">
        <v>0</v>
      </c>
      <c r="AD967" s="1370">
        <v>0</v>
      </c>
      <c r="AK967" s="1354">
        <f t="shared" si="306"/>
        <v>0</v>
      </c>
      <c r="AL967" s="1352">
        <f>RANK(AM967,$AM$504:$AM$1172,0)</f>
        <v>53</v>
      </c>
      <c r="AM967" s="1354">
        <f t="shared" si="323"/>
        <v>0</v>
      </c>
      <c r="AN967" s="1352" t="str">
        <f t="shared" si="324"/>
        <v>Judgments (Inside or Outside CAP) Other Expenses</v>
      </c>
    </row>
    <row r="968" spans="1:40" x14ac:dyDescent="0.2">
      <c r="A968" s="1324" t="str">
        <f>A967</f>
        <v>37-480</v>
      </c>
      <c r="B968" s="1324" t="s">
        <v>5998</v>
      </c>
      <c r="C968" s="1353">
        <f>'Key Metrics'!$E$360</f>
        <v>0</v>
      </c>
      <c r="D968" s="1353">
        <f>'Key Metrics'!$I$360</f>
        <v>0</v>
      </c>
      <c r="E968" s="1351">
        <f>IFERROR(D968/C968-1,0)</f>
        <v>0</v>
      </c>
      <c r="F968" s="1353">
        <f>IFERROR(IF($I$3=1,D968*(1+N968),IF($I$3=2,D968*(1+T968),IF($I$3=3,Z968,"--"))),0)</f>
        <v>0</v>
      </c>
      <c r="G968" s="1353">
        <f t="shared" si="326"/>
        <v>0</v>
      </c>
      <c r="H968" s="1353">
        <f t="shared" si="326"/>
        <v>0</v>
      </c>
      <c r="I968" s="1353">
        <f t="shared" si="326"/>
        <v>0</v>
      </c>
      <c r="J968" s="1353">
        <f t="shared" si="326"/>
        <v>0</v>
      </c>
      <c r="M968" s="1324" t="str">
        <f>B968</f>
        <v>Judgments (Inside or Outside CAP) Unclassified</v>
      </c>
      <c r="N968" s="1368">
        <f>E968</f>
        <v>0</v>
      </c>
      <c r="O968" s="1368">
        <f t="shared" si="327"/>
        <v>0</v>
      </c>
      <c r="P968" s="1368">
        <f t="shared" si="327"/>
        <v>0</v>
      </c>
      <c r="Q968" s="1368">
        <f t="shared" si="327"/>
        <v>0</v>
      </c>
      <c r="R968" s="1368">
        <f t="shared" si="327"/>
        <v>0</v>
      </c>
      <c r="T968" s="1369">
        <v>0</v>
      </c>
      <c r="U968" s="1369">
        <v>0</v>
      </c>
      <c r="V968" s="1369">
        <v>0</v>
      </c>
      <c r="W968" s="1369">
        <v>0</v>
      </c>
      <c r="X968" s="1369">
        <v>0</v>
      </c>
      <c r="Y968" s="1367"/>
      <c r="Z968" s="1370">
        <v>0</v>
      </c>
      <c r="AA968" s="1370">
        <v>0</v>
      </c>
      <c r="AB968" s="1370">
        <v>0</v>
      </c>
      <c r="AC968" s="1370">
        <v>0</v>
      </c>
      <c r="AD968" s="1370">
        <v>0</v>
      </c>
      <c r="AK968" s="1354">
        <f t="shared" si="306"/>
        <v>0</v>
      </c>
      <c r="AL968" s="1352">
        <f>RANK(AM968,$AM$504:$AM$1172,0)</f>
        <v>53</v>
      </c>
      <c r="AM968" s="1354">
        <f t="shared" si="323"/>
        <v>0</v>
      </c>
      <c r="AN968" s="1352" t="str">
        <f t="shared" si="324"/>
        <v>Judgments (Inside or Outside CAP) Unclassified</v>
      </c>
    </row>
    <row r="969" spans="1:40" x14ac:dyDescent="0.2">
      <c r="B969" s="1373" t="s">
        <v>5633</v>
      </c>
      <c r="C969" s="1360">
        <f>SUM(C966:C968)</f>
        <v>0</v>
      </c>
      <c r="D969" s="1360">
        <f>SUM(D966:D968)</f>
        <v>0</v>
      </c>
      <c r="E969" s="1356">
        <f>IFERROR(D969/C969-1,0)</f>
        <v>0</v>
      </c>
      <c r="F969" s="1360">
        <f>SUM(F966:F968)</f>
        <v>0</v>
      </c>
      <c r="G969" s="1360">
        <f>SUM(G966:G968)</f>
        <v>0</v>
      </c>
      <c r="H969" s="1360">
        <f>SUM(H966:H968)</f>
        <v>0</v>
      </c>
      <c r="I969" s="1360">
        <f>SUM(I966:I968)</f>
        <v>0</v>
      </c>
      <c r="J969" s="1360">
        <f>SUM(J966:J968)</f>
        <v>0</v>
      </c>
      <c r="N969" s="1328"/>
      <c r="O969" s="1328"/>
      <c r="P969" s="1328"/>
      <c r="Q969" s="1328"/>
      <c r="R969" s="1328"/>
      <c r="T969" s="1371"/>
      <c r="U969" s="1371"/>
      <c r="V969" s="1371"/>
      <c r="W969" s="1371"/>
      <c r="X969" s="1371"/>
      <c r="Y969" s="1367"/>
      <c r="Z969" s="1372"/>
      <c r="AA969" s="1372"/>
      <c r="AB969" s="1372"/>
      <c r="AC969" s="1372"/>
      <c r="AD969" s="1372"/>
      <c r="AK969" s="1354"/>
      <c r="AL969" s="1352"/>
      <c r="AM969" s="1354"/>
      <c r="AN969" s="1352"/>
    </row>
    <row r="970" spans="1:40" x14ac:dyDescent="0.2">
      <c r="E970" s="1351"/>
      <c r="N970" s="1328"/>
      <c r="O970" s="1328"/>
      <c r="P970" s="1328"/>
      <c r="Q970" s="1328"/>
      <c r="R970" s="1328"/>
      <c r="T970" s="1371"/>
      <c r="U970" s="1371"/>
      <c r="V970" s="1371"/>
      <c r="W970" s="1371"/>
      <c r="X970" s="1371"/>
      <c r="Y970" s="1367"/>
      <c r="Z970" s="1372"/>
      <c r="AA970" s="1372"/>
      <c r="AB970" s="1372"/>
      <c r="AC970" s="1372"/>
      <c r="AD970" s="1372"/>
      <c r="AK970" s="1354"/>
      <c r="AL970" s="1352"/>
      <c r="AM970" s="1354"/>
      <c r="AN970" s="1352"/>
    </row>
    <row r="971" spans="1:40" ht="15" x14ac:dyDescent="0.25">
      <c r="A971" s="1364" t="s">
        <v>5609</v>
      </c>
      <c r="B971" s="1365"/>
      <c r="C971" s="1365"/>
      <c r="D971" s="1365"/>
      <c r="E971" s="1380"/>
      <c r="F971" s="1365"/>
      <c r="G971" s="1365"/>
      <c r="H971" s="1365"/>
      <c r="I971" s="1365"/>
      <c r="J971" s="1365"/>
      <c r="M971" s="1381" t="str">
        <f>A971</f>
        <v>Public and Private Programs Offset by Revenues (Grants)</v>
      </c>
      <c r="N971" s="1364"/>
      <c r="O971" s="1364"/>
      <c r="P971" s="1364"/>
      <c r="Q971" s="1364"/>
      <c r="R971" s="1364"/>
      <c r="S971" s="1365"/>
      <c r="T971" s="1389"/>
      <c r="U971" s="1389"/>
      <c r="V971" s="1389"/>
      <c r="W971" s="1389"/>
      <c r="X971" s="1389"/>
      <c r="Y971" s="1390"/>
      <c r="Z971" s="1391"/>
      <c r="AA971" s="1391"/>
      <c r="AB971" s="1391"/>
      <c r="AC971" s="1391"/>
      <c r="AD971" s="1391"/>
      <c r="AK971" s="1354"/>
      <c r="AL971" s="1352"/>
      <c r="AM971" s="1354"/>
      <c r="AN971" s="1352"/>
    </row>
    <row r="972" spans="1:40" x14ac:dyDescent="0.2">
      <c r="A972" s="1324" t="s">
        <v>386</v>
      </c>
      <c r="B972" s="1324" t="s">
        <v>5747</v>
      </c>
      <c r="C972" s="1353">
        <f>'Key Metrics'!$C$364</f>
        <v>0</v>
      </c>
      <c r="D972" s="1353">
        <f>'Key Metrics'!$G$364</f>
        <v>0</v>
      </c>
      <c r="E972" s="1351">
        <f>IFERROR(D972/C972-1,0)</f>
        <v>0</v>
      </c>
      <c r="F972" s="1353">
        <f>IFERROR(IF($I$3=1,D972*(1+N972),IF($I$3=2,D972*(1+T972),IF($I$3=3,Z972,"--"))),0)</f>
        <v>0</v>
      </c>
      <c r="G972" s="1353">
        <f t="shared" ref="G972:J974" si="328">IFERROR(IF($I$3=1,F972*(1+O972),IF($I$3=2,F972*(1+U972),IF($I$3=3,AA972,"--"))),0)</f>
        <v>0</v>
      </c>
      <c r="H972" s="1353">
        <f t="shared" si="328"/>
        <v>0</v>
      </c>
      <c r="I972" s="1353">
        <f t="shared" si="328"/>
        <v>0</v>
      </c>
      <c r="J972" s="1353">
        <f t="shared" si="328"/>
        <v>0</v>
      </c>
      <c r="M972" s="1324" t="str">
        <f>B972</f>
        <v>Public and Private Programs Offset by Revenues (Grants) Salaries &amp; Wages</v>
      </c>
      <c r="N972" s="1368">
        <v>0</v>
      </c>
      <c r="O972" s="1368">
        <f t="shared" ref="O972:R974" si="329">N972</f>
        <v>0</v>
      </c>
      <c r="P972" s="1368">
        <f t="shared" si="329"/>
        <v>0</v>
      </c>
      <c r="Q972" s="1368">
        <f t="shared" si="329"/>
        <v>0</v>
      </c>
      <c r="R972" s="1368">
        <f t="shared" si="329"/>
        <v>0</v>
      </c>
      <c r="T972" s="1369">
        <v>0</v>
      </c>
      <c r="U972" s="1369">
        <v>0</v>
      </c>
      <c r="V972" s="1369">
        <v>0</v>
      </c>
      <c r="W972" s="1369">
        <v>0</v>
      </c>
      <c r="X972" s="1369">
        <v>0</v>
      </c>
      <c r="Y972" s="1367"/>
      <c r="Z972" s="1370">
        <v>0</v>
      </c>
      <c r="AA972" s="1370">
        <v>0</v>
      </c>
      <c r="AB972" s="1370">
        <v>0</v>
      </c>
      <c r="AC972" s="1370">
        <v>0</v>
      </c>
      <c r="AD972" s="1370">
        <v>0</v>
      </c>
      <c r="AK972" s="1354">
        <f t="shared" si="306"/>
        <v>0</v>
      </c>
      <c r="AL972" s="1352">
        <f>RANK(AM972,$AM$504:$AM$1172,0)</f>
        <v>53</v>
      </c>
      <c r="AM972" s="1354">
        <f t="shared" si="323"/>
        <v>0</v>
      </c>
      <c r="AN972" s="1352" t="str">
        <f t="shared" si="324"/>
        <v>Public and Private Programs Offset by Revenues (Grants) Salaries &amp; Wages</v>
      </c>
    </row>
    <row r="973" spans="1:40" x14ac:dyDescent="0.2">
      <c r="A973" s="1324" t="str">
        <f>A972</f>
        <v>40-999</v>
      </c>
      <c r="B973" s="1324" t="s">
        <v>5999</v>
      </c>
      <c r="C973" s="1353">
        <f>'Key Metrics'!$D$364</f>
        <v>0</v>
      </c>
      <c r="D973" s="1353">
        <f>'Key Metrics'!$H$364</f>
        <v>0</v>
      </c>
      <c r="E973" s="1351">
        <f>IFERROR(D973/C973-1,0)</f>
        <v>0</v>
      </c>
      <c r="F973" s="1353">
        <f>IFERROR(IF($I$3=1,D973*(1+N973),IF($I$3=2,D973*(1+T973),IF($I$3=3,Z973,"--"))),0)</f>
        <v>0</v>
      </c>
      <c r="G973" s="1353">
        <f t="shared" si="328"/>
        <v>0</v>
      </c>
      <c r="H973" s="1353">
        <f t="shared" si="328"/>
        <v>0</v>
      </c>
      <c r="I973" s="1353">
        <f t="shared" si="328"/>
        <v>0</v>
      </c>
      <c r="J973" s="1353">
        <f t="shared" si="328"/>
        <v>0</v>
      </c>
      <c r="M973" s="1324" t="str">
        <f>B973</f>
        <v>Public and Private Programs Offset by Revenues (Grants) Other Expenses</v>
      </c>
      <c r="N973" s="1368">
        <v>0</v>
      </c>
      <c r="O973" s="1368">
        <f t="shared" si="329"/>
        <v>0</v>
      </c>
      <c r="P973" s="1368">
        <f t="shared" si="329"/>
        <v>0</v>
      </c>
      <c r="Q973" s="1368">
        <f t="shared" si="329"/>
        <v>0</v>
      </c>
      <c r="R973" s="1368">
        <f t="shared" si="329"/>
        <v>0</v>
      </c>
      <c r="T973" s="1369">
        <v>0</v>
      </c>
      <c r="U973" s="1369">
        <v>0</v>
      </c>
      <c r="V973" s="1369">
        <v>0</v>
      </c>
      <c r="W973" s="1369">
        <v>0</v>
      </c>
      <c r="X973" s="1369">
        <v>0</v>
      </c>
      <c r="Y973" s="1367"/>
      <c r="Z973" s="1370">
        <v>0</v>
      </c>
      <c r="AA973" s="1370">
        <v>0</v>
      </c>
      <c r="AB973" s="1370">
        <v>0</v>
      </c>
      <c r="AC973" s="1370">
        <v>0</v>
      </c>
      <c r="AD973" s="1370">
        <v>0</v>
      </c>
      <c r="AK973" s="1354">
        <f t="shared" si="306"/>
        <v>0</v>
      </c>
      <c r="AL973" s="1352">
        <f>RANK(AM973,$AM$504:$AM$1172,0)</f>
        <v>53</v>
      </c>
      <c r="AM973" s="1354">
        <f t="shared" si="323"/>
        <v>0</v>
      </c>
      <c r="AN973" s="1352" t="str">
        <f t="shared" si="324"/>
        <v>Public and Private Programs Offset by Revenues (Grants) Other Expenses</v>
      </c>
    </row>
    <row r="974" spans="1:40" x14ac:dyDescent="0.2">
      <c r="A974" s="1324" t="str">
        <f>A973</f>
        <v>40-999</v>
      </c>
      <c r="B974" s="1324" t="s">
        <v>6000</v>
      </c>
      <c r="C974" s="1353">
        <f>'Key Metrics'!$E$364</f>
        <v>5119.84</v>
      </c>
      <c r="D974" s="1353">
        <f>'Key Metrics'!$I$364</f>
        <v>20119.84</v>
      </c>
      <c r="E974" s="1351">
        <f>IFERROR(D974/C974-1,0)</f>
        <v>2.9297790555954872</v>
      </c>
      <c r="F974" s="1353">
        <f>IFERROR(IF($I$3=1,D974*(1+N974),IF($I$3=2,D974*(1+T974),IF($I$3=3,Z974,"--"))),0)</f>
        <v>20119.84</v>
      </c>
      <c r="G974" s="1353">
        <f t="shared" si="328"/>
        <v>20119.84</v>
      </c>
      <c r="H974" s="1353">
        <f t="shared" si="328"/>
        <v>20119.84</v>
      </c>
      <c r="I974" s="1353">
        <f t="shared" si="328"/>
        <v>20119.84</v>
      </c>
      <c r="J974" s="1353">
        <f t="shared" si="328"/>
        <v>20119.84</v>
      </c>
      <c r="M974" s="1324" t="str">
        <f>B974</f>
        <v>Public and Private Programs Offset by Revenues (Grants) Unclassified</v>
      </c>
      <c r="N974" s="1368">
        <v>0</v>
      </c>
      <c r="O974" s="1368">
        <f t="shared" si="329"/>
        <v>0</v>
      </c>
      <c r="P974" s="1368">
        <f t="shared" si="329"/>
        <v>0</v>
      </c>
      <c r="Q974" s="1368">
        <f t="shared" si="329"/>
        <v>0</v>
      </c>
      <c r="R974" s="1368">
        <f t="shared" si="329"/>
        <v>0</v>
      </c>
      <c r="T974" s="1369">
        <v>0</v>
      </c>
      <c r="U974" s="1369">
        <v>0</v>
      </c>
      <c r="V974" s="1369">
        <v>0</v>
      </c>
      <c r="W974" s="1369">
        <v>0</v>
      </c>
      <c r="X974" s="1369">
        <v>0</v>
      </c>
      <c r="Y974" s="1367"/>
      <c r="Z974" s="1370">
        <v>0</v>
      </c>
      <c r="AA974" s="1370">
        <v>0</v>
      </c>
      <c r="AB974" s="1370">
        <v>0</v>
      </c>
      <c r="AC974" s="1370">
        <v>0</v>
      </c>
      <c r="AD974" s="1370">
        <v>0</v>
      </c>
      <c r="AK974" s="1354">
        <f t="shared" si="306"/>
        <v>125838.87999999999</v>
      </c>
      <c r="AL974" s="1352">
        <f>RANK(AM974,$AM$504:$AM$1172,0)</f>
        <v>53</v>
      </c>
      <c r="AM974" s="1354">
        <f t="shared" si="323"/>
        <v>0</v>
      </c>
      <c r="AN974" s="1352" t="str">
        <f t="shared" si="324"/>
        <v>Public and Private Programs Offset by Revenues (Grants) Unclassified</v>
      </c>
    </row>
    <row r="975" spans="1:40" x14ac:dyDescent="0.2">
      <c r="B975" s="1379" t="s">
        <v>5634</v>
      </c>
      <c r="C975" s="1360">
        <f>SUM(C972:C974)</f>
        <v>5119.84</v>
      </c>
      <c r="D975" s="1360">
        <f>SUM(D972:D974)</f>
        <v>20119.84</v>
      </c>
      <c r="E975" s="1356">
        <f>IFERROR(D975/C975-1,0)</f>
        <v>2.9297790555954872</v>
      </c>
      <c r="F975" s="1360">
        <f>SUM(F972:F974)</f>
        <v>20119.84</v>
      </c>
      <c r="G975" s="1360">
        <f>SUM(G972:G974)</f>
        <v>20119.84</v>
      </c>
      <c r="H975" s="1360">
        <f>SUM(H972:H974)</f>
        <v>20119.84</v>
      </c>
      <c r="I975" s="1360">
        <f>SUM(I972:I974)</f>
        <v>20119.84</v>
      </c>
      <c r="J975" s="1360">
        <f>SUM(J972:J974)</f>
        <v>20119.84</v>
      </c>
      <c r="N975" s="1328"/>
      <c r="O975" s="1328"/>
      <c r="P975" s="1328"/>
      <c r="Q975" s="1328"/>
      <c r="R975" s="1328"/>
      <c r="T975" s="1371"/>
      <c r="U975" s="1371"/>
      <c r="V975" s="1371"/>
      <c r="W975" s="1371"/>
      <c r="X975" s="1371"/>
      <c r="Y975" s="1367"/>
      <c r="Z975" s="1372"/>
      <c r="AA975" s="1372"/>
      <c r="AB975" s="1372"/>
      <c r="AC975" s="1372"/>
      <c r="AD975" s="1372"/>
      <c r="AK975" s="1354"/>
      <c r="AL975" s="1352"/>
      <c r="AM975" s="1354"/>
      <c r="AN975" s="1352"/>
    </row>
    <row r="976" spans="1:40" x14ac:dyDescent="0.2">
      <c r="E976" s="1351"/>
      <c r="N976" s="1328"/>
      <c r="O976" s="1328"/>
      <c r="P976" s="1328"/>
      <c r="Q976" s="1328"/>
      <c r="R976" s="1328"/>
      <c r="T976" s="1371"/>
      <c r="U976" s="1371"/>
      <c r="V976" s="1371"/>
      <c r="W976" s="1371"/>
      <c r="X976" s="1371"/>
      <c r="Y976" s="1367"/>
      <c r="Z976" s="1372"/>
      <c r="AA976" s="1372"/>
      <c r="AB976" s="1372"/>
      <c r="AC976" s="1372"/>
      <c r="AD976" s="1372"/>
      <c r="AK976" s="1354"/>
      <c r="AL976" s="1352"/>
      <c r="AM976" s="1354"/>
      <c r="AN976" s="1352"/>
    </row>
    <row r="977" spans="1:40" ht="13.5" customHeight="1" x14ac:dyDescent="0.25">
      <c r="A977" s="1364" t="s">
        <v>5451</v>
      </c>
      <c r="B977" s="1365"/>
      <c r="C977" s="1365"/>
      <c r="D977" s="1365"/>
      <c r="E977" s="1380"/>
      <c r="F977" s="1365"/>
      <c r="G977" s="1365"/>
      <c r="H977" s="1365"/>
      <c r="I977" s="1365"/>
      <c r="J977" s="1365"/>
      <c r="M977" s="1381" t="str">
        <f>A977</f>
        <v>Shared Services</v>
      </c>
      <c r="N977" s="1364"/>
      <c r="O977" s="1364"/>
      <c r="P977" s="1364"/>
      <c r="Q977" s="1364"/>
      <c r="R977" s="1364"/>
      <c r="S977" s="1365"/>
      <c r="T977" s="1389"/>
      <c r="U977" s="1389"/>
      <c r="V977" s="1389"/>
      <c r="W977" s="1389"/>
      <c r="X977" s="1389"/>
      <c r="Y977" s="1390"/>
      <c r="Z977" s="1391"/>
      <c r="AA977" s="1391"/>
      <c r="AB977" s="1391"/>
      <c r="AC977" s="1391"/>
      <c r="AD977" s="1391"/>
      <c r="AK977" s="1354"/>
      <c r="AL977" s="1352"/>
      <c r="AM977" s="1354"/>
      <c r="AN977" s="1352"/>
    </row>
    <row r="978" spans="1:40" x14ac:dyDescent="0.2">
      <c r="A978" s="1324" t="s">
        <v>5071</v>
      </c>
      <c r="B978" s="1324" t="s">
        <v>5748</v>
      </c>
      <c r="C978" s="1353">
        <f>'Key Metrics'!$C$368</f>
        <v>0</v>
      </c>
      <c r="D978" s="1353">
        <f>'Key Metrics'!$G$368</f>
        <v>0</v>
      </c>
      <c r="E978" s="1351">
        <f t="shared" ref="E978:E1041" si="330">IFERROR(D978/C978-1,0)</f>
        <v>0</v>
      </c>
      <c r="F978" s="1353">
        <f t="shared" ref="F978:F1009" si="331">IFERROR(IF($I$3=1,D978*(1+N978),IF($I$3=2,D978*(1+T978),IF($I$3=3,Z978,"--"))),0)</f>
        <v>0</v>
      </c>
      <c r="G978" s="1353">
        <f t="shared" ref="G978:G1009" si="332">IFERROR(IF($I$3=1,F978*(1+O978),IF($I$3=2,F978*(1+U978),IF($I$3=3,AA978,"--"))),0)</f>
        <v>0</v>
      </c>
      <c r="H978" s="1353">
        <f t="shared" ref="H978:H1009" si="333">IFERROR(IF($I$3=1,G978*(1+P978),IF($I$3=2,G978*(1+V978),IF($I$3=3,AB978,"--"))),0)</f>
        <v>0</v>
      </c>
      <c r="I978" s="1353">
        <f t="shared" ref="I978:I1009" si="334">IFERROR(IF($I$3=1,H978*(1+Q978),IF($I$3=2,H978*(1+W978),IF($I$3=3,AC978,"--"))),0)</f>
        <v>0</v>
      </c>
      <c r="J978" s="1353">
        <f t="shared" ref="J978:J1009" si="335">IFERROR(IF($I$3=1,I978*(1+R978),IF($I$3=2,I978*(1+X978),IF($I$3=3,AD978,"--"))),0)</f>
        <v>0</v>
      </c>
      <c r="M978" s="1324" t="str">
        <f t="shared" ref="M978:M1041" si="336">B978</f>
        <v>Shared Services - Tax Assessor Salaries &amp; Wages</v>
      </c>
      <c r="N978" s="1368">
        <f t="shared" ref="N978:N1041" si="337">E978</f>
        <v>0</v>
      </c>
      <c r="O978" s="1368">
        <f t="shared" ref="O978:R993" si="338">N978</f>
        <v>0</v>
      </c>
      <c r="P978" s="1368">
        <f t="shared" si="338"/>
        <v>0</v>
      </c>
      <c r="Q978" s="1368">
        <f t="shared" si="338"/>
        <v>0</v>
      </c>
      <c r="R978" s="1368">
        <f t="shared" si="338"/>
        <v>0</v>
      </c>
      <c r="T978" s="1369">
        <v>0.02</v>
      </c>
      <c r="U978" s="1369">
        <v>0.02</v>
      </c>
      <c r="V978" s="1369">
        <v>0.02</v>
      </c>
      <c r="W978" s="1369">
        <v>0.02</v>
      </c>
      <c r="X978" s="1369">
        <v>0.02</v>
      </c>
      <c r="Y978" s="1367"/>
      <c r="Z978" s="1370">
        <v>0</v>
      </c>
      <c r="AA978" s="1370">
        <v>0</v>
      </c>
      <c r="AB978" s="1370">
        <v>0</v>
      </c>
      <c r="AC978" s="1370">
        <v>0</v>
      </c>
      <c r="AD978" s="1370">
        <v>0</v>
      </c>
      <c r="AK978" s="1354">
        <f t="shared" si="306"/>
        <v>0</v>
      </c>
      <c r="AL978" s="1352">
        <f t="shared" ref="AL978:AL1009" si="339">RANK(AM978,$AM$504:$AM$1172,0)</f>
        <v>53</v>
      </c>
      <c r="AM978" s="1354">
        <f t="shared" si="323"/>
        <v>0</v>
      </c>
      <c r="AN978" s="1352" t="str">
        <f t="shared" si="324"/>
        <v>Shared Services - Tax Assessor Salaries &amp; Wages</v>
      </c>
    </row>
    <row r="979" spans="1:40" x14ac:dyDescent="0.2">
      <c r="A979" s="1324" t="str">
        <f>A978</f>
        <v>42-102</v>
      </c>
      <c r="B979" s="1324" t="s">
        <v>6001</v>
      </c>
      <c r="C979" s="1353">
        <f>'Key Metrics'!$D$368</f>
        <v>0</v>
      </c>
      <c r="D979" s="1353">
        <f>'Key Metrics'!$H$368</f>
        <v>0</v>
      </c>
      <c r="E979" s="1351">
        <f t="shared" si="330"/>
        <v>0</v>
      </c>
      <c r="F979" s="1353">
        <f t="shared" si="331"/>
        <v>0</v>
      </c>
      <c r="G979" s="1353">
        <f t="shared" si="332"/>
        <v>0</v>
      </c>
      <c r="H979" s="1353">
        <f t="shared" si="333"/>
        <v>0</v>
      </c>
      <c r="I979" s="1353">
        <f t="shared" si="334"/>
        <v>0</v>
      </c>
      <c r="J979" s="1353">
        <f t="shared" si="335"/>
        <v>0</v>
      </c>
      <c r="M979" s="1324" t="str">
        <f t="shared" si="336"/>
        <v>Shared Services - Tax Assessor Other Expenses</v>
      </c>
      <c r="N979" s="1368">
        <f t="shared" si="337"/>
        <v>0</v>
      </c>
      <c r="O979" s="1368">
        <f t="shared" si="338"/>
        <v>0</v>
      </c>
      <c r="P979" s="1368">
        <f t="shared" si="338"/>
        <v>0</v>
      </c>
      <c r="Q979" s="1368">
        <f t="shared" si="338"/>
        <v>0</v>
      </c>
      <c r="R979" s="1368">
        <f t="shared" si="338"/>
        <v>0</v>
      </c>
      <c r="T979" s="1369">
        <v>0.02</v>
      </c>
      <c r="U979" s="1369">
        <v>0.02</v>
      </c>
      <c r="V979" s="1369">
        <v>0.02</v>
      </c>
      <c r="W979" s="1369">
        <v>0.02</v>
      </c>
      <c r="X979" s="1369">
        <v>0.02</v>
      </c>
      <c r="Y979" s="1367"/>
      <c r="Z979" s="1370">
        <v>0</v>
      </c>
      <c r="AA979" s="1370">
        <v>0</v>
      </c>
      <c r="AB979" s="1370">
        <v>0</v>
      </c>
      <c r="AC979" s="1370">
        <v>0</v>
      </c>
      <c r="AD979" s="1370">
        <v>0</v>
      </c>
      <c r="AK979" s="1354">
        <f t="shared" si="306"/>
        <v>0</v>
      </c>
      <c r="AL979" s="1352">
        <f t="shared" si="339"/>
        <v>53</v>
      </c>
      <c r="AM979" s="1354">
        <f t="shared" si="323"/>
        <v>0</v>
      </c>
      <c r="AN979" s="1352" t="str">
        <f t="shared" si="324"/>
        <v>Shared Services - Tax Assessor Other Expenses</v>
      </c>
    </row>
    <row r="980" spans="1:40" x14ac:dyDescent="0.2">
      <c r="A980" s="1324" t="str">
        <f>A979</f>
        <v>42-102</v>
      </c>
      <c r="B980" s="1324" t="s">
        <v>6002</v>
      </c>
      <c r="C980" s="1353">
        <f>'Key Metrics'!$E$368</f>
        <v>0</v>
      </c>
      <c r="D980" s="1353">
        <f>'Key Metrics'!$I$368</f>
        <v>0</v>
      </c>
      <c r="E980" s="1351">
        <f t="shared" si="330"/>
        <v>0</v>
      </c>
      <c r="F980" s="1353">
        <f t="shared" si="331"/>
        <v>0</v>
      </c>
      <c r="G980" s="1353">
        <f t="shared" si="332"/>
        <v>0</v>
      </c>
      <c r="H980" s="1353">
        <f t="shared" si="333"/>
        <v>0</v>
      </c>
      <c r="I980" s="1353">
        <f t="shared" si="334"/>
        <v>0</v>
      </c>
      <c r="J980" s="1353">
        <f t="shared" si="335"/>
        <v>0</v>
      </c>
      <c r="M980" s="1324" t="str">
        <f t="shared" si="336"/>
        <v>Shared Services - Tax Assessor Unclassified</v>
      </c>
      <c r="N980" s="1368">
        <f t="shared" si="337"/>
        <v>0</v>
      </c>
      <c r="O980" s="1368">
        <f t="shared" si="338"/>
        <v>0</v>
      </c>
      <c r="P980" s="1368">
        <f t="shared" si="338"/>
        <v>0</v>
      </c>
      <c r="Q980" s="1368">
        <f t="shared" si="338"/>
        <v>0</v>
      </c>
      <c r="R980" s="1368">
        <f t="shared" si="338"/>
        <v>0</v>
      </c>
      <c r="T980" s="1369">
        <v>0.02</v>
      </c>
      <c r="U980" s="1369">
        <v>0.02</v>
      </c>
      <c r="V980" s="1369">
        <v>0.02</v>
      </c>
      <c r="W980" s="1369">
        <v>0.02</v>
      </c>
      <c r="X980" s="1369">
        <v>0.02</v>
      </c>
      <c r="Y980" s="1367"/>
      <c r="Z980" s="1370">
        <v>0</v>
      </c>
      <c r="AA980" s="1370">
        <v>0</v>
      </c>
      <c r="AB980" s="1370">
        <v>0</v>
      </c>
      <c r="AC980" s="1370">
        <v>0</v>
      </c>
      <c r="AD980" s="1370">
        <v>0</v>
      </c>
      <c r="AK980" s="1354">
        <f t="shared" ref="AK980:AK1043" si="340">SUM(C980:D980,F980:J980)</f>
        <v>0</v>
      </c>
      <c r="AL980" s="1352">
        <f t="shared" si="339"/>
        <v>53</v>
      </c>
      <c r="AM980" s="1354">
        <f t="shared" si="323"/>
        <v>0</v>
      </c>
      <c r="AN980" s="1352" t="str">
        <f t="shared" si="324"/>
        <v>Shared Services - Tax Assessor Unclassified</v>
      </c>
    </row>
    <row r="981" spans="1:40" x14ac:dyDescent="0.2">
      <c r="A981" s="1324" t="s">
        <v>5078</v>
      </c>
      <c r="B981" s="1324" t="s">
        <v>5749</v>
      </c>
      <c r="C981" s="1353">
        <f>'Key Metrics'!$C$369</f>
        <v>0</v>
      </c>
      <c r="D981" s="1353">
        <f>'Key Metrics'!$G$369</f>
        <v>0</v>
      </c>
      <c r="E981" s="1351">
        <f t="shared" si="330"/>
        <v>0</v>
      </c>
      <c r="F981" s="1353">
        <f t="shared" si="331"/>
        <v>0</v>
      </c>
      <c r="G981" s="1353">
        <f t="shared" si="332"/>
        <v>0</v>
      </c>
      <c r="H981" s="1353">
        <f t="shared" si="333"/>
        <v>0</v>
      </c>
      <c r="I981" s="1353">
        <f t="shared" si="334"/>
        <v>0</v>
      </c>
      <c r="J981" s="1353">
        <f t="shared" si="335"/>
        <v>0</v>
      </c>
      <c r="M981" s="1324" t="str">
        <f t="shared" si="336"/>
        <v>Shared Services - Tax Collector Salaries &amp; Wages</v>
      </c>
      <c r="N981" s="1368">
        <f t="shared" si="337"/>
        <v>0</v>
      </c>
      <c r="O981" s="1368">
        <f t="shared" si="338"/>
        <v>0</v>
      </c>
      <c r="P981" s="1368">
        <f t="shared" si="338"/>
        <v>0</v>
      </c>
      <c r="Q981" s="1368">
        <f t="shared" si="338"/>
        <v>0</v>
      </c>
      <c r="R981" s="1368">
        <f t="shared" si="338"/>
        <v>0</v>
      </c>
      <c r="T981" s="1369">
        <v>0.02</v>
      </c>
      <c r="U981" s="1369">
        <v>0.02</v>
      </c>
      <c r="V981" s="1369">
        <v>0.02</v>
      </c>
      <c r="W981" s="1369">
        <v>0.02</v>
      </c>
      <c r="X981" s="1369">
        <v>0.02</v>
      </c>
      <c r="Y981" s="1367"/>
      <c r="Z981" s="1370">
        <v>0</v>
      </c>
      <c r="AA981" s="1370">
        <v>0</v>
      </c>
      <c r="AB981" s="1370">
        <v>0</v>
      </c>
      <c r="AC981" s="1370">
        <v>0</v>
      </c>
      <c r="AD981" s="1370">
        <v>0</v>
      </c>
      <c r="AK981" s="1354">
        <f t="shared" si="340"/>
        <v>0</v>
      </c>
      <c r="AL981" s="1352">
        <f t="shared" si="339"/>
        <v>53</v>
      </c>
      <c r="AM981" s="1354">
        <f t="shared" si="323"/>
        <v>0</v>
      </c>
      <c r="AN981" s="1352" t="str">
        <f t="shared" si="324"/>
        <v>Shared Services - Tax Collector Salaries &amp; Wages</v>
      </c>
    </row>
    <row r="982" spans="1:40" x14ac:dyDescent="0.2">
      <c r="A982" s="1324" t="str">
        <f>A981</f>
        <v>42-103</v>
      </c>
      <c r="B982" s="1324" t="s">
        <v>6003</v>
      </c>
      <c r="C982" s="1353">
        <f>'Key Metrics'!$D$369</f>
        <v>0</v>
      </c>
      <c r="D982" s="1353">
        <f>'Key Metrics'!$H$369</f>
        <v>0</v>
      </c>
      <c r="E982" s="1351">
        <f t="shared" si="330"/>
        <v>0</v>
      </c>
      <c r="F982" s="1353">
        <f t="shared" si="331"/>
        <v>0</v>
      </c>
      <c r="G982" s="1353">
        <f t="shared" si="332"/>
        <v>0</v>
      </c>
      <c r="H982" s="1353">
        <f t="shared" si="333"/>
        <v>0</v>
      </c>
      <c r="I982" s="1353">
        <f t="shared" si="334"/>
        <v>0</v>
      </c>
      <c r="J982" s="1353">
        <f t="shared" si="335"/>
        <v>0</v>
      </c>
      <c r="M982" s="1324" t="str">
        <f t="shared" si="336"/>
        <v>Shared Services - Tax Collector Other Expenses</v>
      </c>
      <c r="N982" s="1368">
        <f t="shared" si="337"/>
        <v>0</v>
      </c>
      <c r="O982" s="1368">
        <f t="shared" si="338"/>
        <v>0</v>
      </c>
      <c r="P982" s="1368">
        <f t="shared" si="338"/>
        <v>0</v>
      </c>
      <c r="Q982" s="1368">
        <f t="shared" si="338"/>
        <v>0</v>
      </c>
      <c r="R982" s="1368">
        <f t="shared" si="338"/>
        <v>0</v>
      </c>
      <c r="T982" s="1369">
        <v>0.02</v>
      </c>
      <c r="U982" s="1369">
        <v>0.02</v>
      </c>
      <c r="V982" s="1369">
        <v>0.02</v>
      </c>
      <c r="W982" s="1369">
        <v>0.02</v>
      </c>
      <c r="X982" s="1369">
        <v>0.02</v>
      </c>
      <c r="Y982" s="1367"/>
      <c r="Z982" s="1370">
        <v>0</v>
      </c>
      <c r="AA982" s="1370">
        <v>0</v>
      </c>
      <c r="AB982" s="1370">
        <v>0</v>
      </c>
      <c r="AC982" s="1370">
        <v>0</v>
      </c>
      <c r="AD982" s="1370">
        <v>0</v>
      </c>
      <c r="AK982" s="1354">
        <f t="shared" si="340"/>
        <v>0</v>
      </c>
      <c r="AL982" s="1352">
        <f t="shared" si="339"/>
        <v>53</v>
      </c>
      <c r="AM982" s="1354">
        <f t="shared" si="323"/>
        <v>0</v>
      </c>
      <c r="AN982" s="1352" t="str">
        <f t="shared" si="324"/>
        <v>Shared Services - Tax Collector Other Expenses</v>
      </c>
    </row>
    <row r="983" spans="1:40" x14ac:dyDescent="0.2">
      <c r="A983" s="1324" t="str">
        <f>A982</f>
        <v>42-103</v>
      </c>
      <c r="B983" s="1324" t="s">
        <v>6004</v>
      </c>
      <c r="C983" s="1353">
        <f>'Key Metrics'!$E$369</f>
        <v>0</v>
      </c>
      <c r="D983" s="1353">
        <f>'Key Metrics'!$I$369</f>
        <v>0</v>
      </c>
      <c r="E983" s="1351">
        <f t="shared" si="330"/>
        <v>0</v>
      </c>
      <c r="F983" s="1353">
        <f t="shared" si="331"/>
        <v>0</v>
      </c>
      <c r="G983" s="1353">
        <f t="shared" si="332"/>
        <v>0</v>
      </c>
      <c r="H983" s="1353">
        <f t="shared" si="333"/>
        <v>0</v>
      </c>
      <c r="I983" s="1353">
        <f t="shared" si="334"/>
        <v>0</v>
      </c>
      <c r="J983" s="1353">
        <f t="shared" si="335"/>
        <v>0</v>
      </c>
      <c r="M983" s="1324" t="str">
        <f t="shared" si="336"/>
        <v>Shared Services - Tax Collector Unclassified</v>
      </c>
      <c r="N983" s="1368">
        <f t="shared" si="337"/>
        <v>0</v>
      </c>
      <c r="O983" s="1368">
        <f t="shared" si="338"/>
        <v>0</v>
      </c>
      <c r="P983" s="1368">
        <f t="shared" si="338"/>
        <v>0</v>
      </c>
      <c r="Q983" s="1368">
        <f t="shared" si="338"/>
        <v>0</v>
      </c>
      <c r="R983" s="1368">
        <f t="shared" si="338"/>
        <v>0</v>
      </c>
      <c r="T983" s="1369">
        <v>0.02</v>
      </c>
      <c r="U983" s="1369">
        <v>0.02</v>
      </c>
      <c r="V983" s="1369">
        <v>0.02</v>
      </c>
      <c r="W983" s="1369">
        <v>0.02</v>
      </c>
      <c r="X983" s="1369">
        <v>0.02</v>
      </c>
      <c r="Y983" s="1367"/>
      <c r="Z983" s="1370">
        <v>0</v>
      </c>
      <c r="AA983" s="1370">
        <v>0</v>
      </c>
      <c r="AB983" s="1370">
        <v>0</v>
      </c>
      <c r="AC983" s="1370">
        <v>0</v>
      </c>
      <c r="AD983" s="1370">
        <v>0</v>
      </c>
      <c r="AK983" s="1354">
        <f t="shared" si="340"/>
        <v>0</v>
      </c>
      <c r="AL983" s="1352">
        <f t="shared" si="339"/>
        <v>53</v>
      </c>
      <c r="AM983" s="1354">
        <f t="shared" si="323"/>
        <v>0</v>
      </c>
      <c r="AN983" s="1352" t="str">
        <f t="shared" si="324"/>
        <v>Shared Services - Tax Collector Unclassified</v>
      </c>
    </row>
    <row r="984" spans="1:40" x14ac:dyDescent="0.2">
      <c r="A984" s="1324" t="s">
        <v>5086</v>
      </c>
      <c r="B984" s="1324" t="s">
        <v>5750</v>
      </c>
      <c r="C984" s="1353">
        <f>'Key Metrics'!$C$370</f>
        <v>0</v>
      </c>
      <c r="D984" s="1353">
        <f>'Key Metrics'!$G$370</f>
        <v>0</v>
      </c>
      <c r="E984" s="1351">
        <f t="shared" si="330"/>
        <v>0</v>
      </c>
      <c r="F984" s="1353">
        <f t="shared" si="331"/>
        <v>0</v>
      </c>
      <c r="G984" s="1353">
        <f t="shared" si="332"/>
        <v>0</v>
      </c>
      <c r="H984" s="1353">
        <f t="shared" si="333"/>
        <v>0</v>
      </c>
      <c r="I984" s="1353">
        <f t="shared" si="334"/>
        <v>0</v>
      </c>
      <c r="J984" s="1353">
        <f t="shared" si="335"/>
        <v>0</v>
      </c>
      <c r="M984" s="1324" t="str">
        <f t="shared" si="336"/>
        <v>Shared Services - Chief Financial Officer Salaries &amp; Wages</v>
      </c>
      <c r="N984" s="1368">
        <f t="shared" si="337"/>
        <v>0</v>
      </c>
      <c r="O984" s="1368">
        <f t="shared" si="338"/>
        <v>0</v>
      </c>
      <c r="P984" s="1368">
        <f t="shared" si="338"/>
        <v>0</v>
      </c>
      <c r="Q984" s="1368">
        <f t="shared" si="338"/>
        <v>0</v>
      </c>
      <c r="R984" s="1368">
        <f t="shared" si="338"/>
        <v>0</v>
      </c>
      <c r="T984" s="1369">
        <v>0.02</v>
      </c>
      <c r="U984" s="1369">
        <v>0.02</v>
      </c>
      <c r="V984" s="1369">
        <v>0.02</v>
      </c>
      <c r="W984" s="1369">
        <v>0.02</v>
      </c>
      <c r="X984" s="1369">
        <v>0.02</v>
      </c>
      <c r="Y984" s="1367"/>
      <c r="Z984" s="1370">
        <v>0</v>
      </c>
      <c r="AA984" s="1370">
        <v>0</v>
      </c>
      <c r="AB984" s="1370">
        <v>0</v>
      </c>
      <c r="AC984" s="1370">
        <v>0</v>
      </c>
      <c r="AD984" s="1370">
        <v>0</v>
      </c>
      <c r="AK984" s="1354">
        <f t="shared" si="340"/>
        <v>0</v>
      </c>
      <c r="AL984" s="1352">
        <f t="shared" si="339"/>
        <v>53</v>
      </c>
      <c r="AM984" s="1354">
        <f t="shared" si="323"/>
        <v>0</v>
      </c>
      <c r="AN984" s="1352" t="str">
        <f t="shared" si="324"/>
        <v>Shared Services - Chief Financial Officer Salaries &amp; Wages</v>
      </c>
    </row>
    <row r="985" spans="1:40" x14ac:dyDescent="0.2">
      <c r="A985" s="1324" t="str">
        <f>A984</f>
        <v>42-104</v>
      </c>
      <c r="B985" s="1324" t="s">
        <v>6005</v>
      </c>
      <c r="C985" s="1353">
        <f>'Key Metrics'!$D$370</f>
        <v>0</v>
      </c>
      <c r="D985" s="1353">
        <f>'Key Metrics'!$H$370</f>
        <v>0</v>
      </c>
      <c r="E985" s="1351">
        <f t="shared" si="330"/>
        <v>0</v>
      </c>
      <c r="F985" s="1353">
        <f t="shared" si="331"/>
        <v>0</v>
      </c>
      <c r="G985" s="1353">
        <f t="shared" si="332"/>
        <v>0</v>
      </c>
      <c r="H985" s="1353">
        <f t="shared" si="333"/>
        <v>0</v>
      </c>
      <c r="I985" s="1353">
        <f t="shared" si="334"/>
        <v>0</v>
      </c>
      <c r="J985" s="1353">
        <f t="shared" si="335"/>
        <v>0</v>
      </c>
      <c r="M985" s="1324" t="str">
        <f t="shared" si="336"/>
        <v>Shared Services - Chief Financial Officer Other Expenses</v>
      </c>
      <c r="N985" s="1368">
        <f t="shared" si="337"/>
        <v>0</v>
      </c>
      <c r="O985" s="1368">
        <f t="shared" si="338"/>
        <v>0</v>
      </c>
      <c r="P985" s="1368">
        <f t="shared" si="338"/>
        <v>0</v>
      </c>
      <c r="Q985" s="1368">
        <f t="shared" si="338"/>
        <v>0</v>
      </c>
      <c r="R985" s="1368">
        <f t="shared" si="338"/>
        <v>0</v>
      </c>
      <c r="T985" s="1369">
        <v>0.02</v>
      </c>
      <c r="U985" s="1369">
        <v>0.02</v>
      </c>
      <c r="V985" s="1369">
        <v>0.02</v>
      </c>
      <c r="W985" s="1369">
        <v>0.02</v>
      </c>
      <c r="X985" s="1369">
        <v>0.02</v>
      </c>
      <c r="Y985" s="1367"/>
      <c r="Z985" s="1370">
        <v>0</v>
      </c>
      <c r="AA985" s="1370">
        <v>0</v>
      </c>
      <c r="AB985" s="1370">
        <v>0</v>
      </c>
      <c r="AC985" s="1370">
        <v>0</v>
      </c>
      <c r="AD985" s="1370">
        <v>0</v>
      </c>
      <c r="AK985" s="1354">
        <f t="shared" si="340"/>
        <v>0</v>
      </c>
      <c r="AL985" s="1352">
        <f t="shared" si="339"/>
        <v>53</v>
      </c>
      <c r="AM985" s="1354">
        <f t="shared" si="323"/>
        <v>0</v>
      </c>
      <c r="AN985" s="1352" t="str">
        <f t="shared" si="324"/>
        <v>Shared Services - Chief Financial Officer Other Expenses</v>
      </c>
    </row>
    <row r="986" spans="1:40" x14ac:dyDescent="0.2">
      <c r="A986" s="1324" t="str">
        <f>A985</f>
        <v>42-104</v>
      </c>
      <c r="B986" s="1324" t="s">
        <v>6006</v>
      </c>
      <c r="C986" s="1353">
        <f>'Key Metrics'!$E$370</f>
        <v>0</v>
      </c>
      <c r="D986" s="1353">
        <f>'Key Metrics'!$I$370</f>
        <v>0</v>
      </c>
      <c r="E986" s="1351">
        <f t="shared" si="330"/>
        <v>0</v>
      </c>
      <c r="F986" s="1353">
        <f t="shared" si="331"/>
        <v>0</v>
      </c>
      <c r="G986" s="1353">
        <f t="shared" si="332"/>
        <v>0</v>
      </c>
      <c r="H986" s="1353">
        <f t="shared" si="333"/>
        <v>0</v>
      </c>
      <c r="I986" s="1353">
        <f t="shared" si="334"/>
        <v>0</v>
      </c>
      <c r="J986" s="1353">
        <f t="shared" si="335"/>
        <v>0</v>
      </c>
      <c r="M986" s="1324" t="str">
        <f t="shared" si="336"/>
        <v>Shared Services - Chief Financial Officer Unclassified</v>
      </c>
      <c r="N986" s="1368">
        <f t="shared" si="337"/>
        <v>0</v>
      </c>
      <c r="O986" s="1368">
        <f t="shared" si="338"/>
        <v>0</v>
      </c>
      <c r="P986" s="1368">
        <f t="shared" si="338"/>
        <v>0</v>
      </c>
      <c r="Q986" s="1368">
        <f t="shared" si="338"/>
        <v>0</v>
      </c>
      <c r="R986" s="1368">
        <f t="shared" si="338"/>
        <v>0</v>
      </c>
      <c r="T986" s="1369">
        <v>0.02</v>
      </c>
      <c r="U986" s="1369">
        <v>0.02</v>
      </c>
      <c r="V986" s="1369">
        <v>0.02</v>
      </c>
      <c r="W986" s="1369">
        <v>0.02</v>
      </c>
      <c r="X986" s="1369">
        <v>0.02</v>
      </c>
      <c r="Y986" s="1367"/>
      <c r="Z986" s="1370">
        <v>0</v>
      </c>
      <c r="AA986" s="1370">
        <v>0</v>
      </c>
      <c r="AB986" s="1370">
        <v>0</v>
      </c>
      <c r="AC986" s="1370">
        <v>0</v>
      </c>
      <c r="AD986" s="1370">
        <v>0</v>
      </c>
      <c r="AK986" s="1354">
        <f t="shared" si="340"/>
        <v>0</v>
      </c>
      <c r="AL986" s="1352">
        <f t="shared" si="339"/>
        <v>53</v>
      </c>
      <c r="AM986" s="1354">
        <f t="shared" si="323"/>
        <v>0</v>
      </c>
      <c r="AN986" s="1352" t="str">
        <f t="shared" si="324"/>
        <v>Shared Services - Chief Financial Officer Unclassified</v>
      </c>
    </row>
    <row r="987" spans="1:40" x14ac:dyDescent="0.2">
      <c r="A987" s="1324" t="s">
        <v>5092</v>
      </c>
      <c r="B987" s="1324" t="s">
        <v>5751</v>
      </c>
      <c r="C987" s="1353">
        <f>'Key Metrics'!$C$371</f>
        <v>0</v>
      </c>
      <c r="D987" s="1353">
        <f>'Key Metrics'!$G$371</f>
        <v>0</v>
      </c>
      <c r="E987" s="1351">
        <f t="shared" si="330"/>
        <v>0</v>
      </c>
      <c r="F987" s="1353">
        <f t="shared" si="331"/>
        <v>0</v>
      </c>
      <c r="G987" s="1353">
        <f t="shared" si="332"/>
        <v>0</v>
      </c>
      <c r="H987" s="1353">
        <f t="shared" si="333"/>
        <v>0</v>
      </c>
      <c r="I987" s="1353">
        <f t="shared" si="334"/>
        <v>0</v>
      </c>
      <c r="J987" s="1353">
        <f t="shared" si="335"/>
        <v>0</v>
      </c>
      <c r="M987" s="1324" t="str">
        <f t="shared" si="336"/>
        <v>Shared Services - Public Works Department Salaries &amp; Wages</v>
      </c>
      <c r="N987" s="1368">
        <f t="shared" si="337"/>
        <v>0</v>
      </c>
      <c r="O987" s="1368">
        <f t="shared" si="338"/>
        <v>0</v>
      </c>
      <c r="P987" s="1368">
        <f t="shared" si="338"/>
        <v>0</v>
      </c>
      <c r="Q987" s="1368">
        <f t="shared" si="338"/>
        <v>0</v>
      </c>
      <c r="R987" s="1368">
        <f t="shared" si="338"/>
        <v>0</v>
      </c>
      <c r="T987" s="1369">
        <v>0.02</v>
      </c>
      <c r="U987" s="1369">
        <v>0.02</v>
      </c>
      <c r="V987" s="1369">
        <v>0.02</v>
      </c>
      <c r="W987" s="1369">
        <v>0.02</v>
      </c>
      <c r="X987" s="1369">
        <v>0.02</v>
      </c>
      <c r="Y987" s="1367"/>
      <c r="Z987" s="1370">
        <v>0</v>
      </c>
      <c r="AA987" s="1370">
        <v>0</v>
      </c>
      <c r="AB987" s="1370">
        <v>0</v>
      </c>
      <c r="AC987" s="1370">
        <v>0</v>
      </c>
      <c r="AD987" s="1370">
        <v>0</v>
      </c>
      <c r="AK987" s="1354">
        <f t="shared" si="340"/>
        <v>0</v>
      </c>
      <c r="AL987" s="1352">
        <f t="shared" si="339"/>
        <v>53</v>
      </c>
      <c r="AM987" s="1354">
        <f t="shared" si="323"/>
        <v>0</v>
      </c>
      <c r="AN987" s="1352" t="str">
        <f t="shared" si="324"/>
        <v>Shared Services - Public Works Department Salaries &amp; Wages</v>
      </c>
    </row>
    <row r="988" spans="1:40" x14ac:dyDescent="0.2">
      <c r="A988" s="1324" t="str">
        <f>A987</f>
        <v>42-105</v>
      </c>
      <c r="B988" s="1324" t="s">
        <v>6007</v>
      </c>
      <c r="C988" s="1353">
        <f>'Key Metrics'!$D$371</f>
        <v>0</v>
      </c>
      <c r="D988" s="1353">
        <f>'Key Metrics'!$H$371</f>
        <v>0</v>
      </c>
      <c r="E988" s="1351">
        <f t="shared" si="330"/>
        <v>0</v>
      </c>
      <c r="F988" s="1353">
        <f t="shared" si="331"/>
        <v>0</v>
      </c>
      <c r="G988" s="1353">
        <f t="shared" si="332"/>
        <v>0</v>
      </c>
      <c r="H988" s="1353">
        <f t="shared" si="333"/>
        <v>0</v>
      </c>
      <c r="I988" s="1353">
        <f t="shared" si="334"/>
        <v>0</v>
      </c>
      <c r="J988" s="1353">
        <f t="shared" si="335"/>
        <v>0</v>
      </c>
      <c r="M988" s="1324" t="str">
        <f t="shared" si="336"/>
        <v>Shared Services - Public Works Department Other Expenses</v>
      </c>
      <c r="N988" s="1368">
        <f t="shared" si="337"/>
        <v>0</v>
      </c>
      <c r="O988" s="1368">
        <f t="shared" si="338"/>
        <v>0</v>
      </c>
      <c r="P988" s="1368">
        <f t="shared" si="338"/>
        <v>0</v>
      </c>
      <c r="Q988" s="1368">
        <f t="shared" si="338"/>
        <v>0</v>
      </c>
      <c r="R988" s="1368">
        <f t="shared" si="338"/>
        <v>0</v>
      </c>
      <c r="T988" s="1369">
        <v>0.02</v>
      </c>
      <c r="U988" s="1369">
        <v>0.02</v>
      </c>
      <c r="V988" s="1369">
        <v>0.02</v>
      </c>
      <c r="W988" s="1369">
        <v>0.02</v>
      </c>
      <c r="X988" s="1369">
        <v>0.02</v>
      </c>
      <c r="Y988" s="1367"/>
      <c r="Z988" s="1370">
        <v>0</v>
      </c>
      <c r="AA988" s="1370">
        <v>0</v>
      </c>
      <c r="AB988" s="1370">
        <v>0</v>
      </c>
      <c r="AC988" s="1370">
        <v>0</v>
      </c>
      <c r="AD988" s="1370">
        <v>0</v>
      </c>
      <c r="AK988" s="1354">
        <f t="shared" si="340"/>
        <v>0</v>
      </c>
      <c r="AL988" s="1352">
        <f t="shared" si="339"/>
        <v>53</v>
      </c>
      <c r="AM988" s="1354">
        <f t="shared" si="323"/>
        <v>0</v>
      </c>
      <c r="AN988" s="1352" t="str">
        <f t="shared" si="324"/>
        <v>Shared Services - Public Works Department Other Expenses</v>
      </c>
    </row>
    <row r="989" spans="1:40" x14ac:dyDescent="0.2">
      <c r="A989" s="1324" t="str">
        <f>A988</f>
        <v>42-105</v>
      </c>
      <c r="B989" s="1324" t="s">
        <v>6008</v>
      </c>
      <c r="C989" s="1353">
        <f>'Key Metrics'!$E$371</f>
        <v>0</v>
      </c>
      <c r="D989" s="1353">
        <f>'Key Metrics'!$I$371</f>
        <v>0</v>
      </c>
      <c r="E989" s="1351">
        <f t="shared" si="330"/>
        <v>0</v>
      </c>
      <c r="F989" s="1353">
        <f t="shared" si="331"/>
        <v>0</v>
      </c>
      <c r="G989" s="1353">
        <f t="shared" si="332"/>
        <v>0</v>
      </c>
      <c r="H989" s="1353">
        <f t="shared" si="333"/>
        <v>0</v>
      </c>
      <c r="I989" s="1353">
        <f t="shared" si="334"/>
        <v>0</v>
      </c>
      <c r="J989" s="1353">
        <f t="shared" si="335"/>
        <v>0</v>
      </c>
      <c r="M989" s="1324" t="str">
        <f t="shared" si="336"/>
        <v>Shared Services - Public Works Department Unclassified</v>
      </c>
      <c r="N989" s="1368">
        <f t="shared" si="337"/>
        <v>0</v>
      </c>
      <c r="O989" s="1368">
        <f t="shared" si="338"/>
        <v>0</v>
      </c>
      <c r="P989" s="1368">
        <f t="shared" si="338"/>
        <v>0</v>
      </c>
      <c r="Q989" s="1368">
        <f t="shared" si="338"/>
        <v>0</v>
      </c>
      <c r="R989" s="1368">
        <f t="shared" si="338"/>
        <v>0</v>
      </c>
      <c r="T989" s="1369">
        <v>0.02</v>
      </c>
      <c r="U989" s="1369">
        <v>0.02</v>
      </c>
      <c r="V989" s="1369">
        <v>0.02</v>
      </c>
      <c r="W989" s="1369">
        <v>0.02</v>
      </c>
      <c r="X989" s="1369">
        <v>0.02</v>
      </c>
      <c r="Y989" s="1367"/>
      <c r="Z989" s="1370">
        <v>0</v>
      </c>
      <c r="AA989" s="1370">
        <v>0</v>
      </c>
      <c r="AB989" s="1370">
        <v>0</v>
      </c>
      <c r="AC989" s="1370">
        <v>0</v>
      </c>
      <c r="AD989" s="1370">
        <v>0</v>
      </c>
      <c r="AK989" s="1354">
        <f t="shared" si="340"/>
        <v>0</v>
      </c>
      <c r="AL989" s="1352">
        <f t="shared" si="339"/>
        <v>53</v>
      </c>
      <c r="AM989" s="1354">
        <f t="shared" si="323"/>
        <v>0</v>
      </c>
      <c r="AN989" s="1352" t="str">
        <f t="shared" si="324"/>
        <v>Shared Services - Public Works Department Unclassified</v>
      </c>
    </row>
    <row r="990" spans="1:40" x14ac:dyDescent="0.2">
      <c r="A990" s="1324" t="s">
        <v>5099</v>
      </c>
      <c r="B990" s="1324" t="s">
        <v>5752</v>
      </c>
      <c r="C990" s="1353">
        <f>'Key Metrics'!$C$372</f>
        <v>0</v>
      </c>
      <c r="D990" s="1353">
        <f>'Key Metrics'!$G$372</f>
        <v>0</v>
      </c>
      <c r="E990" s="1351">
        <f t="shared" si="330"/>
        <v>0</v>
      </c>
      <c r="F990" s="1353">
        <f t="shared" si="331"/>
        <v>0</v>
      </c>
      <c r="G990" s="1353">
        <f t="shared" si="332"/>
        <v>0</v>
      </c>
      <c r="H990" s="1353">
        <f t="shared" si="333"/>
        <v>0</v>
      </c>
      <c r="I990" s="1353">
        <f t="shared" si="334"/>
        <v>0</v>
      </c>
      <c r="J990" s="1353">
        <f t="shared" si="335"/>
        <v>0</v>
      </c>
      <c r="M990" s="1324" t="str">
        <f t="shared" si="336"/>
        <v>Shared Services - Police Department Salaries &amp; Wages</v>
      </c>
      <c r="N990" s="1368">
        <f t="shared" si="337"/>
        <v>0</v>
      </c>
      <c r="O990" s="1368">
        <f t="shared" si="338"/>
        <v>0</v>
      </c>
      <c r="P990" s="1368">
        <f t="shared" si="338"/>
        <v>0</v>
      </c>
      <c r="Q990" s="1368">
        <f t="shared" si="338"/>
        <v>0</v>
      </c>
      <c r="R990" s="1368">
        <f t="shared" si="338"/>
        <v>0</v>
      </c>
      <c r="T990" s="1369">
        <v>0.02</v>
      </c>
      <c r="U990" s="1369">
        <v>0.02</v>
      </c>
      <c r="V990" s="1369">
        <v>0.02</v>
      </c>
      <c r="W990" s="1369">
        <v>0.02</v>
      </c>
      <c r="X990" s="1369">
        <v>0.02</v>
      </c>
      <c r="Y990" s="1367"/>
      <c r="Z990" s="1370">
        <v>0</v>
      </c>
      <c r="AA990" s="1370">
        <v>0</v>
      </c>
      <c r="AB990" s="1370">
        <v>0</v>
      </c>
      <c r="AC990" s="1370">
        <v>0</v>
      </c>
      <c r="AD990" s="1370">
        <v>0</v>
      </c>
      <c r="AK990" s="1354">
        <f t="shared" si="340"/>
        <v>0</v>
      </c>
      <c r="AL990" s="1352">
        <f t="shared" si="339"/>
        <v>53</v>
      </c>
      <c r="AM990" s="1354">
        <f t="shared" si="323"/>
        <v>0</v>
      </c>
      <c r="AN990" s="1352" t="str">
        <f t="shared" si="324"/>
        <v>Shared Services - Police Department Salaries &amp; Wages</v>
      </c>
    </row>
    <row r="991" spans="1:40" x14ac:dyDescent="0.2">
      <c r="A991" s="1324" t="str">
        <f>A990</f>
        <v>42-106</v>
      </c>
      <c r="B991" s="1324" t="s">
        <v>6009</v>
      </c>
      <c r="C991" s="1353">
        <f>'Key Metrics'!$D$372</f>
        <v>0</v>
      </c>
      <c r="D991" s="1353">
        <f>'Key Metrics'!$H$372</f>
        <v>0</v>
      </c>
      <c r="E991" s="1351">
        <f t="shared" si="330"/>
        <v>0</v>
      </c>
      <c r="F991" s="1353">
        <f t="shared" si="331"/>
        <v>0</v>
      </c>
      <c r="G991" s="1353">
        <f t="shared" si="332"/>
        <v>0</v>
      </c>
      <c r="H991" s="1353">
        <f t="shared" si="333"/>
        <v>0</v>
      </c>
      <c r="I991" s="1353">
        <f t="shared" si="334"/>
        <v>0</v>
      </c>
      <c r="J991" s="1353">
        <f t="shared" si="335"/>
        <v>0</v>
      </c>
      <c r="M991" s="1324" t="str">
        <f t="shared" si="336"/>
        <v>Shared Services - Police Department Other Expenses</v>
      </c>
      <c r="N991" s="1368">
        <f t="shared" si="337"/>
        <v>0</v>
      </c>
      <c r="O991" s="1368">
        <f t="shared" si="338"/>
        <v>0</v>
      </c>
      <c r="P991" s="1368">
        <f t="shared" si="338"/>
        <v>0</v>
      </c>
      <c r="Q991" s="1368">
        <f t="shared" si="338"/>
        <v>0</v>
      </c>
      <c r="R991" s="1368">
        <f t="shared" si="338"/>
        <v>0</v>
      </c>
      <c r="T991" s="1369">
        <v>0.02</v>
      </c>
      <c r="U991" s="1369">
        <v>0.02</v>
      </c>
      <c r="V991" s="1369">
        <v>0.02</v>
      </c>
      <c r="W991" s="1369">
        <v>0.02</v>
      </c>
      <c r="X991" s="1369">
        <v>0.02</v>
      </c>
      <c r="Y991" s="1367"/>
      <c r="Z991" s="1370">
        <v>0</v>
      </c>
      <c r="AA991" s="1370">
        <v>0</v>
      </c>
      <c r="AB991" s="1370">
        <v>0</v>
      </c>
      <c r="AC991" s="1370">
        <v>0</v>
      </c>
      <c r="AD991" s="1370">
        <v>0</v>
      </c>
      <c r="AK991" s="1354">
        <f t="shared" si="340"/>
        <v>0</v>
      </c>
      <c r="AL991" s="1352">
        <f t="shared" si="339"/>
        <v>53</v>
      </c>
      <c r="AM991" s="1354">
        <f t="shared" si="323"/>
        <v>0</v>
      </c>
      <c r="AN991" s="1352" t="str">
        <f t="shared" si="324"/>
        <v>Shared Services - Police Department Other Expenses</v>
      </c>
    </row>
    <row r="992" spans="1:40" x14ac:dyDescent="0.2">
      <c r="A992" s="1324" t="str">
        <f>A991</f>
        <v>42-106</v>
      </c>
      <c r="B992" s="1324" t="s">
        <v>6010</v>
      </c>
      <c r="C992" s="1353">
        <f>'Key Metrics'!$E$372</f>
        <v>0</v>
      </c>
      <c r="D992" s="1353">
        <f>'Key Metrics'!$I$372</f>
        <v>0</v>
      </c>
      <c r="E992" s="1351">
        <f t="shared" si="330"/>
        <v>0</v>
      </c>
      <c r="F992" s="1353">
        <f t="shared" si="331"/>
        <v>0</v>
      </c>
      <c r="G992" s="1353">
        <f t="shared" si="332"/>
        <v>0</v>
      </c>
      <c r="H992" s="1353">
        <f t="shared" si="333"/>
        <v>0</v>
      </c>
      <c r="I992" s="1353">
        <f t="shared" si="334"/>
        <v>0</v>
      </c>
      <c r="J992" s="1353">
        <f t="shared" si="335"/>
        <v>0</v>
      </c>
      <c r="M992" s="1324" t="str">
        <f t="shared" si="336"/>
        <v>Shared Services - Police Department Unclassified</v>
      </c>
      <c r="N992" s="1368">
        <f t="shared" si="337"/>
        <v>0</v>
      </c>
      <c r="O992" s="1368">
        <f t="shared" si="338"/>
        <v>0</v>
      </c>
      <c r="P992" s="1368">
        <f t="shared" si="338"/>
        <v>0</v>
      </c>
      <c r="Q992" s="1368">
        <f t="shared" si="338"/>
        <v>0</v>
      </c>
      <c r="R992" s="1368">
        <f t="shared" si="338"/>
        <v>0</v>
      </c>
      <c r="T992" s="1369">
        <v>0.02</v>
      </c>
      <c r="U992" s="1369">
        <v>0.02</v>
      </c>
      <c r="V992" s="1369">
        <v>0.02</v>
      </c>
      <c r="W992" s="1369">
        <v>0.02</v>
      </c>
      <c r="X992" s="1369">
        <v>0.02</v>
      </c>
      <c r="Y992" s="1367"/>
      <c r="Z992" s="1370">
        <v>0</v>
      </c>
      <c r="AA992" s="1370">
        <v>0</v>
      </c>
      <c r="AB992" s="1370">
        <v>0</v>
      </c>
      <c r="AC992" s="1370">
        <v>0</v>
      </c>
      <c r="AD992" s="1370">
        <v>0</v>
      </c>
      <c r="AK992" s="1354">
        <f t="shared" si="340"/>
        <v>0</v>
      </c>
      <c r="AL992" s="1352">
        <f t="shared" si="339"/>
        <v>53</v>
      </c>
      <c r="AM992" s="1354">
        <f t="shared" si="323"/>
        <v>0</v>
      </c>
      <c r="AN992" s="1352" t="str">
        <f t="shared" si="324"/>
        <v>Shared Services - Police Department Unclassified</v>
      </c>
    </row>
    <row r="993" spans="1:40" x14ac:dyDescent="0.2">
      <c r="A993" s="1324" t="s">
        <v>5104</v>
      </c>
      <c r="B993" s="1324" t="s">
        <v>5753</v>
      </c>
      <c r="C993" s="1353">
        <f>'Key Metrics'!$C$373</f>
        <v>0</v>
      </c>
      <c r="D993" s="1353">
        <f>'Key Metrics'!$G$373</f>
        <v>0</v>
      </c>
      <c r="E993" s="1351">
        <f t="shared" si="330"/>
        <v>0</v>
      </c>
      <c r="F993" s="1353">
        <f t="shared" si="331"/>
        <v>0</v>
      </c>
      <c r="G993" s="1353">
        <f t="shared" si="332"/>
        <v>0</v>
      </c>
      <c r="H993" s="1353">
        <f t="shared" si="333"/>
        <v>0</v>
      </c>
      <c r="I993" s="1353">
        <f t="shared" si="334"/>
        <v>0</v>
      </c>
      <c r="J993" s="1353">
        <f t="shared" si="335"/>
        <v>0</v>
      </c>
      <c r="M993" s="1324" t="str">
        <f t="shared" si="336"/>
        <v>Shared Services - Trash and Recycling Collection Salaries &amp; Wages</v>
      </c>
      <c r="N993" s="1368">
        <f t="shared" si="337"/>
        <v>0</v>
      </c>
      <c r="O993" s="1368">
        <f t="shared" si="338"/>
        <v>0</v>
      </c>
      <c r="P993" s="1368">
        <f t="shared" si="338"/>
        <v>0</v>
      </c>
      <c r="Q993" s="1368">
        <f t="shared" si="338"/>
        <v>0</v>
      </c>
      <c r="R993" s="1368">
        <f t="shared" si="338"/>
        <v>0</v>
      </c>
      <c r="T993" s="1369">
        <v>0.02</v>
      </c>
      <c r="U993" s="1369">
        <v>0.02</v>
      </c>
      <c r="V993" s="1369">
        <v>0.02</v>
      </c>
      <c r="W993" s="1369">
        <v>0.02</v>
      </c>
      <c r="X993" s="1369">
        <v>0.02</v>
      </c>
      <c r="Y993" s="1367"/>
      <c r="Z993" s="1370">
        <v>0</v>
      </c>
      <c r="AA993" s="1370">
        <v>0</v>
      </c>
      <c r="AB993" s="1370">
        <v>0</v>
      </c>
      <c r="AC993" s="1370">
        <v>0</v>
      </c>
      <c r="AD993" s="1370">
        <v>0</v>
      </c>
      <c r="AK993" s="1354">
        <f t="shared" si="340"/>
        <v>0</v>
      </c>
      <c r="AL993" s="1352">
        <f t="shared" si="339"/>
        <v>53</v>
      </c>
      <c r="AM993" s="1354">
        <f t="shared" si="323"/>
        <v>0</v>
      </c>
      <c r="AN993" s="1352" t="str">
        <f t="shared" si="324"/>
        <v>Shared Services - Trash and Recycling Collection Salaries &amp; Wages</v>
      </c>
    </row>
    <row r="994" spans="1:40" x14ac:dyDescent="0.2">
      <c r="A994" s="1324" t="str">
        <f>A993</f>
        <v>42-107</v>
      </c>
      <c r="B994" s="1324" t="s">
        <v>6011</v>
      </c>
      <c r="C994" s="1353">
        <f>'Key Metrics'!$D$373</f>
        <v>0</v>
      </c>
      <c r="D994" s="1353">
        <f>'Key Metrics'!$H$373</f>
        <v>0</v>
      </c>
      <c r="E994" s="1351">
        <f t="shared" si="330"/>
        <v>0</v>
      </c>
      <c r="F994" s="1353">
        <f t="shared" si="331"/>
        <v>0</v>
      </c>
      <c r="G994" s="1353">
        <f t="shared" si="332"/>
        <v>0</v>
      </c>
      <c r="H994" s="1353">
        <f t="shared" si="333"/>
        <v>0</v>
      </c>
      <c r="I994" s="1353">
        <f t="shared" si="334"/>
        <v>0</v>
      </c>
      <c r="J994" s="1353">
        <f t="shared" si="335"/>
        <v>0</v>
      </c>
      <c r="M994" s="1324" t="str">
        <f t="shared" si="336"/>
        <v>Shared Services - Trash and Recycling Collection Other Expenses</v>
      </c>
      <c r="N994" s="1368">
        <f t="shared" si="337"/>
        <v>0</v>
      </c>
      <c r="O994" s="1368">
        <f t="shared" ref="O994:R1009" si="341">N994</f>
        <v>0</v>
      </c>
      <c r="P994" s="1368">
        <f t="shared" si="341"/>
        <v>0</v>
      </c>
      <c r="Q994" s="1368">
        <f t="shared" si="341"/>
        <v>0</v>
      </c>
      <c r="R994" s="1368">
        <f t="shared" si="341"/>
        <v>0</v>
      </c>
      <c r="T994" s="1369">
        <v>0.02</v>
      </c>
      <c r="U994" s="1369">
        <v>0.02</v>
      </c>
      <c r="V994" s="1369">
        <v>0.02</v>
      </c>
      <c r="W994" s="1369">
        <v>0.02</v>
      </c>
      <c r="X994" s="1369">
        <v>0.02</v>
      </c>
      <c r="Y994" s="1367"/>
      <c r="Z994" s="1370">
        <v>0</v>
      </c>
      <c r="AA994" s="1370">
        <v>0</v>
      </c>
      <c r="AB994" s="1370">
        <v>0</v>
      </c>
      <c r="AC994" s="1370">
        <v>0</v>
      </c>
      <c r="AD994" s="1370">
        <v>0</v>
      </c>
      <c r="AK994" s="1354">
        <f t="shared" si="340"/>
        <v>0</v>
      </c>
      <c r="AL994" s="1352">
        <f t="shared" si="339"/>
        <v>53</v>
      </c>
      <c r="AM994" s="1354">
        <f t="shared" si="323"/>
        <v>0</v>
      </c>
      <c r="AN994" s="1352" t="str">
        <f t="shared" si="324"/>
        <v>Shared Services - Trash and Recycling Collection Other Expenses</v>
      </c>
    </row>
    <row r="995" spans="1:40" x14ac:dyDescent="0.2">
      <c r="A995" s="1324" t="str">
        <f>A994</f>
        <v>42-107</v>
      </c>
      <c r="B995" s="1324" t="s">
        <v>6012</v>
      </c>
      <c r="C995" s="1353">
        <f>'Key Metrics'!$E$373</f>
        <v>0</v>
      </c>
      <c r="D995" s="1353">
        <f>'Key Metrics'!$I$373</f>
        <v>0</v>
      </c>
      <c r="E995" s="1351">
        <f t="shared" si="330"/>
        <v>0</v>
      </c>
      <c r="F995" s="1353">
        <f t="shared" si="331"/>
        <v>0</v>
      </c>
      <c r="G995" s="1353">
        <f t="shared" si="332"/>
        <v>0</v>
      </c>
      <c r="H995" s="1353">
        <f t="shared" si="333"/>
        <v>0</v>
      </c>
      <c r="I995" s="1353">
        <f t="shared" si="334"/>
        <v>0</v>
      </c>
      <c r="J995" s="1353">
        <f t="shared" si="335"/>
        <v>0</v>
      </c>
      <c r="M995" s="1324" t="str">
        <f t="shared" si="336"/>
        <v>Shared Services - Trash and Recycling Collection Unclassified</v>
      </c>
      <c r="N995" s="1368">
        <f t="shared" si="337"/>
        <v>0</v>
      </c>
      <c r="O995" s="1368">
        <f t="shared" si="341"/>
        <v>0</v>
      </c>
      <c r="P995" s="1368">
        <f t="shared" si="341"/>
        <v>0</v>
      </c>
      <c r="Q995" s="1368">
        <f t="shared" si="341"/>
        <v>0</v>
      </c>
      <c r="R995" s="1368">
        <f t="shared" si="341"/>
        <v>0</v>
      </c>
      <c r="T995" s="1369">
        <v>0.02</v>
      </c>
      <c r="U995" s="1369">
        <v>0.02</v>
      </c>
      <c r="V995" s="1369">
        <v>0.02</v>
      </c>
      <c r="W995" s="1369">
        <v>0.02</v>
      </c>
      <c r="X995" s="1369">
        <v>0.02</v>
      </c>
      <c r="Y995" s="1367"/>
      <c r="Z995" s="1370">
        <v>0</v>
      </c>
      <c r="AA995" s="1370">
        <v>0</v>
      </c>
      <c r="AB995" s="1370">
        <v>0</v>
      </c>
      <c r="AC995" s="1370">
        <v>0</v>
      </c>
      <c r="AD995" s="1370">
        <v>0</v>
      </c>
      <c r="AK995" s="1354">
        <f t="shared" si="340"/>
        <v>0</v>
      </c>
      <c r="AL995" s="1352">
        <f t="shared" si="339"/>
        <v>53</v>
      </c>
      <c r="AM995" s="1354">
        <f t="shared" si="323"/>
        <v>0</v>
      </c>
      <c r="AN995" s="1352" t="str">
        <f t="shared" si="324"/>
        <v>Shared Services - Trash and Recycling Collection Unclassified</v>
      </c>
    </row>
    <row r="996" spans="1:40" x14ac:dyDescent="0.2">
      <c r="A996" s="1324" t="s">
        <v>5107</v>
      </c>
      <c r="B996" s="1324" t="s">
        <v>5754</v>
      </c>
      <c r="C996" s="1353">
        <f>'Key Metrics'!$C$374</f>
        <v>0</v>
      </c>
      <c r="D996" s="1353">
        <f>'Key Metrics'!$G$374</f>
        <v>0</v>
      </c>
      <c r="E996" s="1351">
        <f t="shared" si="330"/>
        <v>0</v>
      </c>
      <c r="F996" s="1353">
        <f t="shared" si="331"/>
        <v>0</v>
      </c>
      <c r="G996" s="1353">
        <f t="shared" si="332"/>
        <v>0</v>
      </c>
      <c r="H996" s="1353">
        <f t="shared" si="333"/>
        <v>0</v>
      </c>
      <c r="I996" s="1353">
        <f t="shared" si="334"/>
        <v>0</v>
      </c>
      <c r="J996" s="1353">
        <f t="shared" si="335"/>
        <v>0</v>
      </c>
      <c r="M996" s="1324" t="str">
        <f t="shared" si="336"/>
        <v>Shared Services - Municipal Court Salaries &amp; Wages</v>
      </c>
      <c r="N996" s="1368">
        <f t="shared" si="337"/>
        <v>0</v>
      </c>
      <c r="O996" s="1368">
        <f t="shared" si="341"/>
        <v>0</v>
      </c>
      <c r="P996" s="1368">
        <f t="shared" si="341"/>
        <v>0</v>
      </c>
      <c r="Q996" s="1368">
        <f t="shared" si="341"/>
        <v>0</v>
      </c>
      <c r="R996" s="1368">
        <f t="shared" si="341"/>
        <v>0</v>
      </c>
      <c r="T996" s="1369">
        <v>0.02</v>
      </c>
      <c r="U996" s="1369">
        <v>0.02</v>
      </c>
      <c r="V996" s="1369">
        <v>0.02</v>
      </c>
      <c r="W996" s="1369">
        <v>0.02</v>
      </c>
      <c r="X996" s="1369">
        <v>0.02</v>
      </c>
      <c r="Y996" s="1367"/>
      <c r="Z996" s="1370">
        <v>0</v>
      </c>
      <c r="AA996" s="1370">
        <v>0</v>
      </c>
      <c r="AB996" s="1370">
        <v>0</v>
      </c>
      <c r="AC996" s="1370">
        <v>0</v>
      </c>
      <c r="AD996" s="1370">
        <v>0</v>
      </c>
      <c r="AK996" s="1354">
        <f t="shared" si="340"/>
        <v>0</v>
      </c>
      <c r="AL996" s="1352">
        <f t="shared" si="339"/>
        <v>53</v>
      </c>
      <c r="AM996" s="1354">
        <f t="shared" si="323"/>
        <v>0</v>
      </c>
      <c r="AN996" s="1352" t="str">
        <f t="shared" si="324"/>
        <v>Shared Services - Municipal Court Salaries &amp; Wages</v>
      </c>
    </row>
    <row r="997" spans="1:40" x14ac:dyDescent="0.2">
      <c r="A997" s="1324" t="str">
        <f>A996</f>
        <v>42-108</v>
      </c>
      <c r="B997" s="1324" t="s">
        <v>6013</v>
      </c>
      <c r="C997" s="1353">
        <f>'Key Metrics'!$D$374</f>
        <v>1246.04</v>
      </c>
      <c r="D997" s="1353">
        <f>'Key Metrics'!$H$374</f>
        <v>1500</v>
      </c>
      <c r="E997" s="1351">
        <f t="shared" si="330"/>
        <v>0.20381368174376435</v>
      </c>
      <c r="F997" s="1353">
        <f t="shared" si="331"/>
        <v>1530</v>
      </c>
      <c r="G997" s="1353">
        <f t="shared" si="332"/>
        <v>1560.6000000000001</v>
      </c>
      <c r="H997" s="1353">
        <f t="shared" si="333"/>
        <v>1591.8120000000001</v>
      </c>
      <c r="I997" s="1353">
        <f t="shared" si="334"/>
        <v>1623.6482400000002</v>
      </c>
      <c r="J997" s="1353">
        <f t="shared" si="335"/>
        <v>1656.1212048000002</v>
      </c>
      <c r="M997" s="1324" t="str">
        <f t="shared" si="336"/>
        <v>Shared Services - Municipal Court Other Expenses</v>
      </c>
      <c r="N997" s="1368">
        <f t="shared" si="337"/>
        <v>0.20381368174376435</v>
      </c>
      <c r="O997" s="1368">
        <f t="shared" si="341"/>
        <v>0.20381368174376435</v>
      </c>
      <c r="P997" s="1368">
        <f t="shared" si="341"/>
        <v>0.20381368174376435</v>
      </c>
      <c r="Q997" s="1368">
        <f t="shared" si="341"/>
        <v>0.20381368174376435</v>
      </c>
      <c r="R997" s="1368">
        <f t="shared" si="341"/>
        <v>0.20381368174376435</v>
      </c>
      <c r="T997" s="1369">
        <v>0.02</v>
      </c>
      <c r="U997" s="1369">
        <v>0.02</v>
      </c>
      <c r="V997" s="1369">
        <v>0.02</v>
      </c>
      <c r="W997" s="1369">
        <v>0.02</v>
      </c>
      <c r="X997" s="1369">
        <v>0.02</v>
      </c>
      <c r="Y997" s="1367"/>
      <c r="Z997" s="1370">
        <v>0</v>
      </c>
      <c r="AA997" s="1370">
        <v>0</v>
      </c>
      <c r="AB997" s="1370">
        <v>0</v>
      </c>
      <c r="AC997" s="1370">
        <v>0</v>
      </c>
      <c r="AD997" s="1370">
        <v>0</v>
      </c>
      <c r="AK997" s="1354">
        <f t="shared" si="340"/>
        <v>10708.2214448</v>
      </c>
      <c r="AL997" s="1352">
        <f t="shared" si="339"/>
        <v>37</v>
      </c>
      <c r="AM997" s="1354">
        <f t="shared" si="323"/>
        <v>156.12120480000021</v>
      </c>
      <c r="AN997" s="1352" t="str">
        <f t="shared" si="324"/>
        <v>Shared Services - Municipal Court Other Expenses</v>
      </c>
    </row>
    <row r="998" spans="1:40" x14ac:dyDescent="0.2">
      <c r="A998" s="1324" t="str">
        <f>A997</f>
        <v>42-108</v>
      </c>
      <c r="B998" s="1324" t="s">
        <v>6014</v>
      </c>
      <c r="C998" s="1353">
        <f>'Key Metrics'!$E$374</f>
        <v>0</v>
      </c>
      <c r="D998" s="1353">
        <f>'Key Metrics'!$I$374</f>
        <v>0</v>
      </c>
      <c r="E998" s="1351">
        <f t="shared" si="330"/>
        <v>0</v>
      </c>
      <c r="F998" s="1353">
        <f t="shared" si="331"/>
        <v>0</v>
      </c>
      <c r="G998" s="1353">
        <f t="shared" si="332"/>
        <v>0</v>
      </c>
      <c r="H998" s="1353">
        <f t="shared" si="333"/>
        <v>0</v>
      </c>
      <c r="I998" s="1353">
        <f t="shared" si="334"/>
        <v>0</v>
      </c>
      <c r="J998" s="1353">
        <f t="shared" si="335"/>
        <v>0</v>
      </c>
      <c r="M998" s="1324" t="str">
        <f t="shared" si="336"/>
        <v>Shared Services - Municipal Court Unclassified</v>
      </c>
      <c r="N998" s="1368">
        <f t="shared" si="337"/>
        <v>0</v>
      </c>
      <c r="O998" s="1368">
        <f t="shared" si="341"/>
        <v>0</v>
      </c>
      <c r="P998" s="1368">
        <f t="shared" si="341"/>
        <v>0</v>
      </c>
      <c r="Q998" s="1368">
        <f t="shared" si="341"/>
        <v>0</v>
      </c>
      <c r="R998" s="1368">
        <f t="shared" si="341"/>
        <v>0</v>
      </c>
      <c r="T998" s="1369">
        <v>0.02</v>
      </c>
      <c r="U998" s="1369">
        <v>0.02</v>
      </c>
      <c r="V998" s="1369">
        <v>0.02</v>
      </c>
      <c r="W998" s="1369">
        <v>0.02</v>
      </c>
      <c r="X998" s="1369">
        <v>0.02</v>
      </c>
      <c r="Y998" s="1367"/>
      <c r="Z998" s="1370">
        <v>0</v>
      </c>
      <c r="AA998" s="1370">
        <v>0</v>
      </c>
      <c r="AB998" s="1370">
        <v>0</v>
      </c>
      <c r="AC998" s="1370">
        <v>0</v>
      </c>
      <c r="AD998" s="1370">
        <v>0</v>
      </c>
      <c r="AK998" s="1354">
        <f t="shared" si="340"/>
        <v>0</v>
      </c>
      <c r="AL998" s="1352">
        <f t="shared" si="339"/>
        <v>53</v>
      </c>
      <c r="AM998" s="1354">
        <f t="shared" si="323"/>
        <v>0</v>
      </c>
      <c r="AN998" s="1352" t="str">
        <f t="shared" si="324"/>
        <v>Shared Services - Municipal Court Unclassified</v>
      </c>
    </row>
    <row r="999" spans="1:40" x14ac:dyDescent="0.2">
      <c r="A999" s="1324" t="s">
        <v>5110</v>
      </c>
      <c r="B999" s="1324" t="s">
        <v>5755</v>
      </c>
      <c r="C999" s="1353">
        <f>'Key Metrics'!$C$375</f>
        <v>0</v>
      </c>
      <c r="D999" s="1353">
        <f>'Key Metrics'!$G$375</f>
        <v>0</v>
      </c>
      <c r="E999" s="1351">
        <f t="shared" si="330"/>
        <v>0</v>
      </c>
      <c r="F999" s="1353">
        <f t="shared" si="331"/>
        <v>0</v>
      </c>
      <c r="G999" s="1353">
        <f t="shared" si="332"/>
        <v>0</v>
      </c>
      <c r="H999" s="1353">
        <f t="shared" si="333"/>
        <v>0</v>
      </c>
      <c r="I999" s="1353">
        <f t="shared" si="334"/>
        <v>0</v>
      </c>
      <c r="J999" s="1353">
        <f t="shared" si="335"/>
        <v>0</v>
      </c>
      <c r="M999" s="1324" t="str">
        <f t="shared" si="336"/>
        <v>Shared Services - Fire Department/District Salaries &amp; Wages</v>
      </c>
      <c r="N999" s="1368">
        <f t="shared" si="337"/>
        <v>0</v>
      </c>
      <c r="O999" s="1368">
        <f t="shared" si="341"/>
        <v>0</v>
      </c>
      <c r="P999" s="1368">
        <f t="shared" si="341"/>
        <v>0</v>
      </c>
      <c r="Q999" s="1368">
        <f t="shared" si="341"/>
        <v>0</v>
      </c>
      <c r="R999" s="1368">
        <f t="shared" si="341"/>
        <v>0</v>
      </c>
      <c r="T999" s="1369">
        <v>0.02</v>
      </c>
      <c r="U999" s="1369">
        <v>0.02</v>
      </c>
      <c r="V999" s="1369">
        <v>0.02</v>
      </c>
      <c r="W999" s="1369">
        <v>0.02</v>
      </c>
      <c r="X999" s="1369">
        <v>0.02</v>
      </c>
      <c r="Y999" s="1367"/>
      <c r="Z999" s="1370">
        <v>0</v>
      </c>
      <c r="AA999" s="1370">
        <v>0</v>
      </c>
      <c r="AB999" s="1370">
        <v>0</v>
      </c>
      <c r="AC999" s="1370">
        <v>0</v>
      </c>
      <c r="AD999" s="1370">
        <v>0</v>
      </c>
      <c r="AK999" s="1354">
        <f t="shared" si="340"/>
        <v>0</v>
      </c>
      <c r="AL999" s="1352">
        <f t="shared" si="339"/>
        <v>53</v>
      </c>
      <c r="AM999" s="1354">
        <f t="shared" si="323"/>
        <v>0</v>
      </c>
      <c r="AN999" s="1352" t="str">
        <f t="shared" si="324"/>
        <v>Shared Services - Fire Department/District Salaries &amp; Wages</v>
      </c>
    </row>
    <row r="1000" spans="1:40" x14ac:dyDescent="0.2">
      <c r="A1000" s="1324" t="str">
        <f>A999</f>
        <v>42-109</v>
      </c>
      <c r="B1000" s="1324" t="s">
        <v>6015</v>
      </c>
      <c r="C1000" s="1353">
        <f>'Key Metrics'!$D$375</f>
        <v>0</v>
      </c>
      <c r="D1000" s="1353">
        <f>'Key Metrics'!$H$375</f>
        <v>0</v>
      </c>
      <c r="E1000" s="1351">
        <f t="shared" si="330"/>
        <v>0</v>
      </c>
      <c r="F1000" s="1353">
        <f t="shared" si="331"/>
        <v>0</v>
      </c>
      <c r="G1000" s="1353">
        <f t="shared" si="332"/>
        <v>0</v>
      </c>
      <c r="H1000" s="1353">
        <f t="shared" si="333"/>
        <v>0</v>
      </c>
      <c r="I1000" s="1353">
        <f t="shared" si="334"/>
        <v>0</v>
      </c>
      <c r="J1000" s="1353">
        <f t="shared" si="335"/>
        <v>0</v>
      </c>
      <c r="M1000" s="1324" t="str">
        <f t="shared" si="336"/>
        <v>Shared Services - Fire Department/District Other Expenses</v>
      </c>
      <c r="N1000" s="1368">
        <f t="shared" si="337"/>
        <v>0</v>
      </c>
      <c r="O1000" s="1368">
        <f t="shared" si="341"/>
        <v>0</v>
      </c>
      <c r="P1000" s="1368">
        <f t="shared" si="341"/>
        <v>0</v>
      </c>
      <c r="Q1000" s="1368">
        <f t="shared" si="341"/>
        <v>0</v>
      </c>
      <c r="R1000" s="1368">
        <f t="shared" si="341"/>
        <v>0</v>
      </c>
      <c r="T1000" s="1369">
        <v>0.02</v>
      </c>
      <c r="U1000" s="1369">
        <v>0.02</v>
      </c>
      <c r="V1000" s="1369">
        <v>0.02</v>
      </c>
      <c r="W1000" s="1369">
        <v>0.02</v>
      </c>
      <c r="X1000" s="1369">
        <v>0.02</v>
      </c>
      <c r="Y1000" s="1367"/>
      <c r="Z1000" s="1370">
        <v>0</v>
      </c>
      <c r="AA1000" s="1370">
        <v>0</v>
      </c>
      <c r="AB1000" s="1370">
        <v>0</v>
      </c>
      <c r="AC1000" s="1370">
        <v>0</v>
      </c>
      <c r="AD1000" s="1370">
        <v>0</v>
      </c>
      <c r="AK1000" s="1354">
        <f t="shared" si="340"/>
        <v>0</v>
      </c>
      <c r="AL1000" s="1352">
        <f t="shared" si="339"/>
        <v>53</v>
      </c>
      <c r="AM1000" s="1354">
        <f t="shared" si="323"/>
        <v>0</v>
      </c>
      <c r="AN1000" s="1352" t="str">
        <f t="shared" si="324"/>
        <v>Shared Services - Fire Department/District Other Expenses</v>
      </c>
    </row>
    <row r="1001" spans="1:40" x14ac:dyDescent="0.2">
      <c r="A1001" s="1324" t="str">
        <f>A1000</f>
        <v>42-109</v>
      </c>
      <c r="B1001" s="1324" t="s">
        <v>6016</v>
      </c>
      <c r="C1001" s="1353">
        <f>'Key Metrics'!$E$375</f>
        <v>0</v>
      </c>
      <c r="D1001" s="1353">
        <f>'Key Metrics'!$I$375</f>
        <v>0</v>
      </c>
      <c r="E1001" s="1351">
        <f t="shared" si="330"/>
        <v>0</v>
      </c>
      <c r="F1001" s="1353">
        <f t="shared" si="331"/>
        <v>0</v>
      </c>
      <c r="G1001" s="1353">
        <f t="shared" si="332"/>
        <v>0</v>
      </c>
      <c r="H1001" s="1353">
        <f t="shared" si="333"/>
        <v>0</v>
      </c>
      <c r="I1001" s="1353">
        <f t="shared" si="334"/>
        <v>0</v>
      </c>
      <c r="J1001" s="1353">
        <f t="shared" si="335"/>
        <v>0</v>
      </c>
      <c r="M1001" s="1324" t="str">
        <f t="shared" si="336"/>
        <v>Shared Services - Fire Department/District Unclassified</v>
      </c>
      <c r="N1001" s="1368">
        <f t="shared" si="337"/>
        <v>0</v>
      </c>
      <c r="O1001" s="1368">
        <f t="shared" si="341"/>
        <v>0</v>
      </c>
      <c r="P1001" s="1368">
        <f t="shared" si="341"/>
        <v>0</v>
      </c>
      <c r="Q1001" s="1368">
        <f t="shared" si="341"/>
        <v>0</v>
      </c>
      <c r="R1001" s="1368">
        <f t="shared" si="341"/>
        <v>0</v>
      </c>
      <c r="T1001" s="1369">
        <v>0.02</v>
      </c>
      <c r="U1001" s="1369">
        <v>0.02</v>
      </c>
      <c r="V1001" s="1369">
        <v>0.02</v>
      </c>
      <c r="W1001" s="1369">
        <v>0.02</v>
      </c>
      <c r="X1001" s="1369">
        <v>0.02</v>
      </c>
      <c r="Y1001" s="1367"/>
      <c r="Z1001" s="1370">
        <v>0</v>
      </c>
      <c r="AA1001" s="1370">
        <v>0</v>
      </c>
      <c r="AB1001" s="1370">
        <v>0</v>
      </c>
      <c r="AC1001" s="1370">
        <v>0</v>
      </c>
      <c r="AD1001" s="1370">
        <v>0</v>
      </c>
      <c r="AK1001" s="1354">
        <f t="shared" si="340"/>
        <v>0</v>
      </c>
      <c r="AL1001" s="1352">
        <f t="shared" si="339"/>
        <v>53</v>
      </c>
      <c r="AM1001" s="1354">
        <f t="shared" si="323"/>
        <v>0</v>
      </c>
      <c r="AN1001" s="1352" t="str">
        <f t="shared" si="324"/>
        <v>Shared Services - Fire Department/District Unclassified</v>
      </c>
    </row>
    <row r="1002" spans="1:40" x14ac:dyDescent="0.2">
      <c r="A1002" s="1324" t="s">
        <v>5113</v>
      </c>
      <c r="B1002" s="1324" t="s">
        <v>5756</v>
      </c>
      <c r="C1002" s="1353">
        <f>'Key Metrics'!$C$376</f>
        <v>0</v>
      </c>
      <c r="D1002" s="1353">
        <f>'Key Metrics'!$G$376</f>
        <v>0</v>
      </c>
      <c r="E1002" s="1351">
        <f t="shared" si="330"/>
        <v>0</v>
      </c>
      <c r="F1002" s="1353">
        <f t="shared" si="331"/>
        <v>0</v>
      </c>
      <c r="G1002" s="1353">
        <f t="shared" si="332"/>
        <v>0</v>
      </c>
      <c r="H1002" s="1353">
        <f t="shared" si="333"/>
        <v>0</v>
      </c>
      <c r="I1002" s="1353">
        <f t="shared" si="334"/>
        <v>0</v>
      </c>
      <c r="J1002" s="1353">
        <f t="shared" si="335"/>
        <v>0</v>
      </c>
      <c r="M1002" s="1324" t="str">
        <f t="shared" si="336"/>
        <v>Shared Services - Board of Education Salaries &amp; Wages</v>
      </c>
      <c r="N1002" s="1368">
        <f t="shared" si="337"/>
        <v>0</v>
      </c>
      <c r="O1002" s="1368">
        <f t="shared" si="341"/>
        <v>0</v>
      </c>
      <c r="P1002" s="1368">
        <f t="shared" si="341"/>
        <v>0</v>
      </c>
      <c r="Q1002" s="1368">
        <f t="shared" si="341"/>
        <v>0</v>
      </c>
      <c r="R1002" s="1368">
        <f t="shared" si="341"/>
        <v>0</v>
      </c>
      <c r="T1002" s="1369">
        <v>0.02</v>
      </c>
      <c r="U1002" s="1369">
        <v>0.02</v>
      </c>
      <c r="V1002" s="1369">
        <v>0.02</v>
      </c>
      <c r="W1002" s="1369">
        <v>0.02</v>
      </c>
      <c r="X1002" s="1369">
        <v>0.02</v>
      </c>
      <c r="Y1002" s="1367"/>
      <c r="Z1002" s="1370">
        <v>0</v>
      </c>
      <c r="AA1002" s="1370">
        <v>0</v>
      </c>
      <c r="AB1002" s="1370">
        <v>0</v>
      </c>
      <c r="AC1002" s="1370">
        <v>0</v>
      </c>
      <c r="AD1002" s="1370">
        <v>0</v>
      </c>
      <c r="AK1002" s="1354">
        <f t="shared" si="340"/>
        <v>0</v>
      </c>
      <c r="AL1002" s="1352">
        <f t="shared" si="339"/>
        <v>53</v>
      </c>
      <c r="AM1002" s="1354">
        <f t="shared" si="323"/>
        <v>0</v>
      </c>
      <c r="AN1002" s="1352" t="str">
        <f t="shared" si="324"/>
        <v>Shared Services - Board of Education Salaries &amp; Wages</v>
      </c>
    </row>
    <row r="1003" spans="1:40" x14ac:dyDescent="0.2">
      <c r="A1003" s="1324" t="str">
        <f>A1002</f>
        <v>42-110</v>
      </c>
      <c r="B1003" s="1324" t="s">
        <v>6017</v>
      </c>
      <c r="C1003" s="1353">
        <f>'Key Metrics'!$D$376</f>
        <v>0</v>
      </c>
      <c r="D1003" s="1353">
        <f>'Key Metrics'!$H$376</f>
        <v>0</v>
      </c>
      <c r="E1003" s="1351">
        <f t="shared" si="330"/>
        <v>0</v>
      </c>
      <c r="F1003" s="1353">
        <f t="shared" si="331"/>
        <v>0</v>
      </c>
      <c r="G1003" s="1353">
        <f t="shared" si="332"/>
        <v>0</v>
      </c>
      <c r="H1003" s="1353">
        <f t="shared" si="333"/>
        <v>0</v>
      </c>
      <c r="I1003" s="1353">
        <f t="shared" si="334"/>
        <v>0</v>
      </c>
      <c r="J1003" s="1353">
        <f t="shared" si="335"/>
        <v>0</v>
      </c>
      <c r="M1003" s="1324" t="str">
        <f t="shared" si="336"/>
        <v>Shared Services - Board of Education Other Expenses</v>
      </c>
      <c r="N1003" s="1368">
        <f t="shared" si="337"/>
        <v>0</v>
      </c>
      <c r="O1003" s="1368">
        <f t="shared" si="341"/>
        <v>0</v>
      </c>
      <c r="P1003" s="1368">
        <f t="shared" si="341"/>
        <v>0</v>
      </c>
      <c r="Q1003" s="1368">
        <f t="shared" si="341"/>
        <v>0</v>
      </c>
      <c r="R1003" s="1368">
        <f t="shared" si="341"/>
        <v>0</v>
      </c>
      <c r="T1003" s="1369">
        <v>0.02</v>
      </c>
      <c r="U1003" s="1369">
        <v>0.02</v>
      </c>
      <c r="V1003" s="1369">
        <v>0.02</v>
      </c>
      <c r="W1003" s="1369">
        <v>0.02</v>
      </c>
      <c r="X1003" s="1369">
        <v>0.02</v>
      </c>
      <c r="Y1003" s="1367"/>
      <c r="Z1003" s="1370">
        <v>0</v>
      </c>
      <c r="AA1003" s="1370">
        <v>0</v>
      </c>
      <c r="AB1003" s="1370">
        <v>0</v>
      </c>
      <c r="AC1003" s="1370">
        <v>0</v>
      </c>
      <c r="AD1003" s="1370">
        <v>0</v>
      </c>
      <c r="AK1003" s="1354">
        <f t="shared" si="340"/>
        <v>0</v>
      </c>
      <c r="AL1003" s="1352">
        <f t="shared" si="339"/>
        <v>53</v>
      </c>
      <c r="AM1003" s="1354">
        <f t="shared" si="323"/>
        <v>0</v>
      </c>
      <c r="AN1003" s="1352" t="str">
        <f t="shared" si="324"/>
        <v>Shared Services - Board of Education Other Expenses</v>
      </c>
    </row>
    <row r="1004" spans="1:40" x14ac:dyDescent="0.2">
      <c r="A1004" s="1324" t="str">
        <f>A1003</f>
        <v>42-110</v>
      </c>
      <c r="B1004" s="1324" t="s">
        <v>6018</v>
      </c>
      <c r="C1004" s="1353">
        <f>'Key Metrics'!$E$376</f>
        <v>0</v>
      </c>
      <c r="D1004" s="1353">
        <f>'Key Metrics'!$I$376</f>
        <v>0</v>
      </c>
      <c r="E1004" s="1351">
        <f t="shared" si="330"/>
        <v>0</v>
      </c>
      <c r="F1004" s="1353">
        <f t="shared" si="331"/>
        <v>0</v>
      </c>
      <c r="G1004" s="1353">
        <f t="shared" si="332"/>
        <v>0</v>
      </c>
      <c r="H1004" s="1353">
        <f t="shared" si="333"/>
        <v>0</v>
      </c>
      <c r="I1004" s="1353">
        <f t="shared" si="334"/>
        <v>0</v>
      </c>
      <c r="J1004" s="1353">
        <f t="shared" si="335"/>
        <v>0</v>
      </c>
      <c r="M1004" s="1324" t="str">
        <f t="shared" si="336"/>
        <v>Shared Services - Board of Education Unclassified</v>
      </c>
      <c r="N1004" s="1368">
        <f t="shared" si="337"/>
        <v>0</v>
      </c>
      <c r="O1004" s="1368">
        <f t="shared" si="341"/>
        <v>0</v>
      </c>
      <c r="P1004" s="1368">
        <f t="shared" si="341"/>
        <v>0</v>
      </c>
      <c r="Q1004" s="1368">
        <f t="shared" si="341"/>
        <v>0</v>
      </c>
      <c r="R1004" s="1368">
        <f t="shared" si="341"/>
        <v>0</v>
      </c>
      <c r="T1004" s="1369">
        <v>0.02</v>
      </c>
      <c r="U1004" s="1369">
        <v>0.02</v>
      </c>
      <c r="V1004" s="1369">
        <v>0.02</v>
      </c>
      <c r="W1004" s="1369">
        <v>0.02</v>
      </c>
      <c r="X1004" s="1369">
        <v>0.02</v>
      </c>
      <c r="Y1004" s="1367"/>
      <c r="Z1004" s="1370">
        <v>0</v>
      </c>
      <c r="AA1004" s="1370">
        <v>0</v>
      </c>
      <c r="AB1004" s="1370">
        <v>0</v>
      </c>
      <c r="AC1004" s="1370">
        <v>0</v>
      </c>
      <c r="AD1004" s="1370">
        <v>0</v>
      </c>
      <c r="AK1004" s="1354">
        <f t="shared" si="340"/>
        <v>0</v>
      </c>
      <c r="AL1004" s="1352">
        <f t="shared" si="339"/>
        <v>53</v>
      </c>
      <c r="AM1004" s="1354">
        <f t="shared" si="323"/>
        <v>0</v>
      </c>
      <c r="AN1004" s="1352" t="str">
        <f t="shared" si="324"/>
        <v>Shared Services - Board of Education Unclassified</v>
      </c>
    </row>
    <row r="1005" spans="1:40" x14ac:dyDescent="0.2">
      <c r="A1005" s="1324" t="s">
        <v>5116</v>
      </c>
      <c r="B1005" s="1324" t="s">
        <v>5757</v>
      </c>
      <c r="C1005" s="1353">
        <f>'Key Metrics'!$C$377</f>
        <v>0</v>
      </c>
      <c r="D1005" s="1353">
        <f>'Key Metrics'!$G$377</f>
        <v>0</v>
      </c>
      <c r="E1005" s="1351">
        <f t="shared" si="330"/>
        <v>0</v>
      </c>
      <c r="F1005" s="1353">
        <f t="shared" si="331"/>
        <v>0</v>
      </c>
      <c r="G1005" s="1353">
        <f t="shared" si="332"/>
        <v>0</v>
      </c>
      <c r="H1005" s="1353">
        <f t="shared" si="333"/>
        <v>0</v>
      </c>
      <c r="I1005" s="1353">
        <f t="shared" si="334"/>
        <v>0</v>
      </c>
      <c r="J1005" s="1353">
        <f t="shared" si="335"/>
        <v>0</v>
      </c>
      <c r="M1005" s="1324" t="str">
        <f t="shared" si="336"/>
        <v>Shared Services - Social Service Functions Salaries &amp; Wages</v>
      </c>
      <c r="N1005" s="1368">
        <f t="shared" si="337"/>
        <v>0</v>
      </c>
      <c r="O1005" s="1368">
        <f t="shared" si="341"/>
        <v>0</v>
      </c>
      <c r="P1005" s="1368">
        <f t="shared" si="341"/>
        <v>0</v>
      </c>
      <c r="Q1005" s="1368">
        <f t="shared" si="341"/>
        <v>0</v>
      </c>
      <c r="R1005" s="1368">
        <f t="shared" si="341"/>
        <v>0</v>
      </c>
      <c r="T1005" s="1369">
        <v>0.02</v>
      </c>
      <c r="U1005" s="1369">
        <v>0.02</v>
      </c>
      <c r="V1005" s="1369">
        <v>0.02</v>
      </c>
      <c r="W1005" s="1369">
        <v>0.02</v>
      </c>
      <c r="X1005" s="1369">
        <v>0.02</v>
      </c>
      <c r="Y1005" s="1367"/>
      <c r="Z1005" s="1370">
        <v>0</v>
      </c>
      <c r="AA1005" s="1370">
        <v>0</v>
      </c>
      <c r="AB1005" s="1370">
        <v>0</v>
      </c>
      <c r="AC1005" s="1370">
        <v>0</v>
      </c>
      <c r="AD1005" s="1370">
        <v>0</v>
      </c>
      <c r="AK1005" s="1354">
        <f t="shared" si="340"/>
        <v>0</v>
      </c>
      <c r="AL1005" s="1352">
        <f t="shared" si="339"/>
        <v>53</v>
      </c>
      <c r="AM1005" s="1354">
        <f t="shared" si="323"/>
        <v>0</v>
      </c>
      <c r="AN1005" s="1352" t="str">
        <f t="shared" si="324"/>
        <v>Shared Services - Social Service Functions Salaries &amp; Wages</v>
      </c>
    </row>
    <row r="1006" spans="1:40" x14ac:dyDescent="0.2">
      <c r="A1006" s="1324" t="str">
        <f>A1005</f>
        <v>42-111</v>
      </c>
      <c r="B1006" s="1324" t="s">
        <v>6019</v>
      </c>
      <c r="C1006" s="1353">
        <f>'Key Metrics'!$D$377</f>
        <v>0</v>
      </c>
      <c r="D1006" s="1353">
        <f>'Key Metrics'!$H$377</f>
        <v>0</v>
      </c>
      <c r="E1006" s="1351">
        <f t="shared" si="330"/>
        <v>0</v>
      </c>
      <c r="F1006" s="1353">
        <f t="shared" si="331"/>
        <v>0</v>
      </c>
      <c r="G1006" s="1353">
        <f t="shared" si="332"/>
        <v>0</v>
      </c>
      <c r="H1006" s="1353">
        <f t="shared" si="333"/>
        <v>0</v>
      </c>
      <c r="I1006" s="1353">
        <f t="shared" si="334"/>
        <v>0</v>
      </c>
      <c r="J1006" s="1353">
        <f t="shared" si="335"/>
        <v>0</v>
      </c>
      <c r="M1006" s="1324" t="str">
        <f t="shared" si="336"/>
        <v>Shared Services - Social Service Functions Other Expenses</v>
      </c>
      <c r="N1006" s="1368">
        <f t="shared" si="337"/>
        <v>0</v>
      </c>
      <c r="O1006" s="1368">
        <f t="shared" si="341"/>
        <v>0</v>
      </c>
      <c r="P1006" s="1368">
        <f t="shared" si="341"/>
        <v>0</v>
      </c>
      <c r="Q1006" s="1368">
        <f t="shared" si="341"/>
        <v>0</v>
      </c>
      <c r="R1006" s="1368">
        <f t="shared" si="341"/>
        <v>0</v>
      </c>
      <c r="T1006" s="1369">
        <v>0.02</v>
      </c>
      <c r="U1006" s="1369">
        <v>0.02</v>
      </c>
      <c r="V1006" s="1369">
        <v>0.02</v>
      </c>
      <c r="W1006" s="1369">
        <v>0.02</v>
      </c>
      <c r="X1006" s="1369">
        <v>0.02</v>
      </c>
      <c r="Y1006" s="1367"/>
      <c r="Z1006" s="1370">
        <v>0</v>
      </c>
      <c r="AA1006" s="1370">
        <v>0</v>
      </c>
      <c r="AB1006" s="1370">
        <v>0</v>
      </c>
      <c r="AC1006" s="1370">
        <v>0</v>
      </c>
      <c r="AD1006" s="1370">
        <v>0</v>
      </c>
      <c r="AK1006" s="1354">
        <f t="shared" si="340"/>
        <v>0</v>
      </c>
      <c r="AL1006" s="1352">
        <f t="shared" si="339"/>
        <v>53</v>
      </c>
      <c r="AM1006" s="1354">
        <f t="shared" si="323"/>
        <v>0</v>
      </c>
      <c r="AN1006" s="1352" t="str">
        <f t="shared" si="324"/>
        <v>Shared Services - Social Service Functions Other Expenses</v>
      </c>
    </row>
    <row r="1007" spans="1:40" x14ac:dyDescent="0.2">
      <c r="A1007" s="1324" t="str">
        <f>A1006</f>
        <v>42-111</v>
      </c>
      <c r="B1007" s="1324" t="s">
        <v>6020</v>
      </c>
      <c r="C1007" s="1353">
        <f>'Key Metrics'!$E$377</f>
        <v>0</v>
      </c>
      <c r="D1007" s="1353">
        <f>'Key Metrics'!$I$377</f>
        <v>0</v>
      </c>
      <c r="E1007" s="1351">
        <f t="shared" si="330"/>
        <v>0</v>
      </c>
      <c r="F1007" s="1353">
        <f t="shared" si="331"/>
        <v>0</v>
      </c>
      <c r="G1007" s="1353">
        <f t="shared" si="332"/>
        <v>0</v>
      </c>
      <c r="H1007" s="1353">
        <f t="shared" si="333"/>
        <v>0</v>
      </c>
      <c r="I1007" s="1353">
        <f t="shared" si="334"/>
        <v>0</v>
      </c>
      <c r="J1007" s="1353">
        <f t="shared" si="335"/>
        <v>0</v>
      </c>
      <c r="M1007" s="1324" t="str">
        <f t="shared" si="336"/>
        <v>Shared Services - Social Service Functions Unclassified</v>
      </c>
      <c r="N1007" s="1368">
        <f t="shared" si="337"/>
        <v>0</v>
      </c>
      <c r="O1007" s="1368">
        <f t="shared" si="341"/>
        <v>0</v>
      </c>
      <c r="P1007" s="1368">
        <f t="shared" si="341"/>
        <v>0</v>
      </c>
      <c r="Q1007" s="1368">
        <f t="shared" si="341"/>
        <v>0</v>
      </c>
      <c r="R1007" s="1368">
        <f t="shared" si="341"/>
        <v>0</v>
      </c>
      <c r="T1007" s="1369">
        <v>0.02</v>
      </c>
      <c r="U1007" s="1369">
        <v>0.02</v>
      </c>
      <c r="V1007" s="1369">
        <v>0.02</v>
      </c>
      <c r="W1007" s="1369">
        <v>0.02</v>
      </c>
      <c r="X1007" s="1369">
        <v>0.02</v>
      </c>
      <c r="Y1007" s="1367"/>
      <c r="Z1007" s="1370">
        <v>0</v>
      </c>
      <c r="AA1007" s="1370">
        <v>0</v>
      </c>
      <c r="AB1007" s="1370">
        <v>0</v>
      </c>
      <c r="AC1007" s="1370">
        <v>0</v>
      </c>
      <c r="AD1007" s="1370">
        <v>0</v>
      </c>
      <c r="AK1007" s="1354">
        <f t="shared" si="340"/>
        <v>0</v>
      </c>
      <c r="AL1007" s="1352">
        <f t="shared" si="339"/>
        <v>53</v>
      </c>
      <c r="AM1007" s="1354">
        <f t="shared" si="323"/>
        <v>0</v>
      </c>
      <c r="AN1007" s="1352" t="str">
        <f t="shared" si="324"/>
        <v>Shared Services - Social Service Functions Unclassified</v>
      </c>
    </row>
    <row r="1008" spans="1:40" x14ac:dyDescent="0.2">
      <c r="A1008" s="1324" t="s">
        <v>5119</v>
      </c>
      <c r="B1008" s="1324" t="s">
        <v>5758</v>
      </c>
      <c r="C1008" s="1353">
        <f>'Key Metrics'!$C$378</f>
        <v>0</v>
      </c>
      <c r="D1008" s="1353">
        <f>'Key Metrics'!$G$378</f>
        <v>0</v>
      </c>
      <c r="E1008" s="1351">
        <f t="shared" si="330"/>
        <v>0</v>
      </c>
      <c r="F1008" s="1353">
        <f t="shared" si="331"/>
        <v>0</v>
      </c>
      <c r="G1008" s="1353">
        <f t="shared" si="332"/>
        <v>0</v>
      </c>
      <c r="H1008" s="1353">
        <f t="shared" si="333"/>
        <v>0</v>
      </c>
      <c r="I1008" s="1353">
        <f t="shared" si="334"/>
        <v>0</v>
      </c>
      <c r="J1008" s="1353">
        <f t="shared" si="335"/>
        <v>0</v>
      </c>
      <c r="M1008" s="1324" t="str">
        <f t="shared" si="336"/>
        <v>Shared Services - Purchasing Salaries &amp; Wages</v>
      </c>
      <c r="N1008" s="1368">
        <f t="shared" si="337"/>
        <v>0</v>
      </c>
      <c r="O1008" s="1368">
        <f t="shared" si="341"/>
        <v>0</v>
      </c>
      <c r="P1008" s="1368">
        <f t="shared" si="341"/>
        <v>0</v>
      </c>
      <c r="Q1008" s="1368">
        <f t="shared" si="341"/>
        <v>0</v>
      </c>
      <c r="R1008" s="1368">
        <f t="shared" si="341"/>
        <v>0</v>
      </c>
      <c r="T1008" s="1369">
        <v>0.02</v>
      </c>
      <c r="U1008" s="1369">
        <v>0.02</v>
      </c>
      <c r="V1008" s="1369">
        <v>0.02</v>
      </c>
      <c r="W1008" s="1369">
        <v>0.02</v>
      </c>
      <c r="X1008" s="1369">
        <v>0.02</v>
      </c>
      <c r="Y1008" s="1367"/>
      <c r="Z1008" s="1370">
        <v>0</v>
      </c>
      <c r="AA1008" s="1370">
        <v>0</v>
      </c>
      <c r="AB1008" s="1370">
        <v>0</v>
      </c>
      <c r="AC1008" s="1370">
        <v>0</v>
      </c>
      <c r="AD1008" s="1370">
        <v>0</v>
      </c>
      <c r="AK1008" s="1354">
        <f t="shared" si="340"/>
        <v>0</v>
      </c>
      <c r="AL1008" s="1352">
        <f t="shared" si="339"/>
        <v>53</v>
      </c>
      <c r="AM1008" s="1354">
        <f t="shared" si="323"/>
        <v>0</v>
      </c>
      <c r="AN1008" s="1352" t="str">
        <f t="shared" si="324"/>
        <v>Shared Services - Purchasing Salaries &amp; Wages</v>
      </c>
    </row>
    <row r="1009" spans="1:40" x14ac:dyDescent="0.2">
      <c r="A1009" s="1324" t="str">
        <f>A1008</f>
        <v>42-112</v>
      </c>
      <c r="B1009" s="1324" t="s">
        <v>6021</v>
      </c>
      <c r="C1009" s="1353">
        <f>'Key Metrics'!$D$378</f>
        <v>0</v>
      </c>
      <c r="D1009" s="1353">
        <f>'Key Metrics'!$H$378</f>
        <v>0</v>
      </c>
      <c r="E1009" s="1351">
        <f t="shared" si="330"/>
        <v>0</v>
      </c>
      <c r="F1009" s="1353">
        <f t="shared" si="331"/>
        <v>0</v>
      </c>
      <c r="G1009" s="1353">
        <f t="shared" si="332"/>
        <v>0</v>
      </c>
      <c r="H1009" s="1353">
        <f t="shared" si="333"/>
        <v>0</v>
      </c>
      <c r="I1009" s="1353">
        <f t="shared" si="334"/>
        <v>0</v>
      </c>
      <c r="J1009" s="1353">
        <f t="shared" si="335"/>
        <v>0</v>
      </c>
      <c r="M1009" s="1324" t="str">
        <f t="shared" si="336"/>
        <v>Shared Services - Purchasing Other Expenses</v>
      </c>
      <c r="N1009" s="1368">
        <f t="shared" si="337"/>
        <v>0</v>
      </c>
      <c r="O1009" s="1368">
        <f t="shared" si="341"/>
        <v>0</v>
      </c>
      <c r="P1009" s="1368">
        <f t="shared" si="341"/>
        <v>0</v>
      </c>
      <c r="Q1009" s="1368">
        <f t="shared" si="341"/>
        <v>0</v>
      </c>
      <c r="R1009" s="1368">
        <f t="shared" si="341"/>
        <v>0</v>
      </c>
      <c r="T1009" s="1369">
        <v>0.02</v>
      </c>
      <c r="U1009" s="1369">
        <v>0.02</v>
      </c>
      <c r="V1009" s="1369">
        <v>0.02</v>
      </c>
      <c r="W1009" s="1369">
        <v>0.02</v>
      </c>
      <c r="X1009" s="1369">
        <v>0.02</v>
      </c>
      <c r="Y1009" s="1367"/>
      <c r="Z1009" s="1370">
        <v>0</v>
      </c>
      <c r="AA1009" s="1370">
        <v>0</v>
      </c>
      <c r="AB1009" s="1370">
        <v>0</v>
      </c>
      <c r="AC1009" s="1370">
        <v>0</v>
      </c>
      <c r="AD1009" s="1370">
        <v>0</v>
      </c>
      <c r="AK1009" s="1354">
        <f t="shared" si="340"/>
        <v>0</v>
      </c>
      <c r="AL1009" s="1352">
        <f t="shared" si="339"/>
        <v>53</v>
      </c>
      <c r="AM1009" s="1354">
        <f t="shared" si="323"/>
        <v>0</v>
      </c>
      <c r="AN1009" s="1352" t="str">
        <f t="shared" si="324"/>
        <v>Shared Services - Purchasing Other Expenses</v>
      </c>
    </row>
    <row r="1010" spans="1:40" x14ac:dyDescent="0.2">
      <c r="A1010" s="1324" t="str">
        <f>A1009</f>
        <v>42-112</v>
      </c>
      <c r="B1010" s="1324" t="s">
        <v>6022</v>
      </c>
      <c r="C1010" s="1353">
        <f>'Key Metrics'!$E$378</f>
        <v>0</v>
      </c>
      <c r="D1010" s="1353">
        <f>'Key Metrics'!$I$378</f>
        <v>0</v>
      </c>
      <c r="E1010" s="1351">
        <f t="shared" si="330"/>
        <v>0</v>
      </c>
      <c r="F1010" s="1353">
        <f t="shared" ref="F1010:F1041" si="342">IFERROR(IF($I$3=1,D1010*(1+N1010),IF($I$3=2,D1010*(1+T1010),IF($I$3=3,Z1010,"--"))),0)</f>
        <v>0</v>
      </c>
      <c r="G1010" s="1353">
        <f t="shared" ref="G1010:G1041" si="343">IFERROR(IF($I$3=1,F1010*(1+O1010),IF($I$3=2,F1010*(1+U1010),IF($I$3=3,AA1010,"--"))),0)</f>
        <v>0</v>
      </c>
      <c r="H1010" s="1353">
        <f t="shared" ref="H1010:H1041" si="344">IFERROR(IF($I$3=1,G1010*(1+P1010),IF($I$3=2,G1010*(1+V1010),IF($I$3=3,AB1010,"--"))),0)</f>
        <v>0</v>
      </c>
      <c r="I1010" s="1353">
        <f t="shared" ref="I1010:I1041" si="345">IFERROR(IF($I$3=1,H1010*(1+Q1010),IF($I$3=2,H1010*(1+W1010),IF($I$3=3,AC1010,"--"))),0)</f>
        <v>0</v>
      </c>
      <c r="J1010" s="1353">
        <f t="shared" ref="J1010:J1041" si="346">IFERROR(IF($I$3=1,I1010*(1+R1010),IF($I$3=2,I1010*(1+X1010),IF($I$3=3,AD1010,"--"))),0)</f>
        <v>0</v>
      </c>
      <c r="M1010" s="1324" t="str">
        <f t="shared" si="336"/>
        <v>Shared Services - Purchasing Unclassified</v>
      </c>
      <c r="N1010" s="1368">
        <f t="shared" si="337"/>
        <v>0</v>
      </c>
      <c r="O1010" s="1368">
        <f t="shared" ref="O1010:R1025" si="347">N1010</f>
        <v>0</v>
      </c>
      <c r="P1010" s="1368">
        <f t="shared" si="347"/>
        <v>0</v>
      </c>
      <c r="Q1010" s="1368">
        <f t="shared" si="347"/>
        <v>0</v>
      </c>
      <c r="R1010" s="1368">
        <f t="shared" si="347"/>
        <v>0</v>
      </c>
      <c r="T1010" s="1369">
        <v>0.02</v>
      </c>
      <c r="U1010" s="1369">
        <v>0.02</v>
      </c>
      <c r="V1010" s="1369">
        <v>0.02</v>
      </c>
      <c r="W1010" s="1369">
        <v>0.02</v>
      </c>
      <c r="X1010" s="1369">
        <v>0.02</v>
      </c>
      <c r="Y1010" s="1367"/>
      <c r="Z1010" s="1370">
        <v>0</v>
      </c>
      <c r="AA1010" s="1370">
        <v>0</v>
      </c>
      <c r="AB1010" s="1370">
        <v>0</v>
      </c>
      <c r="AC1010" s="1370">
        <v>0</v>
      </c>
      <c r="AD1010" s="1370">
        <v>0</v>
      </c>
      <c r="AK1010" s="1354">
        <f t="shared" si="340"/>
        <v>0</v>
      </c>
      <c r="AL1010" s="1352">
        <f t="shared" ref="AL1010:AL1041" si="348">RANK(AM1010,$AM$504:$AM$1172,0)</f>
        <v>53</v>
      </c>
      <c r="AM1010" s="1354">
        <f t="shared" si="323"/>
        <v>0</v>
      </c>
      <c r="AN1010" s="1352" t="str">
        <f t="shared" si="324"/>
        <v>Shared Services - Purchasing Unclassified</v>
      </c>
    </row>
    <row r="1011" spans="1:40" x14ac:dyDescent="0.2">
      <c r="A1011" s="1324" t="s">
        <v>5122</v>
      </c>
      <c r="B1011" s="1324" t="s">
        <v>5759</v>
      </c>
      <c r="C1011" s="1353">
        <f>'Key Metrics'!$C$379</f>
        <v>0</v>
      </c>
      <c r="D1011" s="1353">
        <f>'Key Metrics'!$G$379</f>
        <v>0</v>
      </c>
      <c r="E1011" s="1351">
        <f t="shared" si="330"/>
        <v>0</v>
      </c>
      <c r="F1011" s="1353">
        <f t="shared" si="342"/>
        <v>0</v>
      </c>
      <c r="G1011" s="1353">
        <f t="shared" si="343"/>
        <v>0</v>
      </c>
      <c r="H1011" s="1353">
        <f t="shared" si="344"/>
        <v>0</v>
      </c>
      <c r="I1011" s="1353">
        <f t="shared" si="345"/>
        <v>0</v>
      </c>
      <c r="J1011" s="1353">
        <f t="shared" si="346"/>
        <v>0</v>
      </c>
      <c r="M1011" s="1324" t="str">
        <f t="shared" si="336"/>
        <v>Shared Services - Animal Control Services Salaries &amp; Wages</v>
      </c>
      <c r="N1011" s="1368">
        <f t="shared" si="337"/>
        <v>0</v>
      </c>
      <c r="O1011" s="1368">
        <f t="shared" si="347"/>
        <v>0</v>
      </c>
      <c r="P1011" s="1368">
        <f t="shared" si="347"/>
        <v>0</v>
      </c>
      <c r="Q1011" s="1368">
        <f t="shared" si="347"/>
        <v>0</v>
      </c>
      <c r="R1011" s="1368">
        <f t="shared" si="347"/>
        <v>0</v>
      </c>
      <c r="T1011" s="1369">
        <v>0.02</v>
      </c>
      <c r="U1011" s="1369">
        <v>0.02</v>
      </c>
      <c r="V1011" s="1369">
        <v>0.02</v>
      </c>
      <c r="W1011" s="1369">
        <v>0.02</v>
      </c>
      <c r="X1011" s="1369">
        <v>0.02</v>
      </c>
      <c r="Y1011" s="1367"/>
      <c r="Z1011" s="1370">
        <v>0</v>
      </c>
      <c r="AA1011" s="1370">
        <v>0</v>
      </c>
      <c r="AB1011" s="1370">
        <v>0</v>
      </c>
      <c r="AC1011" s="1370">
        <v>0</v>
      </c>
      <c r="AD1011" s="1370">
        <v>0</v>
      </c>
      <c r="AK1011" s="1354">
        <f t="shared" si="340"/>
        <v>0</v>
      </c>
      <c r="AL1011" s="1352">
        <f t="shared" si="348"/>
        <v>53</v>
      </c>
      <c r="AM1011" s="1354">
        <f t="shared" si="323"/>
        <v>0</v>
      </c>
      <c r="AN1011" s="1352" t="str">
        <f t="shared" si="324"/>
        <v>Shared Services - Animal Control Services Salaries &amp; Wages</v>
      </c>
    </row>
    <row r="1012" spans="1:40" x14ac:dyDescent="0.2">
      <c r="A1012" s="1324" t="str">
        <f>A1011</f>
        <v>42-113</v>
      </c>
      <c r="B1012" s="1324" t="s">
        <v>6023</v>
      </c>
      <c r="C1012" s="1353">
        <f>'Key Metrics'!$D$379</f>
        <v>0</v>
      </c>
      <c r="D1012" s="1353">
        <f>'Key Metrics'!$H$379</f>
        <v>0</v>
      </c>
      <c r="E1012" s="1351">
        <f t="shared" si="330"/>
        <v>0</v>
      </c>
      <c r="F1012" s="1353">
        <f t="shared" si="342"/>
        <v>0</v>
      </c>
      <c r="G1012" s="1353">
        <f t="shared" si="343"/>
        <v>0</v>
      </c>
      <c r="H1012" s="1353">
        <f t="shared" si="344"/>
        <v>0</v>
      </c>
      <c r="I1012" s="1353">
        <f t="shared" si="345"/>
        <v>0</v>
      </c>
      <c r="J1012" s="1353">
        <f t="shared" si="346"/>
        <v>0</v>
      </c>
      <c r="M1012" s="1324" t="str">
        <f t="shared" si="336"/>
        <v>Shared Services - Animal Control Services Other Expenses</v>
      </c>
      <c r="N1012" s="1368">
        <f t="shared" si="337"/>
        <v>0</v>
      </c>
      <c r="O1012" s="1368">
        <f t="shared" si="347"/>
        <v>0</v>
      </c>
      <c r="P1012" s="1368">
        <f t="shared" si="347"/>
        <v>0</v>
      </c>
      <c r="Q1012" s="1368">
        <f t="shared" si="347"/>
        <v>0</v>
      </c>
      <c r="R1012" s="1368">
        <f t="shared" si="347"/>
        <v>0</v>
      </c>
      <c r="T1012" s="1369">
        <v>0.02</v>
      </c>
      <c r="U1012" s="1369">
        <v>0.02</v>
      </c>
      <c r="V1012" s="1369">
        <v>0.02</v>
      </c>
      <c r="W1012" s="1369">
        <v>0.02</v>
      </c>
      <c r="X1012" s="1369">
        <v>0.02</v>
      </c>
      <c r="Y1012" s="1367"/>
      <c r="Z1012" s="1370">
        <v>0</v>
      </c>
      <c r="AA1012" s="1370">
        <v>0</v>
      </c>
      <c r="AB1012" s="1370">
        <v>0</v>
      </c>
      <c r="AC1012" s="1370">
        <v>0</v>
      </c>
      <c r="AD1012" s="1370">
        <v>0</v>
      </c>
      <c r="AK1012" s="1354">
        <f t="shared" si="340"/>
        <v>0</v>
      </c>
      <c r="AL1012" s="1352">
        <f t="shared" si="348"/>
        <v>53</v>
      </c>
      <c r="AM1012" s="1354">
        <f t="shared" si="323"/>
        <v>0</v>
      </c>
      <c r="AN1012" s="1352" t="str">
        <f t="shared" si="324"/>
        <v>Shared Services - Animal Control Services Other Expenses</v>
      </c>
    </row>
    <row r="1013" spans="1:40" x14ac:dyDescent="0.2">
      <c r="A1013" s="1324" t="str">
        <f>A1012</f>
        <v>42-113</v>
      </c>
      <c r="B1013" s="1324" t="s">
        <v>6024</v>
      </c>
      <c r="C1013" s="1353">
        <f>'Key Metrics'!$E$379</f>
        <v>0</v>
      </c>
      <c r="D1013" s="1353">
        <f>'Key Metrics'!$I$379</f>
        <v>0</v>
      </c>
      <c r="E1013" s="1351">
        <f t="shared" si="330"/>
        <v>0</v>
      </c>
      <c r="F1013" s="1353">
        <f t="shared" si="342"/>
        <v>0</v>
      </c>
      <c r="G1013" s="1353">
        <f t="shared" si="343"/>
        <v>0</v>
      </c>
      <c r="H1013" s="1353">
        <f t="shared" si="344"/>
        <v>0</v>
      </c>
      <c r="I1013" s="1353">
        <f t="shared" si="345"/>
        <v>0</v>
      </c>
      <c r="J1013" s="1353">
        <f t="shared" si="346"/>
        <v>0</v>
      </c>
      <c r="M1013" s="1324" t="str">
        <f t="shared" si="336"/>
        <v>Shared Services - Animal Control Services Unclassified</v>
      </c>
      <c r="N1013" s="1368">
        <f t="shared" si="337"/>
        <v>0</v>
      </c>
      <c r="O1013" s="1368">
        <f t="shared" si="347"/>
        <v>0</v>
      </c>
      <c r="P1013" s="1368">
        <f t="shared" si="347"/>
        <v>0</v>
      </c>
      <c r="Q1013" s="1368">
        <f t="shared" si="347"/>
        <v>0</v>
      </c>
      <c r="R1013" s="1368">
        <f t="shared" si="347"/>
        <v>0</v>
      </c>
      <c r="T1013" s="1369">
        <v>0.02</v>
      </c>
      <c r="U1013" s="1369">
        <v>0.02</v>
      </c>
      <c r="V1013" s="1369">
        <v>0.02</v>
      </c>
      <c r="W1013" s="1369">
        <v>0.02</v>
      </c>
      <c r="X1013" s="1369">
        <v>0.02</v>
      </c>
      <c r="Y1013" s="1367"/>
      <c r="Z1013" s="1370">
        <v>0</v>
      </c>
      <c r="AA1013" s="1370">
        <v>0</v>
      </c>
      <c r="AB1013" s="1370">
        <v>0</v>
      </c>
      <c r="AC1013" s="1370">
        <v>0</v>
      </c>
      <c r="AD1013" s="1370">
        <v>0</v>
      </c>
      <c r="AK1013" s="1354">
        <f t="shared" si="340"/>
        <v>0</v>
      </c>
      <c r="AL1013" s="1352">
        <f t="shared" si="348"/>
        <v>53</v>
      </c>
      <c r="AM1013" s="1354">
        <f t="shared" si="323"/>
        <v>0</v>
      </c>
      <c r="AN1013" s="1352" t="str">
        <f t="shared" si="324"/>
        <v>Shared Services - Animal Control Services Unclassified</v>
      </c>
    </row>
    <row r="1014" spans="1:40" x14ac:dyDescent="0.2">
      <c r="A1014" s="1324" t="s">
        <v>5124</v>
      </c>
      <c r="B1014" s="1324" t="s">
        <v>5760</v>
      </c>
      <c r="C1014" s="1353">
        <f>'Key Metrics'!$C$380</f>
        <v>0</v>
      </c>
      <c r="D1014" s="1353">
        <f>'Key Metrics'!$G$380</f>
        <v>0</v>
      </c>
      <c r="E1014" s="1351">
        <f t="shared" si="330"/>
        <v>0</v>
      </c>
      <c r="F1014" s="1353">
        <f t="shared" si="342"/>
        <v>0</v>
      </c>
      <c r="G1014" s="1353">
        <f t="shared" si="343"/>
        <v>0</v>
      </c>
      <c r="H1014" s="1353">
        <f t="shared" si="344"/>
        <v>0</v>
      </c>
      <c r="I1014" s="1353">
        <f t="shared" si="345"/>
        <v>0</v>
      </c>
      <c r="J1014" s="1353">
        <f t="shared" si="346"/>
        <v>0</v>
      </c>
      <c r="M1014" s="1324" t="str">
        <f t="shared" si="336"/>
        <v>Shared Services - Health Services Salaries &amp; Wages</v>
      </c>
      <c r="N1014" s="1368">
        <f t="shared" si="337"/>
        <v>0</v>
      </c>
      <c r="O1014" s="1368">
        <f t="shared" si="347"/>
        <v>0</v>
      </c>
      <c r="P1014" s="1368">
        <f t="shared" si="347"/>
        <v>0</v>
      </c>
      <c r="Q1014" s="1368">
        <f t="shared" si="347"/>
        <v>0</v>
      </c>
      <c r="R1014" s="1368">
        <f t="shared" si="347"/>
        <v>0</v>
      </c>
      <c r="T1014" s="1369">
        <v>0.02</v>
      </c>
      <c r="U1014" s="1369">
        <v>0.02</v>
      </c>
      <c r="V1014" s="1369">
        <v>0.02</v>
      </c>
      <c r="W1014" s="1369">
        <v>0.02</v>
      </c>
      <c r="X1014" s="1369">
        <v>0.02</v>
      </c>
      <c r="Y1014" s="1367"/>
      <c r="Z1014" s="1370">
        <v>0</v>
      </c>
      <c r="AA1014" s="1370">
        <v>0</v>
      </c>
      <c r="AB1014" s="1370">
        <v>0</v>
      </c>
      <c r="AC1014" s="1370">
        <v>0</v>
      </c>
      <c r="AD1014" s="1370">
        <v>0</v>
      </c>
      <c r="AK1014" s="1354">
        <f t="shared" si="340"/>
        <v>0</v>
      </c>
      <c r="AL1014" s="1352">
        <f t="shared" si="348"/>
        <v>53</v>
      </c>
      <c r="AM1014" s="1354">
        <f t="shared" si="323"/>
        <v>0</v>
      </c>
      <c r="AN1014" s="1352" t="str">
        <f t="shared" si="324"/>
        <v>Shared Services - Health Services Salaries &amp; Wages</v>
      </c>
    </row>
    <row r="1015" spans="1:40" x14ac:dyDescent="0.2">
      <c r="A1015" s="1324" t="str">
        <f>A1014</f>
        <v>42-114</v>
      </c>
      <c r="B1015" s="1324" t="s">
        <v>6025</v>
      </c>
      <c r="C1015" s="1353">
        <f>'Key Metrics'!$D$380</f>
        <v>0</v>
      </c>
      <c r="D1015" s="1353">
        <f>'Key Metrics'!$H$380</f>
        <v>0</v>
      </c>
      <c r="E1015" s="1351">
        <f t="shared" si="330"/>
        <v>0</v>
      </c>
      <c r="F1015" s="1353">
        <f t="shared" si="342"/>
        <v>0</v>
      </c>
      <c r="G1015" s="1353">
        <f t="shared" si="343"/>
        <v>0</v>
      </c>
      <c r="H1015" s="1353">
        <f t="shared" si="344"/>
        <v>0</v>
      </c>
      <c r="I1015" s="1353">
        <f t="shared" si="345"/>
        <v>0</v>
      </c>
      <c r="J1015" s="1353">
        <f t="shared" si="346"/>
        <v>0</v>
      </c>
      <c r="M1015" s="1324" t="str">
        <f t="shared" si="336"/>
        <v>Shared Services - Health Services Other Expenses</v>
      </c>
      <c r="N1015" s="1368">
        <f t="shared" si="337"/>
        <v>0</v>
      </c>
      <c r="O1015" s="1368">
        <f t="shared" si="347"/>
        <v>0</v>
      </c>
      <c r="P1015" s="1368">
        <f t="shared" si="347"/>
        <v>0</v>
      </c>
      <c r="Q1015" s="1368">
        <f t="shared" si="347"/>
        <v>0</v>
      </c>
      <c r="R1015" s="1368">
        <f t="shared" si="347"/>
        <v>0</v>
      </c>
      <c r="T1015" s="1369">
        <v>0.02</v>
      </c>
      <c r="U1015" s="1369">
        <v>0.02</v>
      </c>
      <c r="V1015" s="1369">
        <v>0.02</v>
      </c>
      <c r="W1015" s="1369">
        <v>0.02</v>
      </c>
      <c r="X1015" s="1369">
        <v>0.02</v>
      </c>
      <c r="Y1015" s="1367"/>
      <c r="Z1015" s="1370">
        <v>0</v>
      </c>
      <c r="AA1015" s="1370">
        <v>0</v>
      </c>
      <c r="AB1015" s="1370">
        <v>0</v>
      </c>
      <c r="AC1015" s="1370">
        <v>0</v>
      </c>
      <c r="AD1015" s="1370">
        <v>0</v>
      </c>
      <c r="AK1015" s="1354">
        <f t="shared" si="340"/>
        <v>0</v>
      </c>
      <c r="AL1015" s="1352">
        <f t="shared" si="348"/>
        <v>53</v>
      </c>
      <c r="AM1015" s="1354">
        <f t="shared" si="323"/>
        <v>0</v>
      </c>
      <c r="AN1015" s="1352" t="str">
        <f t="shared" si="324"/>
        <v>Shared Services - Health Services Other Expenses</v>
      </c>
    </row>
    <row r="1016" spans="1:40" x14ac:dyDescent="0.2">
      <c r="A1016" s="1324" t="str">
        <f>A1015</f>
        <v>42-114</v>
      </c>
      <c r="B1016" s="1324" t="s">
        <v>6026</v>
      </c>
      <c r="C1016" s="1353">
        <f>'Key Metrics'!$E$380</f>
        <v>0</v>
      </c>
      <c r="D1016" s="1353">
        <f>'Key Metrics'!$I$380</f>
        <v>0</v>
      </c>
      <c r="E1016" s="1351">
        <f t="shared" si="330"/>
        <v>0</v>
      </c>
      <c r="F1016" s="1353">
        <f t="shared" si="342"/>
        <v>0</v>
      </c>
      <c r="G1016" s="1353">
        <f t="shared" si="343"/>
        <v>0</v>
      </c>
      <c r="H1016" s="1353">
        <f t="shared" si="344"/>
        <v>0</v>
      </c>
      <c r="I1016" s="1353">
        <f t="shared" si="345"/>
        <v>0</v>
      </c>
      <c r="J1016" s="1353">
        <f t="shared" si="346"/>
        <v>0</v>
      </c>
      <c r="M1016" s="1324" t="str">
        <f t="shared" si="336"/>
        <v>Shared Services - Health Services Unclassified</v>
      </c>
      <c r="N1016" s="1368">
        <f t="shared" si="337"/>
        <v>0</v>
      </c>
      <c r="O1016" s="1368">
        <f t="shared" si="347"/>
        <v>0</v>
      </c>
      <c r="P1016" s="1368">
        <f t="shared" si="347"/>
        <v>0</v>
      </c>
      <c r="Q1016" s="1368">
        <f t="shared" si="347"/>
        <v>0</v>
      </c>
      <c r="R1016" s="1368">
        <f t="shared" si="347"/>
        <v>0</v>
      </c>
      <c r="T1016" s="1369">
        <v>0.02</v>
      </c>
      <c r="U1016" s="1369">
        <v>0.02</v>
      </c>
      <c r="V1016" s="1369">
        <v>0.02</v>
      </c>
      <c r="W1016" s="1369">
        <v>0.02</v>
      </c>
      <c r="X1016" s="1369">
        <v>0.02</v>
      </c>
      <c r="Y1016" s="1367"/>
      <c r="Z1016" s="1370">
        <v>0</v>
      </c>
      <c r="AA1016" s="1370">
        <v>0</v>
      </c>
      <c r="AB1016" s="1370">
        <v>0</v>
      </c>
      <c r="AC1016" s="1370">
        <v>0</v>
      </c>
      <c r="AD1016" s="1370">
        <v>0</v>
      </c>
      <c r="AK1016" s="1354">
        <f t="shared" si="340"/>
        <v>0</v>
      </c>
      <c r="AL1016" s="1352">
        <f t="shared" si="348"/>
        <v>53</v>
      </c>
      <c r="AM1016" s="1354">
        <f t="shared" si="323"/>
        <v>0</v>
      </c>
      <c r="AN1016" s="1352" t="str">
        <f t="shared" si="324"/>
        <v>Shared Services - Health Services Unclassified</v>
      </c>
    </row>
    <row r="1017" spans="1:40" x14ac:dyDescent="0.2">
      <c r="A1017" s="1324" t="s">
        <v>5127</v>
      </c>
      <c r="B1017" s="1324" t="s">
        <v>5761</v>
      </c>
      <c r="C1017" s="1353">
        <f>'Key Metrics'!$C$381</f>
        <v>0</v>
      </c>
      <c r="D1017" s="1353">
        <f>'Key Metrics'!$G$381</f>
        <v>0</v>
      </c>
      <c r="E1017" s="1351">
        <f t="shared" si="330"/>
        <v>0</v>
      </c>
      <c r="F1017" s="1353">
        <f t="shared" si="342"/>
        <v>0</v>
      </c>
      <c r="G1017" s="1353">
        <f t="shared" si="343"/>
        <v>0</v>
      </c>
      <c r="H1017" s="1353">
        <f t="shared" si="344"/>
        <v>0</v>
      </c>
      <c r="I1017" s="1353">
        <f t="shared" si="345"/>
        <v>0</v>
      </c>
      <c r="J1017" s="1353">
        <f t="shared" si="346"/>
        <v>0</v>
      </c>
      <c r="M1017" s="1324" t="str">
        <f t="shared" si="336"/>
        <v>Shared Services - Dispatch/911 Salaries &amp; Wages</v>
      </c>
      <c r="N1017" s="1368">
        <f t="shared" si="337"/>
        <v>0</v>
      </c>
      <c r="O1017" s="1368">
        <f t="shared" si="347"/>
        <v>0</v>
      </c>
      <c r="P1017" s="1368">
        <f t="shared" si="347"/>
        <v>0</v>
      </c>
      <c r="Q1017" s="1368">
        <f t="shared" si="347"/>
        <v>0</v>
      </c>
      <c r="R1017" s="1368">
        <f t="shared" si="347"/>
        <v>0</v>
      </c>
      <c r="T1017" s="1369">
        <v>0.02</v>
      </c>
      <c r="U1017" s="1369">
        <v>0.02</v>
      </c>
      <c r="V1017" s="1369">
        <v>0.02</v>
      </c>
      <c r="W1017" s="1369">
        <v>0.02</v>
      </c>
      <c r="X1017" s="1369">
        <v>0.02</v>
      </c>
      <c r="Y1017" s="1367"/>
      <c r="Z1017" s="1370">
        <v>0</v>
      </c>
      <c r="AA1017" s="1370">
        <v>0</v>
      </c>
      <c r="AB1017" s="1370">
        <v>0</v>
      </c>
      <c r="AC1017" s="1370">
        <v>0</v>
      </c>
      <c r="AD1017" s="1370">
        <v>0</v>
      </c>
      <c r="AK1017" s="1354">
        <f t="shared" si="340"/>
        <v>0</v>
      </c>
      <c r="AL1017" s="1352">
        <f t="shared" si="348"/>
        <v>53</v>
      </c>
      <c r="AM1017" s="1354">
        <f t="shared" si="323"/>
        <v>0</v>
      </c>
      <c r="AN1017" s="1352" t="str">
        <f t="shared" si="324"/>
        <v>Shared Services - Dispatch/911 Salaries &amp; Wages</v>
      </c>
    </row>
    <row r="1018" spans="1:40" x14ac:dyDescent="0.2">
      <c r="A1018" s="1324" t="str">
        <f>A1017</f>
        <v>42-115</v>
      </c>
      <c r="B1018" s="1324" t="s">
        <v>6027</v>
      </c>
      <c r="C1018" s="1353">
        <f>'Key Metrics'!$D$381</f>
        <v>0</v>
      </c>
      <c r="D1018" s="1353">
        <f>'Key Metrics'!$H$381</f>
        <v>0</v>
      </c>
      <c r="E1018" s="1351">
        <f t="shared" si="330"/>
        <v>0</v>
      </c>
      <c r="F1018" s="1353">
        <f t="shared" si="342"/>
        <v>0</v>
      </c>
      <c r="G1018" s="1353">
        <f t="shared" si="343"/>
        <v>0</v>
      </c>
      <c r="H1018" s="1353">
        <f t="shared" si="344"/>
        <v>0</v>
      </c>
      <c r="I1018" s="1353">
        <f t="shared" si="345"/>
        <v>0</v>
      </c>
      <c r="J1018" s="1353">
        <f t="shared" si="346"/>
        <v>0</v>
      </c>
      <c r="M1018" s="1324" t="str">
        <f t="shared" si="336"/>
        <v>Shared Services - Dispatch/911 Other Expenses</v>
      </c>
      <c r="N1018" s="1368">
        <f t="shared" si="337"/>
        <v>0</v>
      </c>
      <c r="O1018" s="1368">
        <f t="shared" si="347"/>
        <v>0</v>
      </c>
      <c r="P1018" s="1368">
        <f t="shared" si="347"/>
        <v>0</v>
      </c>
      <c r="Q1018" s="1368">
        <f t="shared" si="347"/>
        <v>0</v>
      </c>
      <c r="R1018" s="1368">
        <f t="shared" si="347"/>
        <v>0</v>
      </c>
      <c r="T1018" s="1369">
        <v>0.02</v>
      </c>
      <c r="U1018" s="1369">
        <v>0.02</v>
      </c>
      <c r="V1018" s="1369">
        <v>0.02</v>
      </c>
      <c r="W1018" s="1369">
        <v>0.02</v>
      </c>
      <c r="X1018" s="1369">
        <v>0.02</v>
      </c>
      <c r="Y1018" s="1367"/>
      <c r="Z1018" s="1370">
        <v>0</v>
      </c>
      <c r="AA1018" s="1370">
        <v>0</v>
      </c>
      <c r="AB1018" s="1370">
        <v>0</v>
      </c>
      <c r="AC1018" s="1370">
        <v>0</v>
      </c>
      <c r="AD1018" s="1370">
        <v>0</v>
      </c>
      <c r="AK1018" s="1354">
        <f t="shared" si="340"/>
        <v>0</v>
      </c>
      <c r="AL1018" s="1352">
        <f t="shared" si="348"/>
        <v>53</v>
      </c>
      <c r="AM1018" s="1354">
        <f t="shared" si="323"/>
        <v>0</v>
      </c>
      <c r="AN1018" s="1352" t="str">
        <f t="shared" si="324"/>
        <v>Shared Services - Dispatch/911 Other Expenses</v>
      </c>
    </row>
    <row r="1019" spans="1:40" x14ac:dyDescent="0.2">
      <c r="A1019" s="1324" t="str">
        <f>A1018</f>
        <v>42-115</v>
      </c>
      <c r="B1019" s="1324" t="s">
        <v>6028</v>
      </c>
      <c r="C1019" s="1353">
        <f>'Key Metrics'!$E$381</f>
        <v>0</v>
      </c>
      <c r="D1019" s="1353">
        <f>'Key Metrics'!$I$381</f>
        <v>0</v>
      </c>
      <c r="E1019" s="1351">
        <f t="shared" si="330"/>
        <v>0</v>
      </c>
      <c r="F1019" s="1353">
        <f t="shared" si="342"/>
        <v>0</v>
      </c>
      <c r="G1019" s="1353">
        <f t="shared" si="343"/>
        <v>0</v>
      </c>
      <c r="H1019" s="1353">
        <f t="shared" si="344"/>
        <v>0</v>
      </c>
      <c r="I1019" s="1353">
        <f t="shared" si="345"/>
        <v>0</v>
      </c>
      <c r="J1019" s="1353">
        <f t="shared" si="346"/>
        <v>0</v>
      </c>
      <c r="M1019" s="1324" t="str">
        <f t="shared" si="336"/>
        <v>Shared Services - Dispatch/911 Unclassified</v>
      </c>
      <c r="N1019" s="1368">
        <f t="shared" si="337"/>
        <v>0</v>
      </c>
      <c r="O1019" s="1368">
        <f t="shared" si="347"/>
        <v>0</v>
      </c>
      <c r="P1019" s="1368">
        <f t="shared" si="347"/>
        <v>0</v>
      </c>
      <c r="Q1019" s="1368">
        <f t="shared" si="347"/>
        <v>0</v>
      </c>
      <c r="R1019" s="1368">
        <f t="shared" si="347"/>
        <v>0</v>
      </c>
      <c r="T1019" s="1369">
        <v>0.02</v>
      </c>
      <c r="U1019" s="1369">
        <v>0.02</v>
      </c>
      <c r="V1019" s="1369">
        <v>0.02</v>
      </c>
      <c r="W1019" s="1369">
        <v>0.02</v>
      </c>
      <c r="X1019" s="1369">
        <v>0.02</v>
      </c>
      <c r="Y1019" s="1367"/>
      <c r="Z1019" s="1370">
        <v>0</v>
      </c>
      <c r="AA1019" s="1370">
        <v>0</v>
      </c>
      <c r="AB1019" s="1370">
        <v>0</v>
      </c>
      <c r="AC1019" s="1370">
        <v>0</v>
      </c>
      <c r="AD1019" s="1370">
        <v>0</v>
      </c>
      <c r="AK1019" s="1354">
        <f t="shared" si="340"/>
        <v>0</v>
      </c>
      <c r="AL1019" s="1352">
        <f t="shared" si="348"/>
        <v>53</v>
      </c>
      <c r="AM1019" s="1354">
        <f t="shared" ref="AM1019:AM1079" si="349">J1019-D1019</f>
        <v>0</v>
      </c>
      <c r="AN1019" s="1352" t="str">
        <f t="shared" ref="AN1019:AN1079" si="350">B1019</f>
        <v>Shared Services - Dispatch/911 Unclassified</v>
      </c>
    </row>
    <row r="1020" spans="1:40" x14ac:dyDescent="0.2">
      <c r="A1020" s="1324" t="s">
        <v>5129</v>
      </c>
      <c r="B1020" s="1324" t="s">
        <v>5762</v>
      </c>
      <c r="C1020" s="1353">
        <f>'Key Metrics'!$C$382</f>
        <v>0</v>
      </c>
      <c r="D1020" s="1353">
        <f>'Key Metrics'!$G$382</f>
        <v>0</v>
      </c>
      <c r="E1020" s="1351">
        <f t="shared" si="330"/>
        <v>0</v>
      </c>
      <c r="F1020" s="1353">
        <f t="shared" si="342"/>
        <v>0</v>
      </c>
      <c r="G1020" s="1353">
        <f t="shared" si="343"/>
        <v>0</v>
      </c>
      <c r="H1020" s="1353">
        <f t="shared" si="344"/>
        <v>0</v>
      </c>
      <c r="I1020" s="1353">
        <f t="shared" si="345"/>
        <v>0</v>
      </c>
      <c r="J1020" s="1353">
        <f t="shared" si="346"/>
        <v>0</v>
      </c>
      <c r="M1020" s="1324" t="str">
        <f t="shared" si="336"/>
        <v>Shared Services - County Salaries &amp; Wages</v>
      </c>
      <c r="N1020" s="1368">
        <f t="shared" si="337"/>
        <v>0</v>
      </c>
      <c r="O1020" s="1368">
        <f t="shared" si="347"/>
        <v>0</v>
      </c>
      <c r="P1020" s="1368">
        <f t="shared" si="347"/>
        <v>0</v>
      </c>
      <c r="Q1020" s="1368">
        <f t="shared" si="347"/>
        <v>0</v>
      </c>
      <c r="R1020" s="1368">
        <f t="shared" si="347"/>
        <v>0</v>
      </c>
      <c r="T1020" s="1369">
        <v>0.02</v>
      </c>
      <c r="U1020" s="1369">
        <v>0.02</v>
      </c>
      <c r="V1020" s="1369">
        <v>0.02</v>
      </c>
      <c r="W1020" s="1369">
        <v>0.02</v>
      </c>
      <c r="X1020" s="1369">
        <v>0.02</v>
      </c>
      <c r="Y1020" s="1367"/>
      <c r="Z1020" s="1370">
        <v>0</v>
      </c>
      <c r="AA1020" s="1370">
        <v>0</v>
      </c>
      <c r="AB1020" s="1370">
        <v>0</v>
      </c>
      <c r="AC1020" s="1370">
        <v>0</v>
      </c>
      <c r="AD1020" s="1370">
        <v>0</v>
      </c>
      <c r="AK1020" s="1354">
        <f t="shared" si="340"/>
        <v>0</v>
      </c>
      <c r="AL1020" s="1352">
        <f t="shared" si="348"/>
        <v>53</v>
      </c>
      <c r="AM1020" s="1354">
        <f t="shared" si="349"/>
        <v>0</v>
      </c>
      <c r="AN1020" s="1352" t="str">
        <f t="shared" si="350"/>
        <v>Shared Services - County Salaries &amp; Wages</v>
      </c>
    </row>
    <row r="1021" spans="1:40" x14ac:dyDescent="0.2">
      <c r="A1021" s="1324" t="str">
        <f>A1020</f>
        <v>42-116</v>
      </c>
      <c r="B1021" s="1324" t="s">
        <v>6029</v>
      </c>
      <c r="C1021" s="1353">
        <f>'Key Metrics'!$D$382</f>
        <v>0</v>
      </c>
      <c r="D1021" s="1353">
        <f>'Key Metrics'!$H$382</f>
        <v>0</v>
      </c>
      <c r="E1021" s="1351">
        <f t="shared" si="330"/>
        <v>0</v>
      </c>
      <c r="F1021" s="1353">
        <f t="shared" si="342"/>
        <v>0</v>
      </c>
      <c r="G1021" s="1353">
        <f t="shared" si="343"/>
        <v>0</v>
      </c>
      <c r="H1021" s="1353">
        <f t="shared" si="344"/>
        <v>0</v>
      </c>
      <c r="I1021" s="1353">
        <f t="shared" si="345"/>
        <v>0</v>
      </c>
      <c r="J1021" s="1353">
        <f t="shared" si="346"/>
        <v>0</v>
      </c>
      <c r="M1021" s="1324" t="str">
        <f t="shared" si="336"/>
        <v>Shared Services - County Other Expenses</v>
      </c>
      <c r="N1021" s="1368">
        <f t="shared" si="337"/>
        <v>0</v>
      </c>
      <c r="O1021" s="1368">
        <f t="shared" si="347"/>
        <v>0</v>
      </c>
      <c r="P1021" s="1368">
        <f t="shared" si="347"/>
        <v>0</v>
      </c>
      <c r="Q1021" s="1368">
        <f t="shared" si="347"/>
        <v>0</v>
      </c>
      <c r="R1021" s="1368">
        <f t="shared" si="347"/>
        <v>0</v>
      </c>
      <c r="T1021" s="1369">
        <v>0.02</v>
      </c>
      <c r="U1021" s="1369">
        <v>0.02</v>
      </c>
      <c r="V1021" s="1369">
        <v>0.02</v>
      </c>
      <c r="W1021" s="1369">
        <v>0.02</v>
      </c>
      <c r="X1021" s="1369">
        <v>0.02</v>
      </c>
      <c r="Y1021" s="1367"/>
      <c r="Z1021" s="1370">
        <v>0</v>
      </c>
      <c r="AA1021" s="1370">
        <v>0</v>
      </c>
      <c r="AB1021" s="1370">
        <v>0</v>
      </c>
      <c r="AC1021" s="1370">
        <v>0</v>
      </c>
      <c r="AD1021" s="1370">
        <v>0</v>
      </c>
      <c r="AK1021" s="1354">
        <f t="shared" si="340"/>
        <v>0</v>
      </c>
      <c r="AL1021" s="1352">
        <f t="shared" si="348"/>
        <v>53</v>
      </c>
      <c r="AM1021" s="1354">
        <f t="shared" si="349"/>
        <v>0</v>
      </c>
      <c r="AN1021" s="1352" t="str">
        <f t="shared" si="350"/>
        <v>Shared Services - County Other Expenses</v>
      </c>
    </row>
    <row r="1022" spans="1:40" x14ac:dyDescent="0.2">
      <c r="A1022" s="1324" t="str">
        <f>A1021</f>
        <v>42-116</v>
      </c>
      <c r="B1022" s="1324" t="s">
        <v>6030</v>
      </c>
      <c r="C1022" s="1353">
        <f>'Key Metrics'!$E$382</f>
        <v>0</v>
      </c>
      <c r="D1022" s="1353">
        <f>'Key Metrics'!$I$382</f>
        <v>0</v>
      </c>
      <c r="E1022" s="1351">
        <f t="shared" si="330"/>
        <v>0</v>
      </c>
      <c r="F1022" s="1353">
        <f t="shared" si="342"/>
        <v>0</v>
      </c>
      <c r="G1022" s="1353">
        <f t="shared" si="343"/>
        <v>0</v>
      </c>
      <c r="H1022" s="1353">
        <f t="shared" si="344"/>
        <v>0</v>
      </c>
      <c r="I1022" s="1353">
        <f t="shared" si="345"/>
        <v>0</v>
      </c>
      <c r="J1022" s="1353">
        <f t="shared" si="346"/>
        <v>0</v>
      </c>
      <c r="M1022" s="1324" t="str">
        <f t="shared" si="336"/>
        <v>Shared Services - County Unclassified</v>
      </c>
      <c r="N1022" s="1368">
        <f t="shared" si="337"/>
        <v>0</v>
      </c>
      <c r="O1022" s="1368">
        <f t="shared" si="347"/>
        <v>0</v>
      </c>
      <c r="P1022" s="1368">
        <f t="shared" si="347"/>
        <v>0</v>
      </c>
      <c r="Q1022" s="1368">
        <f t="shared" si="347"/>
        <v>0</v>
      </c>
      <c r="R1022" s="1368">
        <f t="shared" si="347"/>
        <v>0</v>
      </c>
      <c r="T1022" s="1369">
        <v>0.02</v>
      </c>
      <c r="U1022" s="1369">
        <v>0.02</v>
      </c>
      <c r="V1022" s="1369">
        <v>0.02</v>
      </c>
      <c r="W1022" s="1369">
        <v>0.02</v>
      </c>
      <c r="X1022" s="1369">
        <v>0.02</v>
      </c>
      <c r="Y1022" s="1367"/>
      <c r="Z1022" s="1370">
        <v>0</v>
      </c>
      <c r="AA1022" s="1370">
        <v>0</v>
      </c>
      <c r="AB1022" s="1370">
        <v>0</v>
      </c>
      <c r="AC1022" s="1370">
        <v>0</v>
      </c>
      <c r="AD1022" s="1370">
        <v>0</v>
      </c>
      <c r="AK1022" s="1354">
        <f t="shared" si="340"/>
        <v>0</v>
      </c>
      <c r="AL1022" s="1352">
        <f t="shared" si="348"/>
        <v>53</v>
      </c>
      <c r="AM1022" s="1354">
        <f t="shared" si="349"/>
        <v>0</v>
      </c>
      <c r="AN1022" s="1352" t="str">
        <f t="shared" si="350"/>
        <v>Shared Services - County Unclassified</v>
      </c>
    </row>
    <row r="1023" spans="1:40" x14ac:dyDescent="0.2">
      <c r="A1023" s="1324" t="s">
        <v>5131</v>
      </c>
      <c r="B1023" s="1324" t="s">
        <v>5763</v>
      </c>
      <c r="C1023" s="1353">
        <f>'Key Metrics'!$C$383</f>
        <v>0</v>
      </c>
      <c r="D1023" s="1353">
        <f>'Key Metrics'!$G$383</f>
        <v>0</v>
      </c>
      <c r="E1023" s="1351">
        <f t="shared" si="330"/>
        <v>0</v>
      </c>
      <c r="F1023" s="1353">
        <f t="shared" si="342"/>
        <v>0</v>
      </c>
      <c r="G1023" s="1353">
        <f t="shared" si="343"/>
        <v>0</v>
      </c>
      <c r="H1023" s="1353">
        <f t="shared" si="344"/>
        <v>0</v>
      </c>
      <c r="I1023" s="1353">
        <f t="shared" si="345"/>
        <v>0</v>
      </c>
      <c r="J1023" s="1353">
        <f t="shared" si="346"/>
        <v>0</v>
      </c>
      <c r="M1023" s="1324" t="str">
        <f t="shared" si="336"/>
        <v>Shared Services - Transportation Services Salaries &amp; Wages</v>
      </c>
      <c r="N1023" s="1368">
        <f t="shared" si="337"/>
        <v>0</v>
      </c>
      <c r="O1023" s="1368">
        <f t="shared" si="347"/>
        <v>0</v>
      </c>
      <c r="P1023" s="1368">
        <f t="shared" si="347"/>
        <v>0</v>
      </c>
      <c r="Q1023" s="1368">
        <f t="shared" si="347"/>
        <v>0</v>
      </c>
      <c r="R1023" s="1368">
        <f t="shared" si="347"/>
        <v>0</v>
      </c>
      <c r="T1023" s="1369">
        <v>0.02</v>
      </c>
      <c r="U1023" s="1369">
        <v>0.02</v>
      </c>
      <c r="V1023" s="1369">
        <v>0.02</v>
      </c>
      <c r="W1023" s="1369">
        <v>0.02</v>
      </c>
      <c r="X1023" s="1369">
        <v>0.02</v>
      </c>
      <c r="Y1023" s="1367"/>
      <c r="Z1023" s="1370">
        <v>0</v>
      </c>
      <c r="AA1023" s="1370">
        <v>0</v>
      </c>
      <c r="AB1023" s="1370">
        <v>0</v>
      </c>
      <c r="AC1023" s="1370">
        <v>0</v>
      </c>
      <c r="AD1023" s="1370">
        <v>0</v>
      </c>
      <c r="AK1023" s="1354">
        <f t="shared" si="340"/>
        <v>0</v>
      </c>
      <c r="AL1023" s="1352">
        <f t="shared" si="348"/>
        <v>53</v>
      </c>
      <c r="AM1023" s="1354">
        <f t="shared" si="349"/>
        <v>0</v>
      </c>
      <c r="AN1023" s="1352" t="str">
        <f t="shared" si="350"/>
        <v>Shared Services - Transportation Services Salaries &amp; Wages</v>
      </c>
    </row>
    <row r="1024" spans="1:40" x14ac:dyDescent="0.2">
      <c r="A1024" s="1324" t="str">
        <f>A1023</f>
        <v>42-117</v>
      </c>
      <c r="B1024" s="1324" t="s">
        <v>6031</v>
      </c>
      <c r="C1024" s="1353">
        <f>'Key Metrics'!$D$383</f>
        <v>0</v>
      </c>
      <c r="D1024" s="1353">
        <f>'Key Metrics'!$H$383</f>
        <v>0</v>
      </c>
      <c r="E1024" s="1351">
        <f t="shared" si="330"/>
        <v>0</v>
      </c>
      <c r="F1024" s="1353">
        <f t="shared" si="342"/>
        <v>0</v>
      </c>
      <c r="G1024" s="1353">
        <f t="shared" si="343"/>
        <v>0</v>
      </c>
      <c r="H1024" s="1353">
        <f t="shared" si="344"/>
        <v>0</v>
      </c>
      <c r="I1024" s="1353">
        <f t="shared" si="345"/>
        <v>0</v>
      </c>
      <c r="J1024" s="1353">
        <f t="shared" si="346"/>
        <v>0</v>
      </c>
      <c r="M1024" s="1324" t="str">
        <f t="shared" si="336"/>
        <v>Shared Services - Transportation Services Other Expenses</v>
      </c>
      <c r="N1024" s="1368">
        <f t="shared" si="337"/>
        <v>0</v>
      </c>
      <c r="O1024" s="1368">
        <f t="shared" si="347"/>
        <v>0</v>
      </c>
      <c r="P1024" s="1368">
        <f t="shared" si="347"/>
        <v>0</v>
      </c>
      <c r="Q1024" s="1368">
        <f t="shared" si="347"/>
        <v>0</v>
      </c>
      <c r="R1024" s="1368">
        <f t="shared" si="347"/>
        <v>0</v>
      </c>
      <c r="T1024" s="1369">
        <v>0.02</v>
      </c>
      <c r="U1024" s="1369">
        <v>0.02</v>
      </c>
      <c r="V1024" s="1369">
        <v>0.02</v>
      </c>
      <c r="W1024" s="1369">
        <v>0.02</v>
      </c>
      <c r="X1024" s="1369">
        <v>0.02</v>
      </c>
      <c r="Y1024" s="1367"/>
      <c r="Z1024" s="1370">
        <v>0</v>
      </c>
      <c r="AA1024" s="1370">
        <v>0</v>
      </c>
      <c r="AB1024" s="1370">
        <v>0</v>
      </c>
      <c r="AC1024" s="1370">
        <v>0</v>
      </c>
      <c r="AD1024" s="1370">
        <v>0</v>
      </c>
      <c r="AK1024" s="1354">
        <f t="shared" si="340"/>
        <v>0</v>
      </c>
      <c r="AL1024" s="1352">
        <f t="shared" si="348"/>
        <v>53</v>
      </c>
      <c r="AM1024" s="1354">
        <f t="shared" si="349"/>
        <v>0</v>
      </c>
      <c r="AN1024" s="1352" t="str">
        <f t="shared" si="350"/>
        <v>Shared Services - Transportation Services Other Expenses</v>
      </c>
    </row>
    <row r="1025" spans="1:40" x14ac:dyDescent="0.2">
      <c r="A1025" s="1324" t="str">
        <f>A1024</f>
        <v>42-117</v>
      </c>
      <c r="B1025" s="1324" t="s">
        <v>6032</v>
      </c>
      <c r="C1025" s="1353">
        <f>'Key Metrics'!$E$383</f>
        <v>0</v>
      </c>
      <c r="D1025" s="1353">
        <f>'Key Metrics'!$I$383</f>
        <v>0</v>
      </c>
      <c r="E1025" s="1351">
        <f t="shared" si="330"/>
        <v>0</v>
      </c>
      <c r="F1025" s="1353">
        <f t="shared" si="342"/>
        <v>0</v>
      </c>
      <c r="G1025" s="1353">
        <f t="shared" si="343"/>
        <v>0</v>
      </c>
      <c r="H1025" s="1353">
        <f t="shared" si="344"/>
        <v>0</v>
      </c>
      <c r="I1025" s="1353">
        <f t="shared" si="345"/>
        <v>0</v>
      </c>
      <c r="J1025" s="1353">
        <f t="shared" si="346"/>
        <v>0</v>
      </c>
      <c r="M1025" s="1324" t="str">
        <f t="shared" si="336"/>
        <v>Shared Services - Transportation Services Unclassified</v>
      </c>
      <c r="N1025" s="1368">
        <f t="shared" si="337"/>
        <v>0</v>
      </c>
      <c r="O1025" s="1368">
        <f t="shared" si="347"/>
        <v>0</v>
      </c>
      <c r="P1025" s="1368">
        <f t="shared" si="347"/>
        <v>0</v>
      </c>
      <c r="Q1025" s="1368">
        <f t="shared" si="347"/>
        <v>0</v>
      </c>
      <c r="R1025" s="1368">
        <f t="shared" si="347"/>
        <v>0</v>
      </c>
      <c r="T1025" s="1369">
        <v>0.02</v>
      </c>
      <c r="U1025" s="1369">
        <v>0.02</v>
      </c>
      <c r="V1025" s="1369">
        <v>0.02</v>
      </c>
      <c r="W1025" s="1369">
        <v>0.02</v>
      </c>
      <c r="X1025" s="1369">
        <v>0.02</v>
      </c>
      <c r="Y1025" s="1367"/>
      <c r="Z1025" s="1370">
        <v>0</v>
      </c>
      <c r="AA1025" s="1370">
        <v>0</v>
      </c>
      <c r="AB1025" s="1370">
        <v>0</v>
      </c>
      <c r="AC1025" s="1370">
        <v>0</v>
      </c>
      <c r="AD1025" s="1370">
        <v>0</v>
      </c>
      <c r="AK1025" s="1354">
        <f t="shared" si="340"/>
        <v>0</v>
      </c>
      <c r="AL1025" s="1352">
        <f t="shared" si="348"/>
        <v>53</v>
      </c>
      <c r="AM1025" s="1354">
        <f t="shared" si="349"/>
        <v>0</v>
      </c>
      <c r="AN1025" s="1352" t="str">
        <f t="shared" si="350"/>
        <v>Shared Services - Transportation Services Unclassified</v>
      </c>
    </row>
    <row r="1026" spans="1:40" x14ac:dyDescent="0.2">
      <c r="A1026" s="1324" t="s">
        <v>5133</v>
      </c>
      <c r="B1026" s="1324" t="s">
        <v>5764</v>
      </c>
      <c r="C1026" s="1353">
        <f>'Key Metrics'!$C$384</f>
        <v>0</v>
      </c>
      <c r="D1026" s="1353">
        <f>'Key Metrics'!$G$384</f>
        <v>0</v>
      </c>
      <c r="E1026" s="1351">
        <f t="shared" si="330"/>
        <v>0</v>
      </c>
      <c r="F1026" s="1353">
        <f t="shared" si="342"/>
        <v>0</v>
      </c>
      <c r="G1026" s="1353">
        <f t="shared" si="343"/>
        <v>0</v>
      </c>
      <c r="H1026" s="1353">
        <f t="shared" si="344"/>
        <v>0</v>
      </c>
      <c r="I1026" s="1353">
        <f t="shared" si="345"/>
        <v>0</v>
      </c>
      <c r="J1026" s="1353">
        <f t="shared" si="346"/>
        <v>0</v>
      </c>
      <c r="M1026" s="1324" t="str">
        <f t="shared" si="336"/>
        <v>Shared Services - Construction Office Salaries &amp; Wages</v>
      </c>
      <c r="N1026" s="1368">
        <f t="shared" si="337"/>
        <v>0</v>
      </c>
      <c r="O1026" s="1368">
        <f t="shared" ref="O1026:R1041" si="351">N1026</f>
        <v>0</v>
      </c>
      <c r="P1026" s="1368">
        <f t="shared" si="351"/>
        <v>0</v>
      </c>
      <c r="Q1026" s="1368">
        <f t="shared" si="351"/>
        <v>0</v>
      </c>
      <c r="R1026" s="1368">
        <f t="shared" si="351"/>
        <v>0</v>
      </c>
      <c r="T1026" s="1369">
        <v>0.02</v>
      </c>
      <c r="U1026" s="1369">
        <v>0.02</v>
      </c>
      <c r="V1026" s="1369">
        <v>0.02</v>
      </c>
      <c r="W1026" s="1369">
        <v>0.02</v>
      </c>
      <c r="X1026" s="1369">
        <v>0.02</v>
      </c>
      <c r="Y1026" s="1367"/>
      <c r="Z1026" s="1370">
        <v>0</v>
      </c>
      <c r="AA1026" s="1370">
        <v>0</v>
      </c>
      <c r="AB1026" s="1370">
        <v>0</v>
      </c>
      <c r="AC1026" s="1370">
        <v>0</v>
      </c>
      <c r="AD1026" s="1370">
        <v>0</v>
      </c>
      <c r="AK1026" s="1354">
        <f t="shared" si="340"/>
        <v>0</v>
      </c>
      <c r="AL1026" s="1352">
        <f t="shared" si="348"/>
        <v>53</v>
      </c>
      <c r="AM1026" s="1354">
        <f t="shared" si="349"/>
        <v>0</v>
      </c>
      <c r="AN1026" s="1352" t="str">
        <f t="shared" si="350"/>
        <v>Shared Services - Construction Office Salaries &amp; Wages</v>
      </c>
    </row>
    <row r="1027" spans="1:40" x14ac:dyDescent="0.2">
      <c r="A1027" s="1324" t="str">
        <f>A1026</f>
        <v>42-118</v>
      </c>
      <c r="B1027" s="1324" t="s">
        <v>6033</v>
      </c>
      <c r="C1027" s="1353">
        <f>'Key Metrics'!$D$384</f>
        <v>0</v>
      </c>
      <c r="D1027" s="1353">
        <f>'Key Metrics'!$H$384</f>
        <v>0</v>
      </c>
      <c r="E1027" s="1351">
        <f t="shared" si="330"/>
        <v>0</v>
      </c>
      <c r="F1027" s="1353">
        <f t="shared" si="342"/>
        <v>0</v>
      </c>
      <c r="G1027" s="1353">
        <f t="shared" si="343"/>
        <v>0</v>
      </c>
      <c r="H1027" s="1353">
        <f t="shared" si="344"/>
        <v>0</v>
      </c>
      <c r="I1027" s="1353">
        <f t="shared" si="345"/>
        <v>0</v>
      </c>
      <c r="J1027" s="1353">
        <f t="shared" si="346"/>
        <v>0</v>
      </c>
      <c r="M1027" s="1324" t="str">
        <f t="shared" si="336"/>
        <v>Shared Services - Construction Office Other Expenses</v>
      </c>
      <c r="N1027" s="1368">
        <f t="shared" si="337"/>
        <v>0</v>
      </c>
      <c r="O1027" s="1368">
        <f t="shared" si="351"/>
        <v>0</v>
      </c>
      <c r="P1027" s="1368">
        <f t="shared" si="351"/>
        <v>0</v>
      </c>
      <c r="Q1027" s="1368">
        <f t="shared" si="351"/>
        <v>0</v>
      </c>
      <c r="R1027" s="1368">
        <f t="shared" si="351"/>
        <v>0</v>
      </c>
      <c r="T1027" s="1369">
        <v>0.02</v>
      </c>
      <c r="U1027" s="1369">
        <v>0.02</v>
      </c>
      <c r="V1027" s="1369">
        <v>0.02</v>
      </c>
      <c r="W1027" s="1369">
        <v>0.02</v>
      </c>
      <c r="X1027" s="1369">
        <v>0.02</v>
      </c>
      <c r="Y1027" s="1367"/>
      <c r="Z1027" s="1370">
        <v>0</v>
      </c>
      <c r="AA1027" s="1370">
        <v>0</v>
      </c>
      <c r="AB1027" s="1370">
        <v>0</v>
      </c>
      <c r="AC1027" s="1370">
        <v>0</v>
      </c>
      <c r="AD1027" s="1370">
        <v>0</v>
      </c>
      <c r="AK1027" s="1354">
        <f t="shared" si="340"/>
        <v>0</v>
      </c>
      <c r="AL1027" s="1352">
        <f t="shared" si="348"/>
        <v>53</v>
      </c>
      <c r="AM1027" s="1354">
        <f t="shared" si="349"/>
        <v>0</v>
      </c>
      <c r="AN1027" s="1352" t="str">
        <f t="shared" si="350"/>
        <v>Shared Services - Construction Office Other Expenses</v>
      </c>
    </row>
    <row r="1028" spans="1:40" x14ac:dyDescent="0.2">
      <c r="A1028" s="1324" t="str">
        <f>A1027</f>
        <v>42-118</v>
      </c>
      <c r="B1028" s="1324" t="s">
        <v>6034</v>
      </c>
      <c r="C1028" s="1353">
        <f>'Key Metrics'!$E$384</f>
        <v>0</v>
      </c>
      <c r="D1028" s="1353">
        <f>'Key Metrics'!$I$384</f>
        <v>0</v>
      </c>
      <c r="E1028" s="1351">
        <f t="shared" si="330"/>
        <v>0</v>
      </c>
      <c r="F1028" s="1353">
        <f t="shared" si="342"/>
        <v>0</v>
      </c>
      <c r="G1028" s="1353">
        <f t="shared" si="343"/>
        <v>0</v>
      </c>
      <c r="H1028" s="1353">
        <f t="shared" si="344"/>
        <v>0</v>
      </c>
      <c r="I1028" s="1353">
        <f t="shared" si="345"/>
        <v>0</v>
      </c>
      <c r="J1028" s="1353">
        <f t="shared" si="346"/>
        <v>0</v>
      </c>
      <c r="M1028" s="1324" t="str">
        <f t="shared" si="336"/>
        <v>Shared Services - Construction Office Unclassified</v>
      </c>
      <c r="N1028" s="1368">
        <f t="shared" si="337"/>
        <v>0</v>
      </c>
      <c r="O1028" s="1368">
        <f t="shared" si="351"/>
        <v>0</v>
      </c>
      <c r="P1028" s="1368">
        <f t="shared" si="351"/>
        <v>0</v>
      </c>
      <c r="Q1028" s="1368">
        <f t="shared" si="351"/>
        <v>0</v>
      </c>
      <c r="R1028" s="1368">
        <f t="shared" si="351"/>
        <v>0</v>
      </c>
      <c r="T1028" s="1369">
        <v>0.02</v>
      </c>
      <c r="U1028" s="1369">
        <v>0.02</v>
      </c>
      <c r="V1028" s="1369">
        <v>0.02</v>
      </c>
      <c r="W1028" s="1369">
        <v>0.02</v>
      </c>
      <c r="X1028" s="1369">
        <v>0.02</v>
      </c>
      <c r="Y1028" s="1367"/>
      <c r="Z1028" s="1370">
        <v>0</v>
      </c>
      <c r="AA1028" s="1370">
        <v>0</v>
      </c>
      <c r="AB1028" s="1370">
        <v>0</v>
      </c>
      <c r="AC1028" s="1370">
        <v>0</v>
      </c>
      <c r="AD1028" s="1370">
        <v>0</v>
      </c>
      <c r="AK1028" s="1354">
        <f t="shared" si="340"/>
        <v>0</v>
      </c>
      <c r="AL1028" s="1352">
        <f t="shared" si="348"/>
        <v>53</v>
      </c>
      <c r="AM1028" s="1354">
        <f t="shared" si="349"/>
        <v>0</v>
      </c>
      <c r="AN1028" s="1352" t="str">
        <f t="shared" si="350"/>
        <v>Shared Services - Construction Office Unclassified</v>
      </c>
    </row>
    <row r="1029" spans="1:40" x14ac:dyDescent="0.2">
      <c r="A1029" s="1324" t="s">
        <v>5135</v>
      </c>
      <c r="B1029" s="1324" t="s">
        <v>5765</v>
      </c>
      <c r="C1029" s="1353">
        <f>'Key Metrics'!$C$386</f>
        <v>0</v>
      </c>
      <c r="D1029" s="1353">
        <f>'Key Metrics'!$G$386</f>
        <v>0</v>
      </c>
      <c r="E1029" s="1351">
        <f t="shared" si="330"/>
        <v>0</v>
      </c>
      <c r="F1029" s="1353">
        <f t="shared" si="342"/>
        <v>0</v>
      </c>
      <c r="G1029" s="1353">
        <f t="shared" si="343"/>
        <v>0</v>
      </c>
      <c r="H1029" s="1353">
        <f t="shared" si="344"/>
        <v>0</v>
      </c>
      <c r="I1029" s="1353">
        <f t="shared" si="345"/>
        <v>0</v>
      </c>
      <c r="J1029" s="1353">
        <f t="shared" si="346"/>
        <v>0</v>
      </c>
      <c r="M1029" s="1324" t="str">
        <f t="shared" si="336"/>
        <v>"User Defined" Shared Services Salaries &amp; Wages</v>
      </c>
      <c r="N1029" s="1368">
        <f t="shared" si="337"/>
        <v>0</v>
      </c>
      <c r="O1029" s="1368">
        <f t="shared" si="351"/>
        <v>0</v>
      </c>
      <c r="P1029" s="1368">
        <f t="shared" si="351"/>
        <v>0</v>
      </c>
      <c r="Q1029" s="1368">
        <f t="shared" si="351"/>
        <v>0</v>
      </c>
      <c r="R1029" s="1368">
        <f t="shared" si="351"/>
        <v>0</v>
      </c>
      <c r="T1029" s="1369">
        <v>0.02</v>
      </c>
      <c r="U1029" s="1369">
        <v>0.02</v>
      </c>
      <c r="V1029" s="1369">
        <v>0.02</v>
      </c>
      <c r="W1029" s="1369">
        <v>0.02</v>
      </c>
      <c r="X1029" s="1369">
        <v>0.02</v>
      </c>
      <c r="Y1029" s="1367"/>
      <c r="Z1029" s="1370">
        <v>0</v>
      </c>
      <c r="AA1029" s="1370">
        <v>0</v>
      </c>
      <c r="AB1029" s="1370">
        <v>0</v>
      </c>
      <c r="AC1029" s="1370">
        <v>0</v>
      </c>
      <c r="AD1029" s="1370">
        <v>0</v>
      </c>
      <c r="AK1029" s="1354">
        <f t="shared" si="340"/>
        <v>0</v>
      </c>
      <c r="AL1029" s="1352">
        <f t="shared" si="348"/>
        <v>53</v>
      </c>
      <c r="AM1029" s="1354">
        <f t="shared" si="349"/>
        <v>0</v>
      </c>
      <c r="AN1029" s="1352" t="str">
        <f t="shared" si="350"/>
        <v>"User Defined" Shared Services Salaries &amp; Wages</v>
      </c>
    </row>
    <row r="1030" spans="1:40" x14ac:dyDescent="0.2">
      <c r="A1030" s="1324" t="str">
        <f>A1029</f>
        <v>42-119</v>
      </c>
      <c r="B1030" s="1324" t="s">
        <v>6035</v>
      </c>
      <c r="C1030" s="1353">
        <f>'Key Metrics'!$D$386</f>
        <v>0</v>
      </c>
      <c r="D1030" s="1353">
        <f>'Key Metrics'!$H$386</f>
        <v>0</v>
      </c>
      <c r="E1030" s="1351">
        <f t="shared" si="330"/>
        <v>0</v>
      </c>
      <c r="F1030" s="1353">
        <f t="shared" si="342"/>
        <v>0</v>
      </c>
      <c r="G1030" s="1353">
        <f t="shared" si="343"/>
        <v>0</v>
      </c>
      <c r="H1030" s="1353">
        <f t="shared" si="344"/>
        <v>0</v>
      </c>
      <c r="I1030" s="1353">
        <f t="shared" si="345"/>
        <v>0</v>
      </c>
      <c r="J1030" s="1353">
        <f t="shared" si="346"/>
        <v>0</v>
      </c>
      <c r="M1030" s="1324" t="str">
        <f t="shared" si="336"/>
        <v>"User Defined" Shared Services Other Expenses</v>
      </c>
      <c r="N1030" s="1368">
        <f t="shared" si="337"/>
        <v>0</v>
      </c>
      <c r="O1030" s="1368">
        <f t="shared" si="351"/>
        <v>0</v>
      </c>
      <c r="P1030" s="1368">
        <f t="shared" si="351"/>
        <v>0</v>
      </c>
      <c r="Q1030" s="1368">
        <f t="shared" si="351"/>
        <v>0</v>
      </c>
      <c r="R1030" s="1368">
        <f t="shared" si="351"/>
        <v>0</v>
      </c>
      <c r="T1030" s="1369">
        <v>0.02</v>
      </c>
      <c r="U1030" s="1369">
        <v>0.02</v>
      </c>
      <c r="V1030" s="1369">
        <v>0.02</v>
      </c>
      <c r="W1030" s="1369">
        <v>0.02</v>
      </c>
      <c r="X1030" s="1369">
        <v>0.02</v>
      </c>
      <c r="Y1030" s="1367"/>
      <c r="Z1030" s="1370">
        <v>0</v>
      </c>
      <c r="AA1030" s="1370">
        <v>0</v>
      </c>
      <c r="AB1030" s="1370">
        <v>0</v>
      </c>
      <c r="AC1030" s="1370">
        <v>0</v>
      </c>
      <c r="AD1030" s="1370">
        <v>0</v>
      </c>
      <c r="AK1030" s="1354">
        <f t="shared" si="340"/>
        <v>0</v>
      </c>
      <c r="AL1030" s="1352">
        <f t="shared" si="348"/>
        <v>53</v>
      </c>
      <c r="AM1030" s="1354">
        <f t="shared" si="349"/>
        <v>0</v>
      </c>
      <c r="AN1030" s="1352" t="str">
        <f t="shared" si="350"/>
        <v>"User Defined" Shared Services Other Expenses</v>
      </c>
    </row>
    <row r="1031" spans="1:40" x14ac:dyDescent="0.2">
      <c r="A1031" s="1324" t="str">
        <f>A1030</f>
        <v>42-119</v>
      </c>
      <c r="B1031" s="1324" t="s">
        <v>6036</v>
      </c>
      <c r="C1031" s="1353">
        <f>'Key Metrics'!$E$386</f>
        <v>0</v>
      </c>
      <c r="D1031" s="1353">
        <f>'Key Metrics'!$I$386</f>
        <v>0</v>
      </c>
      <c r="E1031" s="1351">
        <f t="shared" si="330"/>
        <v>0</v>
      </c>
      <c r="F1031" s="1353">
        <f t="shared" si="342"/>
        <v>0</v>
      </c>
      <c r="G1031" s="1353">
        <f t="shared" si="343"/>
        <v>0</v>
      </c>
      <c r="H1031" s="1353">
        <f t="shared" si="344"/>
        <v>0</v>
      </c>
      <c r="I1031" s="1353">
        <f t="shared" si="345"/>
        <v>0</v>
      </c>
      <c r="J1031" s="1353">
        <f t="shared" si="346"/>
        <v>0</v>
      </c>
      <c r="M1031" s="1324" t="str">
        <f t="shared" si="336"/>
        <v>"User Defined" Shared Services Unclassified</v>
      </c>
      <c r="N1031" s="1368">
        <f t="shared" si="337"/>
        <v>0</v>
      </c>
      <c r="O1031" s="1368">
        <f t="shared" si="351"/>
        <v>0</v>
      </c>
      <c r="P1031" s="1368">
        <f t="shared" si="351"/>
        <v>0</v>
      </c>
      <c r="Q1031" s="1368">
        <f t="shared" si="351"/>
        <v>0</v>
      </c>
      <c r="R1031" s="1368">
        <f t="shared" si="351"/>
        <v>0</v>
      </c>
      <c r="T1031" s="1369">
        <v>0.02</v>
      </c>
      <c r="U1031" s="1369">
        <v>0.02</v>
      </c>
      <c r="V1031" s="1369">
        <v>0.02</v>
      </c>
      <c r="W1031" s="1369">
        <v>0.02</v>
      </c>
      <c r="X1031" s="1369">
        <v>0.02</v>
      </c>
      <c r="Y1031" s="1367"/>
      <c r="Z1031" s="1370">
        <v>0</v>
      </c>
      <c r="AA1031" s="1370">
        <v>0</v>
      </c>
      <c r="AB1031" s="1370">
        <v>0</v>
      </c>
      <c r="AC1031" s="1370">
        <v>0</v>
      </c>
      <c r="AD1031" s="1370">
        <v>0</v>
      </c>
      <c r="AK1031" s="1354">
        <f t="shared" si="340"/>
        <v>0</v>
      </c>
      <c r="AL1031" s="1352">
        <f t="shared" si="348"/>
        <v>53</v>
      </c>
      <c r="AM1031" s="1354">
        <f t="shared" si="349"/>
        <v>0</v>
      </c>
      <c r="AN1031" s="1352" t="str">
        <f t="shared" si="350"/>
        <v>"User Defined" Shared Services Unclassified</v>
      </c>
    </row>
    <row r="1032" spans="1:40" x14ac:dyDescent="0.2">
      <c r="A1032" s="1324" t="s">
        <v>5137</v>
      </c>
      <c r="B1032" s="1324" t="s">
        <v>5765</v>
      </c>
      <c r="C1032" s="1353">
        <f>'Key Metrics'!$C$387</f>
        <v>0</v>
      </c>
      <c r="D1032" s="1353">
        <f>'Key Metrics'!$G$387</f>
        <v>0</v>
      </c>
      <c r="E1032" s="1351">
        <f t="shared" si="330"/>
        <v>0</v>
      </c>
      <c r="F1032" s="1353">
        <f t="shared" si="342"/>
        <v>0</v>
      </c>
      <c r="G1032" s="1353">
        <f t="shared" si="343"/>
        <v>0</v>
      </c>
      <c r="H1032" s="1353">
        <f t="shared" si="344"/>
        <v>0</v>
      </c>
      <c r="I1032" s="1353">
        <f t="shared" si="345"/>
        <v>0</v>
      </c>
      <c r="J1032" s="1353">
        <f t="shared" si="346"/>
        <v>0</v>
      </c>
      <c r="M1032" s="1324" t="str">
        <f t="shared" si="336"/>
        <v>"User Defined" Shared Services Salaries &amp; Wages</v>
      </c>
      <c r="N1032" s="1368">
        <f t="shared" si="337"/>
        <v>0</v>
      </c>
      <c r="O1032" s="1368">
        <f t="shared" si="351"/>
        <v>0</v>
      </c>
      <c r="P1032" s="1368">
        <f t="shared" si="351"/>
        <v>0</v>
      </c>
      <c r="Q1032" s="1368">
        <f t="shared" si="351"/>
        <v>0</v>
      </c>
      <c r="R1032" s="1368">
        <f t="shared" si="351"/>
        <v>0</v>
      </c>
      <c r="T1032" s="1369">
        <v>0.02</v>
      </c>
      <c r="U1032" s="1369">
        <v>0.02</v>
      </c>
      <c r="V1032" s="1369">
        <v>0.02</v>
      </c>
      <c r="W1032" s="1369">
        <v>0.02</v>
      </c>
      <c r="X1032" s="1369">
        <v>0.02</v>
      </c>
      <c r="Y1032" s="1367"/>
      <c r="Z1032" s="1370">
        <v>0</v>
      </c>
      <c r="AA1032" s="1370">
        <v>0</v>
      </c>
      <c r="AB1032" s="1370">
        <v>0</v>
      </c>
      <c r="AC1032" s="1370">
        <v>0</v>
      </c>
      <c r="AD1032" s="1370">
        <v>0</v>
      </c>
      <c r="AK1032" s="1354">
        <f t="shared" si="340"/>
        <v>0</v>
      </c>
      <c r="AL1032" s="1352">
        <f t="shared" si="348"/>
        <v>53</v>
      </c>
      <c r="AM1032" s="1354">
        <f t="shared" si="349"/>
        <v>0</v>
      </c>
      <c r="AN1032" s="1352" t="str">
        <f t="shared" si="350"/>
        <v>"User Defined" Shared Services Salaries &amp; Wages</v>
      </c>
    </row>
    <row r="1033" spans="1:40" x14ac:dyDescent="0.2">
      <c r="A1033" s="1324" t="str">
        <f>A1032</f>
        <v>42-120</v>
      </c>
      <c r="B1033" s="1324" t="s">
        <v>6035</v>
      </c>
      <c r="C1033" s="1353">
        <f>'Key Metrics'!$D$387</f>
        <v>20093.97</v>
      </c>
      <c r="D1033" s="1353">
        <f>'Key Metrics'!$H$387</f>
        <v>23700</v>
      </c>
      <c r="E1033" s="1351">
        <f t="shared" si="330"/>
        <v>0.17945831510647214</v>
      </c>
      <c r="F1033" s="1353">
        <f t="shared" si="342"/>
        <v>24174</v>
      </c>
      <c r="G1033" s="1353">
        <f t="shared" si="343"/>
        <v>24657.48</v>
      </c>
      <c r="H1033" s="1353">
        <f t="shared" si="344"/>
        <v>25150.6296</v>
      </c>
      <c r="I1033" s="1353">
        <f t="shared" si="345"/>
        <v>25653.642191999999</v>
      </c>
      <c r="J1033" s="1353">
        <f t="shared" si="346"/>
        <v>26166.715035839999</v>
      </c>
      <c r="M1033" s="1324" t="str">
        <f t="shared" si="336"/>
        <v>"User Defined" Shared Services Other Expenses</v>
      </c>
      <c r="N1033" s="1368">
        <f t="shared" si="337"/>
        <v>0.17945831510647214</v>
      </c>
      <c r="O1033" s="1368">
        <f t="shared" si="351"/>
        <v>0.17945831510647214</v>
      </c>
      <c r="P1033" s="1368">
        <f t="shared" si="351"/>
        <v>0.17945831510647214</v>
      </c>
      <c r="Q1033" s="1368">
        <f t="shared" si="351"/>
        <v>0.17945831510647214</v>
      </c>
      <c r="R1033" s="1368">
        <f t="shared" si="351"/>
        <v>0.17945831510647214</v>
      </c>
      <c r="T1033" s="1369">
        <v>0.02</v>
      </c>
      <c r="U1033" s="1369">
        <v>0.02</v>
      </c>
      <c r="V1033" s="1369">
        <v>0.02</v>
      </c>
      <c r="W1033" s="1369">
        <v>0.02</v>
      </c>
      <c r="X1033" s="1369">
        <v>0.02</v>
      </c>
      <c r="Y1033" s="1367"/>
      <c r="Z1033" s="1370">
        <v>0</v>
      </c>
      <c r="AA1033" s="1370">
        <v>0</v>
      </c>
      <c r="AB1033" s="1370">
        <v>0</v>
      </c>
      <c r="AC1033" s="1370">
        <v>0</v>
      </c>
      <c r="AD1033" s="1370">
        <v>0</v>
      </c>
      <c r="AK1033" s="1354">
        <f t="shared" si="340"/>
        <v>169596.43682783999</v>
      </c>
      <c r="AL1033" s="1352">
        <f t="shared" si="348"/>
        <v>4</v>
      </c>
      <c r="AM1033" s="1354">
        <f t="shared" si="349"/>
        <v>2466.7150358399995</v>
      </c>
      <c r="AN1033" s="1352" t="str">
        <f t="shared" si="350"/>
        <v>"User Defined" Shared Services Other Expenses</v>
      </c>
    </row>
    <row r="1034" spans="1:40" x14ac:dyDescent="0.2">
      <c r="A1034" s="1324" t="str">
        <f>A1033</f>
        <v>42-120</v>
      </c>
      <c r="B1034" s="1324" t="s">
        <v>6036</v>
      </c>
      <c r="C1034" s="1353">
        <f>'Key Metrics'!$E$387</f>
        <v>0</v>
      </c>
      <c r="D1034" s="1353">
        <f>'Key Metrics'!$I$387</f>
        <v>0</v>
      </c>
      <c r="E1034" s="1351">
        <f t="shared" si="330"/>
        <v>0</v>
      </c>
      <c r="F1034" s="1353">
        <f t="shared" si="342"/>
        <v>0</v>
      </c>
      <c r="G1034" s="1353">
        <f t="shared" si="343"/>
        <v>0</v>
      </c>
      <c r="H1034" s="1353">
        <f t="shared" si="344"/>
        <v>0</v>
      </c>
      <c r="I1034" s="1353">
        <f t="shared" si="345"/>
        <v>0</v>
      </c>
      <c r="J1034" s="1353">
        <f t="shared" si="346"/>
        <v>0</v>
      </c>
      <c r="M1034" s="1324" t="str">
        <f t="shared" si="336"/>
        <v>"User Defined" Shared Services Unclassified</v>
      </c>
      <c r="N1034" s="1368">
        <f t="shared" si="337"/>
        <v>0</v>
      </c>
      <c r="O1034" s="1368">
        <f t="shared" si="351"/>
        <v>0</v>
      </c>
      <c r="P1034" s="1368">
        <f t="shared" si="351"/>
        <v>0</v>
      </c>
      <c r="Q1034" s="1368">
        <f t="shared" si="351"/>
        <v>0</v>
      </c>
      <c r="R1034" s="1368">
        <f t="shared" si="351"/>
        <v>0</v>
      </c>
      <c r="T1034" s="1369">
        <v>0.02</v>
      </c>
      <c r="U1034" s="1369">
        <v>0.02</v>
      </c>
      <c r="V1034" s="1369">
        <v>0.02</v>
      </c>
      <c r="W1034" s="1369">
        <v>0.02</v>
      </c>
      <c r="X1034" s="1369">
        <v>0.02</v>
      </c>
      <c r="Y1034" s="1367"/>
      <c r="Z1034" s="1370">
        <v>0</v>
      </c>
      <c r="AA1034" s="1370">
        <v>0</v>
      </c>
      <c r="AB1034" s="1370">
        <v>0</v>
      </c>
      <c r="AC1034" s="1370">
        <v>0</v>
      </c>
      <c r="AD1034" s="1370">
        <v>0</v>
      </c>
      <c r="AK1034" s="1354">
        <f t="shared" si="340"/>
        <v>0</v>
      </c>
      <c r="AL1034" s="1352">
        <f t="shared" si="348"/>
        <v>53</v>
      </c>
      <c r="AM1034" s="1354">
        <f t="shared" si="349"/>
        <v>0</v>
      </c>
      <c r="AN1034" s="1352" t="str">
        <f t="shared" si="350"/>
        <v>"User Defined" Shared Services Unclassified</v>
      </c>
    </row>
    <row r="1035" spans="1:40" x14ac:dyDescent="0.2">
      <c r="A1035" s="1324" t="s">
        <v>5139</v>
      </c>
      <c r="B1035" s="1324" t="s">
        <v>5765</v>
      </c>
      <c r="C1035" s="1353">
        <f>'Key Metrics'!$C$388</f>
        <v>0</v>
      </c>
      <c r="D1035" s="1353">
        <f>'Key Metrics'!$G$388</f>
        <v>0</v>
      </c>
      <c r="E1035" s="1351">
        <f t="shared" si="330"/>
        <v>0</v>
      </c>
      <c r="F1035" s="1353">
        <f t="shared" si="342"/>
        <v>0</v>
      </c>
      <c r="G1035" s="1353">
        <f t="shared" si="343"/>
        <v>0</v>
      </c>
      <c r="H1035" s="1353">
        <f t="shared" si="344"/>
        <v>0</v>
      </c>
      <c r="I1035" s="1353">
        <f t="shared" si="345"/>
        <v>0</v>
      </c>
      <c r="J1035" s="1353">
        <f t="shared" si="346"/>
        <v>0</v>
      </c>
      <c r="M1035" s="1324" t="str">
        <f t="shared" si="336"/>
        <v>"User Defined" Shared Services Salaries &amp; Wages</v>
      </c>
      <c r="N1035" s="1368">
        <f t="shared" si="337"/>
        <v>0</v>
      </c>
      <c r="O1035" s="1368">
        <f t="shared" si="351"/>
        <v>0</v>
      </c>
      <c r="P1035" s="1368">
        <f t="shared" si="351"/>
        <v>0</v>
      </c>
      <c r="Q1035" s="1368">
        <f t="shared" si="351"/>
        <v>0</v>
      </c>
      <c r="R1035" s="1368">
        <f t="shared" si="351"/>
        <v>0</v>
      </c>
      <c r="T1035" s="1369">
        <v>0.02</v>
      </c>
      <c r="U1035" s="1369">
        <v>0.02</v>
      </c>
      <c r="V1035" s="1369">
        <v>0.02</v>
      </c>
      <c r="W1035" s="1369">
        <v>0.02</v>
      </c>
      <c r="X1035" s="1369">
        <v>0.02</v>
      </c>
      <c r="Y1035" s="1367"/>
      <c r="Z1035" s="1370">
        <v>0</v>
      </c>
      <c r="AA1035" s="1370">
        <v>0</v>
      </c>
      <c r="AB1035" s="1370">
        <v>0</v>
      </c>
      <c r="AC1035" s="1370">
        <v>0</v>
      </c>
      <c r="AD1035" s="1370">
        <v>0</v>
      </c>
      <c r="AK1035" s="1354">
        <f t="shared" si="340"/>
        <v>0</v>
      </c>
      <c r="AL1035" s="1352">
        <f t="shared" si="348"/>
        <v>53</v>
      </c>
      <c r="AM1035" s="1354">
        <f t="shared" si="349"/>
        <v>0</v>
      </c>
      <c r="AN1035" s="1352" t="str">
        <f t="shared" si="350"/>
        <v>"User Defined" Shared Services Salaries &amp; Wages</v>
      </c>
    </row>
    <row r="1036" spans="1:40" x14ac:dyDescent="0.2">
      <c r="A1036" s="1324" t="str">
        <f>A1035</f>
        <v>42-121</v>
      </c>
      <c r="B1036" s="1324" t="s">
        <v>6035</v>
      </c>
      <c r="C1036" s="1353">
        <f>'Key Metrics'!$D$388</f>
        <v>5175.66</v>
      </c>
      <c r="D1036" s="1353">
        <f>'Key Metrics'!$H$388</f>
        <v>8000</v>
      </c>
      <c r="E1036" s="1351">
        <f t="shared" si="330"/>
        <v>0.54569658748835903</v>
      </c>
      <c r="F1036" s="1353">
        <f t="shared" si="342"/>
        <v>8160</v>
      </c>
      <c r="G1036" s="1353">
        <f t="shared" si="343"/>
        <v>8323.2000000000007</v>
      </c>
      <c r="H1036" s="1353">
        <f t="shared" si="344"/>
        <v>8489.6640000000007</v>
      </c>
      <c r="I1036" s="1353">
        <f t="shared" si="345"/>
        <v>8659.4572800000005</v>
      </c>
      <c r="J1036" s="1353">
        <f t="shared" si="346"/>
        <v>8832.6464255999999</v>
      </c>
      <c r="M1036" s="1324" t="str">
        <f t="shared" si="336"/>
        <v>"User Defined" Shared Services Other Expenses</v>
      </c>
      <c r="N1036" s="1368">
        <f t="shared" si="337"/>
        <v>0.54569658748835903</v>
      </c>
      <c r="O1036" s="1368">
        <f t="shared" si="351"/>
        <v>0.54569658748835903</v>
      </c>
      <c r="P1036" s="1368">
        <f t="shared" si="351"/>
        <v>0.54569658748835903</v>
      </c>
      <c r="Q1036" s="1368">
        <f t="shared" si="351"/>
        <v>0.54569658748835903</v>
      </c>
      <c r="R1036" s="1368">
        <f t="shared" si="351"/>
        <v>0.54569658748835903</v>
      </c>
      <c r="T1036" s="1369">
        <v>0.02</v>
      </c>
      <c r="U1036" s="1369">
        <v>0.02</v>
      </c>
      <c r="V1036" s="1369">
        <v>0.02</v>
      </c>
      <c r="W1036" s="1369">
        <v>0.02</v>
      </c>
      <c r="X1036" s="1369">
        <v>0.02</v>
      </c>
      <c r="Y1036" s="1367"/>
      <c r="Z1036" s="1370">
        <v>0</v>
      </c>
      <c r="AA1036" s="1370">
        <v>0</v>
      </c>
      <c r="AB1036" s="1370">
        <v>0</v>
      </c>
      <c r="AC1036" s="1370">
        <v>0</v>
      </c>
      <c r="AD1036" s="1370">
        <v>0</v>
      </c>
      <c r="AK1036" s="1354">
        <f t="shared" si="340"/>
        <v>55640.627705600011</v>
      </c>
      <c r="AL1036" s="1352">
        <f t="shared" si="348"/>
        <v>13</v>
      </c>
      <c r="AM1036" s="1354">
        <f t="shared" si="349"/>
        <v>832.64642559999993</v>
      </c>
      <c r="AN1036" s="1352" t="str">
        <f t="shared" si="350"/>
        <v>"User Defined" Shared Services Other Expenses</v>
      </c>
    </row>
    <row r="1037" spans="1:40" x14ac:dyDescent="0.2">
      <c r="A1037" s="1324" t="str">
        <f>A1036</f>
        <v>42-121</v>
      </c>
      <c r="B1037" s="1324" t="s">
        <v>6036</v>
      </c>
      <c r="C1037" s="1353">
        <f>'Key Metrics'!$E$388</f>
        <v>0</v>
      </c>
      <c r="D1037" s="1353">
        <f>'Key Metrics'!$I$388</f>
        <v>0</v>
      </c>
      <c r="E1037" s="1351">
        <f t="shared" si="330"/>
        <v>0</v>
      </c>
      <c r="F1037" s="1353">
        <f t="shared" si="342"/>
        <v>0</v>
      </c>
      <c r="G1037" s="1353">
        <f t="shared" si="343"/>
        <v>0</v>
      </c>
      <c r="H1037" s="1353">
        <f t="shared" si="344"/>
        <v>0</v>
      </c>
      <c r="I1037" s="1353">
        <f t="shared" si="345"/>
        <v>0</v>
      </c>
      <c r="J1037" s="1353">
        <f t="shared" si="346"/>
        <v>0</v>
      </c>
      <c r="M1037" s="1324" t="str">
        <f t="shared" si="336"/>
        <v>"User Defined" Shared Services Unclassified</v>
      </c>
      <c r="N1037" s="1368">
        <f t="shared" si="337"/>
        <v>0</v>
      </c>
      <c r="O1037" s="1368">
        <f t="shared" si="351"/>
        <v>0</v>
      </c>
      <c r="P1037" s="1368">
        <f t="shared" si="351"/>
        <v>0</v>
      </c>
      <c r="Q1037" s="1368">
        <f t="shared" si="351"/>
        <v>0</v>
      </c>
      <c r="R1037" s="1368">
        <f t="shared" si="351"/>
        <v>0</v>
      </c>
      <c r="T1037" s="1369">
        <v>0.02</v>
      </c>
      <c r="U1037" s="1369">
        <v>0.02</v>
      </c>
      <c r="V1037" s="1369">
        <v>0.02</v>
      </c>
      <c r="W1037" s="1369">
        <v>0.02</v>
      </c>
      <c r="X1037" s="1369">
        <v>0.02</v>
      </c>
      <c r="Y1037" s="1367"/>
      <c r="Z1037" s="1370">
        <v>0</v>
      </c>
      <c r="AA1037" s="1370">
        <v>0</v>
      </c>
      <c r="AB1037" s="1370">
        <v>0</v>
      </c>
      <c r="AC1037" s="1370">
        <v>0</v>
      </c>
      <c r="AD1037" s="1370">
        <v>0</v>
      </c>
      <c r="AK1037" s="1354">
        <f t="shared" si="340"/>
        <v>0</v>
      </c>
      <c r="AL1037" s="1352">
        <f t="shared" si="348"/>
        <v>53</v>
      </c>
      <c r="AM1037" s="1354">
        <f t="shared" si="349"/>
        <v>0</v>
      </c>
      <c r="AN1037" s="1352" t="str">
        <f t="shared" si="350"/>
        <v>"User Defined" Shared Services Unclassified</v>
      </c>
    </row>
    <row r="1038" spans="1:40" x14ac:dyDescent="0.2">
      <c r="A1038" s="1324" t="s">
        <v>5141</v>
      </c>
      <c r="B1038" s="1324" t="s">
        <v>5765</v>
      </c>
      <c r="C1038" s="1353">
        <f>'Key Metrics'!$C$389</f>
        <v>0</v>
      </c>
      <c r="D1038" s="1353">
        <f>'Key Metrics'!$G$389</f>
        <v>0</v>
      </c>
      <c r="E1038" s="1351">
        <f t="shared" si="330"/>
        <v>0</v>
      </c>
      <c r="F1038" s="1353">
        <f t="shared" si="342"/>
        <v>0</v>
      </c>
      <c r="G1038" s="1353">
        <f t="shared" si="343"/>
        <v>0</v>
      </c>
      <c r="H1038" s="1353">
        <f t="shared" si="344"/>
        <v>0</v>
      </c>
      <c r="I1038" s="1353">
        <f t="shared" si="345"/>
        <v>0</v>
      </c>
      <c r="J1038" s="1353">
        <f t="shared" si="346"/>
        <v>0</v>
      </c>
      <c r="M1038" s="1324" t="str">
        <f t="shared" si="336"/>
        <v>"User Defined" Shared Services Salaries &amp; Wages</v>
      </c>
      <c r="N1038" s="1368">
        <f t="shared" si="337"/>
        <v>0</v>
      </c>
      <c r="O1038" s="1368">
        <f t="shared" si="351"/>
        <v>0</v>
      </c>
      <c r="P1038" s="1368">
        <f t="shared" si="351"/>
        <v>0</v>
      </c>
      <c r="Q1038" s="1368">
        <f t="shared" si="351"/>
        <v>0</v>
      </c>
      <c r="R1038" s="1368">
        <f t="shared" si="351"/>
        <v>0</v>
      </c>
      <c r="T1038" s="1369">
        <v>0.02</v>
      </c>
      <c r="U1038" s="1369">
        <v>0.02</v>
      </c>
      <c r="V1038" s="1369">
        <v>0.02</v>
      </c>
      <c r="W1038" s="1369">
        <v>0.02</v>
      </c>
      <c r="X1038" s="1369">
        <v>0.02</v>
      </c>
      <c r="Y1038" s="1367"/>
      <c r="Z1038" s="1370">
        <v>0</v>
      </c>
      <c r="AA1038" s="1370">
        <v>0</v>
      </c>
      <c r="AB1038" s="1370">
        <v>0</v>
      </c>
      <c r="AC1038" s="1370">
        <v>0</v>
      </c>
      <c r="AD1038" s="1370">
        <v>0</v>
      </c>
      <c r="AK1038" s="1354">
        <f t="shared" si="340"/>
        <v>0</v>
      </c>
      <c r="AL1038" s="1352">
        <f t="shared" si="348"/>
        <v>53</v>
      </c>
      <c r="AM1038" s="1354">
        <f t="shared" si="349"/>
        <v>0</v>
      </c>
      <c r="AN1038" s="1352" t="str">
        <f t="shared" si="350"/>
        <v>"User Defined" Shared Services Salaries &amp; Wages</v>
      </c>
    </row>
    <row r="1039" spans="1:40" x14ac:dyDescent="0.2">
      <c r="A1039" s="1324" t="str">
        <f>A1038</f>
        <v>42-122</v>
      </c>
      <c r="B1039" s="1324" t="s">
        <v>6035</v>
      </c>
      <c r="C1039" s="1353">
        <f>'Key Metrics'!$D$389</f>
        <v>7600</v>
      </c>
      <c r="D1039" s="1353">
        <f>'Key Metrics'!$H$389</f>
        <v>7600</v>
      </c>
      <c r="E1039" s="1351">
        <f t="shared" si="330"/>
        <v>0</v>
      </c>
      <c r="F1039" s="1353">
        <f t="shared" si="342"/>
        <v>7752</v>
      </c>
      <c r="G1039" s="1353">
        <f t="shared" si="343"/>
        <v>7907.04</v>
      </c>
      <c r="H1039" s="1353">
        <f t="shared" si="344"/>
        <v>8065.1808000000001</v>
      </c>
      <c r="I1039" s="1353">
        <f t="shared" si="345"/>
        <v>8226.4844159999993</v>
      </c>
      <c r="J1039" s="1353">
        <f t="shared" si="346"/>
        <v>8391.0141043200001</v>
      </c>
      <c r="M1039" s="1324" t="str">
        <f t="shared" si="336"/>
        <v>"User Defined" Shared Services Other Expenses</v>
      </c>
      <c r="N1039" s="1368">
        <f t="shared" si="337"/>
        <v>0</v>
      </c>
      <c r="O1039" s="1368">
        <f t="shared" si="351"/>
        <v>0</v>
      </c>
      <c r="P1039" s="1368">
        <f t="shared" si="351"/>
        <v>0</v>
      </c>
      <c r="Q1039" s="1368">
        <f t="shared" si="351"/>
        <v>0</v>
      </c>
      <c r="R1039" s="1368">
        <f t="shared" si="351"/>
        <v>0</v>
      </c>
      <c r="T1039" s="1369">
        <v>0.02</v>
      </c>
      <c r="U1039" s="1369">
        <v>0.02</v>
      </c>
      <c r="V1039" s="1369">
        <v>0.02</v>
      </c>
      <c r="W1039" s="1369">
        <v>0.02</v>
      </c>
      <c r="X1039" s="1369">
        <v>0.02</v>
      </c>
      <c r="Y1039" s="1367"/>
      <c r="Z1039" s="1370">
        <v>0</v>
      </c>
      <c r="AA1039" s="1370">
        <v>0</v>
      </c>
      <c r="AB1039" s="1370">
        <v>0</v>
      </c>
      <c r="AC1039" s="1370">
        <v>0</v>
      </c>
      <c r="AD1039" s="1370">
        <v>0</v>
      </c>
      <c r="AK1039" s="1354">
        <f t="shared" si="340"/>
        <v>55541.71932032</v>
      </c>
      <c r="AL1039" s="1352">
        <f t="shared" si="348"/>
        <v>15</v>
      </c>
      <c r="AM1039" s="1354">
        <f t="shared" si="349"/>
        <v>791.01410432000011</v>
      </c>
      <c r="AN1039" s="1352" t="str">
        <f t="shared" si="350"/>
        <v>"User Defined" Shared Services Other Expenses</v>
      </c>
    </row>
    <row r="1040" spans="1:40" x14ac:dyDescent="0.2">
      <c r="A1040" s="1324" t="str">
        <f>A1039</f>
        <v>42-122</v>
      </c>
      <c r="B1040" s="1324" t="s">
        <v>6036</v>
      </c>
      <c r="C1040" s="1353">
        <f>'Key Metrics'!$E$389</f>
        <v>0</v>
      </c>
      <c r="D1040" s="1353">
        <f>'Key Metrics'!$I$389</f>
        <v>0</v>
      </c>
      <c r="E1040" s="1351">
        <f t="shared" si="330"/>
        <v>0</v>
      </c>
      <c r="F1040" s="1353">
        <f t="shared" si="342"/>
        <v>0</v>
      </c>
      <c r="G1040" s="1353">
        <f t="shared" si="343"/>
        <v>0</v>
      </c>
      <c r="H1040" s="1353">
        <f t="shared" si="344"/>
        <v>0</v>
      </c>
      <c r="I1040" s="1353">
        <f t="shared" si="345"/>
        <v>0</v>
      </c>
      <c r="J1040" s="1353">
        <f t="shared" si="346"/>
        <v>0</v>
      </c>
      <c r="M1040" s="1324" t="str">
        <f t="shared" si="336"/>
        <v>"User Defined" Shared Services Unclassified</v>
      </c>
      <c r="N1040" s="1368">
        <f t="shared" si="337"/>
        <v>0</v>
      </c>
      <c r="O1040" s="1368">
        <f t="shared" si="351"/>
        <v>0</v>
      </c>
      <c r="P1040" s="1368">
        <f t="shared" si="351"/>
        <v>0</v>
      </c>
      <c r="Q1040" s="1368">
        <f t="shared" si="351"/>
        <v>0</v>
      </c>
      <c r="R1040" s="1368">
        <f t="shared" si="351"/>
        <v>0</v>
      </c>
      <c r="T1040" s="1369">
        <v>0.02</v>
      </c>
      <c r="U1040" s="1369">
        <v>0.02</v>
      </c>
      <c r="V1040" s="1369">
        <v>0.02</v>
      </c>
      <c r="W1040" s="1369">
        <v>0.02</v>
      </c>
      <c r="X1040" s="1369">
        <v>0.02</v>
      </c>
      <c r="Y1040" s="1367"/>
      <c r="Z1040" s="1370">
        <v>0</v>
      </c>
      <c r="AA1040" s="1370">
        <v>0</v>
      </c>
      <c r="AB1040" s="1370">
        <v>0</v>
      </c>
      <c r="AC1040" s="1370">
        <v>0</v>
      </c>
      <c r="AD1040" s="1370">
        <v>0</v>
      </c>
      <c r="AK1040" s="1354">
        <f t="shared" si="340"/>
        <v>0</v>
      </c>
      <c r="AL1040" s="1352">
        <f t="shared" si="348"/>
        <v>53</v>
      </c>
      <c r="AM1040" s="1354">
        <f t="shared" si="349"/>
        <v>0</v>
      </c>
      <c r="AN1040" s="1352" t="str">
        <f t="shared" si="350"/>
        <v>"User Defined" Shared Services Unclassified</v>
      </c>
    </row>
    <row r="1041" spans="1:40" x14ac:dyDescent="0.2">
      <c r="A1041" s="1324" t="s">
        <v>5143</v>
      </c>
      <c r="B1041" s="1324" t="s">
        <v>5765</v>
      </c>
      <c r="C1041" s="1353">
        <f>'Key Metrics'!$C$390</f>
        <v>0</v>
      </c>
      <c r="D1041" s="1353">
        <f>'Key Metrics'!$G$390</f>
        <v>0</v>
      </c>
      <c r="E1041" s="1351">
        <f t="shared" si="330"/>
        <v>0</v>
      </c>
      <c r="F1041" s="1353">
        <f t="shared" si="342"/>
        <v>0</v>
      </c>
      <c r="G1041" s="1353">
        <f t="shared" si="343"/>
        <v>0</v>
      </c>
      <c r="H1041" s="1353">
        <f t="shared" si="344"/>
        <v>0</v>
      </c>
      <c r="I1041" s="1353">
        <f t="shared" si="345"/>
        <v>0</v>
      </c>
      <c r="J1041" s="1353">
        <f t="shared" si="346"/>
        <v>0</v>
      </c>
      <c r="M1041" s="1324" t="str">
        <f t="shared" si="336"/>
        <v>"User Defined" Shared Services Salaries &amp; Wages</v>
      </c>
      <c r="N1041" s="1368">
        <f t="shared" si="337"/>
        <v>0</v>
      </c>
      <c r="O1041" s="1368">
        <f t="shared" si="351"/>
        <v>0</v>
      </c>
      <c r="P1041" s="1368">
        <f t="shared" si="351"/>
        <v>0</v>
      </c>
      <c r="Q1041" s="1368">
        <f t="shared" si="351"/>
        <v>0</v>
      </c>
      <c r="R1041" s="1368">
        <f t="shared" si="351"/>
        <v>0</v>
      </c>
      <c r="T1041" s="1369">
        <v>0.02</v>
      </c>
      <c r="U1041" s="1369">
        <v>0.02</v>
      </c>
      <c r="V1041" s="1369">
        <v>0.02</v>
      </c>
      <c r="W1041" s="1369">
        <v>0.02</v>
      </c>
      <c r="X1041" s="1369">
        <v>0.02</v>
      </c>
      <c r="Y1041" s="1367"/>
      <c r="Z1041" s="1370">
        <v>0</v>
      </c>
      <c r="AA1041" s="1370">
        <v>0</v>
      </c>
      <c r="AB1041" s="1370">
        <v>0</v>
      </c>
      <c r="AC1041" s="1370">
        <v>0</v>
      </c>
      <c r="AD1041" s="1370">
        <v>0</v>
      </c>
      <c r="AK1041" s="1354">
        <f t="shared" si="340"/>
        <v>0</v>
      </c>
      <c r="AL1041" s="1352">
        <f t="shared" si="348"/>
        <v>53</v>
      </c>
      <c r="AM1041" s="1354">
        <f t="shared" si="349"/>
        <v>0</v>
      </c>
      <c r="AN1041" s="1352" t="str">
        <f t="shared" si="350"/>
        <v>"User Defined" Shared Services Salaries &amp; Wages</v>
      </c>
    </row>
    <row r="1042" spans="1:40" x14ac:dyDescent="0.2">
      <c r="A1042" s="1324" t="str">
        <f>A1041</f>
        <v>42-123</v>
      </c>
      <c r="B1042" s="1324" t="s">
        <v>6035</v>
      </c>
      <c r="C1042" s="1353">
        <f>'Key Metrics'!$D$390</f>
        <v>548</v>
      </c>
      <c r="D1042" s="1353">
        <f>'Key Metrics'!$H$390</f>
        <v>550</v>
      </c>
      <c r="E1042" s="1351">
        <f t="shared" ref="E1042:E1050" si="352">IFERROR(D1042/C1042-1,0)</f>
        <v>3.6496350364962904E-3</v>
      </c>
      <c r="F1042" s="1353">
        <f t="shared" ref="F1042:F1049" si="353">IFERROR(IF($I$3=1,D1042*(1+N1042),IF($I$3=2,D1042*(1+T1042),IF($I$3=3,Z1042,"--"))),0)</f>
        <v>561</v>
      </c>
      <c r="G1042" s="1353">
        <f t="shared" ref="G1042:J1049" si="354">IFERROR(IF($I$3=1,F1042*(1+O1042),IF($I$3=2,F1042*(1+U1042),IF($I$3=3,AA1042,"--"))),0)</f>
        <v>572.22</v>
      </c>
      <c r="H1042" s="1353">
        <f t="shared" si="354"/>
        <v>583.6644</v>
      </c>
      <c r="I1042" s="1353">
        <f t="shared" si="354"/>
        <v>595.33768799999996</v>
      </c>
      <c r="J1042" s="1353">
        <f t="shared" si="354"/>
        <v>607.24444175999997</v>
      </c>
      <c r="M1042" s="1324" t="str">
        <f t="shared" ref="M1042:M1049" si="355">B1042</f>
        <v>"User Defined" Shared Services Other Expenses</v>
      </c>
      <c r="N1042" s="1368">
        <f t="shared" ref="N1042:N1049" si="356">E1042</f>
        <v>3.6496350364962904E-3</v>
      </c>
      <c r="O1042" s="1368">
        <f t="shared" ref="O1042:R1049" si="357">N1042</f>
        <v>3.6496350364962904E-3</v>
      </c>
      <c r="P1042" s="1368">
        <f t="shared" si="357"/>
        <v>3.6496350364962904E-3</v>
      </c>
      <c r="Q1042" s="1368">
        <f t="shared" si="357"/>
        <v>3.6496350364962904E-3</v>
      </c>
      <c r="R1042" s="1368">
        <f t="shared" si="357"/>
        <v>3.6496350364962904E-3</v>
      </c>
      <c r="T1042" s="1369">
        <v>0.02</v>
      </c>
      <c r="U1042" s="1369">
        <v>0.02</v>
      </c>
      <c r="V1042" s="1369">
        <v>0.02</v>
      </c>
      <c r="W1042" s="1369">
        <v>0.02</v>
      </c>
      <c r="X1042" s="1369">
        <v>0.02</v>
      </c>
      <c r="Y1042" s="1367"/>
      <c r="Z1042" s="1370">
        <v>0</v>
      </c>
      <c r="AA1042" s="1370">
        <v>0</v>
      </c>
      <c r="AB1042" s="1370">
        <v>0</v>
      </c>
      <c r="AC1042" s="1370">
        <v>0</v>
      </c>
      <c r="AD1042" s="1370">
        <v>0</v>
      </c>
      <c r="AK1042" s="1354">
        <f t="shared" si="340"/>
        <v>4017.4665297600004</v>
      </c>
      <c r="AL1042" s="1352">
        <f t="shared" ref="AL1042:AL1049" si="358">RANK(AM1042,$AM$504:$AM$1172,0)</f>
        <v>40</v>
      </c>
      <c r="AM1042" s="1354">
        <f t="shared" si="349"/>
        <v>57.244441759999972</v>
      </c>
      <c r="AN1042" s="1352" t="str">
        <f t="shared" si="350"/>
        <v>"User Defined" Shared Services Other Expenses</v>
      </c>
    </row>
    <row r="1043" spans="1:40" x14ac:dyDescent="0.2">
      <c r="A1043" s="1324" t="str">
        <f>A1042</f>
        <v>42-123</v>
      </c>
      <c r="B1043" s="1324" t="s">
        <v>6036</v>
      </c>
      <c r="C1043" s="1353">
        <f>'Key Metrics'!$E$390</f>
        <v>0</v>
      </c>
      <c r="D1043" s="1353">
        <f>'Key Metrics'!$I$390</f>
        <v>0</v>
      </c>
      <c r="E1043" s="1351">
        <f t="shared" si="352"/>
        <v>0</v>
      </c>
      <c r="F1043" s="1353">
        <f t="shared" si="353"/>
        <v>0</v>
      </c>
      <c r="G1043" s="1353">
        <f t="shared" si="354"/>
        <v>0</v>
      </c>
      <c r="H1043" s="1353">
        <f t="shared" si="354"/>
        <v>0</v>
      </c>
      <c r="I1043" s="1353">
        <f t="shared" si="354"/>
        <v>0</v>
      </c>
      <c r="J1043" s="1353">
        <f t="shared" si="354"/>
        <v>0</v>
      </c>
      <c r="M1043" s="1324" t="str">
        <f t="shared" si="355"/>
        <v>"User Defined" Shared Services Unclassified</v>
      </c>
      <c r="N1043" s="1368">
        <f t="shared" si="356"/>
        <v>0</v>
      </c>
      <c r="O1043" s="1368">
        <f t="shared" si="357"/>
        <v>0</v>
      </c>
      <c r="P1043" s="1368">
        <f t="shared" si="357"/>
        <v>0</v>
      </c>
      <c r="Q1043" s="1368">
        <f t="shared" si="357"/>
        <v>0</v>
      </c>
      <c r="R1043" s="1368">
        <f t="shared" si="357"/>
        <v>0</v>
      </c>
      <c r="T1043" s="1369">
        <v>0.02</v>
      </c>
      <c r="U1043" s="1369">
        <v>0.02</v>
      </c>
      <c r="V1043" s="1369">
        <v>0.02</v>
      </c>
      <c r="W1043" s="1369">
        <v>0.02</v>
      </c>
      <c r="X1043" s="1369">
        <v>0.02</v>
      </c>
      <c r="Y1043" s="1367"/>
      <c r="Z1043" s="1370">
        <v>0</v>
      </c>
      <c r="AA1043" s="1370">
        <v>0</v>
      </c>
      <c r="AB1043" s="1370">
        <v>0</v>
      </c>
      <c r="AC1043" s="1370">
        <v>0</v>
      </c>
      <c r="AD1043" s="1370">
        <v>0</v>
      </c>
      <c r="AK1043" s="1354">
        <f t="shared" si="340"/>
        <v>0</v>
      </c>
      <c r="AL1043" s="1352">
        <f t="shared" si="358"/>
        <v>53</v>
      </c>
      <c r="AM1043" s="1354">
        <f t="shared" si="349"/>
        <v>0</v>
      </c>
      <c r="AN1043" s="1352" t="str">
        <f t="shared" si="350"/>
        <v>"User Defined" Shared Services Unclassified</v>
      </c>
    </row>
    <row r="1044" spans="1:40" x14ac:dyDescent="0.2">
      <c r="A1044" s="1324" t="s">
        <v>5145</v>
      </c>
      <c r="B1044" s="1324" t="s">
        <v>5765</v>
      </c>
      <c r="C1044" s="1353">
        <f>'Key Metrics'!$C$391</f>
        <v>0</v>
      </c>
      <c r="D1044" s="1353">
        <f>'Key Metrics'!$G$391</f>
        <v>0</v>
      </c>
      <c r="E1044" s="1351">
        <f t="shared" si="352"/>
        <v>0</v>
      </c>
      <c r="F1044" s="1353">
        <f t="shared" si="353"/>
        <v>0</v>
      </c>
      <c r="G1044" s="1353">
        <f t="shared" si="354"/>
        <v>0</v>
      </c>
      <c r="H1044" s="1353">
        <f t="shared" si="354"/>
        <v>0</v>
      </c>
      <c r="I1044" s="1353">
        <f t="shared" si="354"/>
        <v>0</v>
      </c>
      <c r="J1044" s="1353">
        <f t="shared" si="354"/>
        <v>0</v>
      </c>
      <c r="M1044" s="1324" t="str">
        <f t="shared" si="355"/>
        <v>"User Defined" Shared Services Salaries &amp; Wages</v>
      </c>
      <c r="N1044" s="1368">
        <f t="shared" si="356"/>
        <v>0</v>
      </c>
      <c r="O1044" s="1368">
        <f t="shared" si="357"/>
        <v>0</v>
      </c>
      <c r="P1044" s="1368">
        <f t="shared" si="357"/>
        <v>0</v>
      </c>
      <c r="Q1044" s="1368">
        <f t="shared" si="357"/>
        <v>0</v>
      </c>
      <c r="R1044" s="1368">
        <f t="shared" si="357"/>
        <v>0</v>
      </c>
      <c r="T1044" s="1369">
        <v>0.02</v>
      </c>
      <c r="U1044" s="1369">
        <v>0.02</v>
      </c>
      <c r="V1044" s="1369">
        <v>0.02</v>
      </c>
      <c r="W1044" s="1369">
        <v>0.02</v>
      </c>
      <c r="X1044" s="1369">
        <v>0.02</v>
      </c>
      <c r="Y1044" s="1367"/>
      <c r="Z1044" s="1370">
        <v>0</v>
      </c>
      <c r="AA1044" s="1370">
        <v>0</v>
      </c>
      <c r="AB1044" s="1370">
        <v>0</v>
      </c>
      <c r="AC1044" s="1370">
        <v>0</v>
      </c>
      <c r="AD1044" s="1370">
        <v>0</v>
      </c>
      <c r="AK1044" s="1354">
        <f t="shared" ref="AK1044:AK1107" si="359">SUM(C1044:D1044,F1044:J1044)</f>
        <v>0</v>
      </c>
      <c r="AL1044" s="1352">
        <f t="shared" si="358"/>
        <v>53</v>
      </c>
      <c r="AM1044" s="1354">
        <f t="shared" si="349"/>
        <v>0</v>
      </c>
      <c r="AN1044" s="1352" t="str">
        <f t="shared" si="350"/>
        <v>"User Defined" Shared Services Salaries &amp; Wages</v>
      </c>
    </row>
    <row r="1045" spans="1:40" x14ac:dyDescent="0.2">
      <c r="A1045" s="1324" t="str">
        <f>A1044</f>
        <v>42-124</v>
      </c>
      <c r="B1045" s="1324" t="s">
        <v>6035</v>
      </c>
      <c r="C1045" s="1353">
        <f>'Key Metrics'!$D$391</f>
        <v>0</v>
      </c>
      <c r="D1045" s="1353">
        <f>'Key Metrics'!$H$391</f>
        <v>1500</v>
      </c>
      <c r="E1045" s="1351">
        <f t="shared" si="352"/>
        <v>0</v>
      </c>
      <c r="F1045" s="1353">
        <f t="shared" si="353"/>
        <v>1530</v>
      </c>
      <c r="G1045" s="1353">
        <f t="shared" si="354"/>
        <v>1560.6000000000001</v>
      </c>
      <c r="H1045" s="1353">
        <f t="shared" si="354"/>
        <v>1591.8120000000001</v>
      </c>
      <c r="I1045" s="1353">
        <f t="shared" si="354"/>
        <v>1623.6482400000002</v>
      </c>
      <c r="J1045" s="1353">
        <f t="shared" si="354"/>
        <v>1656.1212048000002</v>
      </c>
      <c r="M1045" s="1324" t="str">
        <f t="shared" si="355"/>
        <v>"User Defined" Shared Services Other Expenses</v>
      </c>
      <c r="N1045" s="1368">
        <f t="shared" si="356"/>
        <v>0</v>
      </c>
      <c r="O1045" s="1368">
        <f t="shared" si="357"/>
        <v>0</v>
      </c>
      <c r="P1045" s="1368">
        <f t="shared" si="357"/>
        <v>0</v>
      </c>
      <c r="Q1045" s="1368">
        <f t="shared" si="357"/>
        <v>0</v>
      </c>
      <c r="R1045" s="1368">
        <f t="shared" si="357"/>
        <v>0</v>
      </c>
      <c r="T1045" s="1369">
        <v>0.02</v>
      </c>
      <c r="U1045" s="1369">
        <v>0.02</v>
      </c>
      <c r="V1045" s="1369">
        <v>0.02</v>
      </c>
      <c r="W1045" s="1369">
        <v>0.02</v>
      </c>
      <c r="X1045" s="1369">
        <v>0.02</v>
      </c>
      <c r="Y1045" s="1367"/>
      <c r="Z1045" s="1370">
        <v>0</v>
      </c>
      <c r="AA1045" s="1370">
        <v>0</v>
      </c>
      <c r="AB1045" s="1370">
        <v>0</v>
      </c>
      <c r="AC1045" s="1370">
        <v>0</v>
      </c>
      <c r="AD1045" s="1370">
        <v>0</v>
      </c>
      <c r="AK1045" s="1354">
        <f t="shared" si="359"/>
        <v>9462.1814448000005</v>
      </c>
      <c r="AL1045" s="1352">
        <f t="shared" si="358"/>
        <v>37</v>
      </c>
      <c r="AM1045" s="1354">
        <f t="shared" si="349"/>
        <v>156.12120480000021</v>
      </c>
      <c r="AN1045" s="1352" t="str">
        <f t="shared" si="350"/>
        <v>"User Defined" Shared Services Other Expenses</v>
      </c>
    </row>
    <row r="1046" spans="1:40" x14ac:dyDescent="0.2">
      <c r="A1046" s="1324" t="str">
        <f>A1045</f>
        <v>42-124</v>
      </c>
      <c r="B1046" s="1324" t="s">
        <v>6036</v>
      </c>
      <c r="C1046" s="1353">
        <f>'Key Metrics'!$E$391</f>
        <v>0</v>
      </c>
      <c r="D1046" s="1353">
        <f>'Key Metrics'!$I$391</f>
        <v>0</v>
      </c>
      <c r="E1046" s="1351">
        <f t="shared" si="352"/>
        <v>0</v>
      </c>
      <c r="F1046" s="1353">
        <f t="shared" si="353"/>
        <v>0</v>
      </c>
      <c r="G1046" s="1353">
        <f t="shared" si="354"/>
        <v>0</v>
      </c>
      <c r="H1046" s="1353">
        <f t="shared" si="354"/>
        <v>0</v>
      </c>
      <c r="I1046" s="1353">
        <f t="shared" si="354"/>
        <v>0</v>
      </c>
      <c r="J1046" s="1353">
        <f t="shared" si="354"/>
        <v>0</v>
      </c>
      <c r="M1046" s="1324" t="str">
        <f t="shared" si="355"/>
        <v>"User Defined" Shared Services Unclassified</v>
      </c>
      <c r="N1046" s="1368">
        <f t="shared" si="356"/>
        <v>0</v>
      </c>
      <c r="O1046" s="1368">
        <f t="shared" si="357"/>
        <v>0</v>
      </c>
      <c r="P1046" s="1368">
        <f t="shared" si="357"/>
        <v>0</v>
      </c>
      <c r="Q1046" s="1368">
        <f t="shared" si="357"/>
        <v>0</v>
      </c>
      <c r="R1046" s="1368">
        <f t="shared" si="357"/>
        <v>0</v>
      </c>
      <c r="T1046" s="1369">
        <v>0.02</v>
      </c>
      <c r="U1046" s="1369">
        <v>0.02</v>
      </c>
      <c r="V1046" s="1369">
        <v>0.02</v>
      </c>
      <c r="W1046" s="1369">
        <v>0.02</v>
      </c>
      <c r="X1046" s="1369">
        <v>0.02</v>
      </c>
      <c r="Y1046" s="1367"/>
      <c r="Z1046" s="1370">
        <v>0</v>
      </c>
      <c r="AA1046" s="1370">
        <v>0</v>
      </c>
      <c r="AB1046" s="1370">
        <v>0</v>
      </c>
      <c r="AC1046" s="1370">
        <v>0</v>
      </c>
      <c r="AD1046" s="1370">
        <v>0</v>
      </c>
      <c r="AK1046" s="1354">
        <f t="shared" si="359"/>
        <v>0</v>
      </c>
      <c r="AL1046" s="1352">
        <f t="shared" si="358"/>
        <v>53</v>
      </c>
      <c r="AM1046" s="1354">
        <f t="shared" si="349"/>
        <v>0</v>
      </c>
      <c r="AN1046" s="1352" t="str">
        <f t="shared" si="350"/>
        <v>"User Defined" Shared Services Unclassified</v>
      </c>
    </row>
    <row r="1047" spans="1:40" x14ac:dyDescent="0.2">
      <c r="A1047" s="1324" t="s">
        <v>5147</v>
      </c>
      <c r="B1047" s="1324" t="s">
        <v>5765</v>
      </c>
      <c r="C1047" s="1353">
        <f>'Key Metrics'!$C$392</f>
        <v>0</v>
      </c>
      <c r="D1047" s="1353">
        <f>'Key Metrics'!$G$392</f>
        <v>0</v>
      </c>
      <c r="E1047" s="1351">
        <f t="shared" si="352"/>
        <v>0</v>
      </c>
      <c r="F1047" s="1353">
        <f t="shared" si="353"/>
        <v>0</v>
      </c>
      <c r="G1047" s="1353">
        <f t="shared" si="354"/>
        <v>0</v>
      </c>
      <c r="H1047" s="1353">
        <f t="shared" si="354"/>
        <v>0</v>
      </c>
      <c r="I1047" s="1353">
        <f t="shared" si="354"/>
        <v>0</v>
      </c>
      <c r="J1047" s="1353">
        <f t="shared" si="354"/>
        <v>0</v>
      </c>
      <c r="M1047" s="1324" t="str">
        <f t="shared" si="355"/>
        <v>"User Defined" Shared Services Salaries &amp; Wages</v>
      </c>
      <c r="N1047" s="1368">
        <f t="shared" si="356"/>
        <v>0</v>
      </c>
      <c r="O1047" s="1368">
        <f t="shared" si="357"/>
        <v>0</v>
      </c>
      <c r="P1047" s="1368">
        <f t="shared" si="357"/>
        <v>0</v>
      </c>
      <c r="Q1047" s="1368">
        <f t="shared" si="357"/>
        <v>0</v>
      </c>
      <c r="R1047" s="1368">
        <f t="shared" si="357"/>
        <v>0</v>
      </c>
      <c r="T1047" s="1369">
        <v>0.02</v>
      </c>
      <c r="U1047" s="1369">
        <v>0.02</v>
      </c>
      <c r="V1047" s="1369">
        <v>0.02</v>
      </c>
      <c r="W1047" s="1369">
        <v>0.02</v>
      </c>
      <c r="X1047" s="1369">
        <v>0.02</v>
      </c>
      <c r="Y1047" s="1367"/>
      <c r="Z1047" s="1370">
        <v>0</v>
      </c>
      <c r="AA1047" s="1370">
        <v>0</v>
      </c>
      <c r="AB1047" s="1370">
        <v>0</v>
      </c>
      <c r="AC1047" s="1370">
        <v>0</v>
      </c>
      <c r="AD1047" s="1370">
        <v>0</v>
      </c>
      <c r="AK1047" s="1354">
        <f t="shared" si="359"/>
        <v>0</v>
      </c>
      <c r="AL1047" s="1352">
        <f t="shared" si="358"/>
        <v>53</v>
      </c>
      <c r="AM1047" s="1354">
        <f t="shared" si="349"/>
        <v>0</v>
      </c>
      <c r="AN1047" s="1352" t="str">
        <f t="shared" si="350"/>
        <v>"User Defined" Shared Services Salaries &amp; Wages</v>
      </c>
    </row>
    <row r="1048" spans="1:40" x14ac:dyDescent="0.2">
      <c r="A1048" s="1324" t="str">
        <f>A1047</f>
        <v>42-125</v>
      </c>
      <c r="B1048" s="1324" t="s">
        <v>6035</v>
      </c>
      <c r="C1048" s="1353">
        <f>'Key Metrics'!$D$392</f>
        <v>0</v>
      </c>
      <c r="D1048" s="1353">
        <f>'Key Metrics'!$H$392</f>
        <v>0</v>
      </c>
      <c r="E1048" s="1351">
        <f t="shared" si="352"/>
        <v>0</v>
      </c>
      <c r="F1048" s="1353">
        <f t="shared" si="353"/>
        <v>0</v>
      </c>
      <c r="G1048" s="1353">
        <f t="shared" si="354"/>
        <v>0</v>
      </c>
      <c r="H1048" s="1353">
        <f t="shared" si="354"/>
        <v>0</v>
      </c>
      <c r="I1048" s="1353">
        <f t="shared" si="354"/>
        <v>0</v>
      </c>
      <c r="J1048" s="1353">
        <f t="shared" si="354"/>
        <v>0</v>
      </c>
      <c r="M1048" s="1324" t="str">
        <f t="shared" si="355"/>
        <v>"User Defined" Shared Services Other Expenses</v>
      </c>
      <c r="N1048" s="1368">
        <f t="shared" si="356"/>
        <v>0</v>
      </c>
      <c r="O1048" s="1368">
        <f t="shared" si="357"/>
        <v>0</v>
      </c>
      <c r="P1048" s="1368">
        <f t="shared" si="357"/>
        <v>0</v>
      </c>
      <c r="Q1048" s="1368">
        <f t="shared" si="357"/>
        <v>0</v>
      </c>
      <c r="R1048" s="1368">
        <f t="shared" si="357"/>
        <v>0</v>
      </c>
      <c r="T1048" s="1369">
        <v>0.02</v>
      </c>
      <c r="U1048" s="1369">
        <v>0.02</v>
      </c>
      <c r="V1048" s="1369">
        <v>0.02</v>
      </c>
      <c r="W1048" s="1369">
        <v>0.02</v>
      </c>
      <c r="X1048" s="1369">
        <v>0.02</v>
      </c>
      <c r="Y1048" s="1367"/>
      <c r="Z1048" s="1370">
        <v>0</v>
      </c>
      <c r="AA1048" s="1370">
        <v>0</v>
      </c>
      <c r="AB1048" s="1370">
        <v>0</v>
      </c>
      <c r="AC1048" s="1370">
        <v>0</v>
      </c>
      <c r="AD1048" s="1370">
        <v>0</v>
      </c>
      <c r="AK1048" s="1354">
        <f t="shared" si="359"/>
        <v>0</v>
      </c>
      <c r="AL1048" s="1352">
        <f t="shared" si="358"/>
        <v>53</v>
      </c>
      <c r="AM1048" s="1354">
        <f t="shared" si="349"/>
        <v>0</v>
      </c>
      <c r="AN1048" s="1352" t="str">
        <f t="shared" si="350"/>
        <v>"User Defined" Shared Services Other Expenses</v>
      </c>
    </row>
    <row r="1049" spans="1:40" x14ac:dyDescent="0.2">
      <c r="A1049" s="1324" t="str">
        <f>A1048</f>
        <v>42-125</v>
      </c>
      <c r="B1049" s="1324" t="s">
        <v>6036</v>
      </c>
      <c r="C1049" s="1353">
        <f>'Key Metrics'!$E$392</f>
        <v>0</v>
      </c>
      <c r="D1049" s="1353">
        <f>'Key Metrics'!$I$392</f>
        <v>0</v>
      </c>
      <c r="E1049" s="1351">
        <f t="shared" si="352"/>
        <v>0</v>
      </c>
      <c r="F1049" s="1353">
        <f t="shared" si="353"/>
        <v>0</v>
      </c>
      <c r="G1049" s="1353">
        <f t="shared" si="354"/>
        <v>0</v>
      </c>
      <c r="H1049" s="1353">
        <f t="shared" si="354"/>
        <v>0</v>
      </c>
      <c r="I1049" s="1353">
        <f t="shared" si="354"/>
        <v>0</v>
      </c>
      <c r="J1049" s="1353">
        <f t="shared" si="354"/>
        <v>0</v>
      </c>
      <c r="M1049" s="1324" t="str">
        <f t="shared" si="355"/>
        <v>"User Defined" Shared Services Unclassified</v>
      </c>
      <c r="N1049" s="1368">
        <f t="shared" si="356"/>
        <v>0</v>
      </c>
      <c r="O1049" s="1368">
        <f t="shared" si="357"/>
        <v>0</v>
      </c>
      <c r="P1049" s="1368">
        <f t="shared" si="357"/>
        <v>0</v>
      </c>
      <c r="Q1049" s="1368">
        <f t="shared" si="357"/>
        <v>0</v>
      </c>
      <c r="R1049" s="1368">
        <f t="shared" si="357"/>
        <v>0</v>
      </c>
      <c r="T1049" s="1369">
        <v>0.02</v>
      </c>
      <c r="U1049" s="1369">
        <v>0.02</v>
      </c>
      <c r="V1049" s="1369">
        <v>0.02</v>
      </c>
      <c r="W1049" s="1369">
        <v>0.02</v>
      </c>
      <c r="X1049" s="1369">
        <v>0.02</v>
      </c>
      <c r="Y1049" s="1367"/>
      <c r="Z1049" s="1370">
        <v>0</v>
      </c>
      <c r="AA1049" s="1370">
        <v>0</v>
      </c>
      <c r="AB1049" s="1370">
        <v>0</v>
      </c>
      <c r="AC1049" s="1370">
        <v>0</v>
      </c>
      <c r="AD1049" s="1370">
        <v>0</v>
      </c>
      <c r="AK1049" s="1354">
        <f t="shared" si="359"/>
        <v>0</v>
      </c>
      <c r="AL1049" s="1352">
        <f t="shared" si="358"/>
        <v>53</v>
      </c>
      <c r="AM1049" s="1354">
        <f t="shared" si="349"/>
        <v>0</v>
      </c>
      <c r="AN1049" s="1352" t="str">
        <f t="shared" si="350"/>
        <v>"User Defined" Shared Services Unclassified</v>
      </c>
    </row>
    <row r="1050" spans="1:40" x14ac:dyDescent="0.2">
      <c r="B1050" s="1373" t="s">
        <v>5635</v>
      </c>
      <c r="C1050" s="1360">
        <f>SUM(C978:C1049)</f>
        <v>34663.67</v>
      </c>
      <c r="D1050" s="1360">
        <f>SUM(D978:D1049)</f>
        <v>42850</v>
      </c>
      <c r="E1050" s="1356">
        <f t="shared" si="352"/>
        <v>0.23616454922401475</v>
      </c>
      <c r="F1050" s="1360">
        <f>SUM(F978:F1049)</f>
        <v>43707</v>
      </c>
      <c r="G1050" s="1360">
        <f>SUM(G978:G1049)</f>
        <v>44581.14</v>
      </c>
      <c r="H1050" s="1360">
        <f>SUM(H978:H1049)</f>
        <v>45472.762800000004</v>
      </c>
      <c r="I1050" s="1360">
        <f>SUM(I978:I1049)</f>
        <v>46382.218055999998</v>
      </c>
      <c r="J1050" s="1360">
        <f>SUM(J978:J1049)</f>
        <v>47309.862417119999</v>
      </c>
      <c r="N1050" s="1328"/>
      <c r="O1050" s="1328"/>
      <c r="P1050" s="1328"/>
      <c r="Q1050" s="1328"/>
      <c r="R1050" s="1328"/>
      <c r="T1050" s="1371"/>
      <c r="U1050" s="1371"/>
      <c r="V1050" s="1371"/>
      <c r="W1050" s="1371"/>
      <c r="X1050" s="1371"/>
      <c r="Y1050" s="1367"/>
      <c r="Z1050" s="1372"/>
      <c r="AA1050" s="1372"/>
      <c r="AB1050" s="1372"/>
      <c r="AC1050" s="1372"/>
      <c r="AD1050" s="1372"/>
      <c r="AK1050" s="1354"/>
      <c r="AL1050" s="1352"/>
      <c r="AM1050" s="1354"/>
      <c r="AN1050" s="1352"/>
    </row>
    <row r="1051" spans="1:40" x14ac:dyDescent="0.2">
      <c r="E1051" s="1351"/>
      <c r="N1051" s="1328"/>
      <c r="O1051" s="1328"/>
      <c r="P1051" s="1328"/>
      <c r="Q1051" s="1328"/>
      <c r="R1051" s="1328"/>
      <c r="T1051" s="1371"/>
      <c r="U1051" s="1371"/>
      <c r="V1051" s="1371"/>
      <c r="W1051" s="1371"/>
      <c r="X1051" s="1371"/>
      <c r="Y1051" s="1367"/>
      <c r="Z1051" s="1372"/>
      <c r="AA1051" s="1372"/>
      <c r="AB1051" s="1372"/>
      <c r="AC1051" s="1372"/>
      <c r="AD1051" s="1372"/>
      <c r="AK1051" s="1354"/>
      <c r="AL1051" s="1352"/>
      <c r="AM1051" s="1354"/>
      <c r="AN1051" s="1352"/>
    </row>
    <row r="1052" spans="1:40" ht="15" x14ac:dyDescent="0.25">
      <c r="A1052" s="1364" t="s">
        <v>5452</v>
      </c>
      <c r="B1052" s="1365"/>
      <c r="C1052" s="1365"/>
      <c r="D1052" s="1365"/>
      <c r="E1052" s="1380"/>
      <c r="F1052" s="1365"/>
      <c r="G1052" s="1365"/>
      <c r="H1052" s="1365"/>
      <c r="I1052" s="1365"/>
      <c r="J1052" s="1365"/>
      <c r="M1052" s="1381" t="str">
        <f>A1052</f>
        <v>Court and Public Defender</v>
      </c>
      <c r="N1052" s="1364"/>
      <c r="O1052" s="1364"/>
      <c r="P1052" s="1364"/>
      <c r="Q1052" s="1364"/>
      <c r="R1052" s="1364"/>
      <c r="S1052" s="1365"/>
      <c r="T1052" s="1389"/>
      <c r="U1052" s="1389"/>
      <c r="V1052" s="1389"/>
      <c r="W1052" s="1389"/>
      <c r="X1052" s="1389"/>
      <c r="Y1052" s="1390"/>
      <c r="Z1052" s="1391"/>
      <c r="AA1052" s="1391"/>
      <c r="AB1052" s="1391"/>
      <c r="AC1052" s="1391"/>
      <c r="AD1052" s="1391"/>
      <c r="AK1052" s="1354"/>
      <c r="AL1052" s="1352"/>
      <c r="AM1052" s="1354"/>
      <c r="AN1052" s="1352"/>
    </row>
    <row r="1053" spans="1:40" x14ac:dyDescent="0.2">
      <c r="A1053" s="1324" t="s">
        <v>5126</v>
      </c>
      <c r="B1053" s="1324" t="s">
        <v>5766</v>
      </c>
      <c r="C1053" s="1353">
        <f>'Key Metrics'!$C$396</f>
        <v>0</v>
      </c>
      <c r="D1053" s="1353">
        <f>'Key Metrics'!$G$396</f>
        <v>0</v>
      </c>
      <c r="E1053" s="1351">
        <f t="shared" ref="E1053:E1059" si="360">IFERROR(D1053/C1053-1,0)</f>
        <v>0</v>
      </c>
      <c r="F1053" s="1353">
        <f t="shared" ref="F1053:F1058" si="361">IFERROR(IF($I$3=1,D1053*(1+N1053),IF($I$3=2,D1053*(1+T1053),IF($I$3=3,Z1053,"--"))),0)</f>
        <v>0</v>
      </c>
      <c r="G1053" s="1353">
        <f t="shared" ref="G1053:J1058" si="362">IFERROR(IF($I$3=1,F1053*(1+O1053),IF($I$3=2,F1053*(1+U1053),IF($I$3=3,AA1053,"--"))),0)</f>
        <v>0</v>
      </c>
      <c r="H1053" s="1353">
        <f t="shared" si="362"/>
        <v>0</v>
      </c>
      <c r="I1053" s="1353">
        <f t="shared" si="362"/>
        <v>0</v>
      </c>
      <c r="J1053" s="1353">
        <f t="shared" si="362"/>
        <v>0</v>
      </c>
      <c r="M1053" s="1324" t="str">
        <f t="shared" ref="M1053:M1058" si="363">B1053</f>
        <v>Municipal/County Court (Inside or Outside CAP) Salaries &amp; Wages</v>
      </c>
      <c r="N1053" s="1368">
        <f t="shared" ref="N1053:N1058" si="364">E1053</f>
        <v>0</v>
      </c>
      <c r="O1053" s="1368">
        <f t="shared" ref="O1053:R1058" si="365">N1053</f>
        <v>0</v>
      </c>
      <c r="P1053" s="1368">
        <f t="shared" si="365"/>
        <v>0</v>
      </c>
      <c r="Q1053" s="1368">
        <f t="shared" si="365"/>
        <v>0</v>
      </c>
      <c r="R1053" s="1368">
        <f t="shared" si="365"/>
        <v>0</v>
      </c>
      <c r="T1053" s="1369">
        <v>0.02</v>
      </c>
      <c r="U1053" s="1369">
        <v>0.02</v>
      </c>
      <c r="V1053" s="1369">
        <v>0.02</v>
      </c>
      <c r="W1053" s="1369">
        <v>0.02</v>
      </c>
      <c r="X1053" s="1369">
        <v>0.02</v>
      </c>
      <c r="Y1053" s="1367"/>
      <c r="Z1053" s="1370">
        <v>0</v>
      </c>
      <c r="AA1053" s="1370">
        <v>0</v>
      </c>
      <c r="AB1053" s="1370">
        <v>0</v>
      </c>
      <c r="AC1053" s="1370">
        <v>0</v>
      </c>
      <c r="AD1053" s="1370">
        <v>0</v>
      </c>
      <c r="AK1053" s="1354">
        <f t="shared" si="359"/>
        <v>0</v>
      </c>
      <c r="AL1053" s="1352">
        <f t="shared" ref="AL1053:AL1058" si="366">RANK(AM1053,$AM$504:$AM$1172,0)</f>
        <v>53</v>
      </c>
      <c r="AM1053" s="1354">
        <f t="shared" si="349"/>
        <v>0</v>
      </c>
      <c r="AN1053" s="1352" t="str">
        <f t="shared" si="350"/>
        <v>Municipal/County Court (Inside or Outside CAP) Salaries &amp; Wages</v>
      </c>
    </row>
    <row r="1054" spans="1:40" x14ac:dyDescent="0.2">
      <c r="A1054" s="1324" t="str">
        <f>A1053</f>
        <v>43-490</v>
      </c>
      <c r="B1054" s="1324" t="s">
        <v>6037</v>
      </c>
      <c r="C1054" s="1353">
        <f>'Key Metrics'!$D$396</f>
        <v>0</v>
      </c>
      <c r="D1054" s="1353">
        <f>'Key Metrics'!$H$396</f>
        <v>0</v>
      </c>
      <c r="E1054" s="1351">
        <f t="shared" si="360"/>
        <v>0</v>
      </c>
      <c r="F1054" s="1353">
        <f t="shared" si="361"/>
        <v>0</v>
      </c>
      <c r="G1054" s="1353">
        <f t="shared" si="362"/>
        <v>0</v>
      </c>
      <c r="H1054" s="1353">
        <f t="shared" si="362"/>
        <v>0</v>
      </c>
      <c r="I1054" s="1353">
        <f t="shared" si="362"/>
        <v>0</v>
      </c>
      <c r="J1054" s="1353">
        <f t="shared" si="362"/>
        <v>0</v>
      </c>
      <c r="M1054" s="1324" t="str">
        <f t="shared" si="363"/>
        <v>Municipal/County Court (Inside or Outside CAP) Other Expenses</v>
      </c>
      <c r="N1054" s="1368">
        <f t="shared" si="364"/>
        <v>0</v>
      </c>
      <c r="O1054" s="1368">
        <f t="shared" si="365"/>
        <v>0</v>
      </c>
      <c r="P1054" s="1368">
        <f t="shared" si="365"/>
        <v>0</v>
      </c>
      <c r="Q1054" s="1368">
        <f t="shared" si="365"/>
        <v>0</v>
      </c>
      <c r="R1054" s="1368">
        <f t="shared" si="365"/>
        <v>0</v>
      </c>
      <c r="T1054" s="1369">
        <v>0.02</v>
      </c>
      <c r="U1054" s="1369">
        <v>0.02</v>
      </c>
      <c r="V1054" s="1369">
        <v>0.02</v>
      </c>
      <c r="W1054" s="1369">
        <v>0.02</v>
      </c>
      <c r="X1054" s="1369">
        <v>0.02</v>
      </c>
      <c r="Y1054" s="1367"/>
      <c r="Z1054" s="1370">
        <v>0</v>
      </c>
      <c r="AA1054" s="1370">
        <v>0</v>
      </c>
      <c r="AB1054" s="1370">
        <v>0</v>
      </c>
      <c r="AC1054" s="1370">
        <v>0</v>
      </c>
      <c r="AD1054" s="1370">
        <v>0</v>
      </c>
      <c r="AK1054" s="1354">
        <f t="shared" si="359"/>
        <v>0</v>
      </c>
      <c r="AL1054" s="1352">
        <f t="shared" si="366"/>
        <v>53</v>
      </c>
      <c r="AM1054" s="1354">
        <f t="shared" si="349"/>
        <v>0</v>
      </c>
      <c r="AN1054" s="1352" t="str">
        <f t="shared" si="350"/>
        <v>Municipal/County Court (Inside or Outside CAP) Other Expenses</v>
      </c>
    </row>
    <row r="1055" spans="1:40" x14ac:dyDescent="0.2">
      <c r="A1055" s="1324" t="str">
        <f>A1054</f>
        <v>43-490</v>
      </c>
      <c r="B1055" s="1324" t="s">
        <v>6038</v>
      </c>
      <c r="C1055" s="1353">
        <f>'Key Metrics'!$E$396</f>
        <v>0</v>
      </c>
      <c r="D1055" s="1353">
        <f>'Key Metrics'!$I$396</f>
        <v>0</v>
      </c>
      <c r="E1055" s="1351">
        <f t="shared" si="360"/>
        <v>0</v>
      </c>
      <c r="F1055" s="1353">
        <f t="shared" si="361"/>
        <v>0</v>
      </c>
      <c r="G1055" s="1353">
        <f t="shared" si="362"/>
        <v>0</v>
      </c>
      <c r="H1055" s="1353">
        <f t="shared" si="362"/>
        <v>0</v>
      </c>
      <c r="I1055" s="1353">
        <f t="shared" si="362"/>
        <v>0</v>
      </c>
      <c r="J1055" s="1353">
        <f t="shared" si="362"/>
        <v>0</v>
      </c>
      <c r="M1055" s="1324" t="str">
        <f t="shared" si="363"/>
        <v>Municipal/County Court (Inside or Outside CAP) Unclassified</v>
      </c>
      <c r="N1055" s="1368">
        <f t="shared" si="364"/>
        <v>0</v>
      </c>
      <c r="O1055" s="1368">
        <f t="shared" si="365"/>
        <v>0</v>
      </c>
      <c r="P1055" s="1368">
        <f t="shared" si="365"/>
        <v>0</v>
      </c>
      <c r="Q1055" s="1368">
        <f t="shared" si="365"/>
        <v>0</v>
      </c>
      <c r="R1055" s="1368">
        <f t="shared" si="365"/>
        <v>0</v>
      </c>
      <c r="T1055" s="1369">
        <v>0.02</v>
      </c>
      <c r="U1055" s="1369">
        <v>0.02</v>
      </c>
      <c r="V1055" s="1369">
        <v>0.02</v>
      </c>
      <c r="W1055" s="1369">
        <v>0.02</v>
      </c>
      <c r="X1055" s="1369">
        <v>0.02</v>
      </c>
      <c r="Y1055" s="1367"/>
      <c r="Z1055" s="1370">
        <v>0</v>
      </c>
      <c r="AA1055" s="1370">
        <v>0</v>
      </c>
      <c r="AB1055" s="1370">
        <v>0</v>
      </c>
      <c r="AC1055" s="1370">
        <v>0</v>
      </c>
      <c r="AD1055" s="1370">
        <v>0</v>
      </c>
      <c r="AK1055" s="1354">
        <f t="shared" si="359"/>
        <v>0</v>
      </c>
      <c r="AL1055" s="1352">
        <f t="shared" si="366"/>
        <v>53</v>
      </c>
      <c r="AM1055" s="1354">
        <f t="shared" si="349"/>
        <v>0</v>
      </c>
      <c r="AN1055" s="1352" t="str">
        <f t="shared" si="350"/>
        <v>Municipal/County Court (Inside or Outside CAP) Unclassified</v>
      </c>
    </row>
    <row r="1056" spans="1:40" x14ac:dyDescent="0.2">
      <c r="A1056" s="1324" t="s">
        <v>5205</v>
      </c>
      <c r="B1056" s="1324" t="s">
        <v>5767</v>
      </c>
      <c r="C1056" s="1353">
        <f>'Key Metrics'!$C$397</f>
        <v>0</v>
      </c>
      <c r="D1056" s="1353">
        <f>'Key Metrics'!$G$397</f>
        <v>0</v>
      </c>
      <c r="E1056" s="1351">
        <f t="shared" si="360"/>
        <v>0</v>
      </c>
      <c r="F1056" s="1353">
        <f t="shared" si="361"/>
        <v>0</v>
      </c>
      <c r="G1056" s="1353">
        <f t="shared" si="362"/>
        <v>0</v>
      </c>
      <c r="H1056" s="1353">
        <f t="shared" si="362"/>
        <v>0</v>
      </c>
      <c r="I1056" s="1353">
        <f t="shared" si="362"/>
        <v>0</v>
      </c>
      <c r="J1056" s="1353">
        <f t="shared" si="362"/>
        <v>0</v>
      </c>
      <c r="M1056" s="1324" t="str">
        <f t="shared" si="363"/>
        <v>Public Defender Salaries &amp; Wages</v>
      </c>
      <c r="N1056" s="1368">
        <f t="shared" si="364"/>
        <v>0</v>
      </c>
      <c r="O1056" s="1368">
        <f t="shared" si="365"/>
        <v>0</v>
      </c>
      <c r="P1056" s="1368">
        <f t="shared" si="365"/>
        <v>0</v>
      </c>
      <c r="Q1056" s="1368">
        <f t="shared" si="365"/>
        <v>0</v>
      </c>
      <c r="R1056" s="1368">
        <f t="shared" si="365"/>
        <v>0</v>
      </c>
      <c r="T1056" s="1369">
        <v>0.02</v>
      </c>
      <c r="U1056" s="1369">
        <v>0.02</v>
      </c>
      <c r="V1056" s="1369">
        <v>0.02</v>
      </c>
      <c r="W1056" s="1369">
        <v>0.02</v>
      </c>
      <c r="X1056" s="1369">
        <v>0.02</v>
      </c>
      <c r="Y1056" s="1367"/>
      <c r="Z1056" s="1370">
        <v>0</v>
      </c>
      <c r="AA1056" s="1370">
        <v>0</v>
      </c>
      <c r="AB1056" s="1370">
        <v>0</v>
      </c>
      <c r="AC1056" s="1370">
        <v>0</v>
      </c>
      <c r="AD1056" s="1370">
        <v>0</v>
      </c>
      <c r="AK1056" s="1354">
        <f t="shared" si="359"/>
        <v>0</v>
      </c>
      <c r="AL1056" s="1352">
        <f t="shared" si="366"/>
        <v>53</v>
      </c>
      <c r="AM1056" s="1354">
        <f t="shared" si="349"/>
        <v>0</v>
      </c>
      <c r="AN1056" s="1352" t="str">
        <f t="shared" si="350"/>
        <v>Public Defender Salaries &amp; Wages</v>
      </c>
    </row>
    <row r="1057" spans="1:40" x14ac:dyDescent="0.2">
      <c r="A1057" s="1324" t="str">
        <f>A1056</f>
        <v>43-495</v>
      </c>
      <c r="B1057" s="1324" t="s">
        <v>6039</v>
      </c>
      <c r="C1057" s="1353">
        <f>'Key Metrics'!$D$397</f>
        <v>0</v>
      </c>
      <c r="D1057" s="1353">
        <f>'Key Metrics'!$H$397</f>
        <v>0</v>
      </c>
      <c r="E1057" s="1351">
        <f t="shared" si="360"/>
        <v>0</v>
      </c>
      <c r="F1057" s="1353">
        <f t="shared" si="361"/>
        <v>0</v>
      </c>
      <c r="G1057" s="1353">
        <f t="shared" si="362"/>
        <v>0</v>
      </c>
      <c r="H1057" s="1353">
        <f t="shared" si="362"/>
        <v>0</v>
      </c>
      <c r="I1057" s="1353">
        <f t="shared" si="362"/>
        <v>0</v>
      </c>
      <c r="J1057" s="1353">
        <f t="shared" si="362"/>
        <v>0</v>
      </c>
      <c r="M1057" s="1324" t="str">
        <f t="shared" si="363"/>
        <v>Public Defender Other Expenses</v>
      </c>
      <c r="N1057" s="1368">
        <f t="shared" si="364"/>
        <v>0</v>
      </c>
      <c r="O1057" s="1368">
        <f t="shared" si="365"/>
        <v>0</v>
      </c>
      <c r="P1057" s="1368">
        <f t="shared" si="365"/>
        <v>0</v>
      </c>
      <c r="Q1057" s="1368">
        <f t="shared" si="365"/>
        <v>0</v>
      </c>
      <c r="R1057" s="1368">
        <f t="shared" si="365"/>
        <v>0</v>
      </c>
      <c r="T1057" s="1369">
        <v>0.02</v>
      </c>
      <c r="U1057" s="1369">
        <v>0.02</v>
      </c>
      <c r="V1057" s="1369">
        <v>0.02</v>
      </c>
      <c r="W1057" s="1369">
        <v>0.02</v>
      </c>
      <c r="X1057" s="1369">
        <v>0.02</v>
      </c>
      <c r="Y1057" s="1367"/>
      <c r="Z1057" s="1370">
        <v>0</v>
      </c>
      <c r="AA1057" s="1370">
        <v>0</v>
      </c>
      <c r="AB1057" s="1370">
        <v>0</v>
      </c>
      <c r="AC1057" s="1370">
        <v>0</v>
      </c>
      <c r="AD1057" s="1370">
        <v>0</v>
      </c>
      <c r="AK1057" s="1354">
        <f t="shared" si="359"/>
        <v>0</v>
      </c>
      <c r="AL1057" s="1352">
        <f t="shared" si="366"/>
        <v>53</v>
      </c>
      <c r="AM1057" s="1354">
        <f t="shared" si="349"/>
        <v>0</v>
      </c>
      <c r="AN1057" s="1352" t="str">
        <f t="shared" si="350"/>
        <v>Public Defender Other Expenses</v>
      </c>
    </row>
    <row r="1058" spans="1:40" x14ac:dyDescent="0.2">
      <c r="A1058" s="1324" t="str">
        <f>A1057</f>
        <v>43-495</v>
      </c>
      <c r="B1058" s="1324" t="s">
        <v>6040</v>
      </c>
      <c r="C1058" s="1353">
        <f>'Key Metrics'!$E$397</f>
        <v>0</v>
      </c>
      <c r="D1058" s="1353">
        <f>'Key Metrics'!$I$397</f>
        <v>0</v>
      </c>
      <c r="E1058" s="1351">
        <f t="shared" si="360"/>
        <v>0</v>
      </c>
      <c r="F1058" s="1353">
        <f t="shared" si="361"/>
        <v>0</v>
      </c>
      <c r="G1058" s="1353">
        <f t="shared" si="362"/>
        <v>0</v>
      </c>
      <c r="H1058" s="1353">
        <f t="shared" si="362"/>
        <v>0</v>
      </c>
      <c r="I1058" s="1353">
        <f t="shared" si="362"/>
        <v>0</v>
      </c>
      <c r="J1058" s="1353">
        <f t="shared" si="362"/>
        <v>0</v>
      </c>
      <c r="M1058" s="1324" t="str">
        <f t="shared" si="363"/>
        <v>Public Defender Unclassified</v>
      </c>
      <c r="N1058" s="1368">
        <f t="shared" si="364"/>
        <v>0</v>
      </c>
      <c r="O1058" s="1368">
        <f t="shared" si="365"/>
        <v>0</v>
      </c>
      <c r="P1058" s="1368">
        <f t="shared" si="365"/>
        <v>0</v>
      </c>
      <c r="Q1058" s="1368">
        <f t="shared" si="365"/>
        <v>0</v>
      </c>
      <c r="R1058" s="1368">
        <f t="shared" si="365"/>
        <v>0</v>
      </c>
      <c r="T1058" s="1369">
        <v>0.02</v>
      </c>
      <c r="U1058" s="1369">
        <v>0.02</v>
      </c>
      <c r="V1058" s="1369">
        <v>0.02</v>
      </c>
      <c r="W1058" s="1369">
        <v>0.02</v>
      </c>
      <c r="X1058" s="1369">
        <v>0.02</v>
      </c>
      <c r="Y1058" s="1367"/>
      <c r="Z1058" s="1370">
        <v>0</v>
      </c>
      <c r="AA1058" s="1370">
        <v>0</v>
      </c>
      <c r="AB1058" s="1370">
        <v>0</v>
      </c>
      <c r="AC1058" s="1370">
        <v>0</v>
      </c>
      <c r="AD1058" s="1370">
        <v>0</v>
      </c>
      <c r="AK1058" s="1354">
        <f t="shared" si="359"/>
        <v>0</v>
      </c>
      <c r="AL1058" s="1352">
        <f t="shared" si="366"/>
        <v>53</v>
      </c>
      <c r="AM1058" s="1354">
        <f t="shared" si="349"/>
        <v>0</v>
      </c>
      <c r="AN1058" s="1352" t="str">
        <f t="shared" si="350"/>
        <v>Public Defender Unclassified</v>
      </c>
    </row>
    <row r="1059" spans="1:40" x14ac:dyDescent="0.2">
      <c r="B1059" s="1373" t="s">
        <v>5636</v>
      </c>
      <c r="C1059" s="1360">
        <f>SUM(C1053:C1058)</f>
        <v>0</v>
      </c>
      <c r="D1059" s="1360">
        <f>SUM(D1053:D1058)</f>
        <v>0</v>
      </c>
      <c r="E1059" s="1356">
        <f t="shared" si="360"/>
        <v>0</v>
      </c>
      <c r="F1059" s="1360">
        <f>SUM(F1053:F1058)</f>
        <v>0</v>
      </c>
      <c r="G1059" s="1360">
        <f>SUM(G1053:G1058)</f>
        <v>0</v>
      </c>
      <c r="H1059" s="1360">
        <f>SUM(H1053:H1058)</f>
        <v>0</v>
      </c>
      <c r="I1059" s="1360">
        <f>SUM(I1053:I1058)</f>
        <v>0</v>
      </c>
      <c r="J1059" s="1360">
        <f>SUM(J1053:J1058)</f>
        <v>0</v>
      </c>
      <c r="N1059" s="1328"/>
      <c r="O1059" s="1328"/>
      <c r="P1059" s="1328"/>
      <c r="Q1059" s="1328"/>
      <c r="R1059" s="1328"/>
      <c r="T1059" s="1371"/>
      <c r="U1059" s="1371"/>
      <c r="V1059" s="1371"/>
      <c r="W1059" s="1371"/>
      <c r="X1059" s="1371"/>
      <c r="Y1059" s="1367"/>
      <c r="Z1059" s="1372"/>
      <c r="AA1059" s="1372"/>
      <c r="AB1059" s="1372"/>
      <c r="AC1059" s="1372"/>
      <c r="AD1059" s="1372"/>
      <c r="AK1059" s="1354"/>
      <c r="AL1059" s="1352"/>
      <c r="AM1059" s="1354"/>
      <c r="AN1059" s="1352"/>
    </row>
    <row r="1060" spans="1:40" x14ac:dyDescent="0.2">
      <c r="E1060" s="1351"/>
      <c r="N1060" s="1328"/>
      <c r="O1060" s="1328"/>
      <c r="P1060" s="1328"/>
      <c r="Q1060" s="1328"/>
      <c r="R1060" s="1328"/>
      <c r="T1060" s="1371"/>
      <c r="U1060" s="1371"/>
      <c r="V1060" s="1371"/>
      <c r="W1060" s="1371"/>
      <c r="X1060" s="1371"/>
      <c r="Y1060" s="1367"/>
      <c r="Z1060" s="1372"/>
      <c r="AA1060" s="1372"/>
      <c r="AB1060" s="1372"/>
      <c r="AC1060" s="1372"/>
      <c r="AD1060" s="1372"/>
      <c r="AK1060" s="1354"/>
      <c r="AL1060" s="1352"/>
      <c r="AM1060" s="1354"/>
      <c r="AN1060" s="1352"/>
    </row>
    <row r="1061" spans="1:40" ht="15" x14ac:dyDescent="0.25">
      <c r="A1061" s="1364" t="s">
        <v>342</v>
      </c>
      <c r="B1061" s="1365"/>
      <c r="C1061" s="1365"/>
      <c r="D1061" s="1365"/>
      <c r="E1061" s="1380"/>
      <c r="F1061" s="1365"/>
      <c r="G1061" s="1365"/>
      <c r="H1061" s="1365"/>
      <c r="I1061" s="1365"/>
      <c r="J1061" s="1365"/>
      <c r="M1061" s="1381" t="str">
        <f>A1061</f>
        <v>Capital</v>
      </c>
      <c r="N1061" s="1364"/>
      <c r="O1061" s="1364"/>
      <c r="P1061" s="1364"/>
      <c r="Q1061" s="1364"/>
      <c r="R1061" s="1364"/>
      <c r="S1061" s="1365"/>
      <c r="T1061" s="1389"/>
      <c r="U1061" s="1389"/>
      <c r="V1061" s="1389"/>
      <c r="W1061" s="1389"/>
      <c r="X1061" s="1389"/>
      <c r="Y1061" s="1390"/>
      <c r="Z1061" s="1391"/>
      <c r="AA1061" s="1391"/>
      <c r="AB1061" s="1391"/>
      <c r="AC1061" s="1391"/>
      <c r="AD1061" s="1391"/>
      <c r="AK1061" s="1354"/>
      <c r="AL1061" s="1352"/>
      <c r="AM1061" s="1354"/>
      <c r="AN1061" s="1352"/>
    </row>
    <row r="1062" spans="1:40" x14ac:dyDescent="0.2">
      <c r="A1062" s="1324" t="s">
        <v>543</v>
      </c>
      <c r="B1062" s="1324" t="s">
        <v>5768</v>
      </c>
      <c r="C1062" s="1353">
        <f>'Key Metrics'!$C$401</f>
        <v>0</v>
      </c>
      <c r="D1062" s="1353">
        <f>'Key Metrics'!$G$401</f>
        <v>0</v>
      </c>
      <c r="E1062" s="1351">
        <f t="shared" ref="E1062:E1080" si="367">IFERROR(D1062/C1062-1,0)</f>
        <v>0</v>
      </c>
      <c r="F1062" s="1353">
        <f t="shared" ref="F1062:F1079" si="368">IFERROR(IF($I$3=1,D1062*(1+N1062),IF($I$3=2,D1062*(1+T1062),IF($I$3=3,Z1062,"--"))),0)</f>
        <v>0</v>
      </c>
      <c r="G1062" s="1353">
        <f t="shared" ref="G1062:G1079" si="369">IFERROR(IF($I$3=1,F1062*(1+O1062),IF($I$3=2,F1062*(1+U1062),IF($I$3=3,AA1062,"--"))),0)</f>
        <v>0</v>
      </c>
      <c r="H1062" s="1353">
        <f t="shared" ref="H1062:H1079" si="370">IFERROR(IF($I$3=1,G1062*(1+P1062),IF($I$3=2,G1062*(1+V1062),IF($I$3=3,AB1062,"--"))),0)</f>
        <v>0</v>
      </c>
      <c r="I1062" s="1353">
        <f t="shared" ref="I1062:I1079" si="371">IFERROR(IF($I$3=1,H1062*(1+Q1062),IF($I$3=2,H1062*(1+W1062),IF($I$3=3,AC1062,"--"))),0)</f>
        <v>0</v>
      </c>
      <c r="J1062" s="1353">
        <f t="shared" ref="J1062:J1079" si="372">IFERROR(IF($I$3=1,I1062*(1+R1062),IF($I$3=2,I1062*(1+X1062),IF($I$3=3,AD1062,"--"))),0)</f>
        <v>0</v>
      </c>
      <c r="M1062" s="1324" t="str">
        <f t="shared" ref="M1062:M1079" si="373">B1062</f>
        <v>New Jersey Transportation Trust Fund Authority Act Salaries &amp; Wages</v>
      </c>
      <c r="N1062" s="1368">
        <v>0</v>
      </c>
      <c r="O1062" s="1368">
        <f t="shared" ref="O1062:R1077" si="374">N1062</f>
        <v>0</v>
      </c>
      <c r="P1062" s="1368">
        <f t="shared" si="374"/>
        <v>0</v>
      </c>
      <c r="Q1062" s="1368">
        <f t="shared" si="374"/>
        <v>0</v>
      </c>
      <c r="R1062" s="1368">
        <f t="shared" si="374"/>
        <v>0</v>
      </c>
      <c r="T1062" s="1369">
        <v>0</v>
      </c>
      <c r="U1062" s="1369">
        <v>0</v>
      </c>
      <c r="V1062" s="1369">
        <v>0</v>
      </c>
      <c r="W1062" s="1369">
        <v>0</v>
      </c>
      <c r="X1062" s="1369">
        <v>0</v>
      </c>
      <c r="Y1062" s="1367"/>
      <c r="Z1062" s="1370">
        <v>0</v>
      </c>
      <c r="AA1062" s="1370">
        <v>0</v>
      </c>
      <c r="AB1062" s="1370">
        <v>0</v>
      </c>
      <c r="AC1062" s="1370">
        <v>0</v>
      </c>
      <c r="AD1062" s="1370">
        <v>0</v>
      </c>
      <c r="AK1062" s="1354">
        <f t="shared" si="359"/>
        <v>0</v>
      </c>
      <c r="AL1062" s="1352">
        <f t="shared" ref="AL1062:AL1079" si="375">RANK(AM1062,$AM$504:$AM$1172,0)</f>
        <v>53</v>
      </c>
      <c r="AM1062" s="1354">
        <f t="shared" si="349"/>
        <v>0</v>
      </c>
      <c r="AN1062" s="1352" t="str">
        <f t="shared" si="350"/>
        <v>New Jersey Transportation Trust Fund Authority Act Salaries &amp; Wages</v>
      </c>
    </row>
    <row r="1063" spans="1:40" x14ac:dyDescent="0.2">
      <c r="A1063" s="1324" t="str">
        <f>A1062</f>
        <v>41-865</v>
      </c>
      <c r="B1063" s="1324" t="s">
        <v>6041</v>
      </c>
      <c r="C1063" s="1353">
        <f>'Key Metrics'!$D$401</f>
        <v>0</v>
      </c>
      <c r="D1063" s="1353">
        <f>'Key Metrics'!$H$401</f>
        <v>0</v>
      </c>
      <c r="E1063" s="1351">
        <f t="shared" si="367"/>
        <v>0</v>
      </c>
      <c r="F1063" s="1353">
        <f t="shared" si="368"/>
        <v>0</v>
      </c>
      <c r="G1063" s="1353">
        <f t="shared" si="369"/>
        <v>0</v>
      </c>
      <c r="H1063" s="1353">
        <f t="shared" si="370"/>
        <v>0</v>
      </c>
      <c r="I1063" s="1353">
        <f t="shared" si="371"/>
        <v>0</v>
      </c>
      <c r="J1063" s="1353">
        <f t="shared" si="372"/>
        <v>0</v>
      </c>
      <c r="M1063" s="1324" t="str">
        <f t="shared" si="373"/>
        <v>New Jersey Transportation Trust Fund Authority Act Other Expenses</v>
      </c>
      <c r="N1063" s="1368">
        <v>0</v>
      </c>
      <c r="O1063" s="1368">
        <f t="shared" si="374"/>
        <v>0</v>
      </c>
      <c r="P1063" s="1368">
        <f t="shared" si="374"/>
        <v>0</v>
      </c>
      <c r="Q1063" s="1368">
        <f t="shared" si="374"/>
        <v>0</v>
      </c>
      <c r="R1063" s="1368">
        <f t="shared" si="374"/>
        <v>0</v>
      </c>
      <c r="T1063" s="1369">
        <v>0</v>
      </c>
      <c r="U1063" s="1369">
        <v>0</v>
      </c>
      <c r="V1063" s="1369">
        <v>0</v>
      </c>
      <c r="W1063" s="1369">
        <v>0</v>
      </c>
      <c r="X1063" s="1369">
        <v>0</v>
      </c>
      <c r="Y1063" s="1367"/>
      <c r="Z1063" s="1370">
        <v>0</v>
      </c>
      <c r="AA1063" s="1370">
        <v>0</v>
      </c>
      <c r="AB1063" s="1370">
        <v>0</v>
      </c>
      <c r="AC1063" s="1370">
        <v>0</v>
      </c>
      <c r="AD1063" s="1370">
        <v>0</v>
      </c>
      <c r="AK1063" s="1354">
        <f t="shared" si="359"/>
        <v>0</v>
      </c>
      <c r="AL1063" s="1352">
        <f t="shared" si="375"/>
        <v>53</v>
      </c>
      <c r="AM1063" s="1354">
        <f t="shared" si="349"/>
        <v>0</v>
      </c>
      <c r="AN1063" s="1352" t="str">
        <f t="shared" si="350"/>
        <v>New Jersey Transportation Trust Fund Authority Act Other Expenses</v>
      </c>
    </row>
    <row r="1064" spans="1:40" x14ac:dyDescent="0.2">
      <c r="A1064" s="1324" t="str">
        <f>A1063</f>
        <v>41-865</v>
      </c>
      <c r="B1064" s="1324" t="s">
        <v>6042</v>
      </c>
      <c r="C1064" s="1353">
        <f>'Key Metrics'!$E$401</f>
        <v>0</v>
      </c>
      <c r="D1064" s="1353">
        <f>'Key Metrics'!$I$401</f>
        <v>0</v>
      </c>
      <c r="E1064" s="1351">
        <f t="shared" si="367"/>
        <v>0</v>
      </c>
      <c r="F1064" s="1353">
        <f t="shared" si="368"/>
        <v>0</v>
      </c>
      <c r="G1064" s="1353">
        <f t="shared" si="369"/>
        <v>0</v>
      </c>
      <c r="H1064" s="1353">
        <f t="shared" si="370"/>
        <v>0</v>
      </c>
      <c r="I1064" s="1353">
        <f t="shared" si="371"/>
        <v>0</v>
      </c>
      <c r="J1064" s="1353">
        <f t="shared" si="372"/>
        <v>0</v>
      </c>
      <c r="M1064" s="1324" t="str">
        <f t="shared" si="373"/>
        <v>New Jersey Transportation Trust Fund Authority Act Unclassified</v>
      </c>
      <c r="N1064" s="1368">
        <v>0</v>
      </c>
      <c r="O1064" s="1368">
        <f t="shared" si="374"/>
        <v>0</v>
      </c>
      <c r="P1064" s="1368">
        <f t="shared" si="374"/>
        <v>0</v>
      </c>
      <c r="Q1064" s="1368">
        <f t="shared" si="374"/>
        <v>0</v>
      </c>
      <c r="R1064" s="1368">
        <f t="shared" si="374"/>
        <v>0</v>
      </c>
      <c r="T1064" s="1369">
        <v>0</v>
      </c>
      <c r="U1064" s="1369">
        <v>0</v>
      </c>
      <c r="V1064" s="1369">
        <v>0</v>
      </c>
      <c r="W1064" s="1369">
        <v>0</v>
      </c>
      <c r="X1064" s="1369">
        <v>0</v>
      </c>
      <c r="Y1064" s="1367"/>
      <c r="Z1064" s="1370">
        <v>0</v>
      </c>
      <c r="AA1064" s="1370">
        <v>0</v>
      </c>
      <c r="AB1064" s="1370">
        <v>0</v>
      </c>
      <c r="AC1064" s="1370">
        <v>0</v>
      </c>
      <c r="AD1064" s="1370">
        <v>0</v>
      </c>
      <c r="AK1064" s="1354">
        <f t="shared" si="359"/>
        <v>0</v>
      </c>
      <c r="AL1064" s="1352">
        <f t="shared" si="375"/>
        <v>53</v>
      </c>
      <c r="AM1064" s="1354">
        <f t="shared" si="349"/>
        <v>0</v>
      </c>
      <c r="AN1064" s="1352" t="str">
        <f t="shared" si="350"/>
        <v>New Jersey Transportation Trust Fund Authority Act Unclassified</v>
      </c>
    </row>
    <row r="1065" spans="1:40" x14ac:dyDescent="0.2">
      <c r="A1065" s="1324" t="s">
        <v>542</v>
      </c>
      <c r="B1065" s="1324" t="s">
        <v>5769</v>
      </c>
      <c r="C1065" s="1353">
        <f>'Key Metrics'!$C$402</f>
        <v>0</v>
      </c>
      <c r="D1065" s="1353">
        <f>'Key Metrics'!$G$402</f>
        <v>0</v>
      </c>
      <c r="E1065" s="1351">
        <f t="shared" si="367"/>
        <v>0</v>
      </c>
      <c r="F1065" s="1353">
        <f t="shared" si="368"/>
        <v>0</v>
      </c>
      <c r="G1065" s="1353">
        <f t="shared" si="369"/>
        <v>0</v>
      </c>
      <c r="H1065" s="1353">
        <f t="shared" si="370"/>
        <v>0</v>
      </c>
      <c r="I1065" s="1353">
        <f t="shared" si="371"/>
        <v>0</v>
      </c>
      <c r="J1065" s="1353">
        <f t="shared" si="372"/>
        <v>0</v>
      </c>
      <c r="M1065" s="1324" t="str">
        <f t="shared" si="373"/>
        <v>Capital Improvement Fund Salaries &amp; Wages</v>
      </c>
      <c r="N1065" s="1368">
        <v>0</v>
      </c>
      <c r="O1065" s="1368">
        <f t="shared" si="374"/>
        <v>0</v>
      </c>
      <c r="P1065" s="1368">
        <f t="shared" si="374"/>
        <v>0</v>
      </c>
      <c r="Q1065" s="1368">
        <f t="shared" si="374"/>
        <v>0</v>
      </c>
      <c r="R1065" s="1368">
        <f t="shared" si="374"/>
        <v>0</v>
      </c>
      <c r="T1065" s="1369">
        <v>0</v>
      </c>
      <c r="U1065" s="1369">
        <v>0</v>
      </c>
      <c r="V1065" s="1369">
        <v>0</v>
      </c>
      <c r="W1065" s="1369">
        <v>0</v>
      </c>
      <c r="X1065" s="1369">
        <v>0</v>
      </c>
      <c r="Y1065" s="1367"/>
      <c r="Z1065" s="1370">
        <v>0</v>
      </c>
      <c r="AA1065" s="1370">
        <v>0</v>
      </c>
      <c r="AB1065" s="1370">
        <v>0</v>
      </c>
      <c r="AC1065" s="1370">
        <v>0</v>
      </c>
      <c r="AD1065" s="1370">
        <v>0</v>
      </c>
      <c r="AK1065" s="1354">
        <f t="shared" si="359"/>
        <v>0</v>
      </c>
      <c r="AL1065" s="1352">
        <f t="shared" si="375"/>
        <v>53</v>
      </c>
      <c r="AM1065" s="1354">
        <f t="shared" si="349"/>
        <v>0</v>
      </c>
      <c r="AN1065" s="1352" t="str">
        <f t="shared" si="350"/>
        <v>Capital Improvement Fund Salaries &amp; Wages</v>
      </c>
    </row>
    <row r="1066" spans="1:40" x14ac:dyDescent="0.2">
      <c r="A1066" s="1324" t="str">
        <f>A1065</f>
        <v>44-901</v>
      </c>
      <c r="B1066" s="1324" t="s">
        <v>6043</v>
      </c>
      <c r="C1066" s="1353">
        <f>'Key Metrics'!$D$402</f>
        <v>0</v>
      </c>
      <c r="D1066" s="1353">
        <f>'Key Metrics'!$H$402</f>
        <v>0</v>
      </c>
      <c r="E1066" s="1351">
        <f t="shared" si="367"/>
        <v>0</v>
      </c>
      <c r="F1066" s="1353">
        <f t="shared" si="368"/>
        <v>0</v>
      </c>
      <c r="G1066" s="1353">
        <f t="shared" si="369"/>
        <v>0</v>
      </c>
      <c r="H1066" s="1353">
        <f t="shared" si="370"/>
        <v>0</v>
      </c>
      <c r="I1066" s="1353">
        <f t="shared" si="371"/>
        <v>0</v>
      </c>
      <c r="J1066" s="1353">
        <f t="shared" si="372"/>
        <v>0</v>
      </c>
      <c r="M1066" s="1324" t="str">
        <f t="shared" si="373"/>
        <v>Capital Improvement Fund Other Expenses</v>
      </c>
      <c r="N1066" s="1368">
        <v>0</v>
      </c>
      <c r="O1066" s="1368">
        <f t="shared" si="374"/>
        <v>0</v>
      </c>
      <c r="P1066" s="1368">
        <f t="shared" si="374"/>
        <v>0</v>
      </c>
      <c r="Q1066" s="1368">
        <f t="shared" si="374"/>
        <v>0</v>
      </c>
      <c r="R1066" s="1368">
        <f t="shared" si="374"/>
        <v>0</v>
      </c>
      <c r="T1066" s="1369">
        <v>0</v>
      </c>
      <c r="U1066" s="1369">
        <v>0</v>
      </c>
      <c r="V1066" s="1369">
        <v>0</v>
      </c>
      <c r="W1066" s="1369">
        <v>0</v>
      </c>
      <c r="X1066" s="1369">
        <v>0</v>
      </c>
      <c r="Y1066" s="1367"/>
      <c r="Z1066" s="1370">
        <v>0</v>
      </c>
      <c r="AA1066" s="1370">
        <v>0</v>
      </c>
      <c r="AB1066" s="1370">
        <v>0</v>
      </c>
      <c r="AC1066" s="1370">
        <v>0</v>
      </c>
      <c r="AD1066" s="1370">
        <v>0</v>
      </c>
      <c r="AK1066" s="1354">
        <f t="shared" si="359"/>
        <v>0</v>
      </c>
      <c r="AL1066" s="1352">
        <f t="shared" si="375"/>
        <v>53</v>
      </c>
      <c r="AM1066" s="1354">
        <f t="shared" si="349"/>
        <v>0</v>
      </c>
      <c r="AN1066" s="1352" t="str">
        <f t="shared" si="350"/>
        <v>Capital Improvement Fund Other Expenses</v>
      </c>
    </row>
    <row r="1067" spans="1:40" x14ac:dyDescent="0.2">
      <c r="A1067" s="1324" t="str">
        <f>A1066</f>
        <v>44-901</v>
      </c>
      <c r="B1067" s="1324" t="s">
        <v>6044</v>
      </c>
      <c r="C1067" s="1353">
        <f>'Key Metrics'!$E$402</f>
        <v>60100</v>
      </c>
      <c r="D1067" s="1353">
        <f>'Key Metrics'!$I$402</f>
        <v>60100</v>
      </c>
      <c r="E1067" s="1351">
        <f t="shared" si="367"/>
        <v>0</v>
      </c>
      <c r="F1067" s="1353">
        <f t="shared" si="368"/>
        <v>60100</v>
      </c>
      <c r="G1067" s="1353">
        <f t="shared" si="369"/>
        <v>60100</v>
      </c>
      <c r="H1067" s="1353">
        <f t="shared" si="370"/>
        <v>60100</v>
      </c>
      <c r="I1067" s="1353">
        <f t="shared" si="371"/>
        <v>60100</v>
      </c>
      <c r="J1067" s="1353">
        <f t="shared" si="372"/>
        <v>60100</v>
      </c>
      <c r="M1067" s="1324" t="str">
        <f t="shared" si="373"/>
        <v>Capital Improvement Fund Unclassified</v>
      </c>
      <c r="N1067" s="1368">
        <v>0</v>
      </c>
      <c r="O1067" s="1368">
        <f t="shared" si="374"/>
        <v>0</v>
      </c>
      <c r="P1067" s="1368">
        <f t="shared" si="374"/>
        <v>0</v>
      </c>
      <c r="Q1067" s="1368">
        <f t="shared" si="374"/>
        <v>0</v>
      </c>
      <c r="R1067" s="1368">
        <f t="shared" si="374"/>
        <v>0</v>
      </c>
      <c r="T1067" s="1369">
        <v>0</v>
      </c>
      <c r="U1067" s="1369">
        <v>0</v>
      </c>
      <c r="V1067" s="1369">
        <v>0</v>
      </c>
      <c r="W1067" s="1369">
        <v>0</v>
      </c>
      <c r="X1067" s="1369">
        <v>0</v>
      </c>
      <c r="Y1067" s="1367"/>
      <c r="Z1067" s="1370">
        <v>0</v>
      </c>
      <c r="AA1067" s="1370">
        <v>0</v>
      </c>
      <c r="AB1067" s="1370">
        <v>0</v>
      </c>
      <c r="AC1067" s="1370">
        <v>0</v>
      </c>
      <c r="AD1067" s="1370">
        <v>0</v>
      </c>
      <c r="AK1067" s="1354">
        <f t="shared" si="359"/>
        <v>420700</v>
      </c>
      <c r="AL1067" s="1352">
        <f t="shared" si="375"/>
        <v>53</v>
      </c>
      <c r="AM1067" s="1354">
        <f t="shared" si="349"/>
        <v>0</v>
      </c>
      <c r="AN1067" s="1352" t="str">
        <f t="shared" si="350"/>
        <v>Capital Improvement Fund Unclassified</v>
      </c>
    </row>
    <row r="1068" spans="1:40" x14ac:dyDescent="0.2">
      <c r="A1068" s="1324" t="s">
        <v>541</v>
      </c>
      <c r="B1068" s="1324" t="s">
        <v>5770</v>
      </c>
      <c r="C1068" s="1353">
        <f>'Key Metrics'!$C$403</f>
        <v>0</v>
      </c>
      <c r="D1068" s="1353">
        <f>'Key Metrics'!$G$403</f>
        <v>0</v>
      </c>
      <c r="E1068" s="1351">
        <f t="shared" si="367"/>
        <v>0</v>
      </c>
      <c r="F1068" s="1353">
        <f t="shared" si="368"/>
        <v>0</v>
      </c>
      <c r="G1068" s="1353">
        <f t="shared" si="369"/>
        <v>0</v>
      </c>
      <c r="H1068" s="1353">
        <f t="shared" si="370"/>
        <v>0</v>
      </c>
      <c r="I1068" s="1353">
        <f t="shared" si="371"/>
        <v>0</v>
      </c>
      <c r="J1068" s="1353">
        <f t="shared" si="372"/>
        <v>0</v>
      </c>
      <c r="M1068" s="1324" t="str">
        <f t="shared" si="373"/>
        <v>Down Payments on Improvements Salaries &amp; Wages</v>
      </c>
      <c r="N1068" s="1368">
        <v>0</v>
      </c>
      <c r="O1068" s="1368">
        <f t="shared" si="374"/>
        <v>0</v>
      </c>
      <c r="P1068" s="1368">
        <f t="shared" si="374"/>
        <v>0</v>
      </c>
      <c r="Q1068" s="1368">
        <f t="shared" si="374"/>
        <v>0</v>
      </c>
      <c r="R1068" s="1368">
        <f t="shared" si="374"/>
        <v>0</v>
      </c>
      <c r="T1068" s="1369">
        <v>0</v>
      </c>
      <c r="U1068" s="1369">
        <v>0</v>
      </c>
      <c r="V1068" s="1369">
        <v>0</v>
      </c>
      <c r="W1068" s="1369">
        <v>0</v>
      </c>
      <c r="X1068" s="1369">
        <v>0</v>
      </c>
      <c r="Y1068" s="1367"/>
      <c r="Z1068" s="1370">
        <v>0</v>
      </c>
      <c r="AA1068" s="1370">
        <v>0</v>
      </c>
      <c r="AB1068" s="1370">
        <v>0</v>
      </c>
      <c r="AC1068" s="1370">
        <v>0</v>
      </c>
      <c r="AD1068" s="1370">
        <v>0</v>
      </c>
      <c r="AK1068" s="1354">
        <f t="shared" si="359"/>
        <v>0</v>
      </c>
      <c r="AL1068" s="1352">
        <f t="shared" si="375"/>
        <v>53</v>
      </c>
      <c r="AM1068" s="1354">
        <f t="shared" si="349"/>
        <v>0</v>
      </c>
      <c r="AN1068" s="1352" t="str">
        <f t="shared" si="350"/>
        <v>Down Payments on Improvements Salaries &amp; Wages</v>
      </c>
    </row>
    <row r="1069" spans="1:40" x14ac:dyDescent="0.2">
      <c r="A1069" s="1324" t="str">
        <f>A1068</f>
        <v>44-902</v>
      </c>
      <c r="B1069" s="1324" t="s">
        <v>6045</v>
      </c>
      <c r="C1069" s="1353">
        <f>'Key Metrics'!$D$403</f>
        <v>0</v>
      </c>
      <c r="D1069" s="1353">
        <f>'Key Metrics'!$H$403</f>
        <v>0</v>
      </c>
      <c r="E1069" s="1351">
        <f t="shared" si="367"/>
        <v>0</v>
      </c>
      <c r="F1069" s="1353">
        <f t="shared" si="368"/>
        <v>0</v>
      </c>
      <c r="G1069" s="1353">
        <f t="shared" si="369"/>
        <v>0</v>
      </c>
      <c r="H1069" s="1353">
        <f t="shared" si="370"/>
        <v>0</v>
      </c>
      <c r="I1069" s="1353">
        <f t="shared" si="371"/>
        <v>0</v>
      </c>
      <c r="J1069" s="1353">
        <f t="shared" si="372"/>
        <v>0</v>
      </c>
      <c r="M1069" s="1324" t="str">
        <f t="shared" si="373"/>
        <v>Down Payments on Improvements Other Expenses</v>
      </c>
      <c r="N1069" s="1368">
        <v>0</v>
      </c>
      <c r="O1069" s="1368">
        <f t="shared" si="374"/>
        <v>0</v>
      </c>
      <c r="P1069" s="1368">
        <f t="shared" si="374"/>
        <v>0</v>
      </c>
      <c r="Q1069" s="1368">
        <f t="shared" si="374"/>
        <v>0</v>
      </c>
      <c r="R1069" s="1368">
        <f t="shared" si="374"/>
        <v>0</v>
      </c>
      <c r="T1069" s="1369">
        <v>0</v>
      </c>
      <c r="U1069" s="1369">
        <v>0</v>
      </c>
      <c r="V1069" s="1369">
        <v>0</v>
      </c>
      <c r="W1069" s="1369">
        <v>0</v>
      </c>
      <c r="X1069" s="1369">
        <v>0</v>
      </c>
      <c r="Y1069" s="1367"/>
      <c r="Z1069" s="1370">
        <v>0</v>
      </c>
      <c r="AA1069" s="1370">
        <v>0</v>
      </c>
      <c r="AB1069" s="1370">
        <v>0</v>
      </c>
      <c r="AC1069" s="1370">
        <v>0</v>
      </c>
      <c r="AD1069" s="1370">
        <v>0</v>
      </c>
      <c r="AK1069" s="1354">
        <f t="shared" si="359"/>
        <v>0</v>
      </c>
      <c r="AL1069" s="1352">
        <f t="shared" si="375"/>
        <v>53</v>
      </c>
      <c r="AM1069" s="1354">
        <f t="shared" si="349"/>
        <v>0</v>
      </c>
      <c r="AN1069" s="1352" t="str">
        <f t="shared" si="350"/>
        <v>Down Payments on Improvements Other Expenses</v>
      </c>
    </row>
    <row r="1070" spans="1:40" x14ac:dyDescent="0.2">
      <c r="A1070" s="1324" t="str">
        <f>A1069</f>
        <v>44-902</v>
      </c>
      <c r="B1070" s="1324" t="s">
        <v>6046</v>
      </c>
      <c r="C1070" s="1353">
        <f>'Key Metrics'!$E$403</f>
        <v>0</v>
      </c>
      <c r="D1070" s="1353">
        <f>'Key Metrics'!$I$403</f>
        <v>0</v>
      </c>
      <c r="E1070" s="1351">
        <f t="shared" si="367"/>
        <v>0</v>
      </c>
      <c r="F1070" s="1353">
        <f t="shared" si="368"/>
        <v>0</v>
      </c>
      <c r="G1070" s="1353">
        <f t="shared" si="369"/>
        <v>0</v>
      </c>
      <c r="H1070" s="1353">
        <f t="shared" si="370"/>
        <v>0</v>
      </c>
      <c r="I1070" s="1353">
        <f t="shared" si="371"/>
        <v>0</v>
      </c>
      <c r="J1070" s="1353">
        <f t="shared" si="372"/>
        <v>0</v>
      </c>
      <c r="M1070" s="1324" t="str">
        <f t="shared" si="373"/>
        <v>Down Payments on Improvements Unclassified</v>
      </c>
      <c r="N1070" s="1368">
        <v>0</v>
      </c>
      <c r="O1070" s="1368">
        <f t="shared" si="374"/>
        <v>0</v>
      </c>
      <c r="P1070" s="1368">
        <f t="shared" si="374"/>
        <v>0</v>
      </c>
      <c r="Q1070" s="1368">
        <f t="shared" si="374"/>
        <v>0</v>
      </c>
      <c r="R1070" s="1368">
        <f t="shared" si="374"/>
        <v>0</v>
      </c>
      <c r="T1070" s="1369">
        <v>0</v>
      </c>
      <c r="U1070" s="1369">
        <v>0</v>
      </c>
      <c r="V1070" s="1369">
        <v>0</v>
      </c>
      <c r="W1070" s="1369">
        <v>0</v>
      </c>
      <c r="X1070" s="1369">
        <v>0</v>
      </c>
      <c r="Y1070" s="1367"/>
      <c r="Z1070" s="1370">
        <v>0</v>
      </c>
      <c r="AA1070" s="1370">
        <v>0</v>
      </c>
      <c r="AB1070" s="1370">
        <v>0</v>
      </c>
      <c r="AC1070" s="1370">
        <v>0</v>
      </c>
      <c r="AD1070" s="1370">
        <v>0</v>
      </c>
      <c r="AK1070" s="1354">
        <f t="shared" si="359"/>
        <v>0</v>
      </c>
      <c r="AL1070" s="1352">
        <f t="shared" si="375"/>
        <v>53</v>
      </c>
      <c r="AM1070" s="1354">
        <f t="shared" si="349"/>
        <v>0</v>
      </c>
      <c r="AN1070" s="1352" t="str">
        <f t="shared" si="350"/>
        <v>Down Payments on Improvements Unclassified</v>
      </c>
    </row>
    <row r="1071" spans="1:40" x14ac:dyDescent="0.2">
      <c r="A1071" s="1324" t="s">
        <v>5069</v>
      </c>
      <c r="B1071" s="1324" t="s">
        <v>5771</v>
      </c>
      <c r="C1071" s="1353">
        <f>'Key Metrics'!$C$405</f>
        <v>0</v>
      </c>
      <c r="D1071" s="1353">
        <f>'Key Metrics'!$G$405</f>
        <v>0</v>
      </c>
      <c r="E1071" s="1351">
        <f t="shared" si="367"/>
        <v>0</v>
      </c>
      <c r="F1071" s="1353">
        <f t="shared" si="368"/>
        <v>0</v>
      </c>
      <c r="G1071" s="1353">
        <f t="shared" si="369"/>
        <v>0</v>
      </c>
      <c r="H1071" s="1353">
        <f t="shared" si="370"/>
        <v>0</v>
      </c>
      <c r="I1071" s="1353">
        <f t="shared" si="371"/>
        <v>0</v>
      </c>
      <c r="J1071" s="1353">
        <f t="shared" si="372"/>
        <v>0</v>
      </c>
      <c r="M1071" s="1324" t="str">
        <f t="shared" si="373"/>
        <v>"User Defined" Capital Improvement Salaries &amp; Wages</v>
      </c>
      <c r="N1071" s="1368">
        <v>0</v>
      </c>
      <c r="O1071" s="1368">
        <f t="shared" si="374"/>
        <v>0</v>
      </c>
      <c r="P1071" s="1368">
        <f t="shared" si="374"/>
        <v>0</v>
      </c>
      <c r="Q1071" s="1368">
        <f t="shared" si="374"/>
        <v>0</v>
      </c>
      <c r="R1071" s="1368">
        <f t="shared" si="374"/>
        <v>0</v>
      </c>
      <c r="T1071" s="1369">
        <v>0</v>
      </c>
      <c r="U1071" s="1369">
        <v>0</v>
      </c>
      <c r="V1071" s="1369">
        <v>0</v>
      </c>
      <c r="W1071" s="1369">
        <v>0</v>
      </c>
      <c r="X1071" s="1369">
        <v>0</v>
      </c>
      <c r="Y1071" s="1367"/>
      <c r="Z1071" s="1370">
        <v>0</v>
      </c>
      <c r="AA1071" s="1370">
        <v>0</v>
      </c>
      <c r="AB1071" s="1370">
        <v>0</v>
      </c>
      <c r="AC1071" s="1370">
        <v>0</v>
      </c>
      <c r="AD1071" s="1370">
        <v>0</v>
      </c>
      <c r="AK1071" s="1354">
        <f t="shared" si="359"/>
        <v>0</v>
      </c>
      <c r="AL1071" s="1352">
        <f t="shared" si="375"/>
        <v>53</v>
      </c>
      <c r="AM1071" s="1354">
        <f t="shared" si="349"/>
        <v>0</v>
      </c>
      <c r="AN1071" s="1352" t="str">
        <f t="shared" si="350"/>
        <v>"User Defined" Capital Improvement Salaries &amp; Wages</v>
      </c>
    </row>
    <row r="1072" spans="1:40" x14ac:dyDescent="0.2">
      <c r="A1072" s="1324" t="str">
        <f>A1071</f>
        <v>44-903</v>
      </c>
      <c r="B1072" s="1324" t="s">
        <v>6047</v>
      </c>
      <c r="C1072" s="1353">
        <f>'Key Metrics'!$D$405</f>
        <v>0</v>
      </c>
      <c r="D1072" s="1353">
        <f>'Key Metrics'!$H$405</f>
        <v>0</v>
      </c>
      <c r="E1072" s="1351">
        <f t="shared" si="367"/>
        <v>0</v>
      </c>
      <c r="F1072" s="1353">
        <f t="shared" si="368"/>
        <v>0</v>
      </c>
      <c r="G1072" s="1353">
        <f t="shared" si="369"/>
        <v>0</v>
      </c>
      <c r="H1072" s="1353">
        <f t="shared" si="370"/>
        <v>0</v>
      </c>
      <c r="I1072" s="1353">
        <f t="shared" si="371"/>
        <v>0</v>
      </c>
      <c r="J1072" s="1353">
        <f t="shared" si="372"/>
        <v>0</v>
      </c>
      <c r="M1072" s="1324" t="str">
        <f t="shared" si="373"/>
        <v>"User Defined" Capital Improvement Other Expenses</v>
      </c>
      <c r="N1072" s="1368">
        <v>0</v>
      </c>
      <c r="O1072" s="1368">
        <f t="shared" si="374"/>
        <v>0</v>
      </c>
      <c r="P1072" s="1368">
        <f t="shared" si="374"/>
        <v>0</v>
      </c>
      <c r="Q1072" s="1368">
        <f t="shared" si="374"/>
        <v>0</v>
      </c>
      <c r="R1072" s="1368">
        <f t="shared" si="374"/>
        <v>0</v>
      </c>
      <c r="T1072" s="1369">
        <v>0</v>
      </c>
      <c r="U1072" s="1369">
        <v>0</v>
      </c>
      <c r="V1072" s="1369">
        <v>0</v>
      </c>
      <c r="W1072" s="1369">
        <v>0</v>
      </c>
      <c r="X1072" s="1369">
        <v>0</v>
      </c>
      <c r="Y1072" s="1367"/>
      <c r="Z1072" s="1370">
        <v>0</v>
      </c>
      <c r="AA1072" s="1370">
        <v>0</v>
      </c>
      <c r="AB1072" s="1370">
        <v>0</v>
      </c>
      <c r="AC1072" s="1370">
        <v>0</v>
      </c>
      <c r="AD1072" s="1370">
        <v>0</v>
      </c>
      <c r="AK1072" s="1354">
        <f t="shared" si="359"/>
        <v>0</v>
      </c>
      <c r="AL1072" s="1352">
        <f t="shared" si="375"/>
        <v>53</v>
      </c>
      <c r="AM1072" s="1354">
        <f t="shared" si="349"/>
        <v>0</v>
      </c>
      <c r="AN1072" s="1352" t="str">
        <f t="shared" si="350"/>
        <v>"User Defined" Capital Improvement Other Expenses</v>
      </c>
    </row>
    <row r="1073" spans="1:40" x14ac:dyDescent="0.2">
      <c r="A1073" s="1324" t="str">
        <f>A1072</f>
        <v>44-903</v>
      </c>
      <c r="B1073" s="1324" t="s">
        <v>6048</v>
      </c>
      <c r="C1073" s="1353">
        <f>'Key Metrics'!$E$405</f>
        <v>0</v>
      </c>
      <c r="D1073" s="1353">
        <f>'Key Metrics'!$I$405</f>
        <v>0</v>
      </c>
      <c r="E1073" s="1351">
        <f t="shared" si="367"/>
        <v>0</v>
      </c>
      <c r="F1073" s="1353">
        <f t="shared" si="368"/>
        <v>0</v>
      </c>
      <c r="G1073" s="1353">
        <f t="shared" si="369"/>
        <v>0</v>
      </c>
      <c r="H1073" s="1353">
        <f t="shared" si="370"/>
        <v>0</v>
      </c>
      <c r="I1073" s="1353">
        <f t="shared" si="371"/>
        <v>0</v>
      </c>
      <c r="J1073" s="1353">
        <f t="shared" si="372"/>
        <v>0</v>
      </c>
      <c r="M1073" s="1324" t="str">
        <f t="shared" si="373"/>
        <v>"User Defined" Capital Improvement Unclassified</v>
      </c>
      <c r="N1073" s="1368">
        <v>0</v>
      </c>
      <c r="O1073" s="1368">
        <f t="shared" si="374"/>
        <v>0</v>
      </c>
      <c r="P1073" s="1368">
        <f t="shared" si="374"/>
        <v>0</v>
      </c>
      <c r="Q1073" s="1368">
        <f t="shared" si="374"/>
        <v>0</v>
      </c>
      <c r="R1073" s="1368">
        <f t="shared" si="374"/>
        <v>0</v>
      </c>
      <c r="T1073" s="1369">
        <v>0</v>
      </c>
      <c r="U1073" s="1369">
        <v>0</v>
      </c>
      <c r="V1073" s="1369">
        <v>0</v>
      </c>
      <c r="W1073" s="1369">
        <v>0</v>
      </c>
      <c r="X1073" s="1369">
        <v>0</v>
      </c>
      <c r="Y1073" s="1367"/>
      <c r="Z1073" s="1370">
        <v>0</v>
      </c>
      <c r="AA1073" s="1370">
        <v>0</v>
      </c>
      <c r="AB1073" s="1370">
        <v>0</v>
      </c>
      <c r="AC1073" s="1370">
        <v>0</v>
      </c>
      <c r="AD1073" s="1370">
        <v>0</v>
      </c>
      <c r="AK1073" s="1354">
        <f t="shared" si="359"/>
        <v>0</v>
      </c>
      <c r="AL1073" s="1352">
        <f t="shared" si="375"/>
        <v>53</v>
      </c>
      <c r="AM1073" s="1354">
        <f t="shared" si="349"/>
        <v>0</v>
      </c>
      <c r="AN1073" s="1352" t="str">
        <f t="shared" si="350"/>
        <v>"User Defined" Capital Improvement Unclassified</v>
      </c>
    </row>
    <row r="1074" spans="1:40" x14ac:dyDescent="0.2">
      <c r="A1074" s="1324" t="s">
        <v>5076</v>
      </c>
      <c r="B1074" s="1324" t="s">
        <v>5771</v>
      </c>
      <c r="C1074" s="1353">
        <f>'Key Metrics'!$C$406</f>
        <v>0</v>
      </c>
      <c r="D1074" s="1353">
        <f>'Key Metrics'!$G$406</f>
        <v>0</v>
      </c>
      <c r="E1074" s="1351">
        <f t="shared" si="367"/>
        <v>0</v>
      </c>
      <c r="F1074" s="1353">
        <f t="shared" si="368"/>
        <v>0</v>
      </c>
      <c r="G1074" s="1353">
        <f t="shared" si="369"/>
        <v>0</v>
      </c>
      <c r="H1074" s="1353">
        <f t="shared" si="370"/>
        <v>0</v>
      </c>
      <c r="I1074" s="1353">
        <f t="shared" si="371"/>
        <v>0</v>
      </c>
      <c r="J1074" s="1353">
        <f t="shared" si="372"/>
        <v>0</v>
      </c>
      <c r="M1074" s="1324" t="str">
        <f t="shared" si="373"/>
        <v>"User Defined" Capital Improvement Salaries &amp; Wages</v>
      </c>
      <c r="N1074" s="1368">
        <v>0</v>
      </c>
      <c r="O1074" s="1368">
        <f t="shared" si="374"/>
        <v>0</v>
      </c>
      <c r="P1074" s="1368">
        <f t="shared" si="374"/>
        <v>0</v>
      </c>
      <c r="Q1074" s="1368">
        <f t="shared" si="374"/>
        <v>0</v>
      </c>
      <c r="R1074" s="1368">
        <f t="shared" si="374"/>
        <v>0</v>
      </c>
      <c r="T1074" s="1369">
        <v>0</v>
      </c>
      <c r="U1074" s="1369">
        <v>0</v>
      </c>
      <c r="V1074" s="1369">
        <v>0</v>
      </c>
      <c r="W1074" s="1369">
        <v>0</v>
      </c>
      <c r="X1074" s="1369">
        <v>0</v>
      </c>
      <c r="Y1074" s="1367"/>
      <c r="Z1074" s="1370">
        <v>0</v>
      </c>
      <c r="AA1074" s="1370">
        <v>0</v>
      </c>
      <c r="AB1074" s="1370">
        <v>0</v>
      </c>
      <c r="AC1074" s="1370">
        <v>0</v>
      </c>
      <c r="AD1074" s="1370">
        <v>0</v>
      </c>
      <c r="AK1074" s="1354">
        <f t="shared" si="359"/>
        <v>0</v>
      </c>
      <c r="AL1074" s="1352">
        <f t="shared" si="375"/>
        <v>53</v>
      </c>
      <c r="AM1074" s="1354">
        <f t="shared" si="349"/>
        <v>0</v>
      </c>
      <c r="AN1074" s="1352" t="str">
        <f t="shared" si="350"/>
        <v>"User Defined" Capital Improvement Salaries &amp; Wages</v>
      </c>
    </row>
    <row r="1075" spans="1:40" x14ac:dyDescent="0.2">
      <c r="A1075" s="1324" t="str">
        <f>A1074</f>
        <v>44-904</v>
      </c>
      <c r="B1075" s="1324" t="s">
        <v>6047</v>
      </c>
      <c r="C1075" s="1353">
        <f>'Key Metrics'!$D$406</f>
        <v>0</v>
      </c>
      <c r="D1075" s="1353">
        <f>'Key Metrics'!$H$406</f>
        <v>0</v>
      </c>
      <c r="E1075" s="1351">
        <f t="shared" si="367"/>
        <v>0</v>
      </c>
      <c r="F1075" s="1353">
        <f t="shared" si="368"/>
        <v>0</v>
      </c>
      <c r="G1075" s="1353">
        <f t="shared" si="369"/>
        <v>0</v>
      </c>
      <c r="H1075" s="1353">
        <f t="shared" si="370"/>
        <v>0</v>
      </c>
      <c r="I1075" s="1353">
        <f t="shared" si="371"/>
        <v>0</v>
      </c>
      <c r="J1075" s="1353">
        <f t="shared" si="372"/>
        <v>0</v>
      </c>
      <c r="M1075" s="1324" t="str">
        <f t="shared" si="373"/>
        <v>"User Defined" Capital Improvement Other Expenses</v>
      </c>
      <c r="N1075" s="1368">
        <v>0</v>
      </c>
      <c r="O1075" s="1368">
        <f t="shared" si="374"/>
        <v>0</v>
      </c>
      <c r="P1075" s="1368">
        <f t="shared" si="374"/>
        <v>0</v>
      </c>
      <c r="Q1075" s="1368">
        <f t="shared" si="374"/>
        <v>0</v>
      </c>
      <c r="R1075" s="1368">
        <f t="shared" si="374"/>
        <v>0</v>
      </c>
      <c r="T1075" s="1369">
        <v>0</v>
      </c>
      <c r="U1075" s="1369">
        <v>0</v>
      </c>
      <c r="V1075" s="1369">
        <v>0</v>
      </c>
      <c r="W1075" s="1369">
        <v>0</v>
      </c>
      <c r="X1075" s="1369">
        <v>0</v>
      </c>
      <c r="Y1075" s="1367"/>
      <c r="Z1075" s="1370">
        <v>0</v>
      </c>
      <c r="AA1075" s="1370">
        <v>0</v>
      </c>
      <c r="AB1075" s="1370">
        <v>0</v>
      </c>
      <c r="AC1075" s="1370">
        <v>0</v>
      </c>
      <c r="AD1075" s="1370">
        <v>0</v>
      </c>
      <c r="AK1075" s="1354">
        <f t="shared" si="359"/>
        <v>0</v>
      </c>
      <c r="AL1075" s="1352">
        <f t="shared" si="375"/>
        <v>53</v>
      </c>
      <c r="AM1075" s="1354">
        <f t="shared" si="349"/>
        <v>0</v>
      </c>
      <c r="AN1075" s="1352" t="str">
        <f t="shared" si="350"/>
        <v>"User Defined" Capital Improvement Other Expenses</v>
      </c>
    </row>
    <row r="1076" spans="1:40" x14ac:dyDescent="0.2">
      <c r="A1076" s="1324" t="str">
        <f>A1075</f>
        <v>44-904</v>
      </c>
      <c r="B1076" s="1324" t="s">
        <v>6048</v>
      </c>
      <c r="C1076" s="1353">
        <f>'Key Metrics'!$E$406</f>
        <v>0</v>
      </c>
      <c r="D1076" s="1353">
        <f>'Key Metrics'!$I$406</f>
        <v>0</v>
      </c>
      <c r="E1076" s="1351">
        <f t="shared" si="367"/>
        <v>0</v>
      </c>
      <c r="F1076" s="1353">
        <f t="shared" si="368"/>
        <v>0</v>
      </c>
      <c r="G1076" s="1353">
        <f t="shared" si="369"/>
        <v>0</v>
      </c>
      <c r="H1076" s="1353">
        <f t="shared" si="370"/>
        <v>0</v>
      </c>
      <c r="I1076" s="1353">
        <f t="shared" si="371"/>
        <v>0</v>
      </c>
      <c r="J1076" s="1353">
        <f t="shared" si="372"/>
        <v>0</v>
      </c>
      <c r="M1076" s="1324" t="str">
        <f t="shared" si="373"/>
        <v>"User Defined" Capital Improvement Unclassified</v>
      </c>
      <c r="N1076" s="1368">
        <v>0</v>
      </c>
      <c r="O1076" s="1368">
        <f t="shared" si="374"/>
        <v>0</v>
      </c>
      <c r="P1076" s="1368">
        <f t="shared" si="374"/>
        <v>0</v>
      </c>
      <c r="Q1076" s="1368">
        <f t="shared" si="374"/>
        <v>0</v>
      </c>
      <c r="R1076" s="1368">
        <f t="shared" si="374"/>
        <v>0</v>
      </c>
      <c r="T1076" s="1369">
        <v>0</v>
      </c>
      <c r="U1076" s="1369">
        <v>0</v>
      </c>
      <c r="V1076" s="1369">
        <v>0</v>
      </c>
      <c r="W1076" s="1369">
        <v>0</v>
      </c>
      <c r="X1076" s="1369">
        <v>0</v>
      </c>
      <c r="Y1076" s="1367"/>
      <c r="Z1076" s="1370">
        <v>0</v>
      </c>
      <c r="AA1076" s="1370">
        <v>0</v>
      </c>
      <c r="AB1076" s="1370">
        <v>0</v>
      </c>
      <c r="AC1076" s="1370">
        <v>0</v>
      </c>
      <c r="AD1076" s="1370">
        <v>0</v>
      </c>
      <c r="AK1076" s="1354">
        <f t="shared" si="359"/>
        <v>0</v>
      </c>
      <c r="AL1076" s="1352">
        <f t="shared" si="375"/>
        <v>53</v>
      </c>
      <c r="AM1076" s="1354">
        <f t="shared" si="349"/>
        <v>0</v>
      </c>
      <c r="AN1076" s="1352" t="str">
        <f t="shared" si="350"/>
        <v>"User Defined" Capital Improvement Unclassified</v>
      </c>
    </row>
    <row r="1077" spans="1:40" x14ac:dyDescent="0.2">
      <c r="A1077" s="1324" t="s">
        <v>5084</v>
      </c>
      <c r="B1077" s="1324" t="s">
        <v>5771</v>
      </c>
      <c r="C1077" s="1353">
        <f>'Key Metrics'!$C$407</f>
        <v>0</v>
      </c>
      <c r="D1077" s="1353">
        <f>'Key Metrics'!$G$407</f>
        <v>0</v>
      </c>
      <c r="E1077" s="1351">
        <f t="shared" si="367"/>
        <v>0</v>
      </c>
      <c r="F1077" s="1353">
        <f t="shared" si="368"/>
        <v>0</v>
      </c>
      <c r="G1077" s="1353">
        <f t="shared" si="369"/>
        <v>0</v>
      </c>
      <c r="H1077" s="1353">
        <f t="shared" si="370"/>
        <v>0</v>
      </c>
      <c r="I1077" s="1353">
        <f t="shared" si="371"/>
        <v>0</v>
      </c>
      <c r="J1077" s="1353">
        <f t="shared" si="372"/>
        <v>0</v>
      </c>
      <c r="M1077" s="1324" t="str">
        <f t="shared" si="373"/>
        <v>"User Defined" Capital Improvement Salaries &amp; Wages</v>
      </c>
      <c r="N1077" s="1368">
        <v>0</v>
      </c>
      <c r="O1077" s="1368">
        <f t="shared" si="374"/>
        <v>0</v>
      </c>
      <c r="P1077" s="1368">
        <f t="shared" si="374"/>
        <v>0</v>
      </c>
      <c r="Q1077" s="1368">
        <f t="shared" si="374"/>
        <v>0</v>
      </c>
      <c r="R1077" s="1368">
        <f t="shared" si="374"/>
        <v>0</v>
      </c>
      <c r="T1077" s="1369">
        <v>0</v>
      </c>
      <c r="U1077" s="1369">
        <v>0</v>
      </c>
      <c r="V1077" s="1369">
        <v>0</v>
      </c>
      <c r="W1077" s="1369">
        <v>0</v>
      </c>
      <c r="X1077" s="1369">
        <v>0</v>
      </c>
      <c r="Y1077" s="1367"/>
      <c r="Z1077" s="1370">
        <v>0</v>
      </c>
      <c r="AA1077" s="1370">
        <v>0</v>
      </c>
      <c r="AB1077" s="1370">
        <v>0</v>
      </c>
      <c r="AC1077" s="1370">
        <v>0</v>
      </c>
      <c r="AD1077" s="1370">
        <v>0</v>
      </c>
      <c r="AK1077" s="1354">
        <f t="shared" si="359"/>
        <v>0</v>
      </c>
      <c r="AL1077" s="1352">
        <f t="shared" si="375"/>
        <v>53</v>
      </c>
      <c r="AM1077" s="1354">
        <f t="shared" si="349"/>
        <v>0</v>
      </c>
      <c r="AN1077" s="1352" t="str">
        <f t="shared" si="350"/>
        <v>"User Defined" Capital Improvement Salaries &amp; Wages</v>
      </c>
    </row>
    <row r="1078" spans="1:40" x14ac:dyDescent="0.2">
      <c r="A1078" s="1324" t="str">
        <f>A1077</f>
        <v>44-905</v>
      </c>
      <c r="B1078" s="1324" t="s">
        <v>6047</v>
      </c>
      <c r="C1078" s="1353">
        <f>'Key Metrics'!$D$407</f>
        <v>0</v>
      </c>
      <c r="D1078" s="1353">
        <f>'Key Metrics'!$H$407</f>
        <v>0</v>
      </c>
      <c r="E1078" s="1351">
        <f t="shared" si="367"/>
        <v>0</v>
      </c>
      <c r="F1078" s="1353">
        <f t="shared" si="368"/>
        <v>0</v>
      </c>
      <c r="G1078" s="1353">
        <f t="shared" si="369"/>
        <v>0</v>
      </c>
      <c r="H1078" s="1353">
        <f t="shared" si="370"/>
        <v>0</v>
      </c>
      <c r="I1078" s="1353">
        <f t="shared" si="371"/>
        <v>0</v>
      </c>
      <c r="J1078" s="1353">
        <f t="shared" si="372"/>
        <v>0</v>
      </c>
      <c r="M1078" s="1324" t="str">
        <f t="shared" si="373"/>
        <v>"User Defined" Capital Improvement Other Expenses</v>
      </c>
      <c r="N1078" s="1368">
        <v>0</v>
      </c>
      <c r="O1078" s="1368">
        <f t="shared" ref="O1078:R1079" si="376">N1078</f>
        <v>0</v>
      </c>
      <c r="P1078" s="1368">
        <f t="shared" si="376"/>
        <v>0</v>
      </c>
      <c r="Q1078" s="1368">
        <f t="shared" si="376"/>
        <v>0</v>
      </c>
      <c r="R1078" s="1368">
        <f t="shared" si="376"/>
        <v>0</v>
      </c>
      <c r="T1078" s="1369">
        <v>0</v>
      </c>
      <c r="U1078" s="1369">
        <v>0</v>
      </c>
      <c r="V1078" s="1369">
        <v>0</v>
      </c>
      <c r="W1078" s="1369">
        <v>0</v>
      </c>
      <c r="X1078" s="1369">
        <v>0</v>
      </c>
      <c r="Y1078" s="1367"/>
      <c r="Z1078" s="1370">
        <v>0</v>
      </c>
      <c r="AA1078" s="1370">
        <v>0</v>
      </c>
      <c r="AB1078" s="1370">
        <v>0</v>
      </c>
      <c r="AC1078" s="1370">
        <v>0</v>
      </c>
      <c r="AD1078" s="1370">
        <v>0</v>
      </c>
      <c r="AK1078" s="1354">
        <f t="shared" si="359"/>
        <v>0</v>
      </c>
      <c r="AL1078" s="1352">
        <f t="shared" si="375"/>
        <v>53</v>
      </c>
      <c r="AM1078" s="1354">
        <f t="shared" si="349"/>
        <v>0</v>
      </c>
      <c r="AN1078" s="1352" t="str">
        <f t="shared" si="350"/>
        <v>"User Defined" Capital Improvement Other Expenses</v>
      </c>
    </row>
    <row r="1079" spans="1:40" x14ac:dyDescent="0.2">
      <c r="A1079" s="1324" t="str">
        <f>A1078</f>
        <v>44-905</v>
      </c>
      <c r="B1079" s="1324" t="s">
        <v>6048</v>
      </c>
      <c r="C1079" s="1353">
        <f>'Key Metrics'!$E$407</f>
        <v>0</v>
      </c>
      <c r="D1079" s="1353">
        <f>'Key Metrics'!$I$407</f>
        <v>0</v>
      </c>
      <c r="E1079" s="1351">
        <f t="shared" si="367"/>
        <v>0</v>
      </c>
      <c r="F1079" s="1353">
        <f t="shared" si="368"/>
        <v>0</v>
      </c>
      <c r="G1079" s="1353">
        <f t="shared" si="369"/>
        <v>0</v>
      </c>
      <c r="H1079" s="1353">
        <f t="shared" si="370"/>
        <v>0</v>
      </c>
      <c r="I1079" s="1353">
        <f t="shared" si="371"/>
        <v>0</v>
      </c>
      <c r="J1079" s="1353">
        <f t="shared" si="372"/>
        <v>0</v>
      </c>
      <c r="M1079" s="1324" t="str">
        <f t="shared" si="373"/>
        <v>"User Defined" Capital Improvement Unclassified</v>
      </c>
      <c r="N1079" s="1368">
        <v>0</v>
      </c>
      <c r="O1079" s="1368">
        <f t="shared" si="376"/>
        <v>0</v>
      </c>
      <c r="P1079" s="1368">
        <f t="shared" si="376"/>
        <v>0</v>
      </c>
      <c r="Q1079" s="1368">
        <f t="shared" si="376"/>
        <v>0</v>
      </c>
      <c r="R1079" s="1368">
        <f t="shared" si="376"/>
        <v>0</v>
      </c>
      <c r="T1079" s="1369">
        <v>0</v>
      </c>
      <c r="U1079" s="1369">
        <v>0</v>
      </c>
      <c r="V1079" s="1369">
        <v>0</v>
      </c>
      <c r="W1079" s="1369">
        <v>0</v>
      </c>
      <c r="X1079" s="1369">
        <v>0</v>
      </c>
      <c r="Y1079" s="1367"/>
      <c r="Z1079" s="1370">
        <v>0</v>
      </c>
      <c r="AA1079" s="1370">
        <v>0</v>
      </c>
      <c r="AB1079" s="1370">
        <v>0</v>
      </c>
      <c r="AC1079" s="1370">
        <v>0</v>
      </c>
      <c r="AD1079" s="1370">
        <v>0</v>
      </c>
      <c r="AK1079" s="1354">
        <f t="shared" si="359"/>
        <v>0</v>
      </c>
      <c r="AL1079" s="1352">
        <f t="shared" si="375"/>
        <v>53</v>
      </c>
      <c r="AM1079" s="1354">
        <f t="shared" si="349"/>
        <v>0</v>
      </c>
      <c r="AN1079" s="1352" t="str">
        <f t="shared" si="350"/>
        <v>"User Defined" Capital Improvement Unclassified</v>
      </c>
    </row>
    <row r="1080" spans="1:40" x14ac:dyDescent="0.2">
      <c r="B1080" s="1373" t="s">
        <v>5637</v>
      </c>
      <c r="C1080" s="1360">
        <f>SUM(C1062:C1079)</f>
        <v>60100</v>
      </c>
      <c r="D1080" s="1360">
        <f>SUM(D1062:D1079)</f>
        <v>60100</v>
      </c>
      <c r="E1080" s="1356">
        <f t="shared" si="367"/>
        <v>0</v>
      </c>
      <c r="F1080" s="1360">
        <f>SUM(F1062:F1079)</f>
        <v>60100</v>
      </c>
      <c r="G1080" s="1360">
        <f>SUM(G1062:G1079)</f>
        <v>60100</v>
      </c>
      <c r="H1080" s="1360">
        <f>SUM(H1062:H1079)</f>
        <v>60100</v>
      </c>
      <c r="I1080" s="1360">
        <f>SUM(I1062:I1079)</f>
        <v>60100</v>
      </c>
      <c r="J1080" s="1360">
        <f>SUM(J1062:J1079)</f>
        <v>60100</v>
      </c>
      <c r="N1080" s="1328"/>
      <c r="O1080" s="1328"/>
      <c r="P1080" s="1328"/>
      <c r="Q1080" s="1328"/>
      <c r="R1080" s="1328"/>
      <c r="T1080" s="1371"/>
      <c r="U1080" s="1371"/>
      <c r="V1080" s="1371"/>
      <c r="W1080" s="1371"/>
      <c r="X1080" s="1371"/>
      <c r="Y1080" s="1367"/>
      <c r="Z1080" s="1372"/>
      <c r="AA1080" s="1372"/>
      <c r="AB1080" s="1372"/>
      <c r="AC1080" s="1372"/>
      <c r="AD1080" s="1372"/>
      <c r="AK1080" s="1354"/>
      <c r="AL1080" s="1352"/>
      <c r="AM1080" s="1354"/>
      <c r="AN1080" s="1352"/>
    </row>
    <row r="1081" spans="1:40" x14ac:dyDescent="0.2">
      <c r="E1081" s="1351"/>
      <c r="N1081" s="1328"/>
      <c r="O1081" s="1328"/>
      <c r="P1081" s="1328"/>
      <c r="Q1081" s="1328"/>
      <c r="R1081" s="1328"/>
      <c r="T1081" s="1371"/>
      <c r="U1081" s="1371"/>
      <c r="V1081" s="1371"/>
      <c r="W1081" s="1371"/>
      <c r="X1081" s="1371"/>
      <c r="Y1081" s="1367"/>
      <c r="Z1081" s="1372"/>
      <c r="AA1081" s="1372"/>
      <c r="AB1081" s="1372"/>
      <c r="AC1081" s="1372"/>
      <c r="AD1081" s="1372"/>
      <c r="AK1081" s="1354"/>
      <c r="AL1081" s="1352"/>
      <c r="AM1081" s="1354"/>
      <c r="AN1081" s="1352"/>
    </row>
    <row r="1082" spans="1:40" ht="15" x14ac:dyDescent="0.25">
      <c r="A1082" s="1364" t="s">
        <v>343</v>
      </c>
      <c r="B1082" s="1365"/>
      <c r="C1082" s="1365"/>
      <c r="D1082" s="1365"/>
      <c r="E1082" s="1380"/>
      <c r="F1082" s="1365"/>
      <c r="G1082" s="1365"/>
      <c r="H1082" s="1365"/>
      <c r="I1082" s="1365"/>
      <c r="J1082" s="1365"/>
      <c r="M1082" s="1381" t="str">
        <f>A1082</f>
        <v>Debt Service</v>
      </c>
      <c r="N1082" s="1364"/>
      <c r="O1082" s="1364"/>
      <c r="P1082" s="1364"/>
      <c r="Q1082" s="1364"/>
      <c r="R1082" s="1364"/>
      <c r="S1082" s="1365"/>
      <c r="T1082" s="1389"/>
      <c r="U1082" s="1389"/>
      <c r="V1082" s="1389"/>
      <c r="W1082" s="1389"/>
      <c r="X1082" s="1389"/>
      <c r="Y1082" s="1390"/>
      <c r="Z1082" s="1391"/>
      <c r="AA1082" s="1391"/>
      <c r="AB1082" s="1391"/>
      <c r="AC1082" s="1391"/>
      <c r="AD1082" s="1391"/>
      <c r="AK1082" s="1354"/>
      <c r="AL1082" s="1352"/>
      <c r="AM1082" s="1354"/>
      <c r="AN1082" s="1352"/>
    </row>
    <row r="1083" spans="1:40" x14ac:dyDescent="0.2">
      <c r="A1083" s="1324" t="s">
        <v>544</v>
      </c>
      <c r="B1083" s="1324" t="s">
        <v>5772</v>
      </c>
      <c r="C1083" s="1353">
        <f>'Key Metrics'!$C$411</f>
        <v>0</v>
      </c>
      <c r="D1083" s="1353">
        <f>'Key Metrics'!$G$411</f>
        <v>0</v>
      </c>
      <c r="E1083" s="1351">
        <f t="shared" ref="E1083:E1110" si="377">IFERROR(D1083/C1083-1,0)</f>
        <v>0</v>
      </c>
      <c r="F1083" s="1353">
        <f t="shared" ref="F1083:F1109" si="378">IFERROR(IF($I$3=1,D1083*(1+N1083),IF($I$3=2,D1083*(1+T1083),IF($I$3=3,Z1083,"--"))),0)</f>
        <v>0</v>
      </c>
      <c r="G1083" s="1353">
        <f t="shared" ref="G1083:G1109" si="379">IFERROR(IF($I$3=1,F1083*(1+O1083),IF($I$3=2,F1083*(1+U1083),IF($I$3=3,AA1083,"--"))),0)</f>
        <v>0</v>
      </c>
      <c r="H1083" s="1353">
        <f t="shared" ref="H1083:H1109" si="380">IFERROR(IF($I$3=1,G1083*(1+P1083),IF($I$3=2,G1083*(1+V1083),IF($I$3=3,AB1083,"--"))),0)</f>
        <v>0</v>
      </c>
      <c r="I1083" s="1353">
        <f t="shared" ref="I1083:I1109" si="381">IFERROR(IF($I$3=1,H1083*(1+Q1083),IF($I$3=2,H1083*(1+W1083),IF($I$3=3,AC1083,"--"))),0)</f>
        <v>0</v>
      </c>
      <c r="J1083" s="1353">
        <f t="shared" ref="J1083:J1109" si="382">IFERROR(IF($I$3=1,I1083*(1+R1083),IF($I$3=2,I1083*(1+X1083),IF($I$3=3,AD1083,"--"))),0)</f>
        <v>0</v>
      </c>
      <c r="M1083" s="1324" t="str">
        <f t="shared" ref="M1083:M1109" si="383">B1083</f>
        <v>Payment of Bond Principal Salaries &amp; Wages</v>
      </c>
      <c r="N1083" s="1368">
        <v>0</v>
      </c>
      <c r="O1083" s="1368">
        <f t="shared" ref="O1083:R1098" si="384">N1083</f>
        <v>0</v>
      </c>
      <c r="P1083" s="1368">
        <f t="shared" si="384"/>
        <v>0</v>
      </c>
      <c r="Q1083" s="1368">
        <f t="shared" si="384"/>
        <v>0</v>
      </c>
      <c r="R1083" s="1368">
        <f t="shared" si="384"/>
        <v>0</v>
      </c>
      <c r="T1083" s="1369">
        <v>0</v>
      </c>
      <c r="U1083" s="1369">
        <v>0</v>
      </c>
      <c r="V1083" s="1369">
        <v>0</v>
      </c>
      <c r="W1083" s="1369">
        <v>0</v>
      </c>
      <c r="X1083" s="1369">
        <v>0</v>
      </c>
      <c r="Y1083" s="1367"/>
      <c r="Z1083" s="1370">
        <v>0</v>
      </c>
      <c r="AA1083" s="1370">
        <v>0</v>
      </c>
      <c r="AB1083" s="1370">
        <v>0</v>
      </c>
      <c r="AC1083" s="1370">
        <v>0</v>
      </c>
      <c r="AD1083" s="1370">
        <v>0</v>
      </c>
      <c r="AK1083" s="1354">
        <f t="shared" si="359"/>
        <v>0</v>
      </c>
      <c r="AL1083" s="1352">
        <f t="shared" ref="AL1083:AL1109" si="385">RANK(AM1083,$AM$504:$AM$1172,0)</f>
        <v>53</v>
      </c>
      <c r="AM1083" s="1354">
        <f t="shared" ref="AM1083:AM1146" si="386">J1083-D1083</f>
        <v>0</v>
      </c>
      <c r="AN1083" s="1352" t="str">
        <f t="shared" ref="AN1083:AN1146" si="387">B1083</f>
        <v>Payment of Bond Principal Salaries &amp; Wages</v>
      </c>
    </row>
    <row r="1084" spans="1:40" x14ac:dyDescent="0.2">
      <c r="A1084" s="1324" t="str">
        <f>A1083</f>
        <v>45-920</v>
      </c>
      <c r="B1084" s="1324" t="s">
        <v>6049</v>
      </c>
      <c r="C1084" s="1353">
        <f>'Key Metrics'!$D$411</f>
        <v>0</v>
      </c>
      <c r="D1084" s="1353">
        <f>'Key Metrics'!$H$411</f>
        <v>0</v>
      </c>
      <c r="E1084" s="1351">
        <f t="shared" si="377"/>
        <v>0</v>
      </c>
      <c r="F1084" s="1353">
        <f t="shared" si="378"/>
        <v>0</v>
      </c>
      <c r="G1084" s="1353">
        <f t="shared" si="379"/>
        <v>0</v>
      </c>
      <c r="H1084" s="1353">
        <f t="shared" si="380"/>
        <v>0</v>
      </c>
      <c r="I1084" s="1353">
        <f t="shared" si="381"/>
        <v>0</v>
      </c>
      <c r="J1084" s="1353">
        <f t="shared" si="382"/>
        <v>0</v>
      </c>
      <c r="M1084" s="1324" t="str">
        <f t="shared" si="383"/>
        <v>Payment of Bond Principal Other Expenses</v>
      </c>
      <c r="N1084" s="1368">
        <v>0</v>
      </c>
      <c r="O1084" s="1368">
        <f t="shared" si="384"/>
        <v>0</v>
      </c>
      <c r="P1084" s="1368">
        <f t="shared" si="384"/>
        <v>0</v>
      </c>
      <c r="Q1084" s="1368">
        <f t="shared" si="384"/>
        <v>0</v>
      </c>
      <c r="R1084" s="1368">
        <f t="shared" si="384"/>
        <v>0</v>
      </c>
      <c r="T1084" s="1369">
        <v>0</v>
      </c>
      <c r="U1084" s="1369">
        <v>0</v>
      </c>
      <c r="V1084" s="1369">
        <v>0</v>
      </c>
      <c r="W1084" s="1369">
        <v>0</v>
      </c>
      <c r="X1084" s="1369">
        <v>0</v>
      </c>
      <c r="Y1084" s="1367"/>
      <c r="Z1084" s="1370">
        <v>0</v>
      </c>
      <c r="AA1084" s="1370">
        <v>0</v>
      </c>
      <c r="AB1084" s="1370">
        <v>0</v>
      </c>
      <c r="AC1084" s="1370">
        <v>0</v>
      </c>
      <c r="AD1084" s="1370">
        <v>0</v>
      </c>
      <c r="AK1084" s="1354">
        <f t="shared" si="359"/>
        <v>0</v>
      </c>
      <c r="AL1084" s="1352">
        <f t="shared" si="385"/>
        <v>53</v>
      </c>
      <c r="AM1084" s="1354">
        <f t="shared" si="386"/>
        <v>0</v>
      </c>
      <c r="AN1084" s="1352" t="str">
        <f t="shared" si="387"/>
        <v>Payment of Bond Principal Other Expenses</v>
      </c>
    </row>
    <row r="1085" spans="1:40" x14ac:dyDescent="0.2">
      <c r="A1085" s="1324" t="str">
        <f>A1084</f>
        <v>45-920</v>
      </c>
      <c r="B1085" s="1324" t="s">
        <v>6050</v>
      </c>
      <c r="C1085" s="1353">
        <f>'Key Metrics'!$E$411</f>
        <v>0</v>
      </c>
      <c r="D1085" s="1353">
        <f>'Key Metrics'!$I$411</f>
        <v>0</v>
      </c>
      <c r="E1085" s="1351">
        <f t="shared" si="377"/>
        <v>0</v>
      </c>
      <c r="F1085" s="1353">
        <f t="shared" si="378"/>
        <v>0</v>
      </c>
      <c r="G1085" s="1353">
        <f t="shared" si="379"/>
        <v>0</v>
      </c>
      <c r="H1085" s="1353">
        <f t="shared" si="380"/>
        <v>0</v>
      </c>
      <c r="I1085" s="1353">
        <f t="shared" si="381"/>
        <v>0</v>
      </c>
      <c r="J1085" s="1353">
        <f t="shared" si="382"/>
        <v>0</v>
      </c>
      <c r="M1085" s="1324" t="str">
        <f t="shared" si="383"/>
        <v>Payment of Bond Principal Unclassified</v>
      </c>
      <c r="N1085" s="1368">
        <v>0</v>
      </c>
      <c r="O1085" s="1368">
        <f t="shared" si="384"/>
        <v>0</v>
      </c>
      <c r="P1085" s="1368">
        <f t="shared" si="384"/>
        <v>0</v>
      </c>
      <c r="Q1085" s="1368">
        <f t="shared" si="384"/>
        <v>0</v>
      </c>
      <c r="R1085" s="1368">
        <f t="shared" si="384"/>
        <v>0</v>
      </c>
      <c r="T1085" s="1369">
        <v>0</v>
      </c>
      <c r="U1085" s="1369">
        <v>0</v>
      </c>
      <c r="V1085" s="1369">
        <v>0</v>
      </c>
      <c r="W1085" s="1369">
        <v>0</v>
      </c>
      <c r="X1085" s="1369">
        <v>0</v>
      </c>
      <c r="Y1085" s="1367"/>
      <c r="Z1085" s="1370">
        <v>0</v>
      </c>
      <c r="AA1085" s="1370">
        <v>0</v>
      </c>
      <c r="AB1085" s="1370">
        <v>0</v>
      </c>
      <c r="AC1085" s="1370">
        <v>0</v>
      </c>
      <c r="AD1085" s="1370">
        <v>0</v>
      </c>
      <c r="AK1085" s="1354">
        <f t="shared" si="359"/>
        <v>0</v>
      </c>
      <c r="AL1085" s="1352">
        <f t="shared" si="385"/>
        <v>53</v>
      </c>
      <c r="AM1085" s="1354">
        <f t="shared" si="386"/>
        <v>0</v>
      </c>
      <c r="AN1085" s="1352" t="str">
        <f t="shared" si="387"/>
        <v>Payment of Bond Principal Unclassified</v>
      </c>
    </row>
    <row r="1086" spans="1:40" x14ac:dyDescent="0.2">
      <c r="A1086" s="1324" t="s">
        <v>545</v>
      </c>
      <c r="B1086" s="1324" t="s">
        <v>5773</v>
      </c>
      <c r="C1086" s="1353">
        <f>'Key Metrics'!$C$412</f>
        <v>0</v>
      </c>
      <c r="D1086" s="1353">
        <f>'Key Metrics'!$G$412</f>
        <v>0</v>
      </c>
      <c r="E1086" s="1351">
        <f t="shared" si="377"/>
        <v>0</v>
      </c>
      <c r="F1086" s="1353">
        <f t="shared" si="378"/>
        <v>0</v>
      </c>
      <c r="G1086" s="1353">
        <f t="shared" si="379"/>
        <v>0</v>
      </c>
      <c r="H1086" s="1353">
        <f t="shared" si="380"/>
        <v>0</v>
      </c>
      <c r="I1086" s="1353">
        <f t="shared" si="381"/>
        <v>0</v>
      </c>
      <c r="J1086" s="1353">
        <f t="shared" si="382"/>
        <v>0</v>
      </c>
      <c r="M1086" s="1324" t="str">
        <f t="shared" si="383"/>
        <v>Payment of Note Principal Salaries &amp; Wages</v>
      </c>
      <c r="N1086" s="1368">
        <v>0</v>
      </c>
      <c r="O1086" s="1368">
        <f t="shared" si="384"/>
        <v>0</v>
      </c>
      <c r="P1086" s="1368">
        <f t="shared" si="384"/>
        <v>0</v>
      </c>
      <c r="Q1086" s="1368">
        <f t="shared" si="384"/>
        <v>0</v>
      </c>
      <c r="R1086" s="1368">
        <f t="shared" si="384"/>
        <v>0</v>
      </c>
      <c r="T1086" s="1369">
        <v>0</v>
      </c>
      <c r="U1086" s="1369">
        <v>0</v>
      </c>
      <c r="V1086" s="1369">
        <v>0</v>
      </c>
      <c r="W1086" s="1369">
        <v>0</v>
      </c>
      <c r="X1086" s="1369">
        <v>0</v>
      </c>
      <c r="Y1086" s="1367"/>
      <c r="Z1086" s="1370">
        <v>0</v>
      </c>
      <c r="AA1086" s="1370">
        <v>0</v>
      </c>
      <c r="AB1086" s="1370">
        <v>0</v>
      </c>
      <c r="AC1086" s="1370">
        <v>0</v>
      </c>
      <c r="AD1086" s="1370">
        <v>0</v>
      </c>
      <c r="AK1086" s="1354">
        <f t="shared" si="359"/>
        <v>0</v>
      </c>
      <c r="AL1086" s="1352">
        <f t="shared" si="385"/>
        <v>53</v>
      </c>
      <c r="AM1086" s="1354">
        <f t="shared" si="386"/>
        <v>0</v>
      </c>
      <c r="AN1086" s="1352" t="str">
        <f t="shared" si="387"/>
        <v>Payment of Note Principal Salaries &amp; Wages</v>
      </c>
    </row>
    <row r="1087" spans="1:40" x14ac:dyDescent="0.2">
      <c r="A1087" s="1324" t="str">
        <f>A1086</f>
        <v>45-925</v>
      </c>
      <c r="B1087" s="1324" t="s">
        <v>6051</v>
      </c>
      <c r="C1087" s="1353">
        <f>'Key Metrics'!$D$412</f>
        <v>0</v>
      </c>
      <c r="D1087" s="1353">
        <f>'Key Metrics'!$H$412</f>
        <v>0</v>
      </c>
      <c r="E1087" s="1351">
        <f t="shared" si="377"/>
        <v>0</v>
      </c>
      <c r="F1087" s="1353">
        <f t="shared" si="378"/>
        <v>0</v>
      </c>
      <c r="G1087" s="1353">
        <f t="shared" si="379"/>
        <v>0</v>
      </c>
      <c r="H1087" s="1353">
        <f t="shared" si="380"/>
        <v>0</v>
      </c>
      <c r="I1087" s="1353">
        <f t="shared" si="381"/>
        <v>0</v>
      </c>
      <c r="J1087" s="1353">
        <f t="shared" si="382"/>
        <v>0</v>
      </c>
      <c r="M1087" s="1324" t="str">
        <f t="shared" si="383"/>
        <v>Payment of Note Principal Other Expenses</v>
      </c>
      <c r="N1087" s="1368">
        <v>0</v>
      </c>
      <c r="O1087" s="1368">
        <f t="shared" si="384"/>
        <v>0</v>
      </c>
      <c r="P1087" s="1368">
        <f t="shared" si="384"/>
        <v>0</v>
      </c>
      <c r="Q1087" s="1368">
        <f t="shared" si="384"/>
        <v>0</v>
      </c>
      <c r="R1087" s="1368">
        <f t="shared" si="384"/>
        <v>0</v>
      </c>
      <c r="T1087" s="1369">
        <v>0</v>
      </c>
      <c r="U1087" s="1369">
        <v>0</v>
      </c>
      <c r="V1087" s="1369">
        <v>0</v>
      </c>
      <c r="W1087" s="1369">
        <v>0</v>
      </c>
      <c r="X1087" s="1369">
        <v>0</v>
      </c>
      <c r="Y1087" s="1367"/>
      <c r="Z1087" s="1370">
        <v>0</v>
      </c>
      <c r="AA1087" s="1370">
        <v>0</v>
      </c>
      <c r="AB1087" s="1370">
        <v>0</v>
      </c>
      <c r="AC1087" s="1370">
        <v>0</v>
      </c>
      <c r="AD1087" s="1370">
        <v>0</v>
      </c>
      <c r="AK1087" s="1354">
        <f t="shared" si="359"/>
        <v>0</v>
      </c>
      <c r="AL1087" s="1352">
        <f t="shared" si="385"/>
        <v>53</v>
      </c>
      <c r="AM1087" s="1354">
        <f t="shared" si="386"/>
        <v>0</v>
      </c>
      <c r="AN1087" s="1352" t="str">
        <f t="shared" si="387"/>
        <v>Payment of Note Principal Other Expenses</v>
      </c>
    </row>
    <row r="1088" spans="1:40" x14ac:dyDescent="0.2">
      <c r="A1088" s="1324" t="str">
        <f>A1087</f>
        <v>45-925</v>
      </c>
      <c r="B1088" s="1324" t="s">
        <v>6052</v>
      </c>
      <c r="C1088" s="1353">
        <f>'Key Metrics'!$E$412</f>
        <v>0</v>
      </c>
      <c r="D1088" s="1353">
        <f>'Key Metrics'!$I$412</f>
        <v>0</v>
      </c>
      <c r="E1088" s="1351">
        <f t="shared" si="377"/>
        <v>0</v>
      </c>
      <c r="F1088" s="1353">
        <f t="shared" si="378"/>
        <v>0</v>
      </c>
      <c r="G1088" s="1353">
        <f t="shared" si="379"/>
        <v>0</v>
      </c>
      <c r="H1088" s="1353">
        <f t="shared" si="380"/>
        <v>0</v>
      </c>
      <c r="I1088" s="1353">
        <f t="shared" si="381"/>
        <v>0</v>
      </c>
      <c r="J1088" s="1353">
        <f t="shared" si="382"/>
        <v>0</v>
      </c>
      <c r="M1088" s="1324" t="str">
        <f t="shared" si="383"/>
        <v>Payment of Note Principal Unclassified</v>
      </c>
      <c r="N1088" s="1368">
        <v>0</v>
      </c>
      <c r="O1088" s="1368">
        <f t="shared" si="384"/>
        <v>0</v>
      </c>
      <c r="P1088" s="1368">
        <f t="shared" si="384"/>
        <v>0</v>
      </c>
      <c r="Q1088" s="1368">
        <f t="shared" si="384"/>
        <v>0</v>
      </c>
      <c r="R1088" s="1368">
        <f t="shared" si="384"/>
        <v>0</v>
      </c>
      <c r="T1088" s="1369">
        <v>0</v>
      </c>
      <c r="U1088" s="1369">
        <v>0</v>
      </c>
      <c r="V1088" s="1369">
        <v>0</v>
      </c>
      <c r="W1088" s="1369">
        <v>0</v>
      </c>
      <c r="X1088" s="1369">
        <v>0</v>
      </c>
      <c r="Y1088" s="1367"/>
      <c r="Z1088" s="1370">
        <v>0</v>
      </c>
      <c r="AA1088" s="1370">
        <v>0</v>
      </c>
      <c r="AB1088" s="1370">
        <v>0</v>
      </c>
      <c r="AC1088" s="1370">
        <v>0</v>
      </c>
      <c r="AD1088" s="1370">
        <v>0</v>
      </c>
      <c r="AK1088" s="1354">
        <f t="shared" si="359"/>
        <v>0</v>
      </c>
      <c r="AL1088" s="1352">
        <f t="shared" si="385"/>
        <v>53</v>
      </c>
      <c r="AM1088" s="1354">
        <f t="shared" si="386"/>
        <v>0</v>
      </c>
      <c r="AN1088" s="1352" t="str">
        <f t="shared" si="387"/>
        <v>Payment of Note Principal Unclassified</v>
      </c>
    </row>
    <row r="1089" spans="1:40" x14ac:dyDescent="0.2">
      <c r="A1089" s="1324" t="s">
        <v>546</v>
      </c>
      <c r="B1089" s="1324" t="s">
        <v>5774</v>
      </c>
      <c r="C1089" s="1353">
        <f>'Key Metrics'!$C$413</f>
        <v>0</v>
      </c>
      <c r="D1089" s="1353">
        <f>'Key Metrics'!$G$413</f>
        <v>0</v>
      </c>
      <c r="E1089" s="1351">
        <f t="shared" si="377"/>
        <v>0</v>
      </c>
      <c r="F1089" s="1353">
        <f t="shared" si="378"/>
        <v>0</v>
      </c>
      <c r="G1089" s="1353">
        <f t="shared" si="379"/>
        <v>0</v>
      </c>
      <c r="H1089" s="1353">
        <f t="shared" si="380"/>
        <v>0</v>
      </c>
      <c r="I1089" s="1353">
        <f t="shared" si="381"/>
        <v>0</v>
      </c>
      <c r="J1089" s="1353">
        <f t="shared" si="382"/>
        <v>0</v>
      </c>
      <c r="M1089" s="1324" t="str">
        <f t="shared" si="383"/>
        <v>Bond Interest Salaries &amp; Wages</v>
      </c>
      <c r="N1089" s="1368">
        <v>0</v>
      </c>
      <c r="O1089" s="1368">
        <f t="shared" si="384"/>
        <v>0</v>
      </c>
      <c r="P1089" s="1368">
        <f t="shared" si="384"/>
        <v>0</v>
      </c>
      <c r="Q1089" s="1368">
        <f t="shared" si="384"/>
        <v>0</v>
      </c>
      <c r="R1089" s="1368">
        <f t="shared" si="384"/>
        <v>0</v>
      </c>
      <c r="T1089" s="1369">
        <v>0</v>
      </c>
      <c r="U1089" s="1369">
        <v>0</v>
      </c>
      <c r="V1089" s="1369">
        <v>0</v>
      </c>
      <c r="W1089" s="1369">
        <v>0</v>
      </c>
      <c r="X1089" s="1369">
        <v>0</v>
      </c>
      <c r="Y1089" s="1367"/>
      <c r="Z1089" s="1370">
        <v>0</v>
      </c>
      <c r="AA1089" s="1370">
        <v>0</v>
      </c>
      <c r="AB1089" s="1370">
        <v>0</v>
      </c>
      <c r="AC1089" s="1370">
        <v>0</v>
      </c>
      <c r="AD1089" s="1370">
        <v>0</v>
      </c>
      <c r="AK1089" s="1354">
        <f t="shared" si="359"/>
        <v>0</v>
      </c>
      <c r="AL1089" s="1352">
        <f t="shared" si="385"/>
        <v>53</v>
      </c>
      <c r="AM1089" s="1354">
        <f t="shared" si="386"/>
        <v>0</v>
      </c>
      <c r="AN1089" s="1352" t="str">
        <f t="shared" si="387"/>
        <v>Bond Interest Salaries &amp; Wages</v>
      </c>
    </row>
    <row r="1090" spans="1:40" x14ac:dyDescent="0.2">
      <c r="A1090" s="1324" t="str">
        <f>A1089</f>
        <v>45-930</v>
      </c>
      <c r="B1090" s="1324" t="s">
        <v>6053</v>
      </c>
      <c r="C1090" s="1353">
        <f>'Key Metrics'!$D$413</f>
        <v>0</v>
      </c>
      <c r="D1090" s="1353">
        <f>'Key Metrics'!$H$413</f>
        <v>0</v>
      </c>
      <c r="E1090" s="1351">
        <f t="shared" si="377"/>
        <v>0</v>
      </c>
      <c r="F1090" s="1353">
        <f t="shared" si="378"/>
        <v>0</v>
      </c>
      <c r="G1090" s="1353">
        <f t="shared" si="379"/>
        <v>0</v>
      </c>
      <c r="H1090" s="1353">
        <f t="shared" si="380"/>
        <v>0</v>
      </c>
      <c r="I1090" s="1353">
        <f t="shared" si="381"/>
        <v>0</v>
      </c>
      <c r="J1090" s="1353">
        <f t="shared" si="382"/>
        <v>0</v>
      </c>
      <c r="M1090" s="1324" t="str">
        <f t="shared" si="383"/>
        <v>Bond Interest Other Expenses</v>
      </c>
      <c r="N1090" s="1368">
        <v>0</v>
      </c>
      <c r="O1090" s="1368">
        <f t="shared" si="384"/>
        <v>0</v>
      </c>
      <c r="P1090" s="1368">
        <f t="shared" si="384"/>
        <v>0</v>
      </c>
      <c r="Q1090" s="1368">
        <f t="shared" si="384"/>
        <v>0</v>
      </c>
      <c r="R1090" s="1368">
        <f t="shared" si="384"/>
        <v>0</v>
      </c>
      <c r="T1090" s="1369">
        <v>0</v>
      </c>
      <c r="U1090" s="1369">
        <v>0</v>
      </c>
      <c r="V1090" s="1369">
        <v>0</v>
      </c>
      <c r="W1090" s="1369">
        <v>0</v>
      </c>
      <c r="X1090" s="1369">
        <v>0</v>
      </c>
      <c r="Y1090" s="1367"/>
      <c r="Z1090" s="1370">
        <v>0</v>
      </c>
      <c r="AA1090" s="1370">
        <v>0</v>
      </c>
      <c r="AB1090" s="1370">
        <v>0</v>
      </c>
      <c r="AC1090" s="1370">
        <v>0</v>
      </c>
      <c r="AD1090" s="1370">
        <v>0</v>
      </c>
      <c r="AK1090" s="1354">
        <f t="shared" si="359"/>
        <v>0</v>
      </c>
      <c r="AL1090" s="1352">
        <f t="shared" si="385"/>
        <v>53</v>
      </c>
      <c r="AM1090" s="1354">
        <f t="shared" si="386"/>
        <v>0</v>
      </c>
      <c r="AN1090" s="1352" t="str">
        <f t="shared" si="387"/>
        <v>Bond Interest Other Expenses</v>
      </c>
    </row>
    <row r="1091" spans="1:40" x14ac:dyDescent="0.2">
      <c r="A1091" s="1324" t="str">
        <f>A1090</f>
        <v>45-930</v>
      </c>
      <c r="B1091" s="1324" t="s">
        <v>6054</v>
      </c>
      <c r="C1091" s="1353">
        <f>'Key Metrics'!$E$413</f>
        <v>0</v>
      </c>
      <c r="D1091" s="1353">
        <f>'Key Metrics'!$I$413</f>
        <v>0</v>
      </c>
      <c r="E1091" s="1351">
        <f t="shared" si="377"/>
        <v>0</v>
      </c>
      <c r="F1091" s="1353">
        <f t="shared" si="378"/>
        <v>0</v>
      </c>
      <c r="G1091" s="1353">
        <f t="shared" si="379"/>
        <v>0</v>
      </c>
      <c r="H1091" s="1353">
        <f t="shared" si="380"/>
        <v>0</v>
      </c>
      <c r="I1091" s="1353">
        <f t="shared" si="381"/>
        <v>0</v>
      </c>
      <c r="J1091" s="1353">
        <f t="shared" si="382"/>
        <v>0</v>
      </c>
      <c r="M1091" s="1324" t="str">
        <f t="shared" si="383"/>
        <v>Bond Interest Unclassified</v>
      </c>
      <c r="N1091" s="1368">
        <v>0</v>
      </c>
      <c r="O1091" s="1368">
        <f t="shared" si="384"/>
        <v>0</v>
      </c>
      <c r="P1091" s="1368">
        <f t="shared" si="384"/>
        <v>0</v>
      </c>
      <c r="Q1091" s="1368">
        <f t="shared" si="384"/>
        <v>0</v>
      </c>
      <c r="R1091" s="1368">
        <f t="shared" si="384"/>
        <v>0</v>
      </c>
      <c r="T1091" s="1369">
        <v>0</v>
      </c>
      <c r="U1091" s="1369">
        <v>0</v>
      </c>
      <c r="V1091" s="1369">
        <v>0</v>
      </c>
      <c r="W1091" s="1369">
        <v>0</v>
      </c>
      <c r="X1091" s="1369">
        <v>0</v>
      </c>
      <c r="Y1091" s="1367"/>
      <c r="Z1091" s="1370">
        <v>0</v>
      </c>
      <c r="AA1091" s="1370">
        <v>0</v>
      </c>
      <c r="AB1091" s="1370">
        <v>0</v>
      </c>
      <c r="AC1091" s="1370">
        <v>0</v>
      </c>
      <c r="AD1091" s="1370">
        <v>0</v>
      </c>
      <c r="AK1091" s="1354">
        <f t="shared" si="359"/>
        <v>0</v>
      </c>
      <c r="AL1091" s="1352">
        <f t="shared" si="385"/>
        <v>53</v>
      </c>
      <c r="AM1091" s="1354">
        <f t="shared" si="386"/>
        <v>0</v>
      </c>
      <c r="AN1091" s="1352" t="str">
        <f t="shared" si="387"/>
        <v>Bond Interest Unclassified</v>
      </c>
    </row>
    <row r="1092" spans="1:40" x14ac:dyDescent="0.2">
      <c r="A1092" s="1324" t="s">
        <v>547</v>
      </c>
      <c r="B1092" s="1324" t="s">
        <v>5775</v>
      </c>
      <c r="C1092" s="1353">
        <f>'Key Metrics'!$C$414</f>
        <v>0</v>
      </c>
      <c r="D1092" s="1353">
        <f>'Key Metrics'!$G$414</f>
        <v>0</v>
      </c>
      <c r="E1092" s="1351">
        <f t="shared" si="377"/>
        <v>0</v>
      </c>
      <c r="F1092" s="1353">
        <f t="shared" si="378"/>
        <v>0</v>
      </c>
      <c r="G1092" s="1353">
        <f t="shared" si="379"/>
        <v>0</v>
      </c>
      <c r="H1092" s="1353">
        <f t="shared" si="380"/>
        <v>0</v>
      </c>
      <c r="I1092" s="1353">
        <f t="shared" si="381"/>
        <v>0</v>
      </c>
      <c r="J1092" s="1353">
        <f t="shared" si="382"/>
        <v>0</v>
      </c>
      <c r="M1092" s="1324" t="str">
        <f t="shared" si="383"/>
        <v>Note Interest Salaries &amp; Wages</v>
      </c>
      <c r="N1092" s="1368">
        <v>0</v>
      </c>
      <c r="O1092" s="1368">
        <f t="shared" si="384"/>
        <v>0</v>
      </c>
      <c r="P1092" s="1368">
        <f t="shared" si="384"/>
        <v>0</v>
      </c>
      <c r="Q1092" s="1368">
        <f t="shared" si="384"/>
        <v>0</v>
      </c>
      <c r="R1092" s="1368">
        <f t="shared" si="384"/>
        <v>0</v>
      </c>
      <c r="T1092" s="1369">
        <v>0</v>
      </c>
      <c r="U1092" s="1369">
        <v>0</v>
      </c>
      <c r="V1092" s="1369">
        <v>0</v>
      </c>
      <c r="W1092" s="1369">
        <v>0</v>
      </c>
      <c r="X1092" s="1369">
        <v>0</v>
      </c>
      <c r="Y1092" s="1367"/>
      <c r="Z1092" s="1370">
        <v>0</v>
      </c>
      <c r="AA1092" s="1370">
        <v>0</v>
      </c>
      <c r="AB1092" s="1370">
        <v>0</v>
      </c>
      <c r="AC1092" s="1370">
        <v>0</v>
      </c>
      <c r="AD1092" s="1370">
        <v>0</v>
      </c>
      <c r="AK1092" s="1354">
        <f t="shared" si="359"/>
        <v>0</v>
      </c>
      <c r="AL1092" s="1352">
        <f t="shared" si="385"/>
        <v>53</v>
      </c>
      <c r="AM1092" s="1354">
        <f t="shared" si="386"/>
        <v>0</v>
      </c>
      <c r="AN1092" s="1352" t="str">
        <f t="shared" si="387"/>
        <v>Note Interest Salaries &amp; Wages</v>
      </c>
    </row>
    <row r="1093" spans="1:40" x14ac:dyDescent="0.2">
      <c r="A1093" s="1324" t="str">
        <f>A1092</f>
        <v>45-935</v>
      </c>
      <c r="B1093" s="1324" t="s">
        <v>6055</v>
      </c>
      <c r="C1093" s="1353">
        <f>'Key Metrics'!$D$414</f>
        <v>0</v>
      </c>
      <c r="D1093" s="1353">
        <f>'Key Metrics'!$H$414</f>
        <v>0</v>
      </c>
      <c r="E1093" s="1351">
        <f t="shared" si="377"/>
        <v>0</v>
      </c>
      <c r="F1093" s="1353">
        <f t="shared" si="378"/>
        <v>0</v>
      </c>
      <c r="G1093" s="1353">
        <f t="shared" si="379"/>
        <v>0</v>
      </c>
      <c r="H1093" s="1353">
        <f t="shared" si="380"/>
        <v>0</v>
      </c>
      <c r="I1093" s="1353">
        <f t="shared" si="381"/>
        <v>0</v>
      </c>
      <c r="J1093" s="1353">
        <f t="shared" si="382"/>
        <v>0</v>
      </c>
      <c r="M1093" s="1324" t="str">
        <f t="shared" si="383"/>
        <v>Note Interest Other Expenses</v>
      </c>
      <c r="N1093" s="1368">
        <v>0</v>
      </c>
      <c r="O1093" s="1368">
        <f t="shared" si="384"/>
        <v>0</v>
      </c>
      <c r="P1093" s="1368">
        <f t="shared" si="384"/>
        <v>0</v>
      </c>
      <c r="Q1093" s="1368">
        <f t="shared" si="384"/>
        <v>0</v>
      </c>
      <c r="R1093" s="1368">
        <f t="shared" si="384"/>
        <v>0</v>
      </c>
      <c r="T1093" s="1369">
        <v>0</v>
      </c>
      <c r="U1093" s="1369">
        <v>0</v>
      </c>
      <c r="V1093" s="1369">
        <v>0</v>
      </c>
      <c r="W1093" s="1369">
        <v>0</v>
      </c>
      <c r="X1093" s="1369">
        <v>0</v>
      </c>
      <c r="Y1093" s="1367"/>
      <c r="Z1093" s="1370">
        <v>0</v>
      </c>
      <c r="AA1093" s="1370">
        <v>0</v>
      </c>
      <c r="AB1093" s="1370">
        <v>0</v>
      </c>
      <c r="AC1093" s="1370">
        <v>0</v>
      </c>
      <c r="AD1093" s="1370">
        <v>0</v>
      </c>
      <c r="AK1093" s="1354">
        <f t="shared" si="359"/>
        <v>0</v>
      </c>
      <c r="AL1093" s="1352">
        <f t="shared" si="385"/>
        <v>53</v>
      </c>
      <c r="AM1093" s="1354">
        <f t="shared" si="386"/>
        <v>0</v>
      </c>
      <c r="AN1093" s="1352" t="str">
        <f t="shared" si="387"/>
        <v>Note Interest Other Expenses</v>
      </c>
    </row>
    <row r="1094" spans="1:40" x14ac:dyDescent="0.2">
      <c r="A1094" s="1324" t="str">
        <f>A1093</f>
        <v>45-935</v>
      </c>
      <c r="B1094" s="1324" t="s">
        <v>6056</v>
      </c>
      <c r="C1094" s="1353">
        <f>'Key Metrics'!$E$414</f>
        <v>0</v>
      </c>
      <c r="D1094" s="1353">
        <f>'Key Metrics'!$I$414</f>
        <v>0</v>
      </c>
      <c r="E1094" s="1351">
        <f t="shared" si="377"/>
        <v>0</v>
      </c>
      <c r="F1094" s="1353">
        <f t="shared" si="378"/>
        <v>0</v>
      </c>
      <c r="G1094" s="1353">
        <f t="shared" si="379"/>
        <v>0</v>
      </c>
      <c r="H1094" s="1353">
        <f t="shared" si="380"/>
        <v>0</v>
      </c>
      <c r="I1094" s="1353">
        <f t="shared" si="381"/>
        <v>0</v>
      </c>
      <c r="J1094" s="1353">
        <f t="shared" si="382"/>
        <v>0</v>
      </c>
      <c r="M1094" s="1324" t="str">
        <f t="shared" si="383"/>
        <v>Note Interest Unclassified</v>
      </c>
      <c r="N1094" s="1368">
        <v>0</v>
      </c>
      <c r="O1094" s="1368">
        <f t="shared" si="384"/>
        <v>0</v>
      </c>
      <c r="P1094" s="1368">
        <f t="shared" si="384"/>
        <v>0</v>
      </c>
      <c r="Q1094" s="1368">
        <f t="shared" si="384"/>
        <v>0</v>
      </c>
      <c r="R1094" s="1368">
        <f t="shared" si="384"/>
        <v>0</v>
      </c>
      <c r="T1094" s="1369">
        <v>0</v>
      </c>
      <c r="U1094" s="1369">
        <v>0</v>
      </c>
      <c r="V1094" s="1369">
        <v>0</v>
      </c>
      <c r="W1094" s="1369">
        <v>0</v>
      </c>
      <c r="X1094" s="1369">
        <v>0</v>
      </c>
      <c r="Y1094" s="1367"/>
      <c r="Z1094" s="1370">
        <v>0</v>
      </c>
      <c r="AA1094" s="1370">
        <v>0</v>
      </c>
      <c r="AB1094" s="1370">
        <v>0</v>
      </c>
      <c r="AC1094" s="1370">
        <v>0</v>
      </c>
      <c r="AD1094" s="1370">
        <v>0</v>
      </c>
      <c r="AK1094" s="1354">
        <f t="shared" si="359"/>
        <v>0</v>
      </c>
      <c r="AL1094" s="1352">
        <f t="shared" si="385"/>
        <v>53</v>
      </c>
      <c r="AM1094" s="1354">
        <f t="shared" si="386"/>
        <v>0</v>
      </c>
      <c r="AN1094" s="1352" t="str">
        <f t="shared" si="387"/>
        <v>Note Interest Unclassified</v>
      </c>
    </row>
    <row r="1095" spans="1:40" x14ac:dyDescent="0.2">
      <c r="A1095" s="1324" t="s">
        <v>5070</v>
      </c>
      <c r="B1095" s="1324" t="s">
        <v>5776</v>
      </c>
      <c r="C1095" s="1353">
        <f>'Key Metrics'!$C$415</f>
        <v>0</v>
      </c>
      <c r="D1095" s="1353">
        <f>'Key Metrics'!$G$415</f>
        <v>0</v>
      </c>
      <c r="E1095" s="1351">
        <f t="shared" si="377"/>
        <v>0</v>
      </c>
      <c r="F1095" s="1353">
        <f t="shared" si="378"/>
        <v>0</v>
      </c>
      <c r="G1095" s="1353">
        <f t="shared" si="379"/>
        <v>0</v>
      </c>
      <c r="H1095" s="1353">
        <f t="shared" si="380"/>
        <v>0</v>
      </c>
      <c r="I1095" s="1353">
        <f t="shared" si="381"/>
        <v>0</v>
      </c>
      <c r="J1095" s="1353">
        <f t="shared" si="382"/>
        <v>0</v>
      </c>
      <c r="M1095" s="1324" t="str">
        <f t="shared" si="383"/>
        <v>Loan Payments on Principal and Interest (Green Acres) Salaries &amp; Wages</v>
      </c>
      <c r="N1095" s="1368">
        <v>0</v>
      </c>
      <c r="O1095" s="1368">
        <f t="shared" si="384"/>
        <v>0</v>
      </c>
      <c r="P1095" s="1368">
        <f t="shared" si="384"/>
        <v>0</v>
      </c>
      <c r="Q1095" s="1368">
        <f t="shared" si="384"/>
        <v>0</v>
      </c>
      <c r="R1095" s="1368">
        <f t="shared" si="384"/>
        <v>0</v>
      </c>
      <c r="T1095" s="1369">
        <v>0</v>
      </c>
      <c r="U1095" s="1369">
        <v>0</v>
      </c>
      <c r="V1095" s="1369">
        <v>0</v>
      </c>
      <c r="W1095" s="1369">
        <v>0</v>
      </c>
      <c r="X1095" s="1369">
        <v>0</v>
      </c>
      <c r="Y1095" s="1367"/>
      <c r="Z1095" s="1370">
        <v>0</v>
      </c>
      <c r="AA1095" s="1370">
        <v>0</v>
      </c>
      <c r="AB1095" s="1370">
        <v>0</v>
      </c>
      <c r="AC1095" s="1370">
        <v>0</v>
      </c>
      <c r="AD1095" s="1370">
        <v>0</v>
      </c>
      <c r="AK1095" s="1354">
        <f t="shared" si="359"/>
        <v>0</v>
      </c>
      <c r="AL1095" s="1352">
        <f t="shared" si="385"/>
        <v>53</v>
      </c>
      <c r="AM1095" s="1354">
        <f t="shared" si="386"/>
        <v>0</v>
      </c>
      <c r="AN1095" s="1352" t="str">
        <f t="shared" si="387"/>
        <v>Loan Payments on Principal and Interest (Green Acres) Salaries &amp; Wages</v>
      </c>
    </row>
    <row r="1096" spans="1:40" x14ac:dyDescent="0.2">
      <c r="A1096" s="1324" t="str">
        <f>A1095</f>
        <v>45-940</v>
      </c>
      <c r="B1096" s="1324" t="s">
        <v>6057</v>
      </c>
      <c r="C1096" s="1353">
        <f>'Key Metrics'!$D$415</f>
        <v>0</v>
      </c>
      <c r="D1096" s="1353">
        <f>'Key Metrics'!$H$415</f>
        <v>0</v>
      </c>
      <c r="E1096" s="1351">
        <f t="shared" si="377"/>
        <v>0</v>
      </c>
      <c r="F1096" s="1353">
        <f t="shared" si="378"/>
        <v>0</v>
      </c>
      <c r="G1096" s="1353">
        <f t="shared" si="379"/>
        <v>0</v>
      </c>
      <c r="H1096" s="1353">
        <f t="shared" si="380"/>
        <v>0</v>
      </c>
      <c r="I1096" s="1353">
        <f t="shared" si="381"/>
        <v>0</v>
      </c>
      <c r="J1096" s="1353">
        <f t="shared" si="382"/>
        <v>0</v>
      </c>
      <c r="M1096" s="1324" t="str">
        <f t="shared" si="383"/>
        <v>Loan Payments on Principal and Interest (Green Acres) Other Expenses</v>
      </c>
      <c r="N1096" s="1368">
        <v>0</v>
      </c>
      <c r="O1096" s="1368">
        <f t="shared" si="384"/>
        <v>0</v>
      </c>
      <c r="P1096" s="1368">
        <f t="shared" si="384"/>
        <v>0</v>
      </c>
      <c r="Q1096" s="1368">
        <f t="shared" si="384"/>
        <v>0</v>
      </c>
      <c r="R1096" s="1368">
        <f t="shared" si="384"/>
        <v>0</v>
      </c>
      <c r="T1096" s="1369">
        <v>0</v>
      </c>
      <c r="U1096" s="1369">
        <v>0</v>
      </c>
      <c r="V1096" s="1369">
        <v>0</v>
      </c>
      <c r="W1096" s="1369">
        <v>0</v>
      </c>
      <c r="X1096" s="1369">
        <v>0</v>
      </c>
      <c r="Y1096" s="1367"/>
      <c r="Z1096" s="1370">
        <v>0</v>
      </c>
      <c r="AA1096" s="1370">
        <v>0</v>
      </c>
      <c r="AB1096" s="1370">
        <v>0</v>
      </c>
      <c r="AC1096" s="1370">
        <v>0</v>
      </c>
      <c r="AD1096" s="1370">
        <v>0</v>
      </c>
      <c r="AK1096" s="1354">
        <f t="shared" si="359"/>
        <v>0</v>
      </c>
      <c r="AL1096" s="1352">
        <f t="shared" si="385"/>
        <v>53</v>
      </c>
      <c r="AM1096" s="1354">
        <f t="shared" si="386"/>
        <v>0</v>
      </c>
      <c r="AN1096" s="1352" t="str">
        <f t="shared" si="387"/>
        <v>Loan Payments on Principal and Interest (Green Acres) Other Expenses</v>
      </c>
    </row>
    <row r="1097" spans="1:40" x14ac:dyDescent="0.2">
      <c r="A1097" s="1324" t="str">
        <f>A1096</f>
        <v>45-940</v>
      </c>
      <c r="B1097" s="1324" t="s">
        <v>6058</v>
      </c>
      <c r="C1097" s="1353">
        <f>'Key Metrics'!$E$415</f>
        <v>0</v>
      </c>
      <c r="D1097" s="1353">
        <f>'Key Metrics'!$I$415</f>
        <v>0</v>
      </c>
      <c r="E1097" s="1351">
        <f t="shared" si="377"/>
        <v>0</v>
      </c>
      <c r="F1097" s="1353">
        <f t="shared" si="378"/>
        <v>0</v>
      </c>
      <c r="G1097" s="1353">
        <f t="shared" si="379"/>
        <v>0</v>
      </c>
      <c r="H1097" s="1353">
        <f t="shared" si="380"/>
        <v>0</v>
      </c>
      <c r="I1097" s="1353">
        <f t="shared" si="381"/>
        <v>0</v>
      </c>
      <c r="J1097" s="1353">
        <f t="shared" si="382"/>
        <v>0</v>
      </c>
      <c r="M1097" s="1324" t="str">
        <f t="shared" si="383"/>
        <v>Loan Payments on Principal and Interest (Green Acres) Unclassified</v>
      </c>
      <c r="N1097" s="1368">
        <v>0</v>
      </c>
      <c r="O1097" s="1368">
        <f t="shared" si="384"/>
        <v>0</v>
      </c>
      <c r="P1097" s="1368">
        <f t="shared" si="384"/>
        <v>0</v>
      </c>
      <c r="Q1097" s="1368">
        <f t="shared" si="384"/>
        <v>0</v>
      </c>
      <c r="R1097" s="1368">
        <f t="shared" si="384"/>
        <v>0</v>
      </c>
      <c r="T1097" s="1369">
        <v>0</v>
      </c>
      <c r="U1097" s="1369">
        <v>0</v>
      </c>
      <c r="V1097" s="1369">
        <v>0</v>
      </c>
      <c r="W1097" s="1369">
        <v>0</v>
      </c>
      <c r="X1097" s="1369">
        <v>0</v>
      </c>
      <c r="Y1097" s="1367"/>
      <c r="Z1097" s="1370">
        <v>0</v>
      </c>
      <c r="AA1097" s="1370">
        <v>0</v>
      </c>
      <c r="AB1097" s="1370">
        <v>0</v>
      </c>
      <c r="AC1097" s="1370">
        <v>0</v>
      </c>
      <c r="AD1097" s="1370">
        <v>0</v>
      </c>
      <c r="AK1097" s="1354">
        <f t="shared" si="359"/>
        <v>0</v>
      </c>
      <c r="AL1097" s="1352">
        <f t="shared" si="385"/>
        <v>53</v>
      </c>
      <c r="AM1097" s="1354">
        <f t="shared" si="386"/>
        <v>0</v>
      </c>
      <c r="AN1097" s="1352" t="str">
        <f t="shared" si="387"/>
        <v>Loan Payments on Principal and Interest (Green Acres) Unclassified</v>
      </c>
    </row>
    <row r="1098" spans="1:40" x14ac:dyDescent="0.2">
      <c r="A1098" s="1324" t="s">
        <v>5077</v>
      </c>
      <c r="B1098" s="1324" t="s">
        <v>5777</v>
      </c>
      <c r="C1098" s="1353">
        <f>'Key Metrics'!$C$416</f>
        <v>0</v>
      </c>
      <c r="D1098" s="1353">
        <f>'Key Metrics'!$G$416</f>
        <v>0</v>
      </c>
      <c r="E1098" s="1351">
        <f t="shared" si="377"/>
        <v>0</v>
      </c>
      <c r="F1098" s="1353">
        <f t="shared" si="378"/>
        <v>0</v>
      </c>
      <c r="G1098" s="1353">
        <f t="shared" si="379"/>
        <v>0</v>
      </c>
      <c r="H1098" s="1353">
        <f t="shared" si="380"/>
        <v>0</v>
      </c>
      <c r="I1098" s="1353">
        <f t="shared" si="381"/>
        <v>0</v>
      </c>
      <c r="J1098" s="1353">
        <f t="shared" si="382"/>
        <v>0</v>
      </c>
      <c r="M1098" s="1324" t="str">
        <f t="shared" si="383"/>
        <v>Authority Capital Lease Payments Salaries &amp; Wages</v>
      </c>
      <c r="N1098" s="1368">
        <v>0</v>
      </c>
      <c r="O1098" s="1368">
        <f t="shared" si="384"/>
        <v>0</v>
      </c>
      <c r="P1098" s="1368">
        <f t="shared" si="384"/>
        <v>0</v>
      </c>
      <c r="Q1098" s="1368">
        <f t="shared" si="384"/>
        <v>0</v>
      </c>
      <c r="R1098" s="1368">
        <f t="shared" si="384"/>
        <v>0</v>
      </c>
      <c r="T1098" s="1369">
        <v>0</v>
      </c>
      <c r="U1098" s="1369">
        <v>0</v>
      </c>
      <c r="V1098" s="1369">
        <v>0</v>
      </c>
      <c r="W1098" s="1369">
        <v>0</v>
      </c>
      <c r="X1098" s="1369">
        <v>0</v>
      </c>
      <c r="Y1098" s="1367"/>
      <c r="Z1098" s="1370">
        <v>0</v>
      </c>
      <c r="AA1098" s="1370">
        <v>0</v>
      </c>
      <c r="AB1098" s="1370">
        <v>0</v>
      </c>
      <c r="AC1098" s="1370">
        <v>0</v>
      </c>
      <c r="AD1098" s="1370">
        <v>0</v>
      </c>
      <c r="AK1098" s="1354">
        <f t="shared" si="359"/>
        <v>0</v>
      </c>
      <c r="AL1098" s="1352">
        <f t="shared" si="385"/>
        <v>53</v>
      </c>
      <c r="AM1098" s="1354">
        <f t="shared" si="386"/>
        <v>0</v>
      </c>
      <c r="AN1098" s="1352" t="str">
        <f t="shared" si="387"/>
        <v>Authority Capital Lease Payments Salaries &amp; Wages</v>
      </c>
    </row>
    <row r="1099" spans="1:40" x14ac:dyDescent="0.2">
      <c r="A1099" s="1324" t="str">
        <f>A1098</f>
        <v>45-941</v>
      </c>
      <c r="B1099" s="1324" t="s">
        <v>6059</v>
      </c>
      <c r="C1099" s="1353">
        <f>'Key Metrics'!$D$416</f>
        <v>0</v>
      </c>
      <c r="D1099" s="1353">
        <f>'Key Metrics'!$H$416</f>
        <v>0</v>
      </c>
      <c r="E1099" s="1351">
        <f t="shared" si="377"/>
        <v>0</v>
      </c>
      <c r="F1099" s="1353">
        <f t="shared" si="378"/>
        <v>0</v>
      </c>
      <c r="G1099" s="1353">
        <f t="shared" si="379"/>
        <v>0</v>
      </c>
      <c r="H1099" s="1353">
        <f t="shared" si="380"/>
        <v>0</v>
      </c>
      <c r="I1099" s="1353">
        <f t="shared" si="381"/>
        <v>0</v>
      </c>
      <c r="J1099" s="1353">
        <f t="shared" si="382"/>
        <v>0</v>
      </c>
      <c r="M1099" s="1324" t="str">
        <f t="shared" si="383"/>
        <v>Authority Capital Lease Payments Other Expenses</v>
      </c>
      <c r="N1099" s="1368">
        <v>0</v>
      </c>
      <c r="O1099" s="1368">
        <f t="shared" ref="O1099:R1109" si="388">N1099</f>
        <v>0</v>
      </c>
      <c r="P1099" s="1368">
        <f t="shared" si="388"/>
        <v>0</v>
      </c>
      <c r="Q1099" s="1368">
        <f t="shared" si="388"/>
        <v>0</v>
      </c>
      <c r="R1099" s="1368">
        <f t="shared" si="388"/>
        <v>0</v>
      </c>
      <c r="T1099" s="1369">
        <v>0</v>
      </c>
      <c r="U1099" s="1369">
        <v>0</v>
      </c>
      <c r="V1099" s="1369">
        <v>0</v>
      </c>
      <c r="W1099" s="1369">
        <v>0</v>
      </c>
      <c r="X1099" s="1369">
        <v>0</v>
      </c>
      <c r="Y1099" s="1367"/>
      <c r="Z1099" s="1370">
        <v>0</v>
      </c>
      <c r="AA1099" s="1370">
        <v>0</v>
      </c>
      <c r="AB1099" s="1370">
        <v>0</v>
      </c>
      <c r="AC1099" s="1370">
        <v>0</v>
      </c>
      <c r="AD1099" s="1370">
        <v>0</v>
      </c>
      <c r="AK1099" s="1354">
        <f t="shared" si="359"/>
        <v>0</v>
      </c>
      <c r="AL1099" s="1352">
        <f t="shared" si="385"/>
        <v>53</v>
      </c>
      <c r="AM1099" s="1354">
        <f t="shared" si="386"/>
        <v>0</v>
      </c>
      <c r="AN1099" s="1352" t="str">
        <f t="shared" si="387"/>
        <v>Authority Capital Lease Payments Other Expenses</v>
      </c>
    </row>
    <row r="1100" spans="1:40" x14ac:dyDescent="0.2">
      <c r="A1100" s="1324" t="str">
        <f>A1099</f>
        <v>45-941</v>
      </c>
      <c r="B1100" s="1324" t="s">
        <v>6060</v>
      </c>
      <c r="C1100" s="1353">
        <f>'Key Metrics'!$E$416</f>
        <v>0</v>
      </c>
      <c r="D1100" s="1353">
        <f>'Key Metrics'!$I$416</f>
        <v>0</v>
      </c>
      <c r="E1100" s="1351">
        <f t="shared" si="377"/>
        <v>0</v>
      </c>
      <c r="F1100" s="1353">
        <f t="shared" si="378"/>
        <v>0</v>
      </c>
      <c r="G1100" s="1353">
        <f t="shared" si="379"/>
        <v>0</v>
      </c>
      <c r="H1100" s="1353">
        <f t="shared" si="380"/>
        <v>0</v>
      </c>
      <c r="I1100" s="1353">
        <f t="shared" si="381"/>
        <v>0</v>
      </c>
      <c r="J1100" s="1353">
        <f t="shared" si="382"/>
        <v>0</v>
      </c>
      <c r="M1100" s="1324" t="str">
        <f t="shared" si="383"/>
        <v>Authority Capital Lease Payments Unclassified</v>
      </c>
      <c r="N1100" s="1368">
        <v>0</v>
      </c>
      <c r="O1100" s="1368">
        <f t="shared" si="388"/>
        <v>0</v>
      </c>
      <c r="P1100" s="1368">
        <f t="shared" si="388"/>
        <v>0</v>
      </c>
      <c r="Q1100" s="1368">
        <f t="shared" si="388"/>
        <v>0</v>
      </c>
      <c r="R1100" s="1368">
        <f t="shared" si="388"/>
        <v>0</v>
      </c>
      <c r="T1100" s="1369">
        <v>0</v>
      </c>
      <c r="U1100" s="1369">
        <v>0</v>
      </c>
      <c r="V1100" s="1369">
        <v>0</v>
      </c>
      <c r="W1100" s="1369">
        <v>0</v>
      </c>
      <c r="X1100" s="1369">
        <v>0</v>
      </c>
      <c r="Y1100" s="1367"/>
      <c r="Z1100" s="1370">
        <v>0</v>
      </c>
      <c r="AA1100" s="1370">
        <v>0</v>
      </c>
      <c r="AB1100" s="1370">
        <v>0</v>
      </c>
      <c r="AC1100" s="1370">
        <v>0</v>
      </c>
      <c r="AD1100" s="1370">
        <v>0</v>
      </c>
      <c r="AK1100" s="1354">
        <f t="shared" si="359"/>
        <v>0</v>
      </c>
      <c r="AL1100" s="1352">
        <f t="shared" si="385"/>
        <v>53</v>
      </c>
      <c r="AM1100" s="1354">
        <f t="shared" si="386"/>
        <v>0</v>
      </c>
      <c r="AN1100" s="1352" t="str">
        <f t="shared" si="387"/>
        <v>Authority Capital Lease Payments Unclassified</v>
      </c>
    </row>
    <row r="1101" spans="1:40" x14ac:dyDescent="0.2">
      <c r="A1101" s="1324" t="s">
        <v>5085</v>
      </c>
      <c r="B1101" s="1324" t="s">
        <v>5778</v>
      </c>
      <c r="C1101" s="1353">
        <f>'Key Metrics'!$C$418</f>
        <v>0</v>
      </c>
      <c r="D1101" s="1353">
        <f>'Key Metrics'!$G$418</f>
        <v>0</v>
      </c>
      <c r="E1101" s="1351">
        <f t="shared" si="377"/>
        <v>0</v>
      </c>
      <c r="F1101" s="1353">
        <f t="shared" si="378"/>
        <v>0</v>
      </c>
      <c r="G1101" s="1353">
        <f t="shared" si="379"/>
        <v>0</v>
      </c>
      <c r="H1101" s="1353">
        <f t="shared" si="380"/>
        <v>0</v>
      </c>
      <c r="I1101" s="1353">
        <f t="shared" si="381"/>
        <v>0</v>
      </c>
      <c r="J1101" s="1353">
        <f t="shared" si="382"/>
        <v>0</v>
      </c>
      <c r="M1101" s="1324" t="str">
        <f t="shared" si="383"/>
        <v>"User Defined" Debt Service Salaries &amp; Wages</v>
      </c>
      <c r="N1101" s="1368">
        <v>0</v>
      </c>
      <c r="O1101" s="1368">
        <f t="shared" si="388"/>
        <v>0</v>
      </c>
      <c r="P1101" s="1368">
        <f t="shared" si="388"/>
        <v>0</v>
      </c>
      <c r="Q1101" s="1368">
        <f t="shared" si="388"/>
        <v>0</v>
      </c>
      <c r="R1101" s="1368">
        <f t="shared" si="388"/>
        <v>0</v>
      </c>
      <c r="T1101" s="1369">
        <v>0</v>
      </c>
      <c r="U1101" s="1369">
        <v>0</v>
      </c>
      <c r="V1101" s="1369">
        <v>0</v>
      </c>
      <c r="W1101" s="1369">
        <v>0</v>
      </c>
      <c r="X1101" s="1369">
        <v>0</v>
      </c>
      <c r="Y1101" s="1367"/>
      <c r="Z1101" s="1370">
        <v>0</v>
      </c>
      <c r="AA1101" s="1370">
        <v>0</v>
      </c>
      <c r="AB1101" s="1370">
        <v>0</v>
      </c>
      <c r="AC1101" s="1370">
        <v>0</v>
      </c>
      <c r="AD1101" s="1370">
        <v>0</v>
      </c>
      <c r="AK1101" s="1354">
        <f t="shared" si="359"/>
        <v>0</v>
      </c>
      <c r="AL1101" s="1352">
        <f t="shared" si="385"/>
        <v>53</v>
      </c>
      <c r="AM1101" s="1354">
        <f t="shared" si="386"/>
        <v>0</v>
      </c>
      <c r="AN1101" s="1352" t="str">
        <f t="shared" si="387"/>
        <v>"User Defined" Debt Service Salaries &amp; Wages</v>
      </c>
    </row>
    <row r="1102" spans="1:40" x14ac:dyDescent="0.2">
      <c r="A1102" s="1324" t="str">
        <f>A1101</f>
        <v>45-942</v>
      </c>
      <c r="B1102" s="1324" t="s">
        <v>6061</v>
      </c>
      <c r="C1102" s="1353">
        <f>'Key Metrics'!$D$418</f>
        <v>0</v>
      </c>
      <c r="D1102" s="1353">
        <f>'Key Metrics'!$H$418</f>
        <v>0</v>
      </c>
      <c r="E1102" s="1351">
        <f t="shared" si="377"/>
        <v>0</v>
      </c>
      <c r="F1102" s="1353">
        <f t="shared" si="378"/>
        <v>0</v>
      </c>
      <c r="G1102" s="1353">
        <f t="shared" si="379"/>
        <v>0</v>
      </c>
      <c r="H1102" s="1353">
        <f t="shared" si="380"/>
        <v>0</v>
      </c>
      <c r="I1102" s="1353">
        <f t="shared" si="381"/>
        <v>0</v>
      </c>
      <c r="J1102" s="1353">
        <f t="shared" si="382"/>
        <v>0</v>
      </c>
      <c r="M1102" s="1324" t="str">
        <f t="shared" si="383"/>
        <v>"User Defined" Debt Service Other Expenses</v>
      </c>
      <c r="N1102" s="1368">
        <v>0</v>
      </c>
      <c r="O1102" s="1368">
        <f t="shared" si="388"/>
        <v>0</v>
      </c>
      <c r="P1102" s="1368">
        <f t="shared" si="388"/>
        <v>0</v>
      </c>
      <c r="Q1102" s="1368">
        <f t="shared" si="388"/>
        <v>0</v>
      </c>
      <c r="R1102" s="1368">
        <f t="shared" si="388"/>
        <v>0</v>
      </c>
      <c r="T1102" s="1369">
        <v>0</v>
      </c>
      <c r="U1102" s="1369">
        <v>0</v>
      </c>
      <c r="V1102" s="1369">
        <v>0</v>
      </c>
      <c r="W1102" s="1369">
        <v>0</v>
      </c>
      <c r="X1102" s="1369">
        <v>0</v>
      </c>
      <c r="Y1102" s="1367"/>
      <c r="Z1102" s="1370">
        <v>0</v>
      </c>
      <c r="AA1102" s="1370">
        <v>0</v>
      </c>
      <c r="AB1102" s="1370">
        <v>0</v>
      </c>
      <c r="AC1102" s="1370">
        <v>0</v>
      </c>
      <c r="AD1102" s="1370">
        <v>0</v>
      </c>
      <c r="AK1102" s="1354">
        <f t="shared" si="359"/>
        <v>0</v>
      </c>
      <c r="AL1102" s="1352">
        <f t="shared" si="385"/>
        <v>53</v>
      </c>
      <c r="AM1102" s="1354">
        <f t="shared" si="386"/>
        <v>0</v>
      </c>
      <c r="AN1102" s="1352" t="str">
        <f t="shared" si="387"/>
        <v>"User Defined" Debt Service Other Expenses</v>
      </c>
    </row>
    <row r="1103" spans="1:40" x14ac:dyDescent="0.2">
      <c r="A1103" s="1324" t="str">
        <f>A1102</f>
        <v>45-942</v>
      </c>
      <c r="B1103" s="1324" t="s">
        <v>6062</v>
      </c>
      <c r="C1103" s="1353">
        <f>'Key Metrics'!$E$418</f>
        <v>0</v>
      </c>
      <c r="D1103" s="1353">
        <f>'Key Metrics'!$I$418</f>
        <v>0</v>
      </c>
      <c r="E1103" s="1351">
        <f t="shared" si="377"/>
        <v>0</v>
      </c>
      <c r="F1103" s="1353">
        <f t="shared" si="378"/>
        <v>0</v>
      </c>
      <c r="G1103" s="1353">
        <f t="shared" si="379"/>
        <v>0</v>
      </c>
      <c r="H1103" s="1353">
        <f t="shared" si="380"/>
        <v>0</v>
      </c>
      <c r="I1103" s="1353">
        <f t="shared" si="381"/>
        <v>0</v>
      </c>
      <c r="J1103" s="1353">
        <f t="shared" si="382"/>
        <v>0</v>
      </c>
      <c r="M1103" s="1324" t="str">
        <f t="shared" si="383"/>
        <v>"User Defined" Debt Service Unclassified</v>
      </c>
      <c r="N1103" s="1368">
        <v>0</v>
      </c>
      <c r="O1103" s="1368">
        <f t="shared" si="388"/>
        <v>0</v>
      </c>
      <c r="P1103" s="1368">
        <f t="shared" si="388"/>
        <v>0</v>
      </c>
      <c r="Q1103" s="1368">
        <f t="shared" si="388"/>
        <v>0</v>
      </c>
      <c r="R1103" s="1368">
        <f t="shared" si="388"/>
        <v>0</v>
      </c>
      <c r="T1103" s="1369">
        <v>0</v>
      </c>
      <c r="U1103" s="1369">
        <v>0</v>
      </c>
      <c r="V1103" s="1369">
        <v>0</v>
      </c>
      <c r="W1103" s="1369">
        <v>0</v>
      </c>
      <c r="X1103" s="1369">
        <v>0</v>
      </c>
      <c r="Y1103" s="1367"/>
      <c r="Z1103" s="1370">
        <v>0</v>
      </c>
      <c r="AA1103" s="1370">
        <v>0</v>
      </c>
      <c r="AB1103" s="1370">
        <v>0</v>
      </c>
      <c r="AC1103" s="1370">
        <v>0</v>
      </c>
      <c r="AD1103" s="1370">
        <v>0</v>
      </c>
      <c r="AK1103" s="1354">
        <f t="shared" si="359"/>
        <v>0</v>
      </c>
      <c r="AL1103" s="1352">
        <f t="shared" si="385"/>
        <v>53</v>
      </c>
      <c r="AM1103" s="1354">
        <f t="shared" si="386"/>
        <v>0</v>
      </c>
      <c r="AN1103" s="1352" t="str">
        <f t="shared" si="387"/>
        <v>"User Defined" Debt Service Unclassified</v>
      </c>
    </row>
    <row r="1104" spans="1:40" x14ac:dyDescent="0.2">
      <c r="A1104" s="1324" t="s">
        <v>5091</v>
      </c>
      <c r="B1104" s="1324" t="s">
        <v>5778</v>
      </c>
      <c r="C1104" s="1353">
        <f>'Key Metrics'!$C$419</f>
        <v>0</v>
      </c>
      <c r="D1104" s="1353">
        <f>'Key Metrics'!$G$419</f>
        <v>0</v>
      </c>
      <c r="E1104" s="1351">
        <f t="shared" si="377"/>
        <v>0</v>
      </c>
      <c r="F1104" s="1353">
        <f t="shared" si="378"/>
        <v>0</v>
      </c>
      <c r="G1104" s="1353">
        <f t="shared" si="379"/>
        <v>0</v>
      </c>
      <c r="H1104" s="1353">
        <f t="shared" si="380"/>
        <v>0</v>
      </c>
      <c r="I1104" s="1353">
        <f t="shared" si="381"/>
        <v>0</v>
      </c>
      <c r="J1104" s="1353">
        <f t="shared" si="382"/>
        <v>0</v>
      </c>
      <c r="M1104" s="1324" t="str">
        <f t="shared" si="383"/>
        <v>"User Defined" Debt Service Salaries &amp; Wages</v>
      </c>
      <c r="N1104" s="1368">
        <v>0</v>
      </c>
      <c r="O1104" s="1368">
        <f t="shared" si="388"/>
        <v>0</v>
      </c>
      <c r="P1104" s="1368">
        <f t="shared" si="388"/>
        <v>0</v>
      </c>
      <c r="Q1104" s="1368">
        <f t="shared" si="388"/>
        <v>0</v>
      </c>
      <c r="R1104" s="1368">
        <f t="shared" si="388"/>
        <v>0</v>
      </c>
      <c r="T1104" s="1369">
        <v>0</v>
      </c>
      <c r="U1104" s="1369">
        <v>0</v>
      </c>
      <c r="V1104" s="1369">
        <v>0</v>
      </c>
      <c r="W1104" s="1369">
        <v>0</v>
      </c>
      <c r="X1104" s="1369">
        <v>0</v>
      </c>
      <c r="Y1104" s="1367"/>
      <c r="Z1104" s="1370">
        <v>0</v>
      </c>
      <c r="AA1104" s="1370">
        <v>0</v>
      </c>
      <c r="AB1104" s="1370">
        <v>0</v>
      </c>
      <c r="AC1104" s="1370">
        <v>0</v>
      </c>
      <c r="AD1104" s="1370">
        <v>0</v>
      </c>
      <c r="AK1104" s="1354">
        <f t="shared" si="359"/>
        <v>0</v>
      </c>
      <c r="AL1104" s="1352">
        <f t="shared" si="385"/>
        <v>53</v>
      </c>
      <c r="AM1104" s="1354">
        <f t="shared" si="386"/>
        <v>0</v>
      </c>
      <c r="AN1104" s="1352" t="str">
        <f t="shared" si="387"/>
        <v>"User Defined" Debt Service Salaries &amp; Wages</v>
      </c>
    </row>
    <row r="1105" spans="1:40" x14ac:dyDescent="0.2">
      <c r="A1105" s="1324" t="str">
        <f>A1104</f>
        <v>45-943</v>
      </c>
      <c r="B1105" s="1324" t="s">
        <v>6061</v>
      </c>
      <c r="C1105" s="1353">
        <f>'Key Metrics'!$D$419</f>
        <v>0</v>
      </c>
      <c r="D1105" s="1353">
        <f>'Key Metrics'!$H$419</f>
        <v>0</v>
      </c>
      <c r="E1105" s="1351">
        <f t="shared" si="377"/>
        <v>0</v>
      </c>
      <c r="F1105" s="1353">
        <f t="shared" si="378"/>
        <v>0</v>
      </c>
      <c r="G1105" s="1353">
        <f t="shared" si="379"/>
        <v>0</v>
      </c>
      <c r="H1105" s="1353">
        <f t="shared" si="380"/>
        <v>0</v>
      </c>
      <c r="I1105" s="1353">
        <f t="shared" si="381"/>
        <v>0</v>
      </c>
      <c r="J1105" s="1353">
        <f t="shared" si="382"/>
        <v>0</v>
      </c>
      <c r="M1105" s="1324" t="str">
        <f t="shared" si="383"/>
        <v>"User Defined" Debt Service Other Expenses</v>
      </c>
      <c r="N1105" s="1368">
        <v>0</v>
      </c>
      <c r="O1105" s="1368">
        <f t="shared" si="388"/>
        <v>0</v>
      </c>
      <c r="P1105" s="1368">
        <f t="shared" si="388"/>
        <v>0</v>
      </c>
      <c r="Q1105" s="1368">
        <f t="shared" si="388"/>
        <v>0</v>
      </c>
      <c r="R1105" s="1368">
        <f t="shared" si="388"/>
        <v>0</v>
      </c>
      <c r="T1105" s="1369">
        <v>0</v>
      </c>
      <c r="U1105" s="1369">
        <v>0</v>
      </c>
      <c r="V1105" s="1369">
        <v>0</v>
      </c>
      <c r="W1105" s="1369">
        <v>0</v>
      </c>
      <c r="X1105" s="1369">
        <v>0</v>
      </c>
      <c r="Y1105" s="1367"/>
      <c r="Z1105" s="1370">
        <v>0</v>
      </c>
      <c r="AA1105" s="1370">
        <v>0</v>
      </c>
      <c r="AB1105" s="1370">
        <v>0</v>
      </c>
      <c r="AC1105" s="1370">
        <v>0</v>
      </c>
      <c r="AD1105" s="1370">
        <v>0</v>
      </c>
      <c r="AK1105" s="1354">
        <f t="shared" si="359"/>
        <v>0</v>
      </c>
      <c r="AL1105" s="1352">
        <f t="shared" si="385"/>
        <v>53</v>
      </c>
      <c r="AM1105" s="1354">
        <f t="shared" si="386"/>
        <v>0</v>
      </c>
      <c r="AN1105" s="1352" t="str">
        <f t="shared" si="387"/>
        <v>"User Defined" Debt Service Other Expenses</v>
      </c>
    </row>
    <row r="1106" spans="1:40" x14ac:dyDescent="0.2">
      <c r="A1106" s="1324" t="str">
        <f>A1105</f>
        <v>45-943</v>
      </c>
      <c r="B1106" s="1324" t="s">
        <v>6062</v>
      </c>
      <c r="C1106" s="1353">
        <f>'Key Metrics'!$E$419</f>
        <v>0</v>
      </c>
      <c r="D1106" s="1353">
        <f>'Key Metrics'!$I$419</f>
        <v>0</v>
      </c>
      <c r="E1106" s="1351">
        <f t="shared" si="377"/>
        <v>0</v>
      </c>
      <c r="F1106" s="1353">
        <f t="shared" si="378"/>
        <v>0</v>
      </c>
      <c r="G1106" s="1353">
        <f t="shared" si="379"/>
        <v>0</v>
      </c>
      <c r="H1106" s="1353">
        <f t="shared" si="380"/>
        <v>0</v>
      </c>
      <c r="I1106" s="1353">
        <f t="shared" si="381"/>
        <v>0</v>
      </c>
      <c r="J1106" s="1353">
        <f t="shared" si="382"/>
        <v>0</v>
      </c>
      <c r="M1106" s="1324" t="str">
        <f t="shared" si="383"/>
        <v>"User Defined" Debt Service Unclassified</v>
      </c>
      <c r="N1106" s="1368">
        <v>0</v>
      </c>
      <c r="O1106" s="1368">
        <f t="shared" si="388"/>
        <v>0</v>
      </c>
      <c r="P1106" s="1368">
        <f t="shared" si="388"/>
        <v>0</v>
      </c>
      <c r="Q1106" s="1368">
        <f t="shared" si="388"/>
        <v>0</v>
      </c>
      <c r="R1106" s="1368">
        <f t="shared" si="388"/>
        <v>0</v>
      </c>
      <c r="T1106" s="1369">
        <v>0</v>
      </c>
      <c r="U1106" s="1369">
        <v>0</v>
      </c>
      <c r="V1106" s="1369">
        <v>0</v>
      </c>
      <c r="W1106" s="1369">
        <v>0</v>
      </c>
      <c r="X1106" s="1369">
        <v>0</v>
      </c>
      <c r="Y1106" s="1367"/>
      <c r="Z1106" s="1370">
        <v>0</v>
      </c>
      <c r="AA1106" s="1370">
        <v>0</v>
      </c>
      <c r="AB1106" s="1370">
        <v>0</v>
      </c>
      <c r="AC1106" s="1370">
        <v>0</v>
      </c>
      <c r="AD1106" s="1370">
        <v>0</v>
      </c>
      <c r="AK1106" s="1354">
        <f t="shared" si="359"/>
        <v>0</v>
      </c>
      <c r="AL1106" s="1352">
        <f t="shared" si="385"/>
        <v>53</v>
      </c>
      <c r="AM1106" s="1354">
        <f t="shared" si="386"/>
        <v>0</v>
      </c>
      <c r="AN1106" s="1352" t="str">
        <f t="shared" si="387"/>
        <v>"User Defined" Debt Service Unclassified</v>
      </c>
    </row>
    <row r="1107" spans="1:40" x14ac:dyDescent="0.2">
      <c r="A1107" s="1324" t="s">
        <v>5098</v>
      </c>
      <c r="B1107" s="1324" t="s">
        <v>5778</v>
      </c>
      <c r="C1107" s="1353">
        <f>'Key Metrics'!$C$420</f>
        <v>0</v>
      </c>
      <c r="D1107" s="1353">
        <f>'Key Metrics'!$G$420</f>
        <v>0</v>
      </c>
      <c r="E1107" s="1351">
        <f t="shared" si="377"/>
        <v>0</v>
      </c>
      <c r="F1107" s="1353">
        <f t="shared" si="378"/>
        <v>0</v>
      </c>
      <c r="G1107" s="1353">
        <f t="shared" si="379"/>
        <v>0</v>
      </c>
      <c r="H1107" s="1353">
        <f t="shared" si="380"/>
        <v>0</v>
      </c>
      <c r="I1107" s="1353">
        <f t="shared" si="381"/>
        <v>0</v>
      </c>
      <c r="J1107" s="1353">
        <f t="shared" si="382"/>
        <v>0</v>
      </c>
      <c r="M1107" s="1324" t="str">
        <f t="shared" si="383"/>
        <v>"User Defined" Debt Service Salaries &amp; Wages</v>
      </c>
      <c r="N1107" s="1368">
        <v>0</v>
      </c>
      <c r="O1107" s="1368">
        <f t="shared" si="388"/>
        <v>0</v>
      </c>
      <c r="P1107" s="1368">
        <f t="shared" si="388"/>
        <v>0</v>
      </c>
      <c r="Q1107" s="1368">
        <f t="shared" si="388"/>
        <v>0</v>
      </c>
      <c r="R1107" s="1368">
        <f t="shared" si="388"/>
        <v>0</v>
      </c>
      <c r="T1107" s="1369">
        <v>0</v>
      </c>
      <c r="U1107" s="1369">
        <v>0</v>
      </c>
      <c r="V1107" s="1369">
        <v>0</v>
      </c>
      <c r="W1107" s="1369">
        <v>0</v>
      </c>
      <c r="X1107" s="1369">
        <v>0</v>
      </c>
      <c r="Y1107" s="1367"/>
      <c r="Z1107" s="1370">
        <v>0</v>
      </c>
      <c r="AA1107" s="1370">
        <v>0</v>
      </c>
      <c r="AB1107" s="1370">
        <v>0</v>
      </c>
      <c r="AC1107" s="1370">
        <v>0</v>
      </c>
      <c r="AD1107" s="1370">
        <v>0</v>
      </c>
      <c r="AK1107" s="1354">
        <f t="shared" si="359"/>
        <v>0</v>
      </c>
      <c r="AL1107" s="1352">
        <f t="shared" si="385"/>
        <v>53</v>
      </c>
      <c r="AM1107" s="1354">
        <f t="shared" si="386"/>
        <v>0</v>
      </c>
      <c r="AN1107" s="1352" t="str">
        <f t="shared" si="387"/>
        <v>"User Defined" Debt Service Salaries &amp; Wages</v>
      </c>
    </row>
    <row r="1108" spans="1:40" x14ac:dyDescent="0.2">
      <c r="A1108" s="1324" t="str">
        <f>A1107</f>
        <v>45-944</v>
      </c>
      <c r="B1108" s="1324" t="s">
        <v>6061</v>
      </c>
      <c r="C1108" s="1353">
        <f>'Key Metrics'!$D$420</f>
        <v>0</v>
      </c>
      <c r="D1108" s="1353">
        <f>'Key Metrics'!$H$420</f>
        <v>0</v>
      </c>
      <c r="E1108" s="1351">
        <f t="shared" si="377"/>
        <v>0</v>
      </c>
      <c r="F1108" s="1353">
        <f t="shared" si="378"/>
        <v>0</v>
      </c>
      <c r="G1108" s="1353">
        <f t="shared" si="379"/>
        <v>0</v>
      </c>
      <c r="H1108" s="1353">
        <f t="shared" si="380"/>
        <v>0</v>
      </c>
      <c r="I1108" s="1353">
        <f t="shared" si="381"/>
        <v>0</v>
      </c>
      <c r="J1108" s="1353">
        <f t="shared" si="382"/>
        <v>0</v>
      </c>
      <c r="M1108" s="1324" t="str">
        <f t="shared" si="383"/>
        <v>"User Defined" Debt Service Other Expenses</v>
      </c>
      <c r="N1108" s="1368">
        <v>0</v>
      </c>
      <c r="O1108" s="1368">
        <f t="shared" si="388"/>
        <v>0</v>
      </c>
      <c r="P1108" s="1368">
        <f t="shared" si="388"/>
        <v>0</v>
      </c>
      <c r="Q1108" s="1368">
        <f t="shared" si="388"/>
        <v>0</v>
      </c>
      <c r="R1108" s="1368">
        <f t="shared" si="388"/>
        <v>0</v>
      </c>
      <c r="T1108" s="1369">
        <v>0</v>
      </c>
      <c r="U1108" s="1369">
        <v>0</v>
      </c>
      <c r="V1108" s="1369">
        <v>0</v>
      </c>
      <c r="W1108" s="1369">
        <v>0</v>
      </c>
      <c r="X1108" s="1369">
        <v>0</v>
      </c>
      <c r="Y1108" s="1367"/>
      <c r="Z1108" s="1370">
        <v>0</v>
      </c>
      <c r="AA1108" s="1370">
        <v>0</v>
      </c>
      <c r="AB1108" s="1370">
        <v>0</v>
      </c>
      <c r="AC1108" s="1370">
        <v>0</v>
      </c>
      <c r="AD1108" s="1370">
        <v>0</v>
      </c>
      <c r="AK1108" s="1354">
        <f t="shared" ref="AK1108:AK1171" si="389">SUM(C1108:D1108,F1108:J1108)</f>
        <v>0</v>
      </c>
      <c r="AL1108" s="1352">
        <f t="shared" si="385"/>
        <v>53</v>
      </c>
      <c r="AM1108" s="1354">
        <f t="shared" si="386"/>
        <v>0</v>
      </c>
      <c r="AN1108" s="1352" t="str">
        <f t="shared" si="387"/>
        <v>"User Defined" Debt Service Other Expenses</v>
      </c>
    </row>
    <row r="1109" spans="1:40" x14ac:dyDescent="0.2">
      <c r="A1109" s="1324" t="str">
        <f>A1108</f>
        <v>45-944</v>
      </c>
      <c r="B1109" s="1324" t="s">
        <v>6062</v>
      </c>
      <c r="C1109" s="1353">
        <f>'Key Metrics'!$E$420</f>
        <v>0</v>
      </c>
      <c r="D1109" s="1353">
        <f>'Key Metrics'!$I$420</f>
        <v>0</v>
      </c>
      <c r="E1109" s="1351">
        <f t="shared" si="377"/>
        <v>0</v>
      </c>
      <c r="F1109" s="1353">
        <f t="shared" si="378"/>
        <v>0</v>
      </c>
      <c r="G1109" s="1353">
        <f t="shared" si="379"/>
        <v>0</v>
      </c>
      <c r="H1109" s="1353">
        <f t="shared" si="380"/>
        <v>0</v>
      </c>
      <c r="I1109" s="1353">
        <f t="shared" si="381"/>
        <v>0</v>
      </c>
      <c r="J1109" s="1353">
        <f t="shared" si="382"/>
        <v>0</v>
      </c>
      <c r="M1109" s="1324" t="str">
        <f t="shared" si="383"/>
        <v>"User Defined" Debt Service Unclassified</v>
      </c>
      <c r="N1109" s="1368">
        <v>0</v>
      </c>
      <c r="O1109" s="1368">
        <f t="shared" si="388"/>
        <v>0</v>
      </c>
      <c r="P1109" s="1368">
        <f t="shared" si="388"/>
        <v>0</v>
      </c>
      <c r="Q1109" s="1368">
        <f t="shared" si="388"/>
        <v>0</v>
      </c>
      <c r="R1109" s="1368">
        <f t="shared" si="388"/>
        <v>0</v>
      </c>
      <c r="T1109" s="1369">
        <v>0</v>
      </c>
      <c r="U1109" s="1369">
        <v>0</v>
      </c>
      <c r="V1109" s="1369">
        <v>0</v>
      </c>
      <c r="W1109" s="1369">
        <v>0</v>
      </c>
      <c r="X1109" s="1369">
        <v>0</v>
      </c>
      <c r="Y1109" s="1367"/>
      <c r="Z1109" s="1370">
        <v>0</v>
      </c>
      <c r="AA1109" s="1370">
        <v>0</v>
      </c>
      <c r="AB1109" s="1370">
        <v>0</v>
      </c>
      <c r="AC1109" s="1370">
        <v>0</v>
      </c>
      <c r="AD1109" s="1370">
        <v>0</v>
      </c>
      <c r="AK1109" s="1354">
        <f t="shared" si="389"/>
        <v>0</v>
      </c>
      <c r="AL1109" s="1352">
        <f t="shared" si="385"/>
        <v>53</v>
      </c>
      <c r="AM1109" s="1354">
        <f t="shared" si="386"/>
        <v>0</v>
      </c>
      <c r="AN1109" s="1352" t="str">
        <f t="shared" si="387"/>
        <v>"User Defined" Debt Service Unclassified</v>
      </c>
    </row>
    <row r="1110" spans="1:40" x14ac:dyDescent="0.2">
      <c r="B1110" s="1373" t="s">
        <v>5638</v>
      </c>
      <c r="C1110" s="1360">
        <f>SUM(C1083:C1109)</f>
        <v>0</v>
      </c>
      <c r="D1110" s="1360">
        <f>SUM(D1083:D1109)</f>
        <v>0</v>
      </c>
      <c r="E1110" s="1356">
        <f t="shared" si="377"/>
        <v>0</v>
      </c>
      <c r="F1110" s="1360">
        <f>SUM(F1083:F1109)</f>
        <v>0</v>
      </c>
      <c r="G1110" s="1360">
        <f>SUM(G1083:G1109)</f>
        <v>0</v>
      </c>
      <c r="H1110" s="1360">
        <f>SUM(H1083:H1109)</f>
        <v>0</v>
      </c>
      <c r="I1110" s="1360">
        <f>SUM(I1083:I1109)</f>
        <v>0</v>
      </c>
      <c r="J1110" s="1360">
        <f>SUM(J1083:J1109)</f>
        <v>0</v>
      </c>
      <c r="N1110" s="1328"/>
      <c r="O1110" s="1328"/>
      <c r="P1110" s="1328"/>
      <c r="Q1110" s="1328"/>
      <c r="R1110" s="1328"/>
      <c r="T1110" s="1371"/>
      <c r="U1110" s="1371"/>
      <c r="V1110" s="1371"/>
      <c r="W1110" s="1371"/>
      <c r="X1110" s="1371"/>
      <c r="Y1110" s="1367"/>
      <c r="Z1110" s="1372"/>
      <c r="AA1110" s="1372"/>
      <c r="AB1110" s="1372"/>
      <c r="AC1110" s="1372"/>
      <c r="AD1110" s="1372"/>
      <c r="AK1110" s="1354"/>
      <c r="AL1110" s="1352"/>
      <c r="AM1110" s="1354"/>
      <c r="AN1110" s="1352"/>
    </row>
    <row r="1111" spans="1:40" x14ac:dyDescent="0.2">
      <c r="E1111" s="1351"/>
      <c r="N1111" s="1328"/>
      <c r="O1111" s="1328"/>
      <c r="P1111" s="1328"/>
      <c r="Q1111" s="1328"/>
      <c r="R1111" s="1328"/>
      <c r="T1111" s="1371"/>
      <c r="U1111" s="1371"/>
      <c r="V1111" s="1371"/>
      <c r="W1111" s="1371"/>
      <c r="X1111" s="1371"/>
      <c r="Y1111" s="1367"/>
      <c r="Z1111" s="1372"/>
      <c r="AA1111" s="1372"/>
      <c r="AB1111" s="1372"/>
      <c r="AC1111" s="1372"/>
      <c r="AD1111" s="1372"/>
      <c r="AK1111" s="1354"/>
      <c r="AL1111" s="1352"/>
      <c r="AM1111" s="1354"/>
      <c r="AN1111" s="1352"/>
    </row>
    <row r="1112" spans="1:40" ht="15" x14ac:dyDescent="0.25">
      <c r="A1112" s="1364" t="s">
        <v>5453</v>
      </c>
      <c r="B1112" s="1365"/>
      <c r="C1112" s="1365"/>
      <c r="D1112" s="1365"/>
      <c r="E1112" s="1380"/>
      <c r="F1112" s="1365"/>
      <c r="G1112" s="1365"/>
      <c r="H1112" s="1365"/>
      <c r="I1112" s="1365"/>
      <c r="J1112" s="1365"/>
      <c r="M1112" s="1381" t="str">
        <f>A1112</f>
        <v>Deferred Charges and Emergencies</v>
      </c>
      <c r="N1112" s="1364"/>
      <c r="O1112" s="1364"/>
      <c r="P1112" s="1364"/>
      <c r="Q1112" s="1364"/>
      <c r="R1112" s="1364"/>
      <c r="S1112" s="1365"/>
      <c r="T1112" s="1389"/>
      <c r="U1112" s="1389"/>
      <c r="V1112" s="1389"/>
      <c r="W1112" s="1389"/>
      <c r="X1112" s="1389"/>
      <c r="Y1112" s="1390"/>
      <c r="Z1112" s="1391"/>
      <c r="AA1112" s="1391"/>
      <c r="AB1112" s="1391"/>
      <c r="AC1112" s="1391"/>
      <c r="AD1112" s="1391"/>
      <c r="AK1112" s="1354"/>
      <c r="AL1112" s="1352"/>
      <c r="AM1112" s="1354"/>
      <c r="AN1112" s="1352"/>
    </row>
    <row r="1113" spans="1:40" x14ac:dyDescent="0.2">
      <c r="A1113" s="1324" t="s">
        <v>540</v>
      </c>
      <c r="B1113" s="1324" t="s">
        <v>5779</v>
      </c>
      <c r="C1113" s="1353">
        <f>'Key Metrics'!$C$424</f>
        <v>0</v>
      </c>
      <c r="D1113" s="1353">
        <f>'Key Metrics'!$G$424</f>
        <v>0</v>
      </c>
      <c r="E1113" s="1351">
        <f t="shared" ref="E1113:E1152" si="390">IFERROR(D1113/C1113-1,0)</f>
        <v>0</v>
      </c>
      <c r="F1113" s="1353">
        <f t="shared" ref="F1113:F1151" si="391">IFERROR(IF($I$3=1,D1113*(1+N1113),IF($I$3=2,D1113*(1+T1113),IF($I$3=3,Z1113,"--"))),0)</f>
        <v>0</v>
      </c>
      <c r="G1113" s="1353">
        <f t="shared" ref="G1113:G1151" si="392">IFERROR(IF($I$3=1,F1113*(1+O1113),IF($I$3=2,F1113*(1+U1113),IF($I$3=3,AA1113,"--"))),0)</f>
        <v>0</v>
      </c>
      <c r="H1113" s="1353">
        <f t="shared" ref="H1113:H1151" si="393">IFERROR(IF($I$3=1,G1113*(1+P1113),IF($I$3=2,G1113*(1+V1113),IF($I$3=3,AB1113,"--"))),0)</f>
        <v>0</v>
      </c>
      <c r="I1113" s="1353">
        <f t="shared" ref="I1113:I1151" si="394">IFERROR(IF($I$3=1,H1113*(1+Q1113),IF($I$3=2,H1113*(1+W1113),IF($I$3=3,AC1113,"--"))),0)</f>
        <v>0</v>
      </c>
      <c r="J1113" s="1353">
        <f t="shared" ref="J1113:J1151" si="395">IFERROR(IF($I$3=1,I1113*(1+R1113),IF($I$3=2,I1113*(1+X1113),IF($I$3=3,AD1113,"--"))),0)</f>
        <v>0</v>
      </c>
      <c r="M1113" s="1324" t="str">
        <f t="shared" ref="M1113:M1151" si="396">B1113</f>
        <v>Cash Deficit of Preceding Year (Inside or Outside CAP) Salaries &amp; Wages</v>
      </c>
      <c r="N1113" s="1368">
        <v>0</v>
      </c>
      <c r="O1113" s="1368">
        <f t="shared" ref="O1113:R1128" si="397">N1113</f>
        <v>0</v>
      </c>
      <c r="P1113" s="1368">
        <f t="shared" si="397"/>
        <v>0</v>
      </c>
      <c r="Q1113" s="1368">
        <f t="shared" si="397"/>
        <v>0</v>
      </c>
      <c r="R1113" s="1368">
        <f t="shared" si="397"/>
        <v>0</v>
      </c>
      <c r="T1113" s="1369">
        <v>0</v>
      </c>
      <c r="U1113" s="1369">
        <v>0</v>
      </c>
      <c r="V1113" s="1369">
        <v>0</v>
      </c>
      <c r="W1113" s="1369">
        <v>0</v>
      </c>
      <c r="X1113" s="1369">
        <v>0</v>
      </c>
      <c r="Y1113" s="1367"/>
      <c r="Z1113" s="1370">
        <v>0</v>
      </c>
      <c r="AA1113" s="1370">
        <v>0</v>
      </c>
      <c r="AB1113" s="1370">
        <v>0</v>
      </c>
      <c r="AC1113" s="1370">
        <v>0</v>
      </c>
      <c r="AD1113" s="1370">
        <v>0</v>
      </c>
      <c r="AK1113" s="1354">
        <f t="shared" si="389"/>
        <v>0</v>
      </c>
      <c r="AL1113" s="1352">
        <f t="shared" ref="AL1113:AL1151" si="398">RANK(AM1113,$AM$504:$AM$1172,0)</f>
        <v>53</v>
      </c>
      <c r="AM1113" s="1354">
        <f t="shared" si="386"/>
        <v>0</v>
      </c>
      <c r="AN1113" s="1352" t="str">
        <f t="shared" si="387"/>
        <v>Cash Deficit of Preceding Year (Inside or Outside CAP) Salaries &amp; Wages</v>
      </c>
    </row>
    <row r="1114" spans="1:40" x14ac:dyDescent="0.2">
      <c r="A1114" s="1324" t="str">
        <f>A1113</f>
        <v>46-855</v>
      </c>
      <c r="B1114" s="1324" t="s">
        <v>6063</v>
      </c>
      <c r="C1114" s="1353">
        <f>'Key Metrics'!$D$424</f>
        <v>0</v>
      </c>
      <c r="D1114" s="1353">
        <f>'Key Metrics'!$H$424</f>
        <v>0</v>
      </c>
      <c r="E1114" s="1351">
        <f t="shared" si="390"/>
        <v>0</v>
      </c>
      <c r="F1114" s="1353">
        <f t="shared" si="391"/>
        <v>0</v>
      </c>
      <c r="G1114" s="1353">
        <f t="shared" si="392"/>
        <v>0</v>
      </c>
      <c r="H1114" s="1353">
        <f t="shared" si="393"/>
        <v>0</v>
      </c>
      <c r="I1114" s="1353">
        <f t="shared" si="394"/>
        <v>0</v>
      </c>
      <c r="J1114" s="1353">
        <f t="shared" si="395"/>
        <v>0</v>
      </c>
      <c r="M1114" s="1324" t="str">
        <f t="shared" si="396"/>
        <v>Cash Deficit of Preceding Year (Inside or Outside CAP) Other Expenses</v>
      </c>
      <c r="N1114" s="1368">
        <v>0</v>
      </c>
      <c r="O1114" s="1368">
        <f t="shared" si="397"/>
        <v>0</v>
      </c>
      <c r="P1114" s="1368">
        <f t="shared" si="397"/>
        <v>0</v>
      </c>
      <c r="Q1114" s="1368">
        <f t="shared" si="397"/>
        <v>0</v>
      </c>
      <c r="R1114" s="1368">
        <f t="shared" si="397"/>
        <v>0</v>
      </c>
      <c r="T1114" s="1369">
        <v>0</v>
      </c>
      <c r="U1114" s="1369">
        <v>0</v>
      </c>
      <c r="V1114" s="1369">
        <v>0</v>
      </c>
      <c r="W1114" s="1369">
        <v>0</v>
      </c>
      <c r="X1114" s="1369">
        <v>0</v>
      </c>
      <c r="Y1114" s="1367"/>
      <c r="Z1114" s="1370">
        <v>0</v>
      </c>
      <c r="AA1114" s="1370">
        <v>0</v>
      </c>
      <c r="AB1114" s="1370">
        <v>0</v>
      </c>
      <c r="AC1114" s="1370">
        <v>0</v>
      </c>
      <c r="AD1114" s="1370">
        <v>0</v>
      </c>
      <c r="AK1114" s="1354">
        <f t="shared" si="389"/>
        <v>0</v>
      </c>
      <c r="AL1114" s="1352">
        <f t="shared" si="398"/>
        <v>53</v>
      </c>
      <c r="AM1114" s="1354">
        <f t="shared" si="386"/>
        <v>0</v>
      </c>
      <c r="AN1114" s="1352" t="str">
        <f t="shared" si="387"/>
        <v>Cash Deficit of Preceding Year (Inside or Outside CAP) Other Expenses</v>
      </c>
    </row>
    <row r="1115" spans="1:40" x14ac:dyDescent="0.2">
      <c r="A1115" s="1324" t="str">
        <f>A1114</f>
        <v>46-855</v>
      </c>
      <c r="B1115" s="1324" t="s">
        <v>6064</v>
      </c>
      <c r="C1115" s="1353">
        <f>'Key Metrics'!$E$424</f>
        <v>0</v>
      </c>
      <c r="D1115" s="1353">
        <f>'Key Metrics'!$I$424</f>
        <v>0</v>
      </c>
      <c r="E1115" s="1351">
        <f t="shared" si="390"/>
        <v>0</v>
      </c>
      <c r="F1115" s="1353">
        <f t="shared" si="391"/>
        <v>0</v>
      </c>
      <c r="G1115" s="1353">
        <f t="shared" si="392"/>
        <v>0</v>
      </c>
      <c r="H1115" s="1353">
        <f t="shared" si="393"/>
        <v>0</v>
      </c>
      <c r="I1115" s="1353">
        <f t="shared" si="394"/>
        <v>0</v>
      </c>
      <c r="J1115" s="1353">
        <f t="shared" si="395"/>
        <v>0</v>
      </c>
      <c r="M1115" s="1324" t="str">
        <f t="shared" si="396"/>
        <v>Cash Deficit of Preceding Year (Inside or Outside CAP) Unclassified</v>
      </c>
      <c r="N1115" s="1368">
        <v>0</v>
      </c>
      <c r="O1115" s="1368">
        <f t="shared" si="397"/>
        <v>0</v>
      </c>
      <c r="P1115" s="1368">
        <f t="shared" si="397"/>
        <v>0</v>
      </c>
      <c r="Q1115" s="1368">
        <f t="shared" si="397"/>
        <v>0</v>
      </c>
      <c r="R1115" s="1368">
        <f t="shared" si="397"/>
        <v>0</v>
      </c>
      <c r="T1115" s="1369">
        <v>0</v>
      </c>
      <c r="U1115" s="1369">
        <v>0</v>
      </c>
      <c r="V1115" s="1369">
        <v>0</v>
      </c>
      <c r="W1115" s="1369">
        <v>0</v>
      </c>
      <c r="X1115" s="1369">
        <v>0</v>
      </c>
      <c r="Y1115" s="1367"/>
      <c r="Z1115" s="1370">
        <v>0</v>
      </c>
      <c r="AA1115" s="1370">
        <v>0</v>
      </c>
      <c r="AB1115" s="1370">
        <v>0</v>
      </c>
      <c r="AC1115" s="1370">
        <v>0</v>
      </c>
      <c r="AD1115" s="1370">
        <v>0</v>
      </c>
      <c r="AK1115" s="1354">
        <f t="shared" si="389"/>
        <v>0</v>
      </c>
      <c r="AL1115" s="1352">
        <f t="shared" si="398"/>
        <v>53</v>
      </c>
      <c r="AM1115" s="1354">
        <f t="shared" si="386"/>
        <v>0</v>
      </c>
      <c r="AN1115" s="1352" t="str">
        <f t="shared" si="387"/>
        <v>Cash Deficit of Preceding Year (Inside or Outside CAP) Unclassified</v>
      </c>
    </row>
    <row r="1116" spans="1:40" x14ac:dyDescent="0.2">
      <c r="A1116" s="1324" t="s">
        <v>5083</v>
      </c>
      <c r="B1116" s="1324" t="s">
        <v>5780</v>
      </c>
      <c r="C1116" s="1353">
        <f>'Key Metrics'!$C$426</f>
        <v>0</v>
      </c>
      <c r="D1116" s="1353">
        <f>'Key Metrics'!$G$426</f>
        <v>0</v>
      </c>
      <c r="E1116" s="1351">
        <f t="shared" si="390"/>
        <v>0</v>
      </c>
      <c r="F1116" s="1353">
        <f t="shared" si="391"/>
        <v>0</v>
      </c>
      <c r="G1116" s="1353">
        <f t="shared" si="392"/>
        <v>0</v>
      </c>
      <c r="H1116" s="1353">
        <f t="shared" si="393"/>
        <v>0</v>
      </c>
      <c r="I1116" s="1353">
        <f t="shared" si="394"/>
        <v>0</v>
      </c>
      <c r="J1116" s="1353">
        <f t="shared" si="395"/>
        <v>0</v>
      </c>
      <c r="M1116" s="1324" t="str">
        <f t="shared" si="396"/>
        <v>"User Defined" Deferred Charge (In CAP) Salaries &amp; Wages</v>
      </c>
      <c r="N1116" s="1368">
        <v>0</v>
      </c>
      <c r="O1116" s="1368">
        <f t="shared" si="397"/>
        <v>0</v>
      </c>
      <c r="P1116" s="1368">
        <f t="shared" si="397"/>
        <v>0</v>
      </c>
      <c r="Q1116" s="1368">
        <f t="shared" si="397"/>
        <v>0</v>
      </c>
      <c r="R1116" s="1368">
        <f t="shared" si="397"/>
        <v>0</v>
      </c>
      <c r="T1116" s="1369">
        <v>0</v>
      </c>
      <c r="U1116" s="1369">
        <v>0</v>
      </c>
      <c r="V1116" s="1369">
        <v>0</v>
      </c>
      <c r="W1116" s="1369">
        <v>0</v>
      </c>
      <c r="X1116" s="1369">
        <v>0</v>
      </c>
      <c r="Y1116" s="1367"/>
      <c r="Z1116" s="1370">
        <v>0</v>
      </c>
      <c r="AA1116" s="1370">
        <v>0</v>
      </c>
      <c r="AB1116" s="1370">
        <v>0</v>
      </c>
      <c r="AC1116" s="1370">
        <v>0</v>
      </c>
      <c r="AD1116" s="1370">
        <v>0</v>
      </c>
      <c r="AK1116" s="1354">
        <f t="shared" si="389"/>
        <v>0</v>
      </c>
      <c r="AL1116" s="1352">
        <f t="shared" si="398"/>
        <v>53</v>
      </c>
      <c r="AM1116" s="1354">
        <f t="shared" si="386"/>
        <v>0</v>
      </c>
      <c r="AN1116" s="1352" t="str">
        <f t="shared" si="387"/>
        <v>"User Defined" Deferred Charge (In CAP) Salaries &amp; Wages</v>
      </c>
    </row>
    <row r="1117" spans="1:40" x14ac:dyDescent="0.2">
      <c r="A1117" s="1324" t="str">
        <f>A1116</f>
        <v>46-860</v>
      </c>
      <c r="B1117" s="1324" t="s">
        <v>6065</v>
      </c>
      <c r="C1117" s="1353">
        <f>'Key Metrics'!$D$426</f>
        <v>0</v>
      </c>
      <c r="D1117" s="1353">
        <f>'Key Metrics'!$H$426</f>
        <v>0</v>
      </c>
      <c r="E1117" s="1351">
        <f t="shared" si="390"/>
        <v>0</v>
      </c>
      <c r="F1117" s="1353">
        <f t="shared" si="391"/>
        <v>0</v>
      </c>
      <c r="G1117" s="1353">
        <f t="shared" si="392"/>
        <v>0</v>
      </c>
      <c r="H1117" s="1353">
        <f t="shared" si="393"/>
        <v>0</v>
      </c>
      <c r="I1117" s="1353">
        <f t="shared" si="394"/>
        <v>0</v>
      </c>
      <c r="J1117" s="1353">
        <f t="shared" si="395"/>
        <v>0</v>
      </c>
      <c r="M1117" s="1324" t="str">
        <f t="shared" si="396"/>
        <v>"User Defined" Deferred Charge (In CAP) Other Expenses</v>
      </c>
      <c r="N1117" s="1368">
        <v>0</v>
      </c>
      <c r="O1117" s="1368">
        <f t="shared" si="397"/>
        <v>0</v>
      </c>
      <c r="P1117" s="1368">
        <f t="shared" si="397"/>
        <v>0</v>
      </c>
      <c r="Q1117" s="1368">
        <f t="shared" si="397"/>
        <v>0</v>
      </c>
      <c r="R1117" s="1368">
        <f t="shared" si="397"/>
        <v>0</v>
      </c>
      <c r="T1117" s="1369">
        <v>0</v>
      </c>
      <c r="U1117" s="1369">
        <v>0</v>
      </c>
      <c r="V1117" s="1369">
        <v>0</v>
      </c>
      <c r="W1117" s="1369">
        <v>0</v>
      </c>
      <c r="X1117" s="1369">
        <v>0</v>
      </c>
      <c r="Y1117" s="1367"/>
      <c r="Z1117" s="1370">
        <v>0</v>
      </c>
      <c r="AA1117" s="1370">
        <v>0</v>
      </c>
      <c r="AB1117" s="1370">
        <v>0</v>
      </c>
      <c r="AC1117" s="1370">
        <v>0</v>
      </c>
      <c r="AD1117" s="1370">
        <v>0</v>
      </c>
      <c r="AK1117" s="1354">
        <f t="shared" si="389"/>
        <v>0</v>
      </c>
      <c r="AL1117" s="1352">
        <f t="shared" si="398"/>
        <v>53</v>
      </c>
      <c r="AM1117" s="1354">
        <f t="shared" si="386"/>
        <v>0</v>
      </c>
      <c r="AN1117" s="1352" t="str">
        <f t="shared" si="387"/>
        <v>"User Defined" Deferred Charge (In CAP) Other Expenses</v>
      </c>
    </row>
    <row r="1118" spans="1:40" x14ac:dyDescent="0.2">
      <c r="A1118" s="1324" t="str">
        <f>A1117</f>
        <v>46-860</v>
      </c>
      <c r="B1118" s="1324" t="s">
        <v>6066</v>
      </c>
      <c r="C1118" s="1353">
        <f>'Key Metrics'!$E$426</f>
        <v>0</v>
      </c>
      <c r="D1118" s="1353">
        <f>'Key Metrics'!$I$426</f>
        <v>0</v>
      </c>
      <c r="E1118" s="1351">
        <f t="shared" si="390"/>
        <v>0</v>
      </c>
      <c r="F1118" s="1353">
        <f t="shared" si="391"/>
        <v>0</v>
      </c>
      <c r="G1118" s="1353">
        <f t="shared" si="392"/>
        <v>0</v>
      </c>
      <c r="H1118" s="1353">
        <f t="shared" si="393"/>
        <v>0</v>
      </c>
      <c r="I1118" s="1353">
        <f t="shared" si="394"/>
        <v>0</v>
      </c>
      <c r="J1118" s="1353">
        <f t="shared" si="395"/>
        <v>0</v>
      </c>
      <c r="M1118" s="1324" t="str">
        <f t="shared" si="396"/>
        <v>"User Defined" Deferred Charge (In CAP) Unclassified</v>
      </c>
      <c r="N1118" s="1368">
        <v>0</v>
      </c>
      <c r="O1118" s="1368">
        <f t="shared" si="397"/>
        <v>0</v>
      </c>
      <c r="P1118" s="1368">
        <f t="shared" si="397"/>
        <v>0</v>
      </c>
      <c r="Q1118" s="1368">
        <f t="shared" si="397"/>
        <v>0</v>
      </c>
      <c r="R1118" s="1368">
        <f t="shared" si="397"/>
        <v>0</v>
      </c>
      <c r="T1118" s="1369">
        <v>0</v>
      </c>
      <c r="U1118" s="1369">
        <v>0</v>
      </c>
      <c r="V1118" s="1369">
        <v>0</v>
      </c>
      <c r="W1118" s="1369">
        <v>0</v>
      </c>
      <c r="X1118" s="1369">
        <v>0</v>
      </c>
      <c r="Y1118" s="1367"/>
      <c r="Z1118" s="1370">
        <v>0</v>
      </c>
      <c r="AA1118" s="1370">
        <v>0</v>
      </c>
      <c r="AB1118" s="1370">
        <v>0</v>
      </c>
      <c r="AC1118" s="1370">
        <v>0</v>
      </c>
      <c r="AD1118" s="1370">
        <v>0</v>
      </c>
      <c r="AK1118" s="1354">
        <f t="shared" si="389"/>
        <v>0</v>
      </c>
      <c r="AL1118" s="1352">
        <f t="shared" si="398"/>
        <v>53</v>
      </c>
      <c r="AM1118" s="1354">
        <f t="shared" si="386"/>
        <v>0</v>
      </c>
      <c r="AN1118" s="1352" t="str">
        <f t="shared" si="387"/>
        <v>"User Defined" Deferred Charge (In CAP) Unclassified</v>
      </c>
    </row>
    <row r="1119" spans="1:40" x14ac:dyDescent="0.2">
      <c r="A1119" s="1324" t="s">
        <v>5290</v>
      </c>
      <c r="B1119" s="1324" t="s">
        <v>5780</v>
      </c>
      <c r="C1119" s="1353">
        <f>'Key Metrics'!$C$427</f>
        <v>0</v>
      </c>
      <c r="D1119" s="1353">
        <f>'Key Metrics'!$G$427</f>
        <v>0</v>
      </c>
      <c r="E1119" s="1351">
        <f t="shared" si="390"/>
        <v>0</v>
      </c>
      <c r="F1119" s="1353">
        <f t="shared" si="391"/>
        <v>0</v>
      </c>
      <c r="G1119" s="1353">
        <f t="shared" si="392"/>
        <v>0</v>
      </c>
      <c r="H1119" s="1353">
        <f t="shared" si="393"/>
        <v>0</v>
      </c>
      <c r="I1119" s="1353">
        <f t="shared" si="394"/>
        <v>0</v>
      </c>
      <c r="J1119" s="1353">
        <f t="shared" si="395"/>
        <v>0</v>
      </c>
      <c r="M1119" s="1324" t="str">
        <f t="shared" si="396"/>
        <v>"User Defined" Deferred Charge (In CAP) Salaries &amp; Wages</v>
      </c>
      <c r="N1119" s="1368">
        <v>0</v>
      </c>
      <c r="O1119" s="1368">
        <f t="shared" si="397"/>
        <v>0</v>
      </c>
      <c r="P1119" s="1368">
        <f t="shared" si="397"/>
        <v>0</v>
      </c>
      <c r="Q1119" s="1368">
        <f t="shared" si="397"/>
        <v>0</v>
      </c>
      <c r="R1119" s="1368">
        <f t="shared" si="397"/>
        <v>0</v>
      </c>
      <c r="T1119" s="1369">
        <v>0</v>
      </c>
      <c r="U1119" s="1369">
        <v>0</v>
      </c>
      <c r="V1119" s="1369">
        <v>0</v>
      </c>
      <c r="W1119" s="1369">
        <v>0</v>
      </c>
      <c r="X1119" s="1369">
        <v>0</v>
      </c>
      <c r="Y1119" s="1367"/>
      <c r="Z1119" s="1370">
        <v>0</v>
      </c>
      <c r="AA1119" s="1370">
        <v>0</v>
      </c>
      <c r="AB1119" s="1370">
        <v>0</v>
      </c>
      <c r="AC1119" s="1370">
        <v>0</v>
      </c>
      <c r="AD1119" s="1370">
        <v>0</v>
      </c>
      <c r="AK1119" s="1354">
        <f t="shared" si="389"/>
        <v>0</v>
      </c>
      <c r="AL1119" s="1352">
        <f t="shared" si="398"/>
        <v>53</v>
      </c>
      <c r="AM1119" s="1354">
        <f t="shared" si="386"/>
        <v>0</v>
      </c>
      <c r="AN1119" s="1352" t="str">
        <f t="shared" si="387"/>
        <v>"User Defined" Deferred Charge (In CAP) Salaries &amp; Wages</v>
      </c>
    </row>
    <row r="1120" spans="1:40" x14ac:dyDescent="0.2">
      <c r="A1120" s="1324" t="str">
        <f>A1119</f>
        <v>46-861</v>
      </c>
      <c r="B1120" s="1324" t="s">
        <v>6065</v>
      </c>
      <c r="C1120" s="1353">
        <f>'Key Metrics'!$D$427</f>
        <v>0</v>
      </c>
      <c r="D1120" s="1353">
        <f>'Key Metrics'!$H$427</f>
        <v>0</v>
      </c>
      <c r="E1120" s="1351">
        <f t="shared" si="390"/>
        <v>0</v>
      </c>
      <c r="F1120" s="1353">
        <f t="shared" si="391"/>
        <v>0</v>
      </c>
      <c r="G1120" s="1353">
        <f t="shared" si="392"/>
        <v>0</v>
      </c>
      <c r="H1120" s="1353">
        <f t="shared" si="393"/>
        <v>0</v>
      </c>
      <c r="I1120" s="1353">
        <f t="shared" si="394"/>
        <v>0</v>
      </c>
      <c r="J1120" s="1353">
        <f t="shared" si="395"/>
        <v>0</v>
      </c>
      <c r="M1120" s="1324" t="str">
        <f t="shared" si="396"/>
        <v>"User Defined" Deferred Charge (In CAP) Other Expenses</v>
      </c>
      <c r="N1120" s="1368">
        <v>0</v>
      </c>
      <c r="O1120" s="1368">
        <f t="shared" si="397"/>
        <v>0</v>
      </c>
      <c r="P1120" s="1368">
        <f t="shared" si="397"/>
        <v>0</v>
      </c>
      <c r="Q1120" s="1368">
        <f t="shared" si="397"/>
        <v>0</v>
      </c>
      <c r="R1120" s="1368">
        <f t="shared" si="397"/>
        <v>0</v>
      </c>
      <c r="T1120" s="1369">
        <v>0</v>
      </c>
      <c r="U1120" s="1369">
        <v>0</v>
      </c>
      <c r="V1120" s="1369">
        <v>0</v>
      </c>
      <c r="W1120" s="1369">
        <v>0</v>
      </c>
      <c r="X1120" s="1369">
        <v>0</v>
      </c>
      <c r="Y1120" s="1367"/>
      <c r="Z1120" s="1370">
        <v>0</v>
      </c>
      <c r="AA1120" s="1370">
        <v>0</v>
      </c>
      <c r="AB1120" s="1370">
        <v>0</v>
      </c>
      <c r="AC1120" s="1370">
        <v>0</v>
      </c>
      <c r="AD1120" s="1370">
        <v>0</v>
      </c>
      <c r="AK1120" s="1354">
        <f t="shared" si="389"/>
        <v>0</v>
      </c>
      <c r="AL1120" s="1352">
        <f t="shared" si="398"/>
        <v>53</v>
      </c>
      <c r="AM1120" s="1354">
        <f t="shared" si="386"/>
        <v>0</v>
      </c>
      <c r="AN1120" s="1352" t="str">
        <f t="shared" si="387"/>
        <v>"User Defined" Deferred Charge (In CAP) Other Expenses</v>
      </c>
    </row>
    <row r="1121" spans="1:40" x14ac:dyDescent="0.2">
      <c r="A1121" s="1324" t="str">
        <f>A1120</f>
        <v>46-861</v>
      </c>
      <c r="B1121" s="1324" t="s">
        <v>6066</v>
      </c>
      <c r="C1121" s="1353">
        <f>'Key Metrics'!$E$427</f>
        <v>0</v>
      </c>
      <c r="D1121" s="1353">
        <f>'Key Metrics'!$I$427</f>
        <v>0</v>
      </c>
      <c r="E1121" s="1351">
        <f t="shared" si="390"/>
        <v>0</v>
      </c>
      <c r="F1121" s="1353">
        <f t="shared" si="391"/>
        <v>0</v>
      </c>
      <c r="G1121" s="1353">
        <f t="shared" si="392"/>
        <v>0</v>
      </c>
      <c r="H1121" s="1353">
        <f t="shared" si="393"/>
        <v>0</v>
      </c>
      <c r="I1121" s="1353">
        <f t="shared" si="394"/>
        <v>0</v>
      </c>
      <c r="J1121" s="1353">
        <f t="shared" si="395"/>
        <v>0</v>
      </c>
      <c r="M1121" s="1324" t="str">
        <f t="shared" si="396"/>
        <v>"User Defined" Deferred Charge (In CAP) Unclassified</v>
      </c>
      <c r="N1121" s="1368">
        <v>0</v>
      </c>
      <c r="O1121" s="1368">
        <f t="shared" si="397"/>
        <v>0</v>
      </c>
      <c r="P1121" s="1368">
        <f t="shared" si="397"/>
        <v>0</v>
      </c>
      <c r="Q1121" s="1368">
        <f t="shared" si="397"/>
        <v>0</v>
      </c>
      <c r="R1121" s="1368">
        <f t="shared" si="397"/>
        <v>0</v>
      </c>
      <c r="T1121" s="1369">
        <v>0</v>
      </c>
      <c r="U1121" s="1369">
        <v>0</v>
      </c>
      <c r="V1121" s="1369">
        <v>0</v>
      </c>
      <c r="W1121" s="1369">
        <v>0</v>
      </c>
      <c r="X1121" s="1369">
        <v>0</v>
      </c>
      <c r="Y1121" s="1367"/>
      <c r="Z1121" s="1370">
        <v>0</v>
      </c>
      <c r="AA1121" s="1370">
        <v>0</v>
      </c>
      <c r="AB1121" s="1370">
        <v>0</v>
      </c>
      <c r="AC1121" s="1370">
        <v>0</v>
      </c>
      <c r="AD1121" s="1370">
        <v>0</v>
      </c>
      <c r="AK1121" s="1354">
        <f t="shared" si="389"/>
        <v>0</v>
      </c>
      <c r="AL1121" s="1352">
        <f t="shared" si="398"/>
        <v>53</v>
      </c>
      <c r="AM1121" s="1354">
        <f t="shared" si="386"/>
        <v>0</v>
      </c>
      <c r="AN1121" s="1352" t="str">
        <f t="shared" si="387"/>
        <v>"User Defined" Deferred Charge (In CAP) Unclassified</v>
      </c>
    </row>
    <row r="1122" spans="1:40" x14ac:dyDescent="0.2">
      <c r="A1122" s="1324" t="s">
        <v>5291</v>
      </c>
      <c r="B1122" s="1324" t="s">
        <v>5780</v>
      </c>
      <c r="C1122" s="1353">
        <f>'Key Metrics'!$C$428</f>
        <v>0</v>
      </c>
      <c r="D1122" s="1353">
        <f>'Key Metrics'!$G$428</f>
        <v>0</v>
      </c>
      <c r="E1122" s="1351">
        <f t="shared" si="390"/>
        <v>0</v>
      </c>
      <c r="F1122" s="1353">
        <f t="shared" si="391"/>
        <v>0</v>
      </c>
      <c r="G1122" s="1353">
        <f t="shared" si="392"/>
        <v>0</v>
      </c>
      <c r="H1122" s="1353">
        <f t="shared" si="393"/>
        <v>0</v>
      </c>
      <c r="I1122" s="1353">
        <f t="shared" si="394"/>
        <v>0</v>
      </c>
      <c r="J1122" s="1353">
        <f t="shared" si="395"/>
        <v>0</v>
      </c>
      <c r="M1122" s="1324" t="str">
        <f t="shared" si="396"/>
        <v>"User Defined" Deferred Charge (In CAP) Salaries &amp; Wages</v>
      </c>
      <c r="N1122" s="1368">
        <v>0</v>
      </c>
      <c r="O1122" s="1368">
        <f t="shared" si="397"/>
        <v>0</v>
      </c>
      <c r="P1122" s="1368">
        <f t="shared" si="397"/>
        <v>0</v>
      </c>
      <c r="Q1122" s="1368">
        <f t="shared" si="397"/>
        <v>0</v>
      </c>
      <c r="R1122" s="1368">
        <f t="shared" si="397"/>
        <v>0</v>
      </c>
      <c r="T1122" s="1369">
        <v>0</v>
      </c>
      <c r="U1122" s="1369">
        <v>0</v>
      </c>
      <c r="V1122" s="1369">
        <v>0</v>
      </c>
      <c r="W1122" s="1369">
        <v>0</v>
      </c>
      <c r="X1122" s="1369">
        <v>0</v>
      </c>
      <c r="Y1122" s="1367"/>
      <c r="Z1122" s="1370">
        <v>0</v>
      </c>
      <c r="AA1122" s="1370">
        <v>0</v>
      </c>
      <c r="AB1122" s="1370">
        <v>0</v>
      </c>
      <c r="AC1122" s="1370">
        <v>0</v>
      </c>
      <c r="AD1122" s="1370">
        <v>0</v>
      </c>
      <c r="AK1122" s="1354">
        <f t="shared" si="389"/>
        <v>0</v>
      </c>
      <c r="AL1122" s="1352">
        <f t="shared" si="398"/>
        <v>53</v>
      </c>
      <c r="AM1122" s="1354">
        <f t="shared" si="386"/>
        <v>0</v>
      </c>
      <c r="AN1122" s="1352" t="str">
        <f t="shared" si="387"/>
        <v>"User Defined" Deferred Charge (In CAP) Salaries &amp; Wages</v>
      </c>
    </row>
    <row r="1123" spans="1:40" x14ac:dyDescent="0.2">
      <c r="A1123" s="1324" t="str">
        <f>A1122</f>
        <v>46-862</v>
      </c>
      <c r="B1123" s="1324" t="s">
        <v>6065</v>
      </c>
      <c r="C1123" s="1353">
        <f>'Key Metrics'!$D$428</f>
        <v>0</v>
      </c>
      <c r="D1123" s="1353">
        <f>'Key Metrics'!$H$428</f>
        <v>0</v>
      </c>
      <c r="E1123" s="1351">
        <f t="shared" si="390"/>
        <v>0</v>
      </c>
      <c r="F1123" s="1353">
        <f t="shared" si="391"/>
        <v>0</v>
      </c>
      <c r="G1123" s="1353">
        <f t="shared" si="392"/>
        <v>0</v>
      </c>
      <c r="H1123" s="1353">
        <f t="shared" si="393"/>
        <v>0</v>
      </c>
      <c r="I1123" s="1353">
        <f t="shared" si="394"/>
        <v>0</v>
      </c>
      <c r="J1123" s="1353">
        <f t="shared" si="395"/>
        <v>0</v>
      </c>
      <c r="M1123" s="1324" t="str">
        <f t="shared" si="396"/>
        <v>"User Defined" Deferred Charge (In CAP) Other Expenses</v>
      </c>
      <c r="N1123" s="1368">
        <v>0</v>
      </c>
      <c r="O1123" s="1368">
        <f t="shared" si="397"/>
        <v>0</v>
      </c>
      <c r="P1123" s="1368">
        <f t="shared" si="397"/>
        <v>0</v>
      </c>
      <c r="Q1123" s="1368">
        <f t="shared" si="397"/>
        <v>0</v>
      </c>
      <c r="R1123" s="1368">
        <f t="shared" si="397"/>
        <v>0</v>
      </c>
      <c r="T1123" s="1369">
        <v>0</v>
      </c>
      <c r="U1123" s="1369">
        <v>0</v>
      </c>
      <c r="V1123" s="1369">
        <v>0</v>
      </c>
      <c r="W1123" s="1369">
        <v>0</v>
      </c>
      <c r="X1123" s="1369">
        <v>0</v>
      </c>
      <c r="Y1123" s="1367"/>
      <c r="Z1123" s="1370">
        <v>0</v>
      </c>
      <c r="AA1123" s="1370">
        <v>0</v>
      </c>
      <c r="AB1123" s="1370">
        <v>0</v>
      </c>
      <c r="AC1123" s="1370">
        <v>0</v>
      </c>
      <c r="AD1123" s="1370">
        <v>0</v>
      </c>
      <c r="AK1123" s="1354">
        <f t="shared" si="389"/>
        <v>0</v>
      </c>
      <c r="AL1123" s="1352">
        <f t="shared" si="398"/>
        <v>53</v>
      </c>
      <c r="AM1123" s="1354">
        <f t="shared" si="386"/>
        <v>0</v>
      </c>
      <c r="AN1123" s="1352" t="str">
        <f t="shared" si="387"/>
        <v>"User Defined" Deferred Charge (In CAP) Other Expenses</v>
      </c>
    </row>
    <row r="1124" spans="1:40" x14ac:dyDescent="0.2">
      <c r="A1124" s="1324" t="str">
        <f>A1123</f>
        <v>46-862</v>
      </c>
      <c r="B1124" s="1324" t="s">
        <v>6066</v>
      </c>
      <c r="C1124" s="1353">
        <f>'Key Metrics'!$E$428</f>
        <v>0</v>
      </c>
      <c r="D1124" s="1353">
        <f>'Key Metrics'!$I$428</f>
        <v>0</v>
      </c>
      <c r="E1124" s="1351">
        <f t="shared" si="390"/>
        <v>0</v>
      </c>
      <c r="F1124" s="1353">
        <f t="shared" si="391"/>
        <v>0</v>
      </c>
      <c r="G1124" s="1353">
        <f t="shared" si="392"/>
        <v>0</v>
      </c>
      <c r="H1124" s="1353">
        <f t="shared" si="393"/>
        <v>0</v>
      </c>
      <c r="I1124" s="1353">
        <f t="shared" si="394"/>
        <v>0</v>
      </c>
      <c r="J1124" s="1353">
        <f t="shared" si="395"/>
        <v>0</v>
      </c>
      <c r="M1124" s="1324" t="str">
        <f t="shared" si="396"/>
        <v>"User Defined" Deferred Charge (In CAP) Unclassified</v>
      </c>
      <c r="N1124" s="1368">
        <v>0</v>
      </c>
      <c r="O1124" s="1368">
        <f t="shared" si="397"/>
        <v>0</v>
      </c>
      <c r="P1124" s="1368">
        <f t="shared" si="397"/>
        <v>0</v>
      </c>
      <c r="Q1124" s="1368">
        <f t="shared" si="397"/>
        <v>0</v>
      </c>
      <c r="R1124" s="1368">
        <f t="shared" si="397"/>
        <v>0</v>
      </c>
      <c r="T1124" s="1369">
        <v>0</v>
      </c>
      <c r="U1124" s="1369">
        <v>0</v>
      </c>
      <c r="V1124" s="1369">
        <v>0</v>
      </c>
      <c r="W1124" s="1369">
        <v>0</v>
      </c>
      <c r="X1124" s="1369">
        <v>0</v>
      </c>
      <c r="Y1124" s="1367"/>
      <c r="Z1124" s="1370">
        <v>0</v>
      </c>
      <c r="AA1124" s="1370">
        <v>0</v>
      </c>
      <c r="AB1124" s="1370">
        <v>0</v>
      </c>
      <c r="AC1124" s="1370">
        <v>0</v>
      </c>
      <c r="AD1124" s="1370">
        <v>0</v>
      </c>
      <c r="AK1124" s="1354">
        <f t="shared" si="389"/>
        <v>0</v>
      </c>
      <c r="AL1124" s="1352">
        <f t="shared" si="398"/>
        <v>53</v>
      </c>
      <c r="AM1124" s="1354">
        <f t="shared" si="386"/>
        <v>0</v>
      </c>
      <c r="AN1124" s="1352" t="str">
        <f t="shared" si="387"/>
        <v>"User Defined" Deferred Charge (In CAP) Unclassified</v>
      </c>
    </row>
    <row r="1125" spans="1:40" x14ac:dyDescent="0.2">
      <c r="A1125" s="1324" t="s">
        <v>5292</v>
      </c>
      <c r="B1125" s="1324" t="s">
        <v>5780</v>
      </c>
      <c r="C1125" s="1353">
        <f>'Key Metrics'!$C$429</f>
        <v>0</v>
      </c>
      <c r="D1125" s="1353">
        <f>'Key Metrics'!$G$429</f>
        <v>0</v>
      </c>
      <c r="E1125" s="1351">
        <f t="shared" si="390"/>
        <v>0</v>
      </c>
      <c r="F1125" s="1353">
        <f t="shared" si="391"/>
        <v>0</v>
      </c>
      <c r="G1125" s="1353">
        <f t="shared" si="392"/>
        <v>0</v>
      </c>
      <c r="H1125" s="1353">
        <f t="shared" si="393"/>
        <v>0</v>
      </c>
      <c r="I1125" s="1353">
        <f t="shared" si="394"/>
        <v>0</v>
      </c>
      <c r="J1125" s="1353">
        <f t="shared" si="395"/>
        <v>0</v>
      </c>
      <c r="M1125" s="1324" t="str">
        <f t="shared" si="396"/>
        <v>"User Defined" Deferred Charge (In CAP) Salaries &amp; Wages</v>
      </c>
      <c r="N1125" s="1368">
        <v>0</v>
      </c>
      <c r="O1125" s="1368">
        <f t="shared" si="397"/>
        <v>0</v>
      </c>
      <c r="P1125" s="1368">
        <f t="shared" si="397"/>
        <v>0</v>
      </c>
      <c r="Q1125" s="1368">
        <f t="shared" si="397"/>
        <v>0</v>
      </c>
      <c r="R1125" s="1368">
        <f t="shared" si="397"/>
        <v>0</v>
      </c>
      <c r="T1125" s="1369">
        <v>0</v>
      </c>
      <c r="U1125" s="1369">
        <v>0</v>
      </c>
      <c r="V1125" s="1369">
        <v>0</v>
      </c>
      <c r="W1125" s="1369">
        <v>0</v>
      </c>
      <c r="X1125" s="1369">
        <v>0</v>
      </c>
      <c r="Y1125" s="1367"/>
      <c r="Z1125" s="1370">
        <v>0</v>
      </c>
      <c r="AA1125" s="1370">
        <v>0</v>
      </c>
      <c r="AB1125" s="1370">
        <v>0</v>
      </c>
      <c r="AC1125" s="1370">
        <v>0</v>
      </c>
      <c r="AD1125" s="1370">
        <v>0</v>
      </c>
      <c r="AK1125" s="1354">
        <f t="shared" si="389"/>
        <v>0</v>
      </c>
      <c r="AL1125" s="1352">
        <f t="shared" si="398"/>
        <v>53</v>
      </c>
      <c r="AM1125" s="1354">
        <f t="shared" si="386"/>
        <v>0</v>
      </c>
      <c r="AN1125" s="1352" t="str">
        <f t="shared" si="387"/>
        <v>"User Defined" Deferred Charge (In CAP) Salaries &amp; Wages</v>
      </c>
    </row>
    <row r="1126" spans="1:40" x14ac:dyDescent="0.2">
      <c r="A1126" s="1324" t="str">
        <f>A1125</f>
        <v>46-863</v>
      </c>
      <c r="B1126" s="1324" t="s">
        <v>6065</v>
      </c>
      <c r="C1126" s="1353">
        <f>'Key Metrics'!$D$429</f>
        <v>0</v>
      </c>
      <c r="D1126" s="1353">
        <f>'Key Metrics'!$H$429</f>
        <v>0</v>
      </c>
      <c r="E1126" s="1351">
        <f t="shared" si="390"/>
        <v>0</v>
      </c>
      <c r="F1126" s="1353">
        <f t="shared" si="391"/>
        <v>0</v>
      </c>
      <c r="G1126" s="1353">
        <f t="shared" si="392"/>
        <v>0</v>
      </c>
      <c r="H1126" s="1353">
        <f t="shared" si="393"/>
        <v>0</v>
      </c>
      <c r="I1126" s="1353">
        <f t="shared" si="394"/>
        <v>0</v>
      </c>
      <c r="J1126" s="1353">
        <f t="shared" si="395"/>
        <v>0</v>
      </c>
      <c r="M1126" s="1324" t="str">
        <f t="shared" si="396"/>
        <v>"User Defined" Deferred Charge (In CAP) Other Expenses</v>
      </c>
      <c r="N1126" s="1368">
        <v>0</v>
      </c>
      <c r="O1126" s="1368">
        <f t="shared" si="397"/>
        <v>0</v>
      </c>
      <c r="P1126" s="1368">
        <f t="shared" si="397"/>
        <v>0</v>
      </c>
      <c r="Q1126" s="1368">
        <f t="shared" si="397"/>
        <v>0</v>
      </c>
      <c r="R1126" s="1368">
        <f t="shared" si="397"/>
        <v>0</v>
      </c>
      <c r="T1126" s="1369">
        <v>0</v>
      </c>
      <c r="U1126" s="1369">
        <v>0</v>
      </c>
      <c r="V1126" s="1369">
        <v>0</v>
      </c>
      <c r="W1126" s="1369">
        <v>0</v>
      </c>
      <c r="X1126" s="1369">
        <v>0</v>
      </c>
      <c r="Y1126" s="1367"/>
      <c r="Z1126" s="1370">
        <v>0</v>
      </c>
      <c r="AA1126" s="1370">
        <v>0</v>
      </c>
      <c r="AB1126" s="1370">
        <v>0</v>
      </c>
      <c r="AC1126" s="1370">
        <v>0</v>
      </c>
      <c r="AD1126" s="1370">
        <v>0</v>
      </c>
      <c r="AK1126" s="1354">
        <f t="shared" si="389"/>
        <v>0</v>
      </c>
      <c r="AL1126" s="1352">
        <f t="shared" si="398"/>
        <v>53</v>
      </c>
      <c r="AM1126" s="1354">
        <f t="shared" si="386"/>
        <v>0</v>
      </c>
      <c r="AN1126" s="1352" t="str">
        <f t="shared" si="387"/>
        <v>"User Defined" Deferred Charge (In CAP) Other Expenses</v>
      </c>
    </row>
    <row r="1127" spans="1:40" x14ac:dyDescent="0.2">
      <c r="A1127" s="1324" t="str">
        <f>A1126</f>
        <v>46-863</v>
      </c>
      <c r="B1127" s="1324" t="s">
        <v>6066</v>
      </c>
      <c r="C1127" s="1353">
        <f>'Key Metrics'!$E$429</f>
        <v>0</v>
      </c>
      <c r="D1127" s="1353">
        <f>'Key Metrics'!$I$429</f>
        <v>0</v>
      </c>
      <c r="E1127" s="1351">
        <f t="shared" si="390"/>
        <v>0</v>
      </c>
      <c r="F1127" s="1353">
        <f t="shared" si="391"/>
        <v>0</v>
      </c>
      <c r="G1127" s="1353">
        <f t="shared" si="392"/>
        <v>0</v>
      </c>
      <c r="H1127" s="1353">
        <f t="shared" si="393"/>
        <v>0</v>
      </c>
      <c r="I1127" s="1353">
        <f t="shared" si="394"/>
        <v>0</v>
      </c>
      <c r="J1127" s="1353">
        <f t="shared" si="395"/>
        <v>0</v>
      </c>
      <c r="M1127" s="1324" t="str">
        <f t="shared" si="396"/>
        <v>"User Defined" Deferred Charge (In CAP) Unclassified</v>
      </c>
      <c r="N1127" s="1368">
        <v>0</v>
      </c>
      <c r="O1127" s="1368">
        <f t="shared" si="397"/>
        <v>0</v>
      </c>
      <c r="P1127" s="1368">
        <f t="shared" si="397"/>
        <v>0</v>
      </c>
      <c r="Q1127" s="1368">
        <f t="shared" si="397"/>
        <v>0</v>
      </c>
      <c r="R1127" s="1368">
        <f t="shared" si="397"/>
        <v>0</v>
      </c>
      <c r="T1127" s="1369">
        <v>0</v>
      </c>
      <c r="U1127" s="1369">
        <v>0</v>
      </c>
      <c r="V1127" s="1369">
        <v>0</v>
      </c>
      <c r="W1127" s="1369">
        <v>0</v>
      </c>
      <c r="X1127" s="1369">
        <v>0</v>
      </c>
      <c r="Y1127" s="1367"/>
      <c r="Z1127" s="1370">
        <v>0</v>
      </c>
      <c r="AA1127" s="1370">
        <v>0</v>
      </c>
      <c r="AB1127" s="1370">
        <v>0</v>
      </c>
      <c r="AC1127" s="1370">
        <v>0</v>
      </c>
      <c r="AD1127" s="1370">
        <v>0</v>
      </c>
      <c r="AK1127" s="1354">
        <f t="shared" si="389"/>
        <v>0</v>
      </c>
      <c r="AL1127" s="1352">
        <f t="shared" si="398"/>
        <v>53</v>
      </c>
      <c r="AM1127" s="1354">
        <f t="shared" si="386"/>
        <v>0</v>
      </c>
      <c r="AN1127" s="1352" t="str">
        <f t="shared" si="387"/>
        <v>"User Defined" Deferred Charge (In CAP) Unclassified</v>
      </c>
    </row>
    <row r="1128" spans="1:40" x14ac:dyDescent="0.2">
      <c r="A1128" s="1324" t="s">
        <v>5293</v>
      </c>
      <c r="B1128" s="1324" t="s">
        <v>5780</v>
      </c>
      <c r="C1128" s="1353">
        <f>'Key Metrics'!$C$430</f>
        <v>0</v>
      </c>
      <c r="D1128" s="1353">
        <f>'Key Metrics'!$G$430</f>
        <v>0</v>
      </c>
      <c r="E1128" s="1351">
        <f t="shared" si="390"/>
        <v>0</v>
      </c>
      <c r="F1128" s="1353">
        <f t="shared" si="391"/>
        <v>0</v>
      </c>
      <c r="G1128" s="1353">
        <f t="shared" si="392"/>
        <v>0</v>
      </c>
      <c r="H1128" s="1353">
        <f t="shared" si="393"/>
        <v>0</v>
      </c>
      <c r="I1128" s="1353">
        <f t="shared" si="394"/>
        <v>0</v>
      </c>
      <c r="J1128" s="1353">
        <f t="shared" si="395"/>
        <v>0</v>
      </c>
      <c r="M1128" s="1324" t="str">
        <f t="shared" si="396"/>
        <v>"User Defined" Deferred Charge (In CAP) Salaries &amp; Wages</v>
      </c>
      <c r="N1128" s="1368">
        <v>0</v>
      </c>
      <c r="O1128" s="1368">
        <f t="shared" si="397"/>
        <v>0</v>
      </c>
      <c r="P1128" s="1368">
        <f t="shared" si="397"/>
        <v>0</v>
      </c>
      <c r="Q1128" s="1368">
        <f t="shared" si="397"/>
        <v>0</v>
      </c>
      <c r="R1128" s="1368">
        <f t="shared" si="397"/>
        <v>0</v>
      </c>
      <c r="T1128" s="1369">
        <v>0</v>
      </c>
      <c r="U1128" s="1369">
        <v>0</v>
      </c>
      <c r="V1128" s="1369">
        <v>0</v>
      </c>
      <c r="W1128" s="1369">
        <v>0</v>
      </c>
      <c r="X1128" s="1369">
        <v>0</v>
      </c>
      <c r="Y1128" s="1367"/>
      <c r="Z1128" s="1370">
        <v>0</v>
      </c>
      <c r="AA1128" s="1370">
        <v>0</v>
      </c>
      <c r="AB1128" s="1370">
        <v>0</v>
      </c>
      <c r="AC1128" s="1370">
        <v>0</v>
      </c>
      <c r="AD1128" s="1370">
        <v>0</v>
      </c>
      <c r="AK1128" s="1354">
        <f t="shared" si="389"/>
        <v>0</v>
      </c>
      <c r="AL1128" s="1352">
        <f t="shared" si="398"/>
        <v>53</v>
      </c>
      <c r="AM1128" s="1354">
        <f t="shared" si="386"/>
        <v>0</v>
      </c>
      <c r="AN1128" s="1352" t="str">
        <f t="shared" si="387"/>
        <v>"User Defined" Deferred Charge (In CAP) Salaries &amp; Wages</v>
      </c>
    </row>
    <row r="1129" spans="1:40" x14ac:dyDescent="0.2">
      <c r="A1129" s="1324" t="str">
        <f>A1128</f>
        <v>46-864</v>
      </c>
      <c r="B1129" s="1324" t="s">
        <v>6065</v>
      </c>
      <c r="C1129" s="1353">
        <f>'Key Metrics'!$D$430</f>
        <v>0</v>
      </c>
      <c r="D1129" s="1353">
        <f>'Key Metrics'!$H$430</f>
        <v>0</v>
      </c>
      <c r="E1129" s="1351">
        <f t="shared" si="390"/>
        <v>0</v>
      </c>
      <c r="F1129" s="1353">
        <f t="shared" si="391"/>
        <v>0</v>
      </c>
      <c r="G1129" s="1353">
        <f t="shared" si="392"/>
        <v>0</v>
      </c>
      <c r="H1129" s="1353">
        <f t="shared" si="393"/>
        <v>0</v>
      </c>
      <c r="I1129" s="1353">
        <f t="shared" si="394"/>
        <v>0</v>
      </c>
      <c r="J1129" s="1353">
        <f t="shared" si="395"/>
        <v>0</v>
      </c>
      <c r="M1129" s="1324" t="str">
        <f t="shared" si="396"/>
        <v>"User Defined" Deferred Charge (In CAP) Other Expenses</v>
      </c>
      <c r="N1129" s="1368">
        <v>0</v>
      </c>
      <c r="O1129" s="1368">
        <f t="shared" ref="O1129:R1144" si="399">N1129</f>
        <v>0</v>
      </c>
      <c r="P1129" s="1368">
        <f t="shared" si="399"/>
        <v>0</v>
      </c>
      <c r="Q1129" s="1368">
        <f t="shared" si="399"/>
        <v>0</v>
      </c>
      <c r="R1129" s="1368">
        <f t="shared" si="399"/>
        <v>0</v>
      </c>
      <c r="T1129" s="1369">
        <v>0</v>
      </c>
      <c r="U1129" s="1369">
        <v>0</v>
      </c>
      <c r="V1129" s="1369">
        <v>0</v>
      </c>
      <c r="W1129" s="1369">
        <v>0</v>
      </c>
      <c r="X1129" s="1369">
        <v>0</v>
      </c>
      <c r="Y1129" s="1367"/>
      <c r="Z1129" s="1370">
        <v>0</v>
      </c>
      <c r="AA1129" s="1370">
        <v>0</v>
      </c>
      <c r="AB1129" s="1370">
        <v>0</v>
      </c>
      <c r="AC1129" s="1370">
        <v>0</v>
      </c>
      <c r="AD1129" s="1370">
        <v>0</v>
      </c>
      <c r="AK1129" s="1354">
        <f t="shared" si="389"/>
        <v>0</v>
      </c>
      <c r="AL1129" s="1352">
        <f t="shared" si="398"/>
        <v>53</v>
      </c>
      <c r="AM1129" s="1354">
        <f t="shared" si="386"/>
        <v>0</v>
      </c>
      <c r="AN1129" s="1352" t="str">
        <f t="shared" si="387"/>
        <v>"User Defined" Deferred Charge (In CAP) Other Expenses</v>
      </c>
    </row>
    <row r="1130" spans="1:40" x14ac:dyDescent="0.2">
      <c r="A1130" s="1324" t="str">
        <f>A1129</f>
        <v>46-864</v>
      </c>
      <c r="B1130" s="1324" t="s">
        <v>6066</v>
      </c>
      <c r="C1130" s="1353">
        <f>'Key Metrics'!$E$430</f>
        <v>0</v>
      </c>
      <c r="D1130" s="1353">
        <f>'Key Metrics'!$I$430</f>
        <v>0</v>
      </c>
      <c r="E1130" s="1351">
        <f t="shared" si="390"/>
        <v>0</v>
      </c>
      <c r="F1130" s="1353">
        <f t="shared" si="391"/>
        <v>0</v>
      </c>
      <c r="G1130" s="1353">
        <f t="shared" si="392"/>
        <v>0</v>
      </c>
      <c r="H1130" s="1353">
        <f t="shared" si="393"/>
        <v>0</v>
      </c>
      <c r="I1130" s="1353">
        <f t="shared" si="394"/>
        <v>0</v>
      </c>
      <c r="J1130" s="1353">
        <f t="shared" si="395"/>
        <v>0</v>
      </c>
      <c r="M1130" s="1324" t="str">
        <f t="shared" si="396"/>
        <v>"User Defined" Deferred Charge (In CAP) Unclassified</v>
      </c>
      <c r="N1130" s="1368">
        <v>0</v>
      </c>
      <c r="O1130" s="1368">
        <f t="shared" si="399"/>
        <v>0</v>
      </c>
      <c r="P1130" s="1368">
        <f t="shared" si="399"/>
        <v>0</v>
      </c>
      <c r="Q1130" s="1368">
        <f t="shared" si="399"/>
        <v>0</v>
      </c>
      <c r="R1130" s="1368">
        <f t="shared" si="399"/>
        <v>0</v>
      </c>
      <c r="T1130" s="1369">
        <v>0</v>
      </c>
      <c r="U1130" s="1369">
        <v>0</v>
      </c>
      <c r="V1130" s="1369">
        <v>0</v>
      </c>
      <c r="W1130" s="1369">
        <v>0</v>
      </c>
      <c r="X1130" s="1369">
        <v>0</v>
      </c>
      <c r="Y1130" s="1367"/>
      <c r="Z1130" s="1370">
        <v>0</v>
      </c>
      <c r="AA1130" s="1370">
        <v>0</v>
      </c>
      <c r="AB1130" s="1370">
        <v>0</v>
      </c>
      <c r="AC1130" s="1370">
        <v>0</v>
      </c>
      <c r="AD1130" s="1370">
        <v>0</v>
      </c>
      <c r="AK1130" s="1354">
        <f t="shared" si="389"/>
        <v>0</v>
      </c>
      <c r="AL1130" s="1352">
        <f t="shared" si="398"/>
        <v>53</v>
      </c>
      <c r="AM1130" s="1354">
        <f t="shared" si="386"/>
        <v>0</v>
      </c>
      <c r="AN1130" s="1352" t="str">
        <f t="shared" si="387"/>
        <v>"User Defined" Deferred Charge (In CAP) Unclassified</v>
      </c>
    </row>
    <row r="1131" spans="1:40" x14ac:dyDescent="0.2">
      <c r="A1131" s="1324" t="s">
        <v>535</v>
      </c>
      <c r="B1131" s="1324" t="s">
        <v>5781</v>
      </c>
      <c r="C1131" s="1353">
        <f>'Key Metrics'!$C$431</f>
        <v>0</v>
      </c>
      <c r="D1131" s="1353">
        <f>'Key Metrics'!$G$431</f>
        <v>0</v>
      </c>
      <c r="E1131" s="1351">
        <f t="shared" si="390"/>
        <v>0</v>
      </c>
      <c r="F1131" s="1353">
        <f t="shared" si="391"/>
        <v>0</v>
      </c>
      <c r="G1131" s="1353">
        <f t="shared" si="392"/>
        <v>0</v>
      </c>
      <c r="H1131" s="1353">
        <f t="shared" si="393"/>
        <v>0</v>
      </c>
      <c r="I1131" s="1353">
        <f t="shared" si="394"/>
        <v>0</v>
      </c>
      <c r="J1131" s="1353">
        <f t="shared" si="395"/>
        <v>0</v>
      </c>
      <c r="M1131" s="1324" t="str">
        <f t="shared" si="396"/>
        <v>Emergency Appropriations (Inside or Outside CAP) Salaries &amp; Wages</v>
      </c>
      <c r="N1131" s="1368">
        <v>0</v>
      </c>
      <c r="O1131" s="1368">
        <f t="shared" si="399"/>
        <v>0</v>
      </c>
      <c r="P1131" s="1368">
        <f t="shared" si="399"/>
        <v>0</v>
      </c>
      <c r="Q1131" s="1368">
        <f t="shared" si="399"/>
        <v>0</v>
      </c>
      <c r="R1131" s="1368">
        <f t="shared" si="399"/>
        <v>0</v>
      </c>
      <c r="T1131" s="1369">
        <v>0</v>
      </c>
      <c r="U1131" s="1369">
        <v>0</v>
      </c>
      <c r="V1131" s="1369">
        <v>0</v>
      </c>
      <c r="W1131" s="1369">
        <v>0</v>
      </c>
      <c r="X1131" s="1369">
        <v>0</v>
      </c>
      <c r="Y1131" s="1367"/>
      <c r="Z1131" s="1370">
        <v>0</v>
      </c>
      <c r="AA1131" s="1370">
        <v>0</v>
      </c>
      <c r="AB1131" s="1370">
        <v>0</v>
      </c>
      <c r="AC1131" s="1370">
        <v>0</v>
      </c>
      <c r="AD1131" s="1370">
        <v>0</v>
      </c>
      <c r="AK1131" s="1354">
        <f t="shared" si="389"/>
        <v>0</v>
      </c>
      <c r="AL1131" s="1352">
        <f t="shared" si="398"/>
        <v>53</v>
      </c>
      <c r="AM1131" s="1354">
        <f t="shared" si="386"/>
        <v>0</v>
      </c>
      <c r="AN1131" s="1352" t="str">
        <f t="shared" si="387"/>
        <v>Emergency Appropriations (Inside or Outside CAP) Salaries &amp; Wages</v>
      </c>
    </row>
    <row r="1132" spans="1:40" x14ac:dyDescent="0.2">
      <c r="A1132" s="1324" t="str">
        <f>A1131</f>
        <v>46-870</v>
      </c>
      <c r="B1132" s="1324" t="s">
        <v>6067</v>
      </c>
      <c r="C1132" s="1353">
        <f>'Key Metrics'!$D$431</f>
        <v>0</v>
      </c>
      <c r="D1132" s="1353">
        <f>'Key Metrics'!$H$431</f>
        <v>0</v>
      </c>
      <c r="E1132" s="1351">
        <f t="shared" si="390"/>
        <v>0</v>
      </c>
      <c r="F1132" s="1353">
        <f t="shared" si="391"/>
        <v>0</v>
      </c>
      <c r="G1132" s="1353">
        <f t="shared" si="392"/>
        <v>0</v>
      </c>
      <c r="H1132" s="1353">
        <f t="shared" si="393"/>
        <v>0</v>
      </c>
      <c r="I1132" s="1353">
        <f t="shared" si="394"/>
        <v>0</v>
      </c>
      <c r="J1132" s="1353">
        <f t="shared" si="395"/>
        <v>0</v>
      </c>
      <c r="M1132" s="1324" t="str">
        <f t="shared" si="396"/>
        <v>Emergency Appropriations (Inside or Outside CAP) Other Expenses</v>
      </c>
      <c r="N1132" s="1368">
        <v>0</v>
      </c>
      <c r="O1132" s="1368">
        <f t="shared" si="399"/>
        <v>0</v>
      </c>
      <c r="P1132" s="1368">
        <f t="shared" si="399"/>
        <v>0</v>
      </c>
      <c r="Q1132" s="1368">
        <f t="shared" si="399"/>
        <v>0</v>
      </c>
      <c r="R1132" s="1368">
        <f t="shared" si="399"/>
        <v>0</v>
      </c>
      <c r="T1132" s="1369">
        <v>0</v>
      </c>
      <c r="U1132" s="1369">
        <v>0</v>
      </c>
      <c r="V1132" s="1369">
        <v>0</v>
      </c>
      <c r="W1132" s="1369">
        <v>0</v>
      </c>
      <c r="X1132" s="1369">
        <v>0</v>
      </c>
      <c r="Y1132" s="1367"/>
      <c r="Z1132" s="1370">
        <v>0</v>
      </c>
      <c r="AA1132" s="1370">
        <v>0</v>
      </c>
      <c r="AB1132" s="1370">
        <v>0</v>
      </c>
      <c r="AC1132" s="1370">
        <v>0</v>
      </c>
      <c r="AD1132" s="1370">
        <v>0</v>
      </c>
      <c r="AK1132" s="1354">
        <f t="shared" si="389"/>
        <v>0</v>
      </c>
      <c r="AL1132" s="1352">
        <f t="shared" si="398"/>
        <v>53</v>
      </c>
      <c r="AM1132" s="1354">
        <f t="shared" si="386"/>
        <v>0</v>
      </c>
      <c r="AN1132" s="1352" t="str">
        <f t="shared" si="387"/>
        <v>Emergency Appropriations (Inside or Outside CAP) Other Expenses</v>
      </c>
    </row>
    <row r="1133" spans="1:40" x14ac:dyDescent="0.2">
      <c r="A1133" s="1324" t="str">
        <f>A1132</f>
        <v>46-870</v>
      </c>
      <c r="B1133" s="1324" t="s">
        <v>6068</v>
      </c>
      <c r="C1133" s="1353">
        <f>'Key Metrics'!$E$431</f>
        <v>0</v>
      </c>
      <c r="D1133" s="1353">
        <f>'Key Metrics'!$I$431</f>
        <v>0</v>
      </c>
      <c r="E1133" s="1351">
        <f t="shared" si="390"/>
        <v>0</v>
      </c>
      <c r="F1133" s="1353">
        <f t="shared" si="391"/>
        <v>0</v>
      </c>
      <c r="G1133" s="1353">
        <f t="shared" si="392"/>
        <v>0</v>
      </c>
      <c r="H1133" s="1353">
        <f t="shared" si="393"/>
        <v>0</v>
      </c>
      <c r="I1133" s="1353">
        <f t="shared" si="394"/>
        <v>0</v>
      </c>
      <c r="J1133" s="1353">
        <f t="shared" si="395"/>
        <v>0</v>
      </c>
      <c r="M1133" s="1324" t="str">
        <f t="shared" si="396"/>
        <v>Emergency Appropriations (Inside or Outside CAP) Unclassified</v>
      </c>
      <c r="N1133" s="1368">
        <v>0</v>
      </c>
      <c r="O1133" s="1368">
        <f t="shared" si="399"/>
        <v>0</v>
      </c>
      <c r="P1133" s="1368">
        <f t="shared" si="399"/>
        <v>0</v>
      </c>
      <c r="Q1133" s="1368">
        <f t="shared" si="399"/>
        <v>0</v>
      </c>
      <c r="R1133" s="1368">
        <f t="shared" si="399"/>
        <v>0</v>
      </c>
      <c r="T1133" s="1369">
        <v>0</v>
      </c>
      <c r="U1133" s="1369">
        <v>0</v>
      </c>
      <c r="V1133" s="1369">
        <v>0</v>
      </c>
      <c r="W1133" s="1369">
        <v>0</v>
      </c>
      <c r="X1133" s="1369">
        <v>0</v>
      </c>
      <c r="Y1133" s="1367"/>
      <c r="Z1133" s="1370">
        <v>0</v>
      </c>
      <c r="AA1133" s="1370">
        <v>0</v>
      </c>
      <c r="AB1133" s="1370">
        <v>0</v>
      </c>
      <c r="AC1133" s="1370">
        <v>0</v>
      </c>
      <c r="AD1133" s="1370">
        <v>0</v>
      </c>
      <c r="AK1133" s="1354">
        <f t="shared" si="389"/>
        <v>0</v>
      </c>
      <c r="AL1133" s="1352">
        <f t="shared" si="398"/>
        <v>53</v>
      </c>
      <c r="AM1133" s="1354">
        <f t="shared" si="386"/>
        <v>0</v>
      </c>
      <c r="AN1133" s="1352" t="str">
        <f t="shared" si="387"/>
        <v>Emergency Appropriations (Inside or Outside CAP) Unclassified</v>
      </c>
    </row>
    <row r="1134" spans="1:40" x14ac:dyDescent="0.2">
      <c r="A1134" s="1324" t="s">
        <v>548</v>
      </c>
      <c r="B1134" s="1324" t="s">
        <v>5782</v>
      </c>
      <c r="C1134" s="1353">
        <f>'Key Metrics'!$C$432</f>
        <v>0</v>
      </c>
      <c r="D1134" s="1353">
        <f>'Key Metrics'!$G$432</f>
        <v>0</v>
      </c>
      <c r="E1134" s="1351">
        <f t="shared" si="390"/>
        <v>0</v>
      </c>
      <c r="F1134" s="1353">
        <f t="shared" si="391"/>
        <v>0</v>
      </c>
      <c r="G1134" s="1353">
        <f t="shared" si="392"/>
        <v>0</v>
      </c>
      <c r="H1134" s="1353">
        <f t="shared" si="393"/>
        <v>0</v>
      </c>
      <c r="I1134" s="1353">
        <f t="shared" si="394"/>
        <v>0</v>
      </c>
      <c r="J1134" s="1353">
        <f t="shared" si="395"/>
        <v>0</v>
      </c>
      <c r="M1134" s="1324" t="str">
        <f t="shared" si="396"/>
        <v>Special Emergency - 3 Years (Outside CAP) Salaries &amp; Wages</v>
      </c>
      <c r="N1134" s="1368">
        <v>0</v>
      </c>
      <c r="O1134" s="1368">
        <f t="shared" si="399"/>
        <v>0</v>
      </c>
      <c r="P1134" s="1368">
        <f t="shared" si="399"/>
        <v>0</v>
      </c>
      <c r="Q1134" s="1368">
        <f t="shared" si="399"/>
        <v>0</v>
      </c>
      <c r="R1134" s="1368">
        <f t="shared" si="399"/>
        <v>0</v>
      </c>
      <c r="T1134" s="1369">
        <v>0</v>
      </c>
      <c r="U1134" s="1369">
        <v>0</v>
      </c>
      <c r="V1134" s="1369">
        <v>0</v>
      </c>
      <c r="W1134" s="1369">
        <v>0</v>
      </c>
      <c r="X1134" s="1369">
        <v>0</v>
      </c>
      <c r="Y1134" s="1367"/>
      <c r="Z1134" s="1370">
        <v>0</v>
      </c>
      <c r="AA1134" s="1370">
        <v>0</v>
      </c>
      <c r="AB1134" s="1370">
        <v>0</v>
      </c>
      <c r="AC1134" s="1370">
        <v>0</v>
      </c>
      <c r="AD1134" s="1370">
        <v>0</v>
      </c>
      <c r="AK1134" s="1354">
        <f t="shared" si="389"/>
        <v>0</v>
      </c>
      <c r="AL1134" s="1352">
        <f t="shared" si="398"/>
        <v>53</v>
      </c>
      <c r="AM1134" s="1354">
        <f t="shared" si="386"/>
        <v>0</v>
      </c>
      <c r="AN1134" s="1352" t="str">
        <f t="shared" si="387"/>
        <v>Special Emergency - 3 Years (Outside CAP) Salaries &amp; Wages</v>
      </c>
    </row>
    <row r="1135" spans="1:40" x14ac:dyDescent="0.2">
      <c r="A1135" s="1324" t="str">
        <f>A1134</f>
        <v>46-875</v>
      </c>
      <c r="B1135" s="1324" t="s">
        <v>6069</v>
      </c>
      <c r="C1135" s="1353">
        <f>'Key Metrics'!$D$432</f>
        <v>0</v>
      </c>
      <c r="D1135" s="1353">
        <f>'Key Metrics'!$H$432</f>
        <v>0</v>
      </c>
      <c r="E1135" s="1351">
        <f t="shared" si="390"/>
        <v>0</v>
      </c>
      <c r="F1135" s="1353">
        <f t="shared" si="391"/>
        <v>0</v>
      </c>
      <c r="G1135" s="1353">
        <f t="shared" si="392"/>
        <v>0</v>
      </c>
      <c r="H1135" s="1353">
        <f t="shared" si="393"/>
        <v>0</v>
      </c>
      <c r="I1135" s="1353">
        <f t="shared" si="394"/>
        <v>0</v>
      </c>
      <c r="J1135" s="1353">
        <f t="shared" si="395"/>
        <v>0</v>
      </c>
      <c r="M1135" s="1324" t="str">
        <f t="shared" si="396"/>
        <v>Special Emergency - 3 Years (Outside CAP) Other Expenses</v>
      </c>
      <c r="N1135" s="1368">
        <v>0</v>
      </c>
      <c r="O1135" s="1368">
        <f t="shared" si="399"/>
        <v>0</v>
      </c>
      <c r="P1135" s="1368">
        <f t="shared" si="399"/>
        <v>0</v>
      </c>
      <c r="Q1135" s="1368">
        <f t="shared" si="399"/>
        <v>0</v>
      </c>
      <c r="R1135" s="1368">
        <f t="shared" si="399"/>
        <v>0</v>
      </c>
      <c r="T1135" s="1369">
        <v>0</v>
      </c>
      <c r="U1135" s="1369">
        <v>0</v>
      </c>
      <c r="V1135" s="1369">
        <v>0</v>
      </c>
      <c r="W1135" s="1369">
        <v>0</v>
      </c>
      <c r="X1135" s="1369">
        <v>0</v>
      </c>
      <c r="Y1135" s="1367"/>
      <c r="Z1135" s="1370">
        <v>0</v>
      </c>
      <c r="AA1135" s="1370">
        <v>0</v>
      </c>
      <c r="AB1135" s="1370">
        <v>0</v>
      </c>
      <c r="AC1135" s="1370">
        <v>0</v>
      </c>
      <c r="AD1135" s="1370">
        <v>0</v>
      </c>
      <c r="AK1135" s="1354">
        <f t="shared" si="389"/>
        <v>0</v>
      </c>
      <c r="AL1135" s="1352">
        <f t="shared" si="398"/>
        <v>53</v>
      </c>
      <c r="AM1135" s="1354">
        <f t="shared" si="386"/>
        <v>0</v>
      </c>
      <c r="AN1135" s="1352" t="str">
        <f t="shared" si="387"/>
        <v>Special Emergency - 3 Years (Outside CAP) Other Expenses</v>
      </c>
    </row>
    <row r="1136" spans="1:40" x14ac:dyDescent="0.2">
      <c r="A1136" s="1324" t="str">
        <f>A1135</f>
        <v>46-875</v>
      </c>
      <c r="B1136" s="1324" t="s">
        <v>6070</v>
      </c>
      <c r="C1136" s="1353">
        <f>'Key Metrics'!$E$432</f>
        <v>13000</v>
      </c>
      <c r="D1136" s="1353">
        <f>'Key Metrics'!$I$432</f>
        <v>13000</v>
      </c>
      <c r="E1136" s="1351">
        <f t="shared" si="390"/>
        <v>0</v>
      </c>
      <c r="F1136" s="1353">
        <f t="shared" si="391"/>
        <v>13000</v>
      </c>
      <c r="G1136" s="1353">
        <f t="shared" si="392"/>
        <v>13000</v>
      </c>
      <c r="H1136" s="1353">
        <f t="shared" si="393"/>
        <v>13000</v>
      </c>
      <c r="I1136" s="1353">
        <f t="shared" si="394"/>
        <v>13000</v>
      </c>
      <c r="J1136" s="1353">
        <f t="shared" si="395"/>
        <v>13000</v>
      </c>
      <c r="M1136" s="1324" t="str">
        <f t="shared" si="396"/>
        <v>Special Emergency - 3 Years (Outside CAP) Unclassified</v>
      </c>
      <c r="N1136" s="1368">
        <v>0</v>
      </c>
      <c r="O1136" s="1368">
        <f t="shared" si="399"/>
        <v>0</v>
      </c>
      <c r="P1136" s="1368">
        <f t="shared" si="399"/>
        <v>0</v>
      </c>
      <c r="Q1136" s="1368">
        <f t="shared" si="399"/>
        <v>0</v>
      </c>
      <c r="R1136" s="1368">
        <f t="shared" si="399"/>
        <v>0</v>
      </c>
      <c r="T1136" s="1369">
        <v>0</v>
      </c>
      <c r="U1136" s="1369">
        <v>0</v>
      </c>
      <c r="V1136" s="1369">
        <v>0</v>
      </c>
      <c r="W1136" s="1369">
        <v>0</v>
      </c>
      <c r="X1136" s="1369">
        <v>0</v>
      </c>
      <c r="Y1136" s="1367"/>
      <c r="Z1136" s="1370">
        <v>0</v>
      </c>
      <c r="AA1136" s="1370">
        <v>0</v>
      </c>
      <c r="AB1136" s="1370">
        <v>0</v>
      </c>
      <c r="AC1136" s="1370">
        <v>0</v>
      </c>
      <c r="AD1136" s="1370">
        <v>0</v>
      </c>
      <c r="AK1136" s="1354">
        <f t="shared" si="389"/>
        <v>91000</v>
      </c>
      <c r="AL1136" s="1352">
        <f t="shared" si="398"/>
        <v>53</v>
      </c>
      <c r="AM1136" s="1354">
        <f t="shared" si="386"/>
        <v>0</v>
      </c>
      <c r="AN1136" s="1352" t="str">
        <f t="shared" si="387"/>
        <v>Special Emergency - 3 Years (Outside CAP) Unclassified</v>
      </c>
    </row>
    <row r="1137" spans="1:40" x14ac:dyDescent="0.2">
      <c r="A1137" s="1324" t="s">
        <v>5090</v>
      </c>
      <c r="B1137" s="1324" t="s">
        <v>5783</v>
      </c>
      <c r="C1137" s="1353">
        <f>'Key Metrics'!$C$433</f>
        <v>0</v>
      </c>
      <c r="D1137" s="1353">
        <f>'Key Metrics'!$G$433</f>
        <v>0</v>
      </c>
      <c r="E1137" s="1351">
        <f t="shared" si="390"/>
        <v>0</v>
      </c>
      <c r="F1137" s="1353">
        <f t="shared" si="391"/>
        <v>0</v>
      </c>
      <c r="G1137" s="1353">
        <f t="shared" si="392"/>
        <v>0</v>
      </c>
      <c r="H1137" s="1353">
        <f t="shared" si="393"/>
        <v>0</v>
      </c>
      <c r="I1137" s="1353">
        <f t="shared" si="394"/>
        <v>0</v>
      </c>
      <c r="J1137" s="1353">
        <f t="shared" si="395"/>
        <v>0</v>
      </c>
      <c r="M1137" s="1324" t="str">
        <f t="shared" si="396"/>
        <v>Special Emergency - 5 Years (Outside CAP) Salaries &amp; Wages</v>
      </c>
      <c r="N1137" s="1368">
        <v>0</v>
      </c>
      <c r="O1137" s="1368">
        <f t="shared" si="399"/>
        <v>0</v>
      </c>
      <c r="P1137" s="1368">
        <f t="shared" si="399"/>
        <v>0</v>
      </c>
      <c r="Q1137" s="1368">
        <f t="shared" si="399"/>
        <v>0</v>
      </c>
      <c r="R1137" s="1368">
        <f t="shared" si="399"/>
        <v>0</v>
      </c>
      <c r="T1137" s="1369">
        <v>0</v>
      </c>
      <c r="U1137" s="1369">
        <v>0</v>
      </c>
      <c r="V1137" s="1369">
        <v>0</v>
      </c>
      <c r="W1137" s="1369">
        <v>0</v>
      </c>
      <c r="X1137" s="1369">
        <v>0</v>
      </c>
      <c r="Y1137" s="1367"/>
      <c r="Z1137" s="1370">
        <v>0</v>
      </c>
      <c r="AA1137" s="1370">
        <v>0</v>
      </c>
      <c r="AB1137" s="1370">
        <v>0</v>
      </c>
      <c r="AC1137" s="1370">
        <v>0</v>
      </c>
      <c r="AD1137" s="1370">
        <v>0</v>
      </c>
      <c r="AK1137" s="1354">
        <f t="shared" si="389"/>
        <v>0</v>
      </c>
      <c r="AL1137" s="1352">
        <f t="shared" si="398"/>
        <v>53</v>
      </c>
      <c r="AM1137" s="1354">
        <f t="shared" si="386"/>
        <v>0</v>
      </c>
      <c r="AN1137" s="1352" t="str">
        <f t="shared" si="387"/>
        <v>Special Emergency - 5 Years (Outside CAP) Salaries &amp; Wages</v>
      </c>
    </row>
    <row r="1138" spans="1:40" x14ac:dyDescent="0.2">
      <c r="A1138" s="1324" t="str">
        <f>A1137</f>
        <v>46-880</v>
      </c>
      <c r="B1138" s="1324" t="s">
        <v>6071</v>
      </c>
      <c r="C1138" s="1353">
        <f>'Key Metrics'!$D$433</f>
        <v>0</v>
      </c>
      <c r="D1138" s="1353">
        <f>'Key Metrics'!$H$433</f>
        <v>0</v>
      </c>
      <c r="E1138" s="1351">
        <f t="shared" si="390"/>
        <v>0</v>
      </c>
      <c r="F1138" s="1353">
        <f t="shared" si="391"/>
        <v>0</v>
      </c>
      <c r="G1138" s="1353">
        <f t="shared" si="392"/>
        <v>0</v>
      </c>
      <c r="H1138" s="1353">
        <f t="shared" si="393"/>
        <v>0</v>
      </c>
      <c r="I1138" s="1353">
        <f t="shared" si="394"/>
        <v>0</v>
      </c>
      <c r="J1138" s="1353">
        <f t="shared" si="395"/>
        <v>0</v>
      </c>
      <c r="M1138" s="1324" t="str">
        <f t="shared" si="396"/>
        <v>Special Emergency - 5 Years (Outside CAP) Other Expenses</v>
      </c>
      <c r="N1138" s="1368">
        <v>0</v>
      </c>
      <c r="O1138" s="1368">
        <f t="shared" si="399"/>
        <v>0</v>
      </c>
      <c r="P1138" s="1368">
        <f t="shared" si="399"/>
        <v>0</v>
      </c>
      <c r="Q1138" s="1368">
        <f t="shared" si="399"/>
        <v>0</v>
      </c>
      <c r="R1138" s="1368">
        <f t="shared" si="399"/>
        <v>0</v>
      </c>
      <c r="T1138" s="1369">
        <v>0</v>
      </c>
      <c r="U1138" s="1369">
        <v>0</v>
      </c>
      <c r="V1138" s="1369">
        <v>0</v>
      </c>
      <c r="W1138" s="1369">
        <v>0</v>
      </c>
      <c r="X1138" s="1369">
        <v>0</v>
      </c>
      <c r="Y1138" s="1367"/>
      <c r="Z1138" s="1370">
        <v>0</v>
      </c>
      <c r="AA1138" s="1370">
        <v>0</v>
      </c>
      <c r="AB1138" s="1370">
        <v>0</v>
      </c>
      <c r="AC1138" s="1370">
        <v>0</v>
      </c>
      <c r="AD1138" s="1370">
        <v>0</v>
      </c>
      <c r="AK1138" s="1354">
        <f t="shared" si="389"/>
        <v>0</v>
      </c>
      <c r="AL1138" s="1352">
        <f t="shared" si="398"/>
        <v>53</v>
      </c>
      <c r="AM1138" s="1354">
        <f t="shared" si="386"/>
        <v>0</v>
      </c>
      <c r="AN1138" s="1352" t="str">
        <f t="shared" si="387"/>
        <v>Special Emergency - 5 Years (Outside CAP) Other Expenses</v>
      </c>
    </row>
    <row r="1139" spans="1:40" x14ac:dyDescent="0.2">
      <c r="A1139" s="1324" t="str">
        <f>A1138</f>
        <v>46-880</v>
      </c>
      <c r="B1139" s="1324" t="s">
        <v>6072</v>
      </c>
      <c r="C1139" s="1353">
        <f>'Key Metrics'!$E$433</f>
        <v>0</v>
      </c>
      <c r="D1139" s="1353">
        <f>'Key Metrics'!$I$433</f>
        <v>0</v>
      </c>
      <c r="E1139" s="1351">
        <f t="shared" si="390"/>
        <v>0</v>
      </c>
      <c r="F1139" s="1353">
        <f t="shared" si="391"/>
        <v>0</v>
      </c>
      <c r="G1139" s="1353">
        <f t="shared" si="392"/>
        <v>0</v>
      </c>
      <c r="H1139" s="1353">
        <f t="shared" si="393"/>
        <v>0</v>
      </c>
      <c r="I1139" s="1353">
        <f t="shared" si="394"/>
        <v>0</v>
      </c>
      <c r="J1139" s="1353">
        <f t="shared" si="395"/>
        <v>0</v>
      </c>
      <c r="M1139" s="1324" t="str">
        <f t="shared" si="396"/>
        <v>Special Emergency - 5 Years (Outside CAP) Unclassified</v>
      </c>
      <c r="N1139" s="1368">
        <v>0</v>
      </c>
      <c r="O1139" s="1368">
        <f t="shared" si="399"/>
        <v>0</v>
      </c>
      <c r="P1139" s="1368">
        <f t="shared" si="399"/>
        <v>0</v>
      </c>
      <c r="Q1139" s="1368">
        <f t="shared" si="399"/>
        <v>0</v>
      </c>
      <c r="R1139" s="1368">
        <f t="shared" si="399"/>
        <v>0</v>
      </c>
      <c r="T1139" s="1369">
        <v>0</v>
      </c>
      <c r="U1139" s="1369">
        <v>0</v>
      </c>
      <c r="V1139" s="1369">
        <v>0</v>
      </c>
      <c r="W1139" s="1369">
        <v>0</v>
      </c>
      <c r="X1139" s="1369">
        <v>0</v>
      </c>
      <c r="Y1139" s="1367"/>
      <c r="Z1139" s="1370">
        <v>0</v>
      </c>
      <c r="AA1139" s="1370">
        <v>0</v>
      </c>
      <c r="AB1139" s="1370">
        <v>0</v>
      </c>
      <c r="AC1139" s="1370">
        <v>0</v>
      </c>
      <c r="AD1139" s="1370">
        <v>0</v>
      </c>
      <c r="AK1139" s="1354">
        <f t="shared" si="389"/>
        <v>0</v>
      </c>
      <c r="AL1139" s="1352">
        <f t="shared" si="398"/>
        <v>53</v>
      </c>
      <c r="AM1139" s="1354">
        <f t="shared" si="386"/>
        <v>0</v>
      </c>
      <c r="AN1139" s="1352" t="str">
        <f t="shared" si="387"/>
        <v>Special Emergency - 5 Years (Outside CAP) Unclassified</v>
      </c>
    </row>
    <row r="1140" spans="1:40" x14ac:dyDescent="0.2">
      <c r="A1140" s="1324" t="s">
        <v>5097</v>
      </c>
      <c r="B1140" s="1324" t="s">
        <v>5784</v>
      </c>
      <c r="C1140" s="1353">
        <f>'Key Metrics'!$C$434</f>
        <v>0</v>
      </c>
      <c r="D1140" s="1353">
        <f>'Key Metrics'!$G$434</f>
        <v>0</v>
      </c>
      <c r="E1140" s="1351">
        <f t="shared" si="390"/>
        <v>0</v>
      </c>
      <c r="F1140" s="1353">
        <f t="shared" si="391"/>
        <v>0</v>
      </c>
      <c r="G1140" s="1353">
        <f t="shared" si="392"/>
        <v>0</v>
      </c>
      <c r="H1140" s="1353">
        <f t="shared" si="393"/>
        <v>0</v>
      </c>
      <c r="I1140" s="1353">
        <f t="shared" si="394"/>
        <v>0</v>
      </c>
      <c r="J1140" s="1353">
        <f t="shared" si="395"/>
        <v>0</v>
      </c>
      <c r="M1140" s="1324" t="str">
        <f t="shared" si="396"/>
        <v>Deferred Charges to Future Taxation - Unfunded (Outside CAP) Salaries &amp; Wages</v>
      </c>
      <c r="N1140" s="1368">
        <v>0</v>
      </c>
      <c r="O1140" s="1368">
        <f t="shared" si="399"/>
        <v>0</v>
      </c>
      <c r="P1140" s="1368">
        <f t="shared" si="399"/>
        <v>0</v>
      </c>
      <c r="Q1140" s="1368">
        <f t="shared" si="399"/>
        <v>0</v>
      </c>
      <c r="R1140" s="1368">
        <f t="shared" si="399"/>
        <v>0</v>
      </c>
      <c r="T1140" s="1369">
        <v>0</v>
      </c>
      <c r="U1140" s="1369">
        <v>0</v>
      </c>
      <c r="V1140" s="1369">
        <v>0</v>
      </c>
      <c r="W1140" s="1369">
        <v>0</v>
      </c>
      <c r="X1140" s="1369">
        <v>0</v>
      </c>
      <c r="Y1140" s="1367"/>
      <c r="Z1140" s="1370">
        <v>0</v>
      </c>
      <c r="AA1140" s="1370">
        <v>0</v>
      </c>
      <c r="AB1140" s="1370">
        <v>0</v>
      </c>
      <c r="AC1140" s="1370">
        <v>0</v>
      </c>
      <c r="AD1140" s="1370">
        <v>0</v>
      </c>
      <c r="AK1140" s="1354">
        <f t="shared" si="389"/>
        <v>0</v>
      </c>
      <c r="AL1140" s="1352">
        <f t="shared" si="398"/>
        <v>53</v>
      </c>
      <c r="AM1140" s="1354">
        <f t="shared" si="386"/>
        <v>0</v>
      </c>
      <c r="AN1140" s="1352" t="str">
        <f t="shared" si="387"/>
        <v>Deferred Charges to Future Taxation - Unfunded (Outside CAP) Salaries &amp; Wages</v>
      </c>
    </row>
    <row r="1141" spans="1:40" x14ac:dyDescent="0.2">
      <c r="A1141" s="1324" t="str">
        <f>A1140</f>
        <v>46-892</v>
      </c>
      <c r="B1141" s="1324" t="s">
        <v>6073</v>
      </c>
      <c r="C1141" s="1353">
        <f>'Key Metrics'!$D$434</f>
        <v>0</v>
      </c>
      <c r="D1141" s="1353">
        <f>'Key Metrics'!$H$434</f>
        <v>0</v>
      </c>
      <c r="E1141" s="1351">
        <f t="shared" si="390"/>
        <v>0</v>
      </c>
      <c r="F1141" s="1353">
        <f t="shared" si="391"/>
        <v>0</v>
      </c>
      <c r="G1141" s="1353">
        <f t="shared" si="392"/>
        <v>0</v>
      </c>
      <c r="H1141" s="1353">
        <f t="shared" si="393"/>
        <v>0</v>
      </c>
      <c r="I1141" s="1353">
        <f t="shared" si="394"/>
        <v>0</v>
      </c>
      <c r="J1141" s="1353">
        <f t="shared" si="395"/>
        <v>0</v>
      </c>
      <c r="M1141" s="1324" t="str">
        <f t="shared" si="396"/>
        <v>Deferred Charges to Future Taxation - Unfunded (Outside CAP) Other Expenses</v>
      </c>
      <c r="N1141" s="1368">
        <v>0</v>
      </c>
      <c r="O1141" s="1368">
        <f t="shared" si="399"/>
        <v>0</v>
      </c>
      <c r="P1141" s="1368">
        <f t="shared" si="399"/>
        <v>0</v>
      </c>
      <c r="Q1141" s="1368">
        <f t="shared" si="399"/>
        <v>0</v>
      </c>
      <c r="R1141" s="1368">
        <f t="shared" si="399"/>
        <v>0</v>
      </c>
      <c r="T1141" s="1369">
        <v>0</v>
      </c>
      <c r="U1141" s="1369">
        <v>0</v>
      </c>
      <c r="V1141" s="1369">
        <v>0</v>
      </c>
      <c r="W1141" s="1369">
        <v>0</v>
      </c>
      <c r="X1141" s="1369">
        <v>0</v>
      </c>
      <c r="Y1141" s="1367"/>
      <c r="Z1141" s="1370">
        <v>0</v>
      </c>
      <c r="AA1141" s="1370">
        <v>0</v>
      </c>
      <c r="AB1141" s="1370">
        <v>0</v>
      </c>
      <c r="AC1141" s="1370">
        <v>0</v>
      </c>
      <c r="AD1141" s="1370">
        <v>0</v>
      </c>
      <c r="AK1141" s="1354">
        <f t="shared" si="389"/>
        <v>0</v>
      </c>
      <c r="AL1141" s="1352">
        <f t="shared" si="398"/>
        <v>53</v>
      </c>
      <c r="AM1141" s="1354">
        <f t="shared" si="386"/>
        <v>0</v>
      </c>
      <c r="AN1141" s="1352" t="str">
        <f t="shared" si="387"/>
        <v>Deferred Charges to Future Taxation - Unfunded (Outside CAP) Other Expenses</v>
      </c>
    </row>
    <row r="1142" spans="1:40" x14ac:dyDescent="0.2">
      <c r="A1142" s="1324" t="str">
        <f>A1141</f>
        <v>46-892</v>
      </c>
      <c r="B1142" s="1324" t="s">
        <v>6074</v>
      </c>
      <c r="C1142" s="1353">
        <f>'Key Metrics'!$E$434</f>
        <v>0</v>
      </c>
      <c r="D1142" s="1353">
        <f>'Key Metrics'!$I$434</f>
        <v>0</v>
      </c>
      <c r="E1142" s="1351">
        <f t="shared" si="390"/>
        <v>0</v>
      </c>
      <c r="F1142" s="1353">
        <f t="shared" si="391"/>
        <v>0</v>
      </c>
      <c r="G1142" s="1353">
        <f t="shared" si="392"/>
        <v>0</v>
      </c>
      <c r="H1142" s="1353">
        <f t="shared" si="393"/>
        <v>0</v>
      </c>
      <c r="I1142" s="1353">
        <f t="shared" si="394"/>
        <v>0</v>
      </c>
      <c r="J1142" s="1353">
        <f t="shared" si="395"/>
        <v>0</v>
      </c>
      <c r="M1142" s="1324" t="str">
        <f t="shared" si="396"/>
        <v>Deferred Charges to Future Taxation - Unfunded (Outside CAP) Unclassified</v>
      </c>
      <c r="N1142" s="1368">
        <v>0</v>
      </c>
      <c r="O1142" s="1368">
        <f t="shared" si="399"/>
        <v>0</v>
      </c>
      <c r="P1142" s="1368">
        <f t="shared" si="399"/>
        <v>0</v>
      </c>
      <c r="Q1142" s="1368">
        <f t="shared" si="399"/>
        <v>0</v>
      </c>
      <c r="R1142" s="1368">
        <f t="shared" si="399"/>
        <v>0</v>
      </c>
      <c r="T1142" s="1369">
        <v>0</v>
      </c>
      <c r="U1142" s="1369">
        <v>0</v>
      </c>
      <c r="V1142" s="1369">
        <v>0</v>
      </c>
      <c r="W1142" s="1369">
        <v>0</v>
      </c>
      <c r="X1142" s="1369">
        <v>0</v>
      </c>
      <c r="Y1142" s="1367"/>
      <c r="Z1142" s="1370">
        <v>0</v>
      </c>
      <c r="AA1142" s="1370">
        <v>0</v>
      </c>
      <c r="AB1142" s="1370">
        <v>0</v>
      </c>
      <c r="AC1142" s="1370">
        <v>0</v>
      </c>
      <c r="AD1142" s="1370">
        <v>0</v>
      </c>
      <c r="AK1142" s="1354">
        <f t="shared" si="389"/>
        <v>0</v>
      </c>
      <c r="AL1142" s="1352">
        <f t="shared" si="398"/>
        <v>53</v>
      </c>
      <c r="AM1142" s="1354">
        <f t="shared" si="386"/>
        <v>0</v>
      </c>
      <c r="AN1142" s="1352" t="str">
        <f t="shared" si="387"/>
        <v>Deferred Charges to Future Taxation - Unfunded (Outside CAP) Unclassified</v>
      </c>
    </row>
    <row r="1143" spans="1:40" x14ac:dyDescent="0.2">
      <c r="A1143" s="1324" t="s">
        <v>5096</v>
      </c>
      <c r="B1143" s="1324" t="s">
        <v>5785</v>
      </c>
      <c r="C1143" s="1353">
        <f>'Key Metrics'!$C$435</f>
        <v>0</v>
      </c>
      <c r="D1143" s="1353">
        <f>'Key Metrics'!$G$435</f>
        <v>0</v>
      </c>
      <c r="E1143" s="1351">
        <f t="shared" si="390"/>
        <v>0</v>
      </c>
      <c r="F1143" s="1353">
        <f t="shared" si="391"/>
        <v>0</v>
      </c>
      <c r="G1143" s="1353">
        <f t="shared" si="392"/>
        <v>0</v>
      </c>
      <c r="H1143" s="1353">
        <f t="shared" si="393"/>
        <v>0</v>
      </c>
      <c r="I1143" s="1353">
        <f t="shared" si="394"/>
        <v>0</v>
      </c>
      <c r="J1143" s="1353">
        <f t="shared" si="395"/>
        <v>0</v>
      </c>
      <c r="M1143" s="1324" t="str">
        <f t="shared" si="396"/>
        <v>Over expenditures (In CAP) Salaries &amp; Wages</v>
      </c>
      <c r="N1143" s="1368">
        <v>0</v>
      </c>
      <c r="O1143" s="1368">
        <f t="shared" si="399"/>
        <v>0</v>
      </c>
      <c r="P1143" s="1368">
        <f t="shared" si="399"/>
        <v>0</v>
      </c>
      <c r="Q1143" s="1368">
        <f t="shared" si="399"/>
        <v>0</v>
      </c>
      <c r="R1143" s="1368">
        <f t="shared" si="399"/>
        <v>0</v>
      </c>
      <c r="T1143" s="1369">
        <v>0</v>
      </c>
      <c r="U1143" s="1369">
        <v>0</v>
      </c>
      <c r="V1143" s="1369">
        <v>0</v>
      </c>
      <c r="W1143" s="1369">
        <v>0</v>
      </c>
      <c r="X1143" s="1369">
        <v>0</v>
      </c>
      <c r="Y1143" s="1367"/>
      <c r="Z1143" s="1370">
        <v>0</v>
      </c>
      <c r="AA1143" s="1370">
        <v>0</v>
      </c>
      <c r="AB1143" s="1370">
        <v>0</v>
      </c>
      <c r="AC1143" s="1370">
        <v>0</v>
      </c>
      <c r="AD1143" s="1370">
        <v>0</v>
      </c>
      <c r="AK1143" s="1354">
        <f t="shared" si="389"/>
        <v>0</v>
      </c>
      <c r="AL1143" s="1352">
        <f t="shared" si="398"/>
        <v>53</v>
      </c>
      <c r="AM1143" s="1354">
        <f t="shared" si="386"/>
        <v>0</v>
      </c>
      <c r="AN1143" s="1352" t="str">
        <f t="shared" si="387"/>
        <v>Over expenditures (In CAP) Salaries &amp; Wages</v>
      </c>
    </row>
    <row r="1144" spans="1:40" x14ac:dyDescent="0.2">
      <c r="A1144" s="1324" t="str">
        <f>A1143</f>
        <v>46-894</v>
      </c>
      <c r="B1144" s="1324" t="s">
        <v>6075</v>
      </c>
      <c r="C1144" s="1353">
        <f>'Key Metrics'!$D$435</f>
        <v>0</v>
      </c>
      <c r="D1144" s="1353">
        <f>'Key Metrics'!$H$435</f>
        <v>0</v>
      </c>
      <c r="E1144" s="1351">
        <f t="shared" si="390"/>
        <v>0</v>
      </c>
      <c r="F1144" s="1353">
        <f t="shared" si="391"/>
        <v>0</v>
      </c>
      <c r="G1144" s="1353">
        <f t="shared" si="392"/>
        <v>0</v>
      </c>
      <c r="H1144" s="1353">
        <f t="shared" si="393"/>
        <v>0</v>
      </c>
      <c r="I1144" s="1353">
        <f t="shared" si="394"/>
        <v>0</v>
      </c>
      <c r="J1144" s="1353">
        <f t="shared" si="395"/>
        <v>0</v>
      </c>
      <c r="M1144" s="1324" t="str">
        <f t="shared" si="396"/>
        <v>Over expenditures (In CAP) Other Expenses</v>
      </c>
      <c r="N1144" s="1368">
        <v>0</v>
      </c>
      <c r="O1144" s="1368">
        <f t="shared" si="399"/>
        <v>0</v>
      </c>
      <c r="P1144" s="1368">
        <f t="shared" si="399"/>
        <v>0</v>
      </c>
      <c r="Q1144" s="1368">
        <f t="shared" si="399"/>
        <v>0</v>
      </c>
      <c r="R1144" s="1368">
        <f t="shared" si="399"/>
        <v>0</v>
      </c>
      <c r="T1144" s="1369">
        <v>0</v>
      </c>
      <c r="U1144" s="1369">
        <v>0</v>
      </c>
      <c r="V1144" s="1369">
        <v>0</v>
      </c>
      <c r="W1144" s="1369">
        <v>0</v>
      </c>
      <c r="X1144" s="1369">
        <v>0</v>
      </c>
      <c r="Y1144" s="1367"/>
      <c r="Z1144" s="1370">
        <v>0</v>
      </c>
      <c r="AA1144" s="1370">
        <v>0</v>
      </c>
      <c r="AB1144" s="1370">
        <v>0</v>
      </c>
      <c r="AC1144" s="1370">
        <v>0</v>
      </c>
      <c r="AD1144" s="1370">
        <v>0</v>
      </c>
      <c r="AK1144" s="1354">
        <f t="shared" si="389"/>
        <v>0</v>
      </c>
      <c r="AL1144" s="1352">
        <f t="shared" si="398"/>
        <v>53</v>
      </c>
      <c r="AM1144" s="1354">
        <f t="shared" si="386"/>
        <v>0</v>
      </c>
      <c r="AN1144" s="1352" t="str">
        <f t="shared" si="387"/>
        <v>Over expenditures (In CAP) Other Expenses</v>
      </c>
    </row>
    <row r="1145" spans="1:40" x14ac:dyDescent="0.2">
      <c r="A1145" s="1324" t="str">
        <f>A1144</f>
        <v>46-894</v>
      </c>
      <c r="B1145" s="1324" t="s">
        <v>6076</v>
      </c>
      <c r="C1145" s="1353">
        <f>'Key Metrics'!$E$435</f>
        <v>0</v>
      </c>
      <c r="D1145" s="1353">
        <f>'Key Metrics'!$I$435</f>
        <v>0</v>
      </c>
      <c r="E1145" s="1351">
        <f t="shared" si="390"/>
        <v>0</v>
      </c>
      <c r="F1145" s="1353">
        <f t="shared" si="391"/>
        <v>0</v>
      </c>
      <c r="G1145" s="1353">
        <f t="shared" si="392"/>
        <v>0</v>
      </c>
      <c r="H1145" s="1353">
        <f t="shared" si="393"/>
        <v>0</v>
      </c>
      <c r="I1145" s="1353">
        <f t="shared" si="394"/>
        <v>0</v>
      </c>
      <c r="J1145" s="1353">
        <f t="shared" si="395"/>
        <v>0</v>
      </c>
      <c r="M1145" s="1324" t="str">
        <f t="shared" si="396"/>
        <v>Over expenditures (In CAP) Unclassified</v>
      </c>
      <c r="N1145" s="1368">
        <v>0</v>
      </c>
      <c r="O1145" s="1368">
        <f t="shared" ref="O1145:R1151" si="400">N1145</f>
        <v>0</v>
      </c>
      <c r="P1145" s="1368">
        <f t="shared" si="400"/>
        <v>0</v>
      </c>
      <c r="Q1145" s="1368">
        <f t="shared" si="400"/>
        <v>0</v>
      </c>
      <c r="R1145" s="1368">
        <f t="shared" si="400"/>
        <v>0</v>
      </c>
      <c r="T1145" s="1369">
        <v>0</v>
      </c>
      <c r="U1145" s="1369">
        <v>0</v>
      </c>
      <c r="V1145" s="1369">
        <v>0</v>
      </c>
      <c r="W1145" s="1369">
        <v>0</v>
      </c>
      <c r="X1145" s="1369">
        <v>0</v>
      </c>
      <c r="Y1145" s="1367"/>
      <c r="Z1145" s="1370">
        <v>0</v>
      </c>
      <c r="AA1145" s="1370">
        <v>0</v>
      </c>
      <c r="AB1145" s="1370">
        <v>0</v>
      </c>
      <c r="AC1145" s="1370">
        <v>0</v>
      </c>
      <c r="AD1145" s="1370">
        <v>0</v>
      </c>
      <c r="AK1145" s="1354">
        <f t="shared" si="389"/>
        <v>0</v>
      </c>
      <c r="AL1145" s="1352">
        <f t="shared" si="398"/>
        <v>53</v>
      </c>
      <c r="AM1145" s="1354">
        <f t="shared" si="386"/>
        <v>0</v>
      </c>
      <c r="AN1145" s="1352" t="str">
        <f t="shared" si="387"/>
        <v>Over expenditures (In CAP) Unclassified</v>
      </c>
    </row>
    <row r="1146" spans="1:40" x14ac:dyDescent="0.2">
      <c r="A1146" s="1324" t="s">
        <v>5102</v>
      </c>
      <c r="B1146" s="1324" t="s">
        <v>5786</v>
      </c>
      <c r="C1146" s="1353">
        <f>'Key Metrics'!$C$436</f>
        <v>0</v>
      </c>
      <c r="D1146" s="1353">
        <f>'Key Metrics'!$G$436</f>
        <v>0</v>
      </c>
      <c r="E1146" s="1351">
        <f t="shared" si="390"/>
        <v>0</v>
      </c>
      <c r="F1146" s="1353">
        <f t="shared" si="391"/>
        <v>0</v>
      </c>
      <c r="G1146" s="1353">
        <f t="shared" si="392"/>
        <v>0</v>
      </c>
      <c r="H1146" s="1353">
        <f t="shared" si="393"/>
        <v>0</v>
      </c>
      <c r="I1146" s="1353">
        <f t="shared" si="394"/>
        <v>0</v>
      </c>
      <c r="J1146" s="1353">
        <f t="shared" si="395"/>
        <v>0</v>
      </c>
      <c r="M1146" s="1324" t="str">
        <f t="shared" si="396"/>
        <v>Expenditure without Appropriation (In CAP) Salaries &amp; Wages</v>
      </c>
      <c r="N1146" s="1368">
        <v>0</v>
      </c>
      <c r="O1146" s="1368">
        <f t="shared" si="400"/>
        <v>0</v>
      </c>
      <c r="P1146" s="1368">
        <f t="shared" si="400"/>
        <v>0</v>
      </c>
      <c r="Q1146" s="1368">
        <f t="shared" si="400"/>
        <v>0</v>
      </c>
      <c r="R1146" s="1368">
        <f t="shared" si="400"/>
        <v>0</v>
      </c>
      <c r="T1146" s="1369">
        <v>0</v>
      </c>
      <c r="U1146" s="1369">
        <v>0</v>
      </c>
      <c r="V1146" s="1369">
        <v>0</v>
      </c>
      <c r="W1146" s="1369">
        <v>0</v>
      </c>
      <c r="X1146" s="1369">
        <v>0</v>
      </c>
      <c r="Y1146" s="1367"/>
      <c r="Z1146" s="1370">
        <v>0</v>
      </c>
      <c r="AA1146" s="1370">
        <v>0</v>
      </c>
      <c r="AB1146" s="1370">
        <v>0</v>
      </c>
      <c r="AC1146" s="1370">
        <v>0</v>
      </c>
      <c r="AD1146" s="1370">
        <v>0</v>
      </c>
      <c r="AK1146" s="1354">
        <f t="shared" si="389"/>
        <v>0</v>
      </c>
      <c r="AL1146" s="1352">
        <f t="shared" si="398"/>
        <v>53</v>
      </c>
      <c r="AM1146" s="1354">
        <f t="shared" si="386"/>
        <v>0</v>
      </c>
      <c r="AN1146" s="1352" t="str">
        <f t="shared" si="387"/>
        <v>Expenditure without Appropriation (In CAP) Salaries &amp; Wages</v>
      </c>
    </row>
    <row r="1147" spans="1:40" x14ac:dyDescent="0.2">
      <c r="A1147" s="1324" t="str">
        <f>A1146</f>
        <v>46-895</v>
      </c>
      <c r="B1147" s="1324" t="s">
        <v>6077</v>
      </c>
      <c r="C1147" s="1353">
        <f>'Key Metrics'!$D$436</f>
        <v>0</v>
      </c>
      <c r="D1147" s="1353">
        <f>'Key Metrics'!$H$436</f>
        <v>0</v>
      </c>
      <c r="E1147" s="1351">
        <f t="shared" si="390"/>
        <v>0</v>
      </c>
      <c r="F1147" s="1353">
        <f t="shared" si="391"/>
        <v>0</v>
      </c>
      <c r="G1147" s="1353">
        <f t="shared" si="392"/>
        <v>0</v>
      </c>
      <c r="H1147" s="1353">
        <f t="shared" si="393"/>
        <v>0</v>
      </c>
      <c r="I1147" s="1353">
        <f t="shared" si="394"/>
        <v>0</v>
      </c>
      <c r="J1147" s="1353">
        <f t="shared" si="395"/>
        <v>0</v>
      </c>
      <c r="M1147" s="1324" t="str">
        <f t="shared" si="396"/>
        <v>Expenditure without Appropriation (In CAP) Other Expenses</v>
      </c>
      <c r="N1147" s="1368">
        <v>0</v>
      </c>
      <c r="O1147" s="1368">
        <f t="shared" si="400"/>
        <v>0</v>
      </c>
      <c r="P1147" s="1368">
        <f t="shared" si="400"/>
        <v>0</v>
      </c>
      <c r="Q1147" s="1368">
        <f t="shared" si="400"/>
        <v>0</v>
      </c>
      <c r="R1147" s="1368">
        <f t="shared" si="400"/>
        <v>0</v>
      </c>
      <c r="T1147" s="1369">
        <v>0</v>
      </c>
      <c r="U1147" s="1369">
        <v>0</v>
      </c>
      <c r="V1147" s="1369">
        <v>0</v>
      </c>
      <c r="W1147" s="1369">
        <v>0</v>
      </c>
      <c r="X1147" s="1369">
        <v>0</v>
      </c>
      <c r="Y1147" s="1367"/>
      <c r="Z1147" s="1370">
        <v>0</v>
      </c>
      <c r="AA1147" s="1370">
        <v>0</v>
      </c>
      <c r="AB1147" s="1370">
        <v>0</v>
      </c>
      <c r="AC1147" s="1370">
        <v>0</v>
      </c>
      <c r="AD1147" s="1370">
        <v>0</v>
      </c>
      <c r="AK1147" s="1354">
        <f t="shared" si="389"/>
        <v>0</v>
      </c>
      <c r="AL1147" s="1352">
        <f t="shared" si="398"/>
        <v>53</v>
      </c>
      <c r="AM1147" s="1354">
        <f t="shared" ref="AM1147:AM1172" si="401">J1147-D1147</f>
        <v>0</v>
      </c>
      <c r="AN1147" s="1352" t="str">
        <f t="shared" ref="AN1147:AN1172" si="402">B1147</f>
        <v>Expenditure without Appropriation (In CAP) Other Expenses</v>
      </c>
    </row>
    <row r="1148" spans="1:40" x14ac:dyDescent="0.2">
      <c r="A1148" s="1324" t="str">
        <f>A1147</f>
        <v>46-895</v>
      </c>
      <c r="B1148" s="1324" t="s">
        <v>6078</v>
      </c>
      <c r="C1148" s="1353">
        <f>'Key Metrics'!$E$436</f>
        <v>0</v>
      </c>
      <c r="D1148" s="1353">
        <f>'Key Metrics'!$I$436</f>
        <v>0</v>
      </c>
      <c r="E1148" s="1351">
        <f t="shared" si="390"/>
        <v>0</v>
      </c>
      <c r="F1148" s="1353">
        <f t="shared" si="391"/>
        <v>0</v>
      </c>
      <c r="G1148" s="1353">
        <f t="shared" si="392"/>
        <v>0</v>
      </c>
      <c r="H1148" s="1353">
        <f t="shared" si="393"/>
        <v>0</v>
      </c>
      <c r="I1148" s="1353">
        <f t="shared" si="394"/>
        <v>0</v>
      </c>
      <c r="J1148" s="1353">
        <f t="shared" si="395"/>
        <v>0</v>
      </c>
      <c r="M1148" s="1324" t="str">
        <f t="shared" si="396"/>
        <v>Expenditure without Appropriation (In CAP) Unclassified</v>
      </c>
      <c r="N1148" s="1368">
        <v>0</v>
      </c>
      <c r="O1148" s="1368">
        <f t="shared" si="400"/>
        <v>0</v>
      </c>
      <c r="P1148" s="1368">
        <f t="shared" si="400"/>
        <v>0</v>
      </c>
      <c r="Q1148" s="1368">
        <f t="shared" si="400"/>
        <v>0</v>
      </c>
      <c r="R1148" s="1368">
        <f t="shared" si="400"/>
        <v>0</v>
      </c>
      <c r="T1148" s="1369">
        <v>0</v>
      </c>
      <c r="U1148" s="1369">
        <v>0</v>
      </c>
      <c r="V1148" s="1369">
        <v>0</v>
      </c>
      <c r="W1148" s="1369">
        <v>0</v>
      </c>
      <c r="X1148" s="1369">
        <v>0</v>
      </c>
      <c r="Y1148" s="1367"/>
      <c r="Z1148" s="1370">
        <v>0</v>
      </c>
      <c r="AA1148" s="1370">
        <v>0</v>
      </c>
      <c r="AB1148" s="1370">
        <v>0</v>
      </c>
      <c r="AC1148" s="1370">
        <v>0</v>
      </c>
      <c r="AD1148" s="1370">
        <v>0</v>
      </c>
      <c r="AK1148" s="1354">
        <f t="shared" si="389"/>
        <v>0</v>
      </c>
      <c r="AL1148" s="1352">
        <f t="shared" si="398"/>
        <v>53</v>
      </c>
      <c r="AM1148" s="1354">
        <f t="shared" si="401"/>
        <v>0</v>
      </c>
      <c r="AN1148" s="1352" t="str">
        <f t="shared" si="402"/>
        <v>Expenditure without Appropriation (In CAP) Unclassified</v>
      </c>
    </row>
    <row r="1149" spans="1:40" x14ac:dyDescent="0.2">
      <c r="A1149" s="1324" t="s">
        <v>5103</v>
      </c>
      <c r="B1149" s="1324" t="s">
        <v>5787</v>
      </c>
      <c r="C1149" s="1353">
        <f>'Key Metrics'!$C$437</f>
        <v>0</v>
      </c>
      <c r="D1149" s="1353">
        <f>'Key Metrics'!$G$437</f>
        <v>0</v>
      </c>
      <c r="E1149" s="1351">
        <f t="shared" si="390"/>
        <v>0</v>
      </c>
      <c r="F1149" s="1353">
        <f t="shared" si="391"/>
        <v>0</v>
      </c>
      <c r="G1149" s="1353">
        <f t="shared" si="392"/>
        <v>0</v>
      </c>
      <c r="H1149" s="1353">
        <f t="shared" si="393"/>
        <v>0</v>
      </c>
      <c r="I1149" s="1353">
        <f t="shared" si="394"/>
        <v>0</v>
      </c>
      <c r="J1149" s="1353">
        <f t="shared" si="395"/>
        <v>0</v>
      </c>
      <c r="M1149" s="1324" t="str">
        <f t="shared" si="396"/>
        <v>Other Deferred Charge (Outside CAP) Salaries &amp; Wages</v>
      </c>
      <c r="N1149" s="1368">
        <v>0</v>
      </c>
      <c r="O1149" s="1368">
        <f t="shared" si="400"/>
        <v>0</v>
      </c>
      <c r="P1149" s="1368">
        <f t="shared" si="400"/>
        <v>0</v>
      </c>
      <c r="Q1149" s="1368">
        <f t="shared" si="400"/>
        <v>0</v>
      </c>
      <c r="R1149" s="1368">
        <f t="shared" si="400"/>
        <v>0</v>
      </c>
      <c r="T1149" s="1369">
        <v>0</v>
      </c>
      <c r="U1149" s="1369">
        <v>0</v>
      </c>
      <c r="V1149" s="1369">
        <v>0</v>
      </c>
      <c r="W1149" s="1369">
        <v>0</v>
      </c>
      <c r="X1149" s="1369">
        <v>0</v>
      </c>
      <c r="Y1149" s="1367"/>
      <c r="Z1149" s="1370">
        <v>0</v>
      </c>
      <c r="AA1149" s="1370">
        <v>0</v>
      </c>
      <c r="AB1149" s="1370">
        <v>0</v>
      </c>
      <c r="AC1149" s="1370">
        <v>0</v>
      </c>
      <c r="AD1149" s="1370">
        <v>0</v>
      </c>
      <c r="AK1149" s="1354">
        <f t="shared" si="389"/>
        <v>0</v>
      </c>
      <c r="AL1149" s="1352">
        <f t="shared" si="398"/>
        <v>53</v>
      </c>
      <c r="AM1149" s="1354">
        <f t="shared" si="401"/>
        <v>0</v>
      </c>
      <c r="AN1149" s="1352" t="str">
        <f t="shared" si="402"/>
        <v>Other Deferred Charge (Outside CAP) Salaries &amp; Wages</v>
      </c>
    </row>
    <row r="1150" spans="1:40" x14ac:dyDescent="0.2">
      <c r="A1150" s="1324" t="str">
        <f>A1149</f>
        <v>46-896</v>
      </c>
      <c r="B1150" s="1324" t="s">
        <v>6079</v>
      </c>
      <c r="C1150" s="1353">
        <f>'Key Metrics'!$D$437</f>
        <v>0</v>
      </c>
      <c r="D1150" s="1353">
        <f>'Key Metrics'!$H$437</f>
        <v>0</v>
      </c>
      <c r="E1150" s="1351">
        <f t="shared" si="390"/>
        <v>0</v>
      </c>
      <c r="F1150" s="1353">
        <f t="shared" si="391"/>
        <v>0</v>
      </c>
      <c r="G1150" s="1353">
        <f t="shared" si="392"/>
        <v>0</v>
      </c>
      <c r="H1150" s="1353">
        <f t="shared" si="393"/>
        <v>0</v>
      </c>
      <c r="I1150" s="1353">
        <f t="shared" si="394"/>
        <v>0</v>
      </c>
      <c r="J1150" s="1353">
        <f t="shared" si="395"/>
        <v>0</v>
      </c>
      <c r="M1150" s="1324" t="str">
        <f t="shared" si="396"/>
        <v>Other Deferred Charge (Outside CAP) Other Expenses</v>
      </c>
      <c r="N1150" s="1368">
        <v>0</v>
      </c>
      <c r="O1150" s="1368">
        <f t="shared" si="400"/>
        <v>0</v>
      </c>
      <c r="P1150" s="1368">
        <f t="shared" si="400"/>
        <v>0</v>
      </c>
      <c r="Q1150" s="1368">
        <f t="shared" si="400"/>
        <v>0</v>
      </c>
      <c r="R1150" s="1368">
        <f t="shared" si="400"/>
        <v>0</v>
      </c>
      <c r="T1150" s="1369">
        <v>0</v>
      </c>
      <c r="U1150" s="1369">
        <v>0</v>
      </c>
      <c r="V1150" s="1369">
        <v>0</v>
      </c>
      <c r="W1150" s="1369">
        <v>0</v>
      </c>
      <c r="X1150" s="1369">
        <v>0</v>
      </c>
      <c r="Y1150" s="1367"/>
      <c r="Z1150" s="1370">
        <v>0</v>
      </c>
      <c r="AA1150" s="1370">
        <v>0</v>
      </c>
      <c r="AB1150" s="1370">
        <v>0</v>
      </c>
      <c r="AC1150" s="1370">
        <v>0</v>
      </c>
      <c r="AD1150" s="1370">
        <v>0</v>
      </c>
      <c r="AK1150" s="1354">
        <f t="shared" si="389"/>
        <v>0</v>
      </c>
      <c r="AL1150" s="1352">
        <f t="shared" si="398"/>
        <v>53</v>
      </c>
      <c r="AM1150" s="1354">
        <f t="shared" si="401"/>
        <v>0</v>
      </c>
      <c r="AN1150" s="1352" t="str">
        <f t="shared" si="402"/>
        <v>Other Deferred Charge (Outside CAP) Other Expenses</v>
      </c>
    </row>
    <row r="1151" spans="1:40" x14ac:dyDescent="0.2">
      <c r="A1151" s="1324" t="str">
        <f>A1150</f>
        <v>46-896</v>
      </c>
      <c r="B1151" s="1324" t="s">
        <v>6080</v>
      </c>
      <c r="C1151" s="1353">
        <f>'Key Metrics'!$E$437</f>
        <v>0</v>
      </c>
      <c r="D1151" s="1353">
        <f>'Key Metrics'!$I$437</f>
        <v>0</v>
      </c>
      <c r="E1151" s="1351">
        <f t="shared" si="390"/>
        <v>0</v>
      </c>
      <c r="F1151" s="1353">
        <f t="shared" si="391"/>
        <v>0</v>
      </c>
      <c r="G1151" s="1353">
        <f t="shared" si="392"/>
        <v>0</v>
      </c>
      <c r="H1151" s="1353">
        <f t="shared" si="393"/>
        <v>0</v>
      </c>
      <c r="I1151" s="1353">
        <f t="shared" si="394"/>
        <v>0</v>
      </c>
      <c r="J1151" s="1353">
        <f t="shared" si="395"/>
        <v>0</v>
      </c>
      <c r="M1151" s="1324" t="str">
        <f t="shared" si="396"/>
        <v>Other Deferred Charge (Outside CAP) Unclassified</v>
      </c>
      <c r="N1151" s="1368">
        <v>0</v>
      </c>
      <c r="O1151" s="1368">
        <f t="shared" si="400"/>
        <v>0</v>
      </c>
      <c r="P1151" s="1368">
        <f t="shared" si="400"/>
        <v>0</v>
      </c>
      <c r="Q1151" s="1368">
        <f t="shared" si="400"/>
        <v>0</v>
      </c>
      <c r="R1151" s="1368">
        <f t="shared" si="400"/>
        <v>0</v>
      </c>
      <c r="T1151" s="1369">
        <v>0</v>
      </c>
      <c r="U1151" s="1369">
        <v>0</v>
      </c>
      <c r="V1151" s="1369">
        <v>0</v>
      </c>
      <c r="W1151" s="1369">
        <v>0</v>
      </c>
      <c r="X1151" s="1369">
        <v>0</v>
      </c>
      <c r="Y1151" s="1367"/>
      <c r="Z1151" s="1370">
        <v>0</v>
      </c>
      <c r="AA1151" s="1370">
        <v>0</v>
      </c>
      <c r="AB1151" s="1370">
        <v>0</v>
      </c>
      <c r="AC1151" s="1370">
        <v>0</v>
      </c>
      <c r="AD1151" s="1370">
        <v>0</v>
      </c>
      <c r="AK1151" s="1354">
        <f t="shared" si="389"/>
        <v>0</v>
      </c>
      <c r="AL1151" s="1352">
        <f t="shared" si="398"/>
        <v>53</v>
      </c>
      <c r="AM1151" s="1354">
        <f t="shared" si="401"/>
        <v>0</v>
      </c>
      <c r="AN1151" s="1352" t="str">
        <f t="shared" si="402"/>
        <v>Other Deferred Charge (Outside CAP) Unclassified</v>
      </c>
    </row>
    <row r="1152" spans="1:40" x14ac:dyDescent="0.2">
      <c r="B1152" s="1373" t="s">
        <v>5639</v>
      </c>
      <c r="C1152" s="1360">
        <f>SUM(C1113:C1151)</f>
        <v>13000</v>
      </c>
      <c r="D1152" s="1360">
        <f>SUM(D1113:D1151)</f>
        <v>13000</v>
      </c>
      <c r="E1152" s="1356">
        <f t="shared" si="390"/>
        <v>0</v>
      </c>
      <c r="F1152" s="1360">
        <f>SUM(F1113:F1151)</f>
        <v>13000</v>
      </c>
      <c r="G1152" s="1360">
        <f>SUM(G1113:G1151)</f>
        <v>13000</v>
      </c>
      <c r="H1152" s="1360">
        <f>SUM(H1113:H1151)</f>
        <v>13000</v>
      </c>
      <c r="I1152" s="1360">
        <f>SUM(I1113:I1151)</f>
        <v>13000</v>
      </c>
      <c r="J1152" s="1360">
        <f>SUM(J1113:J1151)</f>
        <v>13000</v>
      </c>
      <c r="N1152" s="1328"/>
      <c r="O1152" s="1328"/>
      <c r="P1152" s="1328"/>
      <c r="Q1152" s="1328"/>
      <c r="R1152" s="1328"/>
      <c r="T1152" s="1371"/>
      <c r="U1152" s="1371"/>
      <c r="V1152" s="1371"/>
      <c r="W1152" s="1371"/>
      <c r="X1152" s="1371"/>
      <c r="Y1152" s="1367"/>
      <c r="Z1152" s="1372"/>
      <c r="AA1152" s="1372"/>
      <c r="AB1152" s="1372"/>
      <c r="AC1152" s="1372"/>
      <c r="AD1152" s="1372"/>
      <c r="AK1152" s="1354"/>
      <c r="AL1152" s="1352"/>
      <c r="AM1152" s="1354"/>
      <c r="AN1152" s="1352"/>
    </row>
    <row r="1153" spans="1:40" x14ac:dyDescent="0.2">
      <c r="E1153" s="1351"/>
      <c r="N1153" s="1328"/>
      <c r="O1153" s="1328"/>
      <c r="P1153" s="1328"/>
      <c r="Q1153" s="1328"/>
      <c r="R1153" s="1328"/>
      <c r="T1153" s="1371"/>
      <c r="U1153" s="1371"/>
      <c r="V1153" s="1371"/>
      <c r="W1153" s="1371"/>
      <c r="X1153" s="1371"/>
      <c r="Y1153" s="1367"/>
      <c r="Z1153" s="1372"/>
      <c r="AA1153" s="1372"/>
      <c r="AB1153" s="1372"/>
      <c r="AC1153" s="1372"/>
      <c r="AD1153" s="1372"/>
      <c r="AK1153" s="1354"/>
      <c r="AL1153" s="1352"/>
      <c r="AM1153" s="1354"/>
      <c r="AN1153" s="1352"/>
    </row>
    <row r="1154" spans="1:40" ht="15" x14ac:dyDescent="0.25">
      <c r="A1154" s="1364" t="s">
        <v>5454</v>
      </c>
      <c r="B1154" s="1365"/>
      <c r="C1154" s="1365"/>
      <c r="D1154" s="1365"/>
      <c r="E1154" s="1380"/>
      <c r="F1154" s="1365"/>
      <c r="G1154" s="1365"/>
      <c r="H1154" s="1365"/>
      <c r="I1154" s="1365"/>
      <c r="J1154" s="1365"/>
      <c r="M1154" s="1381" t="str">
        <f>A1154</f>
        <v>Type I School District</v>
      </c>
      <c r="N1154" s="1364"/>
      <c r="O1154" s="1364"/>
      <c r="P1154" s="1364"/>
      <c r="Q1154" s="1364"/>
      <c r="R1154" s="1364"/>
      <c r="S1154" s="1365"/>
      <c r="T1154" s="1389"/>
      <c r="U1154" s="1389"/>
      <c r="V1154" s="1389"/>
      <c r="W1154" s="1389"/>
      <c r="X1154" s="1389"/>
      <c r="Y1154" s="1390"/>
      <c r="Z1154" s="1391"/>
      <c r="AA1154" s="1391"/>
      <c r="AB1154" s="1391"/>
      <c r="AC1154" s="1391"/>
      <c r="AD1154" s="1391"/>
      <c r="AK1154" s="1354"/>
      <c r="AL1154" s="1352"/>
      <c r="AM1154" s="1354"/>
      <c r="AN1154" s="1352"/>
    </row>
    <row r="1155" spans="1:40" x14ac:dyDescent="0.2">
      <c r="A1155" s="1324" t="s">
        <v>552</v>
      </c>
      <c r="B1155" s="1324" t="s">
        <v>5788</v>
      </c>
      <c r="C1155" s="1353">
        <f>'Key Metrics'!$C$441</f>
        <v>0</v>
      </c>
      <c r="D1155" s="1353">
        <f>'Key Metrics'!$G$441</f>
        <v>0</v>
      </c>
      <c r="E1155" s="1351">
        <f t="shared" ref="E1155:E1167" si="403">IFERROR(D1155/C1155-1,0)</f>
        <v>0</v>
      </c>
      <c r="F1155" s="1353">
        <f t="shared" ref="F1155:F1166" si="404">IFERROR(IF($I$3=1,D1155*(1+N1155),IF($I$3=2,D1155*(1+T1155),IF($I$3=3,Z1155,"--"))),0)</f>
        <v>0</v>
      </c>
      <c r="G1155" s="1353">
        <f t="shared" ref="G1155:G1166" si="405">IFERROR(IF($I$3=1,F1155*(1+O1155),IF($I$3=2,F1155*(1+U1155),IF($I$3=3,AA1155,"--"))),0)</f>
        <v>0</v>
      </c>
      <c r="H1155" s="1353">
        <f t="shared" ref="H1155:H1166" si="406">IFERROR(IF($I$3=1,G1155*(1+P1155),IF($I$3=2,G1155*(1+V1155),IF($I$3=3,AB1155,"--"))),0)</f>
        <v>0</v>
      </c>
      <c r="I1155" s="1353">
        <f t="shared" ref="I1155:I1166" si="407">IFERROR(IF($I$3=1,H1155*(1+Q1155),IF($I$3=2,H1155*(1+W1155),IF($I$3=3,AC1155,"--"))),0)</f>
        <v>0</v>
      </c>
      <c r="J1155" s="1353">
        <f t="shared" ref="J1155:J1166" si="408">IFERROR(IF($I$3=1,I1155*(1+R1155),IF($I$3=2,I1155*(1+X1155),IF($I$3=3,AD1155,"--"))),0)</f>
        <v>0</v>
      </c>
      <c r="M1155" s="1324" t="str">
        <f t="shared" ref="M1155:M1166" si="409">B1155</f>
        <v>Payment of Type I School District Bond Principal Salaries &amp; Wages</v>
      </c>
      <c r="N1155" s="1368">
        <v>0</v>
      </c>
      <c r="O1155" s="1368">
        <f t="shared" ref="O1155:R1166" si="410">N1155</f>
        <v>0</v>
      </c>
      <c r="P1155" s="1368">
        <f t="shared" si="410"/>
        <v>0</v>
      </c>
      <c r="Q1155" s="1368">
        <f t="shared" si="410"/>
        <v>0</v>
      </c>
      <c r="R1155" s="1368">
        <f t="shared" si="410"/>
        <v>0</v>
      </c>
      <c r="T1155" s="1369">
        <v>0</v>
      </c>
      <c r="U1155" s="1369">
        <v>0</v>
      </c>
      <c r="V1155" s="1369">
        <v>0</v>
      </c>
      <c r="W1155" s="1369">
        <v>0</v>
      </c>
      <c r="X1155" s="1369">
        <v>0</v>
      </c>
      <c r="Y1155" s="1367"/>
      <c r="Z1155" s="1370">
        <v>0</v>
      </c>
      <c r="AA1155" s="1370">
        <v>0</v>
      </c>
      <c r="AB1155" s="1370">
        <v>0</v>
      </c>
      <c r="AC1155" s="1370">
        <v>0</v>
      </c>
      <c r="AD1155" s="1370">
        <v>0</v>
      </c>
      <c r="AK1155" s="1354">
        <f t="shared" si="389"/>
        <v>0</v>
      </c>
      <c r="AL1155" s="1352">
        <f t="shared" ref="AL1155:AL1166" si="411">RANK(AM1155,$AM$504:$AM$1172,0)</f>
        <v>53</v>
      </c>
      <c r="AM1155" s="1354">
        <f t="shared" si="401"/>
        <v>0</v>
      </c>
      <c r="AN1155" s="1352" t="str">
        <f t="shared" si="402"/>
        <v>Payment of Type I School District Bond Principal Salaries &amp; Wages</v>
      </c>
    </row>
    <row r="1156" spans="1:40" x14ac:dyDescent="0.2">
      <c r="A1156" s="1324" t="str">
        <f>A1155</f>
        <v>48-920</v>
      </c>
      <c r="B1156" s="1324" t="s">
        <v>6081</v>
      </c>
      <c r="C1156" s="1353">
        <f>'Key Metrics'!$D$441</f>
        <v>0</v>
      </c>
      <c r="D1156" s="1353">
        <f>'Key Metrics'!$H$441</f>
        <v>0</v>
      </c>
      <c r="E1156" s="1351">
        <f t="shared" si="403"/>
        <v>0</v>
      </c>
      <c r="F1156" s="1353">
        <f t="shared" si="404"/>
        <v>0</v>
      </c>
      <c r="G1156" s="1353">
        <f t="shared" si="405"/>
        <v>0</v>
      </c>
      <c r="H1156" s="1353">
        <f t="shared" si="406"/>
        <v>0</v>
      </c>
      <c r="I1156" s="1353">
        <f t="shared" si="407"/>
        <v>0</v>
      </c>
      <c r="J1156" s="1353">
        <f t="shared" si="408"/>
        <v>0</v>
      </c>
      <c r="M1156" s="1324" t="str">
        <f t="shared" si="409"/>
        <v>Payment of Type I School District Bond Principal Other Expenses</v>
      </c>
      <c r="N1156" s="1368">
        <v>0</v>
      </c>
      <c r="O1156" s="1368">
        <f t="shared" si="410"/>
        <v>0</v>
      </c>
      <c r="P1156" s="1368">
        <f t="shared" si="410"/>
        <v>0</v>
      </c>
      <c r="Q1156" s="1368">
        <f t="shared" si="410"/>
        <v>0</v>
      </c>
      <c r="R1156" s="1368">
        <f t="shared" si="410"/>
        <v>0</v>
      </c>
      <c r="T1156" s="1369">
        <v>0</v>
      </c>
      <c r="U1156" s="1369">
        <v>0</v>
      </c>
      <c r="V1156" s="1369">
        <v>0</v>
      </c>
      <c r="W1156" s="1369">
        <v>0</v>
      </c>
      <c r="X1156" s="1369">
        <v>0</v>
      </c>
      <c r="Y1156" s="1367"/>
      <c r="Z1156" s="1370">
        <v>0</v>
      </c>
      <c r="AA1156" s="1370">
        <v>0</v>
      </c>
      <c r="AB1156" s="1370">
        <v>0</v>
      </c>
      <c r="AC1156" s="1370">
        <v>0</v>
      </c>
      <c r="AD1156" s="1370">
        <v>0</v>
      </c>
      <c r="AK1156" s="1354">
        <f t="shared" si="389"/>
        <v>0</v>
      </c>
      <c r="AL1156" s="1352">
        <f t="shared" si="411"/>
        <v>53</v>
      </c>
      <c r="AM1156" s="1354">
        <f t="shared" si="401"/>
        <v>0</v>
      </c>
      <c r="AN1156" s="1352" t="str">
        <f t="shared" si="402"/>
        <v>Payment of Type I School District Bond Principal Other Expenses</v>
      </c>
    </row>
    <row r="1157" spans="1:40" x14ac:dyDescent="0.2">
      <c r="A1157" s="1324" t="str">
        <f>A1156</f>
        <v>48-920</v>
      </c>
      <c r="B1157" s="1324" t="s">
        <v>6082</v>
      </c>
      <c r="C1157" s="1353">
        <f>'Key Metrics'!$E$441</f>
        <v>0</v>
      </c>
      <c r="D1157" s="1353">
        <f>'Key Metrics'!$I$441</f>
        <v>0</v>
      </c>
      <c r="E1157" s="1351">
        <f t="shared" si="403"/>
        <v>0</v>
      </c>
      <c r="F1157" s="1353">
        <f t="shared" si="404"/>
        <v>0</v>
      </c>
      <c r="G1157" s="1353">
        <f t="shared" si="405"/>
        <v>0</v>
      </c>
      <c r="H1157" s="1353">
        <f t="shared" si="406"/>
        <v>0</v>
      </c>
      <c r="I1157" s="1353">
        <f t="shared" si="407"/>
        <v>0</v>
      </c>
      <c r="J1157" s="1353">
        <f t="shared" si="408"/>
        <v>0</v>
      </c>
      <c r="M1157" s="1324" t="str">
        <f t="shared" si="409"/>
        <v>Payment of Type I School District Bond Principal Unclassified</v>
      </c>
      <c r="N1157" s="1368">
        <v>0</v>
      </c>
      <c r="O1157" s="1368">
        <f t="shared" si="410"/>
        <v>0</v>
      </c>
      <c r="P1157" s="1368">
        <f t="shared" si="410"/>
        <v>0</v>
      </c>
      <c r="Q1157" s="1368">
        <f t="shared" si="410"/>
        <v>0</v>
      </c>
      <c r="R1157" s="1368">
        <f t="shared" si="410"/>
        <v>0</v>
      </c>
      <c r="T1157" s="1369">
        <v>0</v>
      </c>
      <c r="U1157" s="1369">
        <v>0</v>
      </c>
      <c r="V1157" s="1369">
        <v>0</v>
      </c>
      <c r="W1157" s="1369">
        <v>0</v>
      </c>
      <c r="X1157" s="1369">
        <v>0</v>
      </c>
      <c r="Y1157" s="1367"/>
      <c r="Z1157" s="1370">
        <v>0</v>
      </c>
      <c r="AA1157" s="1370">
        <v>0</v>
      </c>
      <c r="AB1157" s="1370">
        <v>0</v>
      </c>
      <c r="AC1157" s="1370">
        <v>0</v>
      </c>
      <c r="AD1157" s="1370">
        <v>0</v>
      </c>
      <c r="AK1157" s="1354">
        <f t="shared" si="389"/>
        <v>0</v>
      </c>
      <c r="AL1157" s="1352">
        <f t="shared" si="411"/>
        <v>53</v>
      </c>
      <c r="AM1157" s="1354">
        <f t="shared" si="401"/>
        <v>0</v>
      </c>
      <c r="AN1157" s="1352" t="str">
        <f t="shared" si="402"/>
        <v>Payment of Type I School District Bond Principal Unclassified</v>
      </c>
    </row>
    <row r="1158" spans="1:40" x14ac:dyDescent="0.2">
      <c r="A1158" s="1324" t="s">
        <v>553</v>
      </c>
      <c r="B1158" s="1324" t="s">
        <v>5789</v>
      </c>
      <c r="C1158" s="1353">
        <f>'Key Metrics'!$C$442</f>
        <v>0</v>
      </c>
      <c r="D1158" s="1353">
        <f>'Key Metrics'!$G$442</f>
        <v>0</v>
      </c>
      <c r="E1158" s="1351">
        <f t="shared" si="403"/>
        <v>0</v>
      </c>
      <c r="F1158" s="1353">
        <f t="shared" si="404"/>
        <v>0</v>
      </c>
      <c r="G1158" s="1353">
        <f t="shared" si="405"/>
        <v>0</v>
      </c>
      <c r="H1158" s="1353">
        <f t="shared" si="406"/>
        <v>0</v>
      </c>
      <c r="I1158" s="1353">
        <f t="shared" si="407"/>
        <v>0</v>
      </c>
      <c r="J1158" s="1353">
        <f t="shared" si="408"/>
        <v>0</v>
      </c>
      <c r="M1158" s="1324" t="str">
        <f t="shared" si="409"/>
        <v>Payment of Type I School District Bond Anticipation Notes Salaries &amp; Wages</v>
      </c>
      <c r="N1158" s="1368">
        <v>0</v>
      </c>
      <c r="O1158" s="1368">
        <f t="shared" si="410"/>
        <v>0</v>
      </c>
      <c r="P1158" s="1368">
        <f t="shared" si="410"/>
        <v>0</v>
      </c>
      <c r="Q1158" s="1368">
        <f t="shared" si="410"/>
        <v>0</v>
      </c>
      <c r="R1158" s="1368">
        <f t="shared" si="410"/>
        <v>0</v>
      </c>
      <c r="T1158" s="1369">
        <v>0</v>
      </c>
      <c r="U1158" s="1369">
        <v>0</v>
      </c>
      <c r="V1158" s="1369">
        <v>0</v>
      </c>
      <c r="W1158" s="1369">
        <v>0</v>
      </c>
      <c r="X1158" s="1369">
        <v>0</v>
      </c>
      <c r="Y1158" s="1367"/>
      <c r="Z1158" s="1370">
        <v>0</v>
      </c>
      <c r="AA1158" s="1370">
        <v>0</v>
      </c>
      <c r="AB1158" s="1370">
        <v>0</v>
      </c>
      <c r="AC1158" s="1370">
        <v>0</v>
      </c>
      <c r="AD1158" s="1370">
        <v>0</v>
      </c>
      <c r="AK1158" s="1354">
        <f t="shared" si="389"/>
        <v>0</v>
      </c>
      <c r="AL1158" s="1352">
        <f t="shared" si="411"/>
        <v>53</v>
      </c>
      <c r="AM1158" s="1354">
        <f t="shared" si="401"/>
        <v>0</v>
      </c>
      <c r="AN1158" s="1352" t="str">
        <f t="shared" si="402"/>
        <v>Payment of Type I School District Bond Anticipation Notes Salaries &amp; Wages</v>
      </c>
    </row>
    <row r="1159" spans="1:40" x14ac:dyDescent="0.2">
      <c r="A1159" s="1324" t="str">
        <f>A1158</f>
        <v>48-925</v>
      </c>
      <c r="B1159" s="1324" t="s">
        <v>6083</v>
      </c>
      <c r="C1159" s="1353">
        <f>'Key Metrics'!$D$442</f>
        <v>0</v>
      </c>
      <c r="D1159" s="1353">
        <f>'Key Metrics'!$H$442</f>
        <v>0</v>
      </c>
      <c r="E1159" s="1351">
        <f t="shared" si="403"/>
        <v>0</v>
      </c>
      <c r="F1159" s="1353">
        <f t="shared" si="404"/>
        <v>0</v>
      </c>
      <c r="G1159" s="1353">
        <f t="shared" si="405"/>
        <v>0</v>
      </c>
      <c r="H1159" s="1353">
        <f t="shared" si="406"/>
        <v>0</v>
      </c>
      <c r="I1159" s="1353">
        <f t="shared" si="407"/>
        <v>0</v>
      </c>
      <c r="J1159" s="1353">
        <f t="shared" si="408"/>
        <v>0</v>
      </c>
      <c r="M1159" s="1324" t="str">
        <f t="shared" si="409"/>
        <v>Payment of Type I School District Bond Anticipation Notes Other Expenses</v>
      </c>
      <c r="N1159" s="1368">
        <v>0</v>
      </c>
      <c r="O1159" s="1368">
        <f t="shared" si="410"/>
        <v>0</v>
      </c>
      <c r="P1159" s="1368">
        <f t="shared" si="410"/>
        <v>0</v>
      </c>
      <c r="Q1159" s="1368">
        <f t="shared" si="410"/>
        <v>0</v>
      </c>
      <c r="R1159" s="1368">
        <f t="shared" si="410"/>
        <v>0</v>
      </c>
      <c r="T1159" s="1369">
        <v>0</v>
      </c>
      <c r="U1159" s="1369">
        <v>0</v>
      </c>
      <c r="V1159" s="1369">
        <v>0</v>
      </c>
      <c r="W1159" s="1369">
        <v>0</v>
      </c>
      <c r="X1159" s="1369">
        <v>0</v>
      </c>
      <c r="Y1159" s="1367"/>
      <c r="Z1159" s="1370">
        <v>0</v>
      </c>
      <c r="AA1159" s="1370">
        <v>0</v>
      </c>
      <c r="AB1159" s="1370">
        <v>0</v>
      </c>
      <c r="AC1159" s="1370">
        <v>0</v>
      </c>
      <c r="AD1159" s="1370">
        <v>0</v>
      </c>
      <c r="AK1159" s="1354">
        <f t="shared" si="389"/>
        <v>0</v>
      </c>
      <c r="AL1159" s="1352">
        <f t="shared" si="411"/>
        <v>53</v>
      </c>
      <c r="AM1159" s="1354">
        <f t="shared" si="401"/>
        <v>0</v>
      </c>
      <c r="AN1159" s="1352" t="str">
        <f t="shared" si="402"/>
        <v>Payment of Type I School District Bond Anticipation Notes Other Expenses</v>
      </c>
    </row>
    <row r="1160" spans="1:40" x14ac:dyDescent="0.2">
      <c r="A1160" s="1324" t="str">
        <f>A1159</f>
        <v>48-925</v>
      </c>
      <c r="B1160" s="1324" t="s">
        <v>6084</v>
      </c>
      <c r="C1160" s="1353">
        <f>'Key Metrics'!$E$442</f>
        <v>0</v>
      </c>
      <c r="D1160" s="1353">
        <f>'Key Metrics'!$I$442</f>
        <v>0</v>
      </c>
      <c r="E1160" s="1351">
        <f t="shared" si="403"/>
        <v>0</v>
      </c>
      <c r="F1160" s="1353">
        <f t="shared" si="404"/>
        <v>0</v>
      </c>
      <c r="G1160" s="1353">
        <f t="shared" si="405"/>
        <v>0</v>
      </c>
      <c r="H1160" s="1353">
        <f t="shared" si="406"/>
        <v>0</v>
      </c>
      <c r="I1160" s="1353">
        <f t="shared" si="407"/>
        <v>0</v>
      </c>
      <c r="J1160" s="1353">
        <f t="shared" si="408"/>
        <v>0</v>
      </c>
      <c r="M1160" s="1324" t="str">
        <f t="shared" si="409"/>
        <v>Payment of Type I School District Bond Anticipation Notes Unclassified</v>
      </c>
      <c r="N1160" s="1368">
        <v>0</v>
      </c>
      <c r="O1160" s="1368">
        <f t="shared" si="410"/>
        <v>0</v>
      </c>
      <c r="P1160" s="1368">
        <f t="shared" si="410"/>
        <v>0</v>
      </c>
      <c r="Q1160" s="1368">
        <f t="shared" si="410"/>
        <v>0</v>
      </c>
      <c r="R1160" s="1368">
        <f t="shared" si="410"/>
        <v>0</v>
      </c>
      <c r="T1160" s="1369">
        <v>0</v>
      </c>
      <c r="U1160" s="1369">
        <v>0</v>
      </c>
      <c r="V1160" s="1369">
        <v>0</v>
      </c>
      <c r="W1160" s="1369">
        <v>0</v>
      </c>
      <c r="X1160" s="1369">
        <v>0</v>
      </c>
      <c r="Y1160" s="1367"/>
      <c r="Z1160" s="1370">
        <v>0</v>
      </c>
      <c r="AA1160" s="1370">
        <v>0</v>
      </c>
      <c r="AB1160" s="1370">
        <v>0</v>
      </c>
      <c r="AC1160" s="1370">
        <v>0</v>
      </c>
      <c r="AD1160" s="1370">
        <v>0</v>
      </c>
      <c r="AK1160" s="1354">
        <f t="shared" si="389"/>
        <v>0</v>
      </c>
      <c r="AL1160" s="1352">
        <f t="shared" si="411"/>
        <v>53</v>
      </c>
      <c r="AM1160" s="1354">
        <f t="shared" si="401"/>
        <v>0</v>
      </c>
      <c r="AN1160" s="1352" t="str">
        <f t="shared" si="402"/>
        <v>Payment of Type I School District Bond Anticipation Notes Unclassified</v>
      </c>
    </row>
    <row r="1161" spans="1:40" x14ac:dyDescent="0.2">
      <c r="A1161" s="1324" t="s">
        <v>554</v>
      </c>
      <c r="B1161" s="1324" t="s">
        <v>5790</v>
      </c>
      <c r="C1161" s="1353">
        <f>'Key Metrics'!$C$443</f>
        <v>0</v>
      </c>
      <c r="D1161" s="1353">
        <f>'Key Metrics'!$G$443</f>
        <v>0</v>
      </c>
      <c r="E1161" s="1351">
        <f t="shared" si="403"/>
        <v>0</v>
      </c>
      <c r="F1161" s="1353">
        <f t="shared" si="404"/>
        <v>0</v>
      </c>
      <c r="G1161" s="1353">
        <f t="shared" si="405"/>
        <v>0</v>
      </c>
      <c r="H1161" s="1353">
        <f t="shared" si="406"/>
        <v>0</v>
      </c>
      <c r="I1161" s="1353">
        <f t="shared" si="407"/>
        <v>0</v>
      </c>
      <c r="J1161" s="1353">
        <f t="shared" si="408"/>
        <v>0</v>
      </c>
      <c r="M1161" s="1324" t="str">
        <f t="shared" si="409"/>
        <v>Payment of Type I School District Bond Interest Salaries &amp; Wages</v>
      </c>
      <c r="N1161" s="1368">
        <v>0</v>
      </c>
      <c r="O1161" s="1368">
        <f t="shared" si="410"/>
        <v>0</v>
      </c>
      <c r="P1161" s="1368">
        <f t="shared" si="410"/>
        <v>0</v>
      </c>
      <c r="Q1161" s="1368">
        <f t="shared" si="410"/>
        <v>0</v>
      </c>
      <c r="R1161" s="1368">
        <f t="shared" si="410"/>
        <v>0</v>
      </c>
      <c r="T1161" s="1369">
        <v>0</v>
      </c>
      <c r="U1161" s="1369">
        <v>0</v>
      </c>
      <c r="V1161" s="1369">
        <v>0</v>
      </c>
      <c r="W1161" s="1369">
        <v>0</v>
      </c>
      <c r="X1161" s="1369">
        <v>0</v>
      </c>
      <c r="Y1161" s="1367"/>
      <c r="Z1161" s="1370">
        <v>0</v>
      </c>
      <c r="AA1161" s="1370">
        <v>0</v>
      </c>
      <c r="AB1161" s="1370">
        <v>0</v>
      </c>
      <c r="AC1161" s="1370">
        <v>0</v>
      </c>
      <c r="AD1161" s="1370">
        <v>0</v>
      </c>
      <c r="AK1161" s="1354">
        <f t="shared" si="389"/>
        <v>0</v>
      </c>
      <c r="AL1161" s="1352">
        <f t="shared" si="411"/>
        <v>53</v>
      </c>
      <c r="AM1161" s="1354">
        <f t="shared" si="401"/>
        <v>0</v>
      </c>
      <c r="AN1161" s="1352" t="str">
        <f t="shared" si="402"/>
        <v>Payment of Type I School District Bond Interest Salaries &amp; Wages</v>
      </c>
    </row>
    <row r="1162" spans="1:40" x14ac:dyDescent="0.2">
      <c r="A1162" s="1324" t="str">
        <f>A1161</f>
        <v>48-930</v>
      </c>
      <c r="B1162" s="1324" t="s">
        <v>6085</v>
      </c>
      <c r="C1162" s="1353">
        <f>'Key Metrics'!$D$443</f>
        <v>0</v>
      </c>
      <c r="D1162" s="1353">
        <f>'Key Metrics'!$H$443</f>
        <v>0</v>
      </c>
      <c r="E1162" s="1351">
        <f t="shared" si="403"/>
        <v>0</v>
      </c>
      <c r="F1162" s="1353">
        <f t="shared" si="404"/>
        <v>0</v>
      </c>
      <c r="G1162" s="1353">
        <f t="shared" si="405"/>
        <v>0</v>
      </c>
      <c r="H1162" s="1353">
        <f t="shared" si="406"/>
        <v>0</v>
      </c>
      <c r="I1162" s="1353">
        <f t="shared" si="407"/>
        <v>0</v>
      </c>
      <c r="J1162" s="1353">
        <f t="shared" si="408"/>
        <v>0</v>
      </c>
      <c r="M1162" s="1324" t="str">
        <f t="shared" si="409"/>
        <v>Payment of Type I School District Bond Interest Other Expenses</v>
      </c>
      <c r="N1162" s="1368">
        <v>0</v>
      </c>
      <c r="O1162" s="1368">
        <f t="shared" si="410"/>
        <v>0</v>
      </c>
      <c r="P1162" s="1368">
        <f t="shared" si="410"/>
        <v>0</v>
      </c>
      <c r="Q1162" s="1368">
        <f t="shared" si="410"/>
        <v>0</v>
      </c>
      <c r="R1162" s="1368">
        <f t="shared" si="410"/>
        <v>0</v>
      </c>
      <c r="T1162" s="1369">
        <v>0</v>
      </c>
      <c r="U1162" s="1369">
        <v>0</v>
      </c>
      <c r="V1162" s="1369">
        <v>0</v>
      </c>
      <c r="W1162" s="1369">
        <v>0</v>
      </c>
      <c r="X1162" s="1369">
        <v>0</v>
      </c>
      <c r="Y1162" s="1367"/>
      <c r="Z1162" s="1370">
        <v>0</v>
      </c>
      <c r="AA1162" s="1370">
        <v>0</v>
      </c>
      <c r="AB1162" s="1370">
        <v>0</v>
      </c>
      <c r="AC1162" s="1370">
        <v>0</v>
      </c>
      <c r="AD1162" s="1370">
        <v>0</v>
      </c>
      <c r="AK1162" s="1354">
        <f t="shared" si="389"/>
        <v>0</v>
      </c>
      <c r="AL1162" s="1352">
        <f t="shared" si="411"/>
        <v>53</v>
      </c>
      <c r="AM1162" s="1354">
        <f t="shared" si="401"/>
        <v>0</v>
      </c>
      <c r="AN1162" s="1352" t="str">
        <f t="shared" si="402"/>
        <v>Payment of Type I School District Bond Interest Other Expenses</v>
      </c>
    </row>
    <row r="1163" spans="1:40" x14ac:dyDescent="0.2">
      <c r="A1163" s="1324" t="str">
        <f>A1162</f>
        <v>48-930</v>
      </c>
      <c r="B1163" s="1324" t="s">
        <v>6086</v>
      </c>
      <c r="C1163" s="1353">
        <f>'Key Metrics'!$E$443</f>
        <v>0</v>
      </c>
      <c r="D1163" s="1353">
        <f>'Key Metrics'!$I$443</f>
        <v>0</v>
      </c>
      <c r="E1163" s="1351">
        <f t="shared" si="403"/>
        <v>0</v>
      </c>
      <c r="F1163" s="1353">
        <f t="shared" si="404"/>
        <v>0</v>
      </c>
      <c r="G1163" s="1353">
        <f t="shared" si="405"/>
        <v>0</v>
      </c>
      <c r="H1163" s="1353">
        <f t="shared" si="406"/>
        <v>0</v>
      </c>
      <c r="I1163" s="1353">
        <f t="shared" si="407"/>
        <v>0</v>
      </c>
      <c r="J1163" s="1353">
        <f t="shared" si="408"/>
        <v>0</v>
      </c>
      <c r="M1163" s="1324" t="str">
        <f t="shared" si="409"/>
        <v>Payment of Type I School District Bond Interest Unclassified</v>
      </c>
      <c r="N1163" s="1368">
        <v>0</v>
      </c>
      <c r="O1163" s="1368">
        <f t="shared" si="410"/>
        <v>0</v>
      </c>
      <c r="P1163" s="1368">
        <f t="shared" si="410"/>
        <v>0</v>
      </c>
      <c r="Q1163" s="1368">
        <f t="shared" si="410"/>
        <v>0</v>
      </c>
      <c r="R1163" s="1368">
        <f t="shared" si="410"/>
        <v>0</v>
      </c>
      <c r="T1163" s="1369">
        <v>0</v>
      </c>
      <c r="U1163" s="1369">
        <v>0</v>
      </c>
      <c r="V1163" s="1369">
        <v>0</v>
      </c>
      <c r="W1163" s="1369">
        <v>0</v>
      </c>
      <c r="X1163" s="1369">
        <v>0</v>
      </c>
      <c r="Y1163" s="1367"/>
      <c r="Z1163" s="1370">
        <v>0</v>
      </c>
      <c r="AA1163" s="1370">
        <v>0</v>
      </c>
      <c r="AB1163" s="1370">
        <v>0</v>
      </c>
      <c r="AC1163" s="1370">
        <v>0</v>
      </c>
      <c r="AD1163" s="1370">
        <v>0</v>
      </c>
      <c r="AK1163" s="1354">
        <f t="shared" si="389"/>
        <v>0</v>
      </c>
      <c r="AL1163" s="1352">
        <f t="shared" si="411"/>
        <v>53</v>
      </c>
      <c r="AM1163" s="1354">
        <f t="shared" si="401"/>
        <v>0</v>
      </c>
      <c r="AN1163" s="1352" t="str">
        <f t="shared" si="402"/>
        <v>Payment of Type I School District Bond Interest Unclassified</v>
      </c>
    </row>
    <row r="1164" spans="1:40" x14ac:dyDescent="0.2">
      <c r="A1164" s="1324" t="s">
        <v>555</v>
      </c>
      <c r="B1164" s="1324" t="s">
        <v>5791</v>
      </c>
      <c r="C1164" s="1353">
        <f>'Key Metrics'!$C$444</f>
        <v>0</v>
      </c>
      <c r="D1164" s="1353">
        <f>'Key Metrics'!$G$444</f>
        <v>0</v>
      </c>
      <c r="E1164" s="1351">
        <f t="shared" si="403"/>
        <v>0</v>
      </c>
      <c r="F1164" s="1353">
        <f t="shared" si="404"/>
        <v>0</v>
      </c>
      <c r="G1164" s="1353">
        <f t="shared" si="405"/>
        <v>0</v>
      </c>
      <c r="H1164" s="1353">
        <f t="shared" si="406"/>
        <v>0</v>
      </c>
      <c r="I1164" s="1353">
        <f t="shared" si="407"/>
        <v>0</v>
      </c>
      <c r="J1164" s="1353">
        <f t="shared" si="408"/>
        <v>0</v>
      </c>
      <c r="M1164" s="1324" t="str">
        <f t="shared" si="409"/>
        <v>Payment of Type I School District Note Interest Salaries &amp; Wages</v>
      </c>
      <c r="N1164" s="1368">
        <v>0</v>
      </c>
      <c r="O1164" s="1368">
        <f t="shared" si="410"/>
        <v>0</v>
      </c>
      <c r="P1164" s="1368">
        <f t="shared" si="410"/>
        <v>0</v>
      </c>
      <c r="Q1164" s="1368">
        <f t="shared" si="410"/>
        <v>0</v>
      </c>
      <c r="R1164" s="1368">
        <f t="shared" si="410"/>
        <v>0</v>
      </c>
      <c r="T1164" s="1369">
        <v>0</v>
      </c>
      <c r="U1164" s="1369">
        <v>0</v>
      </c>
      <c r="V1164" s="1369">
        <v>0</v>
      </c>
      <c r="W1164" s="1369">
        <v>0</v>
      </c>
      <c r="X1164" s="1369">
        <v>0</v>
      </c>
      <c r="Y1164" s="1367"/>
      <c r="Z1164" s="1370">
        <v>0</v>
      </c>
      <c r="AA1164" s="1370">
        <v>0</v>
      </c>
      <c r="AB1164" s="1370">
        <v>0</v>
      </c>
      <c r="AC1164" s="1370">
        <v>0</v>
      </c>
      <c r="AD1164" s="1370">
        <v>0</v>
      </c>
      <c r="AK1164" s="1354">
        <f t="shared" si="389"/>
        <v>0</v>
      </c>
      <c r="AL1164" s="1352">
        <f t="shared" si="411"/>
        <v>53</v>
      </c>
      <c r="AM1164" s="1354">
        <f t="shared" si="401"/>
        <v>0</v>
      </c>
      <c r="AN1164" s="1352" t="str">
        <f t="shared" si="402"/>
        <v>Payment of Type I School District Note Interest Salaries &amp; Wages</v>
      </c>
    </row>
    <row r="1165" spans="1:40" x14ac:dyDescent="0.2">
      <c r="A1165" s="1324" t="str">
        <f>A1164</f>
        <v>48-935</v>
      </c>
      <c r="B1165" s="1324" t="s">
        <v>6087</v>
      </c>
      <c r="C1165" s="1353">
        <f>'Key Metrics'!$D$444</f>
        <v>0</v>
      </c>
      <c r="D1165" s="1353">
        <f>'Key Metrics'!$H$444</f>
        <v>0</v>
      </c>
      <c r="E1165" s="1351">
        <f t="shared" si="403"/>
        <v>0</v>
      </c>
      <c r="F1165" s="1353">
        <f t="shared" si="404"/>
        <v>0</v>
      </c>
      <c r="G1165" s="1353">
        <f t="shared" si="405"/>
        <v>0</v>
      </c>
      <c r="H1165" s="1353">
        <f t="shared" si="406"/>
        <v>0</v>
      </c>
      <c r="I1165" s="1353">
        <f t="shared" si="407"/>
        <v>0</v>
      </c>
      <c r="J1165" s="1353">
        <f t="shared" si="408"/>
        <v>0</v>
      </c>
      <c r="M1165" s="1324" t="str">
        <f t="shared" si="409"/>
        <v>Payment of Type I School District Note Interest Other Expenses</v>
      </c>
      <c r="N1165" s="1368">
        <v>0</v>
      </c>
      <c r="O1165" s="1368">
        <f t="shared" si="410"/>
        <v>0</v>
      </c>
      <c r="P1165" s="1368">
        <f t="shared" si="410"/>
        <v>0</v>
      </c>
      <c r="Q1165" s="1368">
        <f t="shared" si="410"/>
        <v>0</v>
      </c>
      <c r="R1165" s="1368">
        <f t="shared" si="410"/>
        <v>0</v>
      </c>
      <c r="T1165" s="1369">
        <v>0</v>
      </c>
      <c r="U1165" s="1369">
        <v>0</v>
      </c>
      <c r="V1165" s="1369">
        <v>0</v>
      </c>
      <c r="W1165" s="1369">
        <v>0</v>
      </c>
      <c r="X1165" s="1369">
        <v>0</v>
      </c>
      <c r="Y1165" s="1367"/>
      <c r="Z1165" s="1370">
        <v>0</v>
      </c>
      <c r="AA1165" s="1370">
        <v>0</v>
      </c>
      <c r="AB1165" s="1370">
        <v>0</v>
      </c>
      <c r="AC1165" s="1370">
        <v>0</v>
      </c>
      <c r="AD1165" s="1370">
        <v>0</v>
      </c>
      <c r="AK1165" s="1354">
        <f t="shared" si="389"/>
        <v>0</v>
      </c>
      <c r="AL1165" s="1352">
        <f t="shared" si="411"/>
        <v>53</v>
      </c>
      <c r="AM1165" s="1354">
        <f t="shared" si="401"/>
        <v>0</v>
      </c>
      <c r="AN1165" s="1352" t="str">
        <f t="shared" si="402"/>
        <v>Payment of Type I School District Note Interest Other Expenses</v>
      </c>
    </row>
    <row r="1166" spans="1:40" x14ac:dyDescent="0.2">
      <c r="A1166" s="1324" t="str">
        <f>A1165</f>
        <v>48-935</v>
      </c>
      <c r="B1166" s="1324" t="s">
        <v>6088</v>
      </c>
      <c r="C1166" s="1353">
        <f>'Key Metrics'!$E$444</f>
        <v>0</v>
      </c>
      <c r="D1166" s="1353">
        <f>'Key Metrics'!$I$444</f>
        <v>0</v>
      </c>
      <c r="E1166" s="1351">
        <f t="shared" si="403"/>
        <v>0</v>
      </c>
      <c r="F1166" s="1353">
        <f t="shared" si="404"/>
        <v>0</v>
      </c>
      <c r="G1166" s="1353">
        <f t="shared" si="405"/>
        <v>0</v>
      </c>
      <c r="H1166" s="1353">
        <f t="shared" si="406"/>
        <v>0</v>
      </c>
      <c r="I1166" s="1353">
        <f t="shared" si="407"/>
        <v>0</v>
      </c>
      <c r="J1166" s="1353">
        <f t="shared" si="408"/>
        <v>0</v>
      </c>
      <c r="M1166" s="1324" t="str">
        <f t="shared" si="409"/>
        <v>Payment of Type I School District Note Interest Unclassified</v>
      </c>
      <c r="N1166" s="1368">
        <f>E1166</f>
        <v>0</v>
      </c>
      <c r="O1166" s="1368">
        <f t="shared" si="410"/>
        <v>0</v>
      </c>
      <c r="P1166" s="1368">
        <f t="shared" si="410"/>
        <v>0</v>
      </c>
      <c r="Q1166" s="1368">
        <f t="shared" si="410"/>
        <v>0</v>
      </c>
      <c r="R1166" s="1368">
        <f t="shared" si="410"/>
        <v>0</v>
      </c>
      <c r="T1166" s="1369">
        <v>0</v>
      </c>
      <c r="U1166" s="1369">
        <v>0</v>
      </c>
      <c r="V1166" s="1369">
        <v>0</v>
      </c>
      <c r="W1166" s="1369">
        <v>0</v>
      </c>
      <c r="X1166" s="1369">
        <v>0</v>
      </c>
      <c r="Y1166" s="1367"/>
      <c r="Z1166" s="1370">
        <v>0</v>
      </c>
      <c r="AA1166" s="1370">
        <v>0</v>
      </c>
      <c r="AB1166" s="1370">
        <v>0</v>
      </c>
      <c r="AC1166" s="1370">
        <v>0</v>
      </c>
      <c r="AD1166" s="1370">
        <v>0</v>
      </c>
      <c r="AK1166" s="1354">
        <f t="shared" si="389"/>
        <v>0</v>
      </c>
      <c r="AL1166" s="1352">
        <f t="shared" si="411"/>
        <v>53</v>
      </c>
      <c r="AM1166" s="1354">
        <f t="shared" si="401"/>
        <v>0</v>
      </c>
      <c r="AN1166" s="1352" t="str">
        <f t="shared" si="402"/>
        <v>Payment of Type I School District Note Interest Unclassified</v>
      </c>
    </row>
    <row r="1167" spans="1:40" x14ac:dyDescent="0.2">
      <c r="B1167" s="1373" t="s">
        <v>5640</v>
      </c>
      <c r="C1167" s="1360">
        <f>SUM(C1155:C1166)</f>
        <v>0</v>
      </c>
      <c r="D1167" s="1360">
        <f>SUM(D1155:D1166)</f>
        <v>0</v>
      </c>
      <c r="E1167" s="1356">
        <f t="shared" si="403"/>
        <v>0</v>
      </c>
      <c r="F1167" s="1360">
        <f>SUM(F1155:F1166)</f>
        <v>0</v>
      </c>
      <c r="G1167" s="1360">
        <f>SUM(G1155:G1166)</f>
        <v>0</v>
      </c>
      <c r="H1167" s="1360">
        <f>SUM(H1155:H1166)</f>
        <v>0</v>
      </c>
      <c r="I1167" s="1360">
        <f>SUM(I1155:I1166)</f>
        <v>0</v>
      </c>
      <c r="J1167" s="1360">
        <f>SUM(J1155:J1166)</f>
        <v>0</v>
      </c>
      <c r="N1167" s="1328"/>
      <c r="O1167" s="1328"/>
      <c r="P1167" s="1328"/>
      <c r="Q1167" s="1328"/>
      <c r="R1167" s="1328"/>
      <c r="T1167" s="1371"/>
      <c r="U1167" s="1371"/>
      <c r="V1167" s="1371"/>
      <c r="W1167" s="1371"/>
      <c r="X1167" s="1371"/>
      <c r="Y1167" s="1367"/>
      <c r="Z1167" s="1372"/>
      <c r="AA1167" s="1372"/>
      <c r="AB1167" s="1372"/>
      <c r="AC1167" s="1372"/>
      <c r="AD1167" s="1372"/>
      <c r="AK1167" s="1354"/>
      <c r="AL1167" s="1352"/>
      <c r="AM1167" s="1354"/>
      <c r="AN1167" s="1352"/>
    </row>
    <row r="1168" spans="1:40" x14ac:dyDescent="0.2">
      <c r="E1168" s="1351"/>
      <c r="N1168" s="1328"/>
      <c r="O1168" s="1328"/>
      <c r="P1168" s="1328"/>
      <c r="Q1168" s="1328"/>
      <c r="R1168" s="1328"/>
      <c r="T1168" s="1371"/>
      <c r="U1168" s="1371"/>
      <c r="V1168" s="1371"/>
      <c r="W1168" s="1371"/>
      <c r="X1168" s="1371"/>
      <c r="Y1168" s="1367"/>
      <c r="Z1168" s="1372"/>
      <c r="AA1168" s="1372"/>
      <c r="AB1168" s="1372"/>
      <c r="AC1168" s="1372"/>
      <c r="AD1168" s="1372"/>
      <c r="AK1168" s="1354"/>
      <c r="AL1168" s="1352"/>
      <c r="AM1168" s="1354"/>
      <c r="AN1168" s="1352"/>
    </row>
    <row r="1169" spans="1:40" ht="15" x14ac:dyDescent="0.25">
      <c r="A1169" s="1364" t="s">
        <v>345</v>
      </c>
      <c r="B1169" s="1365"/>
      <c r="C1169" s="1365"/>
      <c r="D1169" s="1365"/>
      <c r="E1169" s="1380"/>
      <c r="F1169" s="1365"/>
      <c r="G1169" s="1365"/>
      <c r="H1169" s="1365"/>
      <c r="I1169" s="1365"/>
      <c r="J1169" s="1365"/>
      <c r="M1169" s="1381" t="str">
        <f>A1169</f>
        <v>Reserve for Uncollected Taxes</v>
      </c>
      <c r="N1169" s="1364"/>
      <c r="O1169" s="1364"/>
      <c r="P1169" s="1364"/>
      <c r="Q1169" s="1364"/>
      <c r="R1169" s="1364"/>
      <c r="S1169" s="1365"/>
      <c r="T1169" s="1389"/>
      <c r="U1169" s="1389"/>
      <c r="V1169" s="1389"/>
      <c r="W1169" s="1389"/>
      <c r="X1169" s="1389"/>
      <c r="Y1169" s="1390"/>
      <c r="Z1169" s="1391"/>
      <c r="AA1169" s="1391"/>
      <c r="AB1169" s="1391"/>
      <c r="AC1169" s="1391"/>
      <c r="AD1169" s="1391"/>
      <c r="AK1169" s="1354"/>
      <c r="AL1169" s="1352"/>
      <c r="AM1169" s="1354"/>
      <c r="AN1169" s="1352"/>
    </row>
    <row r="1170" spans="1:40" x14ac:dyDescent="0.2">
      <c r="A1170" s="1324" t="s">
        <v>558</v>
      </c>
      <c r="B1170" s="1324" t="s">
        <v>5792</v>
      </c>
      <c r="C1170" s="1353">
        <f>'Key Metrics'!$C$448</f>
        <v>0</v>
      </c>
      <c r="D1170" s="1353">
        <f>'Key Metrics'!$G$448</f>
        <v>0</v>
      </c>
      <c r="E1170" s="1351">
        <f>IFERROR(D1170/C1170-1,0)</f>
        <v>0</v>
      </c>
      <c r="F1170" s="1353">
        <f>IFERROR(IF($I$3=1,D1170*(1+N1170),IF($I$3=2,D1170*(1+T1170),IF($I$3=3,Z1170,"--"))),0)</f>
        <v>0</v>
      </c>
      <c r="G1170" s="1353">
        <f t="shared" ref="G1170:J1172" si="412">IFERROR(IF($I$3=1,F1170*(1+O1170),IF($I$3=2,F1170*(1+U1170),IF($I$3=3,AA1170,"--"))),0)</f>
        <v>0</v>
      </c>
      <c r="H1170" s="1353">
        <f t="shared" si="412"/>
        <v>0</v>
      </c>
      <c r="I1170" s="1353">
        <f t="shared" si="412"/>
        <v>0</v>
      </c>
      <c r="J1170" s="1353">
        <f t="shared" si="412"/>
        <v>0</v>
      </c>
      <c r="M1170" s="1324" t="str">
        <f>B1170</f>
        <v>Reserve for Uncollected Taxes Salaries &amp; Wages</v>
      </c>
      <c r="N1170" s="1368">
        <f>E1170</f>
        <v>0</v>
      </c>
      <c r="O1170" s="1368">
        <f t="shared" ref="O1170:R1172" si="413">N1170</f>
        <v>0</v>
      </c>
      <c r="P1170" s="1368">
        <f t="shared" si="413"/>
        <v>0</v>
      </c>
      <c r="Q1170" s="1368">
        <f t="shared" si="413"/>
        <v>0</v>
      </c>
      <c r="R1170" s="1368">
        <f t="shared" si="413"/>
        <v>0</v>
      </c>
      <c r="T1170" s="1369">
        <v>0</v>
      </c>
      <c r="U1170" s="1369">
        <v>0</v>
      </c>
      <c r="V1170" s="1369">
        <v>0</v>
      </c>
      <c r="W1170" s="1369">
        <v>0</v>
      </c>
      <c r="X1170" s="1369">
        <v>0</v>
      </c>
      <c r="Y1170" s="1367"/>
      <c r="Z1170" s="1370">
        <v>0</v>
      </c>
      <c r="AA1170" s="1370">
        <v>0</v>
      </c>
      <c r="AB1170" s="1370">
        <v>0</v>
      </c>
      <c r="AC1170" s="1370">
        <v>0</v>
      </c>
      <c r="AD1170" s="1370">
        <v>0</v>
      </c>
      <c r="AK1170" s="1354">
        <f t="shared" si="389"/>
        <v>0</v>
      </c>
      <c r="AL1170" s="1352">
        <f>RANK(AM1170,$AM$504:$AM$1172,0)</f>
        <v>53</v>
      </c>
      <c r="AM1170" s="1354">
        <f t="shared" si="401"/>
        <v>0</v>
      </c>
      <c r="AN1170" s="1352" t="str">
        <f t="shared" si="402"/>
        <v>Reserve for Uncollected Taxes Salaries &amp; Wages</v>
      </c>
    </row>
    <row r="1171" spans="1:40" x14ac:dyDescent="0.2">
      <c r="A1171" s="1324" t="str">
        <f>A1170</f>
        <v>50-899</v>
      </c>
      <c r="B1171" s="1324" t="s">
        <v>6089</v>
      </c>
      <c r="C1171" s="1353">
        <f>'Key Metrics'!$D$448</f>
        <v>0</v>
      </c>
      <c r="D1171" s="1353">
        <f>'Key Metrics'!$H$448</f>
        <v>0</v>
      </c>
      <c r="E1171" s="1351">
        <f>IFERROR(D1171/C1171-1,0)</f>
        <v>0</v>
      </c>
      <c r="F1171" s="1353">
        <f>IFERROR(IF($I$3=1,D1171*(1+N1171),IF($I$3=2,D1171*(1+T1171),IF($I$3=3,Z1171,"--"))),0)</f>
        <v>0</v>
      </c>
      <c r="G1171" s="1353">
        <f t="shared" si="412"/>
        <v>0</v>
      </c>
      <c r="H1171" s="1353">
        <f t="shared" si="412"/>
        <v>0</v>
      </c>
      <c r="I1171" s="1353">
        <f t="shared" si="412"/>
        <v>0</v>
      </c>
      <c r="J1171" s="1353">
        <f t="shared" si="412"/>
        <v>0</v>
      </c>
      <c r="M1171" s="1324" t="str">
        <f>B1171</f>
        <v>Reserve for Uncollected Taxes Other Expenses</v>
      </c>
      <c r="N1171" s="1368">
        <f>E1171</f>
        <v>0</v>
      </c>
      <c r="O1171" s="1368">
        <f t="shared" si="413"/>
        <v>0</v>
      </c>
      <c r="P1171" s="1368">
        <f t="shared" si="413"/>
        <v>0</v>
      </c>
      <c r="Q1171" s="1368">
        <f t="shared" si="413"/>
        <v>0</v>
      </c>
      <c r="R1171" s="1368">
        <f t="shared" si="413"/>
        <v>0</v>
      </c>
      <c r="T1171" s="1369">
        <v>0</v>
      </c>
      <c r="U1171" s="1369">
        <v>0</v>
      </c>
      <c r="V1171" s="1369">
        <v>0</v>
      </c>
      <c r="W1171" s="1369">
        <v>0</v>
      </c>
      <c r="X1171" s="1369">
        <v>0</v>
      </c>
      <c r="Y1171" s="1367"/>
      <c r="Z1171" s="1370">
        <v>0</v>
      </c>
      <c r="AA1171" s="1370">
        <v>0</v>
      </c>
      <c r="AB1171" s="1370">
        <v>0</v>
      </c>
      <c r="AC1171" s="1370">
        <v>0</v>
      </c>
      <c r="AD1171" s="1370">
        <v>0</v>
      </c>
      <c r="AK1171" s="1354">
        <f t="shared" si="389"/>
        <v>0</v>
      </c>
      <c r="AL1171" s="1352">
        <f>RANK(AM1171,$AM$504:$AM$1172,0)</f>
        <v>53</v>
      </c>
      <c r="AM1171" s="1354">
        <f t="shared" si="401"/>
        <v>0</v>
      </c>
      <c r="AN1171" s="1352" t="str">
        <f t="shared" si="402"/>
        <v>Reserve for Uncollected Taxes Other Expenses</v>
      </c>
    </row>
    <row r="1172" spans="1:40" x14ac:dyDescent="0.2">
      <c r="A1172" s="1324" t="str">
        <f>A1171</f>
        <v>50-899</v>
      </c>
      <c r="B1172" s="1324" t="s">
        <v>6090</v>
      </c>
      <c r="C1172" s="1353">
        <f>'Key Metrics'!$E$448</f>
        <v>305137.67</v>
      </c>
      <c r="D1172" s="1353">
        <f>'Key Metrics'!$I$448</f>
        <v>298014.59115825919</v>
      </c>
      <c r="E1172" s="1351">
        <f>IFERROR(D1172/C1172-1,0)</f>
        <v>-2.3343819993581261E-2</v>
      </c>
      <c r="F1172" s="1353">
        <f>IFERROR(IF($I$3=1,D1172*(1+N1172),IF($I$3=2,D1172*(1+T1172),IF($I$3=3,Z1172,"--"))),0)</f>
        <v>298014.59115825919</v>
      </c>
      <c r="G1172" s="1353">
        <f t="shared" si="412"/>
        <v>298014.59115825919</v>
      </c>
      <c r="H1172" s="1353">
        <f t="shared" si="412"/>
        <v>298014.59115825919</v>
      </c>
      <c r="I1172" s="1353">
        <f t="shared" si="412"/>
        <v>298014.59115825919</v>
      </c>
      <c r="J1172" s="1353">
        <f t="shared" si="412"/>
        <v>298014.59115825919</v>
      </c>
      <c r="M1172" s="1324" t="str">
        <f>B1172</f>
        <v>Reserve for Uncollected Taxes Unclassified</v>
      </c>
      <c r="N1172" s="1368">
        <f>E1172</f>
        <v>-2.3343819993581261E-2</v>
      </c>
      <c r="O1172" s="1368">
        <f t="shared" si="413"/>
        <v>-2.3343819993581261E-2</v>
      </c>
      <c r="P1172" s="1368">
        <f t="shared" si="413"/>
        <v>-2.3343819993581261E-2</v>
      </c>
      <c r="Q1172" s="1368">
        <f t="shared" si="413"/>
        <v>-2.3343819993581261E-2</v>
      </c>
      <c r="R1172" s="1368">
        <f t="shared" si="413"/>
        <v>-2.3343819993581261E-2</v>
      </c>
      <c r="T1172" s="1369">
        <v>0</v>
      </c>
      <c r="U1172" s="1369">
        <v>0</v>
      </c>
      <c r="V1172" s="1369">
        <v>0</v>
      </c>
      <c r="W1172" s="1369">
        <v>0</v>
      </c>
      <c r="X1172" s="1369">
        <v>0</v>
      </c>
      <c r="Y1172" s="1367"/>
      <c r="Z1172" s="1370">
        <v>0</v>
      </c>
      <c r="AA1172" s="1370">
        <v>0</v>
      </c>
      <c r="AB1172" s="1370">
        <v>0</v>
      </c>
      <c r="AC1172" s="1370">
        <v>0</v>
      </c>
      <c r="AD1172" s="1370">
        <v>0</v>
      </c>
      <c r="AK1172" s="1354">
        <f>SUM(C1172:D1172,F1172:J1172)</f>
        <v>2093225.2169495551</v>
      </c>
      <c r="AL1172" s="1352">
        <f>RANK(AM1172,$AM$504:$AM$1172,0)</f>
        <v>53</v>
      </c>
      <c r="AM1172" s="1354">
        <f t="shared" si="401"/>
        <v>0</v>
      </c>
      <c r="AN1172" s="1352" t="str">
        <f t="shared" si="402"/>
        <v>Reserve for Uncollected Taxes Unclassified</v>
      </c>
    </row>
    <row r="1173" spans="1:40" x14ac:dyDescent="0.2">
      <c r="B1173" s="1373" t="s">
        <v>5641</v>
      </c>
      <c r="C1173" s="1360">
        <f>SUM(C1170:C1172)</f>
        <v>305137.67</v>
      </c>
      <c r="D1173" s="1360">
        <f>SUM(D1170:D1172)</f>
        <v>298014.59115825919</v>
      </c>
      <c r="E1173" s="1356">
        <f>IFERROR(D1173/C1173-1,0)</f>
        <v>-2.3343819993581261E-2</v>
      </c>
      <c r="F1173" s="1360">
        <f>SUM(F1170:F1172)</f>
        <v>298014.59115825919</v>
      </c>
      <c r="G1173" s="1360">
        <f>SUM(G1170:G1172)</f>
        <v>298014.59115825919</v>
      </c>
      <c r="H1173" s="1360">
        <f>SUM(H1170:H1172)</f>
        <v>298014.59115825919</v>
      </c>
      <c r="I1173" s="1360">
        <f>SUM(I1170:I1172)</f>
        <v>298014.59115825919</v>
      </c>
      <c r="J1173" s="1360">
        <f>SUM(J1170:J1172)</f>
        <v>298014.59115825919</v>
      </c>
      <c r="T1173" s="1367"/>
      <c r="U1173" s="1367"/>
      <c r="V1173" s="1367"/>
      <c r="W1173" s="1367"/>
      <c r="X1173" s="1367"/>
      <c r="Y1173" s="1367"/>
      <c r="Z1173" s="1392"/>
      <c r="AA1173" s="1392"/>
      <c r="AB1173" s="1392"/>
      <c r="AC1173" s="1392"/>
      <c r="AD1173" s="1392"/>
      <c r="AK1173" s="1352"/>
    </row>
    <row r="1174" spans="1:40" x14ac:dyDescent="0.2">
      <c r="E1174" s="1351"/>
      <c r="T1174" s="1367"/>
      <c r="U1174" s="1367"/>
      <c r="V1174" s="1367"/>
      <c r="W1174" s="1367"/>
      <c r="X1174" s="1367"/>
      <c r="Y1174" s="1367"/>
      <c r="Z1174" s="1392"/>
      <c r="AA1174" s="1392"/>
      <c r="AB1174" s="1392"/>
      <c r="AC1174" s="1392"/>
      <c r="AD1174" s="1392"/>
    </row>
    <row r="1175" spans="1:40" x14ac:dyDescent="0.2">
      <c r="B1175" s="1328" t="s">
        <v>5579</v>
      </c>
      <c r="C1175" s="1355">
        <f>C1173+C1167+C1152+C1110+C1080+C1059+C1050+C975+C969+C963+C939+C933+C927+C921+C888+C846+C816+C792+C756+C711+C657+C633+C585+C558</f>
        <v>708998.07</v>
      </c>
      <c r="D1175" s="1355">
        <f>D1173+D1167+D1152+D1110+D1080+D1059+D1050+D975+D969+D963+D939+D933+D927+D921+D888+D846+D816+D792+D756+D711+D657+D633+D585+D558</f>
        <v>828754.49115825922</v>
      </c>
      <c r="E1175" s="1356">
        <f>IFERROR(D1175/C1175-1,0)</f>
        <v>0.16890937539260054</v>
      </c>
      <c r="F1175" s="1355">
        <f>F1173+F1167+F1152+F1110+F1080+F1059+F1050+F975+F969+F963+F939+F933+F927+F921+F888+F846+F816+F792+F756+F711+F657+F633+F585+F558</f>
        <v>837561.37235825928</v>
      </c>
      <c r="G1175" s="1355">
        <f>G1173+G1167+G1152+G1110+G1080+G1059+G1050+G975+G969+G963+G939+G933+G927+G921+G888+G846+G816+G792+G756+G711+G657+G633+G585+G558</f>
        <v>846539.54910225933</v>
      </c>
      <c r="H1175" s="1355">
        <f>H1173+H1167+H1152+H1110+H1080+H1059+H1050+H975+H969+H963+H939+H933+H927+H921+H888+H846+H816+H792+H756+H711+H657+H633+H585+H558</f>
        <v>855700.6178288192</v>
      </c>
      <c r="I1175" s="1355">
        <f>I1173+I1167+I1152+I1110+I1080+I1059+I1050+I975+I969+I963+I939+I933+I927+I921+I888+I846+I816+I792+I756+I711+I657+I633+I585+I558</f>
        <v>865048.4161137651</v>
      </c>
      <c r="J1175" s="1355">
        <f>J1173+J1167+J1152+J1110+J1080+J1059+J1050+J975+J969+J963+J939+J933+J927+J921+J888+J846+J816+J792+J756+J711+J657+J633+J585+J558</f>
        <v>874586.86799019296</v>
      </c>
      <c r="T1175" s="1367"/>
      <c r="U1175" s="1367"/>
      <c r="V1175" s="1367"/>
      <c r="W1175" s="1367"/>
      <c r="X1175" s="1367"/>
      <c r="Y1175" s="1367"/>
      <c r="Z1175" s="1392"/>
      <c r="AA1175" s="1392"/>
      <c r="AB1175" s="1392"/>
      <c r="AC1175" s="1392"/>
      <c r="AD1175" s="1392"/>
    </row>
    <row r="1176" spans="1:40" x14ac:dyDescent="0.2">
      <c r="B1176" s="1357" t="s">
        <v>6104</v>
      </c>
      <c r="D1176" s="1356">
        <f>IFERROR(D1175/C1175-1,"--")</f>
        <v>0.16890937539260054</v>
      </c>
      <c r="E1176" s="1356"/>
      <c r="F1176" s="1356">
        <f>IFERROR(F1175/D1175-1,"--")</f>
        <v>1.0626646725849564E-2</v>
      </c>
      <c r="G1176" s="1356">
        <f>IFERROR(G1175/F1175-1,"--")</f>
        <v>1.0719425513525005E-2</v>
      </c>
      <c r="H1176" s="1356">
        <f>IFERROR(H1175/G1175-1,"--")</f>
        <v>1.08217846836276E-2</v>
      </c>
      <c r="I1176" s="1356">
        <f>IFERROR(I1175/H1175-1,"--")</f>
        <v>1.0924145770356164E-2</v>
      </c>
      <c r="J1176" s="1356">
        <f>IFERROR(J1175/I1175-1,"--")</f>
        <v>1.1026494816647858E-2</v>
      </c>
      <c r="T1176" s="1367"/>
      <c r="U1176" s="1367"/>
      <c r="V1176" s="1367"/>
      <c r="W1176" s="1367"/>
      <c r="X1176" s="1367"/>
      <c r="Y1176" s="1367"/>
      <c r="Z1176" s="1392"/>
      <c r="AA1176" s="1392"/>
      <c r="AB1176" s="1392"/>
      <c r="AC1176" s="1392"/>
      <c r="AD1176" s="1392"/>
    </row>
    <row r="1177" spans="1:40" x14ac:dyDescent="0.2">
      <c r="Z1177" s="1394"/>
      <c r="AA1177" s="1394"/>
      <c r="AB1177" s="1394"/>
      <c r="AC1177" s="1394"/>
      <c r="AD1177" s="1394"/>
    </row>
    <row r="1178" spans="1:40" x14ac:dyDescent="0.2">
      <c r="Z1178" s="1394"/>
      <c r="AA1178" s="1394"/>
      <c r="AB1178" s="1394"/>
      <c r="AC1178" s="1394"/>
      <c r="AD1178" s="1394"/>
    </row>
    <row r="1179" spans="1:40" x14ac:dyDescent="0.2">
      <c r="Z1179" s="1394"/>
      <c r="AA1179" s="1394"/>
      <c r="AB1179" s="1394"/>
      <c r="AC1179" s="1394"/>
      <c r="AD1179" s="1394"/>
    </row>
    <row r="1180" spans="1:40" x14ac:dyDescent="0.2">
      <c r="C1180" s="1353"/>
      <c r="Z1180" s="1394"/>
      <c r="AA1180" s="1394"/>
      <c r="AB1180" s="1394"/>
      <c r="AC1180" s="1394"/>
      <c r="AD1180" s="1394"/>
    </row>
    <row r="1181" spans="1:40" x14ac:dyDescent="0.2">
      <c r="Z1181" s="1394"/>
      <c r="AA1181" s="1394"/>
      <c r="AB1181" s="1394"/>
      <c r="AC1181" s="1394"/>
      <c r="AD1181" s="1394"/>
    </row>
    <row r="1182" spans="1:40" x14ac:dyDescent="0.2">
      <c r="Z1182" s="1394"/>
      <c r="AA1182" s="1394"/>
      <c r="AB1182" s="1394"/>
      <c r="AC1182" s="1394"/>
      <c r="AD1182" s="1394"/>
    </row>
    <row r="1183" spans="1:40" x14ac:dyDescent="0.2">
      <c r="Z1183" s="1394"/>
      <c r="AA1183" s="1394"/>
      <c r="AB1183" s="1394"/>
      <c r="AC1183" s="1394"/>
      <c r="AD1183" s="1394"/>
    </row>
    <row r="1184" spans="1:40" x14ac:dyDescent="0.2">
      <c r="Z1184" s="1394"/>
      <c r="AA1184" s="1394"/>
      <c r="AB1184" s="1394"/>
      <c r="AC1184" s="1394"/>
      <c r="AD1184" s="1394"/>
    </row>
    <row r="1185" spans="26:30" x14ac:dyDescent="0.2">
      <c r="Z1185" s="1394"/>
      <c r="AA1185" s="1394"/>
      <c r="AB1185" s="1394"/>
      <c r="AC1185" s="1394"/>
      <c r="AD1185" s="1394"/>
    </row>
    <row r="1186" spans="26:30" x14ac:dyDescent="0.2">
      <c r="Z1186" s="1394"/>
      <c r="AA1186" s="1394"/>
      <c r="AB1186" s="1394"/>
      <c r="AC1186" s="1394"/>
      <c r="AD1186" s="1394"/>
    </row>
    <row r="1187" spans="26:30" x14ac:dyDescent="0.2">
      <c r="Z1187" s="1394"/>
      <c r="AA1187" s="1394"/>
      <c r="AB1187" s="1394"/>
      <c r="AC1187" s="1394"/>
      <c r="AD1187" s="1394"/>
    </row>
    <row r="1188" spans="26:30" x14ac:dyDescent="0.2">
      <c r="Z1188" s="1394"/>
      <c r="AA1188" s="1394"/>
      <c r="AB1188" s="1394"/>
      <c r="AC1188" s="1394"/>
      <c r="AD1188" s="1394"/>
    </row>
    <row r="1189" spans="26:30" x14ac:dyDescent="0.2">
      <c r="Z1189" s="1394"/>
      <c r="AA1189" s="1394"/>
      <c r="AB1189" s="1394"/>
      <c r="AC1189" s="1394"/>
      <c r="AD1189" s="1394"/>
    </row>
    <row r="1190" spans="26:30" x14ac:dyDescent="0.2">
      <c r="Z1190" s="1394"/>
      <c r="AA1190" s="1394"/>
      <c r="AB1190" s="1394"/>
      <c r="AC1190" s="1394"/>
      <c r="AD1190" s="1394"/>
    </row>
    <row r="1191" spans="26:30" x14ac:dyDescent="0.2">
      <c r="Z1191" s="1394"/>
      <c r="AA1191" s="1394"/>
      <c r="AB1191" s="1394"/>
      <c r="AC1191" s="1394"/>
      <c r="AD1191" s="1394"/>
    </row>
    <row r="1192" spans="26:30" x14ac:dyDescent="0.2">
      <c r="Z1192" s="1394"/>
      <c r="AA1192" s="1394"/>
      <c r="AB1192" s="1394"/>
      <c r="AC1192" s="1394"/>
      <c r="AD1192" s="1394"/>
    </row>
    <row r="1193" spans="26:30" x14ac:dyDescent="0.2">
      <c r="Z1193" s="1394"/>
      <c r="AA1193" s="1394"/>
      <c r="AB1193" s="1394"/>
      <c r="AC1193" s="1394"/>
      <c r="AD1193" s="1394"/>
    </row>
  </sheetData>
  <sheetProtection algorithmName="SHA-512" hashValue="a66/jjFQMXcygbKONhENXQzD1SAACxNha6AxVr4/Vqsto+P2VGEkdylNzP2KEZSlyKFncyYVAfYkpbpsH4BN7w==" saltValue="ZRWq/w7NXNM6cfTofpEL5g==" spinCount="100000" sheet="1" formatColumns="0" formatRows="0" sort="0" autoFilter="0"/>
  <autoFilter ref="A503:J1173" xr:uid="{00000000-0009-0000-0000-000009000000}"/>
  <mergeCells count="3">
    <mergeCell ref="A1:F1"/>
    <mergeCell ref="L1:O1"/>
    <mergeCell ref="A275:B275"/>
  </mergeCells>
  <conditionalFormatting sqref="A91:A94">
    <cfRule type="duplicateValues" dxfId="52" priority="50"/>
  </conditionalFormatting>
  <conditionalFormatting sqref="A184:A188 A86:A89 A190:A222 A95:A182">
    <cfRule type="duplicateValues" dxfId="51" priority="51"/>
  </conditionalFormatting>
  <conditionalFormatting sqref="A1173">
    <cfRule type="duplicateValues" dxfId="50" priority="49"/>
  </conditionalFormatting>
  <conditionalFormatting sqref="A560">
    <cfRule type="duplicateValues" dxfId="49" priority="48"/>
  </conditionalFormatting>
  <conditionalFormatting sqref="A587">
    <cfRule type="duplicateValues" dxfId="48" priority="47"/>
  </conditionalFormatting>
  <conditionalFormatting sqref="A635">
    <cfRule type="duplicateValues" dxfId="47" priority="46"/>
  </conditionalFormatting>
  <conditionalFormatting sqref="A659">
    <cfRule type="duplicateValues" dxfId="46" priority="45"/>
  </conditionalFormatting>
  <conditionalFormatting sqref="A713">
    <cfRule type="duplicateValues" dxfId="45" priority="44"/>
  </conditionalFormatting>
  <conditionalFormatting sqref="A758">
    <cfRule type="duplicateValues" dxfId="44" priority="43"/>
  </conditionalFormatting>
  <conditionalFormatting sqref="A794">
    <cfRule type="duplicateValues" dxfId="43" priority="42"/>
  </conditionalFormatting>
  <conditionalFormatting sqref="A848">
    <cfRule type="duplicateValues" dxfId="42" priority="41"/>
  </conditionalFormatting>
  <conditionalFormatting sqref="A890">
    <cfRule type="duplicateValues" dxfId="41" priority="40"/>
  </conditionalFormatting>
  <conditionalFormatting sqref="A923">
    <cfRule type="duplicateValues" dxfId="40" priority="39"/>
  </conditionalFormatting>
  <conditionalFormatting sqref="A929">
    <cfRule type="duplicateValues" dxfId="39" priority="38"/>
  </conditionalFormatting>
  <conditionalFormatting sqref="A935">
    <cfRule type="duplicateValues" dxfId="38" priority="37"/>
  </conditionalFormatting>
  <conditionalFormatting sqref="A941">
    <cfRule type="duplicateValues" dxfId="37" priority="36"/>
  </conditionalFormatting>
  <conditionalFormatting sqref="A965">
    <cfRule type="duplicateValues" dxfId="36" priority="35"/>
  </conditionalFormatting>
  <conditionalFormatting sqref="A971">
    <cfRule type="duplicateValues" dxfId="35" priority="34"/>
  </conditionalFormatting>
  <conditionalFormatting sqref="A977">
    <cfRule type="duplicateValues" dxfId="34" priority="33"/>
  </conditionalFormatting>
  <conditionalFormatting sqref="A1052">
    <cfRule type="duplicateValues" dxfId="33" priority="32"/>
  </conditionalFormatting>
  <conditionalFormatting sqref="A1061">
    <cfRule type="duplicateValues" dxfId="32" priority="31"/>
  </conditionalFormatting>
  <conditionalFormatting sqref="A1082">
    <cfRule type="duplicateValues" dxfId="31" priority="30"/>
  </conditionalFormatting>
  <conditionalFormatting sqref="A1112">
    <cfRule type="duplicateValues" dxfId="30" priority="29"/>
  </conditionalFormatting>
  <conditionalFormatting sqref="A1154">
    <cfRule type="duplicateValues" dxfId="29" priority="28"/>
  </conditionalFormatting>
  <conditionalFormatting sqref="A1169">
    <cfRule type="duplicateValues" dxfId="28" priority="27"/>
  </conditionalFormatting>
  <conditionalFormatting sqref="A494:A495">
    <cfRule type="duplicateValues" dxfId="27" priority="26"/>
  </conditionalFormatting>
  <conditionalFormatting sqref="A414:A415">
    <cfRule type="duplicateValues" dxfId="26" priority="25"/>
  </conditionalFormatting>
  <conditionalFormatting sqref="A418:A443 A226:A245 A247:A256 A258:A274 A276:A304 A306:A321 A323:A335 A337:A345 A347:A357 A359:A373 A375:A386 A388:A390 A392:A394 A396:A398 A400:A408 A410:A412 A445:A448 A450:A457 A459:A469 A471:A485 A487:A492">
    <cfRule type="duplicateValues" dxfId="25" priority="52"/>
  </conditionalFormatting>
  <conditionalFormatting sqref="A225">
    <cfRule type="duplicateValues" dxfId="24" priority="24"/>
  </conditionalFormatting>
  <conditionalFormatting sqref="A246">
    <cfRule type="duplicateValues" dxfId="23" priority="23"/>
  </conditionalFormatting>
  <conditionalFormatting sqref="A257">
    <cfRule type="duplicateValues" dxfId="22" priority="22"/>
  </conditionalFormatting>
  <conditionalFormatting sqref="A305">
    <cfRule type="duplicateValues" dxfId="21" priority="21"/>
  </conditionalFormatting>
  <conditionalFormatting sqref="A322">
    <cfRule type="duplicateValues" dxfId="20" priority="20"/>
  </conditionalFormatting>
  <conditionalFormatting sqref="A336">
    <cfRule type="duplicateValues" dxfId="19" priority="19"/>
  </conditionalFormatting>
  <conditionalFormatting sqref="A346">
    <cfRule type="duplicateValues" dxfId="18" priority="18"/>
  </conditionalFormatting>
  <conditionalFormatting sqref="A358">
    <cfRule type="duplicateValues" dxfId="17" priority="17"/>
  </conditionalFormatting>
  <conditionalFormatting sqref="A374">
    <cfRule type="duplicateValues" dxfId="16" priority="16"/>
  </conditionalFormatting>
  <conditionalFormatting sqref="A387">
    <cfRule type="duplicateValues" dxfId="15" priority="15"/>
  </conditionalFormatting>
  <conditionalFormatting sqref="A391">
    <cfRule type="duplicateValues" dxfId="14" priority="14"/>
  </conditionalFormatting>
  <conditionalFormatting sqref="A395">
    <cfRule type="duplicateValues" dxfId="13" priority="13"/>
  </conditionalFormatting>
  <conditionalFormatting sqref="A399">
    <cfRule type="duplicateValues" dxfId="12" priority="12"/>
  </conditionalFormatting>
  <conditionalFormatting sqref="A409">
    <cfRule type="duplicateValues" dxfId="11" priority="11"/>
  </conditionalFormatting>
  <conditionalFormatting sqref="A413">
    <cfRule type="duplicateValues" dxfId="10" priority="10"/>
  </conditionalFormatting>
  <conditionalFormatting sqref="A417">
    <cfRule type="duplicateValues" dxfId="9" priority="9"/>
  </conditionalFormatting>
  <conditionalFormatting sqref="A444">
    <cfRule type="duplicateValues" dxfId="8" priority="8"/>
  </conditionalFormatting>
  <conditionalFormatting sqref="A449">
    <cfRule type="duplicateValues" dxfId="7" priority="7"/>
  </conditionalFormatting>
  <conditionalFormatting sqref="A458">
    <cfRule type="duplicateValues" dxfId="6" priority="6"/>
  </conditionalFormatting>
  <conditionalFormatting sqref="A470">
    <cfRule type="duplicateValues" dxfId="5" priority="5"/>
  </conditionalFormatting>
  <conditionalFormatting sqref="A486">
    <cfRule type="duplicateValues" dxfId="4" priority="4"/>
  </conditionalFormatting>
  <conditionalFormatting sqref="A493">
    <cfRule type="duplicateValues" dxfId="3" priority="3"/>
  </conditionalFormatting>
  <conditionalFormatting sqref="A275">
    <cfRule type="duplicateValues" dxfId="2" priority="2"/>
  </conditionalFormatting>
  <conditionalFormatting sqref="A818">
    <cfRule type="duplicateValues" dxfId="1" priority="1"/>
  </conditionalFormatting>
  <conditionalFormatting sqref="A502:A503">
    <cfRule type="duplicateValues" dxfId="0" priority="53"/>
  </conditionalFormatting>
  <pageMargins left="0.25" right="0.25" top="0.75" bottom="0.75" header="0.3" footer="0.3"/>
  <pageSetup scale="5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256001" r:id="rId4" name="Drop Down 1">
              <controlPr defaultSize="0" autoLine="0" autoPict="0">
                <anchor moveWithCells="1">
                  <from>
                    <xdr:col>6</xdr:col>
                    <xdr:colOff>9525</xdr:colOff>
                    <xdr:row>2</xdr:row>
                    <xdr:rowOff>0</xdr:rowOff>
                  </from>
                  <to>
                    <xdr:col>8</xdr:col>
                    <xdr:colOff>933450</xdr:colOff>
                    <xdr:row>3</xdr:row>
                    <xdr:rowOff>66675</xdr:rowOff>
                  </to>
                </anchor>
              </controlPr>
            </control>
          </mc:Choice>
        </mc:AlternateContent>
        <mc:AlternateContent xmlns:mc="http://schemas.openxmlformats.org/markup-compatibility/2006">
          <mc:Choice Requires="x14">
            <control shapeId="256002" r:id="rId5" name="Button 2">
              <controlPr defaultSize="0" print="0" autoFill="0" autoPict="0" macro="[0]!HideModelRows">
                <anchor moveWithCells="1" sizeWithCells="1">
                  <from>
                    <xdr:col>5</xdr:col>
                    <xdr:colOff>952500</xdr:colOff>
                    <xdr:row>9</xdr:row>
                    <xdr:rowOff>0</xdr:rowOff>
                  </from>
                  <to>
                    <xdr:col>7</xdr:col>
                    <xdr:colOff>876300</xdr:colOff>
                    <xdr:row>10</xdr:row>
                    <xdr:rowOff>47625</xdr:rowOff>
                  </to>
                </anchor>
              </controlPr>
            </control>
          </mc:Choice>
        </mc:AlternateContent>
        <mc:AlternateContent xmlns:mc="http://schemas.openxmlformats.org/markup-compatibility/2006">
          <mc:Choice Requires="x14">
            <control shapeId="256003" r:id="rId6" name="Button 3">
              <controlPr defaultSize="0" print="0" autoFill="0" autoPict="0" macro="[0]!UnhideModelRows">
                <anchor moveWithCells="1" sizeWithCells="1">
                  <from>
                    <xdr:col>6</xdr:col>
                    <xdr:colOff>0</xdr:colOff>
                    <xdr:row>10</xdr:row>
                    <xdr:rowOff>85725</xdr:rowOff>
                  </from>
                  <to>
                    <xdr:col>7</xdr:col>
                    <xdr:colOff>885825</xdr:colOff>
                    <xdr:row>11</xdr:row>
                    <xdr:rowOff>142875</xdr:rowOff>
                  </to>
                </anchor>
              </controlPr>
            </control>
          </mc:Choice>
        </mc:AlternateContent>
        <mc:AlternateContent xmlns:mc="http://schemas.openxmlformats.org/markup-compatibility/2006">
          <mc:Choice Requires="x14">
            <control shapeId="256004" r:id="rId7" name="Button 4">
              <controlPr defaultSize="0" print="0" autoFill="0" autoPict="0" macro="[0]!GotoRevenues">
                <anchor moveWithCells="1" sizeWithCells="1">
                  <from>
                    <xdr:col>5</xdr:col>
                    <xdr:colOff>952500</xdr:colOff>
                    <xdr:row>5</xdr:row>
                    <xdr:rowOff>66675</xdr:rowOff>
                  </from>
                  <to>
                    <xdr:col>7</xdr:col>
                    <xdr:colOff>885825</xdr:colOff>
                    <xdr:row>6</xdr:row>
                    <xdr:rowOff>123825</xdr:rowOff>
                  </to>
                </anchor>
              </controlPr>
            </control>
          </mc:Choice>
        </mc:AlternateContent>
        <mc:AlternateContent xmlns:mc="http://schemas.openxmlformats.org/markup-compatibility/2006">
          <mc:Choice Requires="x14">
            <control shapeId="256005" r:id="rId8" name="Button 5">
              <controlPr defaultSize="0" print="0" autoFill="0" autoPict="0" macro="[0]!GotoExpenditures">
                <anchor moveWithCells="1" sizeWithCells="1">
                  <from>
                    <xdr:col>5</xdr:col>
                    <xdr:colOff>952500</xdr:colOff>
                    <xdr:row>6</xdr:row>
                    <xdr:rowOff>152400</xdr:rowOff>
                  </from>
                  <to>
                    <xdr:col>7</xdr:col>
                    <xdr:colOff>885825</xdr:colOff>
                    <xdr:row>7</xdr:row>
                    <xdr:rowOff>123825</xdr:rowOff>
                  </to>
                </anchor>
              </controlPr>
            </control>
          </mc:Choice>
        </mc:AlternateContent>
        <mc:AlternateContent xmlns:mc="http://schemas.openxmlformats.org/markup-compatibility/2006">
          <mc:Choice Requires="x14">
            <control shapeId="256006" r:id="rId9" name="Button 6">
              <controlPr defaultSize="0" print="0" autoFill="0" autoPict="0" macro="[0]!GotoLIExpenditures">
                <anchor moveWithCells="1" sizeWithCells="1">
                  <from>
                    <xdr:col>5</xdr:col>
                    <xdr:colOff>952500</xdr:colOff>
                    <xdr:row>7</xdr:row>
                    <xdr:rowOff>152400</xdr:rowOff>
                  </from>
                  <to>
                    <xdr:col>7</xdr:col>
                    <xdr:colOff>876300</xdr:colOff>
                    <xdr:row>8</xdr:row>
                    <xdr:rowOff>171450</xdr:rowOff>
                  </to>
                </anchor>
              </controlPr>
            </control>
          </mc:Choice>
        </mc:AlternateContent>
        <mc:AlternateContent xmlns:mc="http://schemas.openxmlformats.org/markup-compatibility/2006">
          <mc:Choice Requires="x14">
            <control shapeId="256007" r:id="rId10" name="Button 7">
              <controlPr defaultSize="0" print="0" autoFill="0" autoPict="0" macro="[0]!GotoSummary">
                <anchor moveWithCells="1" sizeWithCells="1">
                  <from>
                    <xdr:col>6</xdr:col>
                    <xdr:colOff>0</xdr:colOff>
                    <xdr:row>4</xdr:row>
                    <xdr:rowOff>19050</xdr:rowOff>
                  </from>
                  <to>
                    <xdr:col>7</xdr:col>
                    <xdr:colOff>885825</xdr:colOff>
                    <xdr:row>5</xdr:row>
                    <xdr:rowOff>28575</xdr:rowOff>
                  </to>
                </anchor>
              </controlPr>
            </control>
          </mc:Choice>
        </mc:AlternateContent>
      </controls>
    </mc:Choice>
  </mc:AlternateContent>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88"/>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743">
        <f t="shared" si="3"/>
        <v>0</v>
      </c>
      <c r="O24" s="370">
        <f t="shared" si="0"/>
        <v>0</v>
      </c>
      <c r="Q24" s="1261"/>
    </row>
    <row r="25" spans="2:17" ht="16.5" thickTop="1" x14ac:dyDescent="0.25">
      <c r="B25" s="1701" t="s">
        <v>3281</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ffRQETnP+TwLGJLGeORhI5sFKg7h9/vNanb9YhO5CcMrd2IHgr3rlkkhLuCHFp+0/YnXNBiDn5deH9gZ5CMQsQ==" saltValue="jZs/MBK/wRQmA3mHEDUJ1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300-000000000000}">
          <x14:formula1>
            <xm:f>'Other Codes'!$C$2:$C$782</xm:f>
          </x14:formula1>
          <xm:sqref>H8:H24</xm:sqref>
        </x14:dataValidation>
      </x14:dataValidations>
    </ext>
  </extLst>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89"/>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743">
        <f t="shared" si="3"/>
        <v>0</v>
      </c>
      <c r="O24" s="370">
        <f t="shared" si="0"/>
        <v>0</v>
      </c>
      <c r="Q24" s="1261"/>
    </row>
    <row r="25" spans="2:17" ht="16.5" thickTop="1" x14ac:dyDescent="0.25">
      <c r="B25" s="1701" t="s">
        <v>3282</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ChggyBgDHYy/DbENlkYboYQivCCurP/QoJdk6Cz1kkEtvzta33Wno4hpHRZ6H65TlpouX4MYlcJu8mGxTEQtgg==" saltValue="vq4zW6OmsQi1XGqbba18G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400-000000000000}">
          <x14:formula1>
            <xm:f>'Other Codes'!$C$2:$C$782</xm:f>
          </x14:formula1>
          <xm:sqref>H8:H24</xm:sqref>
        </x14:dataValidation>
      </x14:dataValidations>
    </ext>
  </extLst>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90"/>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743">
        <f t="shared" si="3"/>
        <v>0</v>
      </c>
      <c r="O24" s="370">
        <f t="shared" si="0"/>
        <v>0</v>
      </c>
      <c r="Q24" s="1261"/>
    </row>
    <row r="25" spans="2:17" ht="16.5" thickTop="1" x14ac:dyDescent="0.25">
      <c r="B25" s="1701" t="s">
        <v>3283</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UZkfch2FkGoNYdH477AsHsqtc5BREF+j+REDq3zfWU/ipHxg+/Zpy0zKtH+1cbQaPb6rrxLbsN6utctaEv/qKQ==" saltValue="hk0V1kM1WN0+CygOWoakf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500-000000000000}">
          <x14:formula1>
            <xm:f>'Other Codes'!$C$2:$C$782</xm:f>
          </x14:formula1>
          <xm:sqref>H8:H24</xm:sqref>
        </x14:dataValidation>
      </x14:dataValidations>
    </ext>
  </extLst>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91"/>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909"/>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909"/>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909"/>
    </row>
    <row r="24" spans="2:17" ht="24" customHeight="1" thickBot="1" x14ac:dyDescent="0.25">
      <c r="C24" s="748"/>
      <c r="D24" s="748"/>
      <c r="E24" s="748"/>
      <c r="F24" s="893"/>
      <c r="G24" s="904"/>
      <c r="H24" s="895"/>
      <c r="I24" s="1025"/>
      <c r="J24" s="905"/>
      <c r="K24" s="865"/>
      <c r="L24" s="905"/>
      <c r="M24" s="865">
        <f t="shared" si="1"/>
        <v>0</v>
      </c>
      <c r="N24" s="743">
        <f t="shared" si="3"/>
        <v>0</v>
      </c>
      <c r="O24" s="370">
        <f t="shared" si="0"/>
        <v>0</v>
      </c>
      <c r="Q24" s="909"/>
    </row>
    <row r="25" spans="2:17" ht="16.5" thickTop="1" x14ac:dyDescent="0.25">
      <c r="B25" s="1701" t="s">
        <v>3284</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jBJ8iTJzjKskwNraOw/1MjvN/b27YoviHK64zuYIHWsHFmCb1GpQBLUMrdLzTOUeipyh3SyngTuneLZj54K9Lg==" saltValue="I6ddFv7WAMDOoYhvBAnQV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600-000000000000}">
          <x14:formula1>
            <xm:f>'Other Codes'!$C$2:$C$782</xm:f>
          </x14:formula1>
          <xm:sqref>H8:H24</xm:sqref>
        </x14:dataValidation>
      </x14:dataValidations>
    </ext>
  </extLst>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92"/>
  <dimension ref="B2:R34"/>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241</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42" t="s">
        <v>236</v>
      </c>
      <c r="D7" s="14"/>
      <c r="E7" s="14"/>
      <c r="F7" s="14"/>
      <c r="G7" s="90"/>
      <c r="H7" s="1717" t="s">
        <v>200</v>
      </c>
      <c r="I7" s="1718"/>
      <c r="J7" s="94" t="s">
        <v>201</v>
      </c>
      <c r="K7" s="95" t="s">
        <v>201</v>
      </c>
      <c r="L7" s="94" t="s">
        <v>201</v>
      </c>
      <c r="M7" s="95" t="s">
        <v>201</v>
      </c>
      <c r="N7" s="95" t="s">
        <v>201</v>
      </c>
      <c r="O7" s="96" t="s">
        <v>201</v>
      </c>
    </row>
    <row r="8" spans="2:17" ht="21.95" customHeight="1" x14ac:dyDescent="0.2">
      <c r="C8" s="744"/>
      <c r="D8" s="744"/>
      <c r="E8" s="744"/>
      <c r="F8" s="744"/>
      <c r="G8" s="745"/>
      <c r="H8" s="746"/>
      <c r="I8" s="892"/>
      <c r="J8" s="742"/>
      <c r="K8" s="743"/>
      <c r="L8" s="742"/>
      <c r="M8" s="743">
        <f>+K8</f>
        <v>0</v>
      </c>
      <c r="N8" s="743">
        <f>+M8</f>
        <v>0</v>
      </c>
      <c r="O8" s="370">
        <f t="shared" ref="O8:O20" si="0">IFERROR(IF(+M8-N8&gt;=0,M8-N8,"*")-Q8,"*")</f>
        <v>0</v>
      </c>
      <c r="Q8" s="1261"/>
    </row>
    <row r="9" spans="2:17" ht="21.95" customHeight="1" x14ac:dyDescent="0.2">
      <c r="C9" s="744"/>
      <c r="D9" s="744"/>
      <c r="E9" s="744"/>
      <c r="F9" s="744"/>
      <c r="G9" s="745"/>
      <c r="H9" s="746"/>
      <c r="I9" s="892"/>
      <c r="J9" s="742"/>
      <c r="K9" s="743"/>
      <c r="L9" s="742"/>
      <c r="M9" s="743">
        <f>+K9</f>
        <v>0</v>
      </c>
      <c r="N9" s="743">
        <f t="shared" ref="N9:N20" si="1">+M9</f>
        <v>0</v>
      </c>
      <c r="O9" s="370">
        <f t="shared" si="0"/>
        <v>0</v>
      </c>
      <c r="Q9" s="1261"/>
    </row>
    <row r="10" spans="2:17" ht="21.95" customHeight="1" x14ac:dyDescent="0.2">
      <c r="C10" s="744"/>
      <c r="D10" s="744"/>
      <c r="E10" s="744"/>
      <c r="F10" s="744"/>
      <c r="G10" s="745"/>
      <c r="H10" s="746"/>
      <c r="I10" s="892"/>
      <c r="J10" s="742"/>
      <c r="K10" s="743"/>
      <c r="L10" s="742"/>
      <c r="M10" s="743">
        <f t="shared" ref="M10:M20" si="2">+K10</f>
        <v>0</v>
      </c>
      <c r="N10" s="743"/>
      <c r="O10" s="370">
        <f t="shared" si="0"/>
        <v>0</v>
      </c>
      <c r="Q10" s="1261"/>
    </row>
    <row r="11" spans="2:17" ht="21.95" customHeight="1" x14ac:dyDescent="0.2">
      <c r="C11" s="744"/>
      <c r="D11" s="744"/>
      <c r="E11" s="744"/>
      <c r="F11" s="744"/>
      <c r="G11" s="745"/>
      <c r="H11" s="746"/>
      <c r="I11" s="892"/>
      <c r="J11" s="742"/>
      <c r="K11" s="743"/>
      <c r="L11" s="742"/>
      <c r="M11" s="743">
        <f t="shared" si="2"/>
        <v>0</v>
      </c>
      <c r="N11" s="743">
        <f t="shared" si="1"/>
        <v>0</v>
      </c>
      <c r="O11" s="370">
        <f t="shared" si="0"/>
        <v>0</v>
      </c>
      <c r="Q11" s="1261"/>
    </row>
    <row r="12" spans="2:17" ht="21.95" customHeight="1" x14ac:dyDescent="0.2">
      <c r="C12" s="744"/>
      <c r="D12" s="744"/>
      <c r="E12" s="744"/>
      <c r="F12" s="744"/>
      <c r="G12" s="745"/>
      <c r="H12" s="746"/>
      <c r="I12" s="892"/>
      <c r="J12" s="742"/>
      <c r="K12" s="743"/>
      <c r="L12" s="742"/>
      <c r="M12" s="743">
        <f t="shared" si="2"/>
        <v>0</v>
      </c>
      <c r="N12" s="743">
        <f t="shared" si="1"/>
        <v>0</v>
      </c>
      <c r="O12" s="370">
        <f t="shared" si="0"/>
        <v>0</v>
      </c>
      <c r="Q12" s="1261"/>
    </row>
    <row r="13" spans="2:17" ht="21.95" customHeight="1" x14ac:dyDescent="0.2">
      <c r="C13" s="744"/>
      <c r="D13" s="744"/>
      <c r="E13" s="744"/>
      <c r="F13" s="744"/>
      <c r="G13" s="745"/>
      <c r="H13" s="746"/>
      <c r="I13" s="892"/>
      <c r="J13" s="742"/>
      <c r="K13" s="743"/>
      <c r="L13" s="742"/>
      <c r="M13" s="743">
        <f t="shared" si="2"/>
        <v>0</v>
      </c>
      <c r="N13" s="743">
        <f t="shared" si="1"/>
        <v>0</v>
      </c>
      <c r="O13" s="370">
        <f t="shared" si="0"/>
        <v>0</v>
      </c>
      <c r="Q13" s="1261"/>
    </row>
    <row r="14" spans="2:17" ht="21.95" customHeight="1" x14ac:dyDescent="0.2">
      <c r="C14" s="744"/>
      <c r="D14" s="744"/>
      <c r="E14" s="744"/>
      <c r="F14" s="744"/>
      <c r="G14" s="745"/>
      <c r="H14" s="746"/>
      <c r="I14" s="892"/>
      <c r="J14" s="742"/>
      <c r="K14" s="743"/>
      <c r="L14" s="742"/>
      <c r="M14" s="743">
        <f t="shared" si="2"/>
        <v>0</v>
      </c>
      <c r="N14" s="743">
        <f>+M14</f>
        <v>0</v>
      </c>
      <c r="O14" s="370">
        <f t="shared" si="0"/>
        <v>0</v>
      </c>
      <c r="Q14" s="1261"/>
    </row>
    <row r="15" spans="2:17" ht="21.95" customHeight="1" x14ac:dyDescent="0.2">
      <c r="C15" s="744"/>
      <c r="D15" s="744"/>
      <c r="E15" s="744"/>
      <c r="F15" s="744"/>
      <c r="G15" s="745"/>
      <c r="H15" s="746"/>
      <c r="I15" s="892"/>
      <c r="J15" s="742"/>
      <c r="K15" s="743"/>
      <c r="L15" s="742"/>
      <c r="M15" s="743">
        <f t="shared" si="2"/>
        <v>0</v>
      </c>
      <c r="N15" s="743">
        <f t="shared" si="1"/>
        <v>0</v>
      </c>
      <c r="O15" s="370">
        <f t="shared" si="0"/>
        <v>0</v>
      </c>
      <c r="Q15" s="1261"/>
    </row>
    <row r="16" spans="2:17" ht="21.95" customHeight="1" x14ac:dyDescent="0.2">
      <c r="C16" s="744"/>
      <c r="D16" s="744"/>
      <c r="E16" s="744"/>
      <c r="F16" s="744"/>
      <c r="G16" s="745"/>
      <c r="H16" s="746"/>
      <c r="I16" s="892"/>
      <c r="J16" s="742"/>
      <c r="K16" s="743"/>
      <c r="L16" s="742"/>
      <c r="M16" s="743">
        <f t="shared" si="2"/>
        <v>0</v>
      </c>
      <c r="N16" s="743">
        <f t="shared" si="1"/>
        <v>0</v>
      </c>
      <c r="O16" s="370">
        <f t="shared" si="0"/>
        <v>0</v>
      </c>
      <c r="Q16" s="1261"/>
    </row>
    <row r="17" spans="2:18" ht="21.95" customHeight="1" x14ac:dyDescent="0.2">
      <c r="C17" s="744"/>
      <c r="D17" s="744"/>
      <c r="E17" s="744"/>
      <c r="F17" s="744"/>
      <c r="G17" s="745"/>
      <c r="H17" s="746"/>
      <c r="I17" s="892"/>
      <c r="J17" s="742"/>
      <c r="K17" s="743"/>
      <c r="L17" s="742"/>
      <c r="M17" s="743">
        <f t="shared" si="2"/>
        <v>0</v>
      </c>
      <c r="N17" s="743">
        <f t="shared" si="1"/>
        <v>0</v>
      </c>
      <c r="O17" s="370">
        <f t="shared" si="0"/>
        <v>0</v>
      </c>
      <c r="Q17" s="1261"/>
    </row>
    <row r="18" spans="2:18" ht="21.95" customHeight="1" x14ac:dyDescent="0.2">
      <c r="C18" s="744"/>
      <c r="D18" s="744"/>
      <c r="E18" s="744"/>
      <c r="F18" s="744"/>
      <c r="G18" s="745"/>
      <c r="H18" s="746"/>
      <c r="I18" s="892"/>
      <c r="J18" s="742"/>
      <c r="K18" s="743"/>
      <c r="L18" s="742"/>
      <c r="M18" s="743">
        <f t="shared" si="2"/>
        <v>0</v>
      </c>
      <c r="N18" s="743">
        <f t="shared" si="1"/>
        <v>0</v>
      </c>
      <c r="O18" s="370">
        <f t="shared" si="0"/>
        <v>0</v>
      </c>
      <c r="Q18" s="1261"/>
    </row>
    <row r="19" spans="2:18" ht="21.95" customHeight="1" x14ac:dyDescent="0.2">
      <c r="C19" s="744"/>
      <c r="D19" s="744"/>
      <c r="E19" s="744"/>
      <c r="F19" s="744"/>
      <c r="G19" s="745"/>
      <c r="H19" s="746"/>
      <c r="I19" s="892"/>
      <c r="J19" s="742"/>
      <c r="K19" s="743"/>
      <c r="L19" s="742"/>
      <c r="M19" s="743">
        <f t="shared" si="2"/>
        <v>0</v>
      </c>
      <c r="N19" s="743">
        <f t="shared" si="1"/>
        <v>0</v>
      </c>
      <c r="O19" s="370">
        <f t="shared" si="0"/>
        <v>0</v>
      </c>
      <c r="Q19" s="1261"/>
    </row>
    <row r="20" spans="2:18" ht="21.95" customHeight="1" thickBot="1" x14ac:dyDescent="0.25">
      <c r="C20" s="748"/>
      <c r="D20" s="744"/>
      <c r="E20" s="744"/>
      <c r="F20" s="744"/>
      <c r="G20" s="745"/>
      <c r="H20" s="746"/>
      <c r="I20" s="892"/>
      <c r="J20" s="905"/>
      <c r="K20" s="865"/>
      <c r="L20" s="905"/>
      <c r="M20" s="743">
        <f t="shared" si="2"/>
        <v>0</v>
      </c>
      <c r="N20" s="743">
        <f t="shared" si="1"/>
        <v>0</v>
      </c>
      <c r="O20" s="370">
        <f t="shared" si="0"/>
        <v>0</v>
      </c>
      <c r="Q20" s="1261"/>
    </row>
    <row r="21" spans="2:18" ht="24" customHeight="1" thickTop="1" thickBot="1" x14ac:dyDescent="0.25">
      <c r="C21" s="61" t="s">
        <v>240</v>
      </c>
      <c r="D21" s="16"/>
      <c r="E21" s="106"/>
      <c r="F21" s="16"/>
      <c r="G21" s="17"/>
      <c r="H21" s="626" t="s">
        <v>386</v>
      </c>
      <c r="I21" s="678"/>
      <c r="J21" s="112">
        <f>+SUM(J8:J20)+SUM('24:24i'!J8:J24)</f>
        <v>20119.84</v>
      </c>
      <c r="K21" s="112">
        <f>+SUM(K8:K20)+SUM('24:24i'!K8:K24)</f>
        <v>20119.84</v>
      </c>
      <c r="L21" s="112">
        <f>+SUM(L8:L20)+SUM('24:24i'!L8:L24)</f>
        <v>0</v>
      </c>
      <c r="M21" s="112">
        <f>+SUM(M8:M20)+SUM('24:24i'!M8:M24)</f>
        <v>20119.84</v>
      </c>
      <c r="N21" s="112">
        <f>+SUM(N8:N20)+SUM('24:24i'!N8:N24)</f>
        <v>5119.84</v>
      </c>
      <c r="O21" s="113">
        <f>+SUM(O8:O20)+SUM('24:24i'!O8:O24)</f>
        <v>15000</v>
      </c>
    </row>
    <row r="22" spans="2:18" ht="21.75" customHeight="1" thickTop="1" thickBot="1" x14ac:dyDescent="0.25">
      <c r="C22" s="143"/>
      <c r="D22" s="144"/>
      <c r="E22" s="144"/>
      <c r="F22" s="143"/>
      <c r="G22" s="145"/>
      <c r="H22" s="626"/>
      <c r="I22" s="678"/>
      <c r="J22" s="164"/>
      <c r="K22" s="65"/>
      <c r="L22" s="496"/>
      <c r="M22" s="65"/>
      <c r="N22" s="65"/>
      <c r="O22" s="497"/>
    </row>
    <row r="23" spans="2:18" ht="21.75" customHeight="1" thickTop="1" thickBot="1" x14ac:dyDescent="0.25">
      <c r="C23" s="16"/>
      <c r="D23" s="106" t="s">
        <v>239</v>
      </c>
      <c r="E23" s="16"/>
      <c r="F23" s="657"/>
      <c r="G23" s="114"/>
      <c r="H23" s="626" t="s">
        <v>387</v>
      </c>
      <c r="I23" s="678"/>
      <c r="J23" s="112">
        <f>+J21+'23'!J26+'22b'!J26+'21'!J26+'20a'!J26</f>
        <v>62969.84</v>
      </c>
      <c r="K23" s="112">
        <f>+K21+'23'!K26+'22b'!K26+'21'!K26+'20a'!K26</f>
        <v>62906.569999999992</v>
      </c>
      <c r="L23" s="112">
        <f>+L21+'23'!L26+'22b'!L26+'21'!L26+'20a'!L26</f>
        <v>0</v>
      </c>
      <c r="M23" s="112">
        <f>+M21+'23'!M26+'22b'!M26+'21'!M26+'20a'!M26</f>
        <v>62906.569999999992</v>
      </c>
      <c r="N23" s="112">
        <f>+N21+'23'!N26+'22b'!N26+'21'!N26+'20a'!N26</f>
        <v>39783.509999999995</v>
      </c>
      <c r="O23" s="113">
        <f>+O21+'23'!O26+'22b'!O26+'21'!O26+'20a'!O26</f>
        <v>23123.059999999998</v>
      </c>
      <c r="R23" s="29">
        <f>+M23-N23-O23</f>
        <v>0</v>
      </c>
    </row>
    <row r="24" spans="2:18" ht="14.25" customHeight="1" thickTop="1" x14ac:dyDescent="0.2">
      <c r="C24" s="104"/>
      <c r="D24" s="105" t="s">
        <v>206</v>
      </c>
      <c r="E24" s="104"/>
      <c r="F24" s="682"/>
      <c r="G24" s="105"/>
      <c r="H24" s="680"/>
      <c r="I24" s="17"/>
      <c r="J24" s="110"/>
      <c r="K24" s="30"/>
      <c r="L24" s="110"/>
      <c r="M24" s="30"/>
      <c r="N24" s="30"/>
      <c r="O24" s="111"/>
    </row>
    <row r="25" spans="2:18" ht="24" customHeight="1" x14ac:dyDescent="0.2">
      <c r="C25" s="87"/>
      <c r="D25" s="103" t="s">
        <v>205</v>
      </c>
      <c r="E25" s="87"/>
      <c r="F25" s="92"/>
      <c r="G25" s="103"/>
      <c r="H25" s="626" t="s">
        <v>387</v>
      </c>
      <c r="I25" s="678">
        <v>1</v>
      </c>
      <c r="J25" s="743">
        <f ca="1">SUMPRODUCT(SUMIF(INDIRECT("'"&amp;Twenty_Five&amp;"'!$i$7:$i$24"),1,INDIRECT("'"&amp;Twenty_Five&amp;"'!$j$7:$j$24")))+SUMIF($I$7:$I$20,1,$J$7:$J$20)</f>
        <v>0</v>
      </c>
      <c r="K25" s="743">
        <f ca="1">SUMPRODUCT(SUMIF(INDIRECT("'"&amp;Twenty_Five&amp;"'!$i$7:$i$24"),1,INDIRECT("'"&amp;Twenty_Five&amp;"'!$k$7:$k$24")))+SUMIF($I$7:$I$20,1,$K$7:$K$20)</f>
        <v>0</v>
      </c>
      <c r="L25" s="743">
        <f ca="1">SUMPRODUCT(SUMIF(INDIRECT("'"&amp;Twenty_Five&amp;"'!$i$7:$i$24"),1,INDIRECT("'"&amp;Twenty_Five&amp;"'!$l$7:$l$24")))+SUMIF($I$7:$I$20,1,$L$7:$L$20)</f>
        <v>0</v>
      </c>
      <c r="M25" s="743">
        <f ca="1">SUMPRODUCT(SUMIF(INDIRECT("'"&amp;Twenty_Five&amp;"'!$i$7:$i$24"),1,INDIRECT("'"&amp;Twenty_Five&amp;"'!$m$7:$m$24")))+SUMIF($I$7:$I$20,1,$M$7:$M$20)</f>
        <v>0</v>
      </c>
      <c r="N25" s="743">
        <f ca="1">SUMPRODUCT(SUMIF(INDIRECT("'"&amp;Twenty_Five&amp;"'!$i$7:$i$24"),1,INDIRECT("'"&amp;Twenty_Five&amp;"'!$n$7:$n$24")))+SUMIF($I$7:$I$20,1,$N$7:$N$20)</f>
        <v>0</v>
      </c>
      <c r="O25" s="1059">
        <f ca="1">SUMPRODUCT(SUMIF(INDIRECT("'"&amp;Twenty_Five&amp;"'!$i$7:$i$24"),1,INDIRECT("'"&amp;Twenty_Five&amp;"'!$o$7:$o$26")))+SUMIF($I$7:$I$20,1,$O$7:$O$20)</f>
        <v>0</v>
      </c>
    </row>
    <row r="26" spans="2:18" ht="24" customHeight="1" thickBot="1" x14ac:dyDescent="0.25">
      <c r="C26" s="18"/>
      <c r="D26" s="101" t="s">
        <v>237</v>
      </c>
      <c r="E26" s="18"/>
      <c r="F26" s="135"/>
      <c r="G26" s="101"/>
      <c r="H26" s="686" t="s">
        <v>387</v>
      </c>
      <c r="I26" s="683">
        <v>2</v>
      </c>
      <c r="J26" s="898">
        <f ca="1">SUMPRODUCT(SUMIF(INDIRECT("'"&amp;Twenty_Five&amp;"'!$i$7:$i$24"),2,INDIRECT("'"&amp;Twenty_Five&amp;"'!$j$7:$j$24")))+SUMIF($I$7:$I$20,2,$J$7:$J$20)</f>
        <v>62969.84</v>
      </c>
      <c r="K26" s="898">
        <f ca="1">SUMPRODUCT(SUMIF(INDIRECT("'"&amp;Twenty_Five&amp;"'!$i$7:$i$24"),2,INDIRECT("'"&amp;Twenty_Five&amp;"'!$k$7:$k$24")))+SUMIF($I$7:$I$20,2,$K$7:$K$20)</f>
        <v>62906.569999999992</v>
      </c>
      <c r="L26" s="898">
        <f ca="1">SUMPRODUCT(SUMIF(INDIRECT("'"&amp;Twenty_Five&amp;"'!$i$7:$i$24"),2,INDIRECT("'"&amp;Twenty_Five&amp;"'!$l$7:$l$24")))+SUMIF($I$7:$I$20,2,$L$7:$L$20)</f>
        <v>0</v>
      </c>
      <c r="M26" s="898">
        <f ca="1">SUMPRODUCT(SUMIF(INDIRECT("'"&amp;Twenty_Five&amp;"'!$i$7:$i$24"),2,INDIRECT("'"&amp;Twenty_Five&amp;"'!$m$7:$m$24")))+SUMIF($I$7:$I$20,2,$M$7:$M$20)</f>
        <v>62906.569999999992</v>
      </c>
      <c r="N26" s="898">
        <f ca="1">SUMPRODUCT(SUMIF(INDIRECT("'"&amp;Twenty_Five&amp;"'!$i$7:$i$24"),2,INDIRECT("'"&amp;Twenty_Five&amp;"'!$n$7:$n$24")))+SUMIF($I$7:$I$20,2,$N$7:$N$20)</f>
        <v>39783.509999999995</v>
      </c>
      <c r="O26" s="1060">
        <f ca="1">SUMPRODUCT(SUMIF(INDIRECT("'"&amp;Twenty_Five&amp;"'!$i$7:$i$24"),2,INDIRECT("'"&amp;Twenty_Five&amp;"'!$o$7:$o$26")))+SUMIF($I$7:$I$20,2,$O$7:$O$20)</f>
        <v>23123.059999999998</v>
      </c>
    </row>
    <row r="27" spans="2:18" ht="16.5" thickTop="1" x14ac:dyDescent="0.25">
      <c r="B27" s="1617" t="s">
        <v>238</v>
      </c>
      <c r="C27" s="1617"/>
      <c r="D27" s="1617"/>
      <c r="E27" s="1617"/>
      <c r="F27" s="1617"/>
      <c r="G27" s="1617"/>
      <c r="H27" s="1617"/>
      <c r="I27" s="1617"/>
      <c r="J27" s="1617"/>
      <c r="K27" s="1617"/>
      <c r="L27" s="1617"/>
      <c r="M27" s="1617"/>
      <c r="N27" s="1617"/>
      <c r="O27" s="1617"/>
    </row>
    <row r="30" spans="2:18" x14ac:dyDescent="0.2">
      <c r="D30" s="784" t="s">
        <v>5296</v>
      </c>
      <c r="H30" t="s">
        <v>387</v>
      </c>
      <c r="I30">
        <v>1</v>
      </c>
      <c r="J30" s="180">
        <f ca="1">SUMPRODUCT(SUMIF(INDIRECT("'"&amp;Twenty_Five&amp;"'!$i$7:$i$24"),1,INDIRECT("'"&amp;Twenty_Five&amp;"'!$j$7:$j$24")))+SUMIF($I$7:$I$20,1,$J$7:$J$20)</f>
        <v>0</v>
      </c>
      <c r="K30" s="180">
        <f ca="1">SUMPRODUCT(SUMIF(INDIRECT("'"&amp;Twenty_Five&amp;"'!$i$7:$i$24"),1,INDIRECT("'"&amp;Twenty_Five&amp;"'!$k$7:$k$24")))+SUMIF($I$7:$I$20,1,$K$7:$K$20)</f>
        <v>0</v>
      </c>
      <c r="L30" s="180">
        <f ca="1">SUMPRODUCT(SUMIF(INDIRECT("'"&amp;Twenty_Five&amp;"'!$i$7:$i$24"),1,INDIRECT("'"&amp;Twenty_Five&amp;"'!$l$7:$l$24")))+SUMIF($I$7:$I$20,1,$L$7:$L$20)</f>
        <v>0</v>
      </c>
      <c r="M30" s="180">
        <f ca="1">SUMPRODUCT(SUMIF(INDIRECT("'"&amp;Twenty_Five&amp;"'!$i$7:$i$24"),1,INDIRECT("'"&amp;Twenty_Five&amp;"'!$m$7:$m$24")))+SUMIF($I$7:$I$20,1,$M$7:$M$20)</f>
        <v>0</v>
      </c>
      <c r="N30" s="180">
        <f ca="1">SUMPRODUCT(SUMIF(INDIRECT("'"&amp;Twenty_Five&amp;"'!$i$7:$i$24"),1,INDIRECT("'"&amp;Twenty_Five&amp;"'!$n$7:$n$24")))+SUMIF($I$7:$I$20,1,$N$7:$N$20)</f>
        <v>0</v>
      </c>
      <c r="O30" s="180">
        <f ca="1">SUMPRODUCT(SUMIF(INDIRECT("'"&amp;Twenty_Five&amp;"'!$i$7:$i$24"),1,INDIRECT("'"&amp;Twenty_Five&amp;"'!$o$7:$o$24")))+SUMIF($I$7:$I$20,1,$O$7:$O$20)</f>
        <v>0</v>
      </c>
    </row>
    <row r="31" spans="2:18" x14ac:dyDescent="0.2">
      <c r="D31" s="784" t="s">
        <v>5297</v>
      </c>
      <c r="H31" t="s">
        <v>387</v>
      </c>
      <c r="I31">
        <v>2</v>
      </c>
      <c r="J31" s="180">
        <f ca="1">SUMPRODUCT(SUMIF(INDIRECT("'"&amp;Twenty_Five&amp;"'!$i$7:$i$24"),2,INDIRECT("'"&amp;Twenty_Five&amp;"'!$j$7:$j$24")))+SUMIF($I$7:$I$20,2,$J$7:$J$20)</f>
        <v>62969.84</v>
      </c>
      <c r="K31" s="180">
        <f ca="1">SUMPRODUCT(SUMIF(INDIRECT("'"&amp;Twenty_Five&amp;"'!$i$7:$i$24"),2,INDIRECT("'"&amp;Twenty_Five&amp;"'!$k$7:$k$24")))+SUMIF($I$7:$I$20,2,$K$7:$K$20)</f>
        <v>62906.569999999992</v>
      </c>
      <c r="L31" s="180">
        <f ca="1">SUMPRODUCT(SUMIF(INDIRECT("'"&amp;Twenty_Five&amp;"'!$i$7:$i$24"),2,INDIRECT("'"&amp;Twenty_Five&amp;"'!$l$7:$l$24")))+SUMIF($I$7:$I$20,2,$L$7:$L$20)</f>
        <v>0</v>
      </c>
      <c r="M31" s="180">
        <f ca="1">SUMPRODUCT(SUMIF(INDIRECT("'"&amp;Twenty_Five&amp;"'!$i$7:$i$24"),2,INDIRECT("'"&amp;Twenty_Five&amp;"'!$m$7:$m$24")))+SUMIF($I$7:$I$20,2,$M$7:$M$20)</f>
        <v>62906.569999999992</v>
      </c>
      <c r="N31" s="180">
        <f ca="1">SUMPRODUCT(SUMIF(INDIRECT("'"&amp;Twenty_Five&amp;"'!$i$7:$i$24"),2,INDIRECT("'"&amp;Twenty_Five&amp;"'!$n$7:$n$24")))+SUMIF($I$7:$I$20,2,$N$7:$N$20)</f>
        <v>39783.509999999995</v>
      </c>
      <c r="O31" s="180">
        <f ca="1">SUMPRODUCT(SUMIF(INDIRECT("'"&amp;Twenty_Five&amp;"'!$i$7:$i$24"),2,INDIRECT("'"&amp;Twenty_Five&amp;"'!$o$7:$o$24")))+SUMIF($I$7:$I$20,2,$O$7:$O$20)</f>
        <v>23123.059999999998</v>
      </c>
    </row>
    <row r="34" spans="10:11" x14ac:dyDescent="0.2">
      <c r="J34" s="29"/>
      <c r="K34" s="29"/>
    </row>
  </sheetData>
  <sheetProtection algorithmName="SHA-512" hashValue="9ulKNvVr3rK3U3eLrSZ4nMXYNA3XYwKPu+ZJtunb5jmESLNhlwi4T5tNBhlh1aU+q8v9SN9ftsN+hWEZKQXBjQ==" saltValue="gvtbbleso0yZUezbK93FZQ=="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700-000000000000}">
          <x14:formula1>
            <xm:f>'Other Codes'!$C$2:$C$782</xm:f>
          </x14:formula1>
          <xm:sqref>H8:H20</xm:sqref>
        </x14:dataValidation>
      </x14:dataValidations>
    </ext>
  </extLst>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93"/>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222"/>
      <c r="H3" s="296"/>
      <c r="I3" s="237"/>
      <c r="J3" s="1707" t="s">
        <v>23</v>
      </c>
      <c r="K3" s="1707"/>
      <c r="L3" s="1707"/>
      <c r="M3" s="1708"/>
      <c r="N3" s="1705" t="str">
        <f>"Expended "&amp;'Key Inputs'!E34-1</f>
        <v>Expended 2020</v>
      </c>
      <c r="O3" s="1706"/>
    </row>
    <row r="4" spans="2:17" ht="15" customHeight="1" thickTop="1" x14ac:dyDescent="0.25">
      <c r="F4" s="63"/>
      <c r="G4" s="63"/>
      <c r="H4" s="1711" t="s">
        <v>605</v>
      </c>
      <c r="I4" s="1712"/>
      <c r="J4" s="24"/>
      <c r="K4" s="25"/>
      <c r="L4" s="24" t="str">
        <f>"for "&amp;'Key Inputs'!E34-1&amp;"  By"</f>
        <v>for 2020  By</v>
      </c>
      <c r="M4" s="25" t="str">
        <f>"Total for "&amp;'Key Inputs'!E34-1</f>
        <v>Total for 2020</v>
      </c>
      <c r="N4" s="25"/>
      <c r="O4" s="81"/>
    </row>
    <row r="5" spans="2:17" ht="15" x14ac:dyDescent="0.25">
      <c r="C5" s="133" t="s">
        <v>242</v>
      </c>
      <c r="F5" s="63"/>
      <c r="G5" s="63"/>
      <c r="H5" s="693"/>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2"/>
      <c r="H6" s="694"/>
      <c r="I6" s="675"/>
      <c r="J6" s="27"/>
      <c r="K6" s="28"/>
      <c r="L6" s="27" t="s">
        <v>18</v>
      </c>
      <c r="M6" s="28" t="s">
        <v>25</v>
      </c>
      <c r="N6" s="28" t="s">
        <v>21</v>
      </c>
      <c r="O6" s="83"/>
    </row>
    <row r="7" spans="2:17" ht="21.95" customHeight="1" thickTop="1" x14ac:dyDescent="0.2">
      <c r="C7" s="138" t="s">
        <v>243</v>
      </c>
      <c r="D7" s="14"/>
      <c r="E7" s="14"/>
      <c r="F7" s="14"/>
      <c r="G7" s="89"/>
      <c r="H7" s="695" t="s">
        <v>541</v>
      </c>
      <c r="I7" s="677"/>
      <c r="J7" s="928"/>
      <c r="K7" s="929"/>
      <c r="L7" s="928"/>
      <c r="M7" s="929">
        <f>+L7</f>
        <v>0</v>
      </c>
      <c r="N7" s="929"/>
      <c r="O7" s="370">
        <f t="shared" ref="O7:O26" si="0">IFERROR(IF(+M7-N7&gt;=0,M7-N7,"*")-Q7,"*")</f>
        <v>0</v>
      </c>
      <c r="Q7" s="1261"/>
    </row>
    <row r="8" spans="2:17" ht="21.95" customHeight="1" x14ac:dyDescent="0.2">
      <c r="C8" s="106" t="s">
        <v>244</v>
      </c>
      <c r="D8" s="16"/>
      <c r="E8" s="16"/>
      <c r="F8" s="16"/>
      <c r="G8" s="16"/>
      <c r="H8" s="626" t="s">
        <v>542</v>
      </c>
      <c r="I8" s="678"/>
      <c r="J8" s="742">
        <v>60100</v>
      </c>
      <c r="K8" s="743">
        <v>60100</v>
      </c>
      <c r="L8" s="97" t="s">
        <v>201</v>
      </c>
      <c r="M8" s="743">
        <f t="shared" ref="M8:M26" si="1">+K8</f>
        <v>60100</v>
      </c>
      <c r="N8" s="743">
        <v>60100</v>
      </c>
      <c r="O8" s="370">
        <f t="shared" si="0"/>
        <v>0</v>
      </c>
      <c r="Q8" s="1261"/>
    </row>
    <row r="9" spans="2:17" ht="21.95" customHeight="1" x14ac:dyDescent="0.25">
      <c r="C9" s="744"/>
      <c r="D9" s="744"/>
      <c r="E9" s="744"/>
      <c r="F9" s="744"/>
      <c r="G9" s="744"/>
      <c r="H9" s="931"/>
      <c r="I9" s="1026"/>
      <c r="J9" s="742"/>
      <c r="K9" s="743"/>
      <c r="L9" s="742"/>
      <c r="M9" s="743">
        <f t="shared" si="1"/>
        <v>0</v>
      </c>
      <c r="N9" s="743"/>
      <c r="O9" s="370">
        <f t="shared" si="0"/>
        <v>0</v>
      </c>
      <c r="Q9" s="1261"/>
    </row>
    <row r="10" spans="2:17" ht="21.95" customHeight="1" x14ac:dyDescent="0.2">
      <c r="C10" s="744"/>
      <c r="D10" s="744"/>
      <c r="E10" s="744"/>
      <c r="F10" s="744"/>
      <c r="G10" s="744"/>
      <c r="H10" s="932"/>
      <c r="I10" s="892"/>
      <c r="J10" s="742"/>
      <c r="K10" s="743"/>
      <c r="L10" s="742"/>
      <c r="M10" s="743">
        <f t="shared" si="1"/>
        <v>0</v>
      </c>
      <c r="N10" s="743"/>
      <c r="O10" s="370">
        <f t="shared" si="0"/>
        <v>0</v>
      </c>
      <c r="Q10" s="1261"/>
    </row>
    <row r="11" spans="2:17" ht="21.95" customHeight="1" x14ac:dyDescent="0.2">
      <c r="C11" s="744"/>
      <c r="D11" s="744"/>
      <c r="E11" s="744"/>
      <c r="F11" s="744"/>
      <c r="G11" s="744"/>
      <c r="H11" s="932"/>
      <c r="I11" s="892"/>
      <c r="J11" s="742"/>
      <c r="K11" s="743"/>
      <c r="L11" s="742"/>
      <c r="M11" s="743">
        <f t="shared" si="1"/>
        <v>0</v>
      </c>
      <c r="N11" s="743"/>
      <c r="O11" s="370">
        <f t="shared" si="0"/>
        <v>0</v>
      </c>
      <c r="Q11" s="1261"/>
    </row>
    <row r="12" spans="2:17" ht="21.95" customHeight="1" x14ac:dyDescent="0.2">
      <c r="C12" s="744"/>
      <c r="D12" s="744"/>
      <c r="E12" s="744"/>
      <c r="F12" s="744"/>
      <c r="G12" s="744"/>
      <c r="H12" s="932"/>
      <c r="I12" s="892"/>
      <c r="J12" s="742"/>
      <c r="K12" s="743"/>
      <c r="L12" s="742"/>
      <c r="M12" s="743">
        <f t="shared" si="1"/>
        <v>0</v>
      </c>
      <c r="N12" s="743"/>
      <c r="O12" s="370">
        <f t="shared" si="0"/>
        <v>0</v>
      </c>
      <c r="Q12" s="1261"/>
    </row>
    <row r="13" spans="2:17" ht="21.95" customHeight="1" x14ac:dyDescent="0.2">
      <c r="C13" s="744"/>
      <c r="D13" s="744"/>
      <c r="E13" s="744"/>
      <c r="F13" s="744"/>
      <c r="G13" s="744"/>
      <c r="H13" s="932"/>
      <c r="I13" s="892"/>
      <c r="J13" s="742"/>
      <c r="K13" s="743"/>
      <c r="L13" s="742"/>
      <c r="M13" s="743">
        <f t="shared" si="1"/>
        <v>0</v>
      </c>
      <c r="N13" s="743"/>
      <c r="O13" s="370">
        <f t="shared" si="0"/>
        <v>0</v>
      </c>
      <c r="Q13" s="1261"/>
    </row>
    <row r="14" spans="2:17" ht="21.95" customHeight="1" x14ac:dyDescent="0.2">
      <c r="C14" s="744"/>
      <c r="D14" s="744"/>
      <c r="E14" s="744"/>
      <c r="F14" s="744"/>
      <c r="G14" s="744"/>
      <c r="H14" s="932"/>
      <c r="I14" s="892"/>
      <c r="J14" s="742"/>
      <c r="K14" s="743"/>
      <c r="L14" s="742"/>
      <c r="M14" s="743">
        <f t="shared" si="1"/>
        <v>0</v>
      </c>
      <c r="N14" s="743"/>
      <c r="O14" s="370">
        <f t="shared" si="0"/>
        <v>0</v>
      </c>
      <c r="Q14" s="1261"/>
    </row>
    <row r="15" spans="2:17" ht="21.95" customHeight="1" x14ac:dyDescent="0.2">
      <c r="C15" s="744"/>
      <c r="D15" s="744"/>
      <c r="E15" s="744"/>
      <c r="F15" s="744"/>
      <c r="G15" s="744"/>
      <c r="H15" s="932"/>
      <c r="I15" s="892"/>
      <c r="J15" s="742"/>
      <c r="K15" s="743"/>
      <c r="L15" s="742"/>
      <c r="M15" s="743">
        <f t="shared" si="1"/>
        <v>0</v>
      </c>
      <c r="N15" s="743"/>
      <c r="O15" s="370">
        <f t="shared" si="0"/>
        <v>0</v>
      </c>
      <c r="Q15" s="1261"/>
    </row>
    <row r="16" spans="2:17" ht="21.95" customHeight="1" x14ac:dyDescent="0.2">
      <c r="C16" s="744"/>
      <c r="D16" s="744"/>
      <c r="E16" s="744"/>
      <c r="F16" s="744"/>
      <c r="G16" s="744"/>
      <c r="H16" s="932"/>
      <c r="I16" s="892"/>
      <c r="J16" s="742"/>
      <c r="K16" s="743"/>
      <c r="L16" s="742"/>
      <c r="M16" s="743">
        <f t="shared" si="1"/>
        <v>0</v>
      </c>
      <c r="N16" s="743"/>
      <c r="O16" s="370">
        <f t="shared" si="0"/>
        <v>0</v>
      </c>
      <c r="Q16" s="1261"/>
    </row>
    <row r="17" spans="2:17" ht="21.95" customHeight="1" x14ac:dyDescent="0.2">
      <c r="C17" s="744"/>
      <c r="D17" s="744"/>
      <c r="E17" s="744"/>
      <c r="F17" s="744"/>
      <c r="G17" s="744"/>
      <c r="H17" s="932"/>
      <c r="I17" s="892"/>
      <c r="J17" s="742"/>
      <c r="K17" s="743"/>
      <c r="L17" s="742"/>
      <c r="M17" s="743">
        <f t="shared" si="1"/>
        <v>0</v>
      </c>
      <c r="N17" s="743"/>
      <c r="O17" s="370">
        <f t="shared" si="0"/>
        <v>0</v>
      </c>
      <c r="Q17" s="1261"/>
    </row>
    <row r="18" spans="2:17" ht="21.95" customHeight="1" x14ac:dyDescent="0.2">
      <c r="C18" s="744"/>
      <c r="D18" s="744"/>
      <c r="E18" s="744"/>
      <c r="F18" s="744"/>
      <c r="G18" s="744"/>
      <c r="H18" s="932"/>
      <c r="I18" s="892"/>
      <c r="J18" s="742"/>
      <c r="K18" s="743"/>
      <c r="L18" s="742"/>
      <c r="M18" s="743">
        <f t="shared" si="1"/>
        <v>0</v>
      </c>
      <c r="N18" s="743"/>
      <c r="O18" s="370">
        <f t="shared" si="0"/>
        <v>0</v>
      </c>
      <c r="Q18" s="1261"/>
    </row>
    <row r="19" spans="2:17" ht="21.95" customHeight="1" x14ac:dyDescent="0.2">
      <c r="C19" s="744"/>
      <c r="D19" s="744"/>
      <c r="E19" s="744"/>
      <c r="F19" s="744"/>
      <c r="G19" s="744"/>
      <c r="H19" s="932"/>
      <c r="I19" s="892"/>
      <c r="J19" s="742"/>
      <c r="K19" s="743"/>
      <c r="L19" s="742"/>
      <c r="M19" s="743">
        <f t="shared" si="1"/>
        <v>0</v>
      </c>
      <c r="N19" s="743"/>
      <c r="O19" s="370">
        <f t="shared" si="0"/>
        <v>0</v>
      </c>
      <c r="Q19" s="1261"/>
    </row>
    <row r="20" spans="2:17" ht="21.95" customHeight="1" x14ac:dyDescent="0.2">
      <c r="C20" s="744"/>
      <c r="D20" s="744"/>
      <c r="E20" s="744"/>
      <c r="F20" s="744"/>
      <c r="G20" s="744"/>
      <c r="H20" s="932"/>
      <c r="I20" s="892"/>
      <c r="J20" s="742"/>
      <c r="K20" s="743"/>
      <c r="L20" s="742"/>
      <c r="M20" s="743">
        <f t="shared" si="1"/>
        <v>0</v>
      </c>
      <c r="N20" s="743"/>
      <c r="O20" s="370">
        <f t="shared" si="0"/>
        <v>0</v>
      </c>
      <c r="Q20" s="1261"/>
    </row>
    <row r="21" spans="2:17" ht="21.95" customHeight="1" x14ac:dyDescent="0.2">
      <c r="C21" s="744"/>
      <c r="D21" s="744"/>
      <c r="E21" s="744"/>
      <c r="F21" s="744"/>
      <c r="G21" s="744"/>
      <c r="H21" s="932"/>
      <c r="I21" s="892"/>
      <c r="J21" s="742"/>
      <c r="K21" s="743"/>
      <c r="L21" s="742"/>
      <c r="M21" s="743">
        <f t="shared" si="1"/>
        <v>0</v>
      </c>
      <c r="N21" s="743"/>
      <c r="O21" s="370">
        <f t="shared" si="0"/>
        <v>0</v>
      </c>
      <c r="Q21" s="1261"/>
    </row>
    <row r="22" spans="2:17" ht="21.95" customHeight="1" x14ac:dyDescent="0.2">
      <c r="C22" s="744"/>
      <c r="D22" s="744"/>
      <c r="E22" s="744"/>
      <c r="F22" s="744"/>
      <c r="G22" s="744"/>
      <c r="H22" s="932"/>
      <c r="I22" s="892"/>
      <c r="J22" s="742"/>
      <c r="K22" s="743"/>
      <c r="L22" s="742"/>
      <c r="M22" s="743">
        <f t="shared" si="1"/>
        <v>0</v>
      </c>
      <c r="N22" s="743"/>
      <c r="O22" s="370">
        <f t="shared" si="0"/>
        <v>0</v>
      </c>
      <c r="Q22" s="1261"/>
    </row>
    <row r="23" spans="2:17" ht="21.95" customHeight="1" x14ac:dyDescent="0.2">
      <c r="C23" s="744"/>
      <c r="D23" s="744"/>
      <c r="E23" s="744"/>
      <c r="F23" s="744"/>
      <c r="G23" s="744"/>
      <c r="H23" s="932"/>
      <c r="I23" s="892"/>
      <c r="J23" s="742"/>
      <c r="K23" s="743"/>
      <c r="L23" s="742"/>
      <c r="M23" s="743">
        <f t="shared" si="1"/>
        <v>0</v>
      </c>
      <c r="N23" s="743"/>
      <c r="O23" s="370">
        <f t="shared" si="0"/>
        <v>0</v>
      </c>
      <c r="Q23" s="1261"/>
    </row>
    <row r="24" spans="2:17" ht="21.95" customHeight="1" x14ac:dyDescent="0.2">
      <c r="C24" s="744"/>
      <c r="D24" s="744"/>
      <c r="E24" s="744"/>
      <c r="F24" s="744"/>
      <c r="G24" s="744"/>
      <c r="H24" s="932"/>
      <c r="I24" s="892"/>
      <c r="J24" s="742"/>
      <c r="K24" s="743"/>
      <c r="L24" s="742"/>
      <c r="M24" s="743">
        <f t="shared" si="1"/>
        <v>0</v>
      </c>
      <c r="N24" s="743"/>
      <c r="O24" s="370">
        <f t="shared" si="0"/>
        <v>0</v>
      </c>
      <c r="Q24" s="1261"/>
    </row>
    <row r="25" spans="2:17" ht="21.95" customHeight="1" x14ac:dyDescent="0.2">
      <c r="C25" s="744"/>
      <c r="D25" s="744"/>
      <c r="E25" s="744"/>
      <c r="F25" s="744"/>
      <c r="G25" s="744"/>
      <c r="H25" s="932"/>
      <c r="I25" s="892"/>
      <c r="J25" s="742"/>
      <c r="K25" s="743"/>
      <c r="L25" s="742"/>
      <c r="M25" s="743">
        <f t="shared" si="1"/>
        <v>0</v>
      </c>
      <c r="N25" s="743"/>
      <c r="O25" s="370">
        <f t="shared" si="0"/>
        <v>0</v>
      </c>
      <c r="Q25" s="1261"/>
    </row>
    <row r="26" spans="2:17" ht="21.95" customHeight="1" thickBot="1" x14ac:dyDescent="0.25">
      <c r="B26" s="2"/>
      <c r="C26" s="893"/>
      <c r="D26" s="893"/>
      <c r="E26" s="893"/>
      <c r="F26" s="893"/>
      <c r="G26" s="893"/>
      <c r="H26" s="933"/>
      <c r="I26" s="896"/>
      <c r="J26" s="897"/>
      <c r="K26" s="898"/>
      <c r="L26" s="897"/>
      <c r="M26" s="898">
        <f t="shared" si="1"/>
        <v>0</v>
      </c>
      <c r="N26" s="898"/>
      <c r="O26" s="525">
        <f t="shared" si="0"/>
        <v>0</v>
      </c>
      <c r="Q26" s="1261"/>
    </row>
    <row r="27" spans="2:17" ht="16.5" thickTop="1" x14ac:dyDescent="0.25">
      <c r="B27" s="1617" t="s">
        <v>245</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I5IRNSBhULhTFUbVsp98/zu3I7M5V1ELtGNLcvtQruY2ijAPndY40FQAat7l49ac8cQ4qEbmcPpYWldK2XCddA==" saltValue="CbRJfozVHzJ41wUgJ5pyG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800-000000000000}">
          <x14:formula1>
            <xm:f>'Appropriation Codes'!$J$2:$J$4</xm:f>
          </x14:formula1>
          <xm:sqref>H9:H26</xm:sqref>
        </x14:dataValidation>
      </x14:dataValidations>
    </ext>
  </extLst>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94"/>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222"/>
      <c r="H3" s="296"/>
      <c r="I3" s="237"/>
      <c r="J3" s="1707" t="s">
        <v>23</v>
      </c>
      <c r="K3" s="1707"/>
      <c r="L3" s="1707"/>
      <c r="M3" s="1708"/>
      <c r="N3" s="1705" t="str">
        <f>"Expended "&amp;'Key Inputs'!E34-1</f>
        <v>Expended 2020</v>
      </c>
      <c r="O3" s="1706"/>
    </row>
    <row r="4" spans="2:17" ht="15" customHeight="1" thickTop="1" x14ac:dyDescent="0.25">
      <c r="F4" s="63"/>
      <c r="G4" s="63"/>
      <c r="H4" s="1711" t="s">
        <v>605</v>
      </c>
      <c r="I4" s="1712"/>
      <c r="J4" s="24"/>
      <c r="K4" s="25"/>
      <c r="L4" s="24" t="str">
        <f>"for "&amp;'Key Inputs'!E34-1&amp;"  By"</f>
        <v>for 2020  By</v>
      </c>
      <c r="M4" s="25" t="str">
        <f>"Total for "&amp;'Key Inputs'!E34-1</f>
        <v>Total for 2020</v>
      </c>
      <c r="N4" s="25"/>
      <c r="O4" s="81"/>
    </row>
    <row r="5" spans="2:17" ht="15" x14ac:dyDescent="0.25">
      <c r="C5" s="133" t="s">
        <v>242</v>
      </c>
      <c r="F5" s="63"/>
      <c r="G5" s="63"/>
      <c r="H5" s="693"/>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2"/>
      <c r="H6" s="694"/>
      <c r="I6" s="675"/>
      <c r="J6" s="27"/>
      <c r="K6" s="28"/>
      <c r="L6" s="27" t="s">
        <v>18</v>
      </c>
      <c r="M6" s="28" t="s">
        <v>25</v>
      </c>
      <c r="N6" s="28" t="s">
        <v>21</v>
      </c>
      <c r="O6" s="83"/>
    </row>
    <row r="7" spans="2:17" ht="21.95" customHeight="1" thickTop="1" x14ac:dyDescent="0.2">
      <c r="C7" s="934"/>
      <c r="D7" s="886"/>
      <c r="E7" s="886"/>
      <c r="F7" s="886"/>
      <c r="G7" s="886"/>
      <c r="H7" s="935"/>
      <c r="I7" s="936"/>
      <c r="J7" s="928"/>
      <c r="K7" s="929"/>
      <c r="L7" s="928"/>
      <c r="M7" s="929">
        <f t="shared" ref="M7:M12" si="0">+K7</f>
        <v>0</v>
      </c>
      <c r="N7" s="929"/>
      <c r="O7" s="370">
        <f t="shared" ref="O7:O12" si="1">IFERROR(IF(+M7-N7&gt;=0,M7-N7,"*")-Q7,"*")</f>
        <v>0</v>
      </c>
      <c r="Q7" s="1261"/>
    </row>
    <row r="8" spans="2:17" ht="21.95" customHeight="1" x14ac:dyDescent="0.2">
      <c r="C8" s="937"/>
      <c r="D8" s="817"/>
      <c r="E8" s="817"/>
      <c r="F8" s="817"/>
      <c r="G8" s="817"/>
      <c r="H8" s="938"/>
      <c r="I8" s="939"/>
      <c r="J8" s="920"/>
      <c r="K8" s="940"/>
      <c r="L8" s="920"/>
      <c r="M8" s="940">
        <f t="shared" si="0"/>
        <v>0</v>
      </c>
      <c r="N8" s="940"/>
      <c r="O8" s="370">
        <f t="shared" si="1"/>
        <v>0</v>
      </c>
      <c r="Q8" s="1261"/>
    </row>
    <row r="9" spans="2:17" ht="21.95" customHeight="1" x14ac:dyDescent="0.2">
      <c r="C9" s="937"/>
      <c r="D9" s="817"/>
      <c r="E9" s="817"/>
      <c r="F9" s="817"/>
      <c r="G9" s="818"/>
      <c r="H9" s="941"/>
      <c r="I9" s="942"/>
      <c r="J9" s="920"/>
      <c r="K9" s="940"/>
      <c r="L9" s="920"/>
      <c r="M9" s="940">
        <f t="shared" si="0"/>
        <v>0</v>
      </c>
      <c r="N9" s="940"/>
      <c r="O9" s="370">
        <f t="shared" si="1"/>
        <v>0</v>
      </c>
      <c r="Q9" s="1261"/>
    </row>
    <row r="10" spans="2:17" ht="21.95" customHeight="1" x14ac:dyDescent="0.2">
      <c r="C10" s="876"/>
      <c r="D10" s="744"/>
      <c r="E10" s="744"/>
      <c r="F10" s="744"/>
      <c r="G10" s="744"/>
      <c r="H10" s="931"/>
      <c r="I10" s="911"/>
      <c r="J10" s="742"/>
      <c r="K10" s="743"/>
      <c r="L10" s="921"/>
      <c r="M10" s="940">
        <f t="shared" si="0"/>
        <v>0</v>
      </c>
      <c r="N10" s="743"/>
      <c r="O10" s="370">
        <f t="shared" si="1"/>
        <v>0</v>
      </c>
      <c r="Q10" s="1261"/>
    </row>
    <row r="11" spans="2:17" ht="21.95" customHeight="1" x14ac:dyDescent="0.2">
      <c r="C11" s="744"/>
      <c r="D11" s="744"/>
      <c r="E11" s="744"/>
      <c r="F11" s="744"/>
      <c r="G11" s="744"/>
      <c r="H11" s="931"/>
      <c r="I11" s="911"/>
      <c r="J11" s="742"/>
      <c r="K11" s="743"/>
      <c r="L11" s="742"/>
      <c r="M11" s="940">
        <f t="shared" si="0"/>
        <v>0</v>
      </c>
      <c r="N11" s="743"/>
      <c r="O11" s="370">
        <f t="shared" si="1"/>
        <v>0</v>
      </c>
      <c r="Q11" s="1261"/>
    </row>
    <row r="12" spans="2:17" ht="21.95" customHeight="1" x14ac:dyDescent="0.2">
      <c r="C12" s="744"/>
      <c r="D12" s="744"/>
      <c r="E12" s="744"/>
      <c r="F12" s="744"/>
      <c r="G12" s="744"/>
      <c r="H12" s="746"/>
      <c r="I12" s="745"/>
      <c r="J12" s="742"/>
      <c r="K12" s="743"/>
      <c r="L12" s="742"/>
      <c r="M12" s="940">
        <f t="shared" si="0"/>
        <v>0</v>
      </c>
      <c r="N12" s="743"/>
      <c r="O12" s="370">
        <f t="shared" si="1"/>
        <v>0</v>
      </c>
      <c r="Q12" s="1261"/>
    </row>
    <row r="13" spans="2:17" ht="21.95" customHeight="1" thickBot="1" x14ac:dyDescent="0.25">
      <c r="C13" s="147" t="s">
        <v>246</v>
      </c>
      <c r="D13" s="148"/>
      <c r="E13" s="148"/>
      <c r="F13" s="148"/>
      <c r="G13" s="1033"/>
      <c r="H13" s="1721" t="s">
        <v>200</v>
      </c>
      <c r="I13" s="1722"/>
      <c r="J13" s="97" t="s">
        <v>201</v>
      </c>
      <c r="K13" s="98" t="s">
        <v>201</v>
      </c>
      <c r="L13" s="97" t="s">
        <v>201</v>
      </c>
      <c r="M13" s="98" t="s">
        <v>201</v>
      </c>
      <c r="N13" s="98" t="s">
        <v>201</v>
      </c>
      <c r="O13" s="99" t="s">
        <v>201</v>
      </c>
      <c r="Q13" s="1266"/>
    </row>
    <row r="14" spans="2:17" ht="21.95" customHeight="1" x14ac:dyDescent="0.2">
      <c r="C14" s="129" t="s">
        <v>247</v>
      </c>
      <c r="D14" s="87"/>
      <c r="E14" s="87"/>
      <c r="F14" s="87"/>
      <c r="G14" s="87"/>
      <c r="H14" s="626" t="s">
        <v>543</v>
      </c>
      <c r="I14" s="911"/>
      <c r="J14" s="742"/>
      <c r="K14" s="743"/>
      <c r="L14" s="742"/>
      <c r="M14" s="743">
        <f>+K14</f>
        <v>0</v>
      </c>
      <c r="N14" s="743"/>
      <c r="O14" s="370">
        <f t="shared" ref="O14:O25" si="2">IFERROR(IF(+M14-N14&gt;=0,M14-N14,"*")-Q14,"*")</f>
        <v>0</v>
      </c>
      <c r="Q14" s="1261"/>
    </row>
    <row r="15" spans="2:17" ht="21.95" customHeight="1" x14ac:dyDescent="0.2">
      <c r="C15" s="744"/>
      <c r="D15" s="744"/>
      <c r="E15" s="744"/>
      <c r="F15" s="744"/>
      <c r="G15" s="744"/>
      <c r="H15" s="746"/>
      <c r="I15" s="745"/>
      <c r="J15" s="742"/>
      <c r="K15" s="743"/>
      <c r="L15" s="742"/>
      <c r="M15" s="743">
        <f t="shared" ref="M15:M25" si="3">+K15</f>
        <v>0</v>
      </c>
      <c r="N15" s="743"/>
      <c r="O15" s="370">
        <f t="shared" si="2"/>
        <v>0</v>
      </c>
      <c r="Q15" s="1261"/>
    </row>
    <row r="16" spans="2:17" ht="21.95" customHeight="1" x14ac:dyDescent="0.2">
      <c r="C16" s="744" t="s">
        <v>6333</v>
      </c>
      <c r="D16" s="744"/>
      <c r="E16" s="744"/>
      <c r="F16" s="744"/>
      <c r="G16" s="744"/>
      <c r="H16" s="746"/>
      <c r="I16" s="745"/>
      <c r="J16" s="742"/>
      <c r="K16" s="743">
        <v>226550</v>
      </c>
      <c r="L16" s="742"/>
      <c r="M16" s="743">
        <f t="shared" si="3"/>
        <v>226550</v>
      </c>
      <c r="N16" s="743"/>
      <c r="O16" s="370">
        <f t="shared" si="2"/>
        <v>0</v>
      </c>
      <c r="Q16" s="1261">
        <v>226550</v>
      </c>
    </row>
    <row r="17" spans="2:17" ht="21.95" customHeight="1" x14ac:dyDescent="0.2">
      <c r="C17" s="744"/>
      <c r="D17" s="744"/>
      <c r="E17" s="744"/>
      <c r="F17" s="744"/>
      <c r="G17" s="744"/>
      <c r="H17" s="746"/>
      <c r="I17" s="745"/>
      <c r="J17" s="742"/>
      <c r="K17" s="743"/>
      <c r="L17" s="742"/>
      <c r="M17" s="743">
        <f t="shared" si="3"/>
        <v>0</v>
      </c>
      <c r="N17" s="743"/>
      <c r="O17" s="370">
        <f t="shared" si="2"/>
        <v>0</v>
      </c>
      <c r="Q17" s="1261"/>
    </row>
    <row r="18" spans="2:17" ht="21.95" customHeight="1" x14ac:dyDescent="0.2">
      <c r="C18" s="744"/>
      <c r="D18" s="744"/>
      <c r="E18" s="744"/>
      <c r="F18" s="744"/>
      <c r="G18" s="744"/>
      <c r="H18" s="746"/>
      <c r="I18" s="745"/>
      <c r="J18" s="742"/>
      <c r="K18" s="743"/>
      <c r="L18" s="742"/>
      <c r="M18" s="743">
        <f t="shared" si="3"/>
        <v>0</v>
      </c>
      <c r="N18" s="743"/>
      <c r="O18" s="370">
        <f t="shared" si="2"/>
        <v>0</v>
      </c>
      <c r="Q18" s="1261"/>
    </row>
    <row r="19" spans="2:17" ht="21.95" customHeight="1" x14ac:dyDescent="0.2">
      <c r="C19" s="744"/>
      <c r="D19" s="744"/>
      <c r="E19" s="744"/>
      <c r="F19" s="744"/>
      <c r="G19" s="744"/>
      <c r="H19" s="746"/>
      <c r="I19" s="745"/>
      <c r="J19" s="742"/>
      <c r="K19" s="743"/>
      <c r="L19" s="742"/>
      <c r="M19" s="743">
        <f t="shared" si="3"/>
        <v>0</v>
      </c>
      <c r="N19" s="743"/>
      <c r="O19" s="370">
        <f t="shared" si="2"/>
        <v>0</v>
      </c>
      <c r="Q19" s="1261"/>
    </row>
    <row r="20" spans="2:17" ht="21.95" customHeight="1" x14ac:dyDescent="0.2">
      <c r="C20" s="744"/>
      <c r="D20" s="744"/>
      <c r="E20" s="744"/>
      <c r="F20" s="744"/>
      <c r="G20" s="744"/>
      <c r="H20" s="746"/>
      <c r="I20" s="745"/>
      <c r="J20" s="742"/>
      <c r="K20" s="743"/>
      <c r="L20" s="742"/>
      <c r="M20" s="743">
        <f t="shared" si="3"/>
        <v>0</v>
      </c>
      <c r="N20" s="743"/>
      <c r="O20" s="370">
        <f t="shared" si="2"/>
        <v>0</v>
      </c>
      <c r="Q20" s="1261"/>
    </row>
    <row r="21" spans="2:17" ht="21.95" customHeight="1" x14ac:dyDescent="0.2">
      <c r="C21" s="744"/>
      <c r="D21" s="744"/>
      <c r="E21" s="744"/>
      <c r="F21" s="744"/>
      <c r="G21" s="744"/>
      <c r="H21" s="746"/>
      <c r="I21" s="745"/>
      <c r="J21" s="742"/>
      <c r="K21" s="743"/>
      <c r="L21" s="742"/>
      <c r="M21" s="743">
        <f t="shared" si="3"/>
        <v>0</v>
      </c>
      <c r="N21" s="743"/>
      <c r="O21" s="370">
        <f t="shared" si="2"/>
        <v>0</v>
      </c>
      <c r="Q21" s="1261"/>
    </row>
    <row r="22" spans="2:17" ht="21.95" customHeight="1" x14ac:dyDescent="0.2">
      <c r="C22" s="744"/>
      <c r="D22" s="744"/>
      <c r="E22" s="744"/>
      <c r="F22" s="744"/>
      <c r="G22" s="744"/>
      <c r="H22" s="746"/>
      <c r="I22" s="745"/>
      <c r="J22" s="742"/>
      <c r="K22" s="743"/>
      <c r="L22" s="742"/>
      <c r="M22" s="743">
        <f t="shared" si="3"/>
        <v>0</v>
      </c>
      <c r="N22" s="743"/>
      <c r="O22" s="370">
        <f t="shared" si="2"/>
        <v>0</v>
      </c>
      <c r="Q22" s="1261"/>
    </row>
    <row r="23" spans="2:17" ht="21.95" customHeight="1" x14ac:dyDescent="0.2">
      <c r="C23" s="744"/>
      <c r="D23" s="744"/>
      <c r="E23" s="744"/>
      <c r="F23" s="744"/>
      <c r="G23" s="744"/>
      <c r="H23" s="746"/>
      <c r="I23" s="745"/>
      <c r="J23" s="742"/>
      <c r="K23" s="743"/>
      <c r="L23" s="742"/>
      <c r="M23" s="743">
        <f t="shared" si="3"/>
        <v>0</v>
      </c>
      <c r="N23" s="743"/>
      <c r="O23" s="370">
        <f t="shared" si="2"/>
        <v>0</v>
      </c>
      <c r="Q23" s="1261"/>
    </row>
    <row r="24" spans="2:17" ht="21.95" customHeight="1" x14ac:dyDescent="0.2">
      <c r="C24" s="744"/>
      <c r="D24" s="744"/>
      <c r="E24" s="744"/>
      <c r="F24" s="744"/>
      <c r="G24" s="744"/>
      <c r="H24" s="746"/>
      <c r="I24" s="745"/>
      <c r="J24" s="742"/>
      <c r="K24" s="743"/>
      <c r="L24" s="742"/>
      <c r="M24" s="743">
        <f t="shared" si="3"/>
        <v>0</v>
      </c>
      <c r="N24" s="743"/>
      <c r="O24" s="370">
        <f t="shared" si="2"/>
        <v>0</v>
      </c>
      <c r="Q24" s="1261"/>
    </row>
    <row r="25" spans="2:17" ht="21.95" customHeight="1" thickBot="1" x14ac:dyDescent="0.25">
      <c r="C25" s="744"/>
      <c r="D25" s="744"/>
      <c r="E25" s="744"/>
      <c r="F25" s="744"/>
      <c r="G25" s="744"/>
      <c r="H25" s="746"/>
      <c r="I25" s="745"/>
      <c r="J25" s="905"/>
      <c r="K25" s="865"/>
      <c r="L25" s="905"/>
      <c r="M25" s="743">
        <f t="shared" si="3"/>
        <v>0</v>
      </c>
      <c r="N25" s="865"/>
      <c r="O25" s="370">
        <f t="shared" si="2"/>
        <v>0</v>
      </c>
      <c r="Q25" s="1261"/>
    </row>
    <row r="26" spans="2:17" ht="21.95" customHeight="1" thickTop="1" thickBot="1" x14ac:dyDescent="0.25">
      <c r="C26" s="135" t="s">
        <v>248</v>
      </c>
      <c r="D26" s="18"/>
      <c r="E26" s="18"/>
      <c r="F26" s="19"/>
      <c r="G26" s="18"/>
      <c r="H26" s="686" t="s">
        <v>388</v>
      </c>
      <c r="I26" s="697"/>
      <c r="J26" s="696">
        <f>+SUM(J7:J25)+SUM('26'!J7:J26)</f>
        <v>60100</v>
      </c>
      <c r="K26" s="122">
        <f>+SUM(K7:K25)+SUM('26'!K7:K26)</f>
        <v>286650</v>
      </c>
      <c r="L26" s="122">
        <f>+SUM(L7:L25)+SUM('26'!L7:L26)</f>
        <v>0</v>
      </c>
      <c r="M26" s="122">
        <f>+SUM(M7:M25)+SUM('26'!M7:M26)</f>
        <v>286650</v>
      </c>
      <c r="N26" s="122">
        <f>+SUM(N7:N25)+SUM('26'!N7:N26)</f>
        <v>60100</v>
      </c>
      <c r="O26" s="137">
        <f>+SUM(O7:O25)+SUM('26'!O7:O26)</f>
        <v>0</v>
      </c>
    </row>
    <row r="27" spans="2:17" ht="16.5" thickTop="1" x14ac:dyDescent="0.25">
      <c r="B27" s="1617" t="s">
        <v>249</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j5kD6q7ERCWjhQBmG3RP7ln7UKVabg4fxKE0w04JJNl80CKvoJ6AgqeS6Jv3a4gT7Gj3EqEnCVJ0ew14BXscBg==" saltValue="TT+5E1vx93e7gKsInUKhLQ==" spinCount="100000" sheet="1" objects="1" scenarios="1"/>
  <mergeCells count="6">
    <mergeCell ref="B2:O2"/>
    <mergeCell ref="N3:O3"/>
    <mergeCell ref="J3:M3"/>
    <mergeCell ref="B27:O27"/>
    <mergeCell ref="H4:I4"/>
    <mergeCell ref="H13:I1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900-000000000000}">
          <x14:formula1>
            <xm:f>'Appropriation Codes'!$J$2:$J$4</xm:f>
          </x14:formula1>
          <xm:sqref>H7:H12 H15:H25</xm:sqref>
        </x14:dataValidation>
      </x14:dataValidations>
    </ext>
  </extLst>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95"/>
  <dimension ref="B2:R4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8" max="18" width="14.7109375" customWidth="1"/>
  </cols>
  <sheetData>
    <row r="2" spans="2:18" ht="21" thickBot="1" x14ac:dyDescent="0.35">
      <c r="B2" s="1700" t="s">
        <v>377</v>
      </c>
      <c r="C2" s="1700"/>
      <c r="D2" s="1700"/>
      <c r="E2" s="1700"/>
      <c r="F2" s="1700"/>
      <c r="G2" s="1700"/>
      <c r="H2" s="1700"/>
      <c r="I2" s="1700"/>
      <c r="J2" s="1700"/>
      <c r="K2" s="1700"/>
      <c r="L2" s="1700"/>
      <c r="M2" s="1700"/>
      <c r="N2" s="1700"/>
      <c r="O2" s="1700"/>
    </row>
    <row r="3" spans="2:18" ht="17.25" thickTop="1" thickBot="1" x14ac:dyDescent="0.3">
      <c r="B3" s="1" t="s">
        <v>16</v>
      </c>
      <c r="F3" s="222"/>
      <c r="G3" s="6"/>
      <c r="H3" s="296"/>
      <c r="I3" s="237"/>
      <c r="J3" s="1707" t="s">
        <v>23</v>
      </c>
      <c r="K3" s="1707"/>
      <c r="L3" s="1707"/>
      <c r="M3" s="1708"/>
      <c r="N3" s="1705" t="str">
        <f>"Expended "&amp;'Key Inputs'!E34-1</f>
        <v>Expended 2020</v>
      </c>
      <c r="O3" s="1706"/>
    </row>
    <row r="4" spans="2:18"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8" ht="15" x14ac:dyDescent="0.25">
      <c r="C5" s="133" t="s">
        <v>250</v>
      </c>
      <c r="F5" s="63"/>
      <c r="G5" s="7"/>
      <c r="H5" s="693"/>
      <c r="I5" s="674"/>
      <c r="J5" s="24" t="str">
        <f>"for  "&amp;'Key Inputs'!E34</f>
        <v>for  2021</v>
      </c>
      <c r="K5" s="26" t="str">
        <f>"for  "&amp;'Key Inputs'!E34-1</f>
        <v>for  2020</v>
      </c>
      <c r="L5" s="24" t="s">
        <v>19</v>
      </c>
      <c r="M5" s="26" t="s">
        <v>24</v>
      </c>
      <c r="N5" s="26" t="s">
        <v>20</v>
      </c>
      <c r="O5" s="82" t="s">
        <v>22</v>
      </c>
      <c r="R5" s="665" t="s">
        <v>3375</v>
      </c>
    </row>
    <row r="6" spans="2:18" ht="15" customHeight="1" thickBot="1" x14ac:dyDescent="0.3">
      <c r="B6" s="2"/>
      <c r="C6" s="3"/>
      <c r="D6" s="3"/>
      <c r="E6" s="2"/>
      <c r="F6" s="2"/>
      <c r="G6" s="8"/>
      <c r="H6" s="694"/>
      <c r="I6" s="675"/>
      <c r="J6" s="27"/>
      <c r="K6" s="28"/>
      <c r="L6" s="27" t="s">
        <v>18</v>
      </c>
      <c r="M6" s="28" t="s">
        <v>25</v>
      </c>
      <c r="N6" s="28" t="s">
        <v>21</v>
      </c>
      <c r="O6" s="83"/>
      <c r="R6" s="180"/>
    </row>
    <row r="7" spans="2:18" ht="21.95" customHeight="1" thickTop="1" x14ac:dyDescent="0.2">
      <c r="C7" s="146" t="s">
        <v>254</v>
      </c>
      <c r="D7" s="14"/>
      <c r="E7" s="14"/>
      <c r="F7" s="14"/>
      <c r="G7" s="90"/>
      <c r="H7" s="695" t="s">
        <v>544</v>
      </c>
      <c r="I7" s="677"/>
      <c r="J7" s="928"/>
      <c r="K7" s="929"/>
      <c r="L7" s="928"/>
      <c r="M7" s="929">
        <f>+K7</f>
        <v>0</v>
      </c>
      <c r="N7" s="929"/>
      <c r="O7" s="96" t="s">
        <v>201</v>
      </c>
      <c r="R7" s="180">
        <f>+M7-N7</f>
        <v>0</v>
      </c>
    </row>
    <row r="8" spans="2:18" ht="21.95" customHeight="1" x14ac:dyDescent="0.2">
      <c r="C8" s="50" t="s">
        <v>255</v>
      </c>
      <c r="D8" s="16"/>
      <c r="E8" s="16"/>
      <c r="F8" s="16"/>
      <c r="G8" s="17"/>
      <c r="H8" s="626" t="s">
        <v>545</v>
      </c>
      <c r="I8" s="678"/>
      <c r="J8" s="742"/>
      <c r="K8" s="743"/>
      <c r="L8" s="921"/>
      <c r="M8" s="943">
        <f>+K8</f>
        <v>0</v>
      </c>
      <c r="N8" s="743"/>
      <c r="O8" s="99" t="s">
        <v>201</v>
      </c>
      <c r="R8" s="180">
        <f t="shared" ref="R8:R26" si="0">+M8-N8</f>
        <v>0</v>
      </c>
    </row>
    <row r="9" spans="2:18" ht="21.95" customHeight="1" x14ac:dyDescent="0.2">
      <c r="C9" s="50" t="s">
        <v>256</v>
      </c>
      <c r="D9" s="16"/>
      <c r="E9" s="16"/>
      <c r="F9" s="16"/>
      <c r="G9" s="17"/>
      <c r="H9" s="626" t="s">
        <v>546</v>
      </c>
      <c r="I9" s="678"/>
      <c r="J9" s="742"/>
      <c r="K9" s="743"/>
      <c r="L9" s="742"/>
      <c r="M9" s="943">
        <f>+K9</f>
        <v>0</v>
      </c>
      <c r="N9" s="743"/>
      <c r="O9" s="99" t="s">
        <v>201</v>
      </c>
      <c r="R9" s="180">
        <f t="shared" si="0"/>
        <v>0</v>
      </c>
    </row>
    <row r="10" spans="2:18" ht="21.95" customHeight="1" x14ac:dyDescent="0.2">
      <c r="C10" s="50" t="s">
        <v>257</v>
      </c>
      <c r="D10" s="16"/>
      <c r="E10" s="16"/>
      <c r="F10" s="16"/>
      <c r="G10" s="17"/>
      <c r="H10" s="626" t="s">
        <v>547</v>
      </c>
      <c r="I10" s="678"/>
      <c r="J10" s="742"/>
      <c r="K10" s="743"/>
      <c r="L10" s="742"/>
      <c r="M10" s="943">
        <f>+K10</f>
        <v>0</v>
      </c>
      <c r="N10" s="743"/>
      <c r="O10" s="99" t="s">
        <v>201</v>
      </c>
      <c r="R10" s="180">
        <f t="shared" si="0"/>
        <v>0</v>
      </c>
    </row>
    <row r="11" spans="2:18" ht="21.95" customHeight="1" x14ac:dyDescent="0.2">
      <c r="C11" s="106" t="s">
        <v>251</v>
      </c>
      <c r="D11" s="16"/>
      <c r="E11" s="16"/>
      <c r="F11" s="16"/>
      <c r="G11" s="17"/>
      <c r="H11" s="1721" t="s">
        <v>200</v>
      </c>
      <c r="I11" s="1722"/>
      <c r="J11" s="97" t="s">
        <v>201</v>
      </c>
      <c r="K11" s="98" t="s">
        <v>201</v>
      </c>
      <c r="L11" s="97" t="s">
        <v>201</v>
      </c>
      <c r="M11" s="206" t="s">
        <v>201</v>
      </c>
      <c r="N11" s="98" t="s">
        <v>201</v>
      </c>
      <c r="O11" s="99" t="s">
        <v>201</v>
      </c>
      <c r="R11" s="180"/>
    </row>
    <row r="12" spans="2:18" ht="21.95" customHeight="1" x14ac:dyDescent="0.25">
      <c r="C12" s="937"/>
      <c r="D12" s="817"/>
      <c r="E12" s="817"/>
      <c r="F12" s="817"/>
      <c r="G12" s="901"/>
      <c r="H12" s="931"/>
      <c r="I12" s="1026"/>
      <c r="J12" s="742"/>
      <c r="K12" s="743"/>
      <c r="L12" s="742"/>
      <c r="M12" s="943">
        <f>+K12</f>
        <v>0</v>
      </c>
      <c r="N12" s="743"/>
      <c r="O12" s="99" t="s">
        <v>201</v>
      </c>
      <c r="R12" s="180">
        <f t="shared" si="0"/>
        <v>0</v>
      </c>
    </row>
    <row r="13" spans="2:18" ht="21.95" customHeight="1" x14ac:dyDescent="0.25">
      <c r="C13" s="744"/>
      <c r="D13" s="744"/>
      <c r="E13" s="744"/>
      <c r="F13" s="744"/>
      <c r="G13" s="745"/>
      <c r="H13" s="931"/>
      <c r="I13" s="1026"/>
      <c r="J13" s="742"/>
      <c r="K13" s="743"/>
      <c r="L13" s="742"/>
      <c r="M13" s="943">
        <f>+K13</f>
        <v>0</v>
      </c>
      <c r="N13" s="743"/>
      <c r="O13" s="99" t="s">
        <v>201</v>
      </c>
      <c r="R13" s="180">
        <f t="shared" si="0"/>
        <v>0</v>
      </c>
    </row>
    <row r="14" spans="2:18" ht="21.95" customHeight="1" x14ac:dyDescent="0.2">
      <c r="C14" s="744"/>
      <c r="D14" s="744"/>
      <c r="E14" s="744"/>
      <c r="F14" s="744"/>
      <c r="G14" s="745"/>
      <c r="H14" s="746"/>
      <c r="I14" s="745"/>
      <c r="J14" s="742"/>
      <c r="K14" s="743"/>
      <c r="L14" s="742"/>
      <c r="M14" s="943">
        <f t="shared" ref="M14:M26" si="1">+K14</f>
        <v>0</v>
      </c>
      <c r="N14" s="743"/>
      <c r="O14" s="99" t="s">
        <v>201</v>
      </c>
      <c r="R14" s="180">
        <f t="shared" si="0"/>
        <v>0</v>
      </c>
    </row>
    <row r="15" spans="2:18" ht="21.95" customHeight="1" x14ac:dyDescent="0.25">
      <c r="C15" s="744"/>
      <c r="D15" s="744"/>
      <c r="E15" s="744"/>
      <c r="F15" s="744"/>
      <c r="G15" s="745"/>
      <c r="H15" s="931"/>
      <c r="I15" s="1026"/>
      <c r="J15" s="742"/>
      <c r="K15" s="743"/>
      <c r="L15" s="742"/>
      <c r="M15" s="943">
        <f t="shared" si="1"/>
        <v>0</v>
      </c>
      <c r="N15" s="743"/>
      <c r="O15" s="99" t="s">
        <v>201</v>
      </c>
      <c r="R15" s="180">
        <f t="shared" si="0"/>
        <v>0</v>
      </c>
    </row>
    <row r="16" spans="2:18" ht="21.95" customHeight="1" x14ac:dyDescent="0.25">
      <c r="C16" s="744"/>
      <c r="D16" s="744"/>
      <c r="E16" s="744"/>
      <c r="F16" s="744"/>
      <c r="G16" s="745"/>
      <c r="H16" s="931"/>
      <c r="I16" s="1026"/>
      <c r="J16" s="742"/>
      <c r="K16" s="743"/>
      <c r="L16" s="742"/>
      <c r="M16" s="943">
        <f t="shared" si="1"/>
        <v>0</v>
      </c>
      <c r="N16" s="743"/>
      <c r="O16" s="99" t="s">
        <v>201</v>
      </c>
      <c r="R16" s="180">
        <f t="shared" si="0"/>
        <v>0</v>
      </c>
    </row>
    <row r="17" spans="2:18" ht="21.95" customHeight="1" x14ac:dyDescent="0.2">
      <c r="C17" s="744"/>
      <c r="D17" s="744"/>
      <c r="E17" s="744"/>
      <c r="F17" s="744"/>
      <c r="G17" s="745"/>
      <c r="H17" s="746"/>
      <c r="I17" s="745"/>
      <c r="J17" s="742"/>
      <c r="K17" s="743"/>
      <c r="L17" s="742"/>
      <c r="M17" s="943">
        <f t="shared" si="1"/>
        <v>0</v>
      </c>
      <c r="N17" s="743"/>
      <c r="O17" s="99" t="s">
        <v>201</v>
      </c>
      <c r="R17" s="180">
        <f t="shared" si="0"/>
        <v>0</v>
      </c>
    </row>
    <row r="18" spans="2:18" ht="21.95" customHeight="1" x14ac:dyDescent="0.25">
      <c r="C18" s="744"/>
      <c r="D18" s="744"/>
      <c r="E18" s="744"/>
      <c r="F18" s="744"/>
      <c r="G18" s="745"/>
      <c r="H18" s="931"/>
      <c r="I18" s="1026"/>
      <c r="J18" s="742"/>
      <c r="K18" s="743"/>
      <c r="L18" s="742"/>
      <c r="M18" s="943">
        <f t="shared" si="1"/>
        <v>0</v>
      </c>
      <c r="N18" s="743"/>
      <c r="O18" s="99" t="s">
        <v>201</v>
      </c>
      <c r="R18" s="180">
        <f t="shared" si="0"/>
        <v>0</v>
      </c>
    </row>
    <row r="19" spans="2:18" ht="21.95" customHeight="1" x14ac:dyDescent="0.25">
      <c r="C19" s="744"/>
      <c r="D19" s="744"/>
      <c r="E19" s="744"/>
      <c r="F19" s="744"/>
      <c r="G19" s="745"/>
      <c r="H19" s="931"/>
      <c r="I19" s="1026"/>
      <c r="J19" s="742"/>
      <c r="K19" s="743"/>
      <c r="L19" s="742"/>
      <c r="M19" s="943">
        <f t="shared" si="1"/>
        <v>0</v>
      </c>
      <c r="N19" s="743"/>
      <c r="O19" s="99" t="s">
        <v>201</v>
      </c>
      <c r="R19" s="180">
        <f t="shared" si="0"/>
        <v>0</v>
      </c>
    </row>
    <row r="20" spans="2:18" ht="21.95" customHeight="1" x14ac:dyDescent="0.2">
      <c r="C20" s="944"/>
      <c r="D20" s="744"/>
      <c r="E20" s="744"/>
      <c r="F20" s="744"/>
      <c r="G20" s="745"/>
      <c r="H20" s="746"/>
      <c r="I20" s="745"/>
      <c r="J20" s="742"/>
      <c r="K20" s="743"/>
      <c r="L20" s="742"/>
      <c r="M20" s="943">
        <f t="shared" si="1"/>
        <v>0</v>
      </c>
      <c r="N20" s="743"/>
      <c r="O20" s="99" t="s">
        <v>201</v>
      </c>
      <c r="R20" s="180">
        <f t="shared" si="0"/>
        <v>0</v>
      </c>
    </row>
    <row r="21" spans="2:18" ht="21.95" customHeight="1" x14ac:dyDescent="0.25">
      <c r="C21" s="744"/>
      <c r="D21" s="876"/>
      <c r="E21" s="744"/>
      <c r="F21" s="744"/>
      <c r="G21" s="745"/>
      <c r="H21" s="931"/>
      <c r="I21" s="1026"/>
      <c r="J21" s="742"/>
      <c r="K21" s="743"/>
      <c r="L21" s="742"/>
      <c r="M21" s="943">
        <f t="shared" si="1"/>
        <v>0</v>
      </c>
      <c r="N21" s="743"/>
      <c r="O21" s="99" t="s">
        <v>201</v>
      </c>
      <c r="R21" s="180">
        <f t="shared" si="0"/>
        <v>0</v>
      </c>
    </row>
    <row r="22" spans="2:18" ht="21.95" customHeight="1" x14ac:dyDescent="0.25">
      <c r="C22" s="744"/>
      <c r="D22" s="876"/>
      <c r="E22" s="744"/>
      <c r="F22" s="744"/>
      <c r="G22" s="745"/>
      <c r="H22" s="931"/>
      <c r="I22" s="1026"/>
      <c r="J22" s="742"/>
      <c r="K22" s="743"/>
      <c r="L22" s="742"/>
      <c r="M22" s="943">
        <f t="shared" si="1"/>
        <v>0</v>
      </c>
      <c r="N22" s="743"/>
      <c r="O22" s="99" t="s">
        <v>201</v>
      </c>
      <c r="R22" s="180">
        <f t="shared" si="0"/>
        <v>0</v>
      </c>
    </row>
    <row r="23" spans="2:18" ht="21.95" customHeight="1" x14ac:dyDescent="0.2">
      <c r="C23" s="944"/>
      <c r="D23" s="744"/>
      <c r="E23" s="744"/>
      <c r="F23" s="744"/>
      <c r="G23" s="745"/>
      <c r="H23" s="746"/>
      <c r="I23" s="745"/>
      <c r="J23" s="742"/>
      <c r="K23" s="743"/>
      <c r="L23" s="742"/>
      <c r="M23" s="943">
        <f t="shared" si="1"/>
        <v>0</v>
      </c>
      <c r="N23" s="743"/>
      <c r="O23" s="99" t="s">
        <v>201</v>
      </c>
      <c r="R23" s="180">
        <f t="shared" si="0"/>
        <v>0</v>
      </c>
    </row>
    <row r="24" spans="2:18" ht="21.95" customHeight="1" x14ac:dyDescent="0.25">
      <c r="C24" s="744"/>
      <c r="D24" s="876"/>
      <c r="E24" s="744"/>
      <c r="F24" s="744"/>
      <c r="G24" s="745"/>
      <c r="H24" s="931"/>
      <c r="I24" s="1026"/>
      <c r="J24" s="742"/>
      <c r="K24" s="743"/>
      <c r="L24" s="742"/>
      <c r="M24" s="943">
        <f t="shared" si="1"/>
        <v>0</v>
      </c>
      <c r="N24" s="743"/>
      <c r="O24" s="99" t="s">
        <v>201</v>
      </c>
      <c r="R24" s="180">
        <f t="shared" si="0"/>
        <v>0</v>
      </c>
    </row>
    <row r="25" spans="2:18" ht="21.95" customHeight="1" x14ac:dyDescent="0.25">
      <c r="C25" s="744"/>
      <c r="D25" s="876"/>
      <c r="E25" s="744"/>
      <c r="F25" s="744"/>
      <c r="G25" s="745"/>
      <c r="H25" s="931"/>
      <c r="I25" s="1026"/>
      <c r="J25" s="742"/>
      <c r="K25" s="743"/>
      <c r="L25" s="742"/>
      <c r="M25" s="943">
        <f t="shared" si="1"/>
        <v>0</v>
      </c>
      <c r="N25" s="743"/>
      <c r="O25" s="99" t="s">
        <v>201</v>
      </c>
      <c r="R25" s="180">
        <f t="shared" si="0"/>
        <v>0</v>
      </c>
    </row>
    <row r="26" spans="2:18" ht="21.95" customHeight="1" thickBot="1" x14ac:dyDescent="0.25">
      <c r="C26" s="916"/>
      <c r="D26" s="893"/>
      <c r="E26" s="893"/>
      <c r="F26" s="893"/>
      <c r="G26" s="894"/>
      <c r="H26" s="945"/>
      <c r="I26" s="946"/>
      <c r="J26" s="947"/>
      <c r="K26" s="948"/>
      <c r="L26" s="948"/>
      <c r="M26" s="949">
        <f t="shared" si="1"/>
        <v>0</v>
      </c>
      <c r="N26" s="948"/>
      <c r="O26" s="643" t="s">
        <v>201</v>
      </c>
      <c r="R26" s="180">
        <f t="shared" si="0"/>
        <v>0</v>
      </c>
    </row>
    <row r="27" spans="2:18" ht="16.5" thickTop="1" x14ac:dyDescent="0.25">
      <c r="B27" s="1617" t="s">
        <v>253</v>
      </c>
      <c r="C27" s="1617"/>
      <c r="D27" s="1617"/>
      <c r="E27" s="1617"/>
      <c r="F27" s="1617"/>
      <c r="G27" s="1617"/>
      <c r="H27" s="1617"/>
      <c r="I27" s="1617"/>
      <c r="J27" s="1617"/>
      <c r="K27" s="1617"/>
      <c r="L27" s="1617"/>
      <c r="M27" s="1617"/>
      <c r="N27" s="1617"/>
      <c r="O27" s="1617"/>
      <c r="R27" s="180"/>
    </row>
    <row r="28" spans="2:18" x14ac:dyDescent="0.2">
      <c r="R28" s="180"/>
    </row>
    <row r="29" spans="2:18" x14ac:dyDescent="0.2">
      <c r="J29" s="180"/>
      <c r="N29" s="29">
        <f>+M26-N26</f>
        <v>0</v>
      </c>
      <c r="R29" s="29">
        <f>SUM(R7:R26)</f>
        <v>0</v>
      </c>
    </row>
    <row r="30" spans="2:18" x14ac:dyDescent="0.2">
      <c r="J30" s="180"/>
      <c r="K30" s="29"/>
    </row>
    <row r="31" spans="2:18" x14ac:dyDescent="0.2">
      <c r="J31" s="180"/>
      <c r="K31" s="180"/>
    </row>
    <row r="32" spans="2:18" x14ac:dyDescent="0.2">
      <c r="J32" s="180"/>
      <c r="K32" s="29"/>
    </row>
    <row r="33" spans="10:13" x14ac:dyDescent="0.2">
      <c r="J33" s="180"/>
    </row>
    <row r="34" spans="10:13" x14ac:dyDescent="0.2">
      <c r="J34" s="180"/>
    </row>
    <row r="35" spans="10:13" x14ac:dyDescent="0.2">
      <c r="J35" s="180"/>
    </row>
    <row r="36" spans="10:13" x14ac:dyDescent="0.2">
      <c r="J36" s="180"/>
    </row>
    <row r="37" spans="10:13" x14ac:dyDescent="0.2">
      <c r="J37" s="180"/>
      <c r="K37" s="29"/>
      <c r="M37" s="29"/>
    </row>
    <row r="38" spans="10:13" x14ac:dyDescent="0.2">
      <c r="J38" s="180"/>
    </row>
    <row r="39" spans="10:13" x14ac:dyDescent="0.2">
      <c r="J39" s="29"/>
    </row>
    <row r="40" spans="10:13" x14ac:dyDescent="0.2">
      <c r="J40" s="29"/>
    </row>
  </sheetData>
  <sheetProtection algorithmName="SHA-512" hashValue="lmpBeuYGsS9I27vBD5DXGIAXRGhbJo8LsEajxYRovajJcFXTj0w1LYQQN6LlrVR1BVNBZs28v/GCAh4xROOiEQ==" saltValue="50OE+600j5MJUbl5sQKTww==" spinCount="100000" sheet="1" objects="1" scenarios="1"/>
  <mergeCells count="6">
    <mergeCell ref="B2:O2"/>
    <mergeCell ref="J3:M3"/>
    <mergeCell ref="N3:O3"/>
    <mergeCell ref="B27:O27"/>
    <mergeCell ref="H4:I4"/>
    <mergeCell ref="H11:I11"/>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A00-000000000000}">
          <x14:formula1>
            <xm:f>'Appropriation Codes'!$K$2:$K$6</xm:f>
          </x14:formula1>
          <xm:sqref>H12:H26</xm:sqref>
        </x14:dataValidation>
      </x14:dataValidations>
    </ext>
  </extLst>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96"/>
  <dimension ref="B2:R4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8" max="18" width="14.7109375" customWidth="1"/>
  </cols>
  <sheetData>
    <row r="2" spans="2:18" ht="21" thickBot="1" x14ac:dyDescent="0.35">
      <c r="B2" s="1700" t="s">
        <v>377</v>
      </c>
      <c r="C2" s="1700"/>
      <c r="D2" s="1700"/>
      <c r="E2" s="1700"/>
      <c r="F2" s="1700"/>
      <c r="G2" s="1700"/>
      <c r="H2" s="1700"/>
      <c r="I2" s="1700"/>
      <c r="J2" s="1700"/>
      <c r="K2" s="1700"/>
      <c r="L2" s="1700"/>
      <c r="M2" s="1700"/>
      <c r="N2" s="1700"/>
      <c r="O2" s="1700"/>
    </row>
    <row r="3" spans="2:18" ht="17.25" thickTop="1" thickBot="1" x14ac:dyDescent="0.3">
      <c r="B3" s="1" t="s">
        <v>16</v>
      </c>
      <c r="F3" s="222"/>
      <c r="G3" s="6"/>
      <c r="H3" s="296"/>
      <c r="I3" s="237"/>
      <c r="J3" s="1707" t="s">
        <v>23</v>
      </c>
      <c r="K3" s="1707"/>
      <c r="L3" s="1707"/>
      <c r="M3" s="1708"/>
      <c r="N3" s="1705" t="str">
        <f>"Expended "&amp;'Key Inputs'!E34-1</f>
        <v>Expended 2020</v>
      </c>
      <c r="O3" s="1706"/>
    </row>
    <row r="4" spans="2:18"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8" ht="15" x14ac:dyDescent="0.25">
      <c r="C5" s="133" t="s">
        <v>3255</v>
      </c>
      <c r="F5" s="63"/>
      <c r="G5" s="7"/>
      <c r="H5" s="693"/>
      <c r="I5" s="674"/>
      <c r="J5" s="24" t="str">
        <f>"for  "&amp;'Key Inputs'!E34</f>
        <v>for  2021</v>
      </c>
      <c r="K5" s="26" t="str">
        <f>"for  "&amp;'Key Inputs'!E34-1</f>
        <v>for  2020</v>
      </c>
      <c r="L5" s="24" t="s">
        <v>19</v>
      </c>
      <c r="M5" s="26" t="s">
        <v>24</v>
      </c>
      <c r="N5" s="26" t="s">
        <v>20</v>
      </c>
      <c r="O5" s="82" t="s">
        <v>22</v>
      </c>
      <c r="R5" s="706" t="s">
        <v>3375</v>
      </c>
    </row>
    <row r="6" spans="2:18" ht="15" customHeight="1" thickBot="1" x14ac:dyDescent="0.3">
      <c r="B6" s="2"/>
      <c r="C6" s="3"/>
      <c r="D6" s="3"/>
      <c r="E6" s="2"/>
      <c r="F6" s="2"/>
      <c r="G6" s="8"/>
      <c r="H6" s="694"/>
      <c r="I6" s="675"/>
      <c r="J6" s="27"/>
      <c r="K6" s="28"/>
      <c r="L6" s="27" t="s">
        <v>18</v>
      </c>
      <c r="M6" s="28" t="s">
        <v>25</v>
      </c>
      <c r="N6" s="28" t="s">
        <v>21</v>
      </c>
      <c r="O6" s="83"/>
      <c r="R6" s="180"/>
    </row>
    <row r="7" spans="2:18" ht="21.95" customHeight="1" thickTop="1" x14ac:dyDescent="0.25">
      <c r="C7" s="934"/>
      <c r="D7" s="886"/>
      <c r="E7" s="886"/>
      <c r="F7" s="886"/>
      <c r="G7" s="923"/>
      <c r="H7" s="950"/>
      <c r="I7" s="1048"/>
      <c r="J7" s="928"/>
      <c r="K7" s="929"/>
      <c r="L7" s="928"/>
      <c r="M7" s="929">
        <f t="shared" ref="M7:M13" si="0">+K7</f>
        <v>0</v>
      </c>
      <c r="N7" s="929"/>
      <c r="O7" s="96" t="s">
        <v>201</v>
      </c>
      <c r="R7" s="180">
        <f>+M7-N7</f>
        <v>0</v>
      </c>
    </row>
    <row r="8" spans="2:18" ht="21.95" customHeight="1" x14ac:dyDescent="0.25">
      <c r="C8" s="876"/>
      <c r="D8" s="744"/>
      <c r="E8" s="744"/>
      <c r="F8" s="744"/>
      <c r="G8" s="745"/>
      <c r="H8" s="931"/>
      <c r="I8" s="1026"/>
      <c r="J8" s="742"/>
      <c r="K8" s="743"/>
      <c r="L8" s="921"/>
      <c r="M8" s="943">
        <f t="shared" si="0"/>
        <v>0</v>
      </c>
      <c r="N8" s="743"/>
      <c r="O8" s="99" t="s">
        <v>201</v>
      </c>
      <c r="R8" s="180">
        <f t="shared" ref="R8:R25" si="1">+M8-N8</f>
        <v>0</v>
      </c>
    </row>
    <row r="9" spans="2:18" ht="21.95" customHeight="1" x14ac:dyDescent="0.25">
      <c r="C9" s="876"/>
      <c r="D9" s="744"/>
      <c r="E9" s="744"/>
      <c r="F9" s="744"/>
      <c r="G9" s="745"/>
      <c r="H9" s="931"/>
      <c r="I9" s="1026"/>
      <c r="J9" s="742"/>
      <c r="K9" s="743"/>
      <c r="L9" s="742"/>
      <c r="M9" s="943">
        <f t="shared" si="0"/>
        <v>0</v>
      </c>
      <c r="N9" s="743"/>
      <c r="O9" s="99" t="s">
        <v>201</v>
      </c>
      <c r="R9" s="180">
        <f t="shared" si="1"/>
        <v>0</v>
      </c>
    </row>
    <row r="10" spans="2:18" ht="21.95" customHeight="1" x14ac:dyDescent="0.25">
      <c r="C10" s="876"/>
      <c r="D10" s="744"/>
      <c r="E10" s="744"/>
      <c r="F10" s="744"/>
      <c r="G10" s="745"/>
      <c r="H10" s="931"/>
      <c r="I10" s="1026"/>
      <c r="J10" s="742"/>
      <c r="K10" s="743"/>
      <c r="L10" s="742"/>
      <c r="M10" s="943">
        <f t="shared" si="0"/>
        <v>0</v>
      </c>
      <c r="N10" s="743"/>
      <c r="O10" s="99" t="s">
        <v>201</v>
      </c>
      <c r="R10" s="180">
        <f t="shared" si="1"/>
        <v>0</v>
      </c>
    </row>
    <row r="11" spans="2:18" ht="21.95" customHeight="1" x14ac:dyDescent="0.25">
      <c r="C11" s="910"/>
      <c r="D11" s="744"/>
      <c r="E11" s="744"/>
      <c r="F11" s="744"/>
      <c r="G11" s="745"/>
      <c r="H11" s="931"/>
      <c r="I11" s="1026"/>
      <c r="J11" s="951"/>
      <c r="K11" s="952"/>
      <c r="L11" s="951"/>
      <c r="M11" s="943">
        <f t="shared" si="0"/>
        <v>0</v>
      </c>
      <c r="N11" s="952"/>
      <c r="O11" s="99" t="s">
        <v>201</v>
      </c>
      <c r="R11" s="180">
        <f t="shared" si="1"/>
        <v>0</v>
      </c>
    </row>
    <row r="12" spans="2:18" ht="21.95" customHeight="1" x14ac:dyDescent="0.25">
      <c r="C12" s="937"/>
      <c r="D12" s="817"/>
      <c r="E12" s="817"/>
      <c r="F12" s="817"/>
      <c r="G12" s="901"/>
      <c r="H12" s="931"/>
      <c r="I12" s="1026"/>
      <c r="J12" s="742"/>
      <c r="K12" s="743"/>
      <c r="L12" s="742"/>
      <c r="M12" s="943">
        <f t="shared" si="0"/>
        <v>0</v>
      </c>
      <c r="N12" s="743"/>
      <c r="O12" s="99" t="s">
        <v>201</v>
      </c>
      <c r="R12" s="180">
        <f t="shared" si="1"/>
        <v>0</v>
      </c>
    </row>
    <row r="13" spans="2:18" ht="21.95" customHeight="1" x14ac:dyDescent="0.25">
      <c r="C13" s="744"/>
      <c r="D13" s="744"/>
      <c r="E13" s="744"/>
      <c r="F13" s="744"/>
      <c r="G13" s="745"/>
      <c r="H13" s="931"/>
      <c r="I13" s="1026"/>
      <c r="J13" s="742"/>
      <c r="K13" s="743"/>
      <c r="L13" s="742"/>
      <c r="M13" s="943">
        <f t="shared" si="0"/>
        <v>0</v>
      </c>
      <c r="N13" s="743"/>
      <c r="O13" s="99" t="s">
        <v>201</v>
      </c>
      <c r="R13" s="180">
        <f t="shared" si="1"/>
        <v>0</v>
      </c>
    </row>
    <row r="14" spans="2:18" ht="21.95" customHeight="1" x14ac:dyDescent="0.2">
      <c r="C14" s="744"/>
      <c r="D14" s="744"/>
      <c r="E14" s="744"/>
      <c r="F14" s="744"/>
      <c r="G14" s="745"/>
      <c r="H14" s="746"/>
      <c r="I14" s="745"/>
      <c r="J14" s="742"/>
      <c r="K14" s="743"/>
      <c r="L14" s="742"/>
      <c r="M14" s="943">
        <f t="shared" ref="M14:M25" si="2">+K14</f>
        <v>0</v>
      </c>
      <c r="N14" s="743"/>
      <c r="O14" s="99" t="s">
        <v>201</v>
      </c>
      <c r="R14" s="180">
        <f t="shared" si="1"/>
        <v>0</v>
      </c>
    </row>
    <row r="15" spans="2:18" ht="21.95" customHeight="1" x14ac:dyDescent="0.25">
      <c r="C15" s="744"/>
      <c r="D15" s="744"/>
      <c r="E15" s="744"/>
      <c r="F15" s="744"/>
      <c r="G15" s="745"/>
      <c r="H15" s="931"/>
      <c r="I15" s="1026"/>
      <c r="J15" s="742"/>
      <c r="K15" s="743"/>
      <c r="L15" s="742"/>
      <c r="M15" s="943">
        <f t="shared" si="2"/>
        <v>0</v>
      </c>
      <c r="N15" s="743"/>
      <c r="O15" s="99" t="s">
        <v>201</v>
      </c>
      <c r="R15" s="180">
        <f t="shared" si="1"/>
        <v>0</v>
      </c>
    </row>
    <row r="16" spans="2:18" ht="21.95" customHeight="1" x14ac:dyDescent="0.25">
      <c r="C16" s="744"/>
      <c r="D16" s="744"/>
      <c r="E16" s="744"/>
      <c r="F16" s="744"/>
      <c r="G16" s="745"/>
      <c r="H16" s="931"/>
      <c r="I16" s="1026"/>
      <c r="J16" s="742"/>
      <c r="K16" s="743"/>
      <c r="L16" s="742"/>
      <c r="M16" s="943">
        <f t="shared" si="2"/>
        <v>0</v>
      </c>
      <c r="N16" s="743"/>
      <c r="O16" s="99" t="s">
        <v>201</v>
      </c>
      <c r="R16" s="180">
        <f t="shared" si="1"/>
        <v>0</v>
      </c>
    </row>
    <row r="17" spans="2:18" ht="21.95" customHeight="1" x14ac:dyDescent="0.2">
      <c r="C17" s="744"/>
      <c r="D17" s="744"/>
      <c r="E17" s="744"/>
      <c r="F17" s="744"/>
      <c r="G17" s="745"/>
      <c r="H17" s="746"/>
      <c r="I17" s="745"/>
      <c r="J17" s="742"/>
      <c r="K17" s="743"/>
      <c r="L17" s="742"/>
      <c r="M17" s="943">
        <f t="shared" si="2"/>
        <v>0</v>
      </c>
      <c r="N17" s="743"/>
      <c r="O17" s="99" t="s">
        <v>201</v>
      </c>
      <c r="R17" s="180">
        <f t="shared" si="1"/>
        <v>0</v>
      </c>
    </row>
    <row r="18" spans="2:18" ht="21.95" customHeight="1" x14ac:dyDescent="0.25">
      <c r="C18" s="744"/>
      <c r="D18" s="744"/>
      <c r="E18" s="744"/>
      <c r="F18" s="744"/>
      <c r="G18" s="745"/>
      <c r="H18" s="931"/>
      <c r="I18" s="1026"/>
      <c r="J18" s="742"/>
      <c r="K18" s="743"/>
      <c r="L18" s="742"/>
      <c r="M18" s="943">
        <f t="shared" si="2"/>
        <v>0</v>
      </c>
      <c r="N18" s="743"/>
      <c r="O18" s="99" t="s">
        <v>201</v>
      </c>
      <c r="R18" s="180">
        <f t="shared" si="1"/>
        <v>0</v>
      </c>
    </row>
    <row r="19" spans="2:18" ht="21.95" customHeight="1" x14ac:dyDescent="0.25">
      <c r="C19" s="744"/>
      <c r="D19" s="744"/>
      <c r="E19" s="744"/>
      <c r="F19" s="744"/>
      <c r="G19" s="745"/>
      <c r="H19" s="931"/>
      <c r="I19" s="1026"/>
      <c r="J19" s="742"/>
      <c r="K19" s="743"/>
      <c r="L19" s="742"/>
      <c r="M19" s="943">
        <f t="shared" si="2"/>
        <v>0</v>
      </c>
      <c r="N19" s="743"/>
      <c r="O19" s="99" t="s">
        <v>201</v>
      </c>
      <c r="R19" s="180">
        <f t="shared" si="1"/>
        <v>0</v>
      </c>
    </row>
    <row r="20" spans="2:18" ht="21.95" customHeight="1" x14ac:dyDescent="0.2">
      <c r="C20" s="944"/>
      <c r="D20" s="744"/>
      <c r="E20" s="744"/>
      <c r="F20" s="744"/>
      <c r="G20" s="745"/>
      <c r="H20" s="746"/>
      <c r="I20" s="745"/>
      <c r="J20" s="742"/>
      <c r="K20" s="743"/>
      <c r="L20" s="742"/>
      <c r="M20" s="943">
        <f t="shared" si="2"/>
        <v>0</v>
      </c>
      <c r="N20" s="743"/>
      <c r="O20" s="99" t="s">
        <v>201</v>
      </c>
      <c r="R20" s="180">
        <f t="shared" si="1"/>
        <v>0</v>
      </c>
    </row>
    <row r="21" spans="2:18" ht="21.95" customHeight="1" x14ac:dyDescent="0.25">
      <c r="C21" s="744"/>
      <c r="D21" s="876"/>
      <c r="E21" s="744"/>
      <c r="F21" s="744"/>
      <c r="G21" s="745"/>
      <c r="H21" s="931"/>
      <c r="I21" s="1026"/>
      <c r="J21" s="742"/>
      <c r="K21" s="743"/>
      <c r="L21" s="742"/>
      <c r="M21" s="943">
        <f t="shared" si="2"/>
        <v>0</v>
      </c>
      <c r="N21" s="743"/>
      <c r="O21" s="99" t="s">
        <v>201</v>
      </c>
      <c r="R21" s="180">
        <f t="shared" si="1"/>
        <v>0</v>
      </c>
    </row>
    <row r="22" spans="2:18" ht="21.95" customHeight="1" x14ac:dyDescent="0.25">
      <c r="C22" s="744"/>
      <c r="D22" s="876"/>
      <c r="E22" s="744"/>
      <c r="F22" s="744"/>
      <c r="G22" s="745"/>
      <c r="H22" s="931"/>
      <c r="I22" s="1026"/>
      <c r="J22" s="742"/>
      <c r="K22" s="743"/>
      <c r="L22" s="742"/>
      <c r="M22" s="943">
        <f t="shared" si="2"/>
        <v>0</v>
      </c>
      <c r="N22" s="743"/>
      <c r="O22" s="99" t="s">
        <v>201</v>
      </c>
      <c r="R22" s="180">
        <f t="shared" si="1"/>
        <v>0</v>
      </c>
    </row>
    <row r="23" spans="2:18" ht="21.95" customHeight="1" x14ac:dyDescent="0.2">
      <c r="C23" s="944"/>
      <c r="D23" s="744"/>
      <c r="E23" s="744"/>
      <c r="F23" s="744"/>
      <c r="G23" s="745"/>
      <c r="H23" s="746"/>
      <c r="I23" s="745"/>
      <c r="J23" s="742"/>
      <c r="K23" s="743"/>
      <c r="L23" s="742"/>
      <c r="M23" s="943">
        <f t="shared" si="2"/>
        <v>0</v>
      </c>
      <c r="N23" s="743"/>
      <c r="O23" s="99" t="s">
        <v>201</v>
      </c>
      <c r="R23" s="180">
        <f t="shared" si="1"/>
        <v>0</v>
      </c>
    </row>
    <row r="24" spans="2:18" ht="21.95" customHeight="1" x14ac:dyDescent="0.25">
      <c r="C24" s="744"/>
      <c r="D24" s="876"/>
      <c r="E24" s="744"/>
      <c r="F24" s="744"/>
      <c r="G24" s="745"/>
      <c r="H24" s="931"/>
      <c r="I24" s="1026"/>
      <c r="J24" s="742"/>
      <c r="K24" s="743"/>
      <c r="L24" s="742"/>
      <c r="M24" s="943">
        <f t="shared" si="2"/>
        <v>0</v>
      </c>
      <c r="N24" s="743"/>
      <c r="O24" s="99" t="s">
        <v>201</v>
      </c>
      <c r="R24" s="180">
        <f t="shared" si="1"/>
        <v>0</v>
      </c>
    </row>
    <row r="25" spans="2:18" ht="21.95" customHeight="1" thickBot="1" x14ac:dyDescent="0.3">
      <c r="C25" s="744"/>
      <c r="D25" s="876"/>
      <c r="E25" s="744"/>
      <c r="F25" s="744"/>
      <c r="G25" s="745"/>
      <c r="H25" s="931"/>
      <c r="I25" s="1049"/>
      <c r="J25" s="905"/>
      <c r="K25" s="865"/>
      <c r="L25" s="905"/>
      <c r="M25" s="943">
        <f t="shared" si="2"/>
        <v>0</v>
      </c>
      <c r="N25" s="865"/>
      <c r="O25" s="149" t="s">
        <v>201</v>
      </c>
      <c r="R25" s="180">
        <f t="shared" si="1"/>
        <v>0</v>
      </c>
    </row>
    <row r="26" spans="2:18" ht="21.95" customHeight="1" thickTop="1" thickBot="1" x14ac:dyDescent="0.25">
      <c r="C26" s="135" t="s">
        <v>252</v>
      </c>
      <c r="D26" s="18"/>
      <c r="E26" s="18"/>
      <c r="F26" s="19"/>
      <c r="G26" s="19"/>
      <c r="H26" s="686" t="s">
        <v>389</v>
      </c>
      <c r="I26" s="697"/>
      <c r="J26" s="123">
        <f>SUM(J7:J25)+SUM('27'!J7:J26)</f>
        <v>0</v>
      </c>
      <c r="K26" s="123">
        <f>SUM(K7:K25)+SUM('27'!K7:K26)</f>
        <v>0</v>
      </c>
      <c r="L26" s="123">
        <f>SUM(L7:L25)+SUM('27'!L7:L26)</f>
        <v>0</v>
      </c>
      <c r="M26" s="123">
        <f>SUM(M7:M25)+SUM('27'!M7:M26)</f>
        <v>0</v>
      </c>
      <c r="N26" s="123">
        <f>SUM(N7:N25)+SUM('27'!N7:N26)</f>
        <v>0</v>
      </c>
      <c r="O26" s="150" t="s">
        <v>201</v>
      </c>
      <c r="R26" s="180"/>
    </row>
    <row r="27" spans="2:18" ht="16.5" thickTop="1" x14ac:dyDescent="0.25">
      <c r="B27" s="1617" t="s">
        <v>3348</v>
      </c>
      <c r="C27" s="1617"/>
      <c r="D27" s="1617"/>
      <c r="E27" s="1617"/>
      <c r="F27" s="1617"/>
      <c r="G27" s="1617"/>
      <c r="H27" s="1617"/>
      <c r="I27" s="1617"/>
      <c r="J27" s="1617"/>
      <c r="K27" s="1617"/>
      <c r="L27" s="1617"/>
      <c r="M27" s="1617"/>
      <c r="N27" s="1617"/>
      <c r="O27" s="1617"/>
      <c r="R27" s="180"/>
    </row>
    <row r="28" spans="2:18" x14ac:dyDescent="0.2">
      <c r="R28" s="180"/>
    </row>
    <row r="29" spans="2:18" x14ac:dyDescent="0.2">
      <c r="J29" s="180"/>
      <c r="N29" s="29">
        <f>+M26-N26</f>
        <v>0</v>
      </c>
      <c r="O29" s="640" t="s">
        <v>3346</v>
      </c>
      <c r="R29" s="29">
        <f>SUM(R7:R26)</f>
        <v>0</v>
      </c>
    </row>
    <row r="30" spans="2:18" x14ac:dyDescent="0.2">
      <c r="J30" s="180"/>
      <c r="K30" s="29"/>
    </row>
    <row r="31" spans="2:18" x14ac:dyDescent="0.2">
      <c r="J31" s="180"/>
      <c r="K31" s="180"/>
    </row>
    <row r="32" spans="2:18" x14ac:dyDescent="0.2">
      <c r="J32" s="180"/>
      <c r="K32" s="29"/>
    </row>
    <row r="33" spans="10:13" x14ac:dyDescent="0.2">
      <c r="J33" s="180"/>
    </row>
    <row r="34" spans="10:13" x14ac:dyDescent="0.2">
      <c r="J34" s="180"/>
    </row>
    <row r="35" spans="10:13" x14ac:dyDescent="0.2">
      <c r="J35" s="180"/>
    </row>
    <row r="36" spans="10:13" x14ac:dyDescent="0.2">
      <c r="J36" s="180"/>
    </row>
    <row r="37" spans="10:13" x14ac:dyDescent="0.2">
      <c r="J37" s="180"/>
      <c r="K37" s="29"/>
      <c r="M37" s="29"/>
    </row>
    <row r="38" spans="10:13" x14ac:dyDescent="0.2">
      <c r="J38" s="180"/>
    </row>
    <row r="39" spans="10:13" x14ac:dyDescent="0.2">
      <c r="J39" s="29"/>
    </row>
    <row r="40" spans="10:13" x14ac:dyDescent="0.2">
      <c r="J40" s="29"/>
    </row>
  </sheetData>
  <sheetProtection algorithmName="SHA-512" hashValue="J/b2QEya2lyC+BowY6O/tbVpA8EptHiXvGoqS25+eIN7xmSpKKUxS4tHXBka8OfjojGLA1t60iJLbNGsmZ2caA==" saltValue="b7WOVcf75Fg/zvwY7YhCT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B00-000000000000}">
          <x14:formula1>
            <xm:f>'Appropriation Codes'!$K$2:$K$6</xm:f>
          </x14:formula1>
          <xm:sqref>H7:H25</xm:sqref>
        </x14:dataValidation>
      </x14:dataValidations>
    </ext>
  </extLst>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97"/>
  <dimension ref="B2:R29"/>
  <sheetViews>
    <sheetView topLeftCell="A19" zoomScaleNormal="100" workbookViewId="0">
      <selection activeCell="E25" sqref="E25: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8" max="18" width="14.7109375" customWidth="1"/>
  </cols>
  <sheetData>
    <row r="2" spans="2:18" ht="21" thickBot="1" x14ac:dyDescent="0.35">
      <c r="B2" s="1700" t="s">
        <v>377</v>
      </c>
      <c r="C2" s="1700"/>
      <c r="D2" s="1700"/>
      <c r="E2" s="1700"/>
      <c r="F2" s="1700"/>
      <c r="G2" s="1700"/>
      <c r="H2" s="1700"/>
      <c r="I2" s="1700"/>
      <c r="J2" s="1700"/>
      <c r="K2" s="1700"/>
      <c r="L2" s="1700"/>
      <c r="M2" s="1700"/>
      <c r="N2" s="1700"/>
      <c r="O2" s="1700"/>
    </row>
    <row r="3" spans="2:18" ht="17.25" thickTop="1" thickBot="1" x14ac:dyDescent="0.3">
      <c r="B3" s="1" t="s">
        <v>16</v>
      </c>
      <c r="C3" s="222"/>
      <c r="D3" s="222"/>
      <c r="E3" s="222"/>
      <c r="F3" s="222"/>
      <c r="G3" s="6"/>
      <c r="H3" s="296"/>
      <c r="I3" s="237"/>
      <c r="J3" s="1707" t="s">
        <v>23</v>
      </c>
      <c r="K3" s="1707"/>
      <c r="L3" s="1707"/>
      <c r="M3" s="1708"/>
      <c r="N3" s="1705" t="str">
        <f>"Expended "&amp;'Key Inputs'!E34-1</f>
        <v>Expended 2020</v>
      </c>
      <c r="O3" s="1706"/>
    </row>
    <row r="4" spans="2:18" ht="15" customHeight="1" thickTop="1" x14ac:dyDescent="0.25">
      <c r="C4" s="63"/>
      <c r="D4" s="63"/>
      <c r="E4" s="63"/>
      <c r="F4" s="63"/>
      <c r="G4" s="7"/>
      <c r="H4" s="1711" t="s">
        <v>605</v>
      </c>
      <c r="I4" s="1712"/>
      <c r="J4" s="24"/>
      <c r="K4" s="25"/>
      <c r="L4" s="24" t="str">
        <f>"for "&amp;'Key Inputs'!E34-1&amp;"  By"</f>
        <v>for 2020  By</v>
      </c>
      <c r="M4" s="25" t="str">
        <f>"Total for "&amp;'Key Inputs'!E34-1</f>
        <v>Total for 2020</v>
      </c>
      <c r="N4" s="25"/>
      <c r="O4" s="81"/>
    </row>
    <row r="5" spans="2:18" ht="15" x14ac:dyDescent="0.25">
      <c r="C5" s="133" t="s">
        <v>259</v>
      </c>
      <c r="D5" s="63"/>
      <c r="E5" s="63"/>
      <c r="F5" s="63"/>
      <c r="G5" s="7"/>
      <c r="H5" s="693"/>
      <c r="I5" s="674"/>
      <c r="J5" s="24" t="str">
        <f>"for  "&amp;'Key Inputs'!E34</f>
        <v>for  2021</v>
      </c>
      <c r="K5" s="26" t="str">
        <f>"for  "&amp;'Key Inputs'!E34-1</f>
        <v>for  2020</v>
      </c>
      <c r="L5" s="24" t="s">
        <v>19</v>
      </c>
      <c r="M5" s="26" t="s">
        <v>24</v>
      </c>
      <c r="N5" s="26" t="s">
        <v>20</v>
      </c>
      <c r="O5" s="82" t="s">
        <v>22</v>
      </c>
      <c r="R5" s="568" t="s">
        <v>3375</v>
      </c>
    </row>
    <row r="6" spans="2:18" ht="15" customHeight="1" thickBot="1" x14ac:dyDescent="0.3">
      <c r="B6" s="2"/>
      <c r="C6" s="3"/>
      <c r="D6" s="3"/>
      <c r="E6" s="2"/>
      <c r="F6" s="2"/>
      <c r="G6" s="8"/>
      <c r="H6" s="694"/>
      <c r="I6" s="675"/>
      <c r="J6" s="27"/>
      <c r="K6" s="28"/>
      <c r="L6" s="27" t="s">
        <v>18</v>
      </c>
      <c r="M6" s="28" t="s">
        <v>25</v>
      </c>
      <c r="N6" s="28" t="s">
        <v>21</v>
      </c>
      <c r="O6" s="83"/>
    </row>
    <row r="7" spans="2:18" ht="21.95" customHeight="1" thickTop="1" x14ac:dyDescent="0.25">
      <c r="C7" s="100" t="s">
        <v>267</v>
      </c>
      <c r="D7" s="14"/>
      <c r="E7" s="14"/>
      <c r="F7" s="14"/>
      <c r="G7" s="90"/>
      <c r="H7" s="1717" t="s">
        <v>200</v>
      </c>
      <c r="I7" s="1718"/>
      <c r="J7" s="94" t="s">
        <v>201</v>
      </c>
      <c r="K7" s="95" t="s">
        <v>201</v>
      </c>
      <c r="L7" s="94" t="s">
        <v>201</v>
      </c>
      <c r="M7" s="95" t="s">
        <v>201</v>
      </c>
      <c r="N7" s="95" t="s">
        <v>201</v>
      </c>
      <c r="O7" s="96" t="s">
        <v>201</v>
      </c>
    </row>
    <row r="8" spans="2:18" ht="21.95" customHeight="1" x14ac:dyDescent="0.2">
      <c r="C8" s="16"/>
      <c r="D8" s="16"/>
      <c r="E8" s="50" t="s">
        <v>213</v>
      </c>
      <c r="F8" s="50"/>
      <c r="G8" s="50"/>
      <c r="H8" s="626" t="s">
        <v>535</v>
      </c>
      <c r="I8" s="678"/>
      <c r="J8" s="742"/>
      <c r="K8" s="743"/>
      <c r="L8" s="97" t="s">
        <v>201</v>
      </c>
      <c r="M8" s="743">
        <f>+K8</f>
        <v>0</v>
      </c>
      <c r="N8" s="743"/>
      <c r="O8" s="99" t="s">
        <v>201</v>
      </c>
      <c r="R8" s="29">
        <f>M8-N8</f>
        <v>0</v>
      </c>
    </row>
    <row r="9" spans="2:18" ht="21.95" customHeight="1" x14ac:dyDescent="0.2">
      <c r="C9" s="16"/>
      <c r="D9" s="16"/>
      <c r="E9" s="1731" t="s">
        <v>3364</v>
      </c>
      <c r="F9" s="1731"/>
      <c r="G9" s="655"/>
      <c r="H9" s="626" t="s">
        <v>548</v>
      </c>
      <c r="I9" s="678"/>
      <c r="J9" s="742">
        <v>13000</v>
      </c>
      <c r="K9" s="743">
        <v>13000</v>
      </c>
      <c r="L9" s="97" t="s">
        <v>201</v>
      </c>
      <c r="M9" s="743">
        <f>+K9</f>
        <v>13000</v>
      </c>
      <c r="N9" s="743">
        <v>13000</v>
      </c>
      <c r="O9" s="99" t="s">
        <v>201</v>
      </c>
      <c r="R9" s="29">
        <f t="shared" ref="R9:R23" si="0">M9-N9</f>
        <v>0</v>
      </c>
    </row>
    <row r="10" spans="2:18" ht="21.95" customHeight="1" x14ac:dyDescent="0.2">
      <c r="C10" s="16"/>
      <c r="D10" s="16"/>
      <c r="E10" s="1731" t="s">
        <v>3365</v>
      </c>
      <c r="F10" s="1731"/>
      <c r="G10" s="655"/>
      <c r="H10" s="626" t="s">
        <v>549</v>
      </c>
      <c r="I10" s="678"/>
      <c r="J10" s="742"/>
      <c r="K10" s="743"/>
      <c r="L10" s="97" t="s">
        <v>201</v>
      </c>
      <c r="M10" s="743">
        <f t="shared" ref="M10:M18" si="1">+K10</f>
        <v>0</v>
      </c>
      <c r="N10" s="743"/>
      <c r="O10" s="99" t="s">
        <v>201</v>
      </c>
      <c r="R10" s="29">
        <f t="shared" si="0"/>
        <v>0</v>
      </c>
    </row>
    <row r="11" spans="2:18" ht="21.95" customHeight="1" x14ac:dyDescent="0.2">
      <c r="C11" s="744"/>
      <c r="D11" s="744"/>
      <c r="E11" s="744"/>
      <c r="F11" s="744"/>
      <c r="G11" s="745"/>
      <c r="H11" s="746"/>
      <c r="I11" s="745"/>
      <c r="J11" s="742"/>
      <c r="K11" s="743"/>
      <c r="L11" s="97" t="s">
        <v>201</v>
      </c>
      <c r="M11" s="743">
        <f t="shared" si="1"/>
        <v>0</v>
      </c>
      <c r="N11" s="743"/>
      <c r="O11" s="99" t="s">
        <v>201</v>
      </c>
      <c r="R11" s="29">
        <f t="shared" si="0"/>
        <v>0</v>
      </c>
    </row>
    <row r="12" spans="2:18" ht="21.95" customHeight="1" x14ac:dyDescent="0.2">
      <c r="C12" s="744"/>
      <c r="D12" s="744"/>
      <c r="E12" s="744"/>
      <c r="F12" s="744"/>
      <c r="G12" s="745"/>
      <c r="H12" s="932"/>
      <c r="I12" s="747"/>
      <c r="J12" s="742"/>
      <c r="K12" s="743"/>
      <c r="L12" s="97" t="s">
        <v>201</v>
      </c>
      <c r="M12" s="743">
        <f t="shared" si="1"/>
        <v>0</v>
      </c>
      <c r="N12" s="743"/>
      <c r="O12" s="99" t="s">
        <v>201</v>
      </c>
      <c r="R12" s="29">
        <f t="shared" si="0"/>
        <v>0</v>
      </c>
    </row>
    <row r="13" spans="2:18" ht="21.95" customHeight="1" x14ac:dyDescent="0.2">
      <c r="C13" s="744"/>
      <c r="D13" s="744"/>
      <c r="E13" s="744"/>
      <c r="F13" s="744"/>
      <c r="G13" s="745"/>
      <c r="H13" s="932"/>
      <c r="I13" s="747"/>
      <c r="J13" s="742"/>
      <c r="K13" s="743"/>
      <c r="L13" s="97" t="s">
        <v>201</v>
      </c>
      <c r="M13" s="743">
        <f t="shared" si="1"/>
        <v>0</v>
      </c>
      <c r="N13" s="743"/>
      <c r="O13" s="99" t="s">
        <v>201</v>
      </c>
      <c r="R13" s="29">
        <f t="shared" si="0"/>
        <v>0</v>
      </c>
    </row>
    <row r="14" spans="2:18" ht="21.95" customHeight="1" x14ac:dyDescent="0.2">
      <c r="C14" s="744"/>
      <c r="D14" s="744"/>
      <c r="E14" s="744"/>
      <c r="F14" s="744"/>
      <c r="G14" s="745"/>
      <c r="H14" s="932"/>
      <c r="I14" s="747"/>
      <c r="J14" s="742"/>
      <c r="K14" s="743"/>
      <c r="L14" s="97" t="s">
        <v>201</v>
      </c>
      <c r="M14" s="743">
        <f t="shared" si="1"/>
        <v>0</v>
      </c>
      <c r="N14" s="743"/>
      <c r="O14" s="99" t="s">
        <v>201</v>
      </c>
      <c r="R14" s="29">
        <f t="shared" si="0"/>
        <v>0</v>
      </c>
    </row>
    <row r="15" spans="2:18" ht="21.95" customHeight="1" x14ac:dyDescent="0.2">
      <c r="C15" s="744"/>
      <c r="D15" s="744"/>
      <c r="E15" s="744"/>
      <c r="F15" s="744"/>
      <c r="G15" s="745"/>
      <c r="H15" s="932"/>
      <c r="I15" s="747"/>
      <c r="J15" s="742"/>
      <c r="K15" s="743"/>
      <c r="L15" s="97" t="s">
        <v>201</v>
      </c>
      <c r="M15" s="743">
        <f t="shared" si="1"/>
        <v>0</v>
      </c>
      <c r="N15" s="743"/>
      <c r="O15" s="99" t="s">
        <v>201</v>
      </c>
      <c r="R15" s="29">
        <f t="shared" si="0"/>
        <v>0</v>
      </c>
    </row>
    <row r="16" spans="2:18" ht="21.95" customHeight="1" x14ac:dyDescent="0.2">
      <c r="C16" s="744"/>
      <c r="D16" s="744"/>
      <c r="E16" s="744"/>
      <c r="F16" s="744"/>
      <c r="G16" s="745"/>
      <c r="H16" s="746"/>
      <c r="I16" s="745"/>
      <c r="J16" s="742"/>
      <c r="K16" s="743"/>
      <c r="L16" s="97" t="s">
        <v>201</v>
      </c>
      <c r="M16" s="743">
        <f t="shared" si="1"/>
        <v>0</v>
      </c>
      <c r="N16" s="743"/>
      <c r="O16" s="99" t="s">
        <v>201</v>
      </c>
      <c r="R16" s="29">
        <f t="shared" si="0"/>
        <v>0</v>
      </c>
    </row>
    <row r="17" spans="2:18" ht="21.95" customHeight="1" x14ac:dyDescent="0.2">
      <c r="C17" s="744"/>
      <c r="D17" s="744"/>
      <c r="E17" s="744"/>
      <c r="F17" s="744"/>
      <c r="G17" s="745"/>
      <c r="H17" s="746"/>
      <c r="I17" s="745"/>
      <c r="J17" s="742"/>
      <c r="K17" s="743"/>
      <c r="L17" s="97" t="s">
        <v>201</v>
      </c>
      <c r="M17" s="743">
        <f t="shared" si="1"/>
        <v>0</v>
      </c>
      <c r="N17" s="743"/>
      <c r="O17" s="99" t="s">
        <v>201</v>
      </c>
      <c r="R17" s="29">
        <f t="shared" si="0"/>
        <v>0</v>
      </c>
    </row>
    <row r="18" spans="2:18" ht="21" customHeight="1" thickBot="1" x14ac:dyDescent="0.25">
      <c r="C18" s="748"/>
      <c r="D18" s="748"/>
      <c r="E18" s="748"/>
      <c r="F18" s="748"/>
      <c r="G18" s="904"/>
      <c r="H18" s="906"/>
      <c r="I18" s="904"/>
      <c r="J18" s="905"/>
      <c r="K18" s="865"/>
      <c r="L18" s="108" t="s">
        <v>201</v>
      </c>
      <c r="M18" s="743">
        <f t="shared" si="1"/>
        <v>0</v>
      </c>
      <c r="N18" s="865"/>
      <c r="O18" s="149" t="s">
        <v>201</v>
      </c>
      <c r="R18" s="29">
        <f t="shared" si="0"/>
        <v>0</v>
      </c>
    </row>
    <row r="19" spans="2:18" ht="23.25" customHeight="1" thickBot="1" x14ac:dyDescent="0.25">
      <c r="C19" s="151"/>
      <c r="D19" s="1734" t="s">
        <v>266</v>
      </c>
      <c r="E19" s="1735"/>
      <c r="F19" s="1735"/>
      <c r="G19" s="654"/>
      <c r="H19" s="699" t="s">
        <v>390</v>
      </c>
      <c r="I19" s="152"/>
      <c r="J19" s="698">
        <f>SUM(J8:J18)</f>
        <v>13000</v>
      </c>
      <c r="K19" s="153">
        <f>SUM(K8:K18)</f>
        <v>13000</v>
      </c>
      <c r="L19" s="154" t="s">
        <v>201</v>
      </c>
      <c r="M19" s="153">
        <f>SUM(M8:M18)</f>
        <v>13000</v>
      </c>
      <c r="N19" s="153">
        <f>SUM(N8:N18)</f>
        <v>13000</v>
      </c>
      <c r="O19" s="155" t="s">
        <v>201</v>
      </c>
      <c r="R19" s="29"/>
    </row>
    <row r="20" spans="2:18" ht="24.95" customHeight="1" thickTop="1" x14ac:dyDescent="0.25">
      <c r="C20" s="69" t="s">
        <v>265</v>
      </c>
      <c r="D20" s="92" t="s">
        <v>507</v>
      </c>
      <c r="E20" s="87"/>
      <c r="F20" s="87"/>
      <c r="G20" s="88"/>
      <c r="H20" s="685" t="s">
        <v>559</v>
      </c>
      <c r="I20" s="681"/>
      <c r="J20" s="903"/>
      <c r="K20" s="868"/>
      <c r="L20" s="903"/>
      <c r="M20" s="868">
        <f>+K20</f>
        <v>0</v>
      </c>
      <c r="N20" s="868"/>
      <c r="O20" s="99" t="s">
        <v>201</v>
      </c>
      <c r="R20" s="29">
        <f t="shared" si="0"/>
        <v>0</v>
      </c>
    </row>
    <row r="21" spans="2:18" ht="24.95" customHeight="1" x14ac:dyDescent="0.2">
      <c r="C21" s="424" t="s">
        <v>263</v>
      </c>
      <c r="D21" s="1733" t="s">
        <v>264</v>
      </c>
      <c r="E21" s="1733"/>
      <c r="F21" s="1733"/>
      <c r="G21" s="653"/>
      <c r="H21" s="626" t="s">
        <v>550</v>
      </c>
      <c r="I21" s="678"/>
      <c r="J21" s="742"/>
      <c r="K21" s="743"/>
      <c r="L21" s="97" t="s">
        <v>201</v>
      </c>
      <c r="M21" s="743"/>
      <c r="N21" s="743"/>
      <c r="O21" s="99" t="s">
        <v>201</v>
      </c>
      <c r="R21" s="29">
        <f t="shared" si="0"/>
        <v>0</v>
      </c>
    </row>
    <row r="22" spans="2:18" ht="24.95" customHeight="1" x14ac:dyDescent="0.2">
      <c r="C22" s="16"/>
      <c r="D22" s="16"/>
      <c r="E22" s="16"/>
      <c r="F22" s="16"/>
      <c r="G22" s="17"/>
      <c r="H22" s="680"/>
      <c r="I22" s="17"/>
      <c r="J22" s="21"/>
      <c r="K22" s="22"/>
      <c r="L22" s="97" t="s">
        <v>201</v>
      </c>
      <c r="M22" s="22"/>
      <c r="N22" s="22"/>
      <c r="O22" s="99" t="s">
        <v>201</v>
      </c>
      <c r="R22" s="29"/>
    </row>
    <row r="23" spans="2:18" ht="24.95" customHeight="1" x14ac:dyDescent="0.2">
      <c r="C23" s="423" t="s">
        <v>262</v>
      </c>
      <c r="D23" s="1736" t="s">
        <v>6184</v>
      </c>
      <c r="E23" s="1736"/>
      <c r="F23" s="1736"/>
      <c r="G23" s="1737"/>
      <c r="H23" s="626" t="s">
        <v>551</v>
      </c>
      <c r="I23" s="678"/>
      <c r="J23" s="742"/>
      <c r="K23" s="743"/>
      <c r="L23" s="97" t="s">
        <v>201</v>
      </c>
      <c r="M23" s="743"/>
      <c r="N23" s="743"/>
      <c r="O23" s="99" t="s">
        <v>201</v>
      </c>
      <c r="R23" s="29">
        <f t="shared" si="0"/>
        <v>0</v>
      </c>
    </row>
    <row r="24" spans="2:18" ht="24.95" customHeight="1" thickBot="1" x14ac:dyDescent="0.25">
      <c r="C24" s="104"/>
      <c r="D24" s="16"/>
      <c r="E24" s="16"/>
      <c r="F24" s="16"/>
      <c r="G24" s="17"/>
      <c r="H24" s="680"/>
      <c r="I24" s="1205"/>
      <c r="J24" s="107"/>
      <c r="K24" s="58"/>
      <c r="L24" s="108" t="s">
        <v>201</v>
      </c>
      <c r="M24" s="58"/>
      <c r="N24" s="58"/>
      <c r="O24" s="149" t="s">
        <v>201</v>
      </c>
      <c r="R24" s="29"/>
    </row>
    <row r="25" spans="2:18" ht="23.25" customHeight="1" thickTop="1" thickBot="1" x14ac:dyDescent="0.25">
      <c r="C25" s="1725" t="s">
        <v>260</v>
      </c>
      <c r="D25" s="1725"/>
      <c r="E25" s="1732" t="s">
        <v>261</v>
      </c>
      <c r="F25" s="1732"/>
      <c r="G25" s="656"/>
      <c r="H25" s="686" t="s">
        <v>391</v>
      </c>
      <c r="I25" s="697"/>
      <c r="J25" s="696">
        <f>+J19+'27a'!J26+'26a'!J26+'25'!J23+SUM('28'!J20:J24)</f>
        <v>136069.84</v>
      </c>
      <c r="K25" s="122">
        <f>+K19+'27a'!K26+'26a'!K26+'25'!K23+SUM('28'!K20:K24)</f>
        <v>362556.57</v>
      </c>
      <c r="L25" s="122">
        <f>+'26a'!L26+'25'!L23</f>
        <v>0</v>
      </c>
      <c r="M25" s="122">
        <f>+M19+'27a'!M26+'26a'!M26+'25'!M23+SUM('28'!M20:M24)</f>
        <v>362556.57</v>
      </c>
      <c r="N25" s="122">
        <f>+N19+'27a'!N26+'26a'!N26+'25'!N23+SUM('28'!N20:N24)</f>
        <v>112883.51</v>
      </c>
      <c r="O25" s="137">
        <f>+'26a'!O26+'25'!O23</f>
        <v>23123.059999999998</v>
      </c>
    </row>
    <row r="26" spans="2:18" ht="16.5" thickTop="1" x14ac:dyDescent="0.25">
      <c r="B26" s="1617" t="s">
        <v>258</v>
      </c>
      <c r="C26" s="1617"/>
      <c r="D26" s="1617"/>
      <c r="E26" s="1617"/>
      <c r="F26" s="1617"/>
      <c r="G26" s="1617"/>
      <c r="H26" s="1617"/>
      <c r="I26" s="1617"/>
      <c r="J26" s="1617"/>
      <c r="K26" s="1617"/>
      <c r="L26" s="1617"/>
      <c r="M26" s="1617"/>
      <c r="N26" s="1617"/>
      <c r="O26" s="1617"/>
    </row>
    <row r="28" spans="2:18" x14ac:dyDescent="0.2">
      <c r="M28" s="29"/>
    </row>
    <row r="29" spans="2:18" x14ac:dyDescent="0.2">
      <c r="J29" s="29"/>
    </row>
  </sheetData>
  <sheetProtection algorithmName="SHA-512" hashValue="E1sR94rUtdd7gLM6Jf/6zaYpmTqFiLjL46twBb3lsGR2rg8bK+71xCDXIIWd2curS2gUcnnI1lisnFglGBbwJw==" saltValue="44orrERKNzD3hF2gpdCG8g==" spinCount="100000" sheet="1" objects="1" scenarios="1"/>
  <mergeCells count="13">
    <mergeCell ref="B2:O2"/>
    <mergeCell ref="N3:O3"/>
    <mergeCell ref="J3:M3"/>
    <mergeCell ref="H4:I4"/>
    <mergeCell ref="H7:I7"/>
    <mergeCell ref="B26:O26"/>
    <mergeCell ref="E10:F10"/>
    <mergeCell ref="E9:F9"/>
    <mergeCell ref="C25:D25"/>
    <mergeCell ref="E25:F25"/>
    <mergeCell ref="D21:F21"/>
    <mergeCell ref="D19:F19"/>
    <mergeCell ref="D23:G23"/>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C00-000000000000}">
          <x14:formula1>
            <xm:f>'Appropriation Codes'!$L$2:$L$7</xm:f>
          </x14:formula1>
          <xm:sqref>H11:H18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7"/>
  <dimension ref="A1:U193"/>
  <sheetViews>
    <sheetView showZeros="0" tabSelected="1" topLeftCell="A172" zoomScaleNormal="100" workbookViewId="0">
      <selection activeCell="O189" sqref="O189"/>
    </sheetView>
  </sheetViews>
  <sheetFormatPr defaultRowHeight="12.75" x14ac:dyDescent="0.2"/>
  <cols>
    <col min="1" max="2" width="3.140625" style="1067" customWidth="1"/>
    <col min="3" max="3" width="0.5703125" style="1067" customWidth="1"/>
    <col min="4" max="4" width="2.140625" style="1067" customWidth="1"/>
    <col min="5" max="5" width="6.28515625" style="1067" customWidth="1"/>
    <col min="6" max="6" width="14.28515625" style="1067" customWidth="1"/>
    <col min="7" max="7" width="3.7109375" style="1067" customWidth="1"/>
    <col min="8" max="8" width="20" style="1067" customWidth="1"/>
    <col min="9" max="9" width="1" style="1067" customWidth="1"/>
    <col min="10" max="10" width="3.85546875" style="1067" customWidth="1"/>
    <col min="11" max="11" width="0.5703125" style="1067" customWidth="1"/>
    <col min="12" max="12" width="17.7109375" style="1067" customWidth="1"/>
    <col min="13" max="13" width="3.28515625" style="1067" customWidth="1"/>
    <col min="14" max="14" width="17.140625" style="1067" customWidth="1"/>
    <col min="15" max="15" width="3.140625" style="1067" customWidth="1"/>
    <col min="16" max="16" width="0.5703125" style="1067" customWidth="1"/>
    <col min="17" max="17" width="17.28515625" style="1067" customWidth="1"/>
    <col min="18" max="18" width="0.5703125" style="207" customWidth="1"/>
    <col min="19" max="19" width="2.42578125" style="207" customWidth="1"/>
    <col min="20" max="21" width="15.7109375" style="207" customWidth="1"/>
    <col min="22" max="16384" width="9.140625" style="207"/>
  </cols>
  <sheetData>
    <row r="1" spans="3:20" ht="28.5" customHeight="1" x14ac:dyDescent="0.3">
      <c r="D1" s="1547" t="str">
        <f>'Key Inputs'!E34&amp;"  Municipal  Budget"</f>
        <v>2021  Municipal  Budget</v>
      </c>
      <c r="E1" s="1547"/>
      <c r="F1" s="1547"/>
      <c r="G1" s="1547"/>
      <c r="H1" s="1547"/>
      <c r="I1" s="1547"/>
      <c r="J1" s="1547"/>
      <c r="K1" s="1547"/>
      <c r="L1" s="1547"/>
      <c r="M1" s="1547"/>
      <c r="N1" s="1547"/>
      <c r="O1" s="1547"/>
      <c r="P1" s="1068"/>
      <c r="Q1" s="1068"/>
      <c r="R1" s="208"/>
      <c r="S1" s="208"/>
      <c r="T1" s="208"/>
    </row>
    <row r="2" spans="3:20" ht="15" customHeight="1" x14ac:dyDescent="0.3">
      <c r="D2" s="1069"/>
      <c r="E2" s="1069"/>
      <c r="F2" s="1069"/>
      <c r="G2" s="1069"/>
      <c r="H2" s="1069"/>
      <c r="I2" s="1069"/>
      <c r="J2" s="1069"/>
      <c r="K2" s="1069"/>
      <c r="L2" s="1069"/>
      <c r="M2" s="1069"/>
      <c r="N2" s="1069"/>
      <c r="O2" s="1069"/>
      <c r="P2" s="1068"/>
      <c r="Q2" s="1068"/>
      <c r="R2" s="208"/>
      <c r="S2" s="208"/>
      <c r="T2" s="208"/>
    </row>
    <row r="3" spans="3:20" ht="20.100000000000001" customHeight="1" x14ac:dyDescent="0.3">
      <c r="D3" s="1070" t="s">
        <v>416</v>
      </c>
      <c r="E3" s="1070"/>
      <c r="F3" s="1561" t="str">
        <f>+'Key Inputs'!E8</f>
        <v>TOWNSHIP</v>
      </c>
      <c r="G3" s="1561"/>
      <c r="H3" s="1561"/>
      <c r="I3" s="1562" t="s">
        <v>417</v>
      </c>
      <c r="J3" s="1562"/>
      <c r="K3" s="1071"/>
      <c r="L3" s="1072" t="str">
        <f>+'Key Inputs'!E7</f>
        <v>GREENWICH</v>
      </c>
      <c r="M3" s="1072"/>
      <c r="N3" s="1073" t="s">
        <v>418</v>
      </c>
      <c r="O3" s="1074"/>
      <c r="P3" s="1068"/>
      <c r="Q3" s="1068"/>
      <c r="R3" s="208"/>
      <c r="S3" s="208"/>
      <c r="T3" s="208"/>
    </row>
    <row r="4" spans="3:20" ht="20.100000000000001" customHeight="1" x14ac:dyDescent="0.3">
      <c r="D4" s="1075"/>
      <c r="E4" s="1561" t="str">
        <f>+'Key Inputs'!E6</f>
        <v>CUMBERLAND</v>
      </c>
      <c r="F4" s="1561"/>
      <c r="G4" s="1075"/>
      <c r="H4" s="1070" t="str">
        <f>"for the fiscal year "&amp;'Key Inputs'!E34&amp;"."</f>
        <v>for the fiscal year 2021.</v>
      </c>
      <c r="I4" s="1070"/>
      <c r="J4" s="1070"/>
      <c r="K4" s="1070"/>
      <c r="L4" s="1074"/>
      <c r="M4" s="1074"/>
      <c r="N4" s="1074"/>
      <c r="O4" s="1074"/>
      <c r="P4" s="1068"/>
      <c r="Q4" s="1068"/>
      <c r="R4" s="208"/>
      <c r="S4" s="208"/>
      <c r="T4" s="208"/>
    </row>
    <row r="5" spans="3:20" ht="20.100000000000001" customHeight="1" x14ac:dyDescent="0.3">
      <c r="D5" s="1076"/>
      <c r="E5" s="1076"/>
      <c r="F5" s="1077"/>
      <c r="G5" s="1077"/>
      <c r="H5" s="1070"/>
      <c r="I5" s="1070"/>
      <c r="J5" s="1070"/>
      <c r="K5" s="1070"/>
      <c r="L5" s="1074"/>
      <c r="M5" s="1074"/>
      <c r="N5" s="1074"/>
      <c r="O5" s="1074"/>
      <c r="P5" s="1068"/>
      <c r="Q5" s="1068"/>
      <c r="R5" s="208"/>
      <c r="S5" s="208"/>
      <c r="T5" s="208"/>
    </row>
    <row r="6" spans="3:20" ht="20.100000000000001" customHeight="1" x14ac:dyDescent="0.3">
      <c r="D6" s="1547" t="s">
        <v>419</v>
      </c>
      <c r="E6" s="1547"/>
      <c r="F6" s="1547"/>
      <c r="G6" s="1547"/>
      <c r="H6" s="1547"/>
      <c r="I6" s="1547"/>
      <c r="J6" s="1547"/>
      <c r="K6" s="1547"/>
      <c r="L6" s="1547"/>
      <c r="M6" s="1547"/>
      <c r="N6" s="1547"/>
      <c r="O6" s="1547"/>
      <c r="P6" s="1068"/>
      <c r="Q6" s="1068"/>
      <c r="R6" s="208"/>
      <c r="S6" s="208"/>
      <c r="T6" s="208"/>
    </row>
    <row r="7" spans="3:20" x14ac:dyDescent="0.2">
      <c r="P7" s="1078"/>
      <c r="Q7" s="1078"/>
      <c r="R7" s="208"/>
      <c r="S7" s="208"/>
      <c r="T7" s="208"/>
    </row>
    <row r="8" spans="3:20" ht="3" customHeight="1" x14ac:dyDescent="0.2">
      <c r="C8" s="1079"/>
      <c r="D8" s="1080"/>
      <c r="E8" s="1080"/>
      <c r="F8" s="1080"/>
      <c r="G8" s="1080"/>
      <c r="H8" s="1080"/>
      <c r="I8" s="1080"/>
      <c r="J8" s="1080"/>
      <c r="K8" s="1080"/>
      <c r="L8" s="1080"/>
      <c r="M8" s="1080"/>
      <c r="N8" s="1080"/>
      <c r="O8" s="1080"/>
      <c r="P8" s="1081"/>
      <c r="Q8" s="1078"/>
      <c r="R8" s="208"/>
      <c r="S8" s="208"/>
      <c r="T8" s="208"/>
    </row>
    <row r="9" spans="3:20" ht="15" customHeight="1" x14ac:dyDescent="0.2">
      <c r="C9" s="1082"/>
      <c r="D9" s="1548" t="s">
        <v>420</v>
      </c>
      <c r="E9" s="1549"/>
      <c r="F9" s="1549"/>
      <c r="G9" s="1549"/>
      <c r="H9" s="1549"/>
      <c r="I9" s="1549"/>
      <c r="J9" s="1549"/>
      <c r="K9" s="1550"/>
      <c r="L9" s="1558" t="s">
        <v>27</v>
      </c>
      <c r="M9" s="1559"/>
      <c r="N9" s="1559"/>
      <c r="O9" s="1560"/>
      <c r="P9" s="1083"/>
      <c r="Q9" s="1078"/>
      <c r="R9" s="208"/>
      <c r="S9" s="208"/>
      <c r="T9" s="208"/>
    </row>
    <row r="10" spans="3:20" ht="15" customHeight="1" x14ac:dyDescent="0.2">
      <c r="C10" s="1082"/>
      <c r="D10" s="1084"/>
      <c r="E10" s="774"/>
      <c r="F10" s="774"/>
      <c r="G10" s="774"/>
      <c r="H10" s="774"/>
      <c r="I10" s="774"/>
      <c r="J10" s="774"/>
      <c r="K10" s="1085"/>
      <c r="L10" s="1086" t="str">
        <f>'Key Inputs'!E34</f>
        <v>2021</v>
      </c>
      <c r="M10" s="1087"/>
      <c r="N10" s="1086">
        <f>L10-1</f>
        <v>2020</v>
      </c>
      <c r="O10" s="1088"/>
      <c r="P10" s="1089"/>
      <c r="Q10" s="1090"/>
      <c r="R10" s="208"/>
      <c r="S10" s="208"/>
      <c r="T10" s="1180" t="s">
        <v>5299</v>
      </c>
    </row>
    <row r="11" spans="3:20" x14ac:dyDescent="0.2">
      <c r="C11" s="1082"/>
      <c r="D11" s="1091" t="s">
        <v>30</v>
      </c>
      <c r="E11" s="1092" t="s">
        <v>332</v>
      </c>
      <c r="F11" s="1092"/>
      <c r="G11" s="1092"/>
      <c r="H11" s="1092"/>
      <c r="I11" s="1092"/>
      <c r="J11" s="1092"/>
      <c r="K11" s="1093"/>
      <c r="L11" s="769">
        <f>+'4'!I7</f>
        <v>302200</v>
      </c>
      <c r="M11" s="1092"/>
      <c r="N11" s="769">
        <f>+'4'!J7</f>
        <v>302200</v>
      </c>
      <c r="O11" s="1094"/>
      <c r="P11" s="1095"/>
      <c r="Q11" s="1096"/>
      <c r="R11" s="210"/>
      <c r="S11" s="210"/>
      <c r="T11" s="210"/>
    </row>
    <row r="12" spans="3:20" x14ac:dyDescent="0.2">
      <c r="C12" s="1082"/>
      <c r="D12" s="1091" t="s">
        <v>32</v>
      </c>
      <c r="E12" s="1092" t="s">
        <v>173</v>
      </c>
      <c r="F12" s="1092"/>
      <c r="G12" s="1092"/>
      <c r="H12" s="1092"/>
      <c r="I12" s="1092"/>
      <c r="J12" s="1092"/>
      <c r="K12" s="1093"/>
      <c r="L12" s="769">
        <f>+'11'!I18</f>
        <v>102301.84</v>
      </c>
      <c r="M12" s="1092"/>
      <c r="N12" s="769">
        <f>+'11'!J18</f>
        <v>328851.83999999997</v>
      </c>
      <c r="O12" s="1094"/>
      <c r="P12" s="1095"/>
      <c r="Q12" s="1096"/>
      <c r="R12" s="210"/>
      <c r="S12" s="210"/>
      <c r="T12" s="210"/>
    </row>
    <row r="13" spans="3:20" x14ac:dyDescent="0.2">
      <c r="C13" s="1082"/>
      <c r="D13" s="1091" t="s">
        <v>35</v>
      </c>
      <c r="E13" s="1092" t="s">
        <v>422</v>
      </c>
      <c r="F13" s="1092"/>
      <c r="G13" s="1092"/>
      <c r="H13" s="1092"/>
      <c r="I13" s="1092"/>
      <c r="J13" s="1092"/>
      <c r="K13" s="1093"/>
      <c r="L13" s="769">
        <f>+'11'!I19</f>
        <v>90000</v>
      </c>
      <c r="M13" s="1092"/>
      <c r="N13" s="769">
        <f>+'11'!J19</f>
        <v>90000</v>
      </c>
      <c r="O13" s="1094"/>
      <c r="P13" s="1095"/>
      <c r="Q13" s="1096"/>
      <c r="R13" s="210"/>
      <c r="S13" s="210"/>
      <c r="T13" s="210"/>
    </row>
    <row r="14" spans="3:20" x14ac:dyDescent="0.2">
      <c r="C14" s="1082"/>
      <c r="D14" s="1091" t="s">
        <v>174</v>
      </c>
      <c r="E14" s="1092" t="s">
        <v>423</v>
      </c>
      <c r="F14" s="1092"/>
      <c r="G14" s="1092"/>
      <c r="H14" s="1092"/>
      <c r="I14" s="1092"/>
      <c r="J14" s="1092"/>
      <c r="K14" s="1093"/>
      <c r="L14" s="769">
        <f>+'11'!I22</f>
        <v>334252.65115825913</v>
      </c>
      <c r="M14" s="1092"/>
      <c r="N14" s="769">
        <f>+'11'!J22</f>
        <v>329911.78999999998</v>
      </c>
      <c r="O14" s="1094"/>
      <c r="P14" s="1095"/>
      <c r="Q14" s="1096"/>
      <c r="R14" s="210"/>
      <c r="S14" s="210"/>
      <c r="T14" s="210"/>
    </row>
    <row r="15" spans="3:20" x14ac:dyDescent="0.2">
      <c r="C15" s="1082"/>
      <c r="D15" s="1091"/>
      <c r="E15" s="1092" t="s">
        <v>424</v>
      </c>
      <c r="F15" s="1092"/>
      <c r="G15" s="1092"/>
      <c r="H15" s="1092"/>
      <c r="I15" s="1092"/>
      <c r="J15" s="1092"/>
      <c r="K15" s="1093"/>
      <c r="L15" s="1097">
        <f>+'11'!I23</f>
        <v>0</v>
      </c>
      <c r="M15" s="1092"/>
      <c r="N15" s="1097">
        <f>+'11'!J23</f>
        <v>0</v>
      </c>
      <c r="O15" s="1094"/>
      <c r="P15" s="1095"/>
      <c r="Q15" s="1096"/>
      <c r="R15" s="210"/>
      <c r="S15" s="210"/>
      <c r="T15" s="210"/>
    </row>
    <row r="16" spans="3:20" ht="13.5" thickBot="1" x14ac:dyDescent="0.25">
      <c r="C16" s="1082"/>
      <c r="D16" s="1091"/>
      <c r="E16" s="1092" t="s">
        <v>3224</v>
      </c>
      <c r="F16" s="1092"/>
      <c r="G16" s="1092"/>
      <c r="H16" s="1092"/>
      <c r="I16" s="1092"/>
      <c r="J16" s="1092"/>
      <c r="K16" s="1093"/>
      <c r="L16" s="1097">
        <f>+'11'!I24</f>
        <v>0</v>
      </c>
      <c r="M16" s="1092"/>
      <c r="N16" s="1098">
        <f>+'11'!J24</f>
        <v>0</v>
      </c>
      <c r="O16" s="1094"/>
      <c r="P16" s="1095"/>
      <c r="Q16" s="1096"/>
      <c r="R16" s="210"/>
      <c r="S16" s="210"/>
      <c r="T16" s="210"/>
    </row>
    <row r="17" spans="3:21" ht="15" customHeight="1" thickTop="1" thickBot="1" x14ac:dyDescent="0.25">
      <c r="C17" s="1082"/>
      <c r="D17" s="1091"/>
      <c r="E17" s="1092" t="s">
        <v>425</v>
      </c>
      <c r="F17" s="1092"/>
      <c r="G17" s="1092"/>
      <c r="H17" s="1092"/>
      <c r="I17" s="1092"/>
      <c r="J17" s="1092"/>
      <c r="K17" s="1093"/>
      <c r="L17" s="1099">
        <f>SUM(L14:L16)</f>
        <v>334252.65115825913</v>
      </c>
      <c r="M17" s="1092"/>
      <c r="N17" s="1098">
        <f>SUM(N14:N15)</f>
        <v>329911.78999999998</v>
      </c>
      <c r="O17" s="1094"/>
      <c r="P17" s="1095"/>
      <c r="Q17" s="1096"/>
      <c r="R17" s="210"/>
      <c r="S17" s="210"/>
      <c r="T17" s="210"/>
    </row>
    <row r="18" spans="3:21" ht="15" customHeight="1" thickTop="1" thickBot="1" x14ac:dyDescent="0.25">
      <c r="C18" s="1082"/>
      <c r="D18" s="1091" t="s">
        <v>426</v>
      </c>
      <c r="E18" s="1092" t="s">
        <v>427</v>
      </c>
      <c r="F18" s="1092"/>
      <c r="G18" s="1092"/>
      <c r="H18" s="1092"/>
      <c r="I18" s="1092"/>
      <c r="J18" s="1092"/>
      <c r="K18" s="1093"/>
      <c r="L18" s="1098">
        <f>SUM(L11:L13)+L17</f>
        <v>828754.4911582591</v>
      </c>
      <c r="M18" s="1092"/>
      <c r="N18" s="1098">
        <f>SUM(N11:N13)+N17</f>
        <v>1050963.6299999999</v>
      </c>
      <c r="O18" s="1094"/>
      <c r="P18" s="1095"/>
      <c r="Q18" s="1096"/>
      <c r="R18" s="210"/>
      <c r="S18" s="210"/>
      <c r="T18" s="210"/>
    </row>
    <row r="19" spans="3:21" ht="3" customHeight="1" thickTop="1" x14ac:dyDescent="0.2">
      <c r="C19" s="1084"/>
      <c r="D19" s="1100"/>
      <c r="E19" s="1100"/>
      <c r="F19" s="1100"/>
      <c r="G19" s="1100"/>
      <c r="H19" s="1101"/>
      <c r="I19" s="1101"/>
      <c r="J19" s="1101"/>
      <c r="K19" s="1101"/>
      <c r="L19" s="1101"/>
      <c r="M19" s="1101"/>
      <c r="N19" s="1101"/>
      <c r="O19" s="1101"/>
      <c r="P19" s="1102"/>
      <c r="Q19" s="1096"/>
      <c r="R19" s="210"/>
      <c r="S19" s="210"/>
      <c r="T19" s="210"/>
    </row>
    <row r="20" spans="3:21" ht="20.100000000000001" customHeight="1" x14ac:dyDescent="0.2">
      <c r="D20" s="1103"/>
      <c r="E20" s="1103"/>
      <c r="F20" s="1103"/>
      <c r="G20" s="1103"/>
      <c r="H20" s="1104"/>
      <c r="I20" s="1104"/>
      <c r="J20" s="1104"/>
      <c r="K20" s="1104"/>
      <c r="L20" s="1105"/>
      <c r="M20" s="1104"/>
      <c r="N20" s="1104"/>
      <c r="O20" s="1104"/>
      <c r="P20" s="1096"/>
      <c r="Q20" s="1096"/>
      <c r="R20" s="210"/>
      <c r="S20" s="210"/>
      <c r="T20" s="210"/>
    </row>
    <row r="21" spans="3:21" ht="3" customHeight="1" x14ac:dyDescent="0.2">
      <c r="C21" s="1079"/>
      <c r="D21" s="1106"/>
      <c r="E21" s="1106"/>
      <c r="F21" s="1106"/>
      <c r="G21" s="1106"/>
      <c r="H21" s="1107"/>
      <c r="I21" s="1107"/>
      <c r="J21" s="1107"/>
      <c r="K21" s="1107"/>
      <c r="L21" s="1107"/>
      <c r="M21" s="1107"/>
      <c r="N21" s="1107"/>
      <c r="O21" s="1107"/>
      <c r="P21" s="1108"/>
      <c r="Q21" s="1096"/>
      <c r="R21" s="210"/>
      <c r="S21" s="211"/>
      <c r="T21" s="211"/>
    </row>
    <row r="22" spans="3:21" ht="15" customHeight="1" x14ac:dyDescent="0.2">
      <c r="C22" s="1082"/>
      <c r="D22" s="1551" t="s">
        <v>428</v>
      </c>
      <c r="E22" s="1552"/>
      <c r="F22" s="1552"/>
      <c r="G22" s="1552"/>
      <c r="H22" s="1552"/>
      <c r="I22" s="1552"/>
      <c r="J22" s="1552"/>
      <c r="K22" s="1553"/>
      <c r="L22" s="1109" t="str">
        <f>L$10&amp;" Budget"</f>
        <v>2021 Budget</v>
      </c>
      <c r="M22" s="1107"/>
      <c r="N22" s="1109" t="str">
        <f>"Final "&amp;N$10&amp;" Budget"</f>
        <v>Final 2020 Budget</v>
      </c>
      <c r="O22" s="1094"/>
      <c r="P22" s="1110"/>
      <c r="Q22" s="1111" t="s">
        <v>421</v>
      </c>
      <c r="R22" s="210"/>
      <c r="S22" s="210"/>
      <c r="T22" s="210"/>
    </row>
    <row r="23" spans="3:21" x14ac:dyDescent="0.2">
      <c r="C23" s="1082"/>
      <c r="D23" s="1112" t="s">
        <v>30</v>
      </c>
      <c r="E23" s="1113" t="s">
        <v>429</v>
      </c>
      <c r="F23" s="1113"/>
      <c r="G23" s="1113" t="s">
        <v>205</v>
      </c>
      <c r="H23" s="1113"/>
      <c r="I23" s="1113"/>
      <c r="J23" s="1113"/>
      <c r="K23" s="1114"/>
      <c r="L23" s="1115">
        <f ca="1">+'17a'!J25+'25'!J25</f>
        <v>52980.049999999996</v>
      </c>
      <c r="M23" s="1113"/>
      <c r="N23" s="769">
        <f ca="1">+'17a'!K25+'25'!K25</f>
        <v>51458.68</v>
      </c>
      <c r="O23" s="1116"/>
      <c r="P23" s="1117"/>
      <c r="Q23" s="1118"/>
      <c r="R23" s="212"/>
      <c r="S23" s="212"/>
      <c r="T23" s="212"/>
    </row>
    <row r="24" spans="3:21" x14ac:dyDescent="0.2">
      <c r="C24" s="1082"/>
      <c r="D24" s="1112"/>
      <c r="E24" s="1113"/>
      <c r="F24" s="1113"/>
      <c r="G24" s="1113" t="s">
        <v>314</v>
      </c>
      <c r="H24" s="1113"/>
      <c r="I24" s="1113"/>
      <c r="J24" s="1113"/>
      <c r="K24" s="1114"/>
      <c r="L24" s="1115">
        <f ca="1">+'17a'!J26+'25'!J26</f>
        <v>398343.36</v>
      </c>
      <c r="M24" s="1113"/>
      <c r="N24" s="769">
        <f ca="1">+'17a'!K26+'25'!K26</f>
        <v>388490.92</v>
      </c>
      <c r="O24" s="1116"/>
      <c r="P24" s="1119"/>
      <c r="Q24" s="1120"/>
      <c r="R24" s="214"/>
      <c r="S24" s="214"/>
      <c r="T24" s="214"/>
    </row>
    <row r="25" spans="3:21" x14ac:dyDescent="0.2">
      <c r="C25" s="1082"/>
      <c r="D25" s="1112" t="s">
        <v>32</v>
      </c>
      <c r="E25" s="1113" t="s">
        <v>430</v>
      </c>
      <c r="F25" s="1113"/>
      <c r="G25" s="1113"/>
      <c r="H25" s="1113"/>
      <c r="I25" s="1113"/>
      <c r="J25" s="1113"/>
      <c r="K25" s="1114"/>
      <c r="L25" s="1115">
        <f>+'30'!J8+'30'!J18+'30'!J19+'30'!J20+'19'!J20</f>
        <v>19316.489999999998</v>
      </c>
      <c r="M25" s="1113"/>
      <c r="N25" s="769">
        <f>+'30'!K8+'30'!K18+'30'!K19+'30'!K20+'19'!K20</f>
        <v>19226.36</v>
      </c>
      <c r="O25" s="1116"/>
      <c r="P25" s="1117"/>
      <c r="Q25" s="1118"/>
      <c r="R25" s="212"/>
      <c r="S25" s="212"/>
      <c r="T25" s="212"/>
    </row>
    <row r="26" spans="3:21" x14ac:dyDescent="0.2">
      <c r="C26" s="1082"/>
      <c r="D26" s="1112" t="s">
        <v>35</v>
      </c>
      <c r="E26" s="1113" t="s">
        <v>316</v>
      </c>
      <c r="F26" s="1113"/>
      <c r="G26" s="1113"/>
      <c r="H26" s="1113"/>
      <c r="I26" s="1113"/>
      <c r="J26" s="1113"/>
      <c r="K26" s="1114"/>
      <c r="L26" s="1115">
        <f>+'30'!J16</f>
        <v>60100</v>
      </c>
      <c r="M26" s="1113"/>
      <c r="N26" s="769">
        <f>+'30'!K16</f>
        <v>286650</v>
      </c>
      <c r="O26" s="1116"/>
      <c r="P26" s="1117"/>
      <c r="Q26" s="1118"/>
      <c r="R26" s="212"/>
      <c r="S26" s="212"/>
      <c r="T26" s="212"/>
    </row>
    <row r="27" spans="3:21" x14ac:dyDescent="0.2">
      <c r="C27" s="1082"/>
      <c r="D27" s="1112" t="s">
        <v>431</v>
      </c>
      <c r="E27" s="1113" t="s">
        <v>432</v>
      </c>
      <c r="F27" s="1113"/>
      <c r="G27" s="1113"/>
      <c r="H27" s="1113"/>
      <c r="I27" s="1113"/>
      <c r="J27" s="1113"/>
      <c r="K27" s="1114"/>
      <c r="L27" s="769">
        <f>+'30'!J17+'29'!J15</f>
        <v>0</v>
      </c>
      <c r="M27" s="1113"/>
      <c r="N27" s="769">
        <f>+'30'!K17+'29'!K15</f>
        <v>0</v>
      </c>
      <c r="O27" s="1116"/>
      <c r="P27" s="1117"/>
      <c r="Q27" s="1118"/>
      <c r="R27" s="212"/>
      <c r="S27" s="212"/>
      <c r="T27" s="493"/>
    </row>
    <row r="28" spans="3:21" ht="13.5" thickBot="1" x14ac:dyDescent="0.25">
      <c r="C28" s="1082"/>
      <c r="D28" s="1112" t="s">
        <v>175</v>
      </c>
      <c r="E28" s="1113" t="s">
        <v>345</v>
      </c>
      <c r="F28" s="1113"/>
      <c r="G28" s="1113"/>
      <c r="H28" s="1113"/>
      <c r="I28" s="1113"/>
      <c r="J28" s="1113"/>
      <c r="K28" s="1114">
        <v>2248746.75</v>
      </c>
      <c r="L28" s="1098">
        <f>+'30'!J23</f>
        <v>298014.59115825919</v>
      </c>
      <c r="M28" s="1113"/>
      <c r="N28" s="1098">
        <f>+'29'!K24</f>
        <v>305137.67</v>
      </c>
      <c r="O28" s="1116"/>
      <c r="P28" s="1117"/>
      <c r="Q28" s="1118"/>
      <c r="R28" s="212"/>
      <c r="S28" s="212"/>
      <c r="T28" s="212"/>
    </row>
    <row r="29" spans="3:21" ht="15" customHeight="1" thickTop="1" thickBot="1" x14ac:dyDescent="0.25">
      <c r="C29" s="1082"/>
      <c r="D29" s="1112"/>
      <c r="E29" s="1113" t="s">
        <v>433</v>
      </c>
      <c r="F29" s="1113"/>
      <c r="G29" s="1113"/>
      <c r="H29" s="1113"/>
      <c r="I29" s="1113"/>
      <c r="J29" s="1113"/>
      <c r="K29" s="1114"/>
      <c r="L29" s="1098">
        <f ca="1">SUM(L23:L28)</f>
        <v>828754.4911582591</v>
      </c>
      <c r="M29" s="1113"/>
      <c r="N29" s="1098">
        <f ca="1">SUM(N23:N28)</f>
        <v>1050963.6299999999</v>
      </c>
      <c r="O29" s="1116"/>
      <c r="P29" s="1117"/>
      <c r="Q29" s="1118"/>
      <c r="R29" s="212"/>
      <c r="S29" s="212"/>
      <c r="T29" s="493"/>
      <c r="U29" s="373"/>
    </row>
    <row r="30" spans="3:21" ht="13.5" thickTop="1" x14ac:dyDescent="0.2">
      <c r="C30" s="1082"/>
      <c r="D30" s="1112" t="s">
        <v>434</v>
      </c>
      <c r="E30" s="1121"/>
      <c r="F30" s="1121"/>
      <c r="G30" s="1121"/>
      <c r="H30" s="1113"/>
      <c r="I30" s="1113"/>
      <c r="J30" s="1113"/>
      <c r="K30" s="1114"/>
      <c r="L30" s="1122"/>
      <c r="M30" s="773"/>
      <c r="N30" s="1122"/>
      <c r="O30" s="1116"/>
      <c r="P30" s="1117"/>
      <c r="Q30" s="1118"/>
      <c r="R30" s="212"/>
      <c r="S30" s="212"/>
      <c r="T30" s="212"/>
    </row>
    <row r="31" spans="3:21" ht="3" customHeight="1" x14ac:dyDescent="0.2">
      <c r="C31" s="1084"/>
      <c r="D31" s="1123"/>
      <c r="E31" s="1123"/>
      <c r="F31" s="1123"/>
      <c r="G31" s="1123"/>
      <c r="H31" s="774"/>
      <c r="I31" s="774"/>
      <c r="J31" s="774"/>
      <c r="K31" s="774"/>
      <c r="L31" s="774"/>
      <c r="M31" s="774"/>
      <c r="N31" s="774"/>
      <c r="O31" s="774"/>
      <c r="P31" s="1085"/>
      <c r="Q31" s="1078"/>
      <c r="R31"/>
    </row>
    <row r="32" spans="3:21" ht="20.100000000000001" customHeight="1" x14ac:dyDescent="0.2">
      <c r="D32" s="1124"/>
      <c r="E32" s="1124"/>
      <c r="F32" s="1124"/>
      <c r="G32" s="1124"/>
    </row>
    <row r="33" spans="3:20" ht="3" customHeight="1" x14ac:dyDescent="0.2">
      <c r="C33" s="1079"/>
      <c r="D33" s="1125"/>
      <c r="E33" s="1125"/>
      <c r="F33" s="1125"/>
      <c r="G33" s="1125"/>
      <c r="H33" s="1126"/>
      <c r="I33" s="1126"/>
      <c r="J33" s="1126"/>
      <c r="K33" s="1126"/>
      <c r="L33" s="1126"/>
      <c r="M33" s="1126"/>
      <c r="N33" s="1126"/>
      <c r="O33" s="1126"/>
      <c r="P33" s="1081"/>
      <c r="Q33" s="1078"/>
      <c r="R33" s="208"/>
      <c r="S33" s="208"/>
      <c r="T33" s="208"/>
    </row>
    <row r="34" spans="3:20" ht="15" customHeight="1" thickBot="1" x14ac:dyDescent="0.25">
      <c r="C34" s="1082"/>
      <c r="D34" s="1127"/>
      <c r="E34" s="1121"/>
      <c r="F34" s="1128"/>
      <c r="G34" s="1129" t="str">
        <f>'Key Inputs'!E$34&amp;" Dedicated"</f>
        <v>2021 Dedicated</v>
      </c>
      <c r="H34" s="1573">
        <f>+'Key Inputs'!E39</f>
        <v>0</v>
      </c>
      <c r="I34" s="1573"/>
      <c r="J34" s="1573"/>
      <c r="K34" s="1130"/>
      <c r="L34" s="1131" t="s">
        <v>435</v>
      </c>
      <c r="M34" s="1113"/>
      <c r="N34" s="1113"/>
      <c r="O34" s="1114"/>
      <c r="P34" s="1117"/>
      <c r="Q34" s="1118"/>
      <c r="R34" s="212"/>
      <c r="S34" s="212"/>
      <c r="T34" s="212"/>
    </row>
    <row r="35" spans="3:20" ht="15" customHeight="1" x14ac:dyDescent="0.2">
      <c r="C35" s="1082"/>
      <c r="D35" s="1554" t="s">
        <v>420</v>
      </c>
      <c r="E35" s="1555"/>
      <c r="F35" s="1555"/>
      <c r="G35" s="1555"/>
      <c r="H35" s="1556"/>
      <c r="I35" s="1556"/>
      <c r="J35" s="1556"/>
      <c r="K35" s="1557"/>
      <c r="L35" s="1558" t="s">
        <v>27</v>
      </c>
      <c r="M35" s="1559"/>
      <c r="N35" s="1559"/>
      <c r="O35" s="1560"/>
      <c r="P35" s="1117"/>
      <c r="Q35" s="1118"/>
      <c r="R35" s="212"/>
      <c r="S35" s="212"/>
      <c r="T35" s="212"/>
    </row>
    <row r="36" spans="3:20" ht="15" customHeight="1" x14ac:dyDescent="0.2">
      <c r="C36" s="1082"/>
      <c r="D36" s="1132"/>
      <c r="E36" s="1133"/>
      <c r="F36" s="1133"/>
      <c r="G36" s="1133"/>
      <c r="H36" s="1134"/>
      <c r="I36" s="1134"/>
      <c r="J36" s="1134"/>
      <c r="K36" s="1135"/>
      <c r="L36" s="1136" t="str">
        <f>L10</f>
        <v>2021</v>
      </c>
      <c r="M36" s="1116"/>
      <c r="N36" s="1086">
        <f>N10</f>
        <v>2020</v>
      </c>
      <c r="O36" s="1116"/>
      <c r="P36" s="1137"/>
      <c r="Q36" s="1138"/>
      <c r="R36" s="212"/>
      <c r="S36" s="212"/>
      <c r="T36" s="212"/>
    </row>
    <row r="37" spans="3:20" x14ac:dyDescent="0.2">
      <c r="C37" s="1082"/>
      <c r="D37" s="1112" t="s">
        <v>30</v>
      </c>
      <c r="E37" s="1113" t="s">
        <v>332</v>
      </c>
      <c r="F37" s="1113"/>
      <c r="G37" s="1113"/>
      <c r="H37" s="1113"/>
      <c r="I37" s="1113"/>
      <c r="J37" s="1113"/>
      <c r="K37" s="1114"/>
      <c r="L37" s="771"/>
      <c r="M37" s="1139"/>
      <c r="N37" s="771"/>
      <c r="O37" s="1114"/>
      <c r="P37" s="1117"/>
      <c r="Q37" s="1118"/>
      <c r="R37" s="212"/>
      <c r="S37" s="212"/>
      <c r="T37" s="212"/>
    </row>
    <row r="38" spans="3:20" x14ac:dyDescent="0.2">
      <c r="C38" s="1082"/>
      <c r="D38" s="1112" t="s">
        <v>32</v>
      </c>
      <c r="E38" s="1114" t="s">
        <v>436</v>
      </c>
      <c r="F38" s="1140"/>
      <c r="G38" s="1113"/>
      <c r="H38" s="1113"/>
      <c r="I38" s="1113"/>
      <c r="J38" s="1113"/>
      <c r="K38" s="1114"/>
      <c r="L38" s="771"/>
      <c r="M38" s="1139"/>
      <c r="N38" s="771"/>
      <c r="O38" s="1114"/>
      <c r="P38" s="1117"/>
      <c r="Q38" s="1118"/>
      <c r="R38" s="212"/>
      <c r="S38" s="212"/>
      <c r="T38" s="212"/>
    </row>
    <row r="39" spans="3:20" ht="13.5" thickBot="1" x14ac:dyDescent="0.25">
      <c r="C39" s="1082"/>
      <c r="D39" s="1112" t="s">
        <v>35</v>
      </c>
      <c r="E39" s="1114" t="s">
        <v>311</v>
      </c>
      <c r="F39" s="1140"/>
      <c r="G39" s="1113"/>
      <c r="H39" s="1113"/>
      <c r="I39" s="1113"/>
      <c r="J39" s="1113"/>
      <c r="K39" s="1114"/>
      <c r="L39" s="1141"/>
      <c r="M39" s="772"/>
      <c r="N39" s="1142"/>
      <c r="O39" s="1114"/>
      <c r="P39" s="1117"/>
      <c r="Q39" s="1118"/>
      <c r="R39" s="212"/>
      <c r="S39" s="212"/>
      <c r="T39" s="212"/>
    </row>
    <row r="40" spans="3:20" ht="14.25" thickTop="1" thickBot="1" x14ac:dyDescent="0.25">
      <c r="C40" s="1082"/>
      <c r="D40" s="1112"/>
      <c r="E40" s="1114" t="s">
        <v>437</v>
      </c>
      <c r="F40" s="1140"/>
      <c r="G40" s="1113"/>
      <c r="H40" s="1113"/>
      <c r="I40" s="1113"/>
      <c r="J40" s="1113"/>
      <c r="K40" s="1114"/>
      <c r="L40" s="1099">
        <f>SUM(L37:L39)</f>
        <v>0</v>
      </c>
      <c r="M40" s="772"/>
      <c r="N40" s="1099">
        <f>SUM(N37:N39)</f>
        <v>0</v>
      </c>
      <c r="O40" s="1114"/>
      <c r="P40" s="1117"/>
      <c r="Q40" s="1118"/>
      <c r="R40" s="212"/>
      <c r="S40" s="212"/>
      <c r="T40" s="212"/>
    </row>
    <row r="41" spans="3:20" ht="15" customHeight="1" thickTop="1" thickBot="1" x14ac:dyDescent="0.25">
      <c r="C41" s="1082"/>
      <c r="D41" s="1143"/>
      <c r="E41" s="1144"/>
      <c r="F41" s="1144"/>
      <c r="G41" s="1144"/>
      <c r="H41" s="1145"/>
      <c r="I41" s="1145"/>
      <c r="J41" s="1145"/>
      <c r="K41" s="1146"/>
      <c r="L41" s="1147"/>
      <c r="M41" s="1148"/>
      <c r="N41" s="1149"/>
      <c r="O41" s="1146"/>
      <c r="P41" s="1117"/>
      <c r="Q41" s="1118"/>
      <c r="R41" s="212"/>
      <c r="S41" s="212"/>
      <c r="T41" s="212"/>
    </row>
    <row r="42" spans="3:20" ht="15" customHeight="1" thickTop="1" x14ac:dyDescent="0.2">
      <c r="C42" s="1082"/>
      <c r="D42" s="1570" t="s">
        <v>428</v>
      </c>
      <c r="E42" s="1571"/>
      <c r="F42" s="1571"/>
      <c r="G42" s="1571"/>
      <c r="H42" s="1571"/>
      <c r="I42" s="1571"/>
      <c r="J42" s="1571"/>
      <c r="K42" s="1572"/>
      <c r="L42" s="1109" t="str">
        <f>L$10&amp;" Budget"</f>
        <v>2021 Budget</v>
      </c>
      <c r="M42" s="1134"/>
      <c r="N42" s="1109" t="str">
        <f>"Final "&amp;N$10&amp;" Budget"</f>
        <v>Final 2020 Budget</v>
      </c>
      <c r="O42" s="1135"/>
      <c r="P42" s="1137"/>
      <c r="Q42" s="1138"/>
      <c r="R42" s="212"/>
      <c r="S42" s="212"/>
      <c r="T42" s="212"/>
    </row>
    <row r="43" spans="3:20" x14ac:dyDescent="0.2">
      <c r="C43" s="1082"/>
      <c r="D43" s="1112" t="s">
        <v>30</v>
      </c>
      <c r="E43" s="1113" t="s">
        <v>438</v>
      </c>
      <c r="F43" s="1113"/>
      <c r="G43" s="1113" t="s">
        <v>205</v>
      </c>
      <c r="H43" s="1113"/>
      <c r="I43" s="1113"/>
      <c r="J43" s="1113"/>
      <c r="K43" s="1114"/>
      <c r="L43" s="771"/>
      <c r="M43" s="1139"/>
      <c r="N43" s="771"/>
      <c r="O43" s="1114"/>
      <c r="P43" s="1117"/>
      <c r="Q43" s="1118"/>
      <c r="R43" s="212"/>
      <c r="S43" s="212"/>
      <c r="T43" s="212"/>
    </row>
    <row r="44" spans="3:20" x14ac:dyDescent="0.2">
      <c r="C44" s="1082"/>
      <c r="D44" s="1112"/>
      <c r="E44" s="1113"/>
      <c r="F44" s="1113"/>
      <c r="G44" s="1113" t="s">
        <v>314</v>
      </c>
      <c r="H44" s="1113"/>
      <c r="I44" s="1113"/>
      <c r="J44" s="1113"/>
      <c r="K44" s="1114"/>
      <c r="L44" s="771"/>
      <c r="M44" s="1139"/>
      <c r="N44" s="771"/>
      <c r="O44" s="1114"/>
      <c r="P44" s="1119"/>
      <c r="Q44" s="1120"/>
      <c r="R44" s="214"/>
      <c r="S44" s="214"/>
      <c r="T44" s="212"/>
    </row>
    <row r="45" spans="3:20" x14ac:dyDescent="0.2">
      <c r="C45" s="1082"/>
      <c r="D45" s="1112" t="s">
        <v>32</v>
      </c>
      <c r="E45" s="1113" t="s">
        <v>316</v>
      </c>
      <c r="F45" s="1113"/>
      <c r="G45" s="1113"/>
      <c r="H45" s="1113"/>
      <c r="I45" s="1113"/>
      <c r="J45" s="1113"/>
      <c r="K45" s="1114"/>
      <c r="L45" s="771"/>
      <c r="M45" s="1139"/>
      <c r="N45" s="771"/>
      <c r="O45" s="1114"/>
      <c r="P45" s="1117"/>
      <c r="Q45" s="1118"/>
      <c r="R45" s="212"/>
      <c r="S45" s="212"/>
      <c r="T45" s="212"/>
    </row>
    <row r="46" spans="3:20" x14ac:dyDescent="0.2">
      <c r="C46" s="1082"/>
      <c r="D46" s="1112" t="s">
        <v>35</v>
      </c>
      <c r="E46" s="1113" t="s">
        <v>343</v>
      </c>
      <c r="F46" s="1113"/>
      <c r="G46" s="1113"/>
      <c r="H46" s="1113"/>
      <c r="I46" s="1113"/>
      <c r="J46" s="1113"/>
      <c r="K46" s="1114"/>
      <c r="L46" s="771"/>
      <c r="M46" s="1139"/>
      <c r="N46" s="771"/>
      <c r="O46" s="1114"/>
      <c r="P46" s="1117"/>
      <c r="Q46" s="1118"/>
      <c r="R46" s="212"/>
      <c r="S46" s="212"/>
      <c r="T46" s="212"/>
    </row>
    <row r="47" spans="3:20" x14ac:dyDescent="0.2">
      <c r="C47" s="1082"/>
      <c r="D47" s="1112" t="s">
        <v>174</v>
      </c>
      <c r="E47" s="1113" t="s">
        <v>430</v>
      </c>
      <c r="F47" s="1113"/>
      <c r="G47" s="1113"/>
      <c r="H47" s="1113"/>
      <c r="I47" s="1113"/>
      <c r="J47" s="1113"/>
      <c r="K47" s="1114"/>
      <c r="L47" s="771"/>
      <c r="M47" s="1139"/>
      <c r="N47" s="771"/>
      <c r="O47" s="1114"/>
      <c r="P47" s="1117"/>
      <c r="Q47" s="1118"/>
      <c r="R47" s="212"/>
      <c r="S47" s="212"/>
      <c r="T47" s="212"/>
    </row>
    <row r="48" spans="3:20" ht="13.5" thickBot="1" x14ac:dyDescent="0.25">
      <c r="C48" s="1082"/>
      <c r="D48" s="1112" t="s">
        <v>175</v>
      </c>
      <c r="E48" s="1113" t="s">
        <v>439</v>
      </c>
      <c r="F48" s="1113"/>
      <c r="G48" s="1113"/>
      <c r="H48" s="1113"/>
      <c r="I48" s="1113"/>
      <c r="J48" s="1113"/>
      <c r="K48" s="1114"/>
      <c r="L48" s="771"/>
      <c r="M48" s="1139"/>
      <c r="N48" s="771"/>
      <c r="O48" s="1114"/>
      <c r="P48" s="1117"/>
      <c r="Q48" s="1118"/>
      <c r="R48" s="212"/>
      <c r="S48" s="212"/>
      <c r="T48" s="212"/>
    </row>
    <row r="49" spans="3:21" ht="15" customHeight="1" thickTop="1" thickBot="1" x14ac:dyDescent="0.25">
      <c r="C49" s="1082"/>
      <c r="D49" s="1112" t="s">
        <v>440</v>
      </c>
      <c r="E49" s="1121"/>
      <c r="F49" s="1113"/>
      <c r="G49" s="1113"/>
      <c r="H49" s="1113"/>
      <c r="I49" s="1113"/>
      <c r="J49" s="1113"/>
      <c r="K49" s="1114"/>
      <c r="L49" s="1099">
        <f>SUM(L43:L48)</f>
        <v>0</v>
      </c>
      <c r="M49" s="772"/>
      <c r="N49" s="1099">
        <f>SUM(N43:N48)</f>
        <v>0</v>
      </c>
      <c r="O49" s="1114"/>
      <c r="P49" s="1117"/>
      <c r="Q49" s="1118"/>
      <c r="R49" s="212"/>
      <c r="S49" s="212"/>
      <c r="T49" s="493"/>
      <c r="U49" s="373"/>
    </row>
    <row r="50" spans="3:21" ht="13.5" thickTop="1" x14ac:dyDescent="0.2">
      <c r="C50" s="1082"/>
      <c r="D50" s="1112" t="s">
        <v>434</v>
      </c>
      <c r="E50" s="1121"/>
      <c r="F50" s="1121"/>
      <c r="G50" s="1121"/>
      <c r="H50" s="1113"/>
      <c r="I50" s="1113"/>
      <c r="J50" s="1113"/>
      <c r="K50" s="1114"/>
      <c r="L50" s="1122"/>
      <c r="M50" s="772"/>
      <c r="N50" s="1122"/>
      <c r="O50" s="1116"/>
      <c r="P50" s="1117"/>
      <c r="Q50" s="1118"/>
      <c r="R50" s="212"/>
      <c r="S50" s="212"/>
      <c r="T50" s="212"/>
    </row>
    <row r="51" spans="3:21" ht="3" customHeight="1" x14ac:dyDescent="0.2">
      <c r="C51" s="1084"/>
      <c r="D51" s="1134"/>
      <c r="E51" s="1134"/>
      <c r="F51" s="1134"/>
      <c r="G51" s="1134"/>
      <c r="H51" s="1134"/>
      <c r="I51" s="1134"/>
      <c r="J51" s="1134"/>
      <c r="K51" s="1134"/>
      <c r="L51" s="1134"/>
      <c r="M51" s="1134"/>
      <c r="N51" s="1134"/>
      <c r="O51" s="1134"/>
      <c r="P51" s="1135"/>
      <c r="Q51" s="1118"/>
      <c r="R51" s="212"/>
      <c r="S51" s="212"/>
      <c r="T51" s="212"/>
    </row>
    <row r="52" spans="3:21" ht="12.6" customHeight="1" x14ac:dyDescent="0.2">
      <c r="C52" s="1078"/>
      <c r="D52" s="1118"/>
      <c r="E52" s="1118"/>
      <c r="F52" s="1118"/>
      <c r="G52" s="1118"/>
      <c r="H52" s="1118"/>
      <c r="I52" s="1118"/>
      <c r="J52" s="1118"/>
      <c r="K52" s="1118"/>
      <c r="L52" s="1118"/>
      <c r="M52" s="1118"/>
      <c r="N52" s="1118"/>
      <c r="O52" s="1118"/>
      <c r="P52" s="1118"/>
      <c r="Q52" s="1118"/>
      <c r="R52" s="212"/>
      <c r="S52" s="212"/>
      <c r="T52" s="212"/>
    </row>
    <row r="53" spans="3:21" ht="12.6" customHeight="1" x14ac:dyDescent="0.2">
      <c r="C53" s="1078"/>
      <c r="D53" s="1118"/>
      <c r="E53" s="1118"/>
      <c r="F53" s="1118"/>
      <c r="G53" s="1118"/>
      <c r="H53" s="1118"/>
      <c r="I53" s="1118"/>
      <c r="J53" s="1118"/>
      <c r="K53" s="1118"/>
      <c r="L53" s="1118"/>
      <c r="M53" s="1118"/>
      <c r="N53" s="1118"/>
      <c r="O53" s="1118"/>
      <c r="P53" s="1118"/>
      <c r="Q53" s="1118"/>
      <c r="R53" s="212"/>
      <c r="S53" s="212"/>
      <c r="T53" s="212"/>
    </row>
    <row r="54" spans="3:21" ht="3" customHeight="1" x14ac:dyDescent="0.2">
      <c r="C54" s="1079"/>
      <c r="D54" s="1125"/>
      <c r="E54" s="1125"/>
      <c r="F54" s="1125"/>
      <c r="G54" s="1125"/>
      <c r="H54" s="1126"/>
      <c r="I54" s="1126"/>
      <c r="J54" s="1126"/>
      <c r="K54" s="1126"/>
      <c r="L54" s="1126"/>
      <c r="M54" s="1126"/>
      <c r="N54" s="1126"/>
      <c r="O54" s="1126"/>
      <c r="P54" s="1081"/>
      <c r="Q54" s="1118"/>
      <c r="R54" s="212"/>
      <c r="S54" s="212"/>
      <c r="T54" s="212"/>
    </row>
    <row r="55" spans="3:21" ht="15" customHeight="1" thickBot="1" x14ac:dyDescent="0.25">
      <c r="C55" s="1082"/>
      <c r="D55" s="1127"/>
      <c r="E55" s="1121"/>
      <c r="F55" s="1150"/>
      <c r="G55" s="1129" t="str">
        <f>'Key Inputs'!E$34&amp;" Dedicated"</f>
        <v>2021 Dedicated</v>
      </c>
      <c r="H55" s="1573">
        <f>+'Key Inputs'!E40</f>
        <v>0</v>
      </c>
      <c r="I55" s="1573"/>
      <c r="J55" s="1573"/>
      <c r="K55" s="1130"/>
      <c r="L55" s="1131" t="s">
        <v>435</v>
      </c>
      <c r="M55" s="1113"/>
      <c r="N55" s="1113"/>
      <c r="O55" s="1114"/>
      <c r="P55" s="1117"/>
      <c r="Q55" s="1118"/>
      <c r="R55" s="212"/>
      <c r="S55" s="212"/>
      <c r="T55" s="212"/>
    </row>
    <row r="56" spans="3:21" ht="15" customHeight="1" x14ac:dyDescent="0.2">
      <c r="C56" s="1082"/>
      <c r="D56" s="1554" t="s">
        <v>420</v>
      </c>
      <c r="E56" s="1555"/>
      <c r="F56" s="1555"/>
      <c r="G56" s="1555"/>
      <c r="H56" s="1556"/>
      <c r="I56" s="1556"/>
      <c r="J56" s="1556"/>
      <c r="K56" s="1557"/>
      <c r="L56" s="1558" t="s">
        <v>27</v>
      </c>
      <c r="M56" s="1559"/>
      <c r="N56" s="1559"/>
      <c r="O56" s="1560"/>
      <c r="P56" s="1117"/>
      <c r="Q56" s="1118"/>
      <c r="R56" s="212"/>
      <c r="S56" s="212"/>
      <c r="T56" s="212"/>
    </row>
    <row r="57" spans="3:21" ht="15" customHeight="1" x14ac:dyDescent="0.2">
      <c r="C57" s="1082"/>
      <c r="D57" s="1132"/>
      <c r="E57" s="1133"/>
      <c r="F57" s="1133"/>
      <c r="G57" s="1133"/>
      <c r="H57" s="1134"/>
      <c r="I57" s="1134"/>
      <c r="J57" s="1134"/>
      <c r="K57" s="1135"/>
      <c r="L57" s="1136" t="str">
        <f>L36</f>
        <v>2021</v>
      </c>
      <c r="M57" s="1116"/>
      <c r="N57" s="1086">
        <f>N36</f>
        <v>2020</v>
      </c>
      <c r="O57" s="1116"/>
      <c r="P57" s="1137"/>
      <c r="Q57" s="1118"/>
      <c r="R57" s="212"/>
      <c r="S57" s="212"/>
      <c r="T57" s="212"/>
    </row>
    <row r="58" spans="3:21" ht="12.75" customHeight="1" x14ac:dyDescent="0.2">
      <c r="C58" s="1082"/>
      <c r="D58" s="1112" t="s">
        <v>30</v>
      </c>
      <c r="E58" s="1113" t="s">
        <v>332</v>
      </c>
      <c r="F58" s="1113"/>
      <c r="G58" s="1113"/>
      <c r="H58" s="1113"/>
      <c r="I58" s="1113"/>
      <c r="J58" s="1113"/>
      <c r="K58" s="1114"/>
      <c r="L58" s="771">
        <f>+'31-Utility1'!J7</f>
        <v>0</v>
      </c>
      <c r="M58" s="1139"/>
      <c r="N58" s="771">
        <f>+'31-Utility1'!K7</f>
        <v>0</v>
      </c>
      <c r="O58" s="1114"/>
      <c r="P58" s="1117"/>
      <c r="Q58" s="1118"/>
      <c r="R58" s="212"/>
      <c r="S58" s="212"/>
      <c r="T58" s="212"/>
    </row>
    <row r="59" spans="3:21" ht="12.75" customHeight="1" x14ac:dyDescent="0.2">
      <c r="C59" s="1082"/>
      <c r="D59" s="1112" t="s">
        <v>32</v>
      </c>
      <c r="E59" s="1114" t="s">
        <v>436</v>
      </c>
      <c r="F59" s="1140"/>
      <c r="G59" s="1113"/>
      <c r="H59" s="1113"/>
      <c r="I59" s="1113"/>
      <c r="J59" s="1113"/>
      <c r="K59" s="1114"/>
      <c r="L59" s="771"/>
      <c r="M59" s="1139"/>
      <c r="N59" s="771"/>
      <c r="O59" s="1114"/>
      <c r="P59" s="1117"/>
      <c r="Q59" s="1118"/>
      <c r="R59" s="212"/>
      <c r="S59" s="212"/>
      <c r="T59" s="212"/>
    </row>
    <row r="60" spans="3:21" ht="12.75" customHeight="1" thickBot="1" x14ac:dyDescent="0.25">
      <c r="C60" s="1082"/>
      <c r="D60" s="1112" t="s">
        <v>35</v>
      </c>
      <c r="E60" s="1114" t="s">
        <v>311</v>
      </c>
      <c r="F60" s="1140"/>
      <c r="G60" s="1113"/>
      <c r="H60" s="1113"/>
      <c r="I60" s="1113"/>
      <c r="J60" s="1113"/>
      <c r="K60" s="1114"/>
      <c r="L60" s="1141"/>
      <c r="M60" s="772"/>
      <c r="N60" s="1142"/>
      <c r="O60" s="1114"/>
      <c r="P60" s="1117"/>
      <c r="Q60" s="1118"/>
      <c r="R60" s="212"/>
      <c r="S60" s="212"/>
      <c r="T60" s="212"/>
    </row>
    <row r="61" spans="3:21" ht="14.25" customHeight="1" thickTop="1" thickBot="1" x14ac:dyDescent="0.25">
      <c r="C61" s="1082"/>
      <c r="D61" s="1112"/>
      <c r="E61" s="1114" t="s">
        <v>437</v>
      </c>
      <c r="F61" s="1140"/>
      <c r="G61" s="1113"/>
      <c r="H61" s="1113"/>
      <c r="I61" s="1113"/>
      <c r="J61" s="1113"/>
      <c r="K61" s="1114"/>
      <c r="L61" s="1099">
        <f>SUM(L58:L60)</f>
        <v>0</v>
      </c>
      <c r="M61" s="772"/>
      <c r="N61" s="1099">
        <f>SUM(N58:N60)</f>
        <v>0</v>
      </c>
      <c r="O61" s="1114"/>
      <c r="P61" s="1117"/>
      <c r="Q61" s="1118"/>
      <c r="R61" s="212"/>
      <c r="S61" s="212"/>
      <c r="T61" s="212"/>
    </row>
    <row r="62" spans="3:21" ht="15" customHeight="1" thickTop="1" thickBot="1" x14ac:dyDescent="0.25">
      <c r="C62" s="1082"/>
      <c r="D62" s="1143"/>
      <c r="E62" s="1144"/>
      <c r="F62" s="1144"/>
      <c r="G62" s="1144"/>
      <c r="H62" s="1145"/>
      <c r="I62" s="1145"/>
      <c r="J62" s="1145"/>
      <c r="K62" s="1146"/>
      <c r="L62" s="1147"/>
      <c r="M62" s="1148"/>
      <c r="N62" s="1149"/>
      <c r="O62" s="1146"/>
      <c r="P62" s="1117"/>
      <c r="Q62" s="1118"/>
      <c r="R62" s="212"/>
      <c r="S62" s="212"/>
      <c r="T62" s="212"/>
    </row>
    <row r="63" spans="3:21" ht="15" customHeight="1" thickTop="1" x14ac:dyDescent="0.2">
      <c r="C63" s="1082"/>
      <c r="D63" s="1570" t="s">
        <v>428</v>
      </c>
      <c r="E63" s="1571"/>
      <c r="F63" s="1571"/>
      <c r="G63" s="1571"/>
      <c r="H63" s="1571"/>
      <c r="I63" s="1571"/>
      <c r="J63" s="1571"/>
      <c r="K63" s="1572"/>
      <c r="L63" s="1109" t="str">
        <f>L$10&amp;" Budget"</f>
        <v>2021 Budget</v>
      </c>
      <c r="M63" s="1134"/>
      <c r="N63" s="1109" t="str">
        <f>"Final "&amp;N$10&amp;" Budget"</f>
        <v>Final 2020 Budget</v>
      </c>
      <c r="O63" s="1135"/>
      <c r="P63" s="1137"/>
      <c r="Q63" s="1118"/>
      <c r="R63" s="212"/>
      <c r="S63" s="212"/>
      <c r="T63" s="212"/>
    </row>
    <row r="64" spans="3:21" ht="12.75" customHeight="1" x14ac:dyDescent="0.2">
      <c r="C64" s="1082"/>
      <c r="D64" s="1112" t="s">
        <v>30</v>
      </c>
      <c r="E64" s="1113" t="s">
        <v>438</v>
      </c>
      <c r="F64" s="1113"/>
      <c r="G64" s="1113" t="s">
        <v>205</v>
      </c>
      <c r="H64" s="1113"/>
      <c r="I64" s="1113"/>
      <c r="J64" s="1113"/>
      <c r="K64" s="1114"/>
      <c r="L64" s="771"/>
      <c r="M64" s="1139"/>
      <c r="N64" s="771"/>
      <c r="O64" s="1114"/>
      <c r="P64" s="1117"/>
      <c r="Q64" s="1118"/>
      <c r="R64" s="212"/>
      <c r="S64" s="212"/>
      <c r="T64" s="212"/>
    </row>
    <row r="65" spans="3:21" ht="12.75" customHeight="1" x14ac:dyDescent="0.2">
      <c r="C65" s="1082"/>
      <c r="D65" s="1112"/>
      <c r="E65" s="1113"/>
      <c r="F65" s="1113"/>
      <c r="G65" s="1113" t="s">
        <v>314</v>
      </c>
      <c r="H65" s="1113"/>
      <c r="I65" s="1113"/>
      <c r="J65" s="1113"/>
      <c r="K65" s="1114"/>
      <c r="L65" s="771"/>
      <c r="M65" s="1139"/>
      <c r="N65" s="771"/>
      <c r="O65" s="1114"/>
      <c r="P65" s="1119"/>
      <c r="Q65" s="1118"/>
      <c r="R65" s="212"/>
      <c r="S65" s="212"/>
      <c r="T65" s="212"/>
    </row>
    <row r="66" spans="3:21" ht="12.75" customHeight="1" x14ac:dyDescent="0.2">
      <c r="C66" s="1082"/>
      <c r="D66" s="1112" t="s">
        <v>32</v>
      </c>
      <c r="E66" s="1113" t="s">
        <v>316</v>
      </c>
      <c r="F66" s="1113"/>
      <c r="G66" s="1113"/>
      <c r="H66" s="1113"/>
      <c r="I66" s="1113"/>
      <c r="J66" s="1113"/>
      <c r="K66" s="1114"/>
      <c r="L66" s="771"/>
      <c r="M66" s="1139"/>
      <c r="N66" s="771"/>
      <c r="O66" s="1114"/>
      <c r="P66" s="1117"/>
      <c r="Q66" s="1118"/>
      <c r="R66" s="212"/>
      <c r="S66" s="212"/>
      <c r="T66" s="212"/>
    </row>
    <row r="67" spans="3:21" ht="12.75" customHeight="1" x14ac:dyDescent="0.2">
      <c r="C67" s="1082"/>
      <c r="D67" s="1112" t="s">
        <v>35</v>
      </c>
      <c r="E67" s="1113" t="s">
        <v>343</v>
      </c>
      <c r="F67" s="1113"/>
      <c r="G67" s="1113"/>
      <c r="H67" s="1113"/>
      <c r="I67" s="1113"/>
      <c r="J67" s="1113"/>
      <c r="K67" s="1114"/>
      <c r="L67" s="771"/>
      <c r="M67" s="1139"/>
      <c r="N67" s="771"/>
      <c r="O67" s="1114"/>
      <c r="P67" s="1117"/>
      <c r="Q67" s="1118"/>
      <c r="R67" s="212"/>
      <c r="S67" s="212"/>
      <c r="T67" s="212"/>
    </row>
    <row r="68" spans="3:21" ht="12.75" customHeight="1" x14ac:dyDescent="0.2">
      <c r="C68" s="1082"/>
      <c r="D68" s="1112" t="s">
        <v>174</v>
      </c>
      <c r="E68" s="1113" t="s">
        <v>430</v>
      </c>
      <c r="F68" s="1113"/>
      <c r="G68" s="1113"/>
      <c r="H68" s="1113"/>
      <c r="I68" s="1113"/>
      <c r="J68" s="1113"/>
      <c r="K68" s="1114"/>
      <c r="L68" s="771"/>
      <c r="M68" s="1139"/>
      <c r="N68" s="771"/>
      <c r="O68" s="1114"/>
      <c r="P68" s="1117"/>
      <c r="Q68" s="1118"/>
      <c r="R68" s="212"/>
      <c r="S68" s="212"/>
      <c r="T68" s="212"/>
    </row>
    <row r="69" spans="3:21" ht="12.75" customHeight="1" thickBot="1" x14ac:dyDescent="0.25">
      <c r="C69" s="1082"/>
      <c r="D69" s="1112" t="s">
        <v>175</v>
      </c>
      <c r="E69" s="1113" t="s">
        <v>439</v>
      </c>
      <c r="F69" s="1113"/>
      <c r="G69" s="1113"/>
      <c r="H69" s="1113"/>
      <c r="I69" s="1113"/>
      <c r="J69" s="1113"/>
      <c r="K69" s="1114"/>
      <c r="L69" s="1151"/>
      <c r="M69" s="1139"/>
      <c r="N69" s="1151"/>
      <c r="O69" s="1114"/>
      <c r="P69" s="1117"/>
      <c r="Q69" s="1118"/>
      <c r="R69" s="212"/>
      <c r="S69" s="212"/>
      <c r="T69" s="212"/>
    </row>
    <row r="70" spans="3:21" ht="14.25" customHeight="1" thickTop="1" thickBot="1" x14ac:dyDescent="0.25">
      <c r="C70" s="1082"/>
      <c r="D70" s="1112" t="s">
        <v>440</v>
      </c>
      <c r="E70" s="1121"/>
      <c r="F70" s="1113"/>
      <c r="G70" s="1113"/>
      <c r="H70" s="1113"/>
      <c r="I70" s="1113"/>
      <c r="J70" s="1113"/>
      <c r="K70" s="1114"/>
      <c r="L70" s="1099">
        <f>SUM(L64:L69)</f>
        <v>0</v>
      </c>
      <c r="M70" s="772"/>
      <c r="N70" s="1099">
        <f>SUM(N64:N69)</f>
        <v>0</v>
      </c>
      <c r="O70" s="1114"/>
      <c r="P70" s="1117"/>
      <c r="Q70" s="1118"/>
      <c r="R70" s="212"/>
      <c r="S70" s="212"/>
      <c r="T70" s="493"/>
      <c r="U70" s="373"/>
    </row>
    <row r="71" spans="3:21" ht="13.5" customHeight="1" thickTop="1" x14ac:dyDescent="0.2">
      <c r="C71" s="1082"/>
      <c r="D71" s="1112" t="s">
        <v>434</v>
      </c>
      <c r="E71" s="1121"/>
      <c r="F71" s="1121"/>
      <c r="G71" s="1121"/>
      <c r="H71" s="1113"/>
      <c r="I71" s="1113"/>
      <c r="J71" s="1113"/>
      <c r="K71" s="1114"/>
      <c r="L71" s="1152"/>
      <c r="M71" s="772"/>
      <c r="N71" s="1153"/>
      <c r="O71" s="1116"/>
      <c r="P71" s="1117"/>
      <c r="Q71" s="1118"/>
      <c r="R71" s="212"/>
      <c r="S71" s="212"/>
      <c r="T71" s="212"/>
    </row>
    <row r="72" spans="3:21" ht="3" customHeight="1" x14ac:dyDescent="0.2">
      <c r="C72" s="1084"/>
      <c r="D72" s="1134"/>
      <c r="E72" s="1134"/>
      <c r="F72" s="1134"/>
      <c r="G72" s="1134"/>
      <c r="H72" s="1134"/>
      <c r="I72" s="1134"/>
      <c r="J72" s="1134"/>
      <c r="K72" s="1134"/>
      <c r="L72" s="1134"/>
      <c r="M72" s="1134"/>
      <c r="N72" s="1134"/>
      <c r="O72" s="1134"/>
      <c r="P72" s="1135"/>
      <c r="Q72" s="1118"/>
      <c r="R72" s="212"/>
      <c r="S72" s="212"/>
      <c r="T72" s="212"/>
    </row>
    <row r="73" spans="3:21" ht="12" customHeight="1" x14ac:dyDescent="0.2">
      <c r="D73" s="1154"/>
      <c r="E73" s="1154"/>
      <c r="F73" s="1154"/>
      <c r="G73" s="1154"/>
      <c r="H73" s="1154"/>
      <c r="I73" s="1154"/>
      <c r="J73" s="1154"/>
      <c r="K73" s="1154"/>
      <c r="L73" s="1154"/>
      <c r="M73" s="1154"/>
      <c r="N73" s="1154"/>
      <c r="O73" s="1154"/>
      <c r="P73" s="1118"/>
      <c r="Q73" s="1118"/>
      <c r="R73" s="212"/>
      <c r="S73" s="212"/>
      <c r="T73" s="213"/>
    </row>
    <row r="74" spans="3:21" ht="12" customHeight="1" x14ac:dyDescent="0.2">
      <c r="C74" s="1078"/>
      <c r="D74" s="1118"/>
      <c r="E74" s="1118"/>
      <c r="F74" s="1118"/>
      <c r="G74" s="1118"/>
      <c r="H74" s="1118"/>
      <c r="I74" s="1118"/>
      <c r="J74" s="1118"/>
      <c r="K74" s="1118"/>
      <c r="L74" s="1118"/>
      <c r="M74" s="1118"/>
      <c r="N74" s="1118"/>
      <c r="O74" s="1118"/>
      <c r="P74" s="1118"/>
      <c r="Q74" s="1118"/>
      <c r="R74" s="212"/>
      <c r="S74" s="212"/>
      <c r="T74" s="213"/>
    </row>
    <row r="75" spans="3:21" ht="3" customHeight="1" x14ac:dyDescent="0.2">
      <c r="C75" s="1079"/>
      <c r="D75" s="1125"/>
      <c r="E75" s="1125"/>
      <c r="F75" s="1125"/>
      <c r="G75" s="1125"/>
      <c r="H75" s="1126"/>
      <c r="I75" s="1126"/>
      <c r="J75" s="1126"/>
      <c r="K75" s="1126"/>
      <c r="L75" s="1126"/>
      <c r="M75" s="1126"/>
      <c r="N75" s="1126"/>
      <c r="O75" s="1126"/>
      <c r="P75" s="1081"/>
      <c r="Q75" s="1118"/>
      <c r="R75" s="212"/>
      <c r="S75" s="212"/>
      <c r="T75" s="213"/>
    </row>
    <row r="76" spans="3:21" ht="15" customHeight="1" thickBot="1" x14ac:dyDescent="0.25">
      <c r="C76" s="1082"/>
      <c r="D76" s="1127"/>
      <c r="E76" s="1121"/>
      <c r="F76" s="1150"/>
      <c r="G76" s="1129" t="str">
        <f>'Key Inputs'!E$34&amp;" Dedicated"</f>
        <v>2021 Dedicated</v>
      </c>
      <c r="H76" s="1573">
        <f>+'Key Inputs'!E41</f>
        <v>0</v>
      </c>
      <c r="I76" s="1573"/>
      <c r="J76" s="1573"/>
      <c r="K76" s="1130"/>
      <c r="L76" s="1131" t="s">
        <v>435</v>
      </c>
      <c r="M76" s="1113"/>
      <c r="N76" s="1113"/>
      <c r="O76" s="1114"/>
      <c r="P76" s="1117"/>
      <c r="Q76" s="1118"/>
      <c r="R76" s="212"/>
      <c r="S76" s="212"/>
      <c r="T76" s="213"/>
    </row>
    <row r="77" spans="3:21" ht="15" customHeight="1" x14ac:dyDescent="0.2">
      <c r="C77" s="1082"/>
      <c r="D77" s="1554" t="s">
        <v>420</v>
      </c>
      <c r="E77" s="1555"/>
      <c r="F77" s="1555"/>
      <c r="G77" s="1555"/>
      <c r="H77" s="1556"/>
      <c r="I77" s="1556"/>
      <c r="J77" s="1556"/>
      <c r="K77" s="1557"/>
      <c r="L77" s="1558" t="s">
        <v>27</v>
      </c>
      <c r="M77" s="1559"/>
      <c r="N77" s="1559"/>
      <c r="O77" s="1560"/>
      <c r="P77" s="1117"/>
      <c r="Q77" s="1118"/>
      <c r="R77" s="212"/>
      <c r="S77" s="212"/>
      <c r="T77" s="213"/>
    </row>
    <row r="78" spans="3:21" ht="15" customHeight="1" x14ac:dyDescent="0.2">
      <c r="C78" s="1082"/>
      <c r="D78" s="1132"/>
      <c r="E78" s="1133"/>
      <c r="F78" s="1133"/>
      <c r="G78" s="1133"/>
      <c r="H78" s="1134"/>
      <c r="I78" s="1134"/>
      <c r="J78" s="1134"/>
      <c r="K78" s="1135"/>
      <c r="L78" s="1136" t="str">
        <f>L57</f>
        <v>2021</v>
      </c>
      <c r="M78" s="1116"/>
      <c r="N78" s="1086">
        <f>N57</f>
        <v>2020</v>
      </c>
      <c r="O78" s="1116"/>
      <c r="P78" s="1137"/>
      <c r="Q78" s="1118"/>
      <c r="R78" s="212"/>
      <c r="S78" s="212"/>
      <c r="T78" s="213"/>
    </row>
    <row r="79" spans="3:21" ht="12.75" customHeight="1" x14ac:dyDescent="0.2">
      <c r="C79" s="1082"/>
      <c r="D79" s="1112" t="s">
        <v>30</v>
      </c>
      <c r="E79" s="1113" t="s">
        <v>332</v>
      </c>
      <c r="F79" s="1113"/>
      <c r="G79" s="1113"/>
      <c r="H79" s="1113"/>
      <c r="I79" s="1113"/>
      <c r="J79" s="1113"/>
      <c r="K79" s="1114"/>
      <c r="L79" s="771"/>
      <c r="M79" s="1139"/>
      <c r="N79" s="771"/>
      <c r="O79" s="1114"/>
      <c r="P79" s="1117"/>
      <c r="Q79" s="1118"/>
      <c r="R79" s="212"/>
      <c r="S79" s="212"/>
      <c r="T79" s="213"/>
    </row>
    <row r="80" spans="3:21" ht="12.75" customHeight="1" x14ac:dyDescent="0.2">
      <c r="C80" s="1082"/>
      <c r="D80" s="1112" t="s">
        <v>32</v>
      </c>
      <c r="E80" s="1114" t="s">
        <v>436</v>
      </c>
      <c r="F80" s="1140"/>
      <c r="G80" s="1113"/>
      <c r="H80" s="1113"/>
      <c r="I80" s="1113"/>
      <c r="J80" s="1113"/>
      <c r="K80" s="1114"/>
      <c r="L80" s="771"/>
      <c r="M80" s="1139"/>
      <c r="N80" s="771"/>
      <c r="O80" s="1114"/>
      <c r="P80" s="1117"/>
      <c r="Q80" s="1118"/>
      <c r="R80" s="212"/>
      <c r="S80" s="212"/>
      <c r="T80" s="213"/>
    </row>
    <row r="81" spans="3:21" ht="12.75" customHeight="1" thickBot="1" x14ac:dyDescent="0.25">
      <c r="C81" s="1082"/>
      <c r="D81" s="1112" t="s">
        <v>35</v>
      </c>
      <c r="E81" s="1114" t="s">
        <v>311</v>
      </c>
      <c r="F81" s="1140"/>
      <c r="G81" s="1113"/>
      <c r="H81" s="1113"/>
      <c r="I81" s="1113"/>
      <c r="J81" s="1113"/>
      <c r="K81" s="1114"/>
      <c r="L81" s="1141"/>
      <c r="M81" s="772"/>
      <c r="N81" s="1142"/>
      <c r="O81" s="1114"/>
      <c r="P81" s="1117"/>
      <c r="Q81" s="1118"/>
      <c r="R81" s="212"/>
      <c r="S81" s="212"/>
      <c r="T81" s="213"/>
    </row>
    <row r="82" spans="3:21" ht="12.75" customHeight="1" thickTop="1" thickBot="1" x14ac:dyDescent="0.25">
      <c r="C82" s="1082"/>
      <c r="D82" s="1112"/>
      <c r="E82" s="1114" t="s">
        <v>437</v>
      </c>
      <c r="F82" s="1140"/>
      <c r="G82" s="1113"/>
      <c r="H82" s="1113"/>
      <c r="I82" s="1113"/>
      <c r="J82" s="1113"/>
      <c r="K82" s="1114"/>
      <c r="L82" s="1099">
        <f>SUM(L79:L81)</f>
        <v>0</v>
      </c>
      <c r="M82" s="772"/>
      <c r="N82" s="1099">
        <f>SUM(N79:N81)</f>
        <v>0</v>
      </c>
      <c r="O82" s="1114"/>
      <c r="P82" s="1117"/>
      <c r="Q82" s="1118"/>
      <c r="R82" s="212"/>
      <c r="S82" s="212"/>
      <c r="T82" s="213"/>
    </row>
    <row r="83" spans="3:21" ht="12.75" customHeight="1" thickTop="1" thickBot="1" x14ac:dyDescent="0.25">
      <c r="C83" s="1082"/>
      <c r="D83" s="1143"/>
      <c r="E83" s="1144"/>
      <c r="F83" s="1144"/>
      <c r="G83" s="1144"/>
      <c r="H83" s="1145"/>
      <c r="I83" s="1145"/>
      <c r="J83" s="1145"/>
      <c r="K83" s="1146"/>
      <c r="L83" s="1147"/>
      <c r="M83" s="1148"/>
      <c r="N83" s="1149"/>
      <c r="O83" s="1146"/>
      <c r="P83" s="1117"/>
      <c r="Q83" s="1118"/>
      <c r="R83" s="212"/>
      <c r="S83" s="212"/>
      <c r="T83" s="213"/>
    </row>
    <row r="84" spans="3:21" ht="15" customHeight="1" thickTop="1" x14ac:dyDescent="0.2">
      <c r="C84" s="1082"/>
      <c r="D84" s="1570" t="s">
        <v>428</v>
      </c>
      <c r="E84" s="1571"/>
      <c r="F84" s="1571"/>
      <c r="G84" s="1571"/>
      <c r="H84" s="1571"/>
      <c r="I84" s="1571"/>
      <c r="J84" s="1571"/>
      <c r="K84" s="1572"/>
      <c r="L84" s="1109" t="str">
        <f>L$10&amp;" Budget"</f>
        <v>2021 Budget</v>
      </c>
      <c r="M84" s="1134"/>
      <c r="N84" s="1109" t="str">
        <f>"Final "&amp;N$10&amp;" Budget"</f>
        <v>Final 2020 Budget</v>
      </c>
      <c r="O84" s="1135"/>
      <c r="P84" s="1137"/>
      <c r="Q84" s="1118"/>
      <c r="R84" s="212"/>
      <c r="S84" s="212"/>
      <c r="T84" s="213"/>
    </row>
    <row r="85" spans="3:21" ht="12.75" customHeight="1" x14ac:dyDescent="0.2">
      <c r="C85" s="1082"/>
      <c r="D85" s="1112" t="s">
        <v>30</v>
      </c>
      <c r="E85" s="1113" t="s">
        <v>438</v>
      </c>
      <c r="F85" s="1113"/>
      <c r="G85" s="1113" t="s">
        <v>205</v>
      </c>
      <c r="H85" s="1113"/>
      <c r="I85" s="1113"/>
      <c r="J85" s="1113"/>
      <c r="K85" s="1114"/>
      <c r="L85" s="771"/>
      <c r="M85" s="1139"/>
      <c r="N85" s="771"/>
      <c r="O85" s="1114"/>
      <c r="P85" s="1117"/>
      <c r="Q85" s="1118"/>
      <c r="R85" s="212"/>
      <c r="S85" s="212"/>
      <c r="T85" s="213"/>
    </row>
    <row r="86" spans="3:21" ht="12.75" customHeight="1" x14ac:dyDescent="0.2">
      <c r="C86" s="1082"/>
      <c r="D86" s="1112"/>
      <c r="E86" s="1113"/>
      <c r="F86" s="1113"/>
      <c r="G86" s="1113" t="s">
        <v>314</v>
      </c>
      <c r="H86" s="1113"/>
      <c r="I86" s="1113"/>
      <c r="J86" s="1113"/>
      <c r="K86" s="1114"/>
      <c r="L86" s="771"/>
      <c r="M86" s="1139"/>
      <c r="N86" s="771"/>
      <c r="O86" s="1114"/>
      <c r="P86" s="1119"/>
      <c r="Q86" s="1118"/>
      <c r="R86" s="212"/>
      <c r="S86" s="212"/>
      <c r="T86" s="213"/>
    </row>
    <row r="87" spans="3:21" ht="12.75" customHeight="1" x14ac:dyDescent="0.2">
      <c r="C87" s="1082"/>
      <c r="D87" s="1112" t="s">
        <v>32</v>
      </c>
      <c r="E87" s="1113" t="s">
        <v>316</v>
      </c>
      <c r="F87" s="1113"/>
      <c r="G87" s="1113"/>
      <c r="H87" s="1113"/>
      <c r="I87" s="1113"/>
      <c r="J87" s="1113"/>
      <c r="K87" s="1114"/>
      <c r="L87" s="771"/>
      <c r="M87" s="1139"/>
      <c r="N87" s="771"/>
      <c r="O87" s="1114"/>
      <c r="P87" s="1117"/>
      <c r="Q87" s="1118"/>
      <c r="R87" s="212"/>
      <c r="S87" s="212"/>
      <c r="T87" s="213"/>
    </row>
    <row r="88" spans="3:21" ht="12.75" customHeight="1" x14ac:dyDescent="0.2">
      <c r="C88" s="1082"/>
      <c r="D88" s="1112" t="s">
        <v>35</v>
      </c>
      <c r="E88" s="1113" t="s">
        <v>343</v>
      </c>
      <c r="F88" s="1113"/>
      <c r="G88" s="1113"/>
      <c r="H88" s="1113"/>
      <c r="I88" s="1113"/>
      <c r="J88" s="1113"/>
      <c r="K88" s="1114"/>
      <c r="L88" s="771"/>
      <c r="M88" s="1139"/>
      <c r="N88" s="771"/>
      <c r="O88" s="1114"/>
      <c r="P88" s="1117"/>
      <c r="Q88" s="1118"/>
      <c r="R88" s="212"/>
      <c r="S88" s="212"/>
      <c r="T88" s="213"/>
    </row>
    <row r="89" spans="3:21" ht="12.75" customHeight="1" x14ac:dyDescent="0.2">
      <c r="C89" s="1082"/>
      <c r="D89" s="1112" t="s">
        <v>174</v>
      </c>
      <c r="E89" s="1113" t="s">
        <v>430</v>
      </c>
      <c r="F89" s="1113"/>
      <c r="G89" s="1113"/>
      <c r="H89" s="1113"/>
      <c r="I89" s="1113"/>
      <c r="J89" s="1113"/>
      <c r="K89" s="1114"/>
      <c r="L89" s="771"/>
      <c r="M89" s="1139"/>
      <c r="N89" s="771"/>
      <c r="O89" s="1114"/>
      <c r="P89" s="1117"/>
      <c r="Q89" s="1118"/>
      <c r="R89" s="212"/>
      <c r="S89" s="212"/>
      <c r="T89" s="213"/>
    </row>
    <row r="90" spans="3:21" ht="12.75" customHeight="1" thickBot="1" x14ac:dyDescent="0.25">
      <c r="C90" s="1082"/>
      <c r="D90" s="1112" t="s">
        <v>175</v>
      </c>
      <c r="E90" s="1113" t="s">
        <v>439</v>
      </c>
      <c r="F90" s="1113"/>
      <c r="G90" s="1113"/>
      <c r="H90" s="1113"/>
      <c r="I90" s="1113"/>
      <c r="J90" s="1113"/>
      <c r="K90" s="1114"/>
      <c r="L90" s="1151"/>
      <c r="M90" s="1139"/>
      <c r="N90" s="1151"/>
      <c r="O90" s="1114"/>
      <c r="P90" s="1117"/>
      <c r="Q90" s="1118"/>
      <c r="R90" s="212"/>
      <c r="S90" s="212"/>
      <c r="T90" s="213"/>
    </row>
    <row r="91" spans="3:21" ht="12.75" customHeight="1" thickTop="1" thickBot="1" x14ac:dyDescent="0.25">
      <c r="C91" s="1082"/>
      <c r="D91" s="1112" t="s">
        <v>440</v>
      </c>
      <c r="E91" s="1121"/>
      <c r="F91" s="1113"/>
      <c r="G91" s="1113"/>
      <c r="H91" s="1113"/>
      <c r="I91" s="1113"/>
      <c r="J91" s="1113"/>
      <c r="K91" s="1114"/>
      <c r="L91" s="1099">
        <f>SUM(L85:L90)</f>
        <v>0</v>
      </c>
      <c r="M91" s="772"/>
      <c r="N91" s="1099">
        <f>SUM(N85:N90)</f>
        <v>0</v>
      </c>
      <c r="O91" s="1114"/>
      <c r="P91" s="1117"/>
      <c r="Q91" s="1118"/>
      <c r="R91" s="212"/>
      <c r="S91" s="212"/>
      <c r="T91" s="536"/>
      <c r="U91" s="373"/>
    </row>
    <row r="92" spans="3:21" ht="12.75" customHeight="1" thickTop="1" x14ac:dyDescent="0.2">
      <c r="C92" s="1082"/>
      <c r="D92" s="1112" t="s">
        <v>434</v>
      </c>
      <c r="E92" s="1121"/>
      <c r="F92" s="1121"/>
      <c r="G92" s="1121"/>
      <c r="H92" s="1113"/>
      <c r="I92" s="1113"/>
      <c r="J92" s="1113"/>
      <c r="K92" s="1114"/>
      <c r="L92" s="1152"/>
      <c r="M92" s="772"/>
      <c r="N92" s="1153"/>
      <c r="O92" s="1116"/>
      <c r="P92" s="1117"/>
      <c r="Q92" s="1118"/>
      <c r="R92" s="212"/>
      <c r="S92" s="212"/>
      <c r="T92" s="213"/>
    </row>
    <row r="93" spans="3:21" ht="3" customHeight="1" x14ac:dyDescent="0.2">
      <c r="C93" s="1084"/>
      <c r="D93" s="1134"/>
      <c r="E93" s="1134"/>
      <c r="F93" s="1134"/>
      <c r="G93" s="1134"/>
      <c r="H93" s="1134"/>
      <c r="I93" s="1134"/>
      <c r="J93" s="1134"/>
      <c r="K93" s="1134"/>
      <c r="L93" s="1134"/>
      <c r="M93" s="1134"/>
      <c r="N93" s="1134"/>
      <c r="O93" s="1134"/>
      <c r="P93" s="1135"/>
      <c r="Q93" s="1118"/>
      <c r="R93" s="212"/>
      <c r="S93" s="212"/>
      <c r="T93" s="213"/>
    </row>
    <row r="94" spans="3:21" ht="20.100000000000001" customHeight="1" x14ac:dyDescent="0.2">
      <c r="C94" s="1078"/>
      <c r="D94" s="1118"/>
      <c r="E94" s="1118"/>
      <c r="F94" s="1118"/>
      <c r="G94" s="1118"/>
      <c r="H94" s="1118"/>
      <c r="I94" s="1118"/>
      <c r="J94" s="1118"/>
      <c r="K94" s="1118"/>
      <c r="L94" s="1118"/>
      <c r="M94" s="1118"/>
      <c r="N94" s="1118"/>
      <c r="O94" s="1118"/>
      <c r="P94" s="1118"/>
      <c r="Q94" s="1118"/>
      <c r="R94" s="212"/>
      <c r="S94" s="212"/>
      <c r="T94" s="213"/>
    </row>
    <row r="95" spans="3:21" ht="3" customHeight="1" x14ac:dyDescent="0.2">
      <c r="C95" s="1079"/>
      <c r="D95" s="1125"/>
      <c r="E95" s="1125"/>
      <c r="F95" s="1125"/>
      <c r="G95" s="1125"/>
      <c r="H95" s="1126"/>
      <c r="I95" s="1126"/>
      <c r="J95" s="1126"/>
      <c r="K95" s="1126"/>
      <c r="L95" s="1126"/>
      <c r="M95" s="1126"/>
      <c r="N95" s="1126"/>
      <c r="O95" s="1126"/>
      <c r="P95" s="1081"/>
      <c r="Q95" s="1118"/>
      <c r="R95" s="212"/>
      <c r="S95" s="212"/>
      <c r="T95" s="213"/>
    </row>
    <row r="96" spans="3:21" ht="15" customHeight="1" thickBot="1" x14ac:dyDescent="0.25">
      <c r="C96" s="1082"/>
      <c r="D96" s="1127"/>
      <c r="E96" s="1121"/>
      <c r="F96" s="1150"/>
      <c r="G96" s="1129" t="str">
        <f>'Key Inputs'!E$34&amp;" Dedicated"</f>
        <v>2021 Dedicated</v>
      </c>
      <c r="H96" s="1573">
        <f>+'Key Inputs'!E42</f>
        <v>0</v>
      </c>
      <c r="I96" s="1573"/>
      <c r="J96" s="1573"/>
      <c r="K96" s="1130"/>
      <c r="L96" s="1131" t="s">
        <v>435</v>
      </c>
      <c r="M96" s="1113"/>
      <c r="N96" s="1113"/>
      <c r="O96" s="1114"/>
      <c r="P96" s="1117"/>
      <c r="Q96" s="1118"/>
      <c r="R96" s="212"/>
      <c r="S96" s="212"/>
      <c r="T96" s="213"/>
    </row>
    <row r="97" spans="3:20" ht="15" customHeight="1" x14ac:dyDescent="0.2">
      <c r="C97" s="1082"/>
      <c r="D97" s="1554" t="s">
        <v>420</v>
      </c>
      <c r="E97" s="1555"/>
      <c r="F97" s="1555"/>
      <c r="G97" s="1555"/>
      <c r="H97" s="1556"/>
      <c r="I97" s="1556"/>
      <c r="J97" s="1556"/>
      <c r="K97" s="1557"/>
      <c r="L97" s="1558" t="s">
        <v>27</v>
      </c>
      <c r="M97" s="1559"/>
      <c r="N97" s="1559"/>
      <c r="O97" s="1560"/>
      <c r="P97" s="1117"/>
      <c r="Q97" s="1118"/>
      <c r="R97" s="212"/>
      <c r="S97" s="212"/>
      <c r="T97" s="213"/>
    </row>
    <row r="98" spans="3:20" ht="12.75" customHeight="1" x14ac:dyDescent="0.2">
      <c r="C98" s="1082"/>
      <c r="D98" s="1132"/>
      <c r="E98" s="1133"/>
      <c r="F98" s="1133"/>
      <c r="G98" s="1133"/>
      <c r="H98" s="1134"/>
      <c r="I98" s="1134"/>
      <c r="J98" s="1134"/>
      <c r="K98" s="1135"/>
      <c r="L98" s="1136" t="str">
        <f>L77</f>
        <v>Anticipated</v>
      </c>
      <c r="M98" s="1116"/>
      <c r="N98" s="1086">
        <f>N77</f>
        <v>0</v>
      </c>
      <c r="O98" s="1116"/>
      <c r="P98" s="1137"/>
      <c r="Q98" s="1118"/>
      <c r="R98" s="212"/>
      <c r="S98" s="212"/>
      <c r="T98" s="213"/>
    </row>
    <row r="99" spans="3:20" ht="12.75" customHeight="1" x14ac:dyDescent="0.2">
      <c r="C99" s="1082"/>
      <c r="D99" s="1112" t="s">
        <v>30</v>
      </c>
      <c r="E99" s="1113" t="s">
        <v>332</v>
      </c>
      <c r="F99" s="1113"/>
      <c r="G99" s="1113"/>
      <c r="H99" s="1113"/>
      <c r="I99" s="1113"/>
      <c r="J99" s="1113"/>
      <c r="K99" s="1114"/>
      <c r="L99" s="771"/>
      <c r="M99" s="1139"/>
      <c r="N99" s="771"/>
      <c r="O99" s="1114"/>
      <c r="P99" s="1117"/>
      <c r="Q99" s="1118"/>
      <c r="R99" s="212"/>
      <c r="S99" s="212"/>
      <c r="T99" s="213"/>
    </row>
    <row r="100" spans="3:20" ht="12.75" customHeight="1" x14ac:dyDescent="0.2">
      <c r="C100" s="1082"/>
      <c r="D100" s="1112" t="s">
        <v>32</v>
      </c>
      <c r="E100" s="1114" t="s">
        <v>436</v>
      </c>
      <c r="F100" s="1140"/>
      <c r="G100" s="1113"/>
      <c r="H100" s="1113"/>
      <c r="I100" s="1113"/>
      <c r="J100" s="1113"/>
      <c r="K100" s="1114"/>
      <c r="L100" s="771"/>
      <c r="M100" s="1139"/>
      <c r="N100" s="771"/>
      <c r="O100" s="1114"/>
      <c r="P100" s="1117"/>
      <c r="Q100" s="1118"/>
      <c r="R100" s="212"/>
      <c r="S100" s="212"/>
      <c r="T100" s="213"/>
    </row>
    <row r="101" spans="3:20" ht="12.75" customHeight="1" thickBot="1" x14ac:dyDescent="0.25">
      <c r="C101" s="1082"/>
      <c r="D101" s="1112" t="s">
        <v>35</v>
      </c>
      <c r="E101" s="1114" t="s">
        <v>311</v>
      </c>
      <c r="F101" s="1140"/>
      <c r="G101" s="1113"/>
      <c r="H101" s="1113"/>
      <c r="I101" s="1113"/>
      <c r="J101" s="1113"/>
      <c r="K101" s="1114"/>
      <c r="L101" s="1141"/>
      <c r="M101" s="772"/>
      <c r="N101" s="1142"/>
      <c r="O101" s="1114"/>
      <c r="P101" s="1117"/>
      <c r="Q101" s="1118"/>
      <c r="R101" s="212"/>
      <c r="S101" s="212"/>
      <c r="T101" s="213"/>
    </row>
    <row r="102" spans="3:20" ht="12.75" customHeight="1" thickTop="1" thickBot="1" x14ac:dyDescent="0.25">
      <c r="C102" s="1082"/>
      <c r="D102" s="1112"/>
      <c r="E102" s="1114" t="s">
        <v>437</v>
      </c>
      <c r="F102" s="1140"/>
      <c r="G102" s="1113"/>
      <c r="H102" s="1113"/>
      <c r="I102" s="1113"/>
      <c r="J102" s="1113"/>
      <c r="K102" s="1114"/>
      <c r="L102" s="1099">
        <f>SUM(L99:L101)</f>
        <v>0</v>
      </c>
      <c r="M102" s="772"/>
      <c r="N102" s="1099">
        <f>SUM(N99:N101)</f>
        <v>0</v>
      </c>
      <c r="O102" s="1114"/>
      <c r="P102" s="1117"/>
      <c r="Q102" s="1118"/>
      <c r="R102" s="212"/>
      <c r="S102" s="212"/>
      <c r="T102" s="213"/>
    </row>
    <row r="103" spans="3:20" ht="12.75" customHeight="1" thickTop="1" thickBot="1" x14ac:dyDescent="0.25">
      <c r="C103" s="1082"/>
      <c r="D103" s="1143"/>
      <c r="E103" s="1144"/>
      <c r="F103" s="1144"/>
      <c r="G103" s="1144"/>
      <c r="H103" s="1145"/>
      <c r="I103" s="1145"/>
      <c r="J103" s="1145"/>
      <c r="K103" s="1146"/>
      <c r="L103" s="1147"/>
      <c r="M103" s="1148"/>
      <c r="N103" s="1149"/>
      <c r="O103" s="1146"/>
      <c r="P103" s="1117"/>
      <c r="Q103" s="1118"/>
      <c r="R103" s="212"/>
      <c r="S103" s="212"/>
      <c r="T103" s="213"/>
    </row>
    <row r="104" spans="3:20" ht="15" customHeight="1" thickTop="1" x14ac:dyDescent="0.2">
      <c r="C104" s="1082"/>
      <c r="D104" s="1570" t="s">
        <v>428</v>
      </c>
      <c r="E104" s="1571"/>
      <c r="F104" s="1571"/>
      <c r="G104" s="1571"/>
      <c r="H104" s="1571"/>
      <c r="I104" s="1571"/>
      <c r="J104" s="1571"/>
      <c r="K104" s="1572"/>
      <c r="L104" s="1109" t="str">
        <f>L$10&amp;" Budget"</f>
        <v>2021 Budget</v>
      </c>
      <c r="M104" s="1134"/>
      <c r="N104" s="1109" t="str">
        <f>"Final "&amp;N$10&amp;" Budget"</f>
        <v>Final 2020 Budget</v>
      </c>
      <c r="O104" s="1135"/>
      <c r="P104" s="1137"/>
      <c r="Q104" s="1118"/>
      <c r="R104" s="212"/>
      <c r="S104" s="212"/>
      <c r="T104" s="213"/>
    </row>
    <row r="105" spans="3:20" ht="12.75" customHeight="1" x14ac:dyDescent="0.2">
      <c r="C105" s="1082"/>
      <c r="D105" s="1112" t="s">
        <v>30</v>
      </c>
      <c r="E105" s="1113" t="s">
        <v>438</v>
      </c>
      <c r="F105" s="1113"/>
      <c r="G105" s="1113" t="s">
        <v>205</v>
      </c>
      <c r="H105" s="1113"/>
      <c r="I105" s="1113"/>
      <c r="J105" s="1113"/>
      <c r="K105" s="1114"/>
      <c r="L105" s="771"/>
      <c r="M105" s="1139"/>
      <c r="N105" s="771"/>
      <c r="O105" s="1114"/>
      <c r="P105" s="1117"/>
      <c r="Q105" s="1118"/>
      <c r="R105" s="212"/>
      <c r="S105" s="212"/>
      <c r="T105" s="213"/>
    </row>
    <row r="106" spans="3:20" ht="12.75" customHeight="1" x14ac:dyDescent="0.2">
      <c r="C106" s="1082"/>
      <c r="D106" s="1112"/>
      <c r="E106" s="1113"/>
      <c r="F106" s="1113"/>
      <c r="G106" s="1113" t="s">
        <v>314</v>
      </c>
      <c r="H106" s="1113"/>
      <c r="I106" s="1113"/>
      <c r="J106" s="1113"/>
      <c r="K106" s="1114"/>
      <c r="L106" s="771"/>
      <c r="M106" s="1139"/>
      <c r="N106" s="771"/>
      <c r="O106" s="1114"/>
      <c r="P106" s="1119"/>
      <c r="Q106" s="1118"/>
      <c r="R106" s="212"/>
      <c r="S106" s="212"/>
      <c r="T106" s="213"/>
    </row>
    <row r="107" spans="3:20" ht="12.75" customHeight="1" x14ac:dyDescent="0.2">
      <c r="C107" s="1082"/>
      <c r="D107" s="1112" t="s">
        <v>32</v>
      </c>
      <c r="E107" s="1113" t="s">
        <v>316</v>
      </c>
      <c r="F107" s="1113"/>
      <c r="G107" s="1113"/>
      <c r="H107" s="1113"/>
      <c r="I107" s="1113"/>
      <c r="J107" s="1113"/>
      <c r="K107" s="1114"/>
      <c r="L107" s="771"/>
      <c r="M107" s="1139"/>
      <c r="N107" s="771"/>
      <c r="O107" s="1114"/>
      <c r="P107" s="1117"/>
      <c r="Q107" s="1118"/>
      <c r="R107" s="212"/>
      <c r="S107" s="212"/>
      <c r="T107" s="213"/>
    </row>
    <row r="108" spans="3:20" ht="12.75" customHeight="1" x14ac:dyDescent="0.2">
      <c r="C108" s="1082"/>
      <c r="D108" s="1112" t="s">
        <v>35</v>
      </c>
      <c r="E108" s="1113" t="s">
        <v>343</v>
      </c>
      <c r="F108" s="1113"/>
      <c r="G108" s="1113"/>
      <c r="H108" s="1113"/>
      <c r="I108" s="1113"/>
      <c r="J108" s="1113"/>
      <c r="K108" s="1114"/>
      <c r="L108" s="771"/>
      <c r="M108" s="1139"/>
      <c r="N108" s="771"/>
      <c r="O108" s="1114"/>
      <c r="P108" s="1117"/>
      <c r="Q108" s="1118"/>
      <c r="R108" s="212"/>
      <c r="S108" s="212"/>
      <c r="T108" s="213"/>
    </row>
    <row r="109" spans="3:20" ht="12.75" customHeight="1" x14ac:dyDescent="0.2">
      <c r="C109" s="1082"/>
      <c r="D109" s="1112" t="s">
        <v>174</v>
      </c>
      <c r="E109" s="1113" t="s">
        <v>430</v>
      </c>
      <c r="F109" s="1113"/>
      <c r="G109" s="1113"/>
      <c r="H109" s="1113"/>
      <c r="I109" s="1113"/>
      <c r="J109" s="1113"/>
      <c r="K109" s="1114"/>
      <c r="L109" s="771"/>
      <c r="M109" s="1139"/>
      <c r="N109" s="771"/>
      <c r="O109" s="1114"/>
      <c r="P109" s="1117"/>
      <c r="Q109" s="1118"/>
      <c r="R109" s="208"/>
      <c r="S109" s="208"/>
    </row>
    <row r="110" spans="3:20" ht="12.75" customHeight="1" thickBot="1" x14ac:dyDescent="0.25">
      <c r="C110" s="1082"/>
      <c r="D110" s="1112" t="s">
        <v>175</v>
      </c>
      <c r="E110" s="1113" t="s">
        <v>439</v>
      </c>
      <c r="F110" s="1113"/>
      <c r="G110" s="1113"/>
      <c r="H110" s="1113"/>
      <c r="I110" s="1113"/>
      <c r="J110" s="1113"/>
      <c r="K110" s="1114"/>
      <c r="L110" s="1151"/>
      <c r="M110" s="1139"/>
      <c r="N110" s="1151"/>
      <c r="O110" s="1114"/>
      <c r="P110" s="1117"/>
      <c r="Q110" s="1078"/>
      <c r="R110" s="208"/>
      <c r="S110" s="208"/>
    </row>
    <row r="111" spans="3:20" ht="12.75" customHeight="1" thickTop="1" thickBot="1" x14ac:dyDescent="0.25">
      <c r="C111" s="1082"/>
      <c r="D111" s="1112" t="s">
        <v>440</v>
      </c>
      <c r="E111" s="1121"/>
      <c r="F111" s="1113"/>
      <c r="G111" s="1113"/>
      <c r="H111" s="1113"/>
      <c r="I111" s="1113"/>
      <c r="J111" s="1113"/>
      <c r="K111" s="1114"/>
      <c r="L111" s="1099">
        <f>SUM(L105:L110)</f>
        <v>0</v>
      </c>
      <c r="M111" s="772"/>
      <c r="N111" s="1099">
        <f>SUM(N105:N110)</f>
        <v>0</v>
      </c>
      <c r="O111" s="1114"/>
      <c r="P111" s="1117"/>
      <c r="Q111" s="1155"/>
      <c r="R111" s="209"/>
      <c r="S111" s="209"/>
      <c r="T111" s="209"/>
    </row>
    <row r="112" spans="3:20" ht="12.75" customHeight="1" thickTop="1" x14ac:dyDescent="0.2">
      <c r="C112" s="1082"/>
      <c r="D112" s="1112" t="s">
        <v>434</v>
      </c>
      <c r="E112" s="1121"/>
      <c r="F112" s="1121"/>
      <c r="G112" s="1121"/>
      <c r="H112" s="1113"/>
      <c r="I112" s="1113"/>
      <c r="J112" s="1113"/>
      <c r="K112" s="1114"/>
      <c r="L112" s="1152"/>
      <c r="M112" s="772"/>
      <c r="N112" s="1153"/>
      <c r="O112" s="1116"/>
      <c r="P112" s="1117"/>
      <c r="Q112" s="1078"/>
      <c r="R112" s="208"/>
      <c r="S112" s="208"/>
      <c r="T112" s="208"/>
    </row>
    <row r="113" spans="3:20" ht="3" customHeight="1" x14ac:dyDescent="0.2">
      <c r="C113" s="1084"/>
      <c r="D113" s="1134"/>
      <c r="E113" s="1134"/>
      <c r="F113" s="1134"/>
      <c r="G113" s="1134"/>
      <c r="H113" s="1134"/>
      <c r="I113" s="1134"/>
      <c r="J113" s="1134"/>
      <c r="K113" s="1134"/>
      <c r="L113" s="1134"/>
      <c r="M113" s="1134"/>
      <c r="N113" s="1134"/>
      <c r="O113" s="1134"/>
      <c r="P113" s="1135"/>
      <c r="Q113" s="1078"/>
      <c r="R113" s="208"/>
      <c r="S113" s="208"/>
      <c r="T113" s="208"/>
    </row>
    <row r="114" spans="3:20" x14ac:dyDescent="0.2">
      <c r="C114" s="1078"/>
      <c r="D114" s="1118"/>
      <c r="E114" s="1118"/>
      <c r="F114" s="1118"/>
      <c r="G114" s="1118"/>
      <c r="H114" s="1118"/>
      <c r="I114" s="1118"/>
      <c r="J114" s="1118"/>
      <c r="K114" s="1118"/>
      <c r="L114" s="1118"/>
      <c r="M114" s="1118"/>
      <c r="N114" s="1118"/>
      <c r="O114" s="1118"/>
      <c r="P114" s="1118"/>
      <c r="Q114" s="1078"/>
      <c r="R114" s="208"/>
      <c r="S114" s="208"/>
      <c r="T114" s="208"/>
    </row>
    <row r="115" spans="3:20" ht="3" customHeight="1" x14ac:dyDescent="0.2">
      <c r="C115" s="1079"/>
      <c r="D115" s="1125"/>
      <c r="E115" s="1125"/>
      <c r="F115" s="1125"/>
      <c r="G115" s="1125"/>
      <c r="H115" s="1126"/>
      <c r="I115" s="1126"/>
      <c r="J115" s="1126"/>
      <c r="K115" s="1126"/>
      <c r="L115" s="1126"/>
      <c r="M115" s="1126"/>
      <c r="N115" s="1126"/>
      <c r="O115" s="1126"/>
      <c r="P115" s="1081"/>
      <c r="Q115" s="1078"/>
      <c r="R115" s="208"/>
      <c r="S115" s="208"/>
      <c r="T115" s="208"/>
    </row>
    <row r="116" spans="3:20" ht="13.5" thickBot="1" x14ac:dyDescent="0.25">
      <c r="C116" s="1082"/>
      <c r="D116" s="1127"/>
      <c r="E116" s="1121"/>
      <c r="F116" s="1150"/>
      <c r="G116" s="1129" t="str">
        <f>'Key Inputs'!E$34&amp;" Dedicated"</f>
        <v>2021 Dedicated</v>
      </c>
      <c r="H116" s="1573">
        <f>+'Key Inputs'!E43</f>
        <v>0</v>
      </c>
      <c r="I116" s="1573"/>
      <c r="J116" s="1573"/>
      <c r="K116" s="1130"/>
      <c r="L116" s="1131" t="s">
        <v>435</v>
      </c>
      <c r="M116" s="1113"/>
      <c r="N116" s="1113"/>
      <c r="O116" s="1114"/>
      <c r="P116" s="1117"/>
      <c r="Q116" s="1078"/>
      <c r="R116" s="208"/>
      <c r="S116" s="208"/>
      <c r="T116" s="208"/>
    </row>
    <row r="117" spans="3:20" ht="15" customHeight="1" x14ac:dyDescent="0.2">
      <c r="C117" s="1082"/>
      <c r="D117" s="1554" t="s">
        <v>420</v>
      </c>
      <c r="E117" s="1555"/>
      <c r="F117" s="1555"/>
      <c r="G117" s="1555"/>
      <c r="H117" s="1556"/>
      <c r="I117" s="1556"/>
      <c r="J117" s="1556"/>
      <c r="K117" s="1557"/>
      <c r="L117" s="1558" t="s">
        <v>27</v>
      </c>
      <c r="M117" s="1559"/>
      <c r="N117" s="1559"/>
      <c r="O117" s="1560"/>
      <c r="P117" s="1117"/>
      <c r="Q117" s="1078"/>
      <c r="R117" s="208"/>
      <c r="S117" s="208"/>
      <c r="T117" s="208"/>
    </row>
    <row r="118" spans="3:20" x14ac:dyDescent="0.2">
      <c r="C118" s="1082"/>
      <c r="D118" s="1132"/>
      <c r="E118" s="1133"/>
      <c r="F118" s="1133"/>
      <c r="G118" s="1133"/>
      <c r="H118" s="1134"/>
      <c r="I118" s="1134"/>
      <c r="J118" s="1134"/>
      <c r="K118" s="1135"/>
      <c r="L118" s="1136" t="str">
        <f>L97</f>
        <v>Anticipated</v>
      </c>
      <c r="M118" s="1116"/>
      <c r="N118" s="1086">
        <f>N97</f>
        <v>0</v>
      </c>
      <c r="O118" s="1116"/>
      <c r="P118" s="1137"/>
      <c r="Q118" s="1078"/>
      <c r="R118" s="208"/>
      <c r="S118" s="208"/>
      <c r="T118" s="208"/>
    </row>
    <row r="119" spans="3:20" x14ac:dyDescent="0.2">
      <c r="C119" s="1082"/>
      <c r="D119" s="1112" t="s">
        <v>30</v>
      </c>
      <c r="E119" s="1113" t="s">
        <v>332</v>
      </c>
      <c r="F119" s="1113"/>
      <c r="G119" s="1113"/>
      <c r="H119" s="1113"/>
      <c r="I119" s="1113"/>
      <c r="J119" s="1113"/>
      <c r="K119" s="1114"/>
      <c r="L119" s="771"/>
      <c r="M119" s="1139"/>
      <c r="N119" s="771"/>
      <c r="O119" s="1114"/>
      <c r="P119" s="1117"/>
      <c r="Q119" s="1078"/>
      <c r="R119" s="208"/>
      <c r="S119" s="208"/>
      <c r="T119" s="208"/>
    </row>
    <row r="120" spans="3:20" x14ac:dyDescent="0.2">
      <c r="C120" s="1082"/>
      <c r="D120" s="1112" t="s">
        <v>32</v>
      </c>
      <c r="E120" s="1114" t="s">
        <v>436</v>
      </c>
      <c r="F120" s="1140"/>
      <c r="G120" s="1113"/>
      <c r="H120" s="1113"/>
      <c r="I120" s="1113"/>
      <c r="J120" s="1113"/>
      <c r="K120" s="1114"/>
      <c r="L120" s="771"/>
      <c r="M120" s="1139"/>
      <c r="N120" s="771"/>
      <c r="O120" s="1114"/>
      <c r="P120" s="1117"/>
      <c r="Q120" s="1078"/>
      <c r="R120" s="208"/>
      <c r="S120" s="208"/>
      <c r="T120" s="208"/>
    </row>
    <row r="121" spans="3:20" ht="13.5" thickBot="1" x14ac:dyDescent="0.25">
      <c r="C121" s="1082"/>
      <c r="D121" s="1112" t="s">
        <v>35</v>
      </c>
      <c r="E121" s="1114" t="s">
        <v>311</v>
      </c>
      <c r="F121" s="1140"/>
      <c r="G121" s="1113"/>
      <c r="H121" s="1113"/>
      <c r="I121" s="1113"/>
      <c r="J121" s="1113"/>
      <c r="K121" s="1114"/>
      <c r="L121" s="1141"/>
      <c r="M121" s="772"/>
      <c r="N121" s="1142"/>
      <c r="O121" s="1114"/>
      <c r="P121" s="1117"/>
      <c r="Q121" s="1078"/>
      <c r="R121" s="208"/>
      <c r="S121" s="208"/>
      <c r="T121" s="208"/>
    </row>
    <row r="122" spans="3:20" ht="14.25" thickTop="1" thickBot="1" x14ac:dyDescent="0.25">
      <c r="C122" s="1082"/>
      <c r="D122" s="1112"/>
      <c r="E122" s="1114" t="s">
        <v>437</v>
      </c>
      <c r="F122" s="1140"/>
      <c r="G122" s="1113"/>
      <c r="H122" s="1113"/>
      <c r="I122" s="1113"/>
      <c r="J122" s="1113"/>
      <c r="K122" s="1114"/>
      <c r="L122" s="1099">
        <f>SUM(L119:L121)</f>
        <v>0</v>
      </c>
      <c r="M122" s="772"/>
      <c r="N122" s="1099">
        <f>SUM(N119:N121)</f>
        <v>0</v>
      </c>
      <c r="O122" s="1114"/>
      <c r="P122" s="1117"/>
      <c r="Q122" s="1078"/>
      <c r="R122" s="208"/>
      <c r="S122" s="208"/>
      <c r="T122" s="208"/>
    </row>
    <row r="123" spans="3:20" ht="12.75" customHeight="1" thickTop="1" thickBot="1" x14ac:dyDescent="0.25">
      <c r="C123" s="1082"/>
      <c r="D123" s="1143"/>
      <c r="E123" s="1144"/>
      <c r="F123" s="1144"/>
      <c r="G123" s="1144"/>
      <c r="H123" s="1145"/>
      <c r="I123" s="1145"/>
      <c r="J123" s="1145"/>
      <c r="K123" s="1146"/>
      <c r="L123" s="1147"/>
      <c r="M123" s="1148"/>
      <c r="N123" s="1149"/>
      <c r="O123" s="1146"/>
      <c r="P123" s="1117"/>
      <c r="Q123" s="1078"/>
      <c r="R123" s="208"/>
      <c r="S123" s="208"/>
      <c r="T123" s="208"/>
    </row>
    <row r="124" spans="3:20" ht="15" customHeight="1" thickTop="1" x14ac:dyDescent="0.2">
      <c r="C124" s="1082"/>
      <c r="D124" s="1570" t="s">
        <v>428</v>
      </c>
      <c r="E124" s="1571"/>
      <c r="F124" s="1571"/>
      <c r="G124" s="1571"/>
      <c r="H124" s="1571"/>
      <c r="I124" s="1571"/>
      <c r="J124" s="1571"/>
      <c r="K124" s="1572"/>
      <c r="L124" s="1109" t="str">
        <f>L$10&amp;" Budget"</f>
        <v>2021 Budget</v>
      </c>
      <c r="M124" s="1134"/>
      <c r="N124" s="1109" t="str">
        <f>"Final "&amp;N$10&amp;" Budget"</f>
        <v>Final 2020 Budget</v>
      </c>
      <c r="O124" s="1135"/>
      <c r="P124" s="1137"/>
    </row>
    <row r="125" spans="3:20" ht="12.75" customHeight="1" x14ac:dyDescent="0.2">
      <c r="C125" s="1082"/>
      <c r="D125" s="1112" t="s">
        <v>30</v>
      </c>
      <c r="E125" s="1113" t="s">
        <v>438</v>
      </c>
      <c r="F125" s="1113"/>
      <c r="G125" s="1113" t="s">
        <v>205</v>
      </c>
      <c r="H125" s="1113"/>
      <c r="I125" s="1113"/>
      <c r="J125" s="1113"/>
      <c r="K125" s="1114"/>
      <c r="L125" s="771"/>
      <c r="M125" s="1139"/>
      <c r="N125" s="771"/>
      <c r="O125" s="1114"/>
      <c r="P125" s="1117"/>
    </row>
    <row r="126" spans="3:20" x14ac:dyDescent="0.2">
      <c r="C126" s="1082"/>
      <c r="D126" s="1112"/>
      <c r="E126" s="1113"/>
      <c r="F126" s="1113"/>
      <c r="G126" s="1113" t="s">
        <v>314</v>
      </c>
      <c r="H126" s="1113"/>
      <c r="I126" s="1113"/>
      <c r="J126" s="1113"/>
      <c r="K126" s="1114"/>
      <c r="L126" s="771"/>
      <c r="M126" s="1139"/>
      <c r="N126" s="771"/>
      <c r="O126" s="1114"/>
      <c r="P126" s="1119"/>
    </row>
    <row r="127" spans="3:20" x14ac:dyDescent="0.2">
      <c r="C127" s="1082"/>
      <c r="D127" s="1112" t="s">
        <v>32</v>
      </c>
      <c r="E127" s="1113" t="s">
        <v>316</v>
      </c>
      <c r="F127" s="1113"/>
      <c r="G127" s="1113"/>
      <c r="H127" s="1113"/>
      <c r="I127" s="1113"/>
      <c r="J127" s="1113"/>
      <c r="K127" s="1114"/>
      <c r="L127" s="771"/>
      <c r="M127" s="1139"/>
      <c r="N127" s="771"/>
      <c r="O127" s="1114"/>
      <c r="P127" s="1117"/>
    </row>
    <row r="128" spans="3:20" x14ac:dyDescent="0.2">
      <c r="C128" s="1082"/>
      <c r="D128" s="1112" t="s">
        <v>35</v>
      </c>
      <c r="E128" s="1113" t="s">
        <v>343</v>
      </c>
      <c r="F128" s="1113"/>
      <c r="G128" s="1113"/>
      <c r="H128" s="1113"/>
      <c r="I128" s="1113"/>
      <c r="J128" s="1113"/>
      <c r="K128" s="1114"/>
      <c r="L128" s="771"/>
      <c r="M128" s="1139"/>
      <c r="N128" s="771"/>
      <c r="O128" s="1114"/>
      <c r="P128" s="1117"/>
    </row>
    <row r="129" spans="3:16" x14ac:dyDescent="0.2">
      <c r="C129" s="1082"/>
      <c r="D129" s="1112" t="s">
        <v>174</v>
      </c>
      <c r="E129" s="1113" t="s">
        <v>430</v>
      </c>
      <c r="F129" s="1113"/>
      <c r="G129" s="1113"/>
      <c r="H129" s="1113"/>
      <c r="I129" s="1113"/>
      <c r="J129" s="1113"/>
      <c r="K129" s="1114"/>
      <c r="L129" s="771"/>
      <c r="M129" s="1139"/>
      <c r="N129" s="771"/>
      <c r="O129" s="1114"/>
      <c r="P129" s="1117"/>
    </row>
    <row r="130" spans="3:16" ht="13.5" thickBot="1" x14ac:dyDescent="0.25">
      <c r="C130" s="1082"/>
      <c r="D130" s="1112" t="s">
        <v>175</v>
      </c>
      <c r="E130" s="1113" t="s">
        <v>439</v>
      </c>
      <c r="F130" s="1113"/>
      <c r="G130" s="1113"/>
      <c r="H130" s="1113"/>
      <c r="I130" s="1113"/>
      <c r="J130" s="1113"/>
      <c r="K130" s="1114"/>
      <c r="L130" s="1151"/>
      <c r="M130" s="1139"/>
      <c r="N130" s="1151"/>
      <c r="O130" s="1114"/>
      <c r="P130" s="1117"/>
    </row>
    <row r="131" spans="3:16" ht="14.25" thickTop="1" thickBot="1" x14ac:dyDescent="0.25">
      <c r="C131" s="1082"/>
      <c r="D131" s="1112" t="s">
        <v>440</v>
      </c>
      <c r="E131" s="1121"/>
      <c r="F131" s="1113"/>
      <c r="G131" s="1113"/>
      <c r="H131" s="1113"/>
      <c r="I131" s="1113"/>
      <c r="J131" s="1113"/>
      <c r="K131" s="1114"/>
      <c r="L131" s="1099">
        <f>SUM(L125:L130)</f>
        <v>0</v>
      </c>
      <c r="M131" s="772"/>
      <c r="N131" s="1099">
        <f>SUM(N125:N130)</f>
        <v>0</v>
      </c>
      <c r="O131" s="1114"/>
      <c r="P131" s="1117"/>
    </row>
    <row r="132" spans="3:16" ht="13.5" thickTop="1" x14ac:dyDescent="0.2">
      <c r="C132" s="1082"/>
      <c r="D132" s="1112" t="s">
        <v>434</v>
      </c>
      <c r="E132" s="1121"/>
      <c r="F132" s="1121"/>
      <c r="G132" s="1121"/>
      <c r="H132" s="1113"/>
      <c r="I132" s="1113"/>
      <c r="J132" s="1113"/>
      <c r="K132" s="1114"/>
      <c r="L132" s="1152"/>
      <c r="M132" s="772"/>
      <c r="N132" s="1153"/>
      <c r="O132" s="1116"/>
      <c r="P132" s="1117"/>
    </row>
    <row r="133" spans="3:16" ht="3" customHeight="1" x14ac:dyDescent="0.2">
      <c r="C133" s="1084"/>
      <c r="D133" s="1134"/>
      <c r="E133" s="1134"/>
      <c r="F133" s="1134"/>
      <c r="G133" s="1134"/>
      <c r="H133" s="1134"/>
      <c r="I133" s="1134"/>
      <c r="J133" s="1134"/>
      <c r="K133" s="1134"/>
      <c r="L133" s="1134"/>
      <c r="M133" s="1134"/>
      <c r="N133" s="1134"/>
      <c r="O133" s="1134"/>
      <c r="P133" s="1135"/>
    </row>
    <row r="134" spans="3:16" x14ac:dyDescent="0.2">
      <c r="C134" s="1078"/>
      <c r="D134" s="1118"/>
      <c r="E134" s="1118"/>
      <c r="F134" s="1118"/>
      <c r="G134" s="1118"/>
      <c r="H134" s="1118"/>
      <c r="I134" s="1118"/>
      <c r="J134" s="1118"/>
      <c r="K134" s="1118"/>
      <c r="L134" s="1118"/>
      <c r="M134" s="1118"/>
      <c r="N134" s="1118"/>
      <c r="O134" s="1118"/>
      <c r="P134" s="1118"/>
    </row>
    <row r="135" spans="3:16" ht="3" customHeight="1" x14ac:dyDescent="0.2">
      <c r="C135" s="1079"/>
      <c r="D135" s="1125"/>
      <c r="E135" s="1125"/>
      <c r="F135" s="1125"/>
      <c r="G135" s="1125"/>
      <c r="H135" s="1126"/>
      <c r="I135" s="1126"/>
      <c r="J135" s="1126"/>
      <c r="K135" s="1126"/>
      <c r="L135" s="1126"/>
      <c r="M135" s="1126"/>
      <c r="N135" s="1126"/>
      <c r="O135" s="1126"/>
      <c r="P135" s="1081"/>
    </row>
    <row r="136" spans="3:16" ht="13.5" thickBot="1" x14ac:dyDescent="0.25">
      <c r="C136" s="1082"/>
      <c r="D136" s="1127"/>
      <c r="E136" s="1121"/>
      <c r="F136" s="1150"/>
      <c r="G136" s="1129" t="str">
        <f>'Key Inputs'!E$34&amp;" Dedicated"</f>
        <v>2021 Dedicated</v>
      </c>
      <c r="H136" s="1573">
        <f>+'Key Inputs'!E44</f>
        <v>0</v>
      </c>
      <c r="I136" s="1573"/>
      <c r="J136" s="1573"/>
      <c r="K136" s="1130"/>
      <c r="L136" s="1131" t="s">
        <v>435</v>
      </c>
      <c r="M136" s="1113"/>
      <c r="N136" s="1113"/>
      <c r="O136" s="1114"/>
      <c r="P136" s="1117"/>
    </row>
    <row r="137" spans="3:16" x14ac:dyDescent="0.2">
      <c r="C137" s="1082"/>
      <c r="D137" s="1554" t="s">
        <v>420</v>
      </c>
      <c r="E137" s="1555"/>
      <c r="F137" s="1555"/>
      <c r="G137" s="1555"/>
      <c r="H137" s="1556"/>
      <c r="I137" s="1556"/>
      <c r="J137" s="1556"/>
      <c r="K137" s="1557"/>
      <c r="L137" s="1558" t="s">
        <v>27</v>
      </c>
      <c r="M137" s="1559"/>
      <c r="N137" s="1559"/>
      <c r="O137" s="1560"/>
      <c r="P137" s="1117"/>
    </row>
    <row r="138" spans="3:16" x14ac:dyDescent="0.2">
      <c r="C138" s="1082"/>
      <c r="D138" s="1132"/>
      <c r="E138" s="1133"/>
      <c r="F138" s="1133"/>
      <c r="G138" s="1133"/>
      <c r="H138" s="1134"/>
      <c r="I138" s="1134"/>
      <c r="J138" s="1134"/>
      <c r="K138" s="1135"/>
      <c r="L138" s="1136" t="str">
        <f>L117</f>
        <v>Anticipated</v>
      </c>
      <c r="M138" s="1116"/>
      <c r="N138" s="1086">
        <f>N117</f>
        <v>0</v>
      </c>
      <c r="O138" s="1116"/>
      <c r="P138" s="1137"/>
    </row>
    <row r="139" spans="3:16" x14ac:dyDescent="0.2">
      <c r="C139" s="1082"/>
      <c r="D139" s="1112" t="s">
        <v>30</v>
      </c>
      <c r="E139" s="1113" t="s">
        <v>332</v>
      </c>
      <c r="F139" s="1113"/>
      <c r="G139" s="1113"/>
      <c r="H139" s="1113"/>
      <c r="I139" s="1113"/>
      <c r="J139" s="1113"/>
      <c r="K139" s="1114"/>
      <c r="L139" s="771"/>
      <c r="M139" s="1139"/>
      <c r="N139" s="771"/>
      <c r="O139" s="1114"/>
      <c r="P139" s="1117"/>
    </row>
    <row r="140" spans="3:16" x14ac:dyDescent="0.2">
      <c r="C140" s="1082"/>
      <c r="D140" s="1112" t="s">
        <v>32</v>
      </c>
      <c r="E140" s="1114" t="s">
        <v>436</v>
      </c>
      <c r="F140" s="1140"/>
      <c r="G140" s="1113"/>
      <c r="H140" s="1113"/>
      <c r="I140" s="1113"/>
      <c r="J140" s="1113"/>
      <c r="K140" s="1114"/>
      <c r="L140" s="771"/>
      <c r="M140" s="1139"/>
      <c r="N140" s="771"/>
      <c r="O140" s="1114"/>
      <c r="P140" s="1117"/>
    </row>
    <row r="141" spans="3:16" ht="13.5" thickBot="1" x14ac:dyDescent="0.25">
      <c r="C141" s="1082"/>
      <c r="D141" s="1112" t="s">
        <v>35</v>
      </c>
      <c r="E141" s="1114" t="s">
        <v>311</v>
      </c>
      <c r="F141" s="1140"/>
      <c r="G141" s="1113"/>
      <c r="H141" s="1113"/>
      <c r="I141" s="1113"/>
      <c r="J141" s="1113"/>
      <c r="K141" s="1114"/>
      <c r="L141" s="1141"/>
      <c r="M141" s="772"/>
      <c r="N141" s="1142"/>
      <c r="O141" s="1114"/>
      <c r="P141" s="1117"/>
    </row>
    <row r="142" spans="3:16" ht="14.25" thickTop="1" thickBot="1" x14ac:dyDescent="0.25">
      <c r="C142" s="1082"/>
      <c r="D142" s="1112"/>
      <c r="E142" s="1114" t="s">
        <v>437</v>
      </c>
      <c r="F142" s="1140"/>
      <c r="G142" s="1113"/>
      <c r="H142" s="1113"/>
      <c r="I142" s="1113"/>
      <c r="J142" s="1113"/>
      <c r="K142" s="1114"/>
      <c r="L142" s="1099">
        <f>SUM(L139:L141)</f>
        <v>0</v>
      </c>
      <c r="M142" s="772"/>
      <c r="N142" s="1099">
        <f>SUM(N139:N141)</f>
        <v>0</v>
      </c>
      <c r="O142" s="1114"/>
      <c r="P142" s="1117"/>
    </row>
    <row r="143" spans="3:16" ht="14.25" thickTop="1" thickBot="1" x14ac:dyDescent="0.25">
      <c r="C143" s="1082"/>
      <c r="D143" s="1143"/>
      <c r="E143" s="1144"/>
      <c r="F143" s="1144"/>
      <c r="G143" s="1144"/>
      <c r="H143" s="1145"/>
      <c r="I143" s="1145"/>
      <c r="J143" s="1145"/>
      <c r="K143" s="1146"/>
      <c r="L143" s="1147"/>
      <c r="M143" s="1148"/>
      <c r="N143" s="1149"/>
      <c r="O143" s="1146"/>
      <c r="P143" s="1117"/>
    </row>
    <row r="144" spans="3:16" ht="13.5" thickTop="1" x14ac:dyDescent="0.2">
      <c r="C144" s="1082"/>
      <c r="D144" s="1570" t="s">
        <v>428</v>
      </c>
      <c r="E144" s="1571"/>
      <c r="F144" s="1571"/>
      <c r="G144" s="1571"/>
      <c r="H144" s="1571"/>
      <c r="I144" s="1571"/>
      <c r="J144" s="1571"/>
      <c r="K144" s="1572"/>
      <c r="L144" s="1109" t="str">
        <f>L$10&amp;" Budget"</f>
        <v>2021 Budget</v>
      </c>
      <c r="M144" s="1134"/>
      <c r="N144" s="1109" t="str">
        <f>"Final "&amp;N$10&amp;" Budget"</f>
        <v>Final 2020 Budget</v>
      </c>
      <c r="O144" s="1135"/>
      <c r="P144" s="1137"/>
    </row>
    <row r="145" spans="3:16" x14ac:dyDescent="0.2">
      <c r="C145" s="1082"/>
      <c r="D145" s="1112" t="s">
        <v>30</v>
      </c>
      <c r="E145" s="1113" t="s">
        <v>438</v>
      </c>
      <c r="F145" s="1113"/>
      <c r="G145" s="1113" t="s">
        <v>205</v>
      </c>
      <c r="H145" s="1113"/>
      <c r="I145" s="1113"/>
      <c r="J145" s="1113"/>
      <c r="K145" s="1114"/>
      <c r="L145" s="771"/>
      <c r="M145" s="1139"/>
      <c r="N145" s="771"/>
      <c r="O145" s="1114"/>
      <c r="P145" s="1117"/>
    </row>
    <row r="146" spans="3:16" x14ac:dyDescent="0.2">
      <c r="C146" s="1082"/>
      <c r="D146" s="1112"/>
      <c r="E146" s="1113"/>
      <c r="F146" s="1113"/>
      <c r="G146" s="1113" t="s">
        <v>314</v>
      </c>
      <c r="H146" s="1113"/>
      <c r="I146" s="1113"/>
      <c r="J146" s="1113"/>
      <c r="K146" s="1114"/>
      <c r="L146" s="771"/>
      <c r="M146" s="1139"/>
      <c r="N146" s="771"/>
      <c r="O146" s="1114"/>
      <c r="P146" s="1119"/>
    </row>
    <row r="147" spans="3:16" x14ac:dyDescent="0.2">
      <c r="C147" s="1082"/>
      <c r="D147" s="1112" t="s">
        <v>32</v>
      </c>
      <c r="E147" s="1113" t="s">
        <v>316</v>
      </c>
      <c r="F147" s="1113"/>
      <c r="G147" s="1113"/>
      <c r="H147" s="1113"/>
      <c r="I147" s="1113"/>
      <c r="J147" s="1113"/>
      <c r="K147" s="1114"/>
      <c r="L147" s="771"/>
      <c r="M147" s="1139"/>
      <c r="N147" s="771"/>
      <c r="O147" s="1114"/>
      <c r="P147" s="1117"/>
    </row>
    <row r="148" spans="3:16" x14ac:dyDescent="0.2">
      <c r="C148" s="1082"/>
      <c r="D148" s="1112" t="s">
        <v>35</v>
      </c>
      <c r="E148" s="1113" t="s">
        <v>343</v>
      </c>
      <c r="F148" s="1113"/>
      <c r="G148" s="1113"/>
      <c r="H148" s="1113"/>
      <c r="I148" s="1113"/>
      <c r="J148" s="1113"/>
      <c r="K148" s="1114"/>
      <c r="L148" s="771"/>
      <c r="M148" s="1139"/>
      <c r="N148" s="771"/>
      <c r="O148" s="1114"/>
      <c r="P148" s="1117"/>
    </row>
    <row r="149" spans="3:16" x14ac:dyDescent="0.2">
      <c r="C149" s="1082"/>
      <c r="D149" s="1112" t="s">
        <v>174</v>
      </c>
      <c r="E149" s="1113" t="s">
        <v>430</v>
      </c>
      <c r="F149" s="1113"/>
      <c r="G149" s="1113"/>
      <c r="H149" s="1113"/>
      <c r="I149" s="1113"/>
      <c r="J149" s="1113"/>
      <c r="K149" s="1114"/>
      <c r="L149" s="771"/>
      <c r="M149" s="1139"/>
      <c r="N149" s="771"/>
      <c r="O149" s="1114"/>
      <c r="P149" s="1117"/>
    </row>
    <row r="150" spans="3:16" ht="13.5" thickBot="1" x14ac:dyDescent="0.25">
      <c r="C150" s="1082"/>
      <c r="D150" s="1112" t="s">
        <v>175</v>
      </c>
      <c r="E150" s="1113" t="s">
        <v>439</v>
      </c>
      <c r="F150" s="1113"/>
      <c r="G150" s="1113"/>
      <c r="H150" s="1113"/>
      <c r="I150" s="1113"/>
      <c r="J150" s="1113"/>
      <c r="K150" s="1114"/>
      <c r="L150" s="1151"/>
      <c r="M150" s="1139"/>
      <c r="N150" s="1151"/>
      <c r="O150" s="1114"/>
      <c r="P150" s="1117"/>
    </row>
    <row r="151" spans="3:16" ht="14.25" thickTop="1" thickBot="1" x14ac:dyDescent="0.25">
      <c r="C151" s="1082"/>
      <c r="D151" s="1112" t="s">
        <v>440</v>
      </c>
      <c r="E151" s="1121"/>
      <c r="F151" s="1113"/>
      <c r="G151" s="1113"/>
      <c r="H151" s="1113"/>
      <c r="I151" s="1113"/>
      <c r="J151" s="1113"/>
      <c r="K151" s="1114"/>
      <c r="L151" s="1099">
        <f>SUM(L145:L150)</f>
        <v>0</v>
      </c>
      <c r="M151" s="772"/>
      <c r="N151" s="1099">
        <f>SUM(N145:N150)</f>
        <v>0</v>
      </c>
      <c r="O151" s="1114"/>
      <c r="P151" s="1117"/>
    </row>
    <row r="152" spans="3:16" ht="13.5" thickTop="1" x14ac:dyDescent="0.2">
      <c r="C152" s="1082"/>
      <c r="D152" s="1112" t="s">
        <v>434</v>
      </c>
      <c r="E152" s="1121"/>
      <c r="F152" s="1121"/>
      <c r="G152" s="1121"/>
      <c r="H152" s="1113"/>
      <c r="I152" s="1113"/>
      <c r="J152" s="1113"/>
      <c r="K152" s="1114"/>
      <c r="L152" s="1152"/>
      <c r="M152" s="772"/>
      <c r="N152" s="1153"/>
      <c r="O152" s="1116"/>
      <c r="P152" s="1117"/>
    </row>
    <row r="153" spans="3:16" ht="3" customHeight="1" x14ac:dyDescent="0.2">
      <c r="C153" s="1084"/>
      <c r="D153" s="1134"/>
      <c r="E153" s="1134"/>
      <c r="F153" s="1134"/>
      <c r="G153" s="1134"/>
      <c r="H153" s="1134"/>
      <c r="I153" s="1134"/>
      <c r="J153" s="1134"/>
      <c r="K153" s="1134"/>
      <c r="L153" s="1134"/>
      <c r="M153" s="1134"/>
      <c r="N153" s="1134"/>
      <c r="O153" s="1134"/>
      <c r="P153" s="1135"/>
    </row>
    <row r="154" spans="3:16" x14ac:dyDescent="0.2">
      <c r="C154" s="1078"/>
      <c r="D154" s="1118"/>
      <c r="E154" s="1118"/>
      <c r="F154" s="1118"/>
      <c r="G154" s="1118"/>
      <c r="H154" s="1118"/>
      <c r="I154" s="1118"/>
      <c r="J154" s="1118"/>
      <c r="K154" s="1118"/>
      <c r="L154" s="1118"/>
      <c r="M154" s="1118"/>
      <c r="N154" s="1118"/>
      <c r="O154" s="1118"/>
      <c r="P154" s="1118"/>
    </row>
    <row r="155" spans="3:16" ht="3" customHeight="1" x14ac:dyDescent="0.2">
      <c r="C155" s="1079"/>
      <c r="D155" s="1113"/>
      <c r="E155" s="1113"/>
      <c r="F155" s="1113"/>
      <c r="G155" s="1113"/>
      <c r="H155" s="1113"/>
      <c r="I155" s="1113"/>
      <c r="J155" s="1113"/>
      <c r="K155" s="1113"/>
      <c r="L155" s="1113"/>
      <c r="M155" s="1113"/>
      <c r="N155" s="1113"/>
      <c r="O155" s="1113"/>
      <c r="P155" s="1156"/>
    </row>
    <row r="156" spans="3:16" ht="12.75" customHeight="1" x14ac:dyDescent="0.2">
      <c r="C156" s="1082"/>
      <c r="D156" s="1578" t="s">
        <v>441</v>
      </c>
      <c r="E156" s="1579"/>
      <c r="F156" s="1579"/>
      <c r="G156" s="1579"/>
      <c r="H156" s="1579"/>
      <c r="I156" s="1579"/>
      <c r="J156" s="1579"/>
      <c r="K156" s="1579"/>
      <c r="L156" s="1579"/>
      <c r="M156" s="1579"/>
      <c r="N156" s="1579"/>
      <c r="O156" s="1580"/>
      <c r="P156" s="1157"/>
    </row>
    <row r="157" spans="3:16" x14ac:dyDescent="0.2">
      <c r="C157" s="1082"/>
      <c r="D157" s="1158"/>
      <c r="E157" s="1080"/>
      <c r="F157" s="1080"/>
      <c r="G157" s="1088"/>
      <c r="H157" s="766" t="s">
        <v>442</v>
      </c>
      <c r="I157" s="774"/>
      <c r="J157" s="774"/>
      <c r="K157" s="775"/>
      <c r="L157" s="766">
        <f>+'Key Inputs'!E39</f>
        <v>0</v>
      </c>
      <c r="M157" s="767"/>
      <c r="N157" s="768">
        <f>+'Key Inputs'!E40</f>
        <v>0</v>
      </c>
      <c r="O157" s="1159" t="s">
        <v>421</v>
      </c>
      <c r="P157" s="1160"/>
    </row>
    <row r="158" spans="3:16" x14ac:dyDescent="0.2">
      <c r="C158" s="1082"/>
      <c r="D158" s="1161" t="s">
        <v>443</v>
      </c>
      <c r="E158" s="1092"/>
      <c r="F158" s="1092"/>
      <c r="G158" s="1088"/>
      <c r="H158" s="1115"/>
      <c r="I158" s="1162"/>
      <c r="J158" s="1162"/>
      <c r="K158" s="772"/>
      <c r="L158" s="1115"/>
      <c r="M158" s="770"/>
      <c r="N158" s="1151"/>
      <c r="O158" s="1088"/>
      <c r="P158" s="1083"/>
    </row>
    <row r="159" spans="3:16" ht="13.5" thickBot="1" x14ac:dyDescent="0.25">
      <c r="C159" s="1082"/>
      <c r="D159" s="1161" t="s">
        <v>444</v>
      </c>
      <c r="E159" s="1092"/>
      <c r="F159" s="1092"/>
      <c r="G159" s="1088"/>
      <c r="H159" s="1163"/>
      <c r="I159" s="1162"/>
      <c r="J159" s="1162"/>
      <c r="K159" s="772"/>
      <c r="L159" s="1163"/>
      <c r="M159" s="770"/>
      <c r="N159" s="1163"/>
      <c r="O159" s="1088"/>
      <c r="P159" s="1083"/>
    </row>
    <row r="160" spans="3:16" ht="13.5" thickTop="1" x14ac:dyDescent="0.2">
      <c r="C160" s="1082"/>
      <c r="D160" s="1161" t="s">
        <v>445</v>
      </c>
      <c r="E160" s="1092"/>
      <c r="F160" s="1092"/>
      <c r="G160" s="1088"/>
      <c r="H160" s="769">
        <f>SUM(H158:H159)</f>
        <v>0</v>
      </c>
      <c r="I160" s="1162"/>
      <c r="J160" s="1162"/>
      <c r="K160" s="772"/>
      <c r="L160" s="769">
        <f>SUM(L158:L159)</f>
        <v>0</v>
      </c>
      <c r="M160" s="770"/>
      <c r="N160" s="769">
        <f>SUM(N158:N159)</f>
        <v>0</v>
      </c>
      <c r="O160" s="1088"/>
      <c r="P160" s="1083"/>
    </row>
    <row r="161" spans="3:16" ht="3" customHeight="1" x14ac:dyDescent="0.2">
      <c r="C161" s="1084"/>
      <c r="D161" s="774"/>
      <c r="E161" s="774"/>
      <c r="F161" s="774"/>
      <c r="G161" s="774"/>
      <c r="H161" s="774"/>
      <c r="I161" s="774"/>
      <c r="J161" s="774"/>
      <c r="K161" s="774"/>
      <c r="L161" s="774"/>
      <c r="M161" s="774"/>
      <c r="N161" s="774"/>
      <c r="O161" s="774"/>
      <c r="P161" s="1085"/>
    </row>
    <row r="162" spans="3:16" x14ac:dyDescent="0.2">
      <c r="P162" s="1078"/>
    </row>
    <row r="163" spans="3:16" ht="3" customHeight="1" x14ac:dyDescent="0.2">
      <c r="C163" s="1079"/>
      <c r="D163" s="1126"/>
      <c r="E163" s="1126"/>
      <c r="F163" s="1126"/>
      <c r="G163" s="1126"/>
      <c r="H163" s="1126"/>
      <c r="I163" s="1126"/>
      <c r="J163" s="1126"/>
      <c r="K163" s="1126"/>
      <c r="L163" s="1126"/>
      <c r="M163" s="1126"/>
      <c r="N163" s="1126"/>
      <c r="O163" s="1126"/>
      <c r="P163" s="1081"/>
    </row>
    <row r="164" spans="3:16" x14ac:dyDescent="0.2">
      <c r="C164" s="1082"/>
      <c r="D164" s="1558" t="s">
        <v>441</v>
      </c>
      <c r="E164" s="1559"/>
      <c r="F164" s="1559"/>
      <c r="G164" s="1559"/>
      <c r="H164" s="1559"/>
      <c r="I164" s="1559"/>
      <c r="J164" s="1559"/>
      <c r="K164" s="1559"/>
      <c r="L164" s="1559"/>
      <c r="M164" s="1559"/>
      <c r="N164" s="1559"/>
      <c r="O164" s="1560"/>
      <c r="P164" s="1157"/>
    </row>
    <row r="165" spans="3:16" x14ac:dyDescent="0.2">
      <c r="C165" s="1082"/>
      <c r="D165" s="1158"/>
      <c r="E165" s="1080"/>
      <c r="F165" s="1080"/>
      <c r="G165" s="1088"/>
      <c r="H165" s="766">
        <f>+'Key Inputs'!E41</f>
        <v>0</v>
      </c>
      <c r="I165" s="774"/>
      <c r="J165" s="774"/>
      <c r="K165" s="775"/>
      <c r="L165" s="766">
        <f>+'Key Inputs'!E42</f>
        <v>0</v>
      </c>
      <c r="M165" s="767"/>
      <c r="N165" s="768">
        <f>+'Key Inputs'!E43</f>
        <v>0</v>
      </c>
      <c r="O165" s="1159"/>
      <c r="P165" s="1157"/>
    </row>
    <row r="166" spans="3:16" x14ac:dyDescent="0.2">
      <c r="C166" s="1082"/>
      <c r="D166" s="1161" t="s">
        <v>3466</v>
      </c>
      <c r="E166" s="1092"/>
      <c r="F166" s="1092"/>
      <c r="G166" s="1088"/>
      <c r="H166" s="1115"/>
      <c r="I166" s="1162"/>
      <c r="J166" s="1162"/>
      <c r="K166" s="772"/>
      <c r="L166" s="1115"/>
      <c r="M166" s="770"/>
      <c r="N166" s="1151"/>
      <c r="O166" s="1088"/>
      <c r="P166" s="1157"/>
    </row>
    <row r="167" spans="3:16" ht="13.5" thickBot="1" x14ac:dyDescent="0.25">
      <c r="C167" s="1082"/>
      <c r="D167" s="1161" t="s">
        <v>444</v>
      </c>
      <c r="E167" s="1092"/>
      <c r="F167" s="1092"/>
      <c r="G167" s="1088"/>
      <c r="H167" s="1163"/>
      <c r="I167" s="1162"/>
      <c r="J167" s="1162"/>
      <c r="K167" s="772"/>
      <c r="L167" s="1163"/>
      <c r="M167" s="770"/>
      <c r="N167" s="1163"/>
      <c r="O167" s="1088"/>
      <c r="P167" s="1157"/>
    </row>
    <row r="168" spans="3:16" ht="13.5" thickTop="1" x14ac:dyDescent="0.2">
      <c r="C168" s="1082"/>
      <c r="D168" s="1161" t="s">
        <v>445</v>
      </c>
      <c r="E168" s="1092"/>
      <c r="F168" s="1092"/>
      <c r="G168" s="1088"/>
      <c r="H168" s="769">
        <f>SUM(H166:H167)</f>
        <v>0</v>
      </c>
      <c r="I168" s="1162"/>
      <c r="J168" s="1162"/>
      <c r="K168" s="772"/>
      <c r="L168" s="769">
        <f>SUM(L166:L167)</f>
        <v>0</v>
      </c>
      <c r="M168" s="770"/>
      <c r="N168" s="769">
        <f>SUM(N166:N167)</f>
        <v>0</v>
      </c>
      <c r="O168" s="1088"/>
      <c r="P168" s="1157"/>
    </row>
    <row r="169" spans="3:16" ht="3" customHeight="1" x14ac:dyDescent="0.2">
      <c r="C169" s="1084"/>
      <c r="D169" s="1101"/>
      <c r="E169" s="1101"/>
      <c r="F169" s="1101"/>
      <c r="G169" s="774"/>
      <c r="H169" s="1164"/>
      <c r="I169" s="1162"/>
      <c r="J169" s="1162"/>
      <c r="K169" s="1162"/>
      <c r="L169" s="1164"/>
      <c r="M169" s="1162"/>
      <c r="N169" s="1164"/>
      <c r="O169" s="774"/>
      <c r="P169" s="1085"/>
    </row>
    <row r="170" spans="3:16" x14ac:dyDescent="0.2">
      <c r="H170" s="1165"/>
    </row>
    <row r="171" spans="3:16" ht="3" customHeight="1" x14ac:dyDescent="0.2">
      <c r="C171" s="1079"/>
      <c r="D171" s="1126"/>
      <c r="E171" s="1126"/>
      <c r="F171" s="1126"/>
      <c r="G171" s="1126"/>
      <c r="H171" s="1126"/>
      <c r="I171" s="1126"/>
      <c r="J171" s="1126"/>
      <c r="K171" s="1126"/>
      <c r="L171" s="1126"/>
      <c r="M171" s="1126"/>
      <c r="N171" s="1126"/>
      <c r="O171" s="1126"/>
      <c r="P171" s="1081"/>
    </row>
    <row r="172" spans="3:16" x14ac:dyDescent="0.2">
      <c r="C172" s="1082"/>
      <c r="D172" s="1558" t="s">
        <v>441</v>
      </c>
      <c r="E172" s="1559"/>
      <c r="F172" s="1559"/>
      <c r="G172" s="1559"/>
      <c r="H172" s="1559"/>
      <c r="I172" s="1559"/>
      <c r="J172" s="1559"/>
      <c r="K172" s="1559"/>
      <c r="L172" s="1559"/>
      <c r="M172" s="1559"/>
      <c r="N172" s="1559"/>
      <c r="O172" s="1560"/>
      <c r="P172" s="1157"/>
    </row>
    <row r="173" spans="3:16" x14ac:dyDescent="0.2">
      <c r="C173" s="1082"/>
      <c r="D173" s="1158"/>
      <c r="E173" s="1080"/>
      <c r="F173" s="1080"/>
      <c r="G173" s="1088"/>
      <c r="H173" s="766">
        <f>+'Key Inputs'!E44</f>
        <v>0</v>
      </c>
      <c r="I173" s="774"/>
      <c r="J173" s="774"/>
      <c r="K173" s="775"/>
      <c r="L173" s="766"/>
      <c r="M173" s="767"/>
      <c r="N173" s="768"/>
      <c r="O173" s="1159"/>
      <c r="P173" s="1157"/>
    </row>
    <row r="174" spans="3:16" x14ac:dyDescent="0.2">
      <c r="C174" s="1082"/>
      <c r="D174" s="1161" t="s">
        <v>3466</v>
      </c>
      <c r="E174" s="1092"/>
      <c r="F174" s="1092"/>
      <c r="G174" s="1088"/>
      <c r="H174" s="1115"/>
      <c r="I174" s="1162"/>
      <c r="J174" s="1162"/>
      <c r="K174" s="772"/>
      <c r="L174" s="769"/>
      <c r="M174" s="770"/>
      <c r="N174" s="771"/>
      <c r="O174" s="1088"/>
      <c r="P174" s="1157"/>
    </row>
    <row r="175" spans="3:16" ht="13.5" thickBot="1" x14ac:dyDescent="0.25">
      <c r="C175" s="1082"/>
      <c r="D175" s="1161" t="s">
        <v>444</v>
      </c>
      <c r="E175" s="1092"/>
      <c r="F175" s="1092"/>
      <c r="G175" s="1088"/>
      <c r="H175" s="1163"/>
      <c r="I175" s="1162"/>
      <c r="J175" s="1162"/>
      <c r="K175" s="772"/>
      <c r="L175" s="769"/>
      <c r="M175" s="770"/>
      <c r="N175" s="769"/>
      <c r="O175" s="1088"/>
      <c r="P175" s="1157"/>
    </row>
    <row r="176" spans="3:16" ht="13.5" thickTop="1" x14ac:dyDescent="0.2">
      <c r="C176" s="1082"/>
      <c r="D176" s="1161" t="s">
        <v>445</v>
      </c>
      <c r="E176" s="1092"/>
      <c r="F176" s="1092"/>
      <c r="G176" s="1088"/>
      <c r="H176" s="769">
        <f>SUM(H174:H175)</f>
        <v>0</v>
      </c>
      <c r="I176" s="1162"/>
      <c r="J176" s="1162"/>
      <c r="K176" s="772"/>
      <c r="L176" s="1166"/>
      <c r="M176" s="1167"/>
      <c r="N176" s="1166"/>
      <c r="O176" s="1088"/>
      <c r="P176" s="1157"/>
    </row>
    <row r="177" spans="3:16" ht="3" customHeight="1" x14ac:dyDescent="0.2">
      <c r="C177" s="1084"/>
      <c r="D177" s="1101"/>
      <c r="E177" s="1101"/>
      <c r="F177" s="1101"/>
      <c r="G177" s="774"/>
      <c r="H177" s="1164"/>
      <c r="I177" s="1162"/>
      <c r="J177" s="1162"/>
      <c r="K177" s="1162"/>
      <c r="L177" s="1164"/>
      <c r="M177" s="1162"/>
      <c r="N177" s="1164"/>
      <c r="O177" s="774"/>
      <c r="P177" s="1085"/>
    </row>
    <row r="178" spans="3:16" x14ac:dyDescent="0.2">
      <c r="H178" s="1165"/>
    </row>
    <row r="179" spans="3:16" x14ac:dyDescent="0.2">
      <c r="D179" s="1168" t="s">
        <v>446</v>
      </c>
      <c r="M179" s="1581" t="s">
        <v>6364</v>
      </c>
      <c r="N179" s="1581"/>
      <c r="O179" s="1581"/>
      <c r="P179" s="1581"/>
    </row>
    <row r="180" spans="3:16" x14ac:dyDescent="0.2">
      <c r="D180" s="1078" t="s">
        <v>416</v>
      </c>
      <c r="E180" s="1078"/>
      <c r="F180" s="1581" t="str">
        <f>+'Key Inputs'!E8</f>
        <v>TOWNSHIP</v>
      </c>
      <c r="G180" s="1581"/>
      <c r="H180" s="1581"/>
      <c r="I180" s="1569" t="s">
        <v>417</v>
      </c>
      <c r="J180" s="1569"/>
      <c r="K180" s="1569"/>
      <c r="L180" s="1581" t="str">
        <f>+'Key Inputs'!E7</f>
        <v>GREENWICH</v>
      </c>
      <c r="M180" s="1581"/>
      <c r="N180" s="1078" t="s">
        <v>447</v>
      </c>
    </row>
    <row r="181" spans="3:16" x14ac:dyDescent="0.2">
      <c r="D181" s="1566" t="str">
        <f>+'Key Inputs'!E6</f>
        <v>CUMBERLAND</v>
      </c>
      <c r="E181" s="1566"/>
      <c r="F181" s="1566"/>
      <c r="G181" s="1078" t="s">
        <v>448</v>
      </c>
      <c r="H181" s="1567" t="s">
        <v>6361</v>
      </c>
      <c r="I181" s="1568"/>
      <c r="J181" s="1568"/>
      <c r="K181" s="774"/>
      <c r="L181" s="1169" t="str">
        <f>", "&amp;'Key Inputs'!E34&amp;"."</f>
        <v>, 2021.</v>
      </c>
      <c r="M181" s="1078"/>
      <c r="N181" s="1078"/>
      <c r="O181" s="1078"/>
      <c r="P181" s="1078"/>
    </row>
    <row r="182" spans="3:16" x14ac:dyDescent="0.2">
      <c r="D182" s="1078"/>
      <c r="E182" s="1078"/>
      <c r="F182" s="1078"/>
      <c r="G182" s="1078"/>
    </row>
    <row r="183" spans="3:16" x14ac:dyDescent="0.2">
      <c r="D183" s="1078"/>
      <c r="E183" s="1078"/>
      <c r="F183" s="1078"/>
      <c r="G183" s="1078"/>
    </row>
    <row r="184" spans="3:16" x14ac:dyDescent="0.2">
      <c r="D184" s="1067" t="s">
        <v>449</v>
      </c>
      <c r="K184" s="1574" t="s">
        <v>6365</v>
      </c>
      <c r="L184" s="1575"/>
      <c r="M184" s="1575"/>
      <c r="N184" s="1575"/>
      <c r="O184" s="1170" t="s">
        <v>450</v>
      </c>
    </row>
    <row r="185" spans="3:16" x14ac:dyDescent="0.2">
      <c r="D185" s="1567" t="s">
        <v>6360</v>
      </c>
      <c r="E185" s="1576"/>
      <c r="F185" s="1576"/>
      <c r="G185" s="1576"/>
      <c r="H185" s="1171" t="str">
        <f>", "&amp;'Key Inputs'!E34&amp;" at"</f>
        <v>, 2021 at</v>
      </c>
      <c r="I185" s="1577">
        <v>0.29166666666666669</v>
      </c>
      <c r="J185" s="1575"/>
      <c r="K185" s="1575"/>
      <c r="L185" s="1169" t="s">
        <v>451</v>
      </c>
    </row>
    <row r="186" spans="3:16" x14ac:dyDescent="0.2">
      <c r="D186" s="1172" t="str">
        <f>"objections to the Budget and Tax Resolution for the year "&amp;'Key Inputs'!E34&amp;" may be presented by taxpayers or"</f>
        <v>objections to the Budget and Tax Resolution for the year 2021 may be presented by taxpayers or</v>
      </c>
    </row>
    <row r="187" spans="3:16" x14ac:dyDescent="0.2">
      <c r="D187" s="1067" t="s">
        <v>452</v>
      </c>
    </row>
    <row r="189" spans="3:16" x14ac:dyDescent="0.2">
      <c r="E189" s="1067" t="s">
        <v>6366</v>
      </c>
      <c r="I189" s="1563" t="s">
        <v>6367</v>
      </c>
      <c r="J189" s="1564"/>
      <c r="K189" s="1564"/>
      <c r="L189" s="1564"/>
      <c r="M189" s="1564"/>
      <c r="N189" s="1564"/>
    </row>
    <row r="190" spans="3:16" x14ac:dyDescent="0.2">
      <c r="D190" s="1078"/>
      <c r="E190" s="1078"/>
      <c r="F190" s="1078"/>
      <c r="G190" s="1563"/>
      <c r="H190" s="1564"/>
      <c r="I190" s="1564"/>
      <c r="J190" s="1564"/>
      <c r="K190" s="1564"/>
      <c r="L190" s="1564"/>
      <c r="M190" s="1564"/>
      <c r="N190" s="1078"/>
    </row>
    <row r="191" spans="3:16" x14ac:dyDescent="0.2">
      <c r="D191" s="1563"/>
      <c r="E191" s="1564"/>
      <c r="F191" s="1564"/>
      <c r="G191" s="1564"/>
      <c r="H191" s="1155"/>
      <c r="I191" s="1533"/>
      <c r="J191" s="1565"/>
      <c r="K191" s="1565"/>
      <c r="L191" s="1565"/>
      <c r="M191" s="1155"/>
      <c r="N191" s="1534"/>
    </row>
    <row r="192" spans="3:16" x14ac:dyDescent="0.2">
      <c r="D192" s="1078"/>
      <c r="E192" s="1078"/>
      <c r="F192" s="1078"/>
      <c r="G192" s="1078"/>
      <c r="H192" s="1078"/>
      <c r="I192" s="1078"/>
      <c r="J192" s="1078"/>
      <c r="K192" s="1078"/>
      <c r="L192" s="1078"/>
      <c r="M192" s="1078"/>
      <c r="N192" s="1078"/>
    </row>
    <row r="193" spans="4:14" x14ac:dyDescent="0.2">
      <c r="D193" s="1078"/>
      <c r="E193" s="1078"/>
      <c r="F193" s="1078"/>
      <c r="G193" s="1078"/>
      <c r="H193" s="1078"/>
      <c r="I193" s="1078"/>
      <c r="J193" s="1078"/>
      <c r="K193" s="1078"/>
      <c r="L193" s="1078"/>
      <c r="M193" s="1078"/>
      <c r="N193" s="1078"/>
    </row>
  </sheetData>
  <mergeCells count="48">
    <mergeCell ref="D137:K137"/>
    <mergeCell ref="G190:M190"/>
    <mergeCell ref="D156:O156"/>
    <mergeCell ref="M179:P179"/>
    <mergeCell ref="F180:H180"/>
    <mergeCell ref="L180:M180"/>
    <mergeCell ref="D172:O172"/>
    <mergeCell ref="H55:J55"/>
    <mergeCell ref="D56:K56"/>
    <mergeCell ref="L56:O56"/>
    <mergeCell ref="K184:N184"/>
    <mergeCell ref="D185:G185"/>
    <mergeCell ref="I185:K185"/>
    <mergeCell ref="L137:O137"/>
    <mergeCell ref="D144:K144"/>
    <mergeCell ref="H96:J96"/>
    <mergeCell ref="D97:K97"/>
    <mergeCell ref="L97:O97"/>
    <mergeCell ref="D104:K104"/>
    <mergeCell ref="H116:J116"/>
    <mergeCell ref="L117:O117"/>
    <mergeCell ref="D124:K124"/>
    <mergeCell ref="H136:J136"/>
    <mergeCell ref="D191:G191"/>
    <mergeCell ref="J191:L191"/>
    <mergeCell ref="D6:O6"/>
    <mergeCell ref="D181:F181"/>
    <mergeCell ref="H181:J181"/>
    <mergeCell ref="I189:N189"/>
    <mergeCell ref="I180:K180"/>
    <mergeCell ref="D63:K63"/>
    <mergeCell ref="H76:J76"/>
    <mergeCell ref="D77:K77"/>
    <mergeCell ref="D164:O164"/>
    <mergeCell ref="D117:K117"/>
    <mergeCell ref="H34:J34"/>
    <mergeCell ref="L77:O77"/>
    <mergeCell ref="D84:K84"/>
    <mergeCell ref="D42:K42"/>
    <mergeCell ref="D1:O1"/>
    <mergeCell ref="D9:K9"/>
    <mergeCell ref="D22:K22"/>
    <mergeCell ref="D35:K35"/>
    <mergeCell ref="L35:O35"/>
    <mergeCell ref="L9:O9"/>
    <mergeCell ref="F3:H3"/>
    <mergeCell ref="E4:F4"/>
    <mergeCell ref="I3:J3"/>
  </mergeCells>
  <phoneticPr fontId="0" type="noConversion"/>
  <pageMargins left="0.25" right="0.3" top="0.25" bottom="0.75" header="0.25" footer="0.25"/>
  <pageSetup paperSize="5" orientation="portrait" r:id="rId1"/>
  <headerFooter alignWithMargins="0"/>
  <rowBreaks count="1" manualBreakCount="1">
    <brk id="72" max="15"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98"/>
  <dimension ref="B2:W68"/>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6" max="16" width="11.28515625" bestFit="1" customWidth="1"/>
    <col min="17" max="17" width="15.7109375" customWidth="1"/>
    <col min="18" max="18" width="20.7109375" customWidth="1"/>
    <col min="19" max="21" width="12.85546875" bestFit="1"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C3" s="222"/>
      <c r="D3" s="222"/>
      <c r="E3" s="222"/>
      <c r="F3" s="222"/>
      <c r="G3" s="6"/>
      <c r="H3" s="296"/>
      <c r="I3" s="237"/>
      <c r="J3" s="1707" t="s">
        <v>23</v>
      </c>
      <c r="K3" s="1707"/>
      <c r="L3" s="1707"/>
      <c r="M3" s="1708"/>
      <c r="N3" s="1705" t="str">
        <f>"Expended "&amp;'Key Inputs'!E34-1</f>
        <v>Expended 2020</v>
      </c>
      <c r="O3" s="1706"/>
    </row>
    <row r="4" spans="2:17" ht="15" customHeight="1" thickTop="1" x14ac:dyDescent="0.25">
      <c r="C4" s="63"/>
      <c r="D4" s="63"/>
      <c r="E4" s="63"/>
      <c r="F4" s="63"/>
      <c r="G4" s="7"/>
      <c r="H4" s="676" t="s">
        <v>605</v>
      </c>
      <c r="I4" s="673"/>
      <c r="J4" s="24"/>
      <c r="K4" s="25"/>
      <c r="L4" s="24" t="str">
        <f>"for "&amp;'Key Inputs'!E34-1&amp;"  By"</f>
        <v>for 2020  By</v>
      </c>
      <c r="M4" s="25" t="str">
        <f>"Total for "&amp;'Key Inputs'!E34-1</f>
        <v>Total for 2020</v>
      </c>
      <c r="N4" s="25"/>
      <c r="O4" s="81"/>
    </row>
    <row r="5" spans="2:17" ht="15" x14ac:dyDescent="0.25">
      <c r="C5" s="133"/>
      <c r="D5" s="63"/>
      <c r="E5" s="63"/>
      <c r="F5" s="63"/>
      <c r="G5" s="7"/>
      <c r="H5" s="693"/>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694"/>
      <c r="I6" s="675"/>
      <c r="J6" s="27"/>
      <c r="K6" s="28"/>
      <c r="L6" s="27" t="s">
        <v>18</v>
      </c>
      <c r="M6" s="28" t="s">
        <v>25</v>
      </c>
      <c r="N6" s="28" t="s">
        <v>21</v>
      </c>
      <c r="O6" s="83"/>
    </row>
    <row r="7" spans="2:17" ht="23.25" customHeight="1" thickTop="1" x14ac:dyDescent="0.2">
      <c r="C7" s="1738" t="s">
        <v>271</v>
      </c>
      <c r="D7" s="1739"/>
      <c r="E7" s="1739"/>
      <c r="F7" s="1739"/>
      <c r="G7" s="658"/>
      <c r="H7" s="1717" t="s">
        <v>200</v>
      </c>
      <c r="I7" s="1718"/>
      <c r="J7" s="94" t="s">
        <v>201</v>
      </c>
      <c r="K7" s="95" t="s">
        <v>201</v>
      </c>
      <c r="L7" s="94" t="s">
        <v>201</v>
      </c>
      <c r="M7" s="95" t="s">
        <v>201</v>
      </c>
      <c r="N7" s="95" t="s">
        <v>201</v>
      </c>
      <c r="O7" s="96" t="s">
        <v>201</v>
      </c>
    </row>
    <row r="8" spans="2:17" ht="21.95" customHeight="1" x14ac:dyDescent="0.2">
      <c r="C8" s="92" t="s">
        <v>276</v>
      </c>
      <c r="D8" s="92" t="s">
        <v>275</v>
      </c>
      <c r="E8" s="87"/>
      <c r="F8" s="87"/>
      <c r="G8" s="88"/>
      <c r="H8" s="1721" t="s">
        <v>200</v>
      </c>
      <c r="I8" s="1722"/>
      <c r="J8" s="97" t="s">
        <v>201</v>
      </c>
      <c r="K8" s="98" t="s">
        <v>201</v>
      </c>
      <c r="L8" s="97" t="s">
        <v>201</v>
      </c>
      <c r="M8" s="98" t="s">
        <v>201</v>
      </c>
      <c r="N8" s="98" t="s">
        <v>201</v>
      </c>
      <c r="O8" s="99" t="s">
        <v>201</v>
      </c>
    </row>
    <row r="9" spans="2:17" ht="21.95" customHeight="1" x14ac:dyDescent="0.2">
      <c r="C9" s="16"/>
      <c r="D9" s="16"/>
      <c r="E9" s="16" t="s">
        <v>254</v>
      </c>
      <c r="F9" s="16"/>
      <c r="G9" s="17"/>
      <c r="H9" s="626" t="s">
        <v>552</v>
      </c>
      <c r="I9" s="678"/>
      <c r="J9" s="742"/>
      <c r="K9" s="743"/>
      <c r="L9" s="742"/>
      <c r="M9" s="743">
        <f t="shared" ref="M9:M14" si="0">+K9</f>
        <v>0</v>
      </c>
      <c r="N9" s="743"/>
      <c r="O9" s="99" t="s">
        <v>201</v>
      </c>
      <c r="Q9" s="670">
        <f>M9-N9</f>
        <v>0</v>
      </c>
    </row>
    <row r="10" spans="2:17" ht="21.95" customHeight="1" x14ac:dyDescent="0.2">
      <c r="C10" s="16"/>
      <c r="D10" s="16"/>
      <c r="E10" s="16" t="s">
        <v>272</v>
      </c>
      <c r="F10" s="16"/>
      <c r="G10" s="17"/>
      <c r="H10" s="626" t="s">
        <v>553</v>
      </c>
      <c r="I10" s="678"/>
      <c r="J10" s="742"/>
      <c r="K10" s="743"/>
      <c r="L10" s="742"/>
      <c r="M10" s="743">
        <f t="shared" si="0"/>
        <v>0</v>
      </c>
      <c r="N10" s="743"/>
      <c r="O10" s="99" t="s">
        <v>201</v>
      </c>
      <c r="Q10" s="670">
        <f t="shared" ref="Q10:Q20" si="1">M10-N10</f>
        <v>0</v>
      </c>
    </row>
    <row r="11" spans="2:17" ht="21.95" customHeight="1" x14ac:dyDescent="0.2">
      <c r="C11" s="16"/>
      <c r="D11" s="16"/>
      <c r="E11" s="16" t="s">
        <v>256</v>
      </c>
      <c r="F11" s="16"/>
      <c r="G11" s="17"/>
      <c r="H11" s="626" t="s">
        <v>554</v>
      </c>
      <c r="I11" s="678"/>
      <c r="J11" s="742"/>
      <c r="K11" s="743"/>
      <c r="L11" s="742"/>
      <c r="M11" s="743">
        <f t="shared" si="0"/>
        <v>0</v>
      </c>
      <c r="N11" s="743"/>
      <c r="O11" s="99" t="s">
        <v>201</v>
      </c>
      <c r="Q11" s="670">
        <f t="shared" si="1"/>
        <v>0</v>
      </c>
    </row>
    <row r="12" spans="2:17" ht="21.95" customHeight="1" x14ac:dyDescent="0.2">
      <c r="C12" s="16"/>
      <c r="D12" s="16"/>
      <c r="E12" s="16" t="s">
        <v>257</v>
      </c>
      <c r="F12" s="16"/>
      <c r="G12" s="17"/>
      <c r="H12" s="626" t="s">
        <v>555</v>
      </c>
      <c r="I12" s="678"/>
      <c r="J12" s="742"/>
      <c r="K12" s="743"/>
      <c r="L12" s="742"/>
      <c r="M12" s="743">
        <f t="shared" si="0"/>
        <v>0</v>
      </c>
      <c r="N12" s="743"/>
      <c r="O12" s="99" t="s">
        <v>201</v>
      </c>
      <c r="Q12" s="670">
        <f t="shared" si="1"/>
        <v>0</v>
      </c>
    </row>
    <row r="13" spans="2:17" ht="21.95" customHeight="1" x14ac:dyDescent="0.2">
      <c r="C13" s="748"/>
      <c r="D13" s="748"/>
      <c r="E13" s="748"/>
      <c r="F13" s="748"/>
      <c r="G13" s="904"/>
      <c r="H13" s="953"/>
      <c r="I13" s="954"/>
      <c r="J13" s="905"/>
      <c r="K13" s="865"/>
      <c r="L13" s="905"/>
      <c r="M13" s="743">
        <f t="shared" si="0"/>
        <v>0</v>
      </c>
      <c r="N13" s="865"/>
      <c r="O13" s="99" t="s">
        <v>201</v>
      </c>
      <c r="Q13" s="670">
        <f t="shared" si="1"/>
        <v>0</v>
      </c>
    </row>
    <row r="14" spans="2:17" ht="21.95" customHeight="1" thickBot="1" x14ac:dyDescent="0.25">
      <c r="C14" s="748"/>
      <c r="D14" s="748"/>
      <c r="E14" s="748"/>
      <c r="F14" s="748"/>
      <c r="G14" s="904"/>
      <c r="H14" s="953"/>
      <c r="I14" s="954"/>
      <c r="J14" s="905"/>
      <c r="K14" s="865"/>
      <c r="L14" s="905"/>
      <c r="M14" s="743">
        <f t="shared" si="0"/>
        <v>0</v>
      </c>
      <c r="N14" s="865"/>
      <c r="O14" s="149" t="s">
        <v>201</v>
      </c>
      <c r="Q14" s="670">
        <f t="shared" si="1"/>
        <v>0</v>
      </c>
    </row>
    <row r="15" spans="2:17" ht="23.25" customHeight="1" thickBot="1" x14ac:dyDescent="0.25">
      <c r="C15" s="158"/>
      <c r="D15" s="158"/>
      <c r="E15" s="1740" t="s">
        <v>274</v>
      </c>
      <c r="F15" s="1740"/>
      <c r="G15" s="659"/>
      <c r="H15" s="704" t="s">
        <v>392</v>
      </c>
      <c r="I15" s="1206"/>
      <c r="J15" s="700">
        <f>SUM(J9:J14)</f>
        <v>0</v>
      </c>
      <c r="K15" s="157">
        <f>SUM(K9:K14)</f>
        <v>0</v>
      </c>
      <c r="L15" s="157">
        <f>SUM(L9:L14)</f>
        <v>0</v>
      </c>
      <c r="M15" s="157">
        <f>SUM(M9:M14)</f>
        <v>0</v>
      </c>
      <c r="N15" s="157">
        <f>SUM(N9:N14)</f>
        <v>0</v>
      </c>
      <c r="O15" s="155" t="s">
        <v>201</v>
      </c>
      <c r="Q15" s="670"/>
    </row>
    <row r="16" spans="2:17" ht="24" customHeight="1" thickTop="1" x14ac:dyDescent="0.2">
      <c r="C16" s="92" t="s">
        <v>277</v>
      </c>
      <c r="D16" s="1733" t="s">
        <v>278</v>
      </c>
      <c r="E16" s="1741"/>
      <c r="F16" s="1741"/>
      <c r="G16" s="660"/>
      <c r="H16" s="1715" t="s">
        <v>200</v>
      </c>
      <c r="I16" s="1716"/>
      <c r="J16" s="160" t="s">
        <v>201</v>
      </c>
      <c r="K16" s="160" t="s">
        <v>201</v>
      </c>
      <c r="L16" s="161" t="s">
        <v>201</v>
      </c>
      <c r="M16" s="161" t="s">
        <v>201</v>
      </c>
      <c r="N16" s="159" t="s">
        <v>201</v>
      </c>
      <c r="O16" s="162" t="s">
        <v>201</v>
      </c>
      <c r="Q16" s="670"/>
    </row>
    <row r="17" spans="2:19" ht="24" customHeight="1" x14ac:dyDescent="0.2">
      <c r="C17" s="16"/>
      <c r="D17" s="16"/>
      <c r="E17" s="127" t="s">
        <v>279</v>
      </c>
      <c r="F17" s="16"/>
      <c r="G17" s="17"/>
      <c r="H17" s="626" t="s">
        <v>556</v>
      </c>
      <c r="I17" s="428"/>
      <c r="J17" s="742"/>
      <c r="K17" s="743"/>
      <c r="L17" s="97" t="s">
        <v>201</v>
      </c>
      <c r="M17" s="743">
        <f>+K17</f>
        <v>0</v>
      </c>
      <c r="N17" s="743"/>
      <c r="O17" s="99" t="s">
        <v>201</v>
      </c>
      <c r="Q17" s="670">
        <f t="shared" si="1"/>
        <v>0</v>
      </c>
    </row>
    <row r="18" spans="2:19" ht="24" customHeight="1" thickBot="1" x14ac:dyDescent="0.25">
      <c r="C18" s="16"/>
      <c r="D18" s="16"/>
      <c r="E18" s="1731" t="s">
        <v>3366</v>
      </c>
      <c r="F18" s="1741"/>
      <c r="G18" s="660"/>
      <c r="H18" s="626" t="s">
        <v>557</v>
      </c>
      <c r="I18" s="434"/>
      <c r="J18" s="905"/>
      <c r="K18" s="865"/>
      <c r="L18" s="905"/>
      <c r="M18" s="865">
        <f>+K18</f>
        <v>0</v>
      </c>
      <c r="N18" s="865"/>
      <c r="O18" s="149" t="s">
        <v>201</v>
      </c>
      <c r="Q18" s="670">
        <f t="shared" si="1"/>
        <v>0</v>
      </c>
    </row>
    <row r="19" spans="2:19" ht="24" customHeight="1" thickTop="1" thickBot="1" x14ac:dyDescent="0.25">
      <c r="C19" s="16"/>
      <c r="D19" s="16"/>
      <c r="E19" s="1731" t="s">
        <v>280</v>
      </c>
      <c r="F19" s="1741"/>
      <c r="G19" s="660"/>
      <c r="H19" s="626" t="s">
        <v>393</v>
      </c>
      <c r="I19" s="434"/>
      <c r="J19" s="701">
        <f>+J18+J17</f>
        <v>0</v>
      </c>
      <c r="K19" s="112">
        <f>+K18+K17</f>
        <v>0</v>
      </c>
      <c r="L19" s="112">
        <f>+L18</f>
        <v>0</v>
      </c>
      <c r="M19" s="112">
        <f>+M18+M17</f>
        <v>0</v>
      </c>
      <c r="N19" s="112">
        <f>+N18+N17</f>
        <v>0</v>
      </c>
      <c r="O19" s="165" t="s">
        <v>201</v>
      </c>
      <c r="Q19" s="670">
        <f t="shared" si="1"/>
        <v>0</v>
      </c>
    </row>
    <row r="20" spans="2:19" ht="24" customHeight="1" thickTop="1" thickBot="1" x14ac:dyDescent="0.25">
      <c r="C20" s="92" t="s">
        <v>281</v>
      </c>
      <c r="D20" s="1742" t="s">
        <v>290</v>
      </c>
      <c r="E20" s="1742"/>
      <c r="F20" s="1742"/>
      <c r="G20" s="661"/>
      <c r="H20" s="626" t="s">
        <v>394</v>
      </c>
      <c r="I20" s="434"/>
      <c r="J20" s="701">
        <f>+J19+J15</f>
        <v>0</v>
      </c>
      <c r="K20" s="112">
        <f>+K19+K15</f>
        <v>0</v>
      </c>
      <c r="L20" s="112">
        <f>+L19+L15</f>
        <v>0</v>
      </c>
      <c r="M20" s="112">
        <f>+M19+M15</f>
        <v>0</v>
      </c>
      <c r="N20" s="112">
        <f>+N19+N15</f>
        <v>0</v>
      </c>
      <c r="O20" s="165" t="s">
        <v>201</v>
      </c>
      <c r="Q20" s="670">
        <f t="shared" si="1"/>
        <v>0</v>
      </c>
    </row>
    <row r="21" spans="2:19" ht="21.95" customHeight="1" thickTop="1" x14ac:dyDescent="0.2">
      <c r="C21" s="92" t="s">
        <v>282</v>
      </c>
      <c r="D21" s="61" t="s">
        <v>289</v>
      </c>
      <c r="E21" s="16"/>
      <c r="F21" s="16"/>
      <c r="G21" s="17"/>
      <c r="H21" s="626" t="s">
        <v>395</v>
      </c>
      <c r="I21" s="681"/>
      <c r="J21" s="702">
        <f>+J20+'28'!J25</f>
        <v>136069.84</v>
      </c>
      <c r="K21" s="116">
        <f>+K20+'28'!K25</f>
        <v>362556.57</v>
      </c>
      <c r="L21" s="116">
        <f>+L20+'28'!L25</f>
        <v>0</v>
      </c>
      <c r="M21" s="116">
        <f>+M20+'28'!M25</f>
        <v>362556.57</v>
      </c>
      <c r="N21" s="116">
        <f>+N20+'28'!N25</f>
        <v>112883.51</v>
      </c>
      <c r="O21" s="117">
        <f>+'28'!O25</f>
        <v>23123.059999999998</v>
      </c>
      <c r="Q21" s="670"/>
    </row>
    <row r="22" spans="2:19" ht="20.25" customHeight="1" thickBot="1" x14ac:dyDescent="0.25">
      <c r="C22" s="16"/>
      <c r="D22" s="16"/>
      <c r="E22" s="16"/>
      <c r="F22" s="16"/>
      <c r="G22" s="17"/>
      <c r="H22" s="626"/>
      <c r="I22" s="428"/>
      <c r="J22" s="107"/>
      <c r="K22" s="58"/>
      <c r="L22" s="107"/>
      <c r="M22" s="58"/>
      <c r="N22" s="58"/>
      <c r="O22" s="121"/>
      <c r="R22" s="180"/>
    </row>
    <row r="23" spans="2:19" ht="21.95" customHeight="1" thickTop="1" thickBot="1" x14ac:dyDescent="0.25">
      <c r="C23" s="92" t="s">
        <v>283</v>
      </c>
      <c r="D23" s="61" t="s">
        <v>288</v>
      </c>
      <c r="E23" s="16"/>
      <c r="F23" s="16"/>
      <c r="G23" s="17"/>
      <c r="H23" s="626" t="s">
        <v>396</v>
      </c>
      <c r="I23" s="434"/>
      <c r="J23" s="701">
        <f>+J21+'19'!J25</f>
        <v>530739.89999999991</v>
      </c>
      <c r="K23" s="112">
        <f>+K21+'19'!K25</f>
        <v>745825.96</v>
      </c>
      <c r="L23" s="112">
        <f>+L21+'19'!L25</f>
        <v>0</v>
      </c>
      <c r="M23" s="112">
        <f>+M21+'19'!M25</f>
        <v>745825.96</v>
      </c>
      <c r="N23" s="112">
        <f>+N21+'19'!N25</f>
        <v>403860.40000000008</v>
      </c>
      <c r="O23" s="113">
        <f>+O21+'19'!O25</f>
        <v>115415.56</v>
      </c>
      <c r="R23" s="180"/>
    </row>
    <row r="24" spans="2:19" ht="21.95" customHeight="1" thickTop="1" thickBot="1" x14ac:dyDescent="0.25">
      <c r="C24" s="92" t="s">
        <v>284</v>
      </c>
      <c r="D24" s="106" t="s">
        <v>287</v>
      </c>
      <c r="E24" s="16"/>
      <c r="F24" s="16"/>
      <c r="G24" s="17"/>
      <c r="H24" s="626" t="s">
        <v>558</v>
      </c>
      <c r="I24" s="434"/>
      <c r="J24" s="164">
        <f>+'Reserve &amp; Tax Calculation'!F41</f>
        <v>298014.59115825919</v>
      </c>
      <c r="K24" s="955">
        <v>305137.67</v>
      </c>
      <c r="L24" s="166" t="s">
        <v>201</v>
      </c>
      <c r="M24" s="556">
        <f>+K24</f>
        <v>305137.67</v>
      </c>
      <c r="N24" s="556">
        <f>+M24</f>
        <v>305137.67</v>
      </c>
      <c r="O24" s="165" t="s">
        <v>201</v>
      </c>
      <c r="R24" s="666" t="s">
        <v>3376</v>
      </c>
    </row>
    <row r="25" spans="2:19" ht="21.95" customHeight="1" thickTop="1" thickBot="1" x14ac:dyDescent="0.3">
      <c r="C25" s="163" t="s">
        <v>285</v>
      </c>
      <c r="D25" s="136" t="s">
        <v>286</v>
      </c>
      <c r="E25" s="18"/>
      <c r="F25" s="18"/>
      <c r="G25" s="19"/>
      <c r="H25" s="686" t="s">
        <v>397</v>
      </c>
      <c r="I25" s="697"/>
      <c r="J25" s="703">
        <f>+J24+J23</f>
        <v>828754.4911582591</v>
      </c>
      <c r="K25" s="123">
        <f>+K24+K23</f>
        <v>1050963.6299999999</v>
      </c>
      <c r="L25" s="123">
        <f>+L23</f>
        <v>0</v>
      </c>
      <c r="M25" s="123">
        <f>+M24+M23</f>
        <v>1050963.6299999999</v>
      </c>
      <c r="N25" s="123">
        <f>+N24+N23</f>
        <v>708998.07000000007</v>
      </c>
      <c r="O25" s="137">
        <f>+O23</f>
        <v>115415.56</v>
      </c>
      <c r="R25" s="667">
        <f>+M25-N25-O25</f>
        <v>226549.99999999983</v>
      </c>
      <c r="S25" s="49"/>
    </row>
    <row r="26" spans="2:19" ht="16.5" thickTop="1" x14ac:dyDescent="0.25">
      <c r="B26" s="1617" t="s">
        <v>273</v>
      </c>
      <c r="C26" s="1617"/>
      <c r="D26" s="1617"/>
      <c r="E26" s="1617"/>
      <c r="F26" s="1617"/>
      <c r="G26" s="1617"/>
      <c r="H26" s="1617"/>
      <c r="I26" s="1617"/>
      <c r="J26" s="1617"/>
      <c r="K26" s="1617"/>
      <c r="L26" s="1617"/>
      <c r="M26" s="1617"/>
      <c r="N26" s="1617"/>
      <c r="O26" s="1617"/>
      <c r="R26" s="180"/>
    </row>
    <row r="27" spans="2:19" x14ac:dyDescent="0.2">
      <c r="M27" s="29"/>
      <c r="N27" s="29"/>
      <c r="R27" s="180"/>
    </row>
    <row r="28" spans="2:19" x14ac:dyDescent="0.2">
      <c r="M28" s="29"/>
      <c r="N28" s="29"/>
      <c r="O28" s="29"/>
      <c r="R28" s="180"/>
    </row>
    <row r="29" spans="2:19" x14ac:dyDescent="0.2">
      <c r="J29" s="29"/>
      <c r="K29" s="180"/>
      <c r="O29" s="29"/>
      <c r="R29" s="180"/>
    </row>
    <row r="30" spans="2:19" x14ac:dyDescent="0.2">
      <c r="K30" s="180"/>
      <c r="O30" s="29"/>
      <c r="R30" s="180"/>
    </row>
    <row r="31" spans="2:19" x14ac:dyDescent="0.2">
      <c r="R31" s="180"/>
    </row>
    <row r="32" spans="2:19" x14ac:dyDescent="0.2">
      <c r="J32" s="180"/>
      <c r="K32" s="180"/>
      <c r="N32" s="29"/>
      <c r="O32" s="29"/>
      <c r="R32" s="180"/>
    </row>
    <row r="33" spans="10:23" x14ac:dyDescent="0.2">
      <c r="J33" s="180"/>
      <c r="K33" s="180"/>
      <c r="R33" s="180"/>
    </row>
    <row r="34" spans="10:23" x14ac:dyDescent="0.2">
      <c r="J34" s="180"/>
      <c r="R34" s="180"/>
    </row>
    <row r="35" spans="10:23" x14ac:dyDescent="0.2">
      <c r="J35" s="180"/>
      <c r="R35" s="180"/>
    </row>
    <row r="36" spans="10:23" x14ac:dyDescent="0.2">
      <c r="J36" s="180"/>
    </row>
    <row r="37" spans="10:23" x14ac:dyDescent="0.2">
      <c r="J37" s="180"/>
    </row>
    <row r="38" spans="10:23" x14ac:dyDescent="0.2">
      <c r="J38" s="180"/>
    </row>
    <row r="39" spans="10:23" x14ac:dyDescent="0.2">
      <c r="J39" s="180"/>
    </row>
    <row r="40" spans="10:23" x14ac:dyDescent="0.2">
      <c r="J40" s="180"/>
    </row>
    <row r="41" spans="10:23" x14ac:dyDescent="0.2">
      <c r="J41" s="180"/>
    </row>
    <row r="45" spans="10:23" x14ac:dyDescent="0.2">
      <c r="N45" s="180"/>
    </row>
    <row r="46" spans="10:23" x14ac:dyDescent="0.2">
      <c r="N46" s="180"/>
      <c r="O46" s="180"/>
      <c r="P46" s="180"/>
      <c r="Q46" s="180"/>
      <c r="R46" s="180"/>
      <c r="S46" s="180"/>
      <c r="T46" s="180"/>
      <c r="U46" s="180"/>
      <c r="V46" s="180"/>
      <c r="W46" s="180"/>
    </row>
    <row r="47" spans="10:23" x14ac:dyDescent="0.2">
      <c r="N47" s="180"/>
      <c r="O47" s="180"/>
      <c r="P47" s="180"/>
      <c r="Q47" s="180"/>
      <c r="R47" s="180"/>
      <c r="S47" s="180"/>
      <c r="T47" s="180"/>
      <c r="U47" s="180"/>
      <c r="V47" s="180"/>
      <c r="W47" s="180"/>
    </row>
    <row r="48" spans="10:23" x14ac:dyDescent="0.2">
      <c r="N48" s="180"/>
      <c r="O48" s="180"/>
      <c r="P48" s="180"/>
      <c r="Q48" s="180"/>
      <c r="R48" s="180"/>
      <c r="S48" s="180"/>
      <c r="T48" s="180"/>
      <c r="U48" s="180"/>
      <c r="V48" s="180"/>
      <c r="W48" s="180"/>
    </row>
    <row r="49" spans="14:23" x14ac:dyDescent="0.2">
      <c r="N49" s="180"/>
      <c r="O49" s="180"/>
      <c r="P49" s="180"/>
      <c r="Q49" s="180"/>
      <c r="R49" s="180"/>
      <c r="S49" s="180"/>
      <c r="T49" s="180"/>
      <c r="U49" s="180"/>
      <c r="V49" s="180"/>
      <c r="W49" s="180"/>
    </row>
    <row r="50" spans="14:23" x14ac:dyDescent="0.2">
      <c r="N50" s="180"/>
      <c r="O50" s="180"/>
      <c r="P50" s="180"/>
      <c r="Q50" s="180"/>
      <c r="R50" s="180"/>
      <c r="S50" s="180"/>
      <c r="T50" s="180"/>
      <c r="U50" s="180"/>
      <c r="V50" s="180"/>
      <c r="W50" s="180"/>
    </row>
    <row r="51" spans="14:23" x14ac:dyDescent="0.2">
      <c r="N51" s="180"/>
      <c r="O51" s="180"/>
      <c r="P51" s="180"/>
      <c r="Q51" s="180"/>
      <c r="R51" s="180"/>
      <c r="S51" s="180"/>
      <c r="T51" s="180"/>
      <c r="U51" s="180"/>
      <c r="V51" s="180"/>
      <c r="W51" s="180"/>
    </row>
    <row r="52" spans="14:23" x14ac:dyDescent="0.2">
      <c r="N52" s="180"/>
      <c r="O52" s="180"/>
      <c r="P52" s="180"/>
      <c r="Q52" s="180"/>
      <c r="R52" s="180"/>
      <c r="S52" s="180"/>
      <c r="T52" s="180"/>
      <c r="U52" s="180"/>
      <c r="V52" s="180"/>
      <c r="W52" s="180"/>
    </row>
    <row r="53" spans="14:23" x14ac:dyDescent="0.2">
      <c r="N53" s="180"/>
      <c r="O53" s="180"/>
      <c r="P53" s="180"/>
      <c r="Q53" s="180"/>
      <c r="R53" s="180"/>
      <c r="S53" s="180"/>
      <c r="T53" s="180"/>
      <c r="U53" s="180"/>
      <c r="V53" s="180"/>
      <c r="W53" s="180"/>
    </row>
    <row r="54" spans="14:23" x14ac:dyDescent="0.2">
      <c r="N54" s="180"/>
      <c r="O54" s="180"/>
      <c r="P54" s="180"/>
      <c r="Q54" s="180"/>
      <c r="R54" s="180"/>
      <c r="S54" s="180"/>
      <c r="T54" s="180"/>
      <c r="U54" s="180"/>
      <c r="V54" s="180"/>
      <c r="W54" s="180"/>
    </row>
    <row r="55" spans="14:23" x14ac:dyDescent="0.2">
      <c r="N55" s="180"/>
      <c r="O55" s="180"/>
      <c r="P55" s="180"/>
      <c r="Q55" s="180"/>
      <c r="R55" s="180"/>
      <c r="S55" s="180"/>
      <c r="T55" s="180"/>
      <c r="U55" s="180"/>
      <c r="V55" s="180"/>
      <c r="W55" s="180"/>
    </row>
    <row r="56" spans="14:23" x14ac:dyDescent="0.2">
      <c r="N56" s="180"/>
      <c r="O56" s="180"/>
      <c r="P56" s="180"/>
      <c r="Q56" s="180"/>
      <c r="R56" s="180"/>
      <c r="S56" s="180"/>
      <c r="T56" s="180"/>
      <c r="U56" s="180"/>
      <c r="V56" s="180"/>
      <c r="W56" s="180"/>
    </row>
    <row r="57" spans="14:23" x14ac:dyDescent="0.2">
      <c r="N57" s="180"/>
      <c r="O57" s="180"/>
      <c r="P57" s="180"/>
      <c r="Q57" s="180"/>
      <c r="R57" s="180"/>
      <c r="S57" s="180"/>
      <c r="T57" s="180"/>
      <c r="U57" s="180"/>
      <c r="V57" s="180"/>
      <c r="W57" s="180"/>
    </row>
    <row r="58" spans="14:23" x14ac:dyDescent="0.2">
      <c r="N58" s="180"/>
      <c r="O58" s="180"/>
      <c r="P58" s="180"/>
      <c r="Q58" s="180"/>
      <c r="R58" s="180"/>
      <c r="S58" s="180"/>
      <c r="T58" s="180"/>
      <c r="U58" s="180"/>
      <c r="V58" s="180"/>
      <c r="W58" s="180"/>
    </row>
    <row r="59" spans="14:23" x14ac:dyDescent="0.2">
      <c r="N59" s="180"/>
      <c r="O59" s="180"/>
      <c r="P59" s="180"/>
      <c r="Q59" s="180"/>
      <c r="R59" s="180"/>
      <c r="S59" s="180"/>
      <c r="T59" s="180"/>
      <c r="U59" s="180"/>
      <c r="V59" s="180"/>
      <c r="W59" s="180"/>
    </row>
    <row r="60" spans="14:23" x14ac:dyDescent="0.2">
      <c r="N60" s="180"/>
      <c r="O60" s="180"/>
      <c r="P60" s="180"/>
      <c r="Q60" s="180"/>
      <c r="R60" s="180"/>
      <c r="S60" s="180"/>
      <c r="T60" s="180"/>
      <c r="U60" s="180"/>
      <c r="V60" s="180"/>
      <c r="W60" s="180"/>
    </row>
    <row r="61" spans="14:23" x14ac:dyDescent="0.2">
      <c r="N61" s="180"/>
      <c r="O61" s="180"/>
      <c r="P61" s="180"/>
      <c r="Q61" s="180"/>
      <c r="R61" s="180"/>
      <c r="S61" s="180"/>
      <c r="T61" s="180"/>
      <c r="U61" s="180"/>
      <c r="V61" s="180"/>
      <c r="W61" s="180"/>
    </row>
    <row r="62" spans="14:23" x14ac:dyDescent="0.2">
      <c r="N62" s="180"/>
      <c r="O62" s="180"/>
      <c r="P62" s="180"/>
      <c r="Q62" s="180"/>
      <c r="R62" s="180"/>
      <c r="S62" s="180"/>
      <c r="T62" s="180"/>
      <c r="U62" s="180"/>
      <c r="V62" s="180"/>
      <c r="W62" s="180"/>
    </row>
    <row r="63" spans="14:23" x14ac:dyDescent="0.2">
      <c r="N63" s="180"/>
      <c r="O63" s="180"/>
      <c r="P63" s="180"/>
      <c r="Q63" s="180"/>
      <c r="R63" s="180"/>
      <c r="S63" s="180"/>
      <c r="T63" s="180"/>
      <c r="U63" s="180"/>
      <c r="V63" s="180"/>
      <c r="W63" s="180"/>
    </row>
    <row r="64" spans="14:23" x14ac:dyDescent="0.2">
      <c r="N64" s="180"/>
      <c r="O64" s="180"/>
      <c r="P64" s="180"/>
      <c r="Q64" s="180"/>
      <c r="R64" s="180"/>
      <c r="S64" s="180"/>
      <c r="T64" s="180"/>
      <c r="U64" s="180"/>
      <c r="V64" s="180"/>
      <c r="W64" s="180"/>
    </row>
    <row r="65" spans="14:23" x14ac:dyDescent="0.2">
      <c r="N65" s="180"/>
      <c r="O65" s="180"/>
      <c r="P65" s="180"/>
      <c r="Q65" s="180"/>
      <c r="R65" s="180"/>
      <c r="S65" s="180"/>
      <c r="T65" s="180"/>
      <c r="U65" s="180"/>
      <c r="V65" s="180"/>
      <c r="W65" s="180"/>
    </row>
    <row r="66" spans="14:23" x14ac:dyDescent="0.2">
      <c r="N66" s="180"/>
      <c r="O66" s="180"/>
      <c r="P66" s="180"/>
      <c r="Q66" s="180"/>
      <c r="R66" s="180"/>
      <c r="S66" s="180"/>
      <c r="T66" s="180"/>
      <c r="U66" s="180"/>
      <c r="V66" s="180"/>
      <c r="W66" s="180"/>
    </row>
    <row r="67" spans="14:23" x14ac:dyDescent="0.2">
      <c r="N67" s="180"/>
      <c r="O67" s="180"/>
      <c r="P67" s="180"/>
      <c r="Q67" s="180"/>
      <c r="R67" s="180"/>
      <c r="S67" s="180"/>
      <c r="T67" s="180"/>
      <c r="U67" s="180"/>
      <c r="V67" s="180"/>
      <c r="W67" s="180"/>
    </row>
    <row r="68" spans="14:23" x14ac:dyDescent="0.2">
      <c r="N68" s="180"/>
      <c r="O68" s="180"/>
      <c r="P68" s="180"/>
      <c r="Q68" s="180"/>
      <c r="R68" s="180"/>
      <c r="S68" s="180"/>
      <c r="T68" s="180"/>
      <c r="U68" s="180"/>
      <c r="V68" s="180"/>
      <c r="W68" s="180"/>
    </row>
  </sheetData>
  <sheetProtection algorithmName="SHA-512" hashValue="dvKDd/M7g19r/LBXPn0g+SoVbP7jTKIoO0YQ+2s80NpJbAP/4Jsgr0r9i8y0RLJ52OyFq/wIcKTaN5R1V3QhjA==" saltValue="1Cg7yU+v3TI6jKI+HBb4rw==" spinCount="100000" sheet="1" objects="1" scenarios="1"/>
  <mergeCells count="13">
    <mergeCell ref="B2:O2"/>
    <mergeCell ref="N3:O3"/>
    <mergeCell ref="J3:M3"/>
    <mergeCell ref="B26:O26"/>
    <mergeCell ref="C7:F7"/>
    <mergeCell ref="E15:F15"/>
    <mergeCell ref="D16:F16"/>
    <mergeCell ref="E18:F18"/>
    <mergeCell ref="E19:F19"/>
    <mergeCell ref="D20:F20"/>
    <mergeCell ref="H7:I7"/>
    <mergeCell ref="H8:I8"/>
    <mergeCell ref="H16:I16"/>
  </mergeCells>
  <phoneticPr fontId="0" type="noConversion"/>
  <pageMargins left="0.25" right="0.3" top="0.25" bottom="0.75" header="0.25" footer="0.25"/>
  <pageSetup paperSize="5" orientation="landscape" r:id="rId1"/>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99"/>
  <dimension ref="B2:Z28"/>
  <sheetViews>
    <sheetView zoomScale="92" workbookViewId="0">
      <selection activeCell="B25" sqref="B25:O25"/>
    </sheetView>
  </sheetViews>
  <sheetFormatPr defaultRowHeight="12.75" x14ac:dyDescent="0.2"/>
  <cols>
    <col min="1" max="1" width="3.7109375" customWidth="1"/>
    <col min="2" max="2" width="5.7109375" customWidth="1"/>
    <col min="3" max="3" width="5" customWidth="1"/>
    <col min="4" max="4" width="3.5703125" customWidth="1"/>
    <col min="5" max="5" width="3.7109375" customWidth="1"/>
    <col min="6" max="6" width="24.7109375" customWidth="1"/>
    <col min="7" max="7" width="16.7109375" customWidth="1"/>
    <col min="8" max="8" width="7.7109375" customWidth="1"/>
    <col min="9" max="9" width="2.7109375" customWidth="1"/>
    <col min="10" max="15" width="16.7109375" customWidth="1"/>
  </cols>
  <sheetData>
    <row r="2" spans="2:26" ht="21" thickBot="1" x14ac:dyDescent="0.35">
      <c r="B2" s="1700" t="s">
        <v>377</v>
      </c>
      <c r="C2" s="1700"/>
      <c r="D2" s="1700"/>
      <c r="E2" s="1700"/>
      <c r="F2" s="1700"/>
      <c r="G2" s="1700"/>
      <c r="H2" s="1700"/>
      <c r="I2" s="1700"/>
      <c r="J2" s="1700"/>
      <c r="K2" s="1700"/>
      <c r="L2" s="1700"/>
      <c r="M2" s="1700"/>
      <c r="N2" s="1700"/>
      <c r="O2" s="1700"/>
    </row>
    <row r="3" spans="2:26" ht="17.25" thickTop="1" thickBot="1" x14ac:dyDescent="0.3">
      <c r="B3" s="1" t="s">
        <v>16</v>
      </c>
      <c r="F3" s="222"/>
      <c r="G3" s="6"/>
      <c r="H3" s="296"/>
      <c r="I3" s="237"/>
      <c r="J3" s="1707" t="s">
        <v>23</v>
      </c>
      <c r="K3" s="1707"/>
      <c r="L3" s="1707"/>
      <c r="M3" s="1708"/>
      <c r="N3" s="1705" t="str">
        <f>"Expended "&amp;'Key Inputs'!E34-1</f>
        <v>Expended 2020</v>
      </c>
      <c r="O3" s="1706"/>
      <c r="T3" s="885" t="s">
        <v>3377</v>
      </c>
      <c r="U3" s="823"/>
      <c r="V3" s="823"/>
      <c r="W3" s="823"/>
      <c r="X3" s="823"/>
      <c r="Y3" s="823"/>
      <c r="Z3" s="824"/>
    </row>
    <row r="4" spans="2:26" ht="15" customHeight="1" thickTop="1" x14ac:dyDescent="0.25">
      <c r="F4" s="63"/>
      <c r="G4" s="7"/>
      <c r="H4" s="1711" t="s">
        <v>605</v>
      </c>
      <c r="I4" s="1712"/>
      <c r="J4" s="24"/>
      <c r="K4" s="25"/>
      <c r="L4" s="24" t="str">
        <f>"for "&amp;'Key Inputs'!E34-1&amp;"  By"</f>
        <v>for 2020  By</v>
      </c>
      <c r="M4" s="25" t="str">
        <f>"Total for "&amp;'Key Inputs'!E34-1</f>
        <v>Total for 2020</v>
      </c>
      <c r="N4" s="25"/>
      <c r="O4" s="81"/>
      <c r="T4" s="825"/>
      <c r="U4" s="791"/>
      <c r="V4" s="791"/>
      <c r="W4" s="791"/>
      <c r="X4" s="791"/>
      <c r="Y4" s="791"/>
      <c r="Z4" s="796"/>
    </row>
    <row r="5" spans="2:26" ht="15" x14ac:dyDescent="0.25">
      <c r="C5" s="12" t="s">
        <v>291</v>
      </c>
      <c r="F5" s="63"/>
      <c r="G5" s="7"/>
      <c r="H5" s="693"/>
      <c r="I5" s="674"/>
      <c r="J5" s="24" t="str">
        <f>"for  "&amp;'Key Inputs'!E34</f>
        <v>for  2021</v>
      </c>
      <c r="K5" s="26" t="str">
        <f>"for  "&amp;'Key Inputs'!E34-1</f>
        <v>for  2020</v>
      </c>
      <c r="L5" s="24" t="s">
        <v>19</v>
      </c>
      <c r="M5" s="26" t="s">
        <v>24</v>
      </c>
      <c r="N5" s="26" t="s">
        <v>20</v>
      </c>
      <c r="O5" s="82" t="s">
        <v>22</v>
      </c>
      <c r="T5" s="825"/>
      <c r="U5" s="791"/>
      <c r="V5" s="791"/>
      <c r="W5" s="791"/>
      <c r="X5" s="791"/>
      <c r="Y5" s="791"/>
      <c r="Z5" s="796"/>
    </row>
    <row r="6" spans="2:26" ht="15" customHeight="1" thickBot="1" x14ac:dyDescent="0.3">
      <c r="B6" s="2"/>
      <c r="C6" s="3"/>
      <c r="D6" s="3"/>
      <c r="E6" s="2"/>
      <c r="F6" s="2"/>
      <c r="G6" s="8"/>
      <c r="H6" s="694"/>
      <c r="I6" s="675"/>
      <c r="J6" s="27"/>
      <c r="K6" s="28"/>
      <c r="L6" s="27" t="s">
        <v>18</v>
      </c>
      <c r="M6" s="28" t="s">
        <v>25</v>
      </c>
      <c r="N6" s="28" t="s">
        <v>21</v>
      </c>
      <c r="O6" s="83"/>
      <c r="T6" s="825"/>
      <c r="U6" s="791"/>
      <c r="V6" s="791"/>
      <c r="W6" s="791"/>
      <c r="X6" s="791"/>
      <c r="Y6" s="791"/>
      <c r="Z6" s="796"/>
    </row>
    <row r="7" spans="2:26" ht="21.95" customHeight="1" thickTop="1" x14ac:dyDescent="0.25">
      <c r="C7" s="100" t="s">
        <v>215</v>
      </c>
      <c r="D7" s="138" t="s">
        <v>5317</v>
      </c>
      <c r="E7" s="100"/>
      <c r="F7" s="100"/>
      <c r="G7" s="169"/>
      <c r="H7" s="1717" t="s">
        <v>381</v>
      </c>
      <c r="I7" s="1718"/>
      <c r="J7" s="13">
        <f>+'19'!J25</f>
        <v>394670.05999999994</v>
      </c>
      <c r="K7" s="20">
        <f>+'19'!K25</f>
        <v>383269.38999999996</v>
      </c>
      <c r="L7" s="20">
        <f>+'19'!L25</f>
        <v>0</v>
      </c>
      <c r="M7" s="20">
        <f>+'19'!M25</f>
        <v>383269.38999999996</v>
      </c>
      <c r="N7" s="20">
        <f>+'19'!N25</f>
        <v>290976.89000000007</v>
      </c>
      <c r="O7" s="84">
        <f>+'19'!O25</f>
        <v>92292.5</v>
      </c>
      <c r="T7" s="825"/>
      <c r="U7" s="791"/>
      <c r="V7" s="791"/>
      <c r="W7" s="791"/>
      <c r="X7" s="791"/>
      <c r="Y7" s="791"/>
      <c r="Z7" s="796"/>
    </row>
    <row r="8" spans="2:26" ht="21.95" customHeight="1" x14ac:dyDescent="0.25">
      <c r="C8" s="43"/>
      <c r="D8" s="106" t="s">
        <v>5318</v>
      </c>
      <c r="E8" s="43"/>
      <c r="F8" s="43"/>
      <c r="G8" s="167"/>
      <c r="H8" s="1721" t="s">
        <v>200</v>
      </c>
      <c r="I8" s="1722"/>
      <c r="J8" s="21"/>
      <c r="K8" s="22"/>
      <c r="L8" s="22"/>
      <c r="M8" s="22"/>
      <c r="N8" s="22"/>
      <c r="O8" s="85"/>
      <c r="T8" s="825"/>
      <c r="U8" s="791"/>
      <c r="V8" s="791"/>
      <c r="W8" s="791"/>
      <c r="X8" s="791"/>
      <c r="Y8" s="791"/>
      <c r="Z8" s="796"/>
    </row>
    <row r="9" spans="2:26" ht="21.95" customHeight="1" x14ac:dyDescent="0.25">
      <c r="C9" s="43" t="s">
        <v>5319</v>
      </c>
      <c r="D9" s="106"/>
      <c r="E9" s="106" t="s">
        <v>292</v>
      </c>
      <c r="F9" s="106"/>
      <c r="G9" s="170"/>
      <c r="H9" s="1721" t="s">
        <v>200</v>
      </c>
      <c r="I9" s="1722"/>
      <c r="J9" s="97" t="s">
        <v>201</v>
      </c>
      <c r="K9" s="98" t="s">
        <v>201</v>
      </c>
      <c r="L9" s="98" t="s">
        <v>201</v>
      </c>
      <c r="M9" s="98" t="s">
        <v>201</v>
      </c>
      <c r="N9" s="98" t="s">
        <v>201</v>
      </c>
      <c r="O9" s="99" t="s">
        <v>201</v>
      </c>
      <c r="T9" s="825"/>
      <c r="U9" s="791"/>
      <c r="V9" s="791"/>
      <c r="W9" s="791"/>
      <c r="X9" s="791"/>
      <c r="Y9" s="791"/>
      <c r="Z9" s="796"/>
    </row>
    <row r="10" spans="2:26" ht="21.95" customHeight="1" x14ac:dyDescent="0.25">
      <c r="C10" s="43"/>
      <c r="D10" s="106"/>
      <c r="E10" s="106" t="s">
        <v>293</v>
      </c>
      <c r="F10" s="106"/>
      <c r="G10" s="170"/>
      <c r="H10" s="1721" t="s">
        <v>382</v>
      </c>
      <c r="I10" s="1722"/>
      <c r="J10" s="21">
        <f>+'20a'!J26</f>
        <v>0</v>
      </c>
      <c r="K10" s="22">
        <f>+'20a'!K26</f>
        <v>0</v>
      </c>
      <c r="L10" s="22">
        <f>+'20a'!L26</f>
        <v>0</v>
      </c>
      <c r="M10" s="22">
        <f>+'20a'!M26</f>
        <v>0</v>
      </c>
      <c r="N10" s="22">
        <f>+'20a'!N26</f>
        <v>0</v>
      </c>
      <c r="O10" s="85">
        <f>+'20a'!O26</f>
        <v>0</v>
      </c>
      <c r="T10" s="825"/>
      <c r="U10" s="791"/>
      <c r="V10" s="791"/>
      <c r="W10" s="791"/>
      <c r="X10" s="791"/>
      <c r="Y10" s="791"/>
      <c r="Z10" s="796"/>
    </row>
    <row r="11" spans="2:26" ht="21.95" customHeight="1" x14ac:dyDescent="0.25">
      <c r="C11" s="43"/>
      <c r="D11" s="106"/>
      <c r="E11" s="106" t="s">
        <v>294</v>
      </c>
      <c r="F11" s="106"/>
      <c r="G11" s="170"/>
      <c r="H11" s="1721" t="s">
        <v>383</v>
      </c>
      <c r="I11" s="1722"/>
      <c r="J11" s="21">
        <f>+'21'!J26</f>
        <v>0</v>
      </c>
      <c r="K11" s="22">
        <f>+'21'!K26</f>
        <v>0</v>
      </c>
      <c r="L11" s="22">
        <f>+'21'!L26</f>
        <v>0</v>
      </c>
      <c r="M11" s="22">
        <f>+'21'!M26</f>
        <v>0</v>
      </c>
      <c r="N11" s="22">
        <f>+'21'!N26</f>
        <v>0</v>
      </c>
      <c r="O11" s="85">
        <f>+'21'!O26</f>
        <v>0</v>
      </c>
      <c r="T11" s="825"/>
      <c r="U11" s="791"/>
      <c r="V11" s="791"/>
      <c r="W11" s="791"/>
      <c r="X11" s="791"/>
      <c r="Y11" s="791"/>
      <c r="Z11" s="796"/>
    </row>
    <row r="12" spans="2:26" ht="21.95" customHeight="1" x14ac:dyDescent="0.25">
      <c r="C12" s="43"/>
      <c r="D12" s="106"/>
      <c r="E12" s="106" t="s">
        <v>5230</v>
      </c>
      <c r="F12" s="106"/>
      <c r="G12" s="170"/>
      <c r="H12" s="1721" t="s">
        <v>384</v>
      </c>
      <c r="I12" s="1722"/>
      <c r="J12" s="21">
        <f>+'22b'!J26</f>
        <v>42850</v>
      </c>
      <c r="K12" s="22">
        <f>+'22b'!K26</f>
        <v>42786.729999999996</v>
      </c>
      <c r="L12" s="22">
        <f>+'22b'!L26</f>
        <v>0</v>
      </c>
      <c r="M12" s="22">
        <f>+'22b'!M26</f>
        <v>42786.729999999996</v>
      </c>
      <c r="N12" s="22">
        <f>+'22b'!N26</f>
        <v>34663.67</v>
      </c>
      <c r="O12" s="85">
        <f>+'22b'!O26</f>
        <v>8123.0599999999995</v>
      </c>
      <c r="T12" s="825"/>
      <c r="U12" s="791"/>
      <c r="V12" s="791"/>
      <c r="W12" s="791"/>
      <c r="X12" s="791"/>
      <c r="Y12" s="791"/>
      <c r="Z12" s="796"/>
    </row>
    <row r="13" spans="2:26" ht="21.95" customHeight="1" x14ac:dyDescent="0.25">
      <c r="C13" s="43"/>
      <c r="D13" s="106"/>
      <c r="E13" s="106" t="s">
        <v>508</v>
      </c>
      <c r="F13" s="106"/>
      <c r="G13" s="170"/>
      <c r="H13" s="1721" t="s">
        <v>385</v>
      </c>
      <c r="I13" s="1722"/>
      <c r="J13" s="21">
        <f>+'23'!J26</f>
        <v>0</v>
      </c>
      <c r="K13" s="22">
        <f>+'23'!K26</f>
        <v>0</v>
      </c>
      <c r="L13" s="22">
        <f>+'23'!L26</f>
        <v>0</v>
      </c>
      <c r="M13" s="22">
        <f>+'23'!M26</f>
        <v>0</v>
      </c>
      <c r="N13" s="22">
        <f>+'23'!N26</f>
        <v>0</v>
      </c>
      <c r="O13" s="85">
        <f>+'23'!O26</f>
        <v>0</v>
      </c>
      <c r="T13" s="825"/>
      <c r="U13" s="791"/>
      <c r="V13" s="791"/>
      <c r="W13" s="791"/>
      <c r="X13" s="791"/>
      <c r="Y13" s="791"/>
      <c r="Z13" s="796"/>
    </row>
    <row r="14" spans="2:26" ht="21.95" customHeight="1" thickBot="1" x14ac:dyDescent="0.3">
      <c r="C14" s="43"/>
      <c r="D14" s="106"/>
      <c r="E14" s="106" t="s">
        <v>296</v>
      </c>
      <c r="F14" s="106"/>
      <c r="G14" s="170"/>
      <c r="H14" s="1721" t="s">
        <v>386</v>
      </c>
      <c r="I14" s="1722"/>
      <c r="J14" s="107">
        <f>+'25'!J21</f>
        <v>20119.84</v>
      </c>
      <c r="K14" s="58">
        <f>+'25'!K21</f>
        <v>20119.84</v>
      </c>
      <c r="L14" s="58">
        <f>+'25'!L21</f>
        <v>0</v>
      </c>
      <c r="M14" s="58">
        <f>+'25'!M21</f>
        <v>20119.84</v>
      </c>
      <c r="N14" s="58">
        <f>+'25'!N21</f>
        <v>5119.84</v>
      </c>
      <c r="O14" s="109">
        <f>+'25'!O21</f>
        <v>15000</v>
      </c>
      <c r="T14" s="825"/>
      <c r="U14" s="791"/>
      <c r="V14" s="791"/>
      <c r="W14" s="791"/>
      <c r="X14" s="791"/>
      <c r="Y14" s="791"/>
      <c r="Z14" s="796"/>
    </row>
    <row r="15" spans="2:26" ht="21.95" customHeight="1" thickTop="1" thickBot="1" x14ac:dyDescent="0.3">
      <c r="C15" s="43"/>
      <c r="D15" s="106"/>
      <c r="E15" s="106"/>
      <c r="F15" s="106" t="s">
        <v>411</v>
      </c>
      <c r="G15" s="170"/>
      <c r="H15" s="1721" t="s">
        <v>387</v>
      </c>
      <c r="I15" s="1722"/>
      <c r="J15" s="701">
        <f t="shared" ref="J15:O15" si="0">SUM(J10:J14)</f>
        <v>62969.84</v>
      </c>
      <c r="K15" s="72">
        <f t="shared" si="0"/>
        <v>62906.569999999992</v>
      </c>
      <c r="L15" s="72">
        <f t="shared" si="0"/>
        <v>0</v>
      </c>
      <c r="M15" s="72">
        <f t="shared" si="0"/>
        <v>62906.569999999992</v>
      </c>
      <c r="N15" s="72">
        <f t="shared" si="0"/>
        <v>39783.509999999995</v>
      </c>
      <c r="O15" s="113">
        <f t="shared" si="0"/>
        <v>23123.059999999998</v>
      </c>
      <c r="T15" s="825"/>
      <c r="U15" s="791"/>
      <c r="V15" s="791"/>
      <c r="W15" s="791"/>
      <c r="X15" s="791"/>
      <c r="Y15" s="791"/>
      <c r="Z15" s="796"/>
    </row>
    <row r="16" spans="2:26" ht="21.95" customHeight="1" thickTop="1" x14ac:dyDescent="0.25">
      <c r="C16" s="43" t="s">
        <v>297</v>
      </c>
      <c r="D16" s="106" t="s">
        <v>316</v>
      </c>
      <c r="E16" s="106"/>
      <c r="F16" s="106"/>
      <c r="G16" s="170"/>
      <c r="H16" s="1715" t="s">
        <v>388</v>
      </c>
      <c r="I16" s="1716"/>
      <c r="J16" s="110">
        <f>+'26a'!J26</f>
        <v>60100</v>
      </c>
      <c r="K16" s="30">
        <f>+'26a'!K26</f>
        <v>286650</v>
      </c>
      <c r="L16" s="30">
        <f>+'26a'!L26</f>
        <v>0</v>
      </c>
      <c r="M16" s="30">
        <f>+'26a'!M26</f>
        <v>286650</v>
      </c>
      <c r="N16" s="30">
        <f>+'26a'!N26</f>
        <v>60100</v>
      </c>
      <c r="O16" s="111">
        <f>+'26a'!O26</f>
        <v>0</v>
      </c>
      <c r="T16" s="825"/>
      <c r="U16" s="791"/>
      <c r="V16" s="791"/>
      <c r="W16" s="791"/>
      <c r="X16" s="791"/>
      <c r="Y16" s="791"/>
      <c r="Z16" s="796"/>
    </row>
    <row r="17" spans="2:26" ht="21.95" customHeight="1" x14ac:dyDescent="0.25">
      <c r="C17" s="43" t="s">
        <v>298</v>
      </c>
      <c r="D17" s="106" t="s">
        <v>412</v>
      </c>
      <c r="E17" s="106"/>
      <c r="F17" s="106"/>
      <c r="G17" s="170"/>
      <c r="H17" s="1721" t="s">
        <v>389</v>
      </c>
      <c r="I17" s="1722"/>
      <c r="J17" s="21">
        <f>+'27a'!J26</f>
        <v>0</v>
      </c>
      <c r="K17" s="22">
        <f>+'27a'!K26</f>
        <v>0</v>
      </c>
      <c r="L17" s="22">
        <f>+'27a'!L26</f>
        <v>0</v>
      </c>
      <c r="M17" s="22">
        <f>+'27a'!M26</f>
        <v>0</v>
      </c>
      <c r="N17" s="22">
        <f>+'27a'!N26</f>
        <v>0</v>
      </c>
      <c r="O17" s="99" t="s">
        <v>201</v>
      </c>
      <c r="T17" s="825"/>
      <c r="U17" s="791"/>
      <c r="V17" s="791"/>
      <c r="W17" s="791"/>
      <c r="X17" s="791"/>
      <c r="Y17" s="791"/>
      <c r="Z17" s="796"/>
    </row>
    <row r="18" spans="2:26" ht="21.95" customHeight="1" x14ac:dyDescent="0.25">
      <c r="C18" s="43" t="s">
        <v>268</v>
      </c>
      <c r="D18" s="106" t="s">
        <v>5320</v>
      </c>
      <c r="E18" s="106"/>
      <c r="F18" s="106"/>
      <c r="G18" s="170"/>
      <c r="H18" s="1721" t="s">
        <v>390</v>
      </c>
      <c r="I18" s="1722"/>
      <c r="J18" s="21">
        <f>+'28'!J19</f>
        <v>13000</v>
      </c>
      <c r="K18" s="22">
        <f>+'28'!K19</f>
        <v>13000</v>
      </c>
      <c r="L18" s="98" t="s">
        <v>201</v>
      </c>
      <c r="M18" s="22">
        <f>+'28'!M19</f>
        <v>13000</v>
      </c>
      <c r="N18" s="22">
        <f>+'28'!N19</f>
        <v>13000</v>
      </c>
      <c r="O18" s="99" t="s">
        <v>201</v>
      </c>
      <c r="T18" s="825"/>
      <c r="U18" s="791"/>
      <c r="V18" s="791"/>
      <c r="W18" s="791"/>
      <c r="X18" s="791"/>
      <c r="Y18" s="791"/>
      <c r="Z18" s="796"/>
    </row>
    <row r="19" spans="2:26" ht="21.95" customHeight="1" x14ac:dyDescent="0.25">
      <c r="C19" s="43" t="s">
        <v>265</v>
      </c>
      <c r="D19" s="106" t="s">
        <v>5321</v>
      </c>
      <c r="E19" s="106"/>
      <c r="F19" s="106"/>
      <c r="G19" s="170"/>
      <c r="H19" s="1721" t="s">
        <v>559</v>
      </c>
      <c r="I19" s="1722"/>
      <c r="J19" s="21">
        <f>+'28'!J20</f>
        <v>0</v>
      </c>
      <c r="K19" s="22">
        <f>+'28'!K20</f>
        <v>0</v>
      </c>
      <c r="L19" s="22">
        <f>+'28'!L20</f>
        <v>0</v>
      </c>
      <c r="M19" s="22">
        <f>+'28'!M20</f>
        <v>0</v>
      </c>
      <c r="N19" s="22">
        <f>+'28'!N20</f>
        <v>0</v>
      </c>
      <c r="O19" s="99" t="s">
        <v>201</v>
      </c>
      <c r="T19" s="825"/>
      <c r="U19" s="791"/>
      <c r="V19" s="791"/>
      <c r="W19" s="791"/>
      <c r="X19" s="791"/>
      <c r="Y19" s="791"/>
      <c r="Z19" s="796"/>
    </row>
    <row r="20" spans="2:26" ht="21.95" customHeight="1" x14ac:dyDescent="0.25">
      <c r="C20" s="43" t="s">
        <v>262</v>
      </c>
      <c r="D20" s="106" t="s">
        <v>398</v>
      </c>
      <c r="E20" s="106"/>
      <c r="F20" s="106"/>
      <c r="G20" s="170"/>
      <c r="H20" s="1721" t="s">
        <v>551</v>
      </c>
      <c r="I20" s="1722"/>
      <c r="J20" s="21">
        <f>+'28'!J23</f>
        <v>0</v>
      </c>
      <c r="K20" s="22">
        <f>+'28'!K23</f>
        <v>0</v>
      </c>
      <c r="L20" s="98" t="s">
        <v>201</v>
      </c>
      <c r="M20" s="22">
        <f>+'28'!M23</f>
        <v>0</v>
      </c>
      <c r="N20" s="22">
        <f>+'28'!N23</f>
        <v>0</v>
      </c>
      <c r="O20" s="99" t="s">
        <v>201</v>
      </c>
      <c r="T20" s="825"/>
      <c r="U20" s="791"/>
      <c r="V20" s="791"/>
      <c r="W20" s="791"/>
      <c r="X20" s="791"/>
      <c r="Y20" s="791"/>
      <c r="Z20" s="796"/>
    </row>
    <row r="21" spans="2:26" ht="21.95" customHeight="1" x14ac:dyDescent="0.25">
      <c r="C21" s="43" t="s">
        <v>299</v>
      </c>
      <c r="D21" s="106" t="s">
        <v>414</v>
      </c>
      <c r="E21" s="106"/>
      <c r="F21" s="106"/>
      <c r="G21" s="170"/>
      <c r="H21" s="1721" t="s">
        <v>394</v>
      </c>
      <c r="I21" s="1722"/>
      <c r="J21" s="21">
        <f>+'29'!J20</f>
        <v>0</v>
      </c>
      <c r="K21" s="22">
        <f>+'29'!K20</f>
        <v>0</v>
      </c>
      <c r="L21" s="22">
        <f>+'29'!L20</f>
        <v>0</v>
      </c>
      <c r="M21" s="22">
        <f>+'29'!M20</f>
        <v>0</v>
      </c>
      <c r="N21" s="22">
        <f>+'29'!N20</f>
        <v>0</v>
      </c>
      <c r="O21" s="99" t="s">
        <v>201</v>
      </c>
      <c r="T21" s="825"/>
      <c r="U21" s="791"/>
      <c r="V21" s="791"/>
      <c r="W21" s="791"/>
      <c r="X21" s="791"/>
      <c r="Y21" s="791"/>
      <c r="Z21" s="796"/>
    </row>
    <row r="22" spans="2:26" ht="21.95" customHeight="1" x14ac:dyDescent="0.25">
      <c r="C22" s="43" t="s">
        <v>263</v>
      </c>
      <c r="D22" s="106" t="s">
        <v>415</v>
      </c>
      <c r="E22" s="106"/>
      <c r="F22" s="106"/>
      <c r="G22" s="170"/>
      <c r="H22" s="1721" t="s">
        <v>550</v>
      </c>
      <c r="I22" s="1722"/>
      <c r="J22" s="21">
        <f>+'28'!J21</f>
        <v>0</v>
      </c>
      <c r="K22" s="22">
        <f>+'28'!K21</f>
        <v>0</v>
      </c>
      <c r="L22" s="98" t="s">
        <v>201</v>
      </c>
      <c r="M22" s="22">
        <f>+'28'!M21</f>
        <v>0</v>
      </c>
      <c r="N22" s="22">
        <f>+'28'!N21</f>
        <v>0</v>
      </c>
      <c r="O22" s="99" t="s">
        <v>201</v>
      </c>
      <c r="T22" s="825"/>
      <c r="U22" s="791"/>
      <c r="V22" s="791"/>
      <c r="W22" s="791"/>
      <c r="X22" s="791"/>
      <c r="Y22" s="791"/>
      <c r="Z22" s="796"/>
    </row>
    <row r="23" spans="2:26" ht="21.95" customHeight="1" thickBot="1" x14ac:dyDescent="0.3">
      <c r="C23" s="43" t="s">
        <v>300</v>
      </c>
      <c r="D23" s="106" t="s">
        <v>345</v>
      </c>
      <c r="E23" s="106"/>
      <c r="F23" s="106"/>
      <c r="G23" s="170"/>
      <c r="H23" s="1721" t="s">
        <v>558</v>
      </c>
      <c r="I23" s="1722"/>
      <c r="J23" s="107">
        <f>+'29'!J24</f>
        <v>298014.59115825919</v>
      </c>
      <c r="K23" s="58">
        <f>+'29'!K24</f>
        <v>305137.67</v>
      </c>
      <c r="L23" s="206" t="str">
        <f>+'29'!L24</f>
        <v>XXXXXXXXXX</v>
      </c>
      <c r="M23" s="58">
        <f>+'29'!M24</f>
        <v>305137.67</v>
      </c>
      <c r="N23" s="58">
        <f>+'29'!N24</f>
        <v>305137.67</v>
      </c>
      <c r="O23" s="149" t="str">
        <f>+'29'!O24</f>
        <v>XXXXXXXXXX</v>
      </c>
      <c r="T23" s="825"/>
      <c r="U23" s="791"/>
      <c r="V23" s="791"/>
      <c r="W23" s="791"/>
      <c r="X23" s="791"/>
      <c r="Y23" s="791"/>
      <c r="Z23" s="796"/>
    </row>
    <row r="24" spans="2:26" ht="21.95" customHeight="1" thickTop="1" thickBot="1" x14ac:dyDescent="0.3">
      <c r="C24" s="136" t="s">
        <v>286</v>
      </c>
      <c r="D24" s="135"/>
      <c r="E24" s="135"/>
      <c r="F24" s="135"/>
      <c r="G24" s="101"/>
      <c r="H24" s="1743" t="s">
        <v>397</v>
      </c>
      <c r="I24" s="1744"/>
      <c r="J24" s="701">
        <f t="shared" ref="J24:O24" si="1">SUM(J15:J23)+J7+J8</f>
        <v>828754.4911582591</v>
      </c>
      <c r="K24" s="72">
        <f t="shared" si="1"/>
        <v>1050963.6299999999</v>
      </c>
      <c r="L24" s="72">
        <f t="shared" si="1"/>
        <v>0</v>
      </c>
      <c r="M24" s="72">
        <f t="shared" si="1"/>
        <v>1050963.6299999999</v>
      </c>
      <c r="N24" s="72">
        <f t="shared" si="1"/>
        <v>708998.07000000007</v>
      </c>
      <c r="O24" s="113">
        <f t="shared" si="1"/>
        <v>115415.56</v>
      </c>
      <c r="T24" s="826"/>
      <c r="U24" s="827"/>
      <c r="V24" s="827"/>
      <c r="W24" s="827"/>
      <c r="X24" s="827"/>
      <c r="Y24" s="827"/>
      <c r="Z24" s="828"/>
    </row>
    <row r="25" spans="2:26" ht="16.5" thickTop="1" x14ac:dyDescent="0.25">
      <c r="B25" s="1617" t="s">
        <v>295</v>
      </c>
      <c r="C25" s="1617"/>
      <c r="D25" s="1617"/>
      <c r="E25" s="1617"/>
      <c r="F25" s="1617"/>
      <c r="G25" s="1617"/>
      <c r="H25" s="1617"/>
      <c r="I25" s="1617"/>
      <c r="J25" s="1617"/>
      <c r="K25" s="1617"/>
      <c r="L25" s="1617"/>
      <c r="M25" s="1617"/>
      <c r="N25" s="1617"/>
      <c r="O25" s="1617"/>
    </row>
    <row r="28" spans="2:26" x14ac:dyDescent="0.2">
      <c r="J28" s="29"/>
    </row>
  </sheetData>
  <sheetProtection algorithmName="SHA-512" hashValue="tYZupKqmJc1U9TDCGCHQ22g0QQKtpzDCDuK5mb8FSJvjzRhIRxDhLCI0Y4Zlmg46Qp4AKK1Hoj5SGEhxZL+yWg==" saltValue="QssJ3J8Gb64chnpp4FWWVA==" spinCount="100000" sheet="1" objects="1" scenarios="1"/>
  <mergeCells count="23">
    <mergeCell ref="B2:O2"/>
    <mergeCell ref="N3:O3"/>
    <mergeCell ref="J3:M3"/>
    <mergeCell ref="B25:O25"/>
    <mergeCell ref="H4:I4"/>
    <mergeCell ref="H7:I7"/>
    <mergeCell ref="H8:I8"/>
    <mergeCell ref="H9:I9"/>
    <mergeCell ref="H10:I10"/>
    <mergeCell ref="H11:I11"/>
    <mergeCell ref="H12:I12"/>
    <mergeCell ref="H13:I13"/>
    <mergeCell ref="H15:I15"/>
    <mergeCell ref="H16:I16"/>
    <mergeCell ref="H17:I17"/>
    <mergeCell ref="H18:I18"/>
    <mergeCell ref="H23:I23"/>
    <mergeCell ref="H24:I24"/>
    <mergeCell ref="H14:I14"/>
    <mergeCell ref="H19:I19"/>
    <mergeCell ref="H20:I20"/>
    <mergeCell ref="H21:I21"/>
    <mergeCell ref="H22:I22"/>
  </mergeCells>
  <phoneticPr fontId="0" type="noConversion"/>
  <pageMargins left="0.25" right="0.3" top="0.25" bottom="0.75" header="0.25" footer="0.25"/>
  <pageSetup paperSize="5" orientation="landscape" r:id="rId1"/>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100">
    <tabColor theme="6" tint="0.39997558519241921"/>
  </sheetPr>
  <dimension ref="C2:P27"/>
  <sheetViews>
    <sheetView zoomScaleNormal="100" workbookViewId="0">
      <selection activeCell="F25" sqref="F25"/>
    </sheetView>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Inputs'!E39)&amp;"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Inputs'!E39)&amp;"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Inputs'!E39&amp;"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C2:L2"/>
    <mergeCell ref="J3:K3"/>
    <mergeCell ref="C4:H4"/>
    <mergeCell ref="E6:H6"/>
    <mergeCell ref="E19:H19"/>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6F00-000000000000}">
          <x14:formula1>
            <xm:f>'Other Codes'!$F$2:$F$11</xm:f>
          </x14:formula1>
          <xm:sqref>J26 I9 I11:I18</xm:sqref>
        </x14:dataValidation>
        <x14:dataValidation type="list" allowBlank="1" showInputMessage="1" showErrorMessage="1" errorTitle="Invalid Entry" error="This FCOA Code is not authorized for use on this sheet." xr:uid="{00000000-0002-0000-6F00-000001000000}">
          <x14:formula1>
            <xm:f>'Other Codes'!$G$2</xm:f>
          </x14:formula1>
          <xm:sqref>I20:I24</xm:sqref>
        </x14:dataValidation>
      </x14:dataValidations>
    </ext>
  </extLst>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101">
    <tabColor theme="6"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6"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Inputs'!E39)&amp;"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Inputs'!E39)&amp;"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 t="shared" ref="K8:K26" si="0">+I8</f>
        <v>0</v>
      </c>
      <c r="L8" s="743"/>
      <c r="M8" s="370">
        <f>IFERROR(IF(+K8-L8&gt;=0,K8-L8,"*")-O8,"*")</f>
        <v>0</v>
      </c>
      <c r="O8" s="1433"/>
    </row>
    <row r="9" spans="2:15" ht="21.95" customHeight="1" x14ac:dyDescent="0.2">
      <c r="C9" s="16"/>
      <c r="D9" s="16"/>
      <c r="E9" s="16" t="s">
        <v>314</v>
      </c>
      <c r="F9" s="17"/>
      <c r="G9" s="93" t="s">
        <v>567</v>
      </c>
      <c r="H9" s="742"/>
      <c r="I9" s="743"/>
      <c r="J9" s="742"/>
      <c r="K9" s="743">
        <f t="shared" si="0"/>
        <v>0</v>
      </c>
      <c r="L9" s="743"/>
      <c r="M9" s="370">
        <f t="shared" ref="M9:M26" si="1">IFERROR(IF(+K9-L9&gt;=0,K9-L9,"*")-O9,"*")</f>
        <v>0</v>
      </c>
      <c r="O9" s="1433"/>
    </row>
    <row r="10" spans="2:15" ht="21.95" customHeight="1" x14ac:dyDescent="0.2">
      <c r="C10" s="744"/>
      <c r="D10" s="744"/>
      <c r="E10" s="744"/>
      <c r="F10" s="745"/>
      <c r="G10" s="958"/>
      <c r="H10" s="742"/>
      <c r="I10" s="743"/>
      <c r="J10" s="742"/>
      <c r="K10" s="743">
        <f t="shared" si="0"/>
        <v>0</v>
      </c>
      <c r="L10" s="743"/>
      <c r="M10" s="370">
        <f t="shared" si="1"/>
        <v>0</v>
      </c>
      <c r="O10" s="1433"/>
    </row>
    <row r="11" spans="2:15" ht="21.95" customHeight="1" x14ac:dyDescent="0.2">
      <c r="C11" s="744"/>
      <c r="D11" s="744"/>
      <c r="E11" s="744"/>
      <c r="F11" s="745"/>
      <c r="G11" s="958"/>
      <c r="H11" s="742"/>
      <c r="I11" s="743"/>
      <c r="J11" s="742"/>
      <c r="K11" s="743">
        <f t="shared" si="0"/>
        <v>0</v>
      </c>
      <c r="L11" s="743"/>
      <c r="M11" s="370">
        <f t="shared" si="1"/>
        <v>0</v>
      </c>
      <c r="O11" s="1433"/>
    </row>
    <row r="12" spans="2:15" ht="21.95" customHeight="1" x14ac:dyDescent="0.2">
      <c r="C12" s="744"/>
      <c r="D12" s="744"/>
      <c r="E12" s="744"/>
      <c r="F12" s="745"/>
      <c r="G12" s="958"/>
      <c r="H12" s="742"/>
      <c r="I12" s="743"/>
      <c r="J12" s="742"/>
      <c r="K12" s="743">
        <f t="shared" si="0"/>
        <v>0</v>
      </c>
      <c r="L12" s="743"/>
      <c r="M12" s="370">
        <f t="shared" si="1"/>
        <v>0</v>
      </c>
      <c r="O12" s="1433"/>
    </row>
    <row r="13" spans="2:15" ht="21.95" customHeight="1" x14ac:dyDescent="0.25">
      <c r="C13" s="882"/>
      <c r="D13" s="744"/>
      <c r="E13" s="744"/>
      <c r="F13" s="745"/>
      <c r="G13" s="958"/>
      <c r="H13" s="951"/>
      <c r="I13" s="952"/>
      <c r="J13" s="951"/>
      <c r="K13" s="743">
        <f t="shared" si="0"/>
        <v>0</v>
      </c>
      <c r="L13" s="952"/>
      <c r="M13" s="370">
        <f t="shared" si="1"/>
        <v>0</v>
      </c>
      <c r="O13" s="1433"/>
    </row>
    <row r="14" spans="2:15" ht="21.95" customHeight="1" x14ac:dyDescent="0.2">
      <c r="C14" s="744"/>
      <c r="D14" s="744"/>
      <c r="E14" s="744"/>
      <c r="F14" s="745"/>
      <c r="G14" s="958"/>
      <c r="H14" s="742"/>
      <c r="I14" s="743"/>
      <c r="J14" s="742"/>
      <c r="K14" s="743">
        <f t="shared" si="0"/>
        <v>0</v>
      </c>
      <c r="L14" s="743"/>
      <c r="M14" s="370">
        <f t="shared" si="1"/>
        <v>0</v>
      </c>
      <c r="O14" s="1433"/>
    </row>
    <row r="15" spans="2:15" ht="21.95" customHeight="1" x14ac:dyDescent="0.2">
      <c r="C15" s="744"/>
      <c r="D15" s="744"/>
      <c r="E15" s="744"/>
      <c r="F15" s="745"/>
      <c r="G15" s="958"/>
      <c r="H15" s="742"/>
      <c r="I15" s="743"/>
      <c r="J15" s="951"/>
      <c r="K15" s="743">
        <f t="shared" si="0"/>
        <v>0</v>
      </c>
      <c r="L15" s="743"/>
      <c r="M15" s="370">
        <f t="shared" si="1"/>
        <v>0</v>
      </c>
      <c r="O15" s="1433"/>
    </row>
    <row r="16" spans="2:15" ht="21.95" customHeight="1" x14ac:dyDescent="0.2">
      <c r="C16" s="744"/>
      <c r="D16" s="744"/>
      <c r="E16" s="744"/>
      <c r="F16" s="745"/>
      <c r="G16" s="958"/>
      <c r="H16" s="742"/>
      <c r="I16" s="743"/>
      <c r="J16" s="742"/>
      <c r="K16" s="743">
        <f t="shared" si="0"/>
        <v>0</v>
      </c>
      <c r="L16" s="743"/>
      <c r="M16" s="370">
        <f t="shared" si="1"/>
        <v>0</v>
      </c>
      <c r="O16" s="1433"/>
    </row>
    <row r="17" spans="2:15" ht="21.95" customHeight="1" x14ac:dyDescent="0.2">
      <c r="C17" s="744"/>
      <c r="D17" s="744"/>
      <c r="E17" s="744"/>
      <c r="F17" s="745"/>
      <c r="G17" s="958"/>
      <c r="H17" s="742"/>
      <c r="I17" s="743"/>
      <c r="J17" s="742"/>
      <c r="K17" s="743">
        <f t="shared" si="0"/>
        <v>0</v>
      </c>
      <c r="L17" s="743"/>
      <c r="M17" s="370">
        <f t="shared" si="1"/>
        <v>0</v>
      </c>
      <c r="O17" s="1433"/>
    </row>
    <row r="18" spans="2:15" ht="21.95" customHeight="1" x14ac:dyDescent="0.2">
      <c r="C18" s="744"/>
      <c r="D18" s="744"/>
      <c r="E18" s="744"/>
      <c r="F18" s="745"/>
      <c r="G18" s="958"/>
      <c r="H18" s="742"/>
      <c r="I18" s="743"/>
      <c r="J18" s="742"/>
      <c r="K18" s="743">
        <f t="shared" si="0"/>
        <v>0</v>
      </c>
      <c r="L18" s="743"/>
      <c r="M18" s="370">
        <f t="shared" si="1"/>
        <v>0</v>
      </c>
      <c r="O18" s="1433"/>
    </row>
    <row r="19" spans="2:15" ht="21.95" customHeight="1" x14ac:dyDescent="0.25">
      <c r="C19" s="882"/>
      <c r="D19" s="744"/>
      <c r="E19" s="744"/>
      <c r="F19" s="745"/>
      <c r="G19" s="958"/>
      <c r="H19" s="951"/>
      <c r="I19" s="952"/>
      <c r="J19" s="951"/>
      <c r="K19" s="743">
        <f t="shared" si="0"/>
        <v>0</v>
      </c>
      <c r="L19" s="952"/>
      <c r="M19" s="370">
        <f t="shared" si="1"/>
        <v>0</v>
      </c>
      <c r="O19" s="1433"/>
    </row>
    <row r="20" spans="2:15" ht="21.95" customHeight="1" x14ac:dyDescent="0.2">
      <c r="C20" s="744"/>
      <c r="D20" s="744"/>
      <c r="E20" s="744"/>
      <c r="F20" s="745"/>
      <c r="G20" s="958"/>
      <c r="H20" s="742"/>
      <c r="I20" s="743"/>
      <c r="J20" s="742"/>
      <c r="K20" s="743">
        <f t="shared" si="0"/>
        <v>0</v>
      </c>
      <c r="L20" s="743"/>
      <c r="M20" s="370">
        <f t="shared" si="1"/>
        <v>0</v>
      </c>
      <c r="O20" s="1433"/>
    </row>
    <row r="21" spans="2:15" ht="21.95" customHeight="1" x14ac:dyDescent="0.2">
      <c r="C21" s="744"/>
      <c r="D21" s="744"/>
      <c r="E21" s="876"/>
      <c r="F21" s="745"/>
      <c r="G21" s="958"/>
      <c r="H21" s="742"/>
      <c r="I21" s="743"/>
      <c r="J21" s="742"/>
      <c r="K21" s="743">
        <f t="shared" si="0"/>
        <v>0</v>
      </c>
      <c r="L21" s="743"/>
      <c r="M21" s="370">
        <f t="shared" si="1"/>
        <v>0</v>
      </c>
      <c r="O21" s="1433"/>
    </row>
    <row r="22" spans="2:15" ht="21.95" customHeight="1" x14ac:dyDescent="0.2">
      <c r="C22" s="744"/>
      <c r="D22" s="744"/>
      <c r="E22" s="744"/>
      <c r="F22" s="745"/>
      <c r="G22" s="958"/>
      <c r="H22" s="742"/>
      <c r="I22" s="743"/>
      <c r="J22" s="742"/>
      <c r="K22" s="743">
        <f t="shared" si="0"/>
        <v>0</v>
      </c>
      <c r="L22" s="743"/>
      <c r="M22" s="370">
        <f t="shared" si="1"/>
        <v>0</v>
      </c>
      <c r="O22" s="1433"/>
    </row>
    <row r="23" spans="2:15" ht="21.95" customHeight="1" x14ac:dyDescent="0.2">
      <c r="C23" s="744"/>
      <c r="D23" s="744"/>
      <c r="E23" s="744"/>
      <c r="F23" s="745"/>
      <c r="G23" s="958"/>
      <c r="H23" s="742"/>
      <c r="I23" s="743"/>
      <c r="J23" s="742"/>
      <c r="K23" s="743">
        <f t="shared" si="0"/>
        <v>0</v>
      </c>
      <c r="L23" s="743"/>
      <c r="M23" s="370">
        <f t="shared" si="1"/>
        <v>0</v>
      </c>
      <c r="O23" s="1433"/>
    </row>
    <row r="24" spans="2:15" ht="21.95" customHeight="1" x14ac:dyDescent="0.2">
      <c r="C24" s="748"/>
      <c r="D24" s="748"/>
      <c r="E24" s="748"/>
      <c r="F24" s="904"/>
      <c r="G24" s="959"/>
      <c r="H24" s="905"/>
      <c r="I24" s="865"/>
      <c r="J24" s="905"/>
      <c r="K24" s="743">
        <f t="shared" si="0"/>
        <v>0</v>
      </c>
      <c r="L24" s="865"/>
      <c r="M24" s="370">
        <f t="shared" si="1"/>
        <v>0</v>
      </c>
      <c r="O24" s="1433"/>
    </row>
    <row r="25" spans="2:15" ht="21.95" customHeight="1" x14ac:dyDescent="0.2">
      <c r="C25" s="748"/>
      <c r="D25" s="748"/>
      <c r="E25" s="748"/>
      <c r="F25" s="904"/>
      <c r="G25" s="959"/>
      <c r="H25" s="905"/>
      <c r="I25" s="865"/>
      <c r="J25" s="905"/>
      <c r="K25" s="743">
        <f t="shared" si="0"/>
        <v>0</v>
      </c>
      <c r="L25" s="865"/>
      <c r="M25" s="370">
        <f t="shared" si="1"/>
        <v>0</v>
      </c>
      <c r="O25" s="1433"/>
    </row>
    <row r="26" spans="2:15" ht="21.95" customHeight="1" thickBot="1" x14ac:dyDescent="0.25">
      <c r="B26" s="2"/>
      <c r="C26" s="893"/>
      <c r="D26" s="893"/>
      <c r="E26" s="893"/>
      <c r="F26" s="894"/>
      <c r="G26" s="960"/>
      <c r="H26" s="897"/>
      <c r="I26" s="898"/>
      <c r="J26" s="897"/>
      <c r="K26" s="898">
        <f t="shared" si="0"/>
        <v>0</v>
      </c>
      <c r="L26" s="898"/>
      <c r="M26" s="525">
        <f t="shared" si="1"/>
        <v>0</v>
      </c>
      <c r="O26" s="1433"/>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tyJx3DtNRDq3ppg4D+okVN/uL2klcpRO4bQ0K1vqLPceAjXJbzYBFVRh+PG3RsvesCOWikESCnD9j8d7kuoKgQ==" saltValue="/el8VXaZrObBT8zn5xb+t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000-000000000000}">
          <x14:formula1>
            <xm:f>'Other Codes'!$I$2:$I$6</xm:f>
          </x14:formula1>
          <xm:sqref>G10:G26</xm:sqref>
        </x14:dataValidation>
      </x14:dataValidations>
    </ext>
  </extLst>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102">
    <tabColor theme="6"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Inputs'!E39)&amp;"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Inputs'!E39)&amp;"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1434"/>
    </row>
    <row r="9" spans="2:15" ht="21.95" customHeight="1" x14ac:dyDescent="0.2">
      <c r="C9" s="744"/>
      <c r="D9" s="744"/>
      <c r="E9" s="744"/>
      <c r="F9" s="745"/>
      <c r="G9" s="958"/>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DwWsk3zIH2edpAuzd0PkDgl87T6RL/GHj3aPlGKeBBLg8xdJjqDQu1hba8KsJ2Ynd+Vc+Qp5j0AsmGjhJoxyuA==" saltValue="02SapVGHwFJJ+3lsyesBk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100-000000000000}">
          <x14:formula1>
            <xm:f>'Other Codes'!$I$2:$I$6</xm:f>
          </x14:formula1>
          <xm:sqref>G8:G26</xm:sqref>
        </x14:dataValidation>
      </x14:dataValidations>
    </ext>
  </extLst>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103">
    <tabColor theme="6"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6"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Inputs'!E39)&amp;"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Inputs'!E39)&amp;"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1435"/>
    </row>
    <row r="9" spans="2:15" ht="21.95" customHeight="1" x14ac:dyDescent="0.2">
      <c r="C9" s="744"/>
      <c r="D9" s="744"/>
      <c r="E9" s="744"/>
      <c r="F9" s="745"/>
      <c r="G9" s="958"/>
      <c r="H9" s="742"/>
      <c r="I9" s="743"/>
      <c r="J9" s="742"/>
      <c r="K9" s="743">
        <f t="shared" ref="K9:K26" si="0">+I9</f>
        <v>0</v>
      </c>
      <c r="L9" s="743"/>
      <c r="M9" s="370">
        <f>IFERROR(IF(+K9-L9&gt;=0,K9-L9,"*")-O9,"*")</f>
        <v>0</v>
      </c>
      <c r="O9" s="1435"/>
    </row>
    <row r="10" spans="2:15" ht="21.95" customHeight="1" x14ac:dyDescent="0.2">
      <c r="C10" s="744"/>
      <c r="D10" s="744"/>
      <c r="E10" s="744"/>
      <c r="F10" s="745"/>
      <c r="G10" s="958"/>
      <c r="H10" s="742"/>
      <c r="I10" s="743"/>
      <c r="J10" s="742"/>
      <c r="K10" s="743">
        <f t="shared" si="0"/>
        <v>0</v>
      </c>
      <c r="L10" s="743"/>
      <c r="M10" s="370">
        <f>IFERROR(IF(+K10-L10&gt;=0,K10-L10,"*")-O10,"*")</f>
        <v>0</v>
      </c>
      <c r="O10" s="1435"/>
    </row>
    <row r="11" spans="2:15" ht="21.95" customHeight="1" x14ac:dyDescent="0.2">
      <c r="C11" s="744"/>
      <c r="D11" s="744"/>
      <c r="E11" s="744"/>
      <c r="F11" s="745"/>
      <c r="G11" s="958"/>
      <c r="H11" s="742"/>
      <c r="I11" s="743"/>
      <c r="J11" s="742"/>
      <c r="K11" s="743">
        <f t="shared" si="0"/>
        <v>0</v>
      </c>
      <c r="L11" s="743"/>
      <c r="M11" s="370">
        <f>IFERROR(IF(+K11-L11&gt;=0,K11-L11,"*")-O11,"*")</f>
        <v>0</v>
      </c>
      <c r="O11" s="1435"/>
    </row>
    <row r="12" spans="2:15" ht="21.95" customHeight="1" x14ac:dyDescent="0.2">
      <c r="C12" s="744"/>
      <c r="D12" s="744"/>
      <c r="E12" s="744"/>
      <c r="F12" s="745"/>
      <c r="G12" s="958"/>
      <c r="H12" s="742"/>
      <c r="I12" s="743"/>
      <c r="J12" s="742"/>
      <c r="K12" s="743">
        <f t="shared" si="0"/>
        <v>0</v>
      </c>
      <c r="L12" s="743"/>
      <c r="M12" s="370">
        <f>IFERROR(IF(+K12-L12&gt;=0,K12-L12,"*")-O12,"*")</f>
        <v>0</v>
      </c>
      <c r="O12" s="1435"/>
    </row>
    <row r="13" spans="2:15" ht="21.95" customHeight="1" x14ac:dyDescent="0.25">
      <c r="C13" s="43" t="s">
        <v>315</v>
      </c>
      <c r="D13" s="16"/>
      <c r="E13" s="16"/>
      <c r="F13" s="17"/>
      <c r="G13" s="93" t="s">
        <v>200</v>
      </c>
      <c r="H13" s="97" t="s">
        <v>201</v>
      </c>
      <c r="I13" s="98" t="s">
        <v>201</v>
      </c>
      <c r="J13" s="97" t="s">
        <v>201</v>
      </c>
      <c r="K13" s="98" t="s">
        <v>201</v>
      </c>
      <c r="L13" s="98" t="s">
        <v>201</v>
      </c>
      <c r="M13" s="99" t="s">
        <v>201</v>
      </c>
      <c r="O13" s="251"/>
    </row>
    <row r="14" spans="2:15" ht="21.95" customHeight="1" x14ac:dyDescent="0.2">
      <c r="C14" s="16"/>
      <c r="D14" s="16"/>
      <c r="E14" s="16" t="s">
        <v>243</v>
      </c>
      <c r="F14" s="17"/>
      <c r="G14" s="93" t="s">
        <v>568</v>
      </c>
      <c r="H14" s="742"/>
      <c r="I14" s="743"/>
      <c r="J14" s="742"/>
      <c r="K14" s="743">
        <f t="shared" si="0"/>
        <v>0</v>
      </c>
      <c r="L14" s="743"/>
      <c r="M14" s="370">
        <f>IFERROR(IF(+K14-L14&gt;=0,K14-L14,"*")-O14,"*")</f>
        <v>0</v>
      </c>
      <c r="O14" s="1435"/>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5"/>
    </row>
    <row r="16" spans="2:15" ht="21.95" customHeight="1" x14ac:dyDescent="0.2">
      <c r="C16" s="16"/>
      <c r="D16" s="16"/>
      <c r="E16" s="16" t="s">
        <v>317</v>
      </c>
      <c r="F16" s="17"/>
      <c r="G16" s="93" t="s">
        <v>570</v>
      </c>
      <c r="H16" s="742"/>
      <c r="I16" s="743"/>
      <c r="J16" s="742"/>
      <c r="K16" s="743">
        <f t="shared" si="0"/>
        <v>0</v>
      </c>
      <c r="L16" s="743"/>
      <c r="M16" s="370">
        <f>IFERROR(IF(+K16-L16&gt;=0,K16-L16,"*")-O16,"*")</f>
        <v>0</v>
      </c>
      <c r="O16" s="1435"/>
    </row>
    <row r="17" spans="2:15" ht="21.95" customHeight="1" x14ac:dyDescent="0.2">
      <c r="C17" s="744"/>
      <c r="D17" s="744"/>
      <c r="E17" s="744"/>
      <c r="F17" s="745"/>
      <c r="G17" s="958"/>
      <c r="H17" s="742"/>
      <c r="I17" s="743"/>
      <c r="J17" s="742"/>
      <c r="K17" s="743">
        <f t="shared" si="0"/>
        <v>0</v>
      </c>
      <c r="L17" s="743"/>
      <c r="M17" s="370">
        <f>IFERROR(IF(+K17-L17&gt;=0,K17-L17,"*")-O17,"*")</f>
        <v>0</v>
      </c>
      <c r="O17" s="1435"/>
    </row>
    <row r="18" spans="2:15" ht="21.95" customHeight="1" x14ac:dyDescent="0.2">
      <c r="C18" s="744"/>
      <c r="D18" s="744"/>
      <c r="E18" s="744"/>
      <c r="F18" s="745"/>
      <c r="G18" s="958"/>
      <c r="H18" s="742"/>
      <c r="I18" s="743"/>
      <c r="J18" s="742"/>
      <c r="K18" s="743">
        <f t="shared" si="0"/>
        <v>0</v>
      </c>
      <c r="L18" s="743"/>
      <c r="M18" s="370">
        <f>IFERROR(IF(+K18-L18&gt;=0,K18-L18,"*")-O18,"*")</f>
        <v>0</v>
      </c>
      <c r="O18" s="1435"/>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Ah8504RehBPHqR3BIy/6iAFXxVs1BBQ5p4SB6thXOadL9F/YD+hM8BdRtGCYbjQNfpNnEU8hx7055fRiiOZzxg==" saltValue="lFxEnc29Ihmrwi2Ut+aBmg==" spinCount="100000" sheet="1" objects="1" scenarios="1"/>
  <mergeCells count="4">
    <mergeCell ref="B2:M2"/>
    <mergeCell ref="L3:M3"/>
    <mergeCell ref="H3:K3"/>
    <mergeCell ref="B27:M2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200-000000000000}">
          <x14:formula1>
            <xm:f>'Other Codes'!$J$2:$J$6</xm:f>
          </x14:formula1>
          <xm:sqref>G8:G12</xm:sqref>
        </x14:dataValidation>
        <x14:dataValidation type="list" allowBlank="1" showInputMessage="1" showErrorMessage="1" errorTitle="Invalid Entry" error="This FCOA Code is not authorized for use on this sheet." xr:uid="{00000000-0002-0000-7200-000001000000}">
          <x14:formula1>
            <xm:f>'Other Codes'!$J$7:$J$9</xm:f>
          </x14:formula1>
          <xm:sqref>G17 G18</xm:sqref>
        </x14:dataValidation>
        <x14:dataValidation type="list" allowBlank="1" showInputMessage="1" showErrorMessage="1" errorTitle="Invalid Entry" error="This FCOA Code is not authorized for use on this sheet." xr:uid="{00000000-0002-0000-7200-000002000000}">
          <x14:formula1>
            <xm:f>'Other Codes'!$J$10:$J$11</xm:f>
          </x14:formula1>
          <xm:sqref>G24:G26</xm:sqref>
        </x14:dataValidation>
      </x14:dataValidations>
    </ext>
  </extLst>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104">
    <tabColor theme="6" tint="0.39997558519241921"/>
  </sheetPr>
  <dimension ref="A2:O29"/>
  <sheetViews>
    <sheetView zoomScaleNormal="100" workbookViewId="0">
      <selection activeCell="F25" sqref="F25"/>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Inputs'!E39)&amp;"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Inputs'!E39)&amp;"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c r="O5" s="568" t="s">
        <v>3375</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1436">
        <f>K9-L9</f>
        <v>0</v>
      </c>
    </row>
    <row r="10" spans="1:15" ht="24" customHeight="1" x14ac:dyDescent="0.2">
      <c r="C10" s="744"/>
      <c r="D10" s="744"/>
      <c r="E10" s="744"/>
      <c r="F10" s="745"/>
      <c r="G10" s="958"/>
      <c r="H10" s="742"/>
      <c r="I10" s="743"/>
      <c r="J10" s="97" t="s">
        <v>201</v>
      </c>
      <c r="K10" s="743">
        <f>+I10</f>
        <v>0</v>
      </c>
      <c r="L10" s="743"/>
      <c r="M10" s="99" t="s">
        <v>201</v>
      </c>
      <c r="O10" s="1436">
        <f>K10-L10</f>
        <v>0</v>
      </c>
    </row>
    <row r="11" spans="1:15" ht="24" customHeight="1" x14ac:dyDescent="0.2">
      <c r="C11" s="744"/>
      <c r="D11" s="744"/>
      <c r="E11" s="744"/>
      <c r="F11" s="745"/>
      <c r="G11" s="958"/>
      <c r="H11" s="742"/>
      <c r="I11" s="743"/>
      <c r="J11" s="97" t="s">
        <v>201</v>
      </c>
      <c r="K11" s="743">
        <f>+I11</f>
        <v>0</v>
      </c>
      <c r="L11" s="743"/>
      <c r="M11" s="99" t="s">
        <v>201</v>
      </c>
      <c r="O11" s="1436">
        <f>K11-L11</f>
        <v>0</v>
      </c>
    </row>
    <row r="12" spans="1:15" ht="24" customHeight="1" x14ac:dyDescent="0.2">
      <c r="C12" s="744"/>
      <c r="D12" s="744"/>
      <c r="E12" s="744"/>
      <c r="F12" s="745"/>
      <c r="G12" s="958"/>
      <c r="H12" s="742"/>
      <c r="I12" s="743"/>
      <c r="J12" s="97" t="s">
        <v>201</v>
      </c>
      <c r="K12" s="743">
        <f>+I12</f>
        <v>0</v>
      </c>
      <c r="L12" s="743"/>
      <c r="M12" s="99" t="s">
        <v>201</v>
      </c>
      <c r="O12" s="1436">
        <f>K12-L12</f>
        <v>0</v>
      </c>
    </row>
    <row r="13" spans="1:15" ht="24" customHeight="1" x14ac:dyDescent="0.2">
      <c r="C13" s="744"/>
      <c r="D13" s="744"/>
      <c r="E13" s="744"/>
      <c r="F13" s="745"/>
      <c r="G13" s="958"/>
      <c r="H13" s="742"/>
      <c r="I13" s="743"/>
      <c r="J13" s="97" t="s">
        <v>201</v>
      </c>
      <c r="K13" s="743">
        <f>+I13</f>
        <v>0</v>
      </c>
      <c r="L13" s="743"/>
      <c r="M13" s="99" t="s">
        <v>201</v>
      </c>
      <c r="O13" s="1436">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c r="O14" s="1437"/>
    </row>
    <row r="15" spans="1:15" ht="12.75" customHeight="1" x14ac:dyDescent="0.2">
      <c r="C15" s="104"/>
      <c r="D15" s="104"/>
      <c r="E15" s="62" t="s">
        <v>324</v>
      </c>
      <c r="F15" s="130"/>
      <c r="G15" s="131"/>
      <c r="H15" s="1751"/>
      <c r="I15" s="1751"/>
      <c r="J15" s="1751"/>
      <c r="K15" s="1751">
        <f>+I15</f>
        <v>0</v>
      </c>
      <c r="L15" s="1751"/>
      <c r="M15" s="1753">
        <f>IFERROR(IF(+K15-L15&gt;=0,K15-L15,"*")-O16,"*")</f>
        <v>0</v>
      </c>
      <c r="O15" s="1437"/>
    </row>
    <row r="16" spans="1:15" ht="12.75" customHeight="1" x14ac:dyDescent="0.2">
      <c r="C16" s="87"/>
      <c r="D16" s="87"/>
      <c r="E16" s="87"/>
      <c r="F16" s="178" t="s">
        <v>594</v>
      </c>
      <c r="G16" s="132" t="s">
        <v>576</v>
      </c>
      <c r="H16" s="1752"/>
      <c r="I16" s="1752"/>
      <c r="J16" s="1752"/>
      <c r="K16" s="1752"/>
      <c r="L16" s="1752"/>
      <c r="M16" s="1754"/>
      <c r="O16" s="1438"/>
    </row>
    <row r="17" spans="2:15" ht="24" customHeight="1" x14ac:dyDescent="0.2">
      <c r="C17" s="16"/>
      <c r="D17" s="16"/>
      <c r="E17" s="16"/>
      <c r="F17" s="17" t="s">
        <v>221</v>
      </c>
      <c r="G17" s="93" t="s">
        <v>577</v>
      </c>
      <c r="H17" s="742"/>
      <c r="I17" s="743"/>
      <c r="J17" s="742"/>
      <c r="K17" s="868">
        <f>+I17</f>
        <v>0</v>
      </c>
      <c r="L17" s="743"/>
      <c r="M17" s="370">
        <f>IFERROR(IF(+K17-L17&gt;=0,K17-L17,"*")-O17,"*")</f>
        <v>0</v>
      </c>
      <c r="O17" s="1438"/>
    </row>
    <row r="18" spans="2:15" ht="24" customHeight="1" x14ac:dyDescent="0.2">
      <c r="C18" s="16"/>
      <c r="D18" s="16"/>
      <c r="E18" s="1731" t="s">
        <v>325</v>
      </c>
      <c r="F18" s="1750"/>
      <c r="G18" s="93" t="s">
        <v>578</v>
      </c>
      <c r="H18" s="742"/>
      <c r="I18" s="743"/>
      <c r="J18" s="742"/>
      <c r="K18" s="868">
        <f t="shared" ref="K18:K24" si="0">+I18</f>
        <v>0</v>
      </c>
      <c r="L18" s="743"/>
      <c r="M18" s="370">
        <f>IFERROR(IF(+K18-L18&gt;=0,K18-L18,"*")-O18,"*")</f>
        <v>0</v>
      </c>
      <c r="O18" s="1438"/>
    </row>
    <row r="19" spans="2:15" ht="24" customHeight="1" x14ac:dyDescent="0.2">
      <c r="C19" s="744"/>
      <c r="D19" s="744"/>
      <c r="E19" s="744"/>
      <c r="F19" s="745"/>
      <c r="G19" s="958"/>
      <c r="H19" s="742"/>
      <c r="I19" s="743"/>
      <c r="J19" s="742"/>
      <c r="K19" s="868">
        <f t="shared" si="0"/>
        <v>0</v>
      </c>
      <c r="L19" s="743"/>
      <c r="M19" s="370">
        <f>IFERROR(IF(+K19-L19&gt;=0,K19-L19,"*")-O19,"*")</f>
        <v>0</v>
      </c>
      <c r="O19" s="1438"/>
    </row>
    <row r="20" spans="2:15" ht="24" customHeight="1" x14ac:dyDescent="0.2">
      <c r="C20" s="744"/>
      <c r="D20" s="744"/>
      <c r="E20" s="744"/>
      <c r="F20" s="745"/>
      <c r="G20" s="958"/>
      <c r="H20" s="742"/>
      <c r="I20" s="743"/>
      <c r="J20" s="742"/>
      <c r="K20" s="868">
        <f t="shared" si="0"/>
        <v>0</v>
      </c>
      <c r="L20" s="743"/>
      <c r="M20" s="370">
        <f>IFERROR(IF(+K20-L20&gt;=0,K20-L20,"*")-O20,"*")</f>
        <v>0</v>
      </c>
      <c r="O20" s="1438"/>
    </row>
    <row r="21" spans="2:15" ht="24" customHeight="1" x14ac:dyDescent="0.2">
      <c r="C21" s="744"/>
      <c r="D21" s="744"/>
      <c r="E21" s="744"/>
      <c r="F21" s="745"/>
      <c r="G21" s="958"/>
      <c r="H21" s="742"/>
      <c r="I21" s="743"/>
      <c r="J21" s="742"/>
      <c r="K21" s="868">
        <f t="shared" si="0"/>
        <v>0</v>
      </c>
      <c r="L21" s="743"/>
      <c r="M21" s="370">
        <f>IFERROR(IF(+K21-L21&gt;=0,K21-L21,"*")-O21,"*")</f>
        <v>0</v>
      </c>
      <c r="O21" s="1438"/>
    </row>
    <row r="22" spans="2:15" ht="24" customHeight="1" x14ac:dyDescent="0.25">
      <c r="C22" s="43" t="s">
        <v>326</v>
      </c>
      <c r="D22" s="16"/>
      <c r="E22" s="50"/>
      <c r="F22" s="17"/>
      <c r="G22" s="93" t="s">
        <v>579</v>
      </c>
      <c r="H22" s="742"/>
      <c r="I22" s="743"/>
      <c r="J22" s="742"/>
      <c r="K22" s="868">
        <f t="shared" si="0"/>
        <v>0</v>
      </c>
      <c r="L22" s="743"/>
      <c r="M22" s="99" t="s">
        <v>201</v>
      </c>
      <c r="O22" s="1436">
        <f>K22-L22</f>
        <v>0</v>
      </c>
    </row>
    <row r="23" spans="2:15" ht="24" customHeight="1" x14ac:dyDescent="0.25">
      <c r="C23" s="43" t="s">
        <v>327</v>
      </c>
      <c r="D23" s="16"/>
      <c r="E23" s="16"/>
      <c r="F23" s="17"/>
      <c r="G23" s="93" t="s">
        <v>580</v>
      </c>
      <c r="H23" s="742"/>
      <c r="I23" s="743"/>
      <c r="J23" s="97" t="s">
        <v>201</v>
      </c>
      <c r="K23" s="868">
        <f t="shared" si="0"/>
        <v>0</v>
      </c>
      <c r="L23" s="743"/>
      <c r="M23" s="99" t="s">
        <v>201</v>
      </c>
      <c r="O23" s="1436">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1436">
        <f>K24-L24</f>
        <v>0</v>
      </c>
    </row>
    <row r="25" spans="2:15" ht="21.95" customHeight="1" thickTop="1" thickBot="1" x14ac:dyDescent="0.3">
      <c r="C25" s="18"/>
      <c r="D25" s="565" t="str">
        <f>"TOTAL "&amp;UPPER('Key Inputs'!E39)&amp;" UTILITY  APPROPRIATIONS"</f>
        <v>TOTAL  UTILITY  APPROPRIATIONS</v>
      </c>
      <c r="E25" s="566"/>
      <c r="F25" s="567"/>
      <c r="G25" s="102" t="s">
        <v>400</v>
      </c>
      <c r="H25" s="137">
        <f>+SUM(H9:H24)+SUM('32b-Utility1'!H8:H26)+SUM('32-Utility1:32a-Utility1'!H8:H26)</f>
        <v>0</v>
      </c>
      <c r="I25" s="137">
        <f>+SUM(I9:I24)+SUM('32b-Utility1'!I8:I26)+SUM('32-Utility1:32a-Utility1'!I8:I26)</f>
        <v>0</v>
      </c>
      <c r="J25" s="137">
        <f>+SUM(J9:J24)+SUM('32b-Utility1'!J8:J26)+SUM('32-Utility1:32a-Utility1'!J8:J26)</f>
        <v>0</v>
      </c>
      <c r="K25" s="137">
        <f>+SUM(K9:K24)+SUM('32b-Utility1'!K8:K26)+SUM('32-Utility1:32a-Utility1'!K8:K26)</f>
        <v>0</v>
      </c>
      <c r="L25" s="137">
        <f>+SUM(L9:L24)+SUM('32b-Utility1'!L8:L26)+SUM('32-Utility1:32a-Utility1'!L8:L26)</f>
        <v>0</v>
      </c>
      <c r="M25" s="137">
        <f>+SUM(M9:M24)+SUM('32b-Utility1'!M8:M26)+SUM('32-Utility1:32a-Utility1'!M8:M26)</f>
        <v>0</v>
      </c>
      <c r="O25" s="1437">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7nMv5g15vIMbSW4FhDBDnC/CS4+nWShI9XI48saMoSB2fK4frhSS7/zDqHOzmMT5VdM2+gpqPIUFShDimPWC5A==" saltValue="FlcdfRDaZbtzYBZAZY17rw==" spinCount="100000" sheet="1" objects="1" scenarios="1"/>
  <mergeCells count="11">
    <mergeCell ref="B2:M2"/>
    <mergeCell ref="L3:M3"/>
    <mergeCell ref="H3:K3"/>
    <mergeCell ref="B26:M26"/>
    <mergeCell ref="E18:F18"/>
    <mergeCell ref="H15:H16"/>
    <mergeCell ref="I15:I16"/>
    <mergeCell ref="J15:J16"/>
    <mergeCell ref="K15:K16"/>
    <mergeCell ref="L15:L16"/>
    <mergeCell ref="M15:M16"/>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300-000000000000}">
          <x14:formula1>
            <xm:f>'Other Codes'!$K$2:$K$4</xm:f>
          </x14:formula1>
          <xm:sqref>G10:G13 G19:G21</xm:sqref>
        </x14:dataValidation>
      </x14:dataValidations>
    </ext>
  </extLst>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105">
    <tabColor theme="3" tint="0.39997558519241921"/>
  </sheetPr>
  <dimension ref="C2:P27"/>
  <sheetViews>
    <sheetView zoomScaleNormal="100" workbookViewId="0">
      <selection activeCell="F25" sqref="F25"/>
    </sheetView>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Inputs'!E40)&amp;"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Inputs'!E40)&amp;"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Inputs'!E40&amp;"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4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400-000001000000}">
          <x14:formula1>
            <xm:f>'Other Codes'!$G$2</xm:f>
          </x14:formula1>
          <xm:sqref>I20:I24</xm:sqref>
        </x14:dataValidation>
      </x14:dataValidations>
    </ext>
  </extLst>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Sheet106">
    <tabColor theme="3"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Inputs'!E40)&amp;"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Inputs'!E40)&amp;"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3"/>
    </row>
    <row r="9" spans="2:15" ht="21.95" customHeight="1" x14ac:dyDescent="0.2">
      <c r="C9" s="16"/>
      <c r="D9" s="16"/>
      <c r="E9" s="16" t="s">
        <v>314</v>
      </c>
      <c r="F9" s="17"/>
      <c r="G9" s="93" t="s">
        <v>567</v>
      </c>
      <c r="H9" s="742"/>
      <c r="I9" s="743"/>
      <c r="J9" s="742"/>
      <c r="K9" s="743">
        <f t="shared" ref="K9:K26" si="0">+I9</f>
        <v>0</v>
      </c>
      <c r="L9" s="743"/>
      <c r="M9" s="370">
        <f t="shared" ref="M9:M26" si="1">IFERROR(IF(+K9-L9&gt;=0,K9-L9,"*")-O9,"*")</f>
        <v>0</v>
      </c>
      <c r="O9" s="1433"/>
    </row>
    <row r="10" spans="2:15" ht="21.95" customHeight="1" x14ac:dyDescent="0.2">
      <c r="C10" s="744"/>
      <c r="D10" s="744"/>
      <c r="E10" s="744"/>
      <c r="F10" s="745"/>
      <c r="G10" s="958"/>
      <c r="H10" s="742"/>
      <c r="I10" s="743"/>
      <c r="J10" s="742"/>
      <c r="K10" s="743">
        <f t="shared" si="0"/>
        <v>0</v>
      </c>
      <c r="L10" s="743"/>
      <c r="M10" s="370">
        <f t="shared" si="1"/>
        <v>0</v>
      </c>
      <c r="O10" s="1433"/>
    </row>
    <row r="11" spans="2:15" ht="21.95" customHeight="1" x14ac:dyDescent="0.2">
      <c r="C11" s="744"/>
      <c r="D11" s="744"/>
      <c r="E11" s="744"/>
      <c r="F11" s="745"/>
      <c r="G11" s="958"/>
      <c r="H11" s="742"/>
      <c r="I11" s="743"/>
      <c r="J11" s="742"/>
      <c r="K11" s="743">
        <f t="shared" si="0"/>
        <v>0</v>
      </c>
      <c r="L11" s="743"/>
      <c r="M11" s="370">
        <f t="shared" si="1"/>
        <v>0</v>
      </c>
      <c r="O11" s="1433"/>
    </row>
    <row r="12" spans="2:15" ht="21.95" customHeight="1" x14ac:dyDescent="0.2">
      <c r="C12" s="744"/>
      <c r="D12" s="744"/>
      <c r="E12" s="744"/>
      <c r="F12" s="745"/>
      <c r="G12" s="958"/>
      <c r="H12" s="742"/>
      <c r="I12" s="743"/>
      <c r="J12" s="742"/>
      <c r="K12" s="743">
        <f t="shared" si="0"/>
        <v>0</v>
      </c>
      <c r="L12" s="743"/>
      <c r="M12" s="370">
        <f t="shared" si="1"/>
        <v>0</v>
      </c>
      <c r="O12" s="1433"/>
    </row>
    <row r="13" spans="2:15" ht="21.95" customHeight="1" x14ac:dyDescent="0.25">
      <c r="C13" s="882"/>
      <c r="D13" s="744"/>
      <c r="E13" s="744"/>
      <c r="F13" s="745"/>
      <c r="G13" s="958"/>
      <c r="H13" s="951"/>
      <c r="I13" s="952"/>
      <c r="J13" s="951"/>
      <c r="K13" s="743">
        <f>+I13</f>
        <v>0</v>
      </c>
      <c r="L13" s="952"/>
      <c r="M13" s="370">
        <f t="shared" si="1"/>
        <v>0</v>
      </c>
      <c r="O13" s="1433"/>
    </row>
    <row r="14" spans="2:15" ht="21.95" customHeight="1" x14ac:dyDescent="0.2">
      <c r="C14" s="744"/>
      <c r="D14" s="744"/>
      <c r="E14" s="744"/>
      <c r="F14" s="745"/>
      <c r="G14" s="958"/>
      <c r="H14" s="742"/>
      <c r="I14" s="743"/>
      <c r="J14" s="742"/>
      <c r="K14" s="743">
        <f t="shared" si="0"/>
        <v>0</v>
      </c>
      <c r="L14" s="743"/>
      <c r="M14" s="370">
        <f t="shared" si="1"/>
        <v>0</v>
      </c>
      <c r="O14" s="1433"/>
    </row>
    <row r="15" spans="2:15" ht="21.95" customHeight="1" x14ac:dyDescent="0.2">
      <c r="C15" s="744"/>
      <c r="D15" s="744"/>
      <c r="E15" s="744"/>
      <c r="F15" s="745"/>
      <c r="G15" s="958"/>
      <c r="H15" s="742"/>
      <c r="I15" s="743"/>
      <c r="J15" s="951"/>
      <c r="K15" s="743">
        <f t="shared" si="0"/>
        <v>0</v>
      </c>
      <c r="L15" s="743"/>
      <c r="M15" s="370">
        <f t="shared" si="1"/>
        <v>0</v>
      </c>
      <c r="O15" s="1433"/>
    </row>
    <row r="16" spans="2:15" ht="21.95" customHeight="1" x14ac:dyDescent="0.2">
      <c r="C16" s="744"/>
      <c r="D16" s="744"/>
      <c r="E16" s="744"/>
      <c r="F16" s="745"/>
      <c r="G16" s="958"/>
      <c r="H16" s="742"/>
      <c r="I16" s="743"/>
      <c r="J16" s="742"/>
      <c r="K16" s="743">
        <f t="shared" si="0"/>
        <v>0</v>
      </c>
      <c r="L16" s="743"/>
      <c r="M16" s="370">
        <f t="shared" si="1"/>
        <v>0</v>
      </c>
      <c r="O16" s="1433"/>
    </row>
    <row r="17" spans="2:15" ht="21.95" customHeight="1" x14ac:dyDescent="0.2">
      <c r="C17" s="744"/>
      <c r="D17" s="744"/>
      <c r="E17" s="744"/>
      <c r="F17" s="745"/>
      <c r="G17" s="958"/>
      <c r="H17" s="742"/>
      <c r="I17" s="743"/>
      <c r="J17" s="742"/>
      <c r="K17" s="743">
        <f t="shared" si="0"/>
        <v>0</v>
      </c>
      <c r="L17" s="743"/>
      <c r="M17" s="370">
        <f t="shared" si="1"/>
        <v>0</v>
      </c>
      <c r="O17" s="1433"/>
    </row>
    <row r="18" spans="2:15" ht="21.95" customHeight="1" x14ac:dyDescent="0.2">
      <c r="C18" s="744"/>
      <c r="D18" s="744"/>
      <c r="E18" s="744"/>
      <c r="F18" s="745"/>
      <c r="G18" s="958"/>
      <c r="H18" s="742"/>
      <c r="I18" s="743"/>
      <c r="J18" s="742"/>
      <c r="K18" s="743">
        <f t="shared" si="0"/>
        <v>0</v>
      </c>
      <c r="L18" s="743"/>
      <c r="M18" s="370">
        <f t="shared" si="1"/>
        <v>0</v>
      </c>
      <c r="O18" s="1433"/>
    </row>
    <row r="19" spans="2:15" ht="21.95" customHeight="1" x14ac:dyDescent="0.25">
      <c r="C19" s="882"/>
      <c r="D19" s="744"/>
      <c r="E19" s="744"/>
      <c r="F19" s="745"/>
      <c r="G19" s="958"/>
      <c r="H19" s="951"/>
      <c r="I19" s="952"/>
      <c r="J19" s="951"/>
      <c r="K19" s="743">
        <f t="shared" si="0"/>
        <v>0</v>
      </c>
      <c r="L19" s="952"/>
      <c r="M19" s="370">
        <f t="shared" si="1"/>
        <v>0</v>
      </c>
      <c r="O19" s="1433"/>
    </row>
    <row r="20" spans="2:15" ht="21.95" customHeight="1" x14ac:dyDescent="0.2">
      <c r="C20" s="744"/>
      <c r="D20" s="744"/>
      <c r="E20" s="744"/>
      <c r="F20" s="745"/>
      <c r="G20" s="958"/>
      <c r="H20" s="742"/>
      <c r="I20" s="743"/>
      <c r="J20" s="742"/>
      <c r="K20" s="743">
        <f t="shared" si="0"/>
        <v>0</v>
      </c>
      <c r="L20" s="743"/>
      <c r="M20" s="370">
        <f t="shared" si="1"/>
        <v>0</v>
      </c>
      <c r="O20" s="1433"/>
    </row>
    <row r="21" spans="2:15" ht="21.95" customHeight="1" x14ac:dyDescent="0.2">
      <c r="C21" s="744"/>
      <c r="D21" s="744"/>
      <c r="E21" s="876"/>
      <c r="F21" s="745"/>
      <c r="G21" s="958"/>
      <c r="H21" s="742"/>
      <c r="I21" s="743"/>
      <c r="J21" s="742"/>
      <c r="K21" s="743">
        <f t="shared" si="0"/>
        <v>0</v>
      </c>
      <c r="L21" s="743"/>
      <c r="M21" s="370">
        <f t="shared" si="1"/>
        <v>0</v>
      </c>
      <c r="O21" s="1433"/>
    </row>
    <row r="22" spans="2:15" ht="21.95" customHeight="1" x14ac:dyDescent="0.2">
      <c r="C22" s="744"/>
      <c r="D22" s="744"/>
      <c r="E22" s="744"/>
      <c r="F22" s="745"/>
      <c r="G22" s="958"/>
      <c r="H22" s="742"/>
      <c r="I22" s="743"/>
      <c r="J22" s="742"/>
      <c r="K22" s="743">
        <f t="shared" si="0"/>
        <v>0</v>
      </c>
      <c r="L22" s="743"/>
      <c r="M22" s="370">
        <f t="shared" si="1"/>
        <v>0</v>
      </c>
      <c r="O22" s="1433"/>
    </row>
    <row r="23" spans="2:15" ht="21.95" customHeight="1" x14ac:dyDescent="0.2">
      <c r="C23" s="744"/>
      <c r="D23" s="744"/>
      <c r="E23" s="744"/>
      <c r="F23" s="745"/>
      <c r="G23" s="958"/>
      <c r="H23" s="742"/>
      <c r="I23" s="743"/>
      <c r="J23" s="742"/>
      <c r="K23" s="743">
        <f t="shared" si="0"/>
        <v>0</v>
      </c>
      <c r="L23" s="743"/>
      <c r="M23" s="370">
        <f t="shared" si="1"/>
        <v>0</v>
      </c>
      <c r="O23" s="1433"/>
    </row>
    <row r="24" spans="2:15" ht="21.95" customHeight="1" x14ac:dyDescent="0.2">
      <c r="C24" s="748"/>
      <c r="D24" s="748"/>
      <c r="E24" s="748"/>
      <c r="F24" s="904"/>
      <c r="G24" s="959"/>
      <c r="H24" s="905"/>
      <c r="I24" s="865"/>
      <c r="J24" s="905"/>
      <c r="K24" s="743">
        <f t="shared" si="0"/>
        <v>0</v>
      </c>
      <c r="L24" s="865"/>
      <c r="M24" s="370">
        <f t="shared" si="1"/>
        <v>0</v>
      </c>
      <c r="O24" s="1433"/>
    </row>
    <row r="25" spans="2:15" ht="21.95" customHeight="1" x14ac:dyDescent="0.2">
      <c r="C25" s="748"/>
      <c r="D25" s="748"/>
      <c r="E25" s="748"/>
      <c r="F25" s="904"/>
      <c r="G25" s="959"/>
      <c r="H25" s="905"/>
      <c r="I25" s="865"/>
      <c r="J25" s="905"/>
      <c r="K25" s="743">
        <f t="shared" si="0"/>
        <v>0</v>
      </c>
      <c r="L25" s="865"/>
      <c r="M25" s="370">
        <f t="shared" si="1"/>
        <v>0</v>
      </c>
      <c r="O25" s="1433"/>
    </row>
    <row r="26" spans="2:15" ht="21.95" customHeight="1" thickBot="1" x14ac:dyDescent="0.25">
      <c r="B26" s="2"/>
      <c r="C26" s="893"/>
      <c r="D26" s="893"/>
      <c r="E26" s="893"/>
      <c r="F26" s="894"/>
      <c r="G26" s="960"/>
      <c r="H26" s="897"/>
      <c r="I26" s="898"/>
      <c r="J26" s="897"/>
      <c r="K26" s="898">
        <f t="shared" si="0"/>
        <v>0</v>
      </c>
      <c r="L26" s="898"/>
      <c r="M26" s="525">
        <f t="shared" si="1"/>
        <v>0</v>
      </c>
      <c r="O26" s="1433"/>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3sVYnDcsN98mIw0jbJhZiAc+DC0fpeNC2PtJ/00XaEWI+HMvRX4GlfRbrnKMPu5QZ0pZ2qOnwn9512hkOXf5jQ==" saltValue="fIjjh5S/f9zBdHyUQZuAZ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500-000000000000}">
          <x14:formula1>
            <xm:f>'Other Codes'!$I$2:$I$6</xm:f>
          </x14:formula1>
          <xm:sqref>G10:G26</xm:sqref>
        </x14:dataValidation>
      </x14:dataValidations>
    </ext>
  </extLst>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Sheet107">
    <tabColor theme="3"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Inputs'!E40)&amp;"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Inputs'!E40)&amp;"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909"/>
    </row>
    <row r="9" spans="2:15" ht="21.95" customHeight="1" x14ac:dyDescent="0.2">
      <c r="C9" s="744"/>
      <c r="D9" s="744"/>
      <c r="E9" s="744"/>
      <c r="F9" s="745"/>
      <c r="G9" s="958"/>
      <c r="H9" s="742"/>
      <c r="I9" s="743"/>
      <c r="J9" s="742"/>
      <c r="K9" s="743">
        <f t="shared" ref="K9:K26" si="0">+I9</f>
        <v>0</v>
      </c>
      <c r="L9" s="743"/>
      <c r="M9" s="370">
        <f t="shared" ref="M9:M26" si="1">IFERROR(IF(+K9-L9&gt;=0,K9-L9,"*")-O9,"*")</f>
        <v>0</v>
      </c>
      <c r="O9" s="909"/>
    </row>
    <row r="10" spans="2:15" ht="21.95" customHeight="1" x14ac:dyDescent="0.2">
      <c r="C10" s="744"/>
      <c r="D10" s="744"/>
      <c r="E10" s="744"/>
      <c r="F10" s="745"/>
      <c r="G10" s="958"/>
      <c r="H10" s="742"/>
      <c r="I10" s="743"/>
      <c r="J10" s="742"/>
      <c r="K10" s="743">
        <f t="shared" si="0"/>
        <v>0</v>
      </c>
      <c r="L10" s="743"/>
      <c r="M10" s="370">
        <f t="shared" si="1"/>
        <v>0</v>
      </c>
      <c r="O10" s="909"/>
    </row>
    <row r="11" spans="2:15" ht="21.95" customHeight="1" x14ac:dyDescent="0.2">
      <c r="C11" s="744"/>
      <c r="D11" s="744"/>
      <c r="E11" s="744"/>
      <c r="F11" s="745"/>
      <c r="G11" s="958"/>
      <c r="H11" s="742"/>
      <c r="I11" s="743"/>
      <c r="J11" s="742"/>
      <c r="K11" s="743">
        <f t="shared" si="0"/>
        <v>0</v>
      </c>
      <c r="L11" s="743"/>
      <c r="M11" s="370">
        <f t="shared" si="1"/>
        <v>0</v>
      </c>
      <c r="O11" s="909"/>
    </row>
    <row r="12" spans="2:15" ht="21.95" customHeight="1" x14ac:dyDescent="0.2">
      <c r="C12" s="744"/>
      <c r="D12" s="744"/>
      <c r="E12" s="744"/>
      <c r="F12" s="745"/>
      <c r="G12" s="958"/>
      <c r="H12" s="742"/>
      <c r="I12" s="743"/>
      <c r="J12" s="742"/>
      <c r="K12" s="743">
        <f t="shared" si="0"/>
        <v>0</v>
      </c>
      <c r="L12" s="743"/>
      <c r="M12" s="370">
        <f t="shared" si="1"/>
        <v>0</v>
      </c>
      <c r="O12" s="909"/>
    </row>
    <row r="13" spans="2:15" ht="21.95" customHeight="1" x14ac:dyDescent="0.25">
      <c r="C13" s="882"/>
      <c r="D13" s="744"/>
      <c r="E13" s="744"/>
      <c r="F13" s="745"/>
      <c r="G13" s="958"/>
      <c r="H13" s="951"/>
      <c r="I13" s="952"/>
      <c r="J13" s="951"/>
      <c r="K13" s="743">
        <f t="shared" si="0"/>
        <v>0</v>
      </c>
      <c r="L13" s="952"/>
      <c r="M13" s="370">
        <f t="shared" si="1"/>
        <v>0</v>
      </c>
      <c r="O13" s="909"/>
    </row>
    <row r="14" spans="2:15" ht="21.95" customHeight="1" x14ac:dyDescent="0.2">
      <c r="C14" s="744"/>
      <c r="D14" s="744"/>
      <c r="E14" s="744"/>
      <c r="F14" s="745"/>
      <c r="G14" s="958"/>
      <c r="H14" s="742"/>
      <c r="I14" s="743"/>
      <c r="J14" s="742"/>
      <c r="K14" s="743">
        <f t="shared" si="0"/>
        <v>0</v>
      </c>
      <c r="L14" s="743"/>
      <c r="M14" s="370">
        <f t="shared" si="1"/>
        <v>0</v>
      </c>
      <c r="O14" s="909"/>
    </row>
    <row r="15" spans="2:15" ht="21.95" customHeight="1" x14ac:dyDescent="0.2">
      <c r="C15" s="744"/>
      <c r="D15" s="744"/>
      <c r="E15" s="744"/>
      <c r="F15" s="745"/>
      <c r="G15" s="958"/>
      <c r="H15" s="742"/>
      <c r="I15" s="743"/>
      <c r="J15" s="951"/>
      <c r="K15" s="743">
        <f t="shared" si="0"/>
        <v>0</v>
      </c>
      <c r="L15" s="743"/>
      <c r="M15" s="370">
        <f t="shared" si="1"/>
        <v>0</v>
      </c>
      <c r="O15" s="909"/>
    </row>
    <row r="16" spans="2:15" ht="21.95" customHeight="1" x14ac:dyDescent="0.2">
      <c r="C16" s="744"/>
      <c r="D16" s="744"/>
      <c r="E16" s="744"/>
      <c r="F16" s="745"/>
      <c r="G16" s="958"/>
      <c r="H16" s="742"/>
      <c r="I16" s="743"/>
      <c r="J16" s="742"/>
      <c r="K16" s="743">
        <f t="shared" si="0"/>
        <v>0</v>
      </c>
      <c r="L16" s="743"/>
      <c r="M16" s="370">
        <f t="shared" si="1"/>
        <v>0</v>
      </c>
      <c r="O16" s="909"/>
    </row>
    <row r="17" spans="2:15" ht="21.95" customHeight="1" x14ac:dyDescent="0.2">
      <c r="C17" s="744"/>
      <c r="D17" s="744"/>
      <c r="E17" s="744"/>
      <c r="F17" s="745"/>
      <c r="G17" s="958"/>
      <c r="H17" s="742"/>
      <c r="I17" s="743"/>
      <c r="J17" s="742"/>
      <c r="K17" s="743">
        <f t="shared" si="0"/>
        <v>0</v>
      </c>
      <c r="L17" s="743"/>
      <c r="M17" s="370">
        <f t="shared" si="1"/>
        <v>0</v>
      </c>
      <c r="O17" s="909"/>
    </row>
    <row r="18" spans="2:15" ht="21.95" customHeight="1" x14ac:dyDescent="0.2">
      <c r="C18" s="744"/>
      <c r="D18" s="744"/>
      <c r="E18" s="744"/>
      <c r="F18" s="745"/>
      <c r="G18" s="958"/>
      <c r="H18" s="742"/>
      <c r="I18" s="743"/>
      <c r="J18" s="742"/>
      <c r="K18" s="743">
        <f t="shared" si="0"/>
        <v>0</v>
      </c>
      <c r="L18" s="743"/>
      <c r="M18" s="370">
        <f t="shared" si="1"/>
        <v>0</v>
      </c>
      <c r="O18" s="909"/>
    </row>
    <row r="19" spans="2:15" ht="21.95" customHeight="1" x14ac:dyDescent="0.25">
      <c r="C19" s="882"/>
      <c r="D19" s="744"/>
      <c r="E19" s="744"/>
      <c r="F19" s="745"/>
      <c r="G19" s="958"/>
      <c r="H19" s="951"/>
      <c r="I19" s="952"/>
      <c r="J19" s="951"/>
      <c r="K19" s="743">
        <f t="shared" si="0"/>
        <v>0</v>
      </c>
      <c r="L19" s="952"/>
      <c r="M19" s="370">
        <f t="shared" si="1"/>
        <v>0</v>
      </c>
      <c r="O19" s="909"/>
    </row>
    <row r="20" spans="2:15" ht="21.95" customHeight="1" x14ac:dyDescent="0.2">
      <c r="C20" s="744"/>
      <c r="D20" s="744"/>
      <c r="E20" s="744"/>
      <c r="F20" s="745"/>
      <c r="G20" s="958"/>
      <c r="H20" s="742"/>
      <c r="I20" s="743"/>
      <c r="J20" s="742"/>
      <c r="K20" s="743">
        <f t="shared" si="0"/>
        <v>0</v>
      </c>
      <c r="L20" s="743"/>
      <c r="M20" s="370">
        <f t="shared" si="1"/>
        <v>0</v>
      </c>
      <c r="O20" s="909"/>
    </row>
    <row r="21" spans="2:15" ht="21.95" customHeight="1" x14ac:dyDescent="0.2">
      <c r="C21" s="744"/>
      <c r="D21" s="744"/>
      <c r="E21" s="876"/>
      <c r="F21" s="745"/>
      <c r="G21" s="958"/>
      <c r="H21" s="742"/>
      <c r="I21" s="743"/>
      <c r="J21" s="742"/>
      <c r="K21" s="743">
        <f t="shared" si="0"/>
        <v>0</v>
      </c>
      <c r="L21" s="743"/>
      <c r="M21" s="370">
        <f t="shared" si="1"/>
        <v>0</v>
      </c>
      <c r="O21" s="909"/>
    </row>
    <row r="22" spans="2:15" ht="21.95" customHeight="1" x14ac:dyDescent="0.2">
      <c r="C22" s="744"/>
      <c r="D22" s="744"/>
      <c r="E22" s="744"/>
      <c r="F22" s="745"/>
      <c r="G22" s="958"/>
      <c r="H22" s="742"/>
      <c r="I22" s="743"/>
      <c r="J22" s="742"/>
      <c r="K22" s="743">
        <f t="shared" si="0"/>
        <v>0</v>
      </c>
      <c r="L22" s="743"/>
      <c r="M22" s="370">
        <f t="shared" si="1"/>
        <v>0</v>
      </c>
      <c r="O22" s="909"/>
    </row>
    <row r="23" spans="2:15" ht="21.95" customHeight="1" x14ac:dyDescent="0.2">
      <c r="C23" s="744"/>
      <c r="D23" s="744"/>
      <c r="E23" s="744"/>
      <c r="F23" s="745"/>
      <c r="G23" s="958"/>
      <c r="H23" s="742"/>
      <c r="I23" s="743"/>
      <c r="J23" s="742"/>
      <c r="K23" s="743">
        <f t="shared" si="0"/>
        <v>0</v>
      </c>
      <c r="L23" s="743"/>
      <c r="M23" s="370">
        <f t="shared" si="1"/>
        <v>0</v>
      </c>
      <c r="O23" s="909"/>
    </row>
    <row r="24" spans="2:15" ht="21.95" customHeight="1" x14ac:dyDescent="0.2">
      <c r="C24" s="748"/>
      <c r="D24" s="748"/>
      <c r="E24" s="748"/>
      <c r="F24" s="904"/>
      <c r="G24" s="959"/>
      <c r="H24" s="905"/>
      <c r="I24" s="865"/>
      <c r="J24" s="905"/>
      <c r="K24" s="743">
        <f t="shared" si="0"/>
        <v>0</v>
      </c>
      <c r="L24" s="865"/>
      <c r="M24" s="370">
        <f t="shared" si="1"/>
        <v>0</v>
      </c>
      <c r="O24" s="909"/>
    </row>
    <row r="25" spans="2:15" ht="21.95" customHeight="1" x14ac:dyDescent="0.2">
      <c r="C25" s="748"/>
      <c r="D25" s="748"/>
      <c r="E25" s="748"/>
      <c r="F25" s="904"/>
      <c r="G25" s="959"/>
      <c r="H25" s="905"/>
      <c r="I25" s="865"/>
      <c r="J25" s="905"/>
      <c r="K25" s="743">
        <f t="shared" si="0"/>
        <v>0</v>
      </c>
      <c r="L25" s="865"/>
      <c r="M25" s="370">
        <f t="shared" si="1"/>
        <v>0</v>
      </c>
      <c r="O25" s="909"/>
    </row>
    <row r="26" spans="2:15" ht="21.95" customHeight="1" thickBot="1" x14ac:dyDescent="0.25">
      <c r="B26" s="2"/>
      <c r="C26" s="893"/>
      <c r="D26" s="893"/>
      <c r="E26" s="893"/>
      <c r="F26" s="894"/>
      <c r="G26" s="960"/>
      <c r="H26" s="897"/>
      <c r="I26" s="898"/>
      <c r="J26" s="897"/>
      <c r="K26" s="898">
        <f t="shared" si="0"/>
        <v>0</v>
      </c>
      <c r="L26" s="898"/>
      <c r="M26" s="525">
        <f t="shared" si="1"/>
        <v>0</v>
      </c>
      <c r="O26" s="909"/>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CpwGv1YcPbQgDG7FSPGToloCjZo4Khm9RXfVK6A/HMS9NUeqiRixkiY8BoEwprN39j16n1UN/pam5L+ik0pibQ==" saltValue="JnMJacVjvypAD+cCloBzJ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600-000000000000}">
          <x14:formula1>
            <xm:f>'Other Codes'!$I$2:$I$6</xm:f>
          </x14:formula1>
          <xm:sqref>G8:G26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66"/>
  <dimension ref="B2:P83"/>
  <sheetViews>
    <sheetView view="pageLayout" zoomScaleNormal="100" workbookViewId="0">
      <selection activeCell="K51" sqref="K51"/>
    </sheetView>
  </sheetViews>
  <sheetFormatPr defaultRowHeight="12.75" x14ac:dyDescent="0.2"/>
  <cols>
    <col min="1" max="1" width="2.7109375" customWidth="1"/>
    <col min="2" max="5" width="4.7109375" customWidth="1"/>
    <col min="6" max="6" width="10.7109375" customWidth="1"/>
    <col min="7" max="7" width="17" customWidth="1"/>
    <col min="8" max="8" width="16.28515625" customWidth="1"/>
    <col min="9" max="9" width="10.7109375" customWidth="1"/>
    <col min="10" max="10" width="12.140625" style="251" customWidth="1"/>
    <col min="11" max="12" width="17.7109375" customWidth="1"/>
    <col min="13" max="15" width="17" customWidth="1"/>
    <col min="16" max="17" width="15.7109375" customWidth="1"/>
  </cols>
  <sheetData>
    <row r="2" spans="2:16" s="1211" customFormat="1" ht="20.25" x14ac:dyDescent="0.3">
      <c r="B2" s="1582" t="str">
        <f>'Key Inputs'!E5</f>
        <v>TOWNSHIP OF GREENWICH</v>
      </c>
      <c r="C2" s="1582"/>
      <c r="D2" s="1582"/>
      <c r="E2" s="1582"/>
      <c r="F2" s="1582"/>
      <c r="G2" s="1582"/>
      <c r="H2" s="1582"/>
      <c r="I2" s="1582"/>
      <c r="J2" s="1210"/>
    </row>
    <row r="3" spans="2:16" s="1211" customFormat="1" ht="20.25" x14ac:dyDescent="0.3">
      <c r="B3" s="1583" t="str">
        <f>"SUMMARY OF "&amp;'Key Inputs'!E34 &amp;" BUDGET"</f>
        <v>SUMMARY OF 2021 BUDGET</v>
      </c>
      <c r="C3" s="1582"/>
      <c r="D3" s="1582"/>
      <c r="E3" s="1582"/>
      <c r="F3" s="1582"/>
      <c r="G3" s="1582"/>
      <c r="H3" s="1582"/>
      <c r="I3" s="1582"/>
      <c r="J3" s="1210"/>
    </row>
    <row r="4" spans="2:16" ht="20.25" x14ac:dyDescent="0.3">
      <c r="B4" s="543"/>
      <c r="C4" s="543"/>
      <c r="D4" s="543"/>
      <c r="E4" s="543"/>
      <c r="F4" s="543"/>
      <c r="G4" s="543"/>
      <c r="H4" s="543"/>
      <c r="I4" s="543"/>
      <c r="J4" s="543"/>
      <c r="K4" s="1584" t="s">
        <v>958</v>
      </c>
      <c r="L4" s="1584"/>
      <c r="M4" s="1584"/>
      <c r="N4" s="1584"/>
      <c r="O4" s="1584"/>
    </row>
    <row r="5" spans="2:16" ht="18.75" thickBot="1" x14ac:dyDescent="0.3">
      <c r="B5" s="717" t="s">
        <v>902</v>
      </c>
      <c r="C5" s="543"/>
      <c r="D5" s="543"/>
      <c r="E5" s="543"/>
      <c r="F5" s="543"/>
      <c r="G5" s="557"/>
      <c r="H5" s="718">
        <f>+'11'!I26</f>
        <v>828754.4911582591</v>
      </c>
      <c r="I5" s="719">
        <f ca="1">SUM(I9:I53)</f>
        <v>1</v>
      </c>
      <c r="J5" s="645"/>
      <c r="K5" s="720">
        <f>VALUE('Key Inputs'!E34)+1</f>
        <v>2022</v>
      </c>
      <c r="L5" s="721">
        <f>+K5+1</f>
        <v>2023</v>
      </c>
      <c r="M5" s="721">
        <f>+L5+1</f>
        <v>2024</v>
      </c>
      <c r="N5" s="721">
        <f>+M5+1</f>
        <v>2025</v>
      </c>
      <c r="O5" s="721">
        <f>+N5+1</f>
        <v>2026</v>
      </c>
    </row>
    <row r="6" spans="2:16" ht="9" customHeight="1" thickTop="1" x14ac:dyDescent="0.2">
      <c r="B6" s="543"/>
      <c r="C6" s="543"/>
      <c r="D6" s="543"/>
      <c r="E6" s="543"/>
      <c r="F6" s="543"/>
      <c r="G6" s="557"/>
      <c r="H6" s="557"/>
      <c r="I6" s="719"/>
      <c r="J6" s="557"/>
      <c r="K6" s="557"/>
      <c r="L6" s="557"/>
      <c r="M6" s="557"/>
      <c r="N6" s="557"/>
      <c r="O6" s="557"/>
    </row>
    <row r="7" spans="2:16" ht="18" x14ac:dyDescent="0.25">
      <c r="B7" s="717" t="s">
        <v>903</v>
      </c>
      <c r="C7" s="543"/>
      <c r="D7" s="543"/>
      <c r="E7" s="543"/>
      <c r="F7" s="543"/>
      <c r="G7" s="557"/>
      <c r="H7" s="557"/>
      <c r="I7" s="719"/>
      <c r="J7" s="557"/>
      <c r="K7" s="557"/>
      <c r="L7" s="557"/>
      <c r="M7" s="557"/>
      <c r="N7" s="557"/>
      <c r="O7" s="557"/>
    </row>
    <row r="8" spans="2:16" ht="15" x14ac:dyDescent="0.2">
      <c r="B8" s="543"/>
      <c r="C8" s="557" t="s">
        <v>205</v>
      </c>
      <c r="D8" s="557"/>
      <c r="E8" s="557"/>
      <c r="F8" s="557"/>
      <c r="G8" s="557"/>
      <c r="H8" s="557"/>
      <c r="I8" s="719"/>
      <c r="J8" s="544"/>
      <c r="K8" s="557"/>
      <c r="L8" s="557"/>
      <c r="M8" s="557"/>
      <c r="N8" s="557"/>
      <c r="O8" s="557"/>
    </row>
    <row r="9" spans="2:16" ht="15" x14ac:dyDescent="0.2">
      <c r="B9" s="543"/>
      <c r="C9" s="557"/>
      <c r="D9" s="557" t="s">
        <v>904</v>
      </c>
      <c r="E9" s="557"/>
      <c r="F9" s="557"/>
      <c r="G9" s="722">
        <f ca="1">+'17a'!J25</f>
        <v>52980.049999999996</v>
      </c>
      <c r="H9" s="722"/>
      <c r="I9" s="719"/>
      <c r="J9" s="644">
        <v>1.02</v>
      </c>
      <c r="K9" s="554">
        <f ca="1">+G9*$J$9</f>
        <v>54039.650999999998</v>
      </c>
      <c r="L9" s="554">
        <f t="shared" ref="L9:O10" ca="1" si="0">+K9*$J$9</f>
        <v>55120.444019999995</v>
      </c>
      <c r="M9" s="554">
        <f t="shared" ca="1" si="0"/>
        <v>56222.852900399994</v>
      </c>
      <c r="N9" s="554">
        <f t="shared" ca="1" si="0"/>
        <v>57347.309958407997</v>
      </c>
      <c r="O9" s="554">
        <f t="shared" ca="1" si="0"/>
        <v>58494.256157576157</v>
      </c>
      <c r="P9" s="534"/>
    </row>
    <row r="10" spans="2:16" ht="15" x14ac:dyDescent="0.2">
      <c r="B10" s="543"/>
      <c r="C10" s="557"/>
      <c r="D10" s="557" t="s">
        <v>922</v>
      </c>
      <c r="E10" s="557"/>
      <c r="F10" s="557"/>
      <c r="G10" s="723">
        <f ca="1">+'25'!J25</f>
        <v>0</v>
      </c>
      <c r="H10" s="722"/>
      <c r="I10" s="719"/>
      <c r="J10" s="644">
        <v>1.02</v>
      </c>
      <c r="K10" s="554">
        <f ca="1">+G10*$J$9</f>
        <v>0</v>
      </c>
      <c r="L10" s="554">
        <f t="shared" ca="1" si="0"/>
        <v>0</v>
      </c>
      <c r="M10" s="554">
        <f t="shared" ca="1" si="0"/>
        <v>0</v>
      </c>
      <c r="N10" s="554">
        <f t="shared" ca="1" si="0"/>
        <v>0</v>
      </c>
      <c r="O10" s="554">
        <f t="shared" ca="1" si="0"/>
        <v>0</v>
      </c>
    </row>
    <row r="11" spans="2:16" ht="15.75" thickBot="1" x14ac:dyDescent="0.25">
      <c r="B11" s="543"/>
      <c r="C11" s="557"/>
      <c r="D11" s="557"/>
      <c r="E11" s="557" t="s">
        <v>501</v>
      </c>
      <c r="F11" s="557"/>
      <c r="G11" s="722"/>
      <c r="H11" s="722">
        <f ca="1">SUM(G9:G10)</f>
        <v>52980.049999999996</v>
      </c>
      <c r="I11" s="719"/>
      <c r="J11" s="646"/>
      <c r="K11" s="724">
        <f ca="1">+K9+K10</f>
        <v>54039.650999999998</v>
      </c>
      <c r="L11" s="724">
        <f ca="1">+L9+L10</f>
        <v>55120.444019999995</v>
      </c>
      <c r="M11" s="724">
        <f ca="1">+M9+M10</f>
        <v>56222.852900399994</v>
      </c>
      <c r="N11" s="724">
        <f ca="1">+N9+N10</f>
        <v>57347.309958407997</v>
      </c>
      <c r="O11" s="724">
        <f ca="1">+O9+O10</f>
        <v>58494.256157576157</v>
      </c>
    </row>
    <row r="12" spans="2:16" ht="9.75" customHeight="1" thickTop="1" x14ac:dyDescent="0.2">
      <c r="B12" s="543"/>
      <c r="C12" s="557"/>
      <c r="D12" s="557"/>
      <c r="E12" s="557"/>
      <c r="F12" s="557"/>
      <c r="G12" s="722"/>
      <c r="H12" s="722"/>
      <c r="I12" s="719"/>
      <c r="J12" s="646"/>
      <c r="K12" s="554"/>
      <c r="L12" s="554"/>
      <c r="M12" s="554"/>
      <c r="N12" s="554"/>
      <c r="O12" s="554"/>
    </row>
    <row r="13" spans="2:16" ht="15" x14ac:dyDescent="0.2">
      <c r="B13" s="543"/>
      <c r="C13" s="557" t="s">
        <v>905</v>
      </c>
      <c r="D13" s="557"/>
      <c r="E13" s="557"/>
      <c r="F13" s="557"/>
      <c r="G13" s="722"/>
      <c r="H13" s="722"/>
      <c r="I13" s="719"/>
      <c r="J13" s="646"/>
      <c r="K13" s="554"/>
      <c r="L13" s="554"/>
      <c r="M13" s="554"/>
      <c r="N13" s="554"/>
      <c r="O13" s="554"/>
    </row>
    <row r="14" spans="2:16" ht="15" x14ac:dyDescent="0.2">
      <c r="B14" s="543"/>
      <c r="C14" s="557"/>
      <c r="D14" s="557" t="s">
        <v>906</v>
      </c>
      <c r="E14" s="557"/>
      <c r="F14" s="557"/>
      <c r="G14" s="722"/>
      <c r="H14" s="722">
        <f>+'19'!J11</f>
        <v>4596.49</v>
      </c>
      <c r="I14" s="719"/>
      <c r="J14" s="644">
        <v>1.02</v>
      </c>
      <c r="K14" s="554">
        <f>+H14*$J$14</f>
        <v>4688.4197999999997</v>
      </c>
      <c r="L14" s="554">
        <f>+K14*$J$14</f>
        <v>4782.1881960000001</v>
      </c>
      <c r="M14" s="554">
        <f>+L14*$J$14</f>
        <v>4877.8319599200004</v>
      </c>
      <c r="N14" s="554">
        <f>+M14*$J$14</f>
        <v>4975.3885991184006</v>
      </c>
      <c r="O14" s="554">
        <f>+N14*$J$14</f>
        <v>5074.8963711007691</v>
      </c>
    </row>
    <row r="15" spans="2:16" ht="15" x14ac:dyDescent="0.2">
      <c r="B15" s="543"/>
      <c r="C15" s="557" t="s">
        <v>907</v>
      </c>
      <c r="D15" s="557"/>
      <c r="E15" s="557"/>
      <c r="F15" s="557"/>
      <c r="G15" s="722"/>
      <c r="H15" s="722"/>
      <c r="I15" s="719"/>
      <c r="J15" s="646"/>
      <c r="K15" s="554"/>
      <c r="L15" s="554"/>
      <c r="M15" s="554"/>
      <c r="N15" s="554"/>
      <c r="O15" s="554"/>
    </row>
    <row r="16" spans="2:16" ht="15" x14ac:dyDescent="0.2">
      <c r="B16" s="543"/>
      <c r="C16" s="557"/>
      <c r="D16" s="557" t="s">
        <v>906</v>
      </c>
      <c r="E16" s="557"/>
      <c r="F16" s="557"/>
      <c r="G16" s="722"/>
      <c r="H16" s="722">
        <f>+'19'!J10</f>
        <v>1720</v>
      </c>
      <c r="I16" s="719"/>
      <c r="J16" s="644">
        <v>1.02</v>
      </c>
      <c r="K16" s="554">
        <f>+H16*$J$16</f>
        <v>1754.4</v>
      </c>
      <c r="L16" s="554">
        <f>+K16*$J$16</f>
        <v>1789.4880000000001</v>
      </c>
      <c r="M16" s="554">
        <f>+L16*$J$16</f>
        <v>1825.2777600000002</v>
      </c>
      <c r="N16" s="554">
        <f>+M16*$J$16</f>
        <v>1861.7833152000003</v>
      </c>
      <c r="O16" s="554">
        <f>+N16*$J$16</f>
        <v>1899.0189815040003</v>
      </c>
    </row>
    <row r="17" spans="2:15" ht="15" x14ac:dyDescent="0.2">
      <c r="B17" s="543"/>
      <c r="C17" s="557"/>
      <c r="D17" s="557" t="s">
        <v>906</v>
      </c>
      <c r="E17" s="557"/>
      <c r="F17" s="557"/>
      <c r="G17" s="722"/>
      <c r="H17" s="722">
        <f>+'19'!J13</f>
        <v>0</v>
      </c>
      <c r="I17" s="719"/>
      <c r="J17" s="644">
        <v>1.05</v>
      </c>
      <c r="K17" s="554">
        <f>+J17*$H$17</f>
        <v>0</v>
      </c>
      <c r="L17" s="554">
        <f>+K17*$J$17</f>
        <v>0</v>
      </c>
      <c r="M17" s="554">
        <f>+L17*$J$17</f>
        <v>0</v>
      </c>
      <c r="N17" s="554">
        <f>+M17*$J$17</f>
        <v>0</v>
      </c>
      <c r="O17" s="554">
        <f>+N17*$J$17</f>
        <v>0</v>
      </c>
    </row>
    <row r="18" spans="2:15" ht="15" x14ac:dyDescent="0.2">
      <c r="B18" s="543"/>
      <c r="C18" s="557"/>
      <c r="D18" s="557" t="s">
        <v>906</v>
      </c>
      <c r="E18" s="557"/>
      <c r="F18" s="557"/>
      <c r="G18" s="722"/>
      <c r="H18" s="722">
        <f>+'19'!J17</f>
        <v>0</v>
      </c>
      <c r="I18" s="719"/>
      <c r="J18" s="646"/>
      <c r="K18" s="554"/>
      <c r="L18" s="554"/>
      <c r="M18" s="554"/>
      <c r="N18" s="554"/>
      <c r="O18" s="554"/>
    </row>
    <row r="19" spans="2:15" ht="15" x14ac:dyDescent="0.2">
      <c r="B19" s="543"/>
      <c r="C19" s="557"/>
      <c r="D19" s="557" t="s">
        <v>908</v>
      </c>
      <c r="E19" s="557"/>
      <c r="F19" s="557"/>
      <c r="G19" s="722"/>
      <c r="H19" s="722">
        <f>+'20'!J14</f>
        <v>0</v>
      </c>
      <c r="I19" s="719"/>
      <c r="J19" s="646"/>
      <c r="K19" s="554"/>
      <c r="L19" s="554"/>
      <c r="M19" s="554"/>
      <c r="N19" s="554"/>
      <c r="O19" s="554"/>
    </row>
    <row r="20" spans="2:15" ht="15" x14ac:dyDescent="0.2">
      <c r="B20" s="543"/>
      <c r="C20" s="557" t="s">
        <v>453</v>
      </c>
      <c r="D20" s="557"/>
      <c r="E20" s="557"/>
      <c r="F20" s="557"/>
      <c r="G20" s="722"/>
      <c r="H20" s="722"/>
      <c r="I20" s="719"/>
      <c r="J20" s="646"/>
      <c r="K20" s="554"/>
      <c r="L20" s="554"/>
      <c r="M20" s="554"/>
      <c r="N20" s="554"/>
      <c r="O20" s="554"/>
    </row>
    <row r="21" spans="2:15" ht="15" x14ac:dyDescent="0.2">
      <c r="B21" s="543"/>
      <c r="C21" s="557"/>
      <c r="D21" s="557" t="s">
        <v>655</v>
      </c>
      <c r="E21" s="557"/>
      <c r="F21" s="557"/>
      <c r="G21" s="722"/>
      <c r="H21" s="722">
        <f>+'14'!J17+'14'!J18</f>
        <v>0</v>
      </c>
      <c r="I21" s="719"/>
      <c r="J21" s="644">
        <v>1.06</v>
      </c>
      <c r="K21" s="554">
        <f>+H21*$J$21</f>
        <v>0</v>
      </c>
      <c r="L21" s="554">
        <f>+K21*$J$21</f>
        <v>0</v>
      </c>
      <c r="M21" s="554">
        <f>+L21*$J$21</f>
        <v>0</v>
      </c>
      <c r="N21" s="554">
        <f>+M21*$J$21</f>
        <v>0</v>
      </c>
      <c r="O21" s="554">
        <f>+N21*$J$21</f>
        <v>0</v>
      </c>
    </row>
    <row r="22" spans="2:15" ht="15.75" x14ac:dyDescent="0.25">
      <c r="B22" s="543"/>
      <c r="C22" s="557" t="s">
        <v>909</v>
      </c>
      <c r="D22" s="557"/>
      <c r="E22" s="557"/>
      <c r="F22" s="557"/>
      <c r="G22" s="722"/>
      <c r="H22" s="725">
        <f ca="1">SUM(H11:H21)</f>
        <v>59296.539999999994</v>
      </c>
      <c r="I22" s="726">
        <f ca="1">+H22/H5</f>
        <v>7.1548981794509178E-2</v>
      </c>
      <c r="J22" s="646"/>
      <c r="K22" s="554"/>
      <c r="L22" s="554"/>
      <c r="M22" s="554"/>
      <c r="N22" s="554"/>
      <c r="O22" s="554"/>
    </row>
    <row r="23" spans="2:15" ht="15" x14ac:dyDescent="0.2">
      <c r="B23" s="543"/>
      <c r="C23" s="557"/>
      <c r="D23" s="557"/>
      <c r="E23" s="557"/>
      <c r="F23" s="557"/>
      <c r="G23" s="722"/>
      <c r="H23" s="722"/>
      <c r="I23" s="719"/>
      <c r="J23" s="646"/>
      <c r="K23" s="554"/>
      <c r="L23" s="554"/>
      <c r="M23" s="554"/>
      <c r="N23" s="554"/>
      <c r="O23" s="554"/>
    </row>
    <row r="24" spans="2:15" ht="18" x14ac:dyDescent="0.25">
      <c r="B24" s="717" t="s">
        <v>910</v>
      </c>
      <c r="C24" s="557"/>
      <c r="D24" s="557"/>
      <c r="E24" s="557"/>
      <c r="F24" s="557"/>
      <c r="G24" s="722"/>
      <c r="H24" s="722"/>
      <c r="I24" s="719"/>
      <c r="J24" s="646"/>
      <c r="K24" s="554"/>
      <c r="L24" s="554"/>
      <c r="M24" s="554"/>
      <c r="N24" s="554"/>
      <c r="O24" s="554"/>
    </row>
    <row r="25" spans="2:15" ht="15" x14ac:dyDescent="0.2">
      <c r="B25" s="543"/>
      <c r="C25" s="557" t="s">
        <v>655</v>
      </c>
      <c r="D25" s="557"/>
      <c r="E25" s="557"/>
      <c r="F25" s="557"/>
      <c r="G25" s="722"/>
      <c r="H25" s="727">
        <f>+'14'!J16</f>
        <v>5000</v>
      </c>
      <c r="I25" s="719">
        <f>+H25/H5</f>
        <v>6.0331498089525272E-3</v>
      </c>
      <c r="J25" s="646"/>
      <c r="K25" s="554"/>
      <c r="L25" s="554"/>
      <c r="M25" s="554"/>
      <c r="N25" s="554"/>
      <c r="O25" s="554"/>
    </row>
    <row r="26" spans="2:15" ht="4.5" customHeight="1" x14ac:dyDescent="0.2">
      <c r="B26" s="543"/>
      <c r="C26" s="557"/>
      <c r="D26" s="557"/>
      <c r="E26" s="557"/>
      <c r="F26" s="557"/>
      <c r="G26" s="722"/>
      <c r="H26" s="722"/>
      <c r="I26" s="719"/>
      <c r="J26" s="646"/>
      <c r="K26" s="554"/>
      <c r="L26" s="554"/>
      <c r="M26" s="554"/>
      <c r="N26" s="554"/>
      <c r="O26" s="554"/>
    </row>
    <row r="27" spans="2:15" ht="18" x14ac:dyDescent="0.25">
      <c r="B27" s="717" t="s">
        <v>318</v>
      </c>
      <c r="C27" s="557"/>
      <c r="D27" s="557"/>
      <c r="E27" s="557"/>
      <c r="F27" s="557"/>
      <c r="G27" s="557"/>
      <c r="H27" s="557"/>
      <c r="I27" s="719"/>
      <c r="J27" s="646"/>
      <c r="K27" s="554"/>
      <c r="L27" s="554"/>
      <c r="M27" s="554"/>
      <c r="N27" s="554"/>
      <c r="O27" s="554"/>
    </row>
    <row r="28" spans="2:15" ht="15" x14ac:dyDescent="0.2">
      <c r="B28" s="543"/>
      <c r="C28" s="557" t="s">
        <v>911</v>
      </c>
      <c r="D28" s="557"/>
      <c r="E28" s="557"/>
      <c r="F28" s="557"/>
      <c r="G28" s="557"/>
      <c r="H28" s="728">
        <f>+'27a'!J26</f>
        <v>0</v>
      </c>
      <c r="I28" s="719">
        <f>+H28/H5</f>
        <v>0</v>
      </c>
      <c r="J28" s="646"/>
      <c r="K28" s="554"/>
      <c r="L28" s="554"/>
      <c r="M28" s="554"/>
      <c r="N28" s="554"/>
      <c r="O28" s="554"/>
    </row>
    <row r="29" spans="2:15" ht="3" customHeight="1" x14ac:dyDescent="0.2">
      <c r="B29" s="543"/>
      <c r="C29" s="557"/>
      <c r="D29" s="557"/>
      <c r="E29" s="557"/>
      <c r="F29" s="557"/>
      <c r="G29" s="557"/>
      <c r="H29" s="557"/>
      <c r="I29" s="719"/>
      <c r="J29" s="646"/>
      <c r="K29" s="554"/>
      <c r="L29" s="554"/>
      <c r="M29" s="554"/>
      <c r="N29" s="554"/>
      <c r="O29" s="554"/>
    </row>
    <row r="30" spans="2:15" ht="18" x14ac:dyDescent="0.25">
      <c r="B30" s="717" t="s">
        <v>912</v>
      </c>
      <c r="C30" s="557"/>
      <c r="D30" s="557"/>
      <c r="E30" s="557"/>
      <c r="F30" s="557"/>
      <c r="G30" s="557"/>
      <c r="H30" s="557"/>
      <c r="I30" s="719"/>
      <c r="J30" s="646"/>
      <c r="K30" s="554"/>
      <c r="L30" s="554"/>
      <c r="M30" s="554"/>
      <c r="N30" s="554"/>
      <c r="O30" s="554"/>
    </row>
    <row r="31" spans="2:15" ht="15" x14ac:dyDescent="0.2">
      <c r="B31" s="543"/>
      <c r="C31" s="557" t="s">
        <v>913</v>
      </c>
      <c r="D31" s="557"/>
      <c r="E31" s="557"/>
      <c r="F31" s="557"/>
      <c r="G31" s="557"/>
      <c r="H31" s="728">
        <f>+'29'!J24</f>
        <v>298014.59115825919</v>
      </c>
      <c r="I31" s="719">
        <f>+H31/H5</f>
        <v>0.35959333474230343</v>
      </c>
      <c r="J31" s="646"/>
      <c r="K31" s="554"/>
      <c r="L31" s="554"/>
      <c r="M31" s="554"/>
      <c r="N31" s="554"/>
      <c r="O31" s="554"/>
    </row>
    <row r="32" spans="2:15" ht="6" customHeight="1" x14ac:dyDescent="0.2">
      <c r="B32" s="543"/>
      <c r="C32" s="557"/>
      <c r="D32" s="557"/>
      <c r="E32" s="557"/>
      <c r="F32" s="557"/>
      <c r="G32" s="557"/>
      <c r="H32" s="557"/>
      <c r="I32" s="719"/>
      <c r="J32" s="646"/>
      <c r="K32" s="554"/>
      <c r="L32" s="554"/>
      <c r="M32" s="554"/>
      <c r="N32" s="554"/>
      <c r="O32" s="554"/>
    </row>
    <row r="33" spans="2:15" ht="18" x14ac:dyDescent="0.25">
      <c r="B33" s="717" t="s">
        <v>914</v>
      </c>
      <c r="C33" s="557"/>
      <c r="D33" s="557"/>
      <c r="E33" s="557"/>
      <c r="F33" s="557"/>
      <c r="G33" s="557"/>
      <c r="H33" s="557"/>
      <c r="I33" s="719"/>
      <c r="J33" s="646"/>
      <c r="K33" s="554"/>
      <c r="L33" s="554"/>
      <c r="M33" s="554"/>
      <c r="N33" s="554"/>
      <c r="O33" s="554"/>
    </row>
    <row r="34" spans="2:15" ht="15" x14ac:dyDescent="0.2">
      <c r="B34" s="543"/>
      <c r="C34" s="557" t="s">
        <v>915</v>
      </c>
      <c r="D34" s="557"/>
      <c r="E34" s="557"/>
      <c r="F34" s="557"/>
      <c r="G34" s="557"/>
      <c r="H34" s="728">
        <f>+'26a'!J26</f>
        <v>60100</v>
      </c>
      <c r="I34" s="719">
        <f>+H34/H5</f>
        <v>7.2518460703609386E-2</v>
      </c>
      <c r="J34" s="646"/>
      <c r="K34" s="554"/>
      <c r="L34" s="554"/>
      <c r="M34" s="554"/>
      <c r="N34" s="554"/>
      <c r="O34" s="554"/>
    </row>
    <row r="35" spans="2:15" ht="15" x14ac:dyDescent="0.2">
      <c r="B35" s="543"/>
      <c r="C35" s="557"/>
      <c r="D35" s="557"/>
      <c r="E35" s="557"/>
      <c r="F35" s="557"/>
      <c r="G35" s="557"/>
      <c r="H35" s="557"/>
      <c r="I35" s="719"/>
      <c r="J35" s="646"/>
      <c r="K35" s="554"/>
      <c r="L35" s="554"/>
      <c r="M35" s="554"/>
      <c r="N35" s="554"/>
      <c r="O35" s="554"/>
    </row>
    <row r="36" spans="2:15" ht="18" x14ac:dyDescent="0.25">
      <c r="B36" s="717" t="s">
        <v>916</v>
      </c>
      <c r="C36" s="557"/>
      <c r="D36" s="557"/>
      <c r="E36" s="557"/>
      <c r="F36" s="557"/>
      <c r="G36" s="557"/>
      <c r="H36" s="557"/>
      <c r="I36" s="719"/>
      <c r="J36" s="646"/>
      <c r="K36" s="554"/>
      <c r="L36" s="554"/>
      <c r="M36" s="554"/>
      <c r="N36" s="554"/>
      <c r="O36" s="554"/>
    </row>
    <row r="37" spans="2:15" ht="15" x14ac:dyDescent="0.2">
      <c r="B37" s="543"/>
      <c r="C37" s="557" t="s">
        <v>917</v>
      </c>
      <c r="D37" s="557"/>
      <c r="E37" s="557"/>
      <c r="F37" s="557"/>
      <c r="G37" s="557"/>
      <c r="H37" s="728">
        <f>+'28'!J19</f>
        <v>13000</v>
      </c>
      <c r="I37" s="719">
        <f>+H37/H5</f>
        <v>1.5686189503276573E-2</v>
      </c>
      <c r="J37" s="646"/>
      <c r="K37" s="554"/>
      <c r="L37" s="554"/>
      <c r="M37" s="554"/>
      <c r="N37" s="554"/>
      <c r="O37" s="554"/>
    </row>
    <row r="38" spans="2:15" ht="6" customHeight="1" x14ac:dyDescent="0.2">
      <c r="B38" s="543"/>
      <c r="C38" s="557"/>
      <c r="D38" s="557"/>
      <c r="E38" s="557"/>
      <c r="F38" s="557"/>
      <c r="G38" s="557"/>
      <c r="H38" s="557"/>
      <c r="I38" s="719"/>
      <c r="J38" s="646"/>
      <c r="K38" s="554"/>
      <c r="L38" s="554"/>
      <c r="M38" s="554"/>
      <c r="N38" s="554"/>
      <c r="O38" s="554"/>
    </row>
    <row r="39" spans="2:15" ht="18" x14ac:dyDescent="0.25">
      <c r="B39" s="717" t="s">
        <v>918</v>
      </c>
      <c r="C39" s="557"/>
      <c r="D39" s="557"/>
      <c r="E39" s="557"/>
      <c r="F39" s="557"/>
      <c r="G39" s="557"/>
      <c r="H39" s="557"/>
      <c r="I39" s="719"/>
      <c r="J39" s="646"/>
      <c r="K39" s="554"/>
      <c r="L39" s="554"/>
      <c r="M39" s="554"/>
      <c r="N39" s="554"/>
      <c r="O39" s="554"/>
    </row>
    <row r="40" spans="2:15" ht="15" x14ac:dyDescent="0.2">
      <c r="B40" s="543"/>
      <c r="C40" s="557" t="s">
        <v>919</v>
      </c>
      <c r="D40" s="557"/>
      <c r="E40" s="557"/>
      <c r="F40" s="557"/>
      <c r="G40" s="557"/>
      <c r="H40" s="728">
        <f>+'25'!J21</f>
        <v>20119.84</v>
      </c>
      <c r="I40" s="719">
        <f>+H40/H5</f>
        <v>2.4277201770431085E-2</v>
      </c>
      <c r="J40" s="646"/>
      <c r="K40" s="554"/>
      <c r="L40" s="554"/>
      <c r="M40" s="554"/>
      <c r="N40" s="554"/>
      <c r="O40" s="554"/>
    </row>
    <row r="41" spans="2:15" ht="5.25" customHeight="1" x14ac:dyDescent="0.2">
      <c r="B41" s="543"/>
      <c r="C41" s="557"/>
      <c r="D41" s="557"/>
      <c r="E41" s="557"/>
      <c r="F41" s="557"/>
      <c r="G41" s="557"/>
      <c r="H41" s="557"/>
      <c r="I41" s="719"/>
      <c r="J41" s="646"/>
      <c r="K41" s="554"/>
      <c r="L41" s="554"/>
      <c r="M41" s="554"/>
      <c r="N41" s="554"/>
      <c r="O41" s="554"/>
    </row>
    <row r="42" spans="2:15" ht="18" x14ac:dyDescent="0.25">
      <c r="B42" s="717" t="s">
        <v>920</v>
      </c>
      <c r="C42" s="557"/>
      <c r="D42" s="557"/>
      <c r="E42" s="557"/>
      <c r="F42" s="557"/>
      <c r="G42" s="557"/>
      <c r="H42" s="557"/>
      <c r="I42" s="719"/>
      <c r="J42" s="646"/>
      <c r="K42" s="554"/>
      <c r="L42" s="554"/>
      <c r="M42" s="554"/>
      <c r="N42" s="554"/>
      <c r="O42" s="554"/>
    </row>
    <row r="43" spans="2:15" ht="15" x14ac:dyDescent="0.2">
      <c r="B43" s="543"/>
      <c r="C43" s="557" t="s">
        <v>921</v>
      </c>
      <c r="D43" s="557"/>
      <c r="E43" s="557"/>
      <c r="F43" s="557"/>
      <c r="G43" s="557"/>
      <c r="H43" s="728">
        <f ca="1">+H5-(+SUM(H22:H41))</f>
        <v>373223.5199999999</v>
      </c>
      <c r="I43" s="719">
        <f ca="1">+H43/H5</f>
        <v>0.45034268167691782</v>
      </c>
      <c r="J43" s="644">
        <v>1.02</v>
      </c>
      <c r="K43" s="554">
        <f ca="1">+H43*$J$43</f>
        <v>380687.99039999989</v>
      </c>
      <c r="L43" s="554">
        <f ca="1">+K43*$J$43</f>
        <v>388301.7502079999</v>
      </c>
      <c r="M43" s="554">
        <f ca="1">+L43*$J$43</f>
        <v>396067.78521215991</v>
      </c>
      <c r="N43" s="554">
        <f ca="1">+M43*$J$43</f>
        <v>403989.14091640309</v>
      </c>
      <c r="O43" s="554">
        <f ca="1">+N43*$J$43</f>
        <v>412068.92373473116</v>
      </c>
    </row>
    <row r="44" spans="2:15" ht="15" x14ac:dyDescent="0.2">
      <c r="B44" s="543"/>
      <c r="C44" s="557"/>
      <c r="D44" s="557"/>
      <c r="E44" s="557"/>
      <c r="F44" s="557"/>
      <c r="G44" s="557"/>
      <c r="H44" s="557"/>
      <c r="I44" s="719"/>
      <c r="J44" s="646"/>
      <c r="K44" s="554"/>
      <c r="L44" s="554"/>
      <c r="M44" s="554"/>
      <c r="N44" s="554"/>
      <c r="O44" s="554"/>
    </row>
    <row r="45" spans="2:15" ht="15.75" thickBot="1" x14ac:dyDescent="0.25">
      <c r="B45" s="543"/>
      <c r="C45" s="557"/>
      <c r="D45" s="557"/>
      <c r="E45" s="557"/>
      <c r="F45" s="557"/>
      <c r="G45" s="557"/>
      <c r="H45" s="557"/>
      <c r="I45" s="719"/>
      <c r="J45" s="647" t="s">
        <v>959</v>
      </c>
      <c r="K45" s="729">
        <f ca="1">SUM(K11:K43)</f>
        <v>441170.4611999999</v>
      </c>
      <c r="L45" s="729">
        <f ca="1">SUM(L11:L43)</f>
        <v>449993.87042399991</v>
      </c>
      <c r="M45" s="729">
        <f ca="1">SUM(M11:M43)</f>
        <v>458993.74783247989</v>
      </c>
      <c r="N45" s="729">
        <f ca="1">SUM(N11:N43)</f>
        <v>468173.6227891295</v>
      </c>
      <c r="O45" s="729">
        <f ca="1">SUM(O11:O43)</f>
        <v>477537.09524491208</v>
      </c>
    </row>
    <row r="46" spans="2:15" ht="9.75" customHeight="1" thickBot="1" x14ac:dyDescent="0.25">
      <c r="B46" s="543"/>
      <c r="C46" s="543"/>
      <c r="D46" s="543"/>
      <c r="E46" s="543"/>
      <c r="F46" s="543"/>
      <c r="G46" s="557"/>
      <c r="H46" s="557"/>
      <c r="I46" s="719"/>
      <c r="J46" s="647"/>
      <c r="K46" s="554"/>
      <c r="L46" s="554"/>
      <c r="M46" s="554"/>
      <c r="N46" s="554"/>
      <c r="O46" s="554"/>
    </row>
    <row r="47" spans="2:15" ht="20.25" x14ac:dyDescent="0.3">
      <c r="B47" s="1586" t="str">
        <f>'Key Inputs'!E5</f>
        <v>TOWNSHIP OF GREENWICH</v>
      </c>
      <c r="C47" s="1587"/>
      <c r="D47" s="1587"/>
      <c r="E47" s="1587"/>
      <c r="F47" s="1587"/>
      <c r="G47" s="1587"/>
      <c r="H47" s="1587"/>
      <c r="I47" s="1588"/>
      <c r="J47" s="647"/>
      <c r="K47" s="554"/>
      <c r="L47" s="554"/>
      <c r="M47" s="554"/>
      <c r="N47" s="554"/>
      <c r="O47" s="554"/>
    </row>
    <row r="48" spans="2:15" ht="20.25" x14ac:dyDescent="0.3">
      <c r="B48" s="1589" t="str">
        <f>'Key Inputs'!E34&amp;"  BUDGET FUNDING"</f>
        <v>2021  BUDGET FUNDING</v>
      </c>
      <c r="C48" s="1590"/>
      <c r="D48" s="1590"/>
      <c r="E48" s="1590"/>
      <c r="F48" s="1590"/>
      <c r="G48" s="1590"/>
      <c r="H48" s="1590"/>
      <c r="I48" s="1591"/>
      <c r="J48" s="647"/>
      <c r="K48" s="1585" t="s">
        <v>960</v>
      </c>
      <c r="L48" s="1585"/>
      <c r="M48" s="1585"/>
      <c r="N48" s="1585"/>
      <c r="O48" s="1585"/>
    </row>
    <row r="49" spans="2:15" ht="15" x14ac:dyDescent="0.2">
      <c r="B49" s="707"/>
      <c r="C49" s="552"/>
      <c r="D49" s="552"/>
      <c r="E49" s="552"/>
      <c r="F49" s="552"/>
      <c r="G49" s="552"/>
      <c r="H49" s="552"/>
      <c r="I49" s="616"/>
      <c r="J49" s="648"/>
      <c r="K49" s="720" t="str">
        <f>'Key Inputs'!E34</f>
        <v>2021</v>
      </c>
      <c r="L49" s="721">
        <f>+K49+1</f>
        <v>2022</v>
      </c>
      <c r="M49" s="721">
        <f>+L49+1</f>
        <v>2023</v>
      </c>
      <c r="N49" s="721">
        <f>+M49+1</f>
        <v>2024</v>
      </c>
      <c r="O49" s="721">
        <f>+N49+1</f>
        <v>2025</v>
      </c>
    </row>
    <row r="50" spans="2:15" ht="18" x14ac:dyDescent="0.25">
      <c r="B50" s="707"/>
      <c r="C50" s="552"/>
      <c r="D50" s="552"/>
      <c r="E50" s="735" t="s">
        <v>966</v>
      </c>
      <c r="F50" s="735"/>
      <c r="G50" s="552"/>
      <c r="H50" s="736"/>
      <c r="I50" s="616"/>
      <c r="J50" s="648"/>
      <c r="K50" s="554"/>
      <c r="L50" s="554"/>
      <c r="M50" s="554"/>
      <c r="N50" s="554"/>
      <c r="O50" s="554"/>
    </row>
    <row r="51" spans="2:15" ht="18" x14ac:dyDescent="0.25">
      <c r="B51" s="707"/>
      <c r="C51" s="552"/>
      <c r="D51" s="552"/>
      <c r="E51" s="735"/>
      <c r="F51" s="735" t="s">
        <v>967</v>
      </c>
      <c r="G51" s="552"/>
      <c r="H51" s="555">
        <f>+'11'!I8</f>
        <v>302200</v>
      </c>
      <c r="I51" s="616"/>
      <c r="J51" s="648"/>
      <c r="K51" s="554"/>
      <c r="L51" s="554">
        <f>+K51+25000</f>
        <v>25000</v>
      </c>
      <c r="M51" s="554">
        <f>+L51+25000</f>
        <v>50000</v>
      </c>
      <c r="N51" s="554">
        <f>+M51+25000</f>
        <v>75000</v>
      </c>
      <c r="O51" s="554">
        <f>+N51+25000</f>
        <v>100000</v>
      </c>
    </row>
    <row r="52" spans="2:15" ht="18" x14ac:dyDescent="0.25">
      <c r="B52" s="707"/>
      <c r="C52" s="552"/>
      <c r="D52" s="552"/>
      <c r="E52" s="735"/>
      <c r="F52" s="735" t="s">
        <v>163</v>
      </c>
      <c r="G52" s="552"/>
      <c r="H52" s="555">
        <f>+'11'!I11+'11'!I13+'11'!I17+'11'!I14</f>
        <v>13725</v>
      </c>
      <c r="I52" s="616"/>
      <c r="J52" s="648"/>
      <c r="K52" s="554"/>
      <c r="L52" s="554">
        <f>+K52+150000</f>
        <v>150000</v>
      </c>
      <c r="M52" s="554">
        <f>+L52+150000</f>
        <v>300000</v>
      </c>
      <c r="N52" s="554">
        <f>+M52+150000</f>
        <v>450000</v>
      </c>
      <c r="O52" s="554">
        <f>+N52+150000</f>
        <v>600000</v>
      </c>
    </row>
    <row r="53" spans="2:15" ht="18" x14ac:dyDescent="0.25">
      <c r="B53" s="707"/>
      <c r="C53" s="552"/>
      <c r="D53" s="552"/>
      <c r="E53" s="735"/>
      <c r="F53" s="735" t="s">
        <v>334</v>
      </c>
      <c r="G53" s="552"/>
      <c r="H53" s="555">
        <f>+'11'!I12</f>
        <v>83457</v>
      </c>
      <c r="I53" s="616"/>
      <c r="J53" s="648"/>
      <c r="K53" s="555"/>
      <c r="L53" s="555"/>
      <c r="M53" s="555"/>
      <c r="N53" s="555"/>
      <c r="O53" s="555"/>
    </row>
    <row r="54" spans="2:15" ht="18" x14ac:dyDescent="0.25">
      <c r="B54" s="707"/>
      <c r="C54" s="552"/>
      <c r="D54" s="552"/>
      <c r="E54" s="735"/>
      <c r="F54" s="735" t="s">
        <v>968</v>
      </c>
      <c r="G54" s="552"/>
      <c r="H54" s="555">
        <f>+'11'!I16</f>
        <v>5119.84</v>
      </c>
      <c r="I54" s="616"/>
      <c r="J54" s="648"/>
      <c r="K54" s="554"/>
      <c r="L54" s="554"/>
      <c r="M54" s="554"/>
      <c r="N54" s="554"/>
      <c r="O54" s="554"/>
    </row>
    <row r="55" spans="2:15" ht="18" x14ac:dyDescent="0.25">
      <c r="B55" s="707"/>
      <c r="C55" s="552"/>
      <c r="D55" s="552"/>
      <c r="E55" s="735"/>
      <c r="F55" s="735" t="s">
        <v>336</v>
      </c>
      <c r="G55" s="552"/>
      <c r="H55" s="555">
        <f>+'11'!I19</f>
        <v>90000</v>
      </c>
      <c r="I55" s="616"/>
      <c r="J55" s="648"/>
      <c r="K55" s="554"/>
      <c r="L55" s="554"/>
      <c r="M55" s="554"/>
      <c r="N55" s="554"/>
      <c r="O55" s="554"/>
    </row>
    <row r="56" spans="2:15" ht="18" x14ac:dyDescent="0.25">
      <c r="B56" s="707"/>
      <c r="C56" s="552"/>
      <c r="D56" s="552"/>
      <c r="E56" s="735"/>
      <c r="F56" s="735" t="s">
        <v>337</v>
      </c>
      <c r="G56" s="552"/>
      <c r="H56" s="555">
        <f>+'11'!I25</f>
        <v>334252.65115825913</v>
      </c>
      <c r="I56" s="616"/>
      <c r="J56" s="648"/>
      <c r="K56" s="554">
        <f ca="1">+K45-K51-K52-K53-K54-K55</f>
        <v>441170.4611999999</v>
      </c>
      <c r="L56" s="554">
        <f ca="1">+L45-L51-L52-L53-L54-L55</f>
        <v>274993.87042399991</v>
      </c>
      <c r="M56" s="554">
        <f ca="1">+M45-M51-M52-M53-M54-M55</f>
        <v>108993.74783247989</v>
      </c>
      <c r="N56" s="554">
        <f ca="1">+N45-N51-N52-N53-N54-N55</f>
        <v>-56826.377210870502</v>
      </c>
      <c r="O56" s="554">
        <f ca="1">+O45-O51-O52-O53-O54-O55</f>
        <v>-222462.90475508792</v>
      </c>
    </row>
    <row r="57" spans="2:15" ht="18" x14ac:dyDescent="0.25">
      <c r="B57" s="707"/>
      <c r="C57" s="552"/>
      <c r="D57" s="552"/>
      <c r="E57" s="735"/>
      <c r="F57" s="735"/>
      <c r="G57" s="552"/>
      <c r="H57" s="730">
        <f>SUM(H51:H56)</f>
        <v>828754.4911582591</v>
      </c>
      <c r="I57" s="616"/>
      <c r="J57" s="648"/>
      <c r="K57" s="730">
        <f ca="1">SUM(K51:K56)</f>
        <v>441170.4611999999</v>
      </c>
      <c r="L57" s="730">
        <f ca="1">SUM(L51:L56)</f>
        <v>449993.87042399991</v>
      </c>
      <c r="M57" s="730">
        <f ca="1">SUM(M51:M56)</f>
        <v>458993.74783247989</v>
      </c>
      <c r="N57" s="730">
        <f ca="1">SUM(N51:N56)</f>
        <v>468173.6227891295</v>
      </c>
      <c r="O57" s="730">
        <f ca="1">SUM(O51:O56)</f>
        <v>477537.09524491208</v>
      </c>
    </row>
    <row r="58" spans="2:15" ht="7.5" customHeight="1" x14ac:dyDescent="0.25">
      <c r="B58" s="707"/>
      <c r="C58" s="552"/>
      <c r="D58" s="552"/>
      <c r="E58" s="735"/>
      <c r="F58" s="735"/>
      <c r="G58" s="552"/>
      <c r="H58" s="736"/>
      <c r="I58" s="616"/>
      <c r="J58" s="648"/>
      <c r="K58" s="554"/>
      <c r="L58" s="554"/>
      <c r="M58" s="554"/>
      <c r="N58" s="554"/>
      <c r="O58" s="554"/>
    </row>
    <row r="59" spans="2:15" ht="18" x14ac:dyDescent="0.25">
      <c r="B59" s="707"/>
      <c r="C59" s="552"/>
      <c r="D59" s="552"/>
      <c r="E59" s="735"/>
      <c r="F59" s="735" t="s">
        <v>969</v>
      </c>
      <c r="G59" s="552"/>
      <c r="H59" s="737">
        <f>+'Key Inputs'!F31</f>
        <v>75794063</v>
      </c>
      <c r="I59" s="616"/>
      <c r="J59" s="648"/>
      <c r="K59" s="731">
        <f>+H59+8000000</f>
        <v>83794063</v>
      </c>
      <c r="L59" s="731">
        <f>+K59+8000000</f>
        <v>91794063</v>
      </c>
      <c r="M59" s="731">
        <f>+L59+8000000</f>
        <v>99794063</v>
      </c>
      <c r="N59" s="731">
        <f>+M59+8000000</f>
        <v>107794063</v>
      </c>
      <c r="O59" s="731">
        <f>+N59+8000000</f>
        <v>115794063</v>
      </c>
    </row>
    <row r="60" spans="2:15" ht="18" x14ac:dyDescent="0.25">
      <c r="B60" s="707"/>
      <c r="C60" s="552"/>
      <c r="D60" s="552"/>
      <c r="E60" s="735"/>
      <c r="F60" s="735" t="s">
        <v>970</v>
      </c>
      <c r="G60" s="552"/>
      <c r="H60" s="738">
        <f>+'Tax Summary'!F32</f>
        <v>0.44100109946376559</v>
      </c>
      <c r="I60" s="616"/>
      <c r="J60" s="648"/>
      <c r="K60" s="732">
        <f ca="1">+K56/(+K59/100)</f>
        <v>0.52649369824685543</v>
      </c>
      <c r="L60" s="732">
        <f ca="1">+L56/(+L59/100)</f>
        <v>0.29957696765639397</v>
      </c>
      <c r="M60" s="732">
        <f ca="1">+M56/(+M59/100)</f>
        <v>0.10921866948385485</v>
      </c>
      <c r="N60" s="732">
        <f ca="1">+N56/(+N59/100)</f>
        <v>-5.2717539008498557E-2</v>
      </c>
      <c r="O60" s="732">
        <f ca="1">+O56/(+O59/100)</f>
        <v>-0.19211943945268414</v>
      </c>
    </row>
    <row r="61" spans="2:15" ht="18" x14ac:dyDescent="0.25">
      <c r="B61" s="707"/>
      <c r="C61" s="552"/>
      <c r="D61" s="552"/>
      <c r="E61" s="735"/>
      <c r="F61" s="735" t="s">
        <v>971</v>
      </c>
      <c r="G61" s="552"/>
      <c r="H61" s="739">
        <f>+H60-'Tax Summary'!I32</f>
        <v>5.0010994637655903E-3</v>
      </c>
      <c r="I61" s="616"/>
      <c r="J61" s="648"/>
      <c r="K61" s="732">
        <f ca="1">+K60-H60</f>
        <v>8.5492598783089846E-2</v>
      </c>
      <c r="L61" s="732">
        <f ca="1">+L60-K60</f>
        <v>-0.22691673059046147</v>
      </c>
      <c r="M61" s="732">
        <f ca="1">+M60-L60</f>
        <v>-0.19035829817253913</v>
      </c>
      <c r="N61" s="732">
        <f ca="1">+N60-M60</f>
        <v>-0.16193620849235341</v>
      </c>
      <c r="O61" s="732">
        <f ca="1">+O60-N60</f>
        <v>-0.1394019004441856</v>
      </c>
    </row>
    <row r="62" spans="2:15" ht="14.25" x14ac:dyDescent="0.2">
      <c r="B62" s="707"/>
      <c r="C62" s="552"/>
      <c r="D62" s="552"/>
      <c r="E62" s="552"/>
      <c r="F62" s="552"/>
      <c r="G62" s="552"/>
      <c r="H62" s="552"/>
      <c r="I62" s="616"/>
      <c r="J62" s="648"/>
      <c r="K62" s="733"/>
      <c r="L62" s="733"/>
      <c r="M62" s="733"/>
      <c r="N62" s="733"/>
      <c r="O62" s="733"/>
    </row>
    <row r="63" spans="2:15" ht="15" x14ac:dyDescent="0.2">
      <c r="B63" s="707"/>
      <c r="C63" s="543"/>
      <c r="D63" s="543"/>
      <c r="E63" s="543"/>
      <c r="F63" s="543"/>
      <c r="G63" s="552"/>
      <c r="H63" s="739"/>
      <c r="I63" s="616"/>
      <c r="J63" s="647" t="s">
        <v>961</v>
      </c>
      <c r="K63" s="732"/>
      <c r="L63" s="732"/>
      <c r="M63" s="732"/>
      <c r="N63" s="732"/>
      <c r="O63" s="732"/>
    </row>
    <row r="64" spans="2:15" ht="15" x14ac:dyDescent="0.2">
      <c r="B64" s="707"/>
      <c r="C64" s="543"/>
      <c r="D64" s="543"/>
      <c r="E64" s="543"/>
      <c r="F64" s="543"/>
      <c r="G64" s="552"/>
      <c r="H64" s="739"/>
      <c r="I64" s="616"/>
      <c r="J64" s="647" t="s">
        <v>511</v>
      </c>
      <c r="K64" s="734">
        <f>+H56</f>
        <v>334252.65115825913</v>
      </c>
      <c r="L64" s="734">
        <f ca="1">+K56</f>
        <v>441170.4611999999</v>
      </c>
      <c r="M64" s="734">
        <f ca="1">+L56</f>
        <v>274993.87042399991</v>
      </c>
      <c r="N64" s="734">
        <f ca="1">+M56</f>
        <v>108993.74783247989</v>
      </c>
      <c r="O64" s="734">
        <f ca="1">+N56</f>
        <v>-56826.377210870502</v>
      </c>
    </row>
    <row r="65" spans="2:15" ht="15" x14ac:dyDescent="0.2">
      <c r="B65" s="707"/>
      <c r="C65" s="543"/>
      <c r="D65" s="543"/>
      <c r="E65" s="543"/>
      <c r="F65" s="543"/>
      <c r="G65" s="552"/>
      <c r="H65" s="739"/>
      <c r="I65" s="616"/>
      <c r="J65" s="647">
        <v>0.02</v>
      </c>
      <c r="K65" s="734">
        <f>+K64*0.02</f>
        <v>6685.0530231651828</v>
      </c>
      <c r="L65" s="734">
        <f ca="1">+L64*0.02</f>
        <v>8823.4092239999991</v>
      </c>
      <c r="M65" s="734">
        <f ca="1">+M64*0.02</f>
        <v>5499.8774084799979</v>
      </c>
      <c r="N65" s="734">
        <f ca="1">+N64*0.02</f>
        <v>2179.8749566495976</v>
      </c>
      <c r="O65" s="734">
        <f ca="1">+O64*0.02</f>
        <v>-1136.52754421741</v>
      </c>
    </row>
    <row r="66" spans="2:15" ht="15" x14ac:dyDescent="0.2">
      <c r="B66" s="707"/>
      <c r="C66" s="543"/>
      <c r="D66" s="543"/>
      <c r="E66" s="543"/>
      <c r="F66" s="543"/>
      <c r="G66" s="552"/>
      <c r="H66" s="739"/>
      <c r="I66" s="616"/>
      <c r="J66" s="647" t="s">
        <v>962</v>
      </c>
      <c r="K66" s="734">
        <v>145000</v>
      </c>
      <c r="L66" s="734">
        <v>145000</v>
      </c>
      <c r="M66" s="734">
        <v>145000</v>
      </c>
      <c r="N66" s="734">
        <v>145000</v>
      </c>
      <c r="O66" s="734">
        <v>145000</v>
      </c>
    </row>
    <row r="67" spans="2:15" ht="18" x14ac:dyDescent="0.25">
      <c r="B67" s="740"/>
      <c r="C67" s="552"/>
      <c r="D67" s="552"/>
      <c r="E67" s="735"/>
      <c r="F67" s="543"/>
      <c r="G67" s="543"/>
      <c r="H67" s="543"/>
      <c r="I67" s="616"/>
      <c r="J67" s="647" t="s">
        <v>963</v>
      </c>
      <c r="K67" s="734">
        <v>14000</v>
      </c>
      <c r="L67" s="734">
        <v>15000</v>
      </c>
      <c r="M67" s="734">
        <v>16000</v>
      </c>
      <c r="N67" s="734">
        <v>17000</v>
      </c>
      <c r="O67" s="734">
        <v>18000</v>
      </c>
    </row>
    <row r="68" spans="2:15" ht="18" x14ac:dyDescent="0.25">
      <c r="B68" s="740"/>
      <c r="C68" s="552"/>
      <c r="D68" s="552"/>
      <c r="E68" s="735"/>
      <c r="F68" s="543"/>
      <c r="G68" s="543"/>
      <c r="H68" s="543"/>
      <c r="I68" s="616"/>
      <c r="J68" s="647" t="s">
        <v>964</v>
      </c>
      <c r="K68" s="734">
        <f>SUM(K64:K67)</f>
        <v>499937.70418142434</v>
      </c>
      <c r="L68" s="734">
        <f ca="1">SUM(L64:L67)</f>
        <v>609993.87042399985</v>
      </c>
      <c r="M68" s="734">
        <f ca="1">SUM(M64:M67)</f>
        <v>441493.74783247989</v>
      </c>
      <c r="N68" s="734">
        <f ca="1">SUM(N64:N67)</f>
        <v>273173.6227891295</v>
      </c>
      <c r="O68" s="734">
        <f ca="1">SUM(O64:O67)</f>
        <v>105037.09524491208</v>
      </c>
    </row>
    <row r="69" spans="2:15" ht="13.5" customHeight="1" x14ac:dyDescent="0.25">
      <c r="B69" s="740"/>
      <c r="C69" s="552"/>
      <c r="D69" s="552"/>
      <c r="E69" s="735"/>
      <c r="F69" s="543"/>
      <c r="G69" s="543"/>
      <c r="H69" s="543"/>
      <c r="I69" s="616"/>
      <c r="J69" s="647"/>
      <c r="K69" s="734"/>
      <c r="L69" s="734"/>
      <c r="M69" s="734"/>
      <c r="N69" s="734"/>
      <c r="O69" s="734"/>
    </row>
    <row r="70" spans="2:15" ht="18" x14ac:dyDescent="0.25">
      <c r="B70" s="740"/>
      <c r="C70" s="552"/>
      <c r="D70" s="552"/>
      <c r="E70" s="735"/>
      <c r="F70" s="741"/>
      <c r="G70" s="552"/>
      <c r="H70" s="555"/>
      <c r="I70" s="616"/>
      <c r="J70" s="647" t="s">
        <v>965</v>
      </c>
      <c r="K70" s="734">
        <f ca="1">+K56-K68</f>
        <v>-58767.242981424439</v>
      </c>
      <c r="L70" s="734">
        <f ca="1">+L56-L68</f>
        <v>-334999.99999999994</v>
      </c>
      <c r="M70" s="734">
        <f ca="1">+M56-M68</f>
        <v>-332500</v>
      </c>
      <c r="N70" s="734">
        <f ca="1">+N56-N68</f>
        <v>-330000</v>
      </c>
      <c r="O70" s="734">
        <f ca="1">+O56-O68</f>
        <v>-327500</v>
      </c>
    </row>
    <row r="71" spans="2:15" ht="18" x14ac:dyDescent="0.25">
      <c r="B71" s="740"/>
      <c r="C71" s="552"/>
      <c r="D71" s="552"/>
      <c r="E71" s="735"/>
      <c r="F71" s="741"/>
      <c r="G71" s="552"/>
      <c r="H71" s="555"/>
      <c r="I71" s="616"/>
      <c r="J71" s="647"/>
      <c r="K71" s="734"/>
      <c r="L71" s="734"/>
      <c r="M71" s="734"/>
      <c r="N71" s="734"/>
      <c r="O71" s="734"/>
    </row>
    <row r="72" spans="2:15" ht="15" thickBot="1" x14ac:dyDescent="0.25">
      <c r="B72" s="664"/>
      <c r="C72" s="708"/>
      <c r="D72" s="708"/>
      <c r="E72" s="708"/>
      <c r="F72" s="708"/>
      <c r="G72" s="708"/>
      <c r="H72" s="708"/>
      <c r="I72" s="709"/>
      <c r="J72" s="648"/>
      <c r="K72" s="733"/>
      <c r="L72" s="733"/>
      <c r="M72" s="733"/>
      <c r="N72" s="733"/>
      <c r="O72" s="733"/>
    </row>
    <row r="73" spans="2:15" ht="15" x14ac:dyDescent="0.2">
      <c r="G73" s="47"/>
      <c r="H73" s="47"/>
      <c r="I73" s="506"/>
    </row>
    <row r="74" spans="2:15" ht="15" x14ac:dyDescent="0.2">
      <c r="G74" s="47"/>
      <c r="H74" s="47"/>
      <c r="I74" s="506"/>
    </row>
    <row r="75" spans="2:15" ht="15" x14ac:dyDescent="0.2">
      <c r="G75" s="47"/>
      <c r="H75" s="47"/>
      <c r="I75" s="506"/>
    </row>
    <row r="76" spans="2:15" ht="15" x14ac:dyDescent="0.2">
      <c r="G76" s="47"/>
      <c r="H76" s="47"/>
      <c r="I76" s="506"/>
    </row>
    <row r="77" spans="2:15" ht="15" x14ac:dyDescent="0.2">
      <c r="G77" s="47"/>
      <c r="H77" s="47"/>
      <c r="I77" s="506"/>
    </row>
    <row r="78" spans="2:15" ht="15" x14ac:dyDescent="0.2">
      <c r="G78" s="47"/>
      <c r="H78" s="47"/>
      <c r="I78" s="506"/>
    </row>
    <row r="79" spans="2:15" ht="15" x14ac:dyDescent="0.2">
      <c r="G79" s="47"/>
      <c r="H79" s="47"/>
      <c r="I79" s="506"/>
    </row>
    <row r="80" spans="2:15" ht="15" x14ac:dyDescent="0.2">
      <c r="G80" s="47"/>
      <c r="H80" s="47"/>
      <c r="I80" s="506"/>
    </row>
    <row r="81" spans="7:9" ht="15" x14ac:dyDescent="0.2">
      <c r="G81" s="47"/>
      <c r="H81" s="47"/>
      <c r="I81" s="506"/>
    </row>
    <row r="82" spans="7:9" ht="15" x14ac:dyDescent="0.2">
      <c r="G82" s="47"/>
      <c r="H82" s="47"/>
      <c r="I82" s="506"/>
    </row>
    <row r="83" spans="7:9" x14ac:dyDescent="0.2">
      <c r="I83" s="507"/>
    </row>
  </sheetData>
  <mergeCells count="6">
    <mergeCell ref="B2:I2"/>
    <mergeCell ref="B3:I3"/>
    <mergeCell ref="K4:O4"/>
    <mergeCell ref="K48:O48"/>
    <mergeCell ref="B47:I47"/>
    <mergeCell ref="B48:I48"/>
  </mergeCells>
  <phoneticPr fontId="0" type="noConversion"/>
  <pageMargins left="0.25" right="0.3" top="0.25" bottom="0.75" header="0.25" footer="0.25"/>
  <pageSetup paperSize="5" fitToHeight="2"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Sheet108">
    <tabColor theme="3" tint="0.39997558519241921"/>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Inputs'!E40)&amp;"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Inputs'!E40)&amp;"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IFERROR(IF(+K10-L10&gt;=0,K10-L10,"*")-O10,"*")</f>
        <v>0</v>
      </c>
      <c r="O10" s="1434"/>
    </row>
    <row r="11" spans="2:15" ht="21.95" customHeight="1" x14ac:dyDescent="0.2">
      <c r="C11" s="744"/>
      <c r="D11" s="744"/>
      <c r="E11" s="744"/>
      <c r="F11" s="745"/>
      <c r="G11" s="958"/>
      <c r="H11" s="742"/>
      <c r="I11" s="743"/>
      <c r="J11" s="742"/>
      <c r="K11" s="743">
        <f t="shared" si="0"/>
        <v>0</v>
      </c>
      <c r="L11" s="743"/>
      <c r="M11" s="370">
        <f>IFERROR(IF(+K11-L11&gt;=0,K11-L11,"*")-O11,"*")</f>
        <v>0</v>
      </c>
      <c r="O11" s="1434"/>
    </row>
    <row r="12" spans="2:15" ht="21.95" customHeight="1" x14ac:dyDescent="0.2">
      <c r="C12" s="744"/>
      <c r="D12" s="744"/>
      <c r="E12" s="744"/>
      <c r="F12" s="745"/>
      <c r="G12" s="958"/>
      <c r="H12" s="742"/>
      <c r="I12" s="743"/>
      <c r="J12" s="742"/>
      <c r="K12" s="743">
        <f t="shared" si="0"/>
        <v>0</v>
      </c>
      <c r="L12" s="743"/>
      <c r="M12" s="370">
        <f>IFERROR(IF(+K12-L12&gt;=0,K12-L12,"*")-O12,"*")</f>
        <v>0</v>
      </c>
      <c r="O12" s="1434"/>
    </row>
    <row r="13" spans="2:15" ht="21.95" customHeight="1" x14ac:dyDescent="0.25">
      <c r="C13" s="43" t="s">
        <v>315</v>
      </c>
      <c r="D13" s="16"/>
      <c r="E13" s="16"/>
      <c r="F13" s="17"/>
      <c r="G13" s="93" t="s">
        <v>200</v>
      </c>
      <c r="H13" s="97" t="s">
        <v>201</v>
      </c>
      <c r="I13" s="98" t="s">
        <v>201</v>
      </c>
      <c r="J13" s="97" t="s">
        <v>201</v>
      </c>
      <c r="K13" s="98" t="s">
        <v>201</v>
      </c>
      <c r="L13" s="98" t="s">
        <v>201</v>
      </c>
      <c r="M13" s="99" t="s">
        <v>201</v>
      </c>
    </row>
    <row r="14" spans="2:15" ht="21.95" customHeight="1" x14ac:dyDescent="0.2">
      <c r="C14" s="16"/>
      <c r="D14" s="16"/>
      <c r="E14" s="16" t="s">
        <v>243</v>
      </c>
      <c r="F14" s="17"/>
      <c r="G14" s="93" t="s">
        <v>568</v>
      </c>
      <c r="H14" s="742"/>
      <c r="I14" s="743"/>
      <c r="J14" s="742"/>
      <c r="K14" s="743">
        <f t="shared" si="0"/>
        <v>0</v>
      </c>
      <c r="L14" s="743"/>
      <c r="M14" s="370">
        <f>IFERROR(IF(+K14-L14&gt;=0,K14-L14,"*")-O14,"*")</f>
        <v>0</v>
      </c>
      <c r="O14" s="1434"/>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4"/>
    </row>
    <row r="16" spans="2:15" ht="21.95" customHeight="1" x14ac:dyDescent="0.2">
      <c r="C16" s="16"/>
      <c r="D16" s="16"/>
      <c r="E16" s="16" t="s">
        <v>317</v>
      </c>
      <c r="F16" s="17"/>
      <c r="G16" s="93" t="s">
        <v>570</v>
      </c>
      <c r="H16" s="742"/>
      <c r="I16" s="743"/>
      <c r="J16" s="742"/>
      <c r="K16" s="743">
        <f t="shared" si="0"/>
        <v>0</v>
      </c>
      <c r="L16" s="743"/>
      <c r="M16" s="370">
        <f>IFERROR(IF(+K16-L16&gt;=0,K16-L16,"*")-O16,"*")</f>
        <v>0</v>
      </c>
      <c r="O16" s="1434"/>
    </row>
    <row r="17" spans="2:15" ht="21.95" customHeight="1" x14ac:dyDescent="0.2">
      <c r="C17" s="744"/>
      <c r="D17" s="744"/>
      <c r="E17" s="744"/>
      <c r="F17" s="745"/>
      <c r="G17" s="958"/>
      <c r="H17" s="742"/>
      <c r="I17" s="743"/>
      <c r="J17" s="742"/>
      <c r="K17" s="743">
        <f t="shared" si="0"/>
        <v>0</v>
      </c>
      <c r="L17" s="743"/>
      <c r="M17" s="370">
        <f>IFERROR(IF(+K17-L17&gt;=0,K17-L17,"*")-O17,"*")</f>
        <v>0</v>
      </c>
      <c r="O17" s="1434"/>
    </row>
    <row r="18" spans="2:15" ht="21.95" customHeight="1" x14ac:dyDescent="0.2">
      <c r="C18" s="744"/>
      <c r="D18" s="744"/>
      <c r="E18" s="744"/>
      <c r="F18" s="745"/>
      <c r="G18" s="958"/>
      <c r="H18" s="742"/>
      <c r="I18" s="743"/>
      <c r="J18" s="742"/>
      <c r="K18" s="743">
        <f t="shared" si="0"/>
        <v>0</v>
      </c>
      <c r="L18" s="743"/>
      <c r="M18" s="370">
        <f>IFERROR(IF(+K18-L18&gt;=0,K18-L18,"*")-O18,"*")</f>
        <v>0</v>
      </c>
      <c r="O18" s="1434"/>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fUbq36BV4T4f59MdnUzb0LbOkE7q+t+Wci4yFL6cYVkXZELth7aSnqMQOfFeCCMHjwr2QWoRV61GJa5vWy/t8g==" saltValue="xYcK//yWNTt5VHb2a9X+Z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700-000000000000}">
          <x14:formula1>
            <xm:f>'Other Codes'!$J$2:$J$6</xm:f>
          </x14:formula1>
          <xm:sqref>Q23 B1 G10:G12</xm:sqref>
        </x14:dataValidation>
        <x14:dataValidation type="list" allowBlank="1" showInputMessage="1" showErrorMessage="1" errorTitle="Invalid Entry" error="This FCOA Code is not authorized for use on this sheet." xr:uid="{00000000-0002-0000-77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7700-000002000000}">
          <x14:formula1>
            <xm:f>'Other Codes'!$J$10:$J$11</xm:f>
          </x14:formula1>
          <xm:sqref>G24:G26</xm:sqref>
        </x14:dataValidation>
      </x14:dataValidations>
    </ext>
  </extLst>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Sheet109">
    <tabColor theme="3" tint="0.39997558519241921"/>
  </sheetPr>
  <dimension ref="A2:O29"/>
  <sheetViews>
    <sheetView zoomScaleNormal="100" workbookViewId="0">
      <selection activeCell="F25" sqref="F25"/>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Inputs'!E40)&amp;"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Inputs'!E40)&amp;"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c r="O5" s="568" t="s">
        <v>3375</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670">
        <f>K9-L9</f>
        <v>0</v>
      </c>
    </row>
    <row r="10" spans="1:15" ht="24" customHeight="1" x14ac:dyDescent="0.2">
      <c r="C10" s="744"/>
      <c r="D10" s="744"/>
      <c r="E10" s="744"/>
      <c r="F10" s="745"/>
      <c r="G10" s="958"/>
      <c r="H10" s="742"/>
      <c r="I10" s="743"/>
      <c r="J10" s="97" t="s">
        <v>201</v>
      </c>
      <c r="K10" s="743">
        <f>+I10</f>
        <v>0</v>
      </c>
      <c r="L10" s="743"/>
      <c r="M10" s="99" t="s">
        <v>201</v>
      </c>
      <c r="O10" s="670">
        <f>K10-L10</f>
        <v>0</v>
      </c>
    </row>
    <row r="11" spans="1:15" ht="24" customHeight="1" x14ac:dyDescent="0.2">
      <c r="C11" s="744"/>
      <c r="D11" s="744"/>
      <c r="E11" s="744"/>
      <c r="F11" s="745"/>
      <c r="G11" s="958"/>
      <c r="H11" s="742"/>
      <c r="I11" s="743"/>
      <c r="J11" s="97" t="s">
        <v>201</v>
      </c>
      <c r="K11" s="743">
        <f>+I11</f>
        <v>0</v>
      </c>
      <c r="L11" s="743"/>
      <c r="M11" s="99" t="s">
        <v>201</v>
      </c>
      <c r="O11" s="670">
        <f>K11-L11</f>
        <v>0</v>
      </c>
    </row>
    <row r="12" spans="1:15" ht="24" customHeight="1" x14ac:dyDescent="0.2">
      <c r="C12" s="744"/>
      <c r="D12" s="744"/>
      <c r="E12" s="744"/>
      <c r="F12" s="745"/>
      <c r="G12" s="958"/>
      <c r="H12" s="742"/>
      <c r="I12" s="743"/>
      <c r="J12" s="97" t="s">
        <v>201</v>
      </c>
      <c r="K12" s="743">
        <f>+I12</f>
        <v>0</v>
      </c>
      <c r="L12" s="743"/>
      <c r="M12" s="99" t="s">
        <v>201</v>
      </c>
      <c r="O12" s="670">
        <f>K12-L12</f>
        <v>0</v>
      </c>
    </row>
    <row r="13" spans="1:15" ht="24" customHeight="1" x14ac:dyDescent="0.2">
      <c r="C13" s="744"/>
      <c r="D13" s="744"/>
      <c r="E13" s="744"/>
      <c r="F13" s="745"/>
      <c r="G13" s="958"/>
      <c r="H13" s="742"/>
      <c r="I13" s="743"/>
      <c r="J13" s="97" t="s">
        <v>201</v>
      </c>
      <c r="K13" s="743">
        <f>+I13</f>
        <v>0</v>
      </c>
      <c r="L13" s="743"/>
      <c r="M13" s="99" t="s">
        <v>201</v>
      </c>
      <c r="O13" s="670">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row>
    <row r="15" spans="1:15" ht="12.75" customHeight="1" x14ac:dyDescent="0.2">
      <c r="C15" s="104"/>
      <c r="D15" s="104"/>
      <c r="E15" s="62" t="s">
        <v>324</v>
      </c>
      <c r="F15" s="130"/>
      <c r="G15" s="131"/>
      <c r="H15" s="1751"/>
      <c r="I15" s="1751"/>
      <c r="J15" s="1751"/>
      <c r="K15" s="1751">
        <f>+I15</f>
        <v>0</v>
      </c>
      <c r="L15" s="1751"/>
      <c r="M15" s="1753">
        <f>IFERROR(IF(+K15-L15&gt;=0,K15-L15,"*")-O16,"*")</f>
        <v>0</v>
      </c>
    </row>
    <row r="16" spans="1:15" ht="12.75" customHeight="1" x14ac:dyDescent="0.2">
      <c r="C16" s="87"/>
      <c r="D16" s="87"/>
      <c r="E16" s="87"/>
      <c r="F16" s="178" t="s">
        <v>594</v>
      </c>
      <c r="G16" s="132" t="s">
        <v>576</v>
      </c>
      <c r="H16" s="1752"/>
      <c r="I16" s="1752"/>
      <c r="J16" s="1752"/>
      <c r="K16" s="1752"/>
      <c r="L16" s="1752"/>
      <c r="M16" s="1754"/>
      <c r="O16" s="1434"/>
    </row>
    <row r="17" spans="2:15" ht="24" customHeight="1" x14ac:dyDescent="0.2">
      <c r="C17" s="16"/>
      <c r="D17" s="16"/>
      <c r="E17" s="16"/>
      <c r="F17" s="17" t="s">
        <v>221</v>
      </c>
      <c r="G17" s="93" t="s">
        <v>577</v>
      </c>
      <c r="H17" s="742"/>
      <c r="I17" s="743"/>
      <c r="J17" s="742"/>
      <c r="K17" s="868">
        <f t="shared" ref="K17:K24" si="0">+I17</f>
        <v>0</v>
      </c>
      <c r="L17" s="743"/>
      <c r="M17" s="370">
        <f>IFERROR(IF(+K17-L17&gt;=0,K17-L17,"*")-O17,"*")</f>
        <v>0</v>
      </c>
      <c r="O17" s="1434"/>
    </row>
    <row r="18" spans="2:15" ht="24" customHeight="1" x14ac:dyDescent="0.2">
      <c r="C18" s="16"/>
      <c r="D18" s="16"/>
      <c r="E18" s="1731" t="s">
        <v>325</v>
      </c>
      <c r="F18" s="1750"/>
      <c r="G18" s="93" t="s">
        <v>578</v>
      </c>
      <c r="H18" s="742"/>
      <c r="I18" s="743"/>
      <c r="J18" s="742"/>
      <c r="K18" s="868">
        <f t="shared" si="0"/>
        <v>0</v>
      </c>
      <c r="L18" s="743"/>
      <c r="M18" s="370">
        <f>IFERROR(IF(+K18-L18&gt;=0,K18-L18,"*")-O18,"*")</f>
        <v>0</v>
      </c>
      <c r="O18" s="1434"/>
    </row>
    <row r="19" spans="2:15" ht="24" customHeight="1" x14ac:dyDescent="0.2">
      <c r="C19" s="744"/>
      <c r="D19" s="744"/>
      <c r="E19" s="744"/>
      <c r="F19" s="745"/>
      <c r="G19" s="958"/>
      <c r="H19" s="742"/>
      <c r="I19" s="743"/>
      <c r="J19" s="742"/>
      <c r="K19" s="868">
        <f t="shared" si="0"/>
        <v>0</v>
      </c>
      <c r="L19" s="743"/>
      <c r="M19" s="370">
        <f>IFERROR(IF(+K19-L19&gt;=0,K19-L19,"*")-O19,"*")</f>
        <v>0</v>
      </c>
      <c r="O19" s="1434"/>
    </row>
    <row r="20" spans="2:15" ht="24" customHeight="1" x14ac:dyDescent="0.2">
      <c r="C20" s="744"/>
      <c r="D20" s="744"/>
      <c r="E20" s="744"/>
      <c r="F20" s="745"/>
      <c r="G20" s="958"/>
      <c r="H20" s="742"/>
      <c r="I20" s="743"/>
      <c r="J20" s="742"/>
      <c r="K20" s="868">
        <f t="shared" si="0"/>
        <v>0</v>
      </c>
      <c r="L20" s="743"/>
      <c r="M20" s="370">
        <f>IFERROR(IF(+K20-L20&gt;=0,K20-L20,"*")-O20,"*")</f>
        <v>0</v>
      </c>
      <c r="O20" s="1434"/>
    </row>
    <row r="21" spans="2:15" ht="24" customHeight="1" x14ac:dyDescent="0.2">
      <c r="C21" s="744"/>
      <c r="D21" s="744"/>
      <c r="E21" s="744"/>
      <c r="F21" s="745"/>
      <c r="G21" s="958"/>
      <c r="H21" s="742"/>
      <c r="I21" s="743"/>
      <c r="J21" s="742"/>
      <c r="K21" s="868">
        <f t="shared" si="0"/>
        <v>0</v>
      </c>
      <c r="L21" s="743"/>
      <c r="M21" s="370">
        <f>IFERROR(IF(+K21-L21&gt;=0,K21-L21,"*")-O21,"*")</f>
        <v>0</v>
      </c>
      <c r="O21" s="1434"/>
    </row>
    <row r="22" spans="2:15" ht="24" customHeight="1" x14ac:dyDescent="0.25">
      <c r="C22" s="43" t="s">
        <v>326</v>
      </c>
      <c r="D22" s="16"/>
      <c r="E22" s="50"/>
      <c r="F22" s="17"/>
      <c r="G22" s="93" t="s">
        <v>579</v>
      </c>
      <c r="H22" s="742"/>
      <c r="I22" s="743"/>
      <c r="J22" s="742"/>
      <c r="K22" s="868">
        <f t="shared" si="0"/>
        <v>0</v>
      </c>
      <c r="L22" s="743"/>
      <c r="M22" s="99" t="s">
        <v>201</v>
      </c>
      <c r="O22" s="670">
        <f>K22-L22</f>
        <v>0</v>
      </c>
    </row>
    <row r="23" spans="2:15" ht="24" customHeight="1" x14ac:dyDescent="0.25">
      <c r="C23" s="43" t="s">
        <v>327</v>
      </c>
      <c r="D23" s="16"/>
      <c r="E23" s="16"/>
      <c r="F23" s="17"/>
      <c r="G23" s="93" t="s">
        <v>580</v>
      </c>
      <c r="H23" s="742"/>
      <c r="I23" s="743"/>
      <c r="J23" s="97" t="s">
        <v>201</v>
      </c>
      <c r="K23" s="868">
        <f t="shared" si="0"/>
        <v>0</v>
      </c>
      <c r="L23" s="743"/>
      <c r="M23" s="99" t="s">
        <v>201</v>
      </c>
      <c r="O23" s="670">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670">
        <f>K24-L24</f>
        <v>0</v>
      </c>
    </row>
    <row r="25" spans="2:15" ht="21.95" customHeight="1" thickTop="1" thickBot="1" x14ac:dyDescent="0.3">
      <c r="C25" s="18"/>
      <c r="D25" s="565" t="str">
        <f>"TOTAL "&amp;UPPER('Key Inputs'!E40)&amp;" UTILITY  APPROPRIATIONS"</f>
        <v>TOTAL  UTILITY  APPROPRIATIONS</v>
      </c>
      <c r="E25" s="566"/>
      <c r="F25" s="567"/>
      <c r="G25" s="102" t="s">
        <v>400</v>
      </c>
      <c r="H25" s="122">
        <f>+SUM(H9:H24)+SUM('32b-Utility2'!H8:H26)+SUM('32-Utility2:32a-Utility2'!H8:H26)</f>
        <v>0</v>
      </c>
      <c r="I25" s="122">
        <f>+SUM(I9:I24)+SUM('32b-Utility2'!I8:I26)+SUM('32-Utility2:32a-Utility2'!I8:I26)</f>
        <v>0</v>
      </c>
      <c r="J25" s="122">
        <f>+SUM(J9:J24)+SUM('32b-Utility2'!J8:J26)+SUM('32-Utility2:32a-Utility2'!J8:J26)</f>
        <v>0</v>
      </c>
      <c r="K25" s="122">
        <f>+SUM(K9:K24)+SUM('32b-Utility2'!K8:K26)+SUM('32-Utility2:32a-Utility2'!K8:K26)</f>
        <v>0</v>
      </c>
      <c r="L25" s="122">
        <f>+SUM(L9:L24)+SUM('32b-Utility2'!L8:L26)+SUM('32-Utility2:32a-Utility2'!L8:L26)</f>
        <v>0</v>
      </c>
      <c r="M25" s="137">
        <f>+SUM(M9:M24)+SUM('32b-Utility2'!M8:M26)+SUM('32-Utility2:32a-Utility2'!M8:M26)</f>
        <v>0</v>
      </c>
      <c r="O25" s="29">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9SxLDVNIh7VGXNfxeb13zgXvVeaAjyATw+XjFhFDAMrxwm6Kt0mp8cEZdIscR6c64h6WaxO1TboNt0W3t2H3WA==" saltValue="d8TRlYOikeYUyoYHR3f0Ow=="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800-000000000000}">
          <x14:formula1>
            <xm:f>'Other Codes'!$K$2:$K$4</xm:f>
          </x14:formula1>
          <xm:sqref>G10:G13 G19:G21</xm:sqref>
        </x14:dataValidation>
      </x14:dataValidations>
    </ext>
  </extLst>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Sheet110">
    <tabColor theme="5" tint="0.59999389629810485"/>
  </sheetPr>
  <dimension ref="C2:P27"/>
  <sheetViews>
    <sheetView zoomScaleNormal="100" workbookViewId="0">
      <selection activeCell="F25" sqref="F25"/>
    </sheetView>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Inputs'!E41)&amp;"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Inputs'!E41)&amp;"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Inputs'!E41&amp;"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9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900-000001000000}">
          <x14:formula1>
            <xm:f>'Other Codes'!$G$2</xm:f>
          </x14:formula1>
          <xm:sqref>I20:I24</xm:sqref>
        </x14:dataValidation>
      </x14:dataValidations>
    </ext>
  </extLst>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Sheet111">
    <tabColor theme="5" tint="0.59999389629810485"/>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Inputs'!E41)&amp;"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Inputs'!E41)&amp;"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DeqEYj6VlwVJAO4ROnAjva7MAd0/ZsnYNjNaVjkDn84kfKJS6ZhoailFmTFdOJv34Ipp37+5zdCjbBOnVs5qiA==" saltValue="Y9HlGxMynJWiyjoAlR0WJ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A00-000000000000}">
          <x14:formula1>
            <xm:f>'Other Codes'!$I$2:$I$6</xm:f>
          </x14:formula1>
          <xm:sqref>G10:G26</xm:sqref>
        </x14:dataValidation>
      </x14:dataValidations>
    </ext>
  </extLst>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Sheet112">
    <tabColor theme="5" tint="0.59999389629810485"/>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Inputs'!E41)&amp;"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Inputs'!E41)&amp;"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909"/>
    </row>
    <row r="9" spans="2:15" ht="21.95" customHeight="1" x14ac:dyDescent="0.2">
      <c r="C9" s="744"/>
      <c r="D9" s="744"/>
      <c r="E9" s="744"/>
      <c r="F9" s="745"/>
      <c r="G9" s="958"/>
      <c r="H9" s="742"/>
      <c r="I9" s="743"/>
      <c r="J9" s="742"/>
      <c r="K9" s="743">
        <f t="shared" ref="K9:K26" si="0">+I9</f>
        <v>0</v>
      </c>
      <c r="L9" s="743"/>
      <c r="M9" s="370">
        <f t="shared" ref="M9:M26" si="1">IFERROR(IF(+K9-L9&gt;=0,K9-L9,"*")-O9,"*")</f>
        <v>0</v>
      </c>
      <c r="O9" s="909"/>
    </row>
    <row r="10" spans="2:15" ht="21.95" customHeight="1" x14ac:dyDescent="0.2">
      <c r="C10" s="744"/>
      <c r="D10" s="744"/>
      <c r="E10" s="744"/>
      <c r="F10" s="745"/>
      <c r="G10" s="958"/>
      <c r="H10" s="742"/>
      <c r="I10" s="743"/>
      <c r="J10" s="742"/>
      <c r="K10" s="743">
        <f t="shared" si="0"/>
        <v>0</v>
      </c>
      <c r="L10" s="743"/>
      <c r="M10" s="370">
        <f t="shared" si="1"/>
        <v>0</v>
      </c>
      <c r="O10" s="909"/>
    </row>
    <row r="11" spans="2:15" ht="21.95" customHeight="1" x14ac:dyDescent="0.2">
      <c r="C11" s="744"/>
      <c r="D11" s="744"/>
      <c r="E11" s="744"/>
      <c r="F11" s="745"/>
      <c r="G11" s="958"/>
      <c r="H11" s="742"/>
      <c r="I11" s="743"/>
      <c r="J11" s="742"/>
      <c r="K11" s="743">
        <f t="shared" si="0"/>
        <v>0</v>
      </c>
      <c r="L11" s="743"/>
      <c r="M11" s="370">
        <f t="shared" si="1"/>
        <v>0</v>
      </c>
      <c r="O11" s="909"/>
    </row>
    <row r="12" spans="2:15" ht="21.95" customHeight="1" x14ac:dyDescent="0.2">
      <c r="C12" s="744"/>
      <c r="D12" s="744"/>
      <c r="E12" s="744"/>
      <c r="F12" s="745"/>
      <c r="G12" s="958"/>
      <c r="H12" s="742"/>
      <c r="I12" s="743"/>
      <c r="J12" s="742"/>
      <c r="K12" s="743">
        <f t="shared" si="0"/>
        <v>0</v>
      </c>
      <c r="L12" s="743"/>
      <c r="M12" s="370">
        <f t="shared" si="1"/>
        <v>0</v>
      </c>
      <c r="O12" s="909"/>
    </row>
    <row r="13" spans="2:15" ht="21.95" customHeight="1" x14ac:dyDescent="0.25">
      <c r="C13" s="882"/>
      <c r="D13" s="744"/>
      <c r="E13" s="744"/>
      <c r="F13" s="745"/>
      <c r="G13" s="958"/>
      <c r="H13" s="951"/>
      <c r="I13" s="952"/>
      <c r="J13" s="951"/>
      <c r="K13" s="743">
        <f t="shared" si="0"/>
        <v>0</v>
      </c>
      <c r="L13" s="952"/>
      <c r="M13" s="370">
        <f t="shared" si="1"/>
        <v>0</v>
      </c>
      <c r="O13" s="909"/>
    </row>
    <row r="14" spans="2:15" ht="21.95" customHeight="1" x14ac:dyDescent="0.2">
      <c r="C14" s="744"/>
      <c r="D14" s="744"/>
      <c r="E14" s="744"/>
      <c r="F14" s="745"/>
      <c r="G14" s="958"/>
      <c r="H14" s="742"/>
      <c r="I14" s="743"/>
      <c r="J14" s="742"/>
      <c r="K14" s="743">
        <f t="shared" si="0"/>
        <v>0</v>
      </c>
      <c r="L14" s="743"/>
      <c r="M14" s="370">
        <f t="shared" si="1"/>
        <v>0</v>
      </c>
      <c r="O14" s="909"/>
    </row>
    <row r="15" spans="2:15" ht="21.95" customHeight="1" x14ac:dyDescent="0.2">
      <c r="C15" s="744"/>
      <c r="D15" s="744"/>
      <c r="E15" s="744"/>
      <c r="F15" s="745"/>
      <c r="G15" s="958"/>
      <c r="H15" s="742"/>
      <c r="I15" s="743"/>
      <c r="J15" s="951"/>
      <c r="K15" s="743">
        <f t="shared" si="0"/>
        <v>0</v>
      </c>
      <c r="L15" s="743"/>
      <c r="M15" s="370">
        <f t="shared" si="1"/>
        <v>0</v>
      </c>
      <c r="O15" s="909"/>
    </row>
    <row r="16" spans="2:15" ht="21.95" customHeight="1" x14ac:dyDescent="0.2">
      <c r="C16" s="744"/>
      <c r="D16" s="744"/>
      <c r="E16" s="744"/>
      <c r="F16" s="745"/>
      <c r="G16" s="958"/>
      <c r="H16" s="742"/>
      <c r="I16" s="743"/>
      <c r="J16" s="742"/>
      <c r="K16" s="743">
        <f t="shared" si="0"/>
        <v>0</v>
      </c>
      <c r="L16" s="743"/>
      <c r="M16" s="370">
        <f t="shared" si="1"/>
        <v>0</v>
      </c>
      <c r="O16" s="909"/>
    </row>
    <row r="17" spans="2:15" ht="21.95" customHeight="1" x14ac:dyDescent="0.2">
      <c r="C17" s="744"/>
      <c r="D17" s="744"/>
      <c r="E17" s="744"/>
      <c r="F17" s="745"/>
      <c r="G17" s="958"/>
      <c r="H17" s="742"/>
      <c r="I17" s="743"/>
      <c r="J17" s="742"/>
      <c r="K17" s="743">
        <f t="shared" si="0"/>
        <v>0</v>
      </c>
      <c r="L17" s="743"/>
      <c r="M17" s="370">
        <f t="shared" si="1"/>
        <v>0</v>
      </c>
      <c r="O17" s="909"/>
    </row>
    <row r="18" spans="2:15" ht="21.95" customHeight="1" x14ac:dyDescent="0.2">
      <c r="C18" s="744"/>
      <c r="D18" s="744"/>
      <c r="E18" s="744"/>
      <c r="F18" s="745"/>
      <c r="G18" s="958"/>
      <c r="H18" s="742"/>
      <c r="I18" s="743"/>
      <c r="J18" s="742"/>
      <c r="K18" s="743">
        <f t="shared" si="0"/>
        <v>0</v>
      </c>
      <c r="L18" s="743"/>
      <c r="M18" s="370">
        <f t="shared" si="1"/>
        <v>0</v>
      </c>
      <c r="O18" s="909"/>
    </row>
    <row r="19" spans="2:15" ht="21.95" customHeight="1" x14ac:dyDescent="0.25">
      <c r="C19" s="882"/>
      <c r="D19" s="744"/>
      <c r="E19" s="744"/>
      <c r="F19" s="745"/>
      <c r="G19" s="958"/>
      <c r="H19" s="951"/>
      <c r="I19" s="952"/>
      <c r="J19" s="951"/>
      <c r="K19" s="743">
        <f t="shared" si="0"/>
        <v>0</v>
      </c>
      <c r="L19" s="952"/>
      <c r="M19" s="370">
        <f t="shared" si="1"/>
        <v>0</v>
      </c>
      <c r="O19" s="909"/>
    </row>
    <row r="20" spans="2:15" ht="21.95" customHeight="1" x14ac:dyDescent="0.2">
      <c r="C20" s="744"/>
      <c r="D20" s="744"/>
      <c r="E20" s="744"/>
      <c r="F20" s="745"/>
      <c r="G20" s="958"/>
      <c r="H20" s="742"/>
      <c r="I20" s="743"/>
      <c r="J20" s="742"/>
      <c r="K20" s="743">
        <f t="shared" si="0"/>
        <v>0</v>
      </c>
      <c r="L20" s="743"/>
      <c r="M20" s="370">
        <f t="shared" si="1"/>
        <v>0</v>
      </c>
      <c r="O20" s="909"/>
    </row>
    <row r="21" spans="2:15" ht="21.95" customHeight="1" x14ac:dyDescent="0.2">
      <c r="C21" s="744"/>
      <c r="D21" s="744"/>
      <c r="E21" s="876"/>
      <c r="F21" s="745"/>
      <c r="G21" s="958"/>
      <c r="H21" s="742"/>
      <c r="I21" s="743"/>
      <c r="J21" s="742"/>
      <c r="K21" s="743">
        <f t="shared" si="0"/>
        <v>0</v>
      </c>
      <c r="L21" s="743"/>
      <c r="M21" s="370">
        <f t="shared" si="1"/>
        <v>0</v>
      </c>
      <c r="O21" s="909"/>
    </row>
    <row r="22" spans="2:15" ht="21.95" customHeight="1" x14ac:dyDescent="0.2">
      <c r="C22" s="744"/>
      <c r="D22" s="744"/>
      <c r="E22" s="744"/>
      <c r="F22" s="745"/>
      <c r="G22" s="958"/>
      <c r="H22" s="742"/>
      <c r="I22" s="743"/>
      <c r="J22" s="742"/>
      <c r="K22" s="743">
        <f t="shared" si="0"/>
        <v>0</v>
      </c>
      <c r="L22" s="743"/>
      <c r="M22" s="370">
        <f t="shared" si="1"/>
        <v>0</v>
      </c>
      <c r="O22" s="909"/>
    </row>
    <row r="23" spans="2:15" ht="21.95" customHeight="1" x14ac:dyDescent="0.2">
      <c r="C23" s="744"/>
      <c r="D23" s="744"/>
      <c r="E23" s="744"/>
      <c r="F23" s="745"/>
      <c r="G23" s="958"/>
      <c r="H23" s="742"/>
      <c r="I23" s="743"/>
      <c r="J23" s="742"/>
      <c r="K23" s="743">
        <f t="shared" si="0"/>
        <v>0</v>
      </c>
      <c r="L23" s="743"/>
      <c r="M23" s="370">
        <f t="shared" si="1"/>
        <v>0</v>
      </c>
      <c r="O23" s="909"/>
    </row>
    <row r="24" spans="2:15" ht="21.95" customHeight="1" x14ac:dyDescent="0.2">
      <c r="C24" s="748"/>
      <c r="D24" s="748"/>
      <c r="E24" s="748"/>
      <c r="F24" s="904"/>
      <c r="G24" s="959"/>
      <c r="H24" s="905"/>
      <c r="I24" s="865"/>
      <c r="J24" s="905"/>
      <c r="K24" s="743">
        <f t="shared" si="0"/>
        <v>0</v>
      </c>
      <c r="L24" s="865"/>
      <c r="M24" s="370">
        <f t="shared" si="1"/>
        <v>0</v>
      </c>
      <c r="O24" s="909"/>
    </row>
    <row r="25" spans="2:15" ht="21.95" customHeight="1" x14ac:dyDescent="0.2">
      <c r="C25" s="748"/>
      <c r="D25" s="748"/>
      <c r="E25" s="748"/>
      <c r="F25" s="904"/>
      <c r="G25" s="959"/>
      <c r="H25" s="905"/>
      <c r="I25" s="865"/>
      <c r="J25" s="905"/>
      <c r="K25" s="743">
        <f t="shared" si="0"/>
        <v>0</v>
      </c>
      <c r="L25" s="865"/>
      <c r="M25" s="370">
        <f t="shared" si="1"/>
        <v>0</v>
      </c>
      <c r="O25" s="909"/>
    </row>
    <row r="26" spans="2:15" ht="21.95" customHeight="1" thickBot="1" x14ac:dyDescent="0.25">
      <c r="B26" s="2"/>
      <c r="C26" s="893"/>
      <c r="D26" s="893"/>
      <c r="E26" s="893"/>
      <c r="F26" s="894"/>
      <c r="G26" s="960"/>
      <c r="H26" s="897"/>
      <c r="I26" s="898"/>
      <c r="J26" s="897"/>
      <c r="K26" s="898">
        <f t="shared" si="0"/>
        <v>0</v>
      </c>
      <c r="L26" s="898"/>
      <c r="M26" s="525">
        <f t="shared" si="1"/>
        <v>0</v>
      </c>
      <c r="O26" s="909"/>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z10nPV4n61Rkt5ZnU22Y3Hd8I24/oCSTyrJLDDbbNZEkM2zTYx8m7rNsj+4x4h8JCIIA4T60E62j7Opb230vlA==" saltValue="jyXLuxjtLj5K3yYDtOasz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B00-000000000000}">
          <x14:formula1>
            <xm:f>'Other Codes'!$I$2:$I$6</xm:f>
          </x14:formula1>
          <xm:sqref>G8:G26</xm:sqref>
        </x14:dataValidation>
      </x14:dataValidations>
    </ext>
  </extLst>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sheetPr codeName="Sheet113">
    <tabColor theme="5" tint="0.59999389629810485"/>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Inputs'!E41)&amp;"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Inputs'!E41)&amp;"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IFERROR(IF(+K10-L10&gt;=0,K10-L10,"*")-O10,"*")</f>
        <v>0</v>
      </c>
      <c r="O10" s="1434"/>
    </row>
    <row r="11" spans="2:15" ht="21.95" customHeight="1" x14ac:dyDescent="0.2">
      <c r="C11" s="744"/>
      <c r="D11" s="744"/>
      <c r="E11" s="744"/>
      <c r="F11" s="745"/>
      <c r="G11" s="958"/>
      <c r="H11" s="742"/>
      <c r="I11" s="743"/>
      <c r="J11" s="742"/>
      <c r="K11" s="743">
        <f t="shared" si="0"/>
        <v>0</v>
      </c>
      <c r="L11" s="743"/>
      <c r="M11" s="370">
        <f>IFERROR(IF(+K11-L11&gt;=0,K11-L11,"*")-O11,"*")</f>
        <v>0</v>
      </c>
      <c r="O11" s="1434"/>
    </row>
    <row r="12" spans="2:15" ht="21.95" customHeight="1" x14ac:dyDescent="0.2">
      <c r="C12" s="744"/>
      <c r="D12" s="744"/>
      <c r="E12" s="744"/>
      <c r="F12" s="745"/>
      <c r="G12" s="958"/>
      <c r="H12" s="742"/>
      <c r="I12" s="743"/>
      <c r="J12" s="742"/>
      <c r="K12" s="743">
        <f t="shared" si="0"/>
        <v>0</v>
      </c>
      <c r="L12" s="743"/>
      <c r="M12" s="370">
        <f>IFERROR(IF(+K12-L12&gt;=0,K12-L12,"*")-O12,"*")</f>
        <v>0</v>
      </c>
      <c r="O12" s="1434"/>
    </row>
    <row r="13" spans="2:15" ht="21.95" customHeight="1" x14ac:dyDescent="0.25">
      <c r="C13" s="43" t="s">
        <v>315</v>
      </c>
      <c r="D13" s="16"/>
      <c r="E13" s="16"/>
      <c r="F13" s="17"/>
      <c r="G13" s="93" t="s">
        <v>200</v>
      </c>
      <c r="H13" s="97" t="s">
        <v>201</v>
      </c>
      <c r="I13" s="98" t="s">
        <v>201</v>
      </c>
      <c r="J13" s="97" t="s">
        <v>201</v>
      </c>
      <c r="K13" s="98" t="s">
        <v>201</v>
      </c>
      <c r="L13" s="98" t="s">
        <v>201</v>
      </c>
      <c r="M13" s="99" t="s">
        <v>201</v>
      </c>
    </row>
    <row r="14" spans="2:15" ht="21.95" customHeight="1" x14ac:dyDescent="0.2">
      <c r="C14" s="16"/>
      <c r="D14" s="16"/>
      <c r="E14" s="16" t="s">
        <v>243</v>
      </c>
      <c r="F14" s="17"/>
      <c r="G14" s="93" t="s">
        <v>568</v>
      </c>
      <c r="H14" s="742"/>
      <c r="I14" s="743"/>
      <c r="J14" s="742"/>
      <c r="K14" s="743">
        <f t="shared" si="0"/>
        <v>0</v>
      </c>
      <c r="L14" s="743"/>
      <c r="M14" s="370">
        <f>IFERROR(IF(+K14-L14&gt;=0,K14-L14,"*")-O14,"*")</f>
        <v>0</v>
      </c>
      <c r="O14" s="1434"/>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4"/>
    </row>
    <row r="16" spans="2:15" ht="21.95" customHeight="1" x14ac:dyDescent="0.2">
      <c r="C16" s="16"/>
      <c r="D16" s="16"/>
      <c r="E16" s="16" t="s">
        <v>317</v>
      </c>
      <c r="F16" s="17"/>
      <c r="G16" s="93" t="s">
        <v>570</v>
      </c>
      <c r="H16" s="742"/>
      <c r="I16" s="743"/>
      <c r="J16" s="742"/>
      <c r="K16" s="743">
        <f t="shared" si="0"/>
        <v>0</v>
      </c>
      <c r="L16" s="743"/>
      <c r="M16" s="370">
        <f>IFERROR(IF(+K16-L16&gt;=0,K16-L16,"*")-O16,"*")</f>
        <v>0</v>
      </c>
      <c r="O16" s="1434"/>
    </row>
    <row r="17" spans="2:15" ht="21.95" customHeight="1" x14ac:dyDescent="0.2">
      <c r="C17" s="744"/>
      <c r="D17" s="744"/>
      <c r="E17" s="744"/>
      <c r="F17" s="745"/>
      <c r="G17" s="958"/>
      <c r="H17" s="742"/>
      <c r="I17" s="743"/>
      <c r="J17" s="742"/>
      <c r="K17" s="743">
        <f t="shared" si="0"/>
        <v>0</v>
      </c>
      <c r="L17" s="743"/>
      <c r="M17" s="370">
        <f>IFERROR(IF(+K17-L17&gt;=0,K17-L17,"*")-O17,"*")</f>
        <v>0</v>
      </c>
      <c r="O17" s="1434"/>
    </row>
    <row r="18" spans="2:15" ht="21.95" customHeight="1" x14ac:dyDescent="0.2">
      <c r="C18" s="744"/>
      <c r="D18" s="744"/>
      <c r="E18" s="744"/>
      <c r="F18" s="745"/>
      <c r="G18" s="958"/>
      <c r="H18" s="742"/>
      <c r="I18" s="743"/>
      <c r="J18" s="742"/>
      <c r="K18" s="743">
        <f t="shared" si="0"/>
        <v>0</v>
      </c>
      <c r="L18" s="743"/>
      <c r="M18" s="370">
        <f>IFERROR(IF(+K18-L18&gt;=0,K18-L18,"*")-O18,"*")</f>
        <v>0</v>
      </c>
      <c r="O18" s="1434"/>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tLozJNAgmniFbfAayvxH63wWKHQwfZv6qt7Glh80F0KnzpReePFRLBfDXB9NG7XjSNJA6nyOBRrC7lSZbKURug==" saltValue="ovmMs9Mxk/Ouj05ea6ojm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7C00-000000000000}">
          <x14:formula1>
            <xm:f>'Other Codes'!$J$2:$J$11</xm:f>
          </x14:formula1>
          <xm:sqref>G10:G12</xm:sqref>
        </x14:dataValidation>
        <x14:dataValidation type="list" allowBlank="1" showInputMessage="1" showErrorMessage="1" errorTitle="Invalid Entry" error="This FCOA Code is not authorized for use on this sheet." xr:uid="{00000000-0002-0000-7C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7C00-000002000000}">
          <x14:formula1>
            <xm:f>'Other Codes'!$J$10:$J$11</xm:f>
          </x14:formula1>
          <xm:sqref>G24:G26</xm:sqref>
        </x14:dataValidation>
      </x14:dataValidations>
    </ext>
  </extLst>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sheetPr codeName="Sheet114">
    <tabColor theme="5" tint="0.59999389629810485"/>
  </sheetPr>
  <dimension ref="A2:O29"/>
  <sheetViews>
    <sheetView zoomScaleNormal="100" workbookViewId="0">
      <selection activeCell="F25" sqref="F25"/>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Inputs'!E41)&amp;"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Inputs'!E41)&amp;"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c r="O5" s="568" t="s">
        <v>3375</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670">
        <f>K9-L9</f>
        <v>0</v>
      </c>
    </row>
    <row r="10" spans="1:15" ht="24" customHeight="1" x14ac:dyDescent="0.2">
      <c r="C10" s="744"/>
      <c r="D10" s="744"/>
      <c r="E10" s="744"/>
      <c r="F10" s="745"/>
      <c r="G10" s="958"/>
      <c r="H10" s="742"/>
      <c r="I10" s="743"/>
      <c r="J10" s="97" t="s">
        <v>201</v>
      </c>
      <c r="K10" s="743">
        <f>+I10</f>
        <v>0</v>
      </c>
      <c r="L10" s="743"/>
      <c r="M10" s="99" t="s">
        <v>201</v>
      </c>
      <c r="O10" s="670">
        <f>K10-L10</f>
        <v>0</v>
      </c>
    </row>
    <row r="11" spans="1:15" ht="24" customHeight="1" x14ac:dyDescent="0.2">
      <c r="C11" s="744"/>
      <c r="D11" s="744"/>
      <c r="E11" s="744"/>
      <c r="F11" s="745"/>
      <c r="G11" s="958"/>
      <c r="H11" s="742"/>
      <c r="I11" s="743"/>
      <c r="J11" s="97" t="s">
        <v>201</v>
      </c>
      <c r="K11" s="743">
        <f>+I11</f>
        <v>0</v>
      </c>
      <c r="L11" s="743"/>
      <c r="M11" s="99" t="s">
        <v>201</v>
      </c>
      <c r="O11" s="670">
        <f>K11-L11</f>
        <v>0</v>
      </c>
    </row>
    <row r="12" spans="1:15" ht="24" customHeight="1" x14ac:dyDescent="0.2">
      <c r="C12" s="744"/>
      <c r="D12" s="744"/>
      <c r="E12" s="744"/>
      <c r="F12" s="745"/>
      <c r="G12" s="958"/>
      <c r="H12" s="742"/>
      <c r="I12" s="743"/>
      <c r="J12" s="97" t="s">
        <v>201</v>
      </c>
      <c r="K12" s="743">
        <f>+I12</f>
        <v>0</v>
      </c>
      <c r="L12" s="743"/>
      <c r="M12" s="99" t="s">
        <v>201</v>
      </c>
      <c r="O12" s="670">
        <f>K12-L12</f>
        <v>0</v>
      </c>
    </row>
    <row r="13" spans="1:15" ht="24" customHeight="1" x14ac:dyDescent="0.2">
      <c r="C13" s="744"/>
      <c r="D13" s="744"/>
      <c r="E13" s="744"/>
      <c r="F13" s="745"/>
      <c r="G13" s="958"/>
      <c r="H13" s="742"/>
      <c r="I13" s="743"/>
      <c r="J13" s="97" t="s">
        <v>201</v>
      </c>
      <c r="K13" s="743">
        <f>+I13</f>
        <v>0</v>
      </c>
      <c r="L13" s="743"/>
      <c r="M13" s="99" t="s">
        <v>201</v>
      </c>
      <c r="O13" s="670">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row>
    <row r="15" spans="1:15" ht="12.75" customHeight="1" x14ac:dyDescent="0.2">
      <c r="C15" s="104"/>
      <c r="D15" s="104"/>
      <c r="E15" s="62" t="s">
        <v>324</v>
      </c>
      <c r="F15" s="130"/>
      <c r="G15" s="131"/>
      <c r="H15" s="1751"/>
      <c r="I15" s="1751"/>
      <c r="J15" s="1751"/>
      <c r="K15" s="1751">
        <f>+I15</f>
        <v>0</v>
      </c>
      <c r="L15" s="1751"/>
      <c r="M15" s="1753">
        <f>IFERROR(IF(+K15-L15&gt;=0,K15-L15,"*")-O16,"*")</f>
        <v>0</v>
      </c>
    </row>
    <row r="16" spans="1:15" ht="12.75" customHeight="1" x14ac:dyDescent="0.2">
      <c r="C16" s="87"/>
      <c r="D16" s="87"/>
      <c r="E16" s="87"/>
      <c r="F16" s="178" t="s">
        <v>594</v>
      </c>
      <c r="G16" s="132" t="s">
        <v>576</v>
      </c>
      <c r="H16" s="1752"/>
      <c r="I16" s="1752"/>
      <c r="J16" s="1752"/>
      <c r="K16" s="1752"/>
      <c r="L16" s="1752"/>
      <c r="M16" s="1754"/>
      <c r="O16" s="1434"/>
    </row>
    <row r="17" spans="2:15" ht="24" customHeight="1" x14ac:dyDescent="0.2">
      <c r="C17" s="16"/>
      <c r="D17" s="16"/>
      <c r="E17" s="16"/>
      <c r="F17" s="17" t="s">
        <v>221</v>
      </c>
      <c r="G17" s="93" t="s">
        <v>577</v>
      </c>
      <c r="H17" s="742"/>
      <c r="I17" s="743"/>
      <c r="J17" s="742"/>
      <c r="K17" s="868">
        <f t="shared" ref="K17:K24" si="0">+I17</f>
        <v>0</v>
      </c>
      <c r="L17" s="743"/>
      <c r="M17" s="370">
        <f>IFERROR(IF(+K17-L17&gt;=0,K17-L17,"*")-O17,"*")</f>
        <v>0</v>
      </c>
      <c r="O17" s="1434"/>
    </row>
    <row r="18" spans="2:15" ht="24" customHeight="1" x14ac:dyDescent="0.2">
      <c r="C18" s="16"/>
      <c r="D18" s="16"/>
      <c r="E18" s="1731" t="s">
        <v>325</v>
      </c>
      <c r="F18" s="1750"/>
      <c r="G18" s="93" t="s">
        <v>578</v>
      </c>
      <c r="H18" s="742"/>
      <c r="I18" s="743"/>
      <c r="J18" s="742"/>
      <c r="K18" s="868">
        <f t="shared" si="0"/>
        <v>0</v>
      </c>
      <c r="L18" s="743"/>
      <c r="M18" s="370">
        <f>IFERROR(IF(+K18-L18&gt;=0,K18-L18,"*")-O18,"*")</f>
        <v>0</v>
      </c>
      <c r="O18" s="1434"/>
    </row>
    <row r="19" spans="2:15" ht="24" customHeight="1" x14ac:dyDescent="0.2">
      <c r="C19" s="744"/>
      <c r="D19" s="744"/>
      <c r="E19" s="744"/>
      <c r="F19" s="745"/>
      <c r="G19" s="958"/>
      <c r="H19" s="742"/>
      <c r="I19" s="743"/>
      <c r="J19" s="742"/>
      <c r="K19" s="868">
        <f t="shared" si="0"/>
        <v>0</v>
      </c>
      <c r="L19" s="743"/>
      <c r="M19" s="370">
        <f>IFERROR(IF(+K19-L19&gt;=0,K19-L19,"*")-O19,"*")</f>
        <v>0</v>
      </c>
      <c r="O19" s="1434"/>
    </row>
    <row r="20" spans="2:15" ht="24" customHeight="1" x14ac:dyDescent="0.2">
      <c r="C20" s="744"/>
      <c r="D20" s="744"/>
      <c r="E20" s="744"/>
      <c r="F20" s="745"/>
      <c r="G20" s="958"/>
      <c r="H20" s="742"/>
      <c r="I20" s="743"/>
      <c r="J20" s="742"/>
      <c r="K20" s="868">
        <f t="shared" si="0"/>
        <v>0</v>
      </c>
      <c r="L20" s="743"/>
      <c r="M20" s="370">
        <f>IFERROR(IF(+K20-L20&gt;=0,K20-L20,"*")-O20,"*")</f>
        <v>0</v>
      </c>
      <c r="O20" s="1434"/>
    </row>
    <row r="21" spans="2:15" ht="24" customHeight="1" x14ac:dyDescent="0.2">
      <c r="C21" s="744"/>
      <c r="D21" s="744"/>
      <c r="E21" s="744"/>
      <c r="F21" s="745"/>
      <c r="G21" s="958"/>
      <c r="H21" s="742"/>
      <c r="I21" s="743"/>
      <c r="J21" s="742"/>
      <c r="K21" s="868">
        <f t="shared" si="0"/>
        <v>0</v>
      </c>
      <c r="L21" s="743"/>
      <c r="M21" s="370">
        <f>IFERROR(IF(+K21-L21&gt;=0,K21-L21,"*")-O21,"*")</f>
        <v>0</v>
      </c>
      <c r="O21" s="1434"/>
    </row>
    <row r="22" spans="2:15" ht="24" customHeight="1" x14ac:dyDescent="0.25">
      <c r="C22" s="43" t="s">
        <v>326</v>
      </c>
      <c r="D22" s="16"/>
      <c r="E22" s="50"/>
      <c r="F22" s="17"/>
      <c r="G22" s="93" t="s">
        <v>579</v>
      </c>
      <c r="H22" s="742"/>
      <c r="I22" s="743"/>
      <c r="J22" s="742"/>
      <c r="K22" s="868">
        <f t="shared" si="0"/>
        <v>0</v>
      </c>
      <c r="L22" s="743"/>
      <c r="M22" s="99" t="s">
        <v>201</v>
      </c>
      <c r="O22" s="670">
        <f>K22-L22</f>
        <v>0</v>
      </c>
    </row>
    <row r="23" spans="2:15" ht="24" customHeight="1" x14ac:dyDescent="0.25">
      <c r="C23" s="43" t="s">
        <v>327</v>
      </c>
      <c r="D23" s="16"/>
      <c r="E23" s="16"/>
      <c r="F23" s="17"/>
      <c r="G23" s="93" t="s">
        <v>580</v>
      </c>
      <c r="H23" s="742"/>
      <c r="I23" s="743"/>
      <c r="J23" s="97" t="s">
        <v>201</v>
      </c>
      <c r="K23" s="868">
        <f t="shared" si="0"/>
        <v>0</v>
      </c>
      <c r="L23" s="743"/>
      <c r="M23" s="99" t="s">
        <v>201</v>
      </c>
      <c r="O23" s="670">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670">
        <f>K24-L24</f>
        <v>0</v>
      </c>
    </row>
    <row r="25" spans="2:15" ht="21.95" customHeight="1" thickTop="1" thickBot="1" x14ac:dyDescent="0.3">
      <c r="C25" s="18"/>
      <c r="D25" s="565" t="str">
        <f>"TOTAL "&amp;UPPER('Key Inputs'!E41)&amp;" UTILITY  APPROPRIATIONS"</f>
        <v>TOTAL  UTILITY  APPROPRIATIONS</v>
      </c>
      <c r="E25" s="566"/>
      <c r="F25" s="567"/>
      <c r="G25" s="102" t="s">
        <v>400</v>
      </c>
      <c r="H25" s="122">
        <f>+SUM(H9:H24)+SUM('32b-Utility3'!H8:H26)+SUM('32-Utility3:32a-Utility3'!H8:H26)</f>
        <v>0</v>
      </c>
      <c r="I25" s="122">
        <f>+SUM(I9:I24)+SUM('32b-Utility3'!I8:I26)+SUM('32-Utility3:32a-Utility3'!I8:I26)</f>
        <v>0</v>
      </c>
      <c r="J25" s="122">
        <f>+SUM(J9:J24)+SUM('32b-Utility3'!J8:J26)+SUM('32-Utility3:32a-Utility3'!J8:J26)</f>
        <v>0</v>
      </c>
      <c r="K25" s="122">
        <f>+SUM(K9:K24)+SUM('32b-Utility3'!K8:K26)+SUM('32-Utility3:32a-Utility3'!K8:K26)</f>
        <v>0</v>
      </c>
      <c r="L25" s="122">
        <f>+SUM(L9:L24)+SUM('32b-Utility3'!L8:L26)+SUM('32-Utility3:32a-Utility3'!L8:L26)</f>
        <v>0</v>
      </c>
      <c r="M25" s="137">
        <f>+SUM(M9:M24)+SUM('32b-Utility3'!M8:M26)+SUM('32-Utility3:32a-Utility3'!M8:M26)</f>
        <v>0</v>
      </c>
      <c r="O25" s="29">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gse9RH9syGqMBj5wglDI2VEmER0tVwMUvCoqvWqdBs93of0H+aZohkyL/kBdCeO9JjwdJ7V6bJyq143LQXf0Xw==" saltValue="sfkS9KGMKpBrgSUAqtfxPg=="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7D00-000000000000}">
          <x14:formula1>
            <xm:f>'Other Codes'!$K$2:$K$4</xm:f>
          </x14:formula1>
          <xm:sqref>G10:G13 G19:G21</xm:sqref>
        </x14:dataValidation>
      </x14:dataValidations>
    </ext>
  </extLst>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codeName="Sheet115">
    <tabColor theme="2" tint="-0.249977111117893"/>
  </sheetPr>
  <dimension ref="C2:P27"/>
  <sheetViews>
    <sheetView zoomScaleNormal="100" workbookViewId="0">
      <selection activeCell="F25" sqref="F25"/>
    </sheetView>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Inputs'!E42)&amp;"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Inputs'!E42)&amp;"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Inputs'!E42&amp;"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7E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7E00-000001000000}">
          <x14:formula1>
            <xm:f>'Other Codes'!$G$2</xm:f>
          </x14:formula1>
          <xm:sqref>I20:I24</xm:sqref>
        </x14:dataValidation>
      </x14:dataValidations>
    </ext>
  </extLst>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sheetPr codeName="Sheet116">
    <tabColor theme="2" tint="-0.249977111117893"/>
  </sheetPr>
  <dimension ref="B2:O30"/>
  <sheetViews>
    <sheetView topLeftCell="B1" zoomScale="92" zoomScaleNormal="92" workbookViewId="0">
      <selection activeCell="F25" sqref="F25"/>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Inputs'!E42)&amp;"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Inputs'!E42)&amp;"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7pWrliGdTbAOeHbcugqUT7v8p4mU1YXcVT8gRv34OBMr2j/Rv0HZDklKL6iCtdNSDEv42s1htAedx+44RqgfVA==" saltValue="W8CQutozDjGveIiNvBCLR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page." xr:uid="{00000000-0002-0000-7F00-000000000000}">
          <x14:formula1>
            <xm:f>'Other Codes'!$I$2:$I$6</xm:f>
          </x14:formula1>
          <xm:sqref>G10:G26</xm:sqref>
        </x14:dataValidation>
      </x14:dataValidations>
    </ext>
  </extLst>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sheetPr codeName="Sheet117">
    <tabColor theme="2" tint="-0.249977111117893"/>
  </sheetPr>
  <dimension ref="B2:O30"/>
  <sheetViews>
    <sheetView topLeftCell="B1" zoomScale="92" zoomScaleNormal="92" workbookViewId="0">
      <selection activeCell="P10" sqref="P10"/>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Inputs'!E42)&amp;"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Inputs'!E42)&amp;"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1434"/>
    </row>
    <row r="9" spans="2:15" ht="21.95" customHeight="1" x14ac:dyDescent="0.2">
      <c r="C9" s="744"/>
      <c r="D9" s="744"/>
      <c r="E9" s="744"/>
      <c r="F9" s="745"/>
      <c r="G9" s="958"/>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 t="shared" ref="M10:M26" si="1">IFERROR(IF(+K10-L10&gt;=0,K10-L10,"*")-O10,"*")</f>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YJHJbjeBgda5AfBnhmhpaFqDh9m6/QD8Pj8dlEX0d1vSjvcDr4prFGpfdvu3wVjKBBmQ2Q+IvGkq7VV8LS6hcg==" saltValue="CvAFBbHy9dcviw3Ayivoe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000-000000000000}">
          <x14:formula1>
            <xm:f>'Other Codes'!$I$2:$I$6</xm:f>
          </x14:formula1>
          <xm:sqref>G8:G26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8"/>
  <dimension ref="B1:T50"/>
  <sheetViews>
    <sheetView zoomScaleNormal="100" workbookViewId="0">
      <selection activeCell="O22" sqref="O22"/>
    </sheetView>
  </sheetViews>
  <sheetFormatPr defaultRowHeight="12.75" x14ac:dyDescent="0.2"/>
  <cols>
    <col min="1" max="1" width="1.7109375" customWidth="1"/>
    <col min="2" max="2" width="2.7109375" customWidth="1"/>
    <col min="3" max="3" width="25.7109375" customWidth="1"/>
    <col min="4" max="4" width="1.7109375" customWidth="1"/>
    <col min="5" max="5" width="15.7109375" customWidth="1"/>
    <col min="6" max="6" width="1.7109375" customWidth="1"/>
    <col min="7" max="7" width="14.7109375" customWidth="1"/>
    <col min="8" max="8" width="1.7109375" customWidth="1"/>
    <col min="9" max="9" width="14.140625" bestFit="1" customWidth="1"/>
    <col min="10" max="10" width="8.7109375" customWidth="1"/>
    <col min="11" max="11" width="2.7109375" customWidth="1"/>
    <col min="12" max="12" width="1.7109375" customWidth="1"/>
    <col min="13" max="13" width="25.7109375" customWidth="1"/>
    <col min="14" max="14" width="1.7109375" customWidth="1"/>
    <col min="15" max="15" width="14.7109375" customWidth="1"/>
    <col min="16" max="16" width="1.7109375" customWidth="1"/>
    <col min="17" max="17" width="14.7109375" customWidth="1"/>
    <col min="18" max="18" width="1.7109375" customWidth="1"/>
    <col min="19" max="19" width="13.5703125" customWidth="1"/>
    <col min="20" max="20" width="8.7109375" customWidth="1"/>
  </cols>
  <sheetData>
    <row r="1" spans="2:20" ht="13.5" thickBot="1" x14ac:dyDescent="0.25"/>
    <row r="2" spans="2:20" ht="18.75" thickTop="1" x14ac:dyDescent="0.25">
      <c r="B2" s="1592" t="s">
        <v>352</v>
      </c>
      <c r="C2" s="1593"/>
      <c r="D2" s="1593"/>
      <c r="E2" s="1593"/>
      <c r="F2" s="1593"/>
      <c r="G2" s="1593"/>
      <c r="H2" s="1593"/>
      <c r="I2" s="1593"/>
      <c r="J2" s="1594"/>
      <c r="L2" s="1592" t="s">
        <v>356</v>
      </c>
      <c r="M2" s="1593"/>
      <c r="N2" s="1593"/>
      <c r="O2" s="1593"/>
      <c r="P2" s="1593"/>
      <c r="Q2" s="1593"/>
      <c r="R2" s="1593"/>
      <c r="S2" s="1593"/>
      <c r="T2" s="1594"/>
    </row>
    <row r="3" spans="2:20" x14ac:dyDescent="0.2">
      <c r="B3" s="184"/>
      <c r="C3" s="63"/>
      <c r="D3" s="63"/>
      <c r="E3" s="63"/>
      <c r="F3" s="63"/>
      <c r="G3" s="63"/>
      <c r="H3" s="63"/>
      <c r="I3" s="63"/>
      <c r="J3" s="7"/>
      <c r="L3" s="184"/>
      <c r="M3" s="63"/>
      <c r="N3" s="63"/>
      <c r="O3" s="63"/>
      <c r="P3" s="63"/>
      <c r="Q3" s="63"/>
      <c r="R3" s="63"/>
      <c r="S3" s="63"/>
      <c r="T3" s="7"/>
    </row>
    <row r="4" spans="2:20" ht="15.75" x14ac:dyDescent="0.25">
      <c r="B4" s="184"/>
      <c r="C4" s="63"/>
      <c r="D4" s="63"/>
      <c r="E4" s="177" t="s">
        <v>346</v>
      </c>
      <c r="F4" s="177"/>
      <c r="G4" s="177" t="s">
        <v>348</v>
      </c>
      <c r="H4" s="63"/>
      <c r="I4" s="63"/>
      <c r="J4" s="7"/>
      <c r="L4" s="184"/>
      <c r="M4" s="63"/>
      <c r="N4" s="63"/>
      <c r="O4" s="177" t="s">
        <v>346</v>
      </c>
      <c r="P4" s="177"/>
      <c r="Q4" s="177" t="s">
        <v>348</v>
      </c>
      <c r="R4" s="63"/>
      <c r="S4" s="63"/>
      <c r="T4" s="7"/>
    </row>
    <row r="5" spans="2:20" ht="16.5" thickBot="1" x14ac:dyDescent="0.3">
      <c r="B5" s="184"/>
      <c r="C5" s="63"/>
      <c r="D5" s="63"/>
      <c r="E5" s="179" t="s">
        <v>347</v>
      </c>
      <c r="F5" s="63"/>
      <c r="G5" s="179" t="s">
        <v>349</v>
      </c>
      <c r="H5" s="63"/>
      <c r="I5" s="179" t="s">
        <v>330</v>
      </c>
      <c r="J5" s="185" t="s">
        <v>331</v>
      </c>
      <c r="L5" s="184"/>
      <c r="M5" s="63"/>
      <c r="N5" s="63"/>
      <c r="O5" s="179" t="s">
        <v>347</v>
      </c>
      <c r="P5" s="63"/>
      <c r="Q5" s="179" t="s">
        <v>349</v>
      </c>
      <c r="R5" s="63"/>
      <c r="S5" s="179" t="s">
        <v>330</v>
      </c>
      <c r="T5" s="185" t="s">
        <v>331</v>
      </c>
    </row>
    <row r="6" spans="2:20" x14ac:dyDescent="0.2">
      <c r="B6" s="184" t="s">
        <v>329</v>
      </c>
      <c r="C6" s="63"/>
      <c r="D6" s="63"/>
      <c r="E6" s="183"/>
      <c r="F6" s="183"/>
      <c r="G6" s="183"/>
      <c r="H6" s="183"/>
      <c r="I6" s="183"/>
      <c r="J6" s="186"/>
      <c r="L6" s="184"/>
      <c r="M6" s="63"/>
      <c r="N6" s="63"/>
      <c r="O6" s="63"/>
      <c r="P6" s="63"/>
      <c r="Q6" s="63"/>
      <c r="R6" s="63"/>
      <c r="S6" s="63"/>
      <c r="T6" s="7"/>
    </row>
    <row r="7" spans="2:20" x14ac:dyDescent="0.2">
      <c r="B7" s="184"/>
      <c r="C7" s="63" t="s">
        <v>332</v>
      </c>
      <c r="D7" s="63"/>
      <c r="E7" s="1034">
        <f>+'11'!I8+'11'!I9</f>
        <v>302200</v>
      </c>
      <c r="F7" s="183"/>
      <c r="G7" s="1034">
        <f>+'11'!J8+'11'!J9</f>
        <v>302200</v>
      </c>
      <c r="H7" s="183"/>
      <c r="I7" s="183">
        <f>+E7-G7</f>
        <v>0</v>
      </c>
      <c r="J7" s="187">
        <f>+I7/G7</f>
        <v>0</v>
      </c>
      <c r="L7" s="184"/>
      <c r="M7" s="63" t="s">
        <v>357</v>
      </c>
      <c r="N7" s="63"/>
      <c r="O7" s="191">
        <f>+'11'!I22</f>
        <v>334252.65115825913</v>
      </c>
      <c r="P7" s="63"/>
      <c r="Q7" s="191">
        <f>+'11'!J22</f>
        <v>329911.78999999998</v>
      </c>
      <c r="R7" s="63"/>
      <c r="S7" s="191">
        <f>+O7-Q7</f>
        <v>4340.8611582591548</v>
      </c>
      <c r="T7" s="187">
        <f>+S7/Q7</f>
        <v>1.3157641799522094E-2</v>
      </c>
    </row>
    <row r="8" spans="2:20" x14ac:dyDescent="0.2">
      <c r="B8" s="184"/>
      <c r="C8" s="63" t="s">
        <v>333</v>
      </c>
      <c r="D8" s="63"/>
      <c r="E8" s="1034">
        <f>+'11'!I11+'11'!I13+'11'!I14+'11'!I17+'11'!I15</f>
        <v>13725</v>
      </c>
      <c r="F8" s="183"/>
      <c r="G8" s="1034">
        <f>+'11'!J11+'11'!J13+'11'!J14+'11'!J17+'11'!J15</f>
        <v>13725</v>
      </c>
      <c r="H8" s="183"/>
      <c r="I8" s="183">
        <f t="shared" ref="I8:I14" si="0">+E8-G8</f>
        <v>0</v>
      </c>
      <c r="J8" s="187">
        <f t="shared" ref="J8:J16" si="1">+I8/G8</f>
        <v>0</v>
      </c>
      <c r="L8" s="184"/>
      <c r="M8" s="63"/>
      <c r="N8" s="63"/>
      <c r="O8" s="63"/>
      <c r="P8" s="63"/>
      <c r="Q8" s="63"/>
      <c r="R8" s="63"/>
      <c r="S8" s="63"/>
      <c r="T8" s="187"/>
    </row>
    <row r="9" spans="2:20" x14ac:dyDescent="0.2">
      <c r="B9" s="184"/>
      <c r="C9" s="63" t="s">
        <v>334</v>
      </c>
      <c r="D9" s="63"/>
      <c r="E9" s="1034">
        <f>+'11'!I12</f>
        <v>83457</v>
      </c>
      <c r="F9" s="183"/>
      <c r="G9" s="1034">
        <f>+'11'!J12</f>
        <v>83457</v>
      </c>
      <c r="H9" s="183"/>
      <c r="I9" s="183">
        <f t="shared" si="0"/>
        <v>0</v>
      </c>
      <c r="J9" s="187">
        <f t="shared" si="1"/>
        <v>0</v>
      </c>
      <c r="L9" s="184"/>
      <c r="M9" s="63" t="s">
        <v>401</v>
      </c>
      <c r="N9" s="63"/>
      <c r="O9" s="538">
        <f>+'Tax Summary'!F32</f>
        <v>0.44100109946376559</v>
      </c>
      <c r="P9" s="63"/>
      <c r="Q9" s="538">
        <f>+'Tax Summary'!I32</f>
        <v>0.436</v>
      </c>
      <c r="R9" s="63"/>
      <c r="S9" s="538">
        <f>+O9-Q9</f>
        <v>5.0010994637655903E-3</v>
      </c>
      <c r="T9" s="187">
        <f>+S9/Q9</f>
        <v>1.1470411614141262E-2</v>
      </c>
    </row>
    <row r="10" spans="2:20" x14ac:dyDescent="0.2">
      <c r="B10" s="184"/>
      <c r="C10" s="63" t="s">
        <v>335</v>
      </c>
      <c r="D10" s="63"/>
      <c r="E10" s="1034">
        <f>+'11'!I16</f>
        <v>5119.84</v>
      </c>
      <c r="F10" s="183"/>
      <c r="G10" s="1034">
        <f>+'11'!J16</f>
        <v>231669.84</v>
      </c>
      <c r="H10" s="183"/>
      <c r="I10" s="183">
        <f t="shared" si="0"/>
        <v>-226550</v>
      </c>
      <c r="J10" s="187">
        <f t="shared" si="1"/>
        <v>-0.97790027394157131</v>
      </c>
      <c r="L10" s="184"/>
      <c r="M10" s="63"/>
      <c r="N10" s="63"/>
      <c r="O10" s="63"/>
      <c r="P10" s="63"/>
      <c r="Q10" s="63"/>
      <c r="R10" s="63"/>
      <c r="S10" s="63"/>
      <c r="T10" s="187"/>
    </row>
    <row r="11" spans="2:20" x14ac:dyDescent="0.2">
      <c r="B11" s="184"/>
      <c r="C11" s="63" t="s">
        <v>336</v>
      </c>
      <c r="D11" s="63"/>
      <c r="E11" s="1034">
        <f>+'11'!I19</f>
        <v>90000</v>
      </c>
      <c r="F11" s="183"/>
      <c r="G11" s="1034">
        <f>+'11'!J19</f>
        <v>90000</v>
      </c>
      <c r="H11" s="183"/>
      <c r="I11" s="183">
        <f t="shared" si="0"/>
        <v>0</v>
      </c>
      <c r="J11" s="187">
        <f t="shared" si="1"/>
        <v>0</v>
      </c>
      <c r="L11" s="184"/>
      <c r="M11" s="63" t="s">
        <v>358</v>
      </c>
      <c r="N11" s="63"/>
      <c r="O11" s="230">
        <f>+'Key Inputs'!F31</f>
        <v>75794063</v>
      </c>
      <c r="P11" s="230"/>
      <c r="Q11" s="230">
        <f>+'Key Inputs'!F32</f>
        <v>75758623</v>
      </c>
      <c r="R11" s="63"/>
      <c r="S11" s="231">
        <f>+O11-Q11</f>
        <v>35440</v>
      </c>
      <c r="T11" s="187">
        <f>+S11/Q11</f>
        <v>4.678015332987243E-4</v>
      </c>
    </row>
    <row r="12" spans="2:20" ht="13.5" thickBot="1" x14ac:dyDescent="0.25">
      <c r="B12" s="184"/>
      <c r="C12" s="63" t="s">
        <v>337</v>
      </c>
      <c r="D12" s="63"/>
      <c r="E12" s="1034">
        <f>+'11'!I22</f>
        <v>334252.65115825913</v>
      </c>
      <c r="F12" s="183"/>
      <c r="G12" s="1034">
        <f>+'11'!J22</f>
        <v>329911.78999999998</v>
      </c>
      <c r="H12" s="183"/>
      <c r="I12" s="183">
        <f t="shared" si="0"/>
        <v>4340.8611582591548</v>
      </c>
      <c r="J12" s="187">
        <f t="shared" si="1"/>
        <v>1.3157641799522094E-2</v>
      </c>
      <c r="L12" s="188"/>
      <c r="M12" s="2"/>
      <c r="N12" s="2"/>
      <c r="O12" s="2"/>
      <c r="P12" s="2"/>
      <c r="Q12" s="2"/>
      <c r="R12" s="2"/>
      <c r="S12" s="2"/>
      <c r="T12" s="8"/>
    </row>
    <row r="13" spans="2:20" ht="13.5" thickTop="1" x14ac:dyDescent="0.2">
      <c r="B13" s="184"/>
      <c r="C13" s="510" t="s">
        <v>3219</v>
      </c>
      <c r="D13" s="63"/>
      <c r="E13" s="1034">
        <f>+'11'!I24</f>
        <v>0</v>
      </c>
      <c r="F13" s="183"/>
      <c r="G13" s="1034">
        <f>+'11'!J24</f>
        <v>0</v>
      </c>
      <c r="H13" s="183"/>
      <c r="I13" s="183">
        <f t="shared" si="0"/>
        <v>0</v>
      </c>
      <c r="J13" s="187" t="e">
        <f t="shared" si="1"/>
        <v>#DIV/0!</v>
      </c>
      <c r="L13" s="63"/>
      <c r="M13" s="63"/>
      <c r="N13" s="63"/>
      <c r="O13" s="63"/>
      <c r="P13" s="63"/>
      <c r="Q13" s="63"/>
      <c r="R13" s="63"/>
      <c r="S13" s="63"/>
      <c r="T13" s="63"/>
    </row>
    <row r="14" spans="2:20" x14ac:dyDescent="0.2">
      <c r="B14" s="184"/>
      <c r="C14" s="63" t="s">
        <v>338</v>
      </c>
      <c r="D14" s="63"/>
      <c r="E14" s="1034">
        <f>+'11'!I23</f>
        <v>0</v>
      </c>
      <c r="F14" s="183"/>
      <c r="G14" s="1034">
        <f>+'11'!J23</f>
        <v>0</v>
      </c>
      <c r="H14" s="183"/>
      <c r="I14" s="183">
        <f t="shared" si="0"/>
        <v>0</v>
      </c>
      <c r="J14" s="187" t="e">
        <f>+I14/G14</f>
        <v>#DIV/0!</v>
      </c>
    </row>
    <row r="15" spans="2:20" ht="13.5" thickBot="1" x14ac:dyDescent="0.25">
      <c r="B15" s="184"/>
      <c r="C15" s="1421" t="s">
        <v>6179</v>
      </c>
      <c r="D15" s="63"/>
      <c r="E15" s="1034">
        <f>'44'!I8</f>
        <v>0</v>
      </c>
      <c r="F15" s="183"/>
      <c r="G15" s="1034">
        <f>'44'!J8</f>
        <v>0</v>
      </c>
      <c r="H15" s="183"/>
      <c r="I15" s="183">
        <f>+E15-G15</f>
        <v>0</v>
      </c>
      <c r="J15" s="187" t="e">
        <f>+I15/G15</f>
        <v>#DIV/0!</v>
      </c>
    </row>
    <row r="16" spans="2:20" ht="19.5" thickTop="1" thickBot="1" x14ac:dyDescent="0.3">
      <c r="B16" s="184" t="s">
        <v>339</v>
      </c>
      <c r="C16" s="63"/>
      <c r="D16" s="63"/>
      <c r="E16" s="181">
        <f>SUM(E6:E15)</f>
        <v>828754.4911582591</v>
      </c>
      <c r="F16" s="183"/>
      <c r="G16" s="181">
        <f>SUM(G6:G15)</f>
        <v>1050963.6299999999</v>
      </c>
      <c r="H16" s="183"/>
      <c r="I16" s="181">
        <f>SUM(I6:I14)</f>
        <v>-222209.13884174085</v>
      </c>
      <c r="J16" s="187">
        <f t="shared" si="1"/>
        <v>-0.2114337095011945</v>
      </c>
      <c r="L16" s="1592" t="s">
        <v>796</v>
      </c>
      <c r="M16" s="1593"/>
      <c r="N16" s="1593"/>
      <c r="O16" s="1593"/>
      <c r="P16" s="1593"/>
      <c r="Q16" s="1593"/>
      <c r="R16" s="1593"/>
      <c r="S16" s="1593"/>
      <c r="T16" s="1594"/>
    </row>
    <row r="17" spans="2:20" ht="15.75" x14ac:dyDescent="0.25">
      <c r="B17" s="184"/>
      <c r="C17" s="63"/>
      <c r="D17" s="63"/>
      <c r="E17" s="183"/>
      <c r="F17" s="183"/>
      <c r="G17" s="183"/>
      <c r="H17" s="183"/>
      <c r="I17" s="183"/>
      <c r="J17" s="186"/>
      <c r="L17" s="184"/>
      <c r="M17" s="1595" t="s">
        <v>797</v>
      </c>
      <c r="N17" s="1595"/>
      <c r="O17" s="1595"/>
      <c r="P17" s="1595"/>
      <c r="Q17" s="1595"/>
      <c r="R17" s="516"/>
      <c r="S17" s="1595" t="s">
        <v>926</v>
      </c>
      <c r="T17" s="1596"/>
    </row>
    <row r="18" spans="2:20" x14ac:dyDescent="0.2">
      <c r="B18" s="184" t="s">
        <v>340</v>
      </c>
      <c r="C18" s="63"/>
      <c r="D18" s="63"/>
      <c r="E18" s="183"/>
      <c r="F18" s="183"/>
      <c r="G18" s="183"/>
      <c r="H18" s="183"/>
      <c r="I18" s="183"/>
      <c r="J18" s="186"/>
      <c r="L18" s="184"/>
      <c r="M18" s="63"/>
      <c r="N18" s="63"/>
      <c r="O18" s="196" t="s">
        <v>303</v>
      </c>
      <c r="P18" s="63"/>
      <c r="Q18" s="196" t="s">
        <v>303</v>
      </c>
      <c r="R18" s="516"/>
      <c r="S18" s="63"/>
      <c r="T18" s="7"/>
    </row>
    <row r="19" spans="2:20" x14ac:dyDescent="0.2">
      <c r="B19" s="184"/>
      <c r="C19" s="63" t="s">
        <v>205</v>
      </c>
      <c r="D19" s="63"/>
      <c r="E19" s="803">
        <f ca="1">+'17a'!J25+'25'!J25</f>
        <v>52980.049999999996</v>
      </c>
      <c r="F19" s="183"/>
      <c r="G19" s="1034">
        <f ca="1">+'17a'!M25+'25'!M25</f>
        <v>51458.68</v>
      </c>
      <c r="H19" s="183"/>
      <c r="I19" s="183">
        <f t="shared" ref="I19:I26" ca="1" si="2">+E19-G19</f>
        <v>1521.3699999999953</v>
      </c>
      <c r="J19" s="187">
        <f t="shared" ref="J19:J26" ca="1" si="3">+I19/G19</f>
        <v>2.9564885846275018E-2</v>
      </c>
      <c r="L19" s="184"/>
      <c r="M19" s="63"/>
      <c r="N19" s="63"/>
      <c r="O19" s="1036" t="s">
        <v>974</v>
      </c>
      <c r="P19" s="196"/>
      <c r="Q19" s="196" t="s">
        <v>304</v>
      </c>
      <c r="R19" s="516"/>
      <c r="S19" s="191">
        <f>+'2% Levy Cap'!T30</f>
        <v>336836.08179999999</v>
      </c>
      <c r="T19" s="7" t="s">
        <v>798</v>
      </c>
    </row>
    <row r="20" spans="2:20" ht="13.5" thickBot="1" x14ac:dyDescent="0.25">
      <c r="B20" s="184"/>
      <c r="C20" s="63" t="s">
        <v>314</v>
      </c>
      <c r="D20" s="63"/>
      <c r="E20" s="803">
        <f ca="1">+'17a'!J26+'25'!J26-E22</f>
        <v>378223.51999999996</v>
      </c>
      <c r="F20" s="183"/>
      <c r="G20" s="1034">
        <f ca="1">+'17a'!M26+'25'!M26-G22</f>
        <v>368371.07999999996</v>
      </c>
      <c r="H20" s="183"/>
      <c r="I20" s="183">
        <f t="shared" ca="1" si="2"/>
        <v>9852.4400000000023</v>
      </c>
      <c r="J20" s="187">
        <f t="shared" ca="1" si="3"/>
        <v>2.6745964965545078E-2</v>
      </c>
      <c r="L20" s="184"/>
      <c r="M20" s="63"/>
      <c r="N20" s="63"/>
      <c r="O20" s="192"/>
      <c r="P20" s="196"/>
      <c r="Q20" s="193"/>
      <c r="R20" s="516"/>
      <c r="S20" s="511">
        <f>+'11'!I22</f>
        <v>334252.65115825913</v>
      </c>
      <c r="T20" s="7" t="s">
        <v>799</v>
      </c>
    </row>
    <row r="21" spans="2:20" x14ac:dyDescent="0.2">
      <c r="B21" s="184"/>
      <c r="C21" s="63" t="s">
        <v>341</v>
      </c>
      <c r="D21" s="63"/>
      <c r="E21" s="803">
        <f>+'30'!J8+'30'!J18+'30'!J19+'30'!J20+'30'!J22+'19'!J20</f>
        <v>19316.489999999998</v>
      </c>
      <c r="F21" s="183"/>
      <c r="G21" s="1034">
        <f>+'30'!K8+'30'!K18+'30'!K19+'30'!K20+'30'!K22+'19'!K20</f>
        <v>19226.36</v>
      </c>
      <c r="H21" s="183"/>
      <c r="I21" s="183">
        <f t="shared" si="2"/>
        <v>90.129999999997381</v>
      </c>
      <c r="J21" s="187">
        <f t="shared" si="3"/>
        <v>4.6878348267689451E-3</v>
      </c>
      <c r="L21" s="184"/>
      <c r="M21" s="63" t="s">
        <v>402</v>
      </c>
      <c r="N21" s="63"/>
      <c r="O21" s="183">
        <f>+'App. CAP'!I28</f>
        <v>383269.3899999999</v>
      </c>
      <c r="P21" s="183"/>
      <c r="Q21" s="183">
        <f>+'App. CAP'!I28</f>
        <v>383269.3899999999</v>
      </c>
      <c r="R21" s="516"/>
      <c r="S21" s="191">
        <f>-S19+S20</f>
        <v>-2583.4306417408516</v>
      </c>
      <c r="T21" s="512" t="s">
        <v>800</v>
      </c>
    </row>
    <row r="22" spans="2:20" x14ac:dyDescent="0.2">
      <c r="B22" s="184"/>
      <c r="C22" s="63" t="s">
        <v>335</v>
      </c>
      <c r="D22" s="63"/>
      <c r="E22" s="803">
        <f>+'25'!J21+'26a'!J14</f>
        <v>20119.84</v>
      </c>
      <c r="F22" s="183"/>
      <c r="G22" s="1034">
        <f>+'25'!K21</f>
        <v>20119.84</v>
      </c>
      <c r="H22" s="183"/>
      <c r="I22" s="183">
        <f t="shared" si="2"/>
        <v>0</v>
      </c>
      <c r="J22" s="187">
        <f t="shared" si="3"/>
        <v>0</v>
      </c>
      <c r="L22" s="184"/>
      <c r="M22" s="63" t="s">
        <v>403</v>
      </c>
      <c r="N22" s="63"/>
      <c r="O22" s="1035">
        <v>5.0000000000000001E-3</v>
      </c>
      <c r="P22" s="197"/>
      <c r="Q22" s="1035">
        <v>3.5000000000000003E-2</v>
      </c>
      <c r="R22" s="516"/>
      <c r="S22" s="63"/>
      <c r="T22" s="7"/>
    </row>
    <row r="23" spans="2:20" x14ac:dyDescent="0.2">
      <c r="B23" s="184"/>
      <c r="C23" s="63" t="s">
        <v>676</v>
      </c>
      <c r="D23" s="63"/>
      <c r="E23" s="803">
        <f>+'30'!J16-'26a'!J14</f>
        <v>60100</v>
      </c>
      <c r="F23" s="183"/>
      <c r="G23" s="1034">
        <f>+'30'!K16-'26a'!K14+'30'!L16</f>
        <v>286650</v>
      </c>
      <c r="H23" s="183"/>
      <c r="I23" s="183">
        <f t="shared" si="2"/>
        <v>-226550</v>
      </c>
      <c r="J23" s="187">
        <f t="shared" si="3"/>
        <v>-0.79033664747950461</v>
      </c>
      <c r="L23" s="184"/>
      <c r="M23" s="63" t="s">
        <v>404</v>
      </c>
      <c r="N23" s="63"/>
      <c r="O23" s="1034">
        <f>+O21*1.005</f>
        <v>385185.73694999987</v>
      </c>
      <c r="P23" s="183"/>
      <c r="Q23" s="183">
        <f>+Q21*1.035</f>
        <v>396683.81864999986</v>
      </c>
      <c r="R23" s="516"/>
      <c r="S23" s="1597" t="s">
        <v>801</v>
      </c>
      <c r="T23" s="1598"/>
    </row>
    <row r="24" spans="2:20" x14ac:dyDescent="0.2">
      <c r="B24" s="184"/>
      <c r="C24" s="63" t="s">
        <v>343</v>
      </c>
      <c r="D24" s="63"/>
      <c r="E24" s="803">
        <f>+'30'!J17</f>
        <v>0</v>
      </c>
      <c r="F24" s="183"/>
      <c r="G24" s="1034">
        <f>+'30'!K17</f>
        <v>0</v>
      </c>
      <c r="H24" s="183"/>
      <c r="I24" s="183">
        <f t="shared" si="2"/>
        <v>0</v>
      </c>
      <c r="J24" s="187" t="e">
        <f t="shared" si="3"/>
        <v>#DIV/0!</v>
      </c>
      <c r="L24" s="184"/>
      <c r="M24" s="63" t="s">
        <v>405</v>
      </c>
      <c r="N24" s="63"/>
      <c r="O24" s="183"/>
      <c r="P24" s="183"/>
      <c r="Q24" s="183"/>
      <c r="R24" s="516"/>
      <c r="S24" s="1597" t="s">
        <v>802</v>
      </c>
      <c r="T24" s="1598"/>
    </row>
    <row r="25" spans="2:20" x14ac:dyDescent="0.2">
      <c r="B25" s="184"/>
      <c r="C25" s="63" t="s">
        <v>344</v>
      </c>
      <c r="D25" s="63"/>
      <c r="E25" s="183">
        <f>+'29'!J15</f>
        <v>0</v>
      </c>
      <c r="F25" s="183"/>
      <c r="G25" s="183">
        <f>+'29'!K15</f>
        <v>0</v>
      </c>
      <c r="H25" s="183"/>
      <c r="I25" s="183">
        <f t="shared" si="2"/>
        <v>0</v>
      </c>
      <c r="J25" s="187" t="e">
        <f t="shared" si="3"/>
        <v>#DIV/0!</v>
      </c>
      <c r="L25" s="184"/>
      <c r="M25" s="63" t="s">
        <v>677</v>
      </c>
      <c r="N25" s="63"/>
      <c r="O25" s="183">
        <f>+'App. CAP'!S19</f>
        <v>7371.7560000000003</v>
      </c>
      <c r="P25" s="183"/>
      <c r="Q25" s="183">
        <f>+'App. CAP'!S19</f>
        <v>7371.7560000000003</v>
      </c>
      <c r="R25" s="516"/>
      <c r="S25" s="63"/>
      <c r="T25" s="7"/>
    </row>
    <row r="26" spans="2:20" ht="13.5" thickBot="1" x14ac:dyDescent="0.25">
      <c r="B26" s="184"/>
      <c r="C26" s="63" t="s">
        <v>345</v>
      </c>
      <c r="D26" s="63"/>
      <c r="E26" s="181">
        <f>+'29'!J24</f>
        <v>298014.59115825919</v>
      </c>
      <c r="F26" s="183"/>
      <c r="G26" s="181">
        <f>+'29'!K24</f>
        <v>305137.67</v>
      </c>
      <c r="H26" s="183"/>
      <c r="I26" s="181">
        <f t="shared" si="2"/>
        <v>-7123.0788417407894</v>
      </c>
      <c r="J26" s="187">
        <f t="shared" si="3"/>
        <v>-2.3343819993581226E-2</v>
      </c>
      <c r="L26" s="184"/>
      <c r="M26" s="63" t="s">
        <v>678</v>
      </c>
      <c r="N26" s="63"/>
      <c r="O26" s="194"/>
      <c r="P26" s="183"/>
      <c r="Q26" s="194"/>
      <c r="R26" s="516"/>
      <c r="S26" s="63"/>
      <c r="T26" s="7"/>
    </row>
    <row r="27" spans="2:20" ht="13.5" thickBot="1" x14ac:dyDescent="0.25">
      <c r="B27" s="184" t="s">
        <v>350</v>
      </c>
      <c r="C27" s="63"/>
      <c r="D27" s="63"/>
      <c r="E27" s="181">
        <f ca="1">SUM(E18:E26)</f>
        <v>828754.4911582591</v>
      </c>
      <c r="F27" s="183"/>
      <c r="G27" s="181">
        <f ca="1">SUM(G18:G26)</f>
        <v>1050963.6299999999</v>
      </c>
      <c r="H27" s="183"/>
      <c r="I27" s="181">
        <f ca="1">SUM(I18:I26)</f>
        <v>-222209.13884174079</v>
      </c>
      <c r="J27" s="1422">
        <f ca="1">+I27/G27</f>
        <v>-0.21143370950119444</v>
      </c>
      <c r="L27" s="184"/>
      <c r="M27" s="63" t="s">
        <v>406</v>
      </c>
      <c r="N27" s="63"/>
      <c r="O27" s="183">
        <f>SUM(O23:O26)</f>
        <v>392557.49294999987</v>
      </c>
      <c r="P27" s="183"/>
      <c r="Q27" s="183">
        <f>SUM(Q23:Q26)</f>
        <v>404055.57464999985</v>
      </c>
      <c r="R27" s="516"/>
      <c r="S27" s="63"/>
      <c r="T27" s="7"/>
    </row>
    <row r="28" spans="2:20" ht="13.5" thickBot="1" x14ac:dyDescent="0.25">
      <c r="B28" s="184"/>
      <c r="C28" s="63" t="s">
        <v>351</v>
      </c>
      <c r="D28" s="63"/>
      <c r="E28" s="183"/>
      <c r="F28" s="183"/>
      <c r="G28" s="181">
        <f ca="1">+G27-G16</f>
        <v>0</v>
      </c>
      <c r="H28" s="183"/>
      <c r="I28" s="183"/>
      <c r="J28" s="186"/>
      <c r="L28" s="184"/>
      <c r="M28" s="63" t="s">
        <v>407</v>
      </c>
      <c r="N28" s="63"/>
      <c r="O28" s="183">
        <f>+'19'!J25</f>
        <v>394670.05999999994</v>
      </c>
      <c r="P28" s="183"/>
      <c r="Q28" s="183">
        <f>+'19'!J25</f>
        <v>394670.05999999994</v>
      </c>
      <c r="R28" s="516"/>
      <c r="S28" s="63"/>
      <c r="T28" s="7"/>
    </row>
    <row r="29" spans="2:20" ht="13.5" thickBot="1" x14ac:dyDescent="0.25">
      <c r="B29" s="188"/>
      <c r="C29" s="2"/>
      <c r="D29" s="2"/>
      <c r="E29" s="189"/>
      <c r="F29" s="189"/>
      <c r="G29" s="189"/>
      <c r="H29" s="189"/>
      <c r="I29" s="189"/>
      <c r="J29" s="190"/>
      <c r="L29" s="184"/>
      <c r="M29" s="63" t="s">
        <v>679</v>
      </c>
      <c r="N29" s="63"/>
      <c r="O29" s="195">
        <f>+O27-O28</f>
        <v>-2112.5670500000706</v>
      </c>
      <c r="P29" s="183"/>
      <c r="Q29" s="195">
        <f>+Q27-Q28</f>
        <v>9385.51464999991</v>
      </c>
      <c r="R29" s="516"/>
      <c r="S29" s="63"/>
      <c r="T29" s="7"/>
    </row>
    <row r="30" spans="2:20" ht="14.25" thickTop="1" thickBot="1" x14ac:dyDescent="0.25">
      <c r="E30" s="180"/>
      <c r="F30" s="180"/>
      <c r="G30" s="180"/>
      <c r="H30" s="180"/>
      <c r="I30" s="180"/>
      <c r="J30" s="182"/>
      <c r="L30" s="188"/>
      <c r="M30" s="2"/>
      <c r="N30" s="2"/>
      <c r="O30" s="2"/>
      <c r="P30" s="2"/>
      <c r="Q30" s="2"/>
      <c r="R30" s="517"/>
      <c r="S30" s="2"/>
      <c r="T30" s="8"/>
    </row>
    <row r="31" spans="2:20" ht="19.5" thickTop="1" thickBot="1" x14ac:dyDescent="0.3">
      <c r="B31" s="1592" t="s">
        <v>359</v>
      </c>
      <c r="C31" s="1593"/>
      <c r="D31" s="1593"/>
      <c r="E31" s="1593"/>
      <c r="F31" s="1593"/>
      <c r="G31" s="1593"/>
      <c r="H31" s="1593"/>
      <c r="I31" s="1593"/>
      <c r="J31" s="1594"/>
    </row>
    <row r="32" spans="2:20" ht="18.75" thickTop="1" x14ac:dyDescent="0.25">
      <c r="B32" s="184"/>
      <c r="C32" s="63"/>
      <c r="D32" s="63"/>
      <c r="E32" s="183"/>
      <c r="F32" s="183"/>
      <c r="G32" s="183"/>
      <c r="H32" s="183"/>
      <c r="I32" s="183"/>
      <c r="J32" s="186"/>
      <c r="L32" s="1592" t="s">
        <v>408</v>
      </c>
      <c r="M32" s="1593"/>
      <c r="N32" s="1593"/>
      <c r="O32" s="1593"/>
      <c r="P32" s="1593"/>
      <c r="Q32" s="1593"/>
      <c r="R32" s="1593"/>
      <c r="S32" s="1593"/>
      <c r="T32" s="1594"/>
    </row>
    <row r="33" spans="2:20" ht="15.75" x14ac:dyDescent="0.25">
      <c r="B33" s="184"/>
      <c r="C33" s="63"/>
      <c r="D33" s="63"/>
      <c r="E33" s="177" t="s">
        <v>346</v>
      </c>
      <c r="F33" s="177"/>
      <c r="G33" s="177" t="s">
        <v>348</v>
      </c>
      <c r="H33" s="63"/>
      <c r="I33" s="63"/>
      <c r="J33" s="186"/>
      <c r="L33" s="184"/>
      <c r="M33" s="63"/>
      <c r="N33" s="63"/>
      <c r="O33" s="63"/>
      <c r="P33" s="63"/>
      <c r="Q33" s="63"/>
      <c r="R33" s="63"/>
      <c r="S33" s="63"/>
      <c r="T33" s="7"/>
    </row>
    <row r="34" spans="2:20" ht="16.5" thickBot="1" x14ac:dyDescent="0.3">
      <c r="B34" s="184"/>
      <c r="C34" s="63"/>
      <c r="D34" s="63"/>
      <c r="E34" s="179" t="s">
        <v>347</v>
      </c>
      <c r="F34" s="63"/>
      <c r="G34" s="179" t="s">
        <v>349</v>
      </c>
      <c r="H34" s="63"/>
      <c r="I34" s="179" t="s">
        <v>330</v>
      </c>
      <c r="J34" s="186"/>
      <c r="L34" s="184"/>
      <c r="M34" s="63"/>
      <c r="N34" s="63"/>
      <c r="O34" s="192" t="s">
        <v>409</v>
      </c>
      <c r="P34" s="196"/>
      <c r="Q34" s="192" t="s">
        <v>348</v>
      </c>
      <c r="R34" s="63"/>
      <c r="S34" s="192" t="s">
        <v>330</v>
      </c>
      <c r="T34" s="7"/>
    </row>
    <row r="35" spans="2:20" x14ac:dyDescent="0.2">
      <c r="B35" s="184"/>
      <c r="C35" s="63" t="s">
        <v>353</v>
      </c>
      <c r="D35" s="63"/>
      <c r="E35" s="183">
        <f>+'39'!L22</f>
        <v>535018.32999999961</v>
      </c>
      <c r="F35" s="183"/>
      <c r="G35" s="183">
        <f>+'39'!M22</f>
        <v>517620.45000000019</v>
      </c>
      <c r="H35" s="183"/>
      <c r="I35" s="183">
        <f>+E35-G35</f>
        <v>17397.879999999423</v>
      </c>
      <c r="J35" s="186"/>
      <c r="L35" s="184"/>
      <c r="M35" s="63" t="s">
        <v>5342</v>
      </c>
      <c r="N35" s="63"/>
      <c r="O35" s="804"/>
      <c r="P35" s="225"/>
      <c r="Q35" s="804"/>
      <c r="R35" s="63"/>
      <c r="S35" s="513">
        <f>+O35-Q35</f>
        <v>0</v>
      </c>
      <c r="T35" s="7"/>
    </row>
    <row r="36" spans="2:20" ht="13.5" thickBot="1" x14ac:dyDescent="0.25">
      <c r="B36" s="184"/>
      <c r="C36" s="63" t="s">
        <v>354</v>
      </c>
      <c r="D36" s="63"/>
      <c r="E36" s="181">
        <f>+'4'!I7</f>
        <v>302200</v>
      </c>
      <c r="F36" s="183"/>
      <c r="G36" s="181">
        <f>+'4'!J7</f>
        <v>302200</v>
      </c>
      <c r="H36" s="183"/>
      <c r="I36" s="181">
        <f>+E36-G36</f>
        <v>0</v>
      </c>
      <c r="J36" s="186"/>
      <c r="L36" s="184"/>
      <c r="M36" s="63" t="s">
        <v>410</v>
      </c>
      <c r="N36" s="63"/>
      <c r="O36" s="233">
        <f>+'Reserve &amp; Tax Calculation'!D28</f>
        <v>0.89504126260000005</v>
      </c>
      <c r="P36" s="225"/>
      <c r="Q36" s="805"/>
      <c r="R36" s="63"/>
      <c r="S36" s="515">
        <f>+O36-Q36</f>
        <v>0.89504126260000005</v>
      </c>
      <c r="T36" s="7"/>
    </row>
    <row r="37" spans="2:20" ht="13.5" thickBot="1" x14ac:dyDescent="0.25">
      <c r="B37" s="184"/>
      <c r="C37" s="63" t="s">
        <v>355</v>
      </c>
      <c r="D37" s="63"/>
      <c r="E37" s="183">
        <f>+E35-E36</f>
        <v>232818.32999999961</v>
      </c>
      <c r="F37" s="183"/>
      <c r="G37" s="183">
        <f>+G35-G36</f>
        <v>215420.45000000019</v>
      </c>
      <c r="H37" s="183"/>
      <c r="I37" s="183">
        <f>+E37-G37</f>
        <v>17397.879999999423</v>
      </c>
      <c r="J37" s="7"/>
      <c r="L37" s="188"/>
      <c r="M37" s="2" t="s">
        <v>680</v>
      </c>
      <c r="N37" s="2"/>
      <c r="O37" s="234">
        <f>+O35-O36</f>
        <v>-0.89504126260000005</v>
      </c>
      <c r="P37" s="234"/>
      <c r="Q37" s="234">
        <f>+Q35-Q36</f>
        <v>0</v>
      </c>
      <c r="R37" s="2"/>
      <c r="S37" s="514">
        <f>+O37-Q37</f>
        <v>-0.89504126260000005</v>
      </c>
      <c r="T37" s="8"/>
    </row>
    <row r="38" spans="2:20" ht="14.25" thickTop="1" thickBot="1" x14ac:dyDescent="0.25">
      <c r="B38" s="188"/>
      <c r="C38" s="2"/>
      <c r="D38" s="2"/>
      <c r="E38" s="189"/>
      <c r="F38" s="189"/>
      <c r="G38" s="189"/>
      <c r="H38" s="189"/>
      <c r="I38" s="189"/>
      <c r="J38" s="8"/>
    </row>
    <row r="39" spans="2:20" ht="13.5" thickTop="1" x14ac:dyDescent="0.2">
      <c r="E39" s="180"/>
      <c r="F39" s="180"/>
      <c r="G39" s="180"/>
      <c r="H39" s="180"/>
      <c r="I39" s="180"/>
    </row>
    <row r="40" spans="2:20" x14ac:dyDescent="0.2">
      <c r="E40" s="180"/>
      <c r="F40" s="180"/>
      <c r="G40" s="180"/>
      <c r="H40" s="180"/>
      <c r="I40" s="180"/>
    </row>
    <row r="41" spans="2:20" x14ac:dyDescent="0.2">
      <c r="E41" s="180"/>
      <c r="F41" s="180"/>
      <c r="G41" s="180"/>
      <c r="H41" s="180"/>
      <c r="I41" s="180"/>
      <c r="O41" s="180"/>
    </row>
    <row r="42" spans="2:20" x14ac:dyDescent="0.2">
      <c r="E42" s="180"/>
      <c r="F42" s="180"/>
      <c r="G42" s="180"/>
      <c r="H42" s="180"/>
      <c r="I42" s="180"/>
    </row>
    <row r="43" spans="2:20" x14ac:dyDescent="0.2">
      <c r="E43" s="180"/>
      <c r="F43" s="180"/>
      <c r="G43" s="180"/>
      <c r="H43" s="180"/>
      <c r="I43" s="180"/>
    </row>
    <row r="44" spans="2:20" x14ac:dyDescent="0.2">
      <c r="E44" s="406"/>
      <c r="F44" s="180"/>
      <c r="G44" s="180"/>
      <c r="H44" s="180"/>
      <c r="I44" s="180"/>
    </row>
    <row r="45" spans="2:20" x14ac:dyDescent="0.2">
      <c r="E45" s="180"/>
      <c r="F45" s="180"/>
      <c r="G45" s="180"/>
      <c r="H45" s="180"/>
      <c r="I45" s="180"/>
    </row>
    <row r="46" spans="2:20" x14ac:dyDescent="0.2">
      <c r="E46" s="408"/>
      <c r="F46" s="180"/>
      <c r="G46" s="180"/>
      <c r="H46" s="180"/>
      <c r="I46" s="180"/>
    </row>
    <row r="47" spans="2:20" x14ac:dyDescent="0.2">
      <c r="E47" s="407"/>
      <c r="F47" s="180"/>
      <c r="G47" s="180"/>
      <c r="H47" s="180"/>
      <c r="I47" s="180"/>
    </row>
    <row r="48" spans="2:20" x14ac:dyDescent="0.2">
      <c r="E48" s="407"/>
      <c r="F48" s="180"/>
      <c r="G48" s="407"/>
      <c r="H48" s="180"/>
      <c r="I48" s="180"/>
    </row>
    <row r="49" spans="5:9" x14ac:dyDescent="0.2">
      <c r="E49" s="180"/>
      <c r="F49" s="180"/>
      <c r="G49" s="180"/>
      <c r="H49" s="180"/>
      <c r="I49" s="180"/>
    </row>
    <row r="50" spans="5:9" x14ac:dyDescent="0.2">
      <c r="E50" s="180"/>
      <c r="F50" s="180"/>
      <c r="G50" s="180"/>
      <c r="H50" s="180"/>
      <c r="I50" s="180"/>
    </row>
  </sheetData>
  <sheetProtection algorithmName="SHA-512" hashValue="DpcxkJKBOEdCB9D8UnukHDbUWFqbnMvSHxXvVTXK1AA0Sd5YYg5amIUqdL2Ymb8fjz4jz99H4s9gQH8UoX7nPw==" saltValue="25acB+cwwnXqC2tRKnlZxQ==" spinCount="100000" sheet="1" objects="1" scenarios="1"/>
  <mergeCells count="9">
    <mergeCell ref="L32:T32"/>
    <mergeCell ref="B2:J2"/>
    <mergeCell ref="B31:J31"/>
    <mergeCell ref="L2:T2"/>
    <mergeCell ref="L16:T16"/>
    <mergeCell ref="M17:Q17"/>
    <mergeCell ref="S17:T17"/>
    <mergeCell ref="S23:T23"/>
    <mergeCell ref="S24:T24"/>
  </mergeCells>
  <phoneticPr fontId="0" type="noConversion"/>
  <pageMargins left="0.25" right="0.3" top="0.25" bottom="0.75" header="0.25" footer="0.25"/>
  <pageSetup paperSize="5" orientation="landscape" r:id="rId1"/>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sheetPr codeName="Sheet118">
    <tabColor theme="2" tint="-0.249977111117893"/>
  </sheetPr>
  <dimension ref="B2:O30"/>
  <sheetViews>
    <sheetView topLeftCell="B1" zoomScale="92" zoomScaleNormal="92" workbookViewId="0">
      <selection activeCell="I21" sqref="I21"/>
    </sheetView>
  </sheetViews>
  <sheetFormatPr defaultRowHeight="12.75" x14ac:dyDescent="0.2"/>
  <cols>
    <col min="1" max="1" width="2" customWidth="1"/>
    <col min="2" max="2" width="4" customWidth="1"/>
    <col min="3" max="5" width="3.7109375" customWidth="1"/>
    <col min="6" max="6" width="47.28515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Inputs'!E42)&amp;"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Inputs'!E42)&amp;"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IFERROR(IF(+K10-L10&gt;=0,K10-L10,"*")-O10,"*")</f>
        <v>0</v>
      </c>
      <c r="O10" s="1434"/>
    </row>
    <row r="11" spans="2:15" ht="21.95" customHeight="1" x14ac:dyDescent="0.2">
      <c r="C11" s="744"/>
      <c r="D11" s="744"/>
      <c r="E11" s="744"/>
      <c r="F11" s="745"/>
      <c r="G11" s="958"/>
      <c r="H11" s="742"/>
      <c r="I11" s="743"/>
      <c r="J11" s="742"/>
      <c r="K11" s="743">
        <f t="shared" si="0"/>
        <v>0</v>
      </c>
      <c r="L11" s="743"/>
      <c r="M11" s="370">
        <f>IFERROR(IF(+K11-L11&gt;=0,K11-L11,"*")-O11,"*")</f>
        <v>0</v>
      </c>
      <c r="O11" s="1434"/>
    </row>
    <row r="12" spans="2:15" ht="21.95" customHeight="1" x14ac:dyDescent="0.2">
      <c r="C12" s="744"/>
      <c r="D12" s="744"/>
      <c r="E12" s="744"/>
      <c r="F12" s="745"/>
      <c r="G12" s="958"/>
      <c r="H12" s="742"/>
      <c r="I12" s="743"/>
      <c r="J12" s="742"/>
      <c r="K12" s="743">
        <f t="shared" si="0"/>
        <v>0</v>
      </c>
      <c r="L12" s="743"/>
      <c r="M12" s="370">
        <f>IFERROR(IF(+K12-L12&gt;=0,K12-L12,"*")-O12,"*")</f>
        <v>0</v>
      </c>
      <c r="O12" s="1434"/>
    </row>
    <row r="13" spans="2:15" ht="21.95" customHeight="1" x14ac:dyDescent="0.25">
      <c r="C13" s="43" t="s">
        <v>315</v>
      </c>
      <c r="D13" s="16"/>
      <c r="E13" s="16"/>
      <c r="F13" s="17"/>
      <c r="G13" s="93" t="s">
        <v>200</v>
      </c>
      <c r="H13" s="97" t="s">
        <v>201</v>
      </c>
      <c r="I13" s="98" t="s">
        <v>201</v>
      </c>
      <c r="J13" s="97" t="s">
        <v>201</v>
      </c>
      <c r="K13" s="98" t="s">
        <v>201</v>
      </c>
      <c r="L13" s="98" t="s">
        <v>201</v>
      </c>
      <c r="M13" s="99" t="s">
        <v>201</v>
      </c>
    </row>
    <row r="14" spans="2:15" ht="21.95" customHeight="1" x14ac:dyDescent="0.2">
      <c r="C14" s="16"/>
      <c r="D14" s="16"/>
      <c r="E14" s="16" t="s">
        <v>243</v>
      </c>
      <c r="F14" s="17"/>
      <c r="G14" s="93" t="s">
        <v>568</v>
      </c>
      <c r="H14" s="742"/>
      <c r="I14" s="743"/>
      <c r="J14" s="742"/>
      <c r="K14" s="743">
        <f t="shared" si="0"/>
        <v>0</v>
      </c>
      <c r="L14" s="743"/>
      <c r="M14" s="370">
        <f>IFERROR(IF(+K14-L14&gt;=0,K14-L14,"*")-O14,"*")</f>
        <v>0</v>
      </c>
      <c r="O14" s="1434"/>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4"/>
    </row>
    <row r="16" spans="2:15" ht="21.95" customHeight="1" x14ac:dyDescent="0.2">
      <c r="C16" s="16"/>
      <c r="D16" s="16"/>
      <c r="E16" s="16" t="s">
        <v>317</v>
      </c>
      <c r="F16" s="17"/>
      <c r="G16" s="93" t="s">
        <v>570</v>
      </c>
      <c r="H16" s="742"/>
      <c r="I16" s="743"/>
      <c r="J16" s="742"/>
      <c r="K16" s="743">
        <f t="shared" si="0"/>
        <v>0</v>
      </c>
      <c r="L16" s="743"/>
      <c r="M16" s="370">
        <f>IFERROR(IF(+K16-L16&gt;=0,K16-L16,"*")-O16,"*")</f>
        <v>0</v>
      </c>
      <c r="O16" s="1434"/>
    </row>
    <row r="17" spans="2:15" ht="21.95" customHeight="1" x14ac:dyDescent="0.2">
      <c r="C17" s="744"/>
      <c r="D17" s="744"/>
      <c r="E17" s="744"/>
      <c r="F17" s="745"/>
      <c r="G17" s="958"/>
      <c r="H17" s="742"/>
      <c r="I17" s="743"/>
      <c r="J17" s="742"/>
      <c r="K17" s="743">
        <f t="shared" si="0"/>
        <v>0</v>
      </c>
      <c r="L17" s="743"/>
      <c r="M17" s="370">
        <f>IFERROR(IF(+K17-L17&gt;=0,K17-L17,"*")-O17,"*")</f>
        <v>0</v>
      </c>
      <c r="O17" s="1434"/>
    </row>
    <row r="18" spans="2:15" ht="21.95" customHeight="1" x14ac:dyDescent="0.2">
      <c r="C18" s="744"/>
      <c r="D18" s="744"/>
      <c r="E18" s="744"/>
      <c r="F18" s="745"/>
      <c r="G18" s="958"/>
      <c r="H18" s="742"/>
      <c r="I18" s="743"/>
      <c r="J18" s="742"/>
      <c r="K18" s="743">
        <f t="shared" si="0"/>
        <v>0</v>
      </c>
      <c r="L18" s="743"/>
      <c r="M18" s="370">
        <f>IFERROR(IF(+K18-L18&gt;=0,K18-L18,"*")-O18,"*")</f>
        <v>0</v>
      </c>
      <c r="O18" s="1434"/>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jaU5K+1ZPDjQ/C3KrtnUaBUkRcjEKbrQsWKekvIV+nNTr6nAfqyIAldMLXcK1Ges2JY1pVRgszEPy47FbXye/w==" saltValue="Bn8LJTntKC79Arccn3CYG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1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1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100-000002000000}">
          <x14:formula1>
            <xm:f>'Other Codes'!$J$10:$J$11</xm:f>
          </x14:formula1>
          <xm:sqref>G24:G26</xm:sqref>
        </x14:dataValidation>
      </x14:dataValidations>
    </ext>
  </extLst>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sheetPr codeName="Sheet119">
    <tabColor theme="2" tint="-0.249977111117893"/>
  </sheetPr>
  <dimension ref="A2:O29"/>
  <sheetViews>
    <sheetView zoomScaleNormal="100" workbookViewId="0">
      <selection activeCell="O23" sqref="O2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Inputs'!E42)&amp;"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Inputs'!E42)&amp;"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c r="O5" s="568" t="s">
        <v>3375</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640">
        <f>K9-L9</f>
        <v>0</v>
      </c>
    </row>
    <row r="10" spans="1:15" ht="24" customHeight="1" x14ac:dyDescent="0.2">
      <c r="C10" s="744"/>
      <c r="D10" s="744"/>
      <c r="E10" s="744"/>
      <c r="F10" s="745"/>
      <c r="G10" s="958"/>
      <c r="H10" s="742"/>
      <c r="I10" s="743"/>
      <c r="J10" s="97" t="s">
        <v>201</v>
      </c>
      <c r="K10" s="743">
        <f>+I10</f>
        <v>0</v>
      </c>
      <c r="L10" s="743"/>
      <c r="M10" s="99" t="s">
        <v>201</v>
      </c>
      <c r="O10" s="640">
        <f>K10-L10</f>
        <v>0</v>
      </c>
    </row>
    <row r="11" spans="1:15" ht="24" customHeight="1" x14ac:dyDescent="0.2">
      <c r="C11" s="744"/>
      <c r="D11" s="744"/>
      <c r="E11" s="744"/>
      <c r="F11" s="745"/>
      <c r="G11" s="958"/>
      <c r="H11" s="742"/>
      <c r="I11" s="743"/>
      <c r="J11" s="97" t="s">
        <v>201</v>
      </c>
      <c r="K11" s="743">
        <f>+I11</f>
        <v>0</v>
      </c>
      <c r="L11" s="743"/>
      <c r="M11" s="99" t="s">
        <v>201</v>
      </c>
      <c r="O11" s="640">
        <f>K11-L11</f>
        <v>0</v>
      </c>
    </row>
    <row r="12" spans="1:15" ht="24" customHeight="1" x14ac:dyDescent="0.2">
      <c r="C12" s="744"/>
      <c r="D12" s="744"/>
      <c r="E12" s="744"/>
      <c r="F12" s="745"/>
      <c r="G12" s="958"/>
      <c r="H12" s="742"/>
      <c r="I12" s="743"/>
      <c r="J12" s="97" t="s">
        <v>201</v>
      </c>
      <c r="K12" s="743">
        <f>+I12</f>
        <v>0</v>
      </c>
      <c r="L12" s="743"/>
      <c r="M12" s="99" t="s">
        <v>201</v>
      </c>
      <c r="O12" s="640">
        <f>K12-L12</f>
        <v>0</v>
      </c>
    </row>
    <row r="13" spans="1:15" ht="24" customHeight="1" x14ac:dyDescent="0.2">
      <c r="C13" s="744"/>
      <c r="D13" s="744"/>
      <c r="E13" s="744"/>
      <c r="F13" s="745"/>
      <c r="G13" s="958"/>
      <c r="H13" s="742"/>
      <c r="I13" s="743"/>
      <c r="J13" s="97" t="s">
        <v>201</v>
      </c>
      <c r="K13" s="743">
        <f>+I13</f>
        <v>0</v>
      </c>
      <c r="L13" s="743"/>
      <c r="M13" s="99" t="s">
        <v>201</v>
      </c>
      <c r="O13" s="640">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row>
    <row r="15" spans="1:15" ht="12.75" customHeight="1" x14ac:dyDescent="0.2">
      <c r="C15" s="104"/>
      <c r="D15" s="104"/>
      <c r="E15" s="62" t="s">
        <v>324</v>
      </c>
      <c r="F15" s="130"/>
      <c r="G15" s="131"/>
      <c r="H15" s="1751"/>
      <c r="I15" s="1751"/>
      <c r="J15" s="1751"/>
      <c r="K15" s="1751">
        <f>+I15</f>
        <v>0</v>
      </c>
      <c r="L15" s="1751"/>
      <c r="M15" s="1753">
        <f>IFERROR(IF(+K15-L15&gt;=0,K15-L15,"*")-O16,"*")</f>
        <v>0</v>
      </c>
    </row>
    <row r="16" spans="1:15" ht="12.75" customHeight="1" x14ac:dyDescent="0.2">
      <c r="C16" s="87"/>
      <c r="D16" s="87"/>
      <c r="E16" s="87"/>
      <c r="F16" s="178" t="s">
        <v>594</v>
      </c>
      <c r="G16" s="132" t="s">
        <v>576</v>
      </c>
      <c r="H16" s="1752"/>
      <c r="I16" s="1752"/>
      <c r="J16" s="1752"/>
      <c r="K16" s="1752"/>
      <c r="L16" s="1752"/>
      <c r="M16" s="1754"/>
      <c r="O16" s="1434"/>
    </row>
    <row r="17" spans="2:15" ht="24" customHeight="1" x14ac:dyDescent="0.2">
      <c r="C17" s="16"/>
      <c r="D17" s="16"/>
      <c r="E17" s="16"/>
      <c r="F17" s="17" t="s">
        <v>221</v>
      </c>
      <c r="G17" s="93" t="s">
        <v>577</v>
      </c>
      <c r="H17" s="742"/>
      <c r="I17" s="743"/>
      <c r="J17" s="742"/>
      <c r="K17" s="868">
        <f t="shared" ref="K17:K24" si="0">+I17</f>
        <v>0</v>
      </c>
      <c r="L17" s="743"/>
      <c r="M17" s="370">
        <f>IFERROR(IF(+K17-L17&gt;=0,K17-L17,"*")-O17,"*")</f>
        <v>0</v>
      </c>
      <c r="O17" s="1434"/>
    </row>
    <row r="18" spans="2:15" ht="24" customHeight="1" x14ac:dyDescent="0.2">
      <c r="C18" s="16"/>
      <c r="D18" s="16"/>
      <c r="E18" s="1731" t="s">
        <v>325</v>
      </c>
      <c r="F18" s="1750"/>
      <c r="G18" s="93" t="s">
        <v>578</v>
      </c>
      <c r="H18" s="742"/>
      <c r="I18" s="743"/>
      <c r="J18" s="742"/>
      <c r="K18" s="868">
        <f t="shared" si="0"/>
        <v>0</v>
      </c>
      <c r="L18" s="743"/>
      <c r="M18" s="370">
        <f>IFERROR(IF(+K18-L18&gt;=0,K18-L18,"*")-O18,"*")</f>
        <v>0</v>
      </c>
      <c r="O18" s="1434"/>
    </row>
    <row r="19" spans="2:15" ht="24" customHeight="1" x14ac:dyDescent="0.2">
      <c r="C19" s="744"/>
      <c r="D19" s="744"/>
      <c r="E19" s="744"/>
      <c r="F19" s="745"/>
      <c r="G19" s="958"/>
      <c r="H19" s="742"/>
      <c r="I19" s="743"/>
      <c r="J19" s="742"/>
      <c r="K19" s="868">
        <f t="shared" si="0"/>
        <v>0</v>
      </c>
      <c r="L19" s="743"/>
      <c r="M19" s="370">
        <f>IFERROR(IF(+K19-L19&gt;=0,K19-L19,"*")-O19,"*")</f>
        <v>0</v>
      </c>
      <c r="O19" s="1434"/>
    </row>
    <row r="20" spans="2:15" ht="24" customHeight="1" x14ac:dyDescent="0.2">
      <c r="C20" s="744"/>
      <c r="D20" s="744"/>
      <c r="E20" s="744"/>
      <c r="F20" s="745"/>
      <c r="G20" s="958"/>
      <c r="H20" s="742"/>
      <c r="I20" s="743"/>
      <c r="J20" s="742"/>
      <c r="K20" s="868">
        <f t="shared" si="0"/>
        <v>0</v>
      </c>
      <c r="L20" s="743"/>
      <c r="M20" s="370">
        <f>IFERROR(IF(+K20-L20&gt;=0,K20-L20,"*")-O20,"*")</f>
        <v>0</v>
      </c>
      <c r="O20" s="1434"/>
    </row>
    <row r="21" spans="2:15" ht="24" customHeight="1" x14ac:dyDescent="0.2">
      <c r="C21" s="744"/>
      <c r="D21" s="744"/>
      <c r="E21" s="744"/>
      <c r="F21" s="745"/>
      <c r="G21" s="958"/>
      <c r="H21" s="742"/>
      <c r="I21" s="743"/>
      <c r="J21" s="742"/>
      <c r="K21" s="868">
        <f t="shared" si="0"/>
        <v>0</v>
      </c>
      <c r="L21" s="743"/>
      <c r="M21" s="370">
        <f>IFERROR(IF(+K21-L21&gt;=0,K21-L21,"*")-O21,"*")</f>
        <v>0</v>
      </c>
      <c r="O21" s="1434"/>
    </row>
    <row r="22" spans="2:15" ht="24" customHeight="1" x14ac:dyDescent="0.25">
      <c r="C22" s="43" t="s">
        <v>326</v>
      </c>
      <c r="D22" s="16"/>
      <c r="E22" s="50"/>
      <c r="F22" s="17"/>
      <c r="G22" s="93" t="s">
        <v>579</v>
      </c>
      <c r="H22" s="742"/>
      <c r="I22" s="743"/>
      <c r="J22" s="742"/>
      <c r="K22" s="868">
        <f t="shared" si="0"/>
        <v>0</v>
      </c>
      <c r="L22" s="743"/>
      <c r="M22" s="99" t="s">
        <v>201</v>
      </c>
      <c r="O22" s="640">
        <f>K22-L22</f>
        <v>0</v>
      </c>
    </row>
    <row r="23" spans="2:15" ht="24" customHeight="1" x14ac:dyDescent="0.25">
      <c r="C23" s="43" t="s">
        <v>327</v>
      </c>
      <c r="D23" s="16"/>
      <c r="E23" s="16"/>
      <c r="F23" s="17"/>
      <c r="G23" s="93" t="s">
        <v>580</v>
      </c>
      <c r="H23" s="742"/>
      <c r="I23" s="743"/>
      <c r="J23" s="97" t="s">
        <v>201</v>
      </c>
      <c r="K23" s="868">
        <f t="shared" si="0"/>
        <v>0</v>
      </c>
      <c r="L23" s="743"/>
      <c r="M23" s="99" t="s">
        <v>201</v>
      </c>
      <c r="O23" s="640">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640">
        <f>K24-L24</f>
        <v>0</v>
      </c>
    </row>
    <row r="25" spans="2:15" ht="21.95" customHeight="1" thickTop="1" thickBot="1" x14ac:dyDescent="0.3">
      <c r="C25" s="18"/>
      <c r="D25" s="565" t="str">
        <f>"TOTAL "&amp;UPPER('Key Inputs'!E42)&amp;" UTILITY  APPROPRIATIONS"</f>
        <v>TOTAL  UTILITY  APPROPRIATIONS</v>
      </c>
      <c r="E25" s="566"/>
      <c r="F25" s="567"/>
      <c r="G25" s="102" t="s">
        <v>400</v>
      </c>
      <c r="H25" s="122">
        <f>+SUM(H9:H24)+SUM('32b-Utility4'!H8:H26)+SUM('32-Utility4:32a-Utility4'!H8:H26)</f>
        <v>0</v>
      </c>
      <c r="I25" s="122">
        <f>+SUM(I9:I24)+SUM('32b-Utility4'!I8:I26)+SUM('32-Utility4:32a-Utility4'!I8:I26)</f>
        <v>0</v>
      </c>
      <c r="J25" s="122">
        <f>+SUM(J9:J24)+SUM('32b-Utility4'!J8:J26)+SUM('32-Utility4:32a-Utility4'!J8:J26)</f>
        <v>0</v>
      </c>
      <c r="K25" s="122">
        <f>+SUM(K9:K24)+SUM('32b-Utility4'!K8:K26)+SUM('32-Utility4:32a-Utility4'!K8:K26)</f>
        <v>0</v>
      </c>
      <c r="L25" s="122">
        <f>+SUM(L9:L24)+SUM('32b-Utility4'!L8:L26)+SUM('32-Utility4:32a-Utility4'!L8:L26)</f>
        <v>0</v>
      </c>
      <c r="M25" s="137">
        <f>+SUM(M9:M24)+SUM('32b-Utility4'!M8:M26)+SUM('32-Utility4:32a-Utility4'!M8:M26)</f>
        <v>0</v>
      </c>
      <c r="O25" s="29">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ssPwNzu1AF1Ee6DVFPjVn0WxfrJJxKDYFK6dSp/tC39aqhCmwO1H0OoOeUhVw/0wweAdrHggqIj1112mBG7ZJg==" saltValue="5ben/pfEJbhB3ydbFM0GxA=="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200-000000000000}">
          <x14:formula1>
            <xm:f>'Other Codes'!$K$2:$K$4</xm:f>
          </x14:formula1>
          <xm:sqref>G10:G13 G19:G21</xm:sqref>
        </x14:dataValidation>
      </x14:dataValidations>
    </ext>
  </extLst>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codeName="Sheet120">
    <tabColor theme="7" tint="0.39997558519241921"/>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Inputs'!E43)&amp;"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Inputs'!E43)&amp;"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Inputs'!E43&amp;"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83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8300-000001000000}">
          <x14:formula1>
            <xm:f>'Other Codes'!$G$2</xm:f>
          </x14:formula1>
          <xm:sqref>I20:I24</xm:sqref>
        </x14:dataValidation>
      </x14:dataValidations>
    </ext>
  </extLst>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sheetPr codeName="Sheet121">
    <tabColor theme="7" tint="0.39997558519241921"/>
  </sheetPr>
  <dimension ref="B2:O30"/>
  <sheetViews>
    <sheetView topLeftCell="B1" zoomScale="92" zoomScaleNormal="92" workbookViewId="0">
      <selection activeCell="M19" sqref="M19:M20"/>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Inputs'!E43)&amp;"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Inputs'!E43)&amp;"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DiecZPgCmqp2kLRVckLhrmrZzCvaNtDkW0BfPh2t+Tpufplqc91RGu0GApS4YHQBy8Cm+elpLPkrHnuOn6TpvA==" saltValue="+mypFiKzSNMqnhNf7/mTR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400-000000000000}">
          <x14:formula1>
            <xm:f>'Other Codes'!$I$2:$I$6</xm:f>
          </x14:formula1>
          <xm:sqref>G10:G26</xm:sqref>
        </x14:dataValidation>
      </x14:dataValidations>
    </ext>
  </extLst>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sheetPr codeName="Sheet122">
    <tabColor theme="7" tint="0.39997558519241921"/>
  </sheetPr>
  <dimension ref="B2:O30"/>
  <sheetViews>
    <sheetView topLeftCell="B1" zoomScale="92" zoomScaleNormal="92" workbookViewId="0">
      <selection activeCell="M20" sqref="M20"/>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Inputs'!E43)&amp;"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Inputs'!E43)&amp;"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1434"/>
    </row>
    <row r="9" spans="2:15" ht="21.95" customHeight="1" x14ac:dyDescent="0.2">
      <c r="C9" s="744"/>
      <c r="D9" s="744"/>
      <c r="E9" s="744"/>
      <c r="F9" s="745"/>
      <c r="G9" s="958"/>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yksWr5cdCBQpqjKVDmUMTwDt4kGMjlcQiXURtiSmOwntqVOwRpIW6LlST7yrk/U8KGBPNFCA3qN7sFLpCT281A==" saltValue="WMJ9RKcC7b6VAO/mklZdzg=="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500-000000000000}">
          <x14:formula1>
            <xm:f>'Other Codes'!$I$2:$I$6</xm:f>
          </x14:formula1>
          <xm:sqref>G8:G26</xm:sqref>
        </x14:dataValidation>
      </x14:dataValidations>
    </ext>
  </extLst>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codeName="Sheet123">
    <tabColor theme="7" tint="0.39997558519241921"/>
  </sheetPr>
  <dimension ref="B2:O30"/>
  <sheetViews>
    <sheetView topLeftCell="B1" zoomScale="92" zoomScaleNormal="92" workbookViewId="0">
      <selection activeCell="M15" sqref="M15"/>
    </sheetView>
  </sheetViews>
  <sheetFormatPr defaultRowHeight="12.75" x14ac:dyDescent="0.2"/>
  <cols>
    <col min="1" max="1" width="2" customWidth="1"/>
    <col min="2" max="2" width="4" customWidth="1"/>
    <col min="3" max="5" width="3.7109375" customWidth="1"/>
    <col min="6" max="6" width="47.1406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Inputs'!E43)&amp;"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Inputs'!E43)&amp;"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IFERROR(IF(+K10-L10&gt;=0,K10-L10,"*")-O10,"*")</f>
        <v>0</v>
      </c>
      <c r="O10" s="1434"/>
    </row>
    <row r="11" spans="2:15" ht="21.95" customHeight="1" x14ac:dyDescent="0.2">
      <c r="C11" s="744"/>
      <c r="D11" s="744"/>
      <c r="E11" s="744"/>
      <c r="F11" s="745"/>
      <c r="G11" s="958"/>
      <c r="H11" s="742"/>
      <c r="I11" s="743"/>
      <c r="J11" s="742"/>
      <c r="K11" s="743">
        <f>+I11</f>
        <v>0</v>
      </c>
      <c r="L11" s="743"/>
      <c r="M11" s="370">
        <f>IFERROR(IF(+K11-L11&gt;=0,K11-L11,"*")-O11,"*")</f>
        <v>0</v>
      </c>
      <c r="O11" s="1434"/>
    </row>
    <row r="12" spans="2:15" ht="21.95" customHeight="1" x14ac:dyDescent="0.2">
      <c r="C12" s="744"/>
      <c r="D12" s="744"/>
      <c r="E12" s="744"/>
      <c r="F12" s="745"/>
      <c r="G12" s="958"/>
      <c r="H12" s="742"/>
      <c r="I12" s="743"/>
      <c r="J12" s="742"/>
      <c r="K12" s="743">
        <f t="shared" si="0"/>
        <v>0</v>
      </c>
      <c r="L12" s="743"/>
      <c r="M12" s="370">
        <f>IFERROR(IF(+K12-L12&gt;=0,K12-L12,"*")-O12,"*")</f>
        <v>0</v>
      </c>
      <c r="O12" s="1434"/>
    </row>
    <row r="13" spans="2:15" ht="21.95" customHeight="1" x14ac:dyDescent="0.25">
      <c r="C13" s="43" t="s">
        <v>315</v>
      </c>
      <c r="D13" s="16"/>
      <c r="E13" s="16"/>
      <c r="F13" s="17"/>
      <c r="G13" s="93" t="s">
        <v>200</v>
      </c>
      <c r="H13" s="97" t="s">
        <v>201</v>
      </c>
      <c r="I13" s="98" t="s">
        <v>201</v>
      </c>
      <c r="J13" s="97" t="s">
        <v>201</v>
      </c>
      <c r="K13" s="98" t="s">
        <v>201</v>
      </c>
      <c r="L13" s="98" t="s">
        <v>201</v>
      </c>
      <c r="M13" s="99" t="s">
        <v>201</v>
      </c>
    </row>
    <row r="14" spans="2:15" ht="21.95" customHeight="1" x14ac:dyDescent="0.2">
      <c r="C14" s="16"/>
      <c r="D14" s="16"/>
      <c r="E14" s="16" t="s">
        <v>243</v>
      </c>
      <c r="F14" s="17"/>
      <c r="G14" s="93" t="s">
        <v>568</v>
      </c>
      <c r="H14" s="742"/>
      <c r="I14" s="743"/>
      <c r="J14" s="742"/>
      <c r="K14" s="743">
        <f t="shared" si="0"/>
        <v>0</v>
      </c>
      <c r="L14" s="743"/>
      <c r="M14" s="370">
        <f>IFERROR(IF(+K14-L14&gt;=0,K14-L14,"*")-O14,"*")</f>
        <v>0</v>
      </c>
      <c r="O14" s="1434"/>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4"/>
    </row>
    <row r="16" spans="2:15" ht="21.95" customHeight="1" x14ac:dyDescent="0.2">
      <c r="C16" s="16"/>
      <c r="D16" s="16"/>
      <c r="E16" s="16" t="s">
        <v>317</v>
      </c>
      <c r="F16" s="17"/>
      <c r="G16" s="93" t="s">
        <v>570</v>
      </c>
      <c r="H16" s="742"/>
      <c r="I16" s="743"/>
      <c r="J16" s="742"/>
      <c r="K16" s="743">
        <f t="shared" si="0"/>
        <v>0</v>
      </c>
      <c r="L16" s="743"/>
      <c r="M16" s="370">
        <f>IFERROR(IF(+K16-L16&gt;=0,K16-L16,"*")-O16,"*")</f>
        <v>0</v>
      </c>
      <c r="O16" s="1434"/>
    </row>
    <row r="17" spans="2:15" ht="21.95" customHeight="1" x14ac:dyDescent="0.2">
      <c r="C17" s="744"/>
      <c r="D17" s="744"/>
      <c r="E17" s="744"/>
      <c r="F17" s="745"/>
      <c r="G17" s="958"/>
      <c r="H17" s="742"/>
      <c r="I17" s="743"/>
      <c r="J17" s="742"/>
      <c r="K17" s="743">
        <f t="shared" si="0"/>
        <v>0</v>
      </c>
      <c r="L17" s="743"/>
      <c r="M17" s="370">
        <f>IFERROR(IF(+K17-L17&gt;=0,K17-L17,"*")-O17,"*")</f>
        <v>0</v>
      </c>
      <c r="O17" s="1434"/>
    </row>
    <row r="18" spans="2:15" ht="21.95" customHeight="1" x14ac:dyDescent="0.2">
      <c r="C18" s="744"/>
      <c r="D18" s="744"/>
      <c r="E18" s="744"/>
      <c r="F18" s="745"/>
      <c r="G18" s="958"/>
      <c r="H18" s="742"/>
      <c r="I18" s="743"/>
      <c r="J18" s="742"/>
      <c r="K18" s="743">
        <f t="shared" si="0"/>
        <v>0</v>
      </c>
      <c r="L18" s="743"/>
      <c r="M18" s="370">
        <f>IFERROR(IF(+K18-L18&gt;=0,K18-L18,"*")-O18,"*")</f>
        <v>0</v>
      </c>
      <c r="O18" s="1434"/>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bu7iyNXH6rEaGVW6cwvPoBepKTrpvPnN4ywsMaVhaT0VGuyrs0AmqEwYyxPfu95hbmBW+ihqgTSey1INKqMWRA==" saltValue="E/JUCWG1tYSa7EevBChFzA=="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6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6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600-000002000000}">
          <x14:formula1>
            <xm:f>'Other Codes'!$J$10:$J$11</xm:f>
          </x14:formula1>
          <xm:sqref>G24:G26</xm:sqref>
        </x14:dataValidation>
      </x14:dataValidations>
    </ext>
  </extLst>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sheetPr codeName="Sheet124">
    <tabColor theme="7" tint="0.39997558519241921"/>
  </sheetPr>
  <dimension ref="A2:O29"/>
  <sheetViews>
    <sheetView zoomScaleNormal="100" workbookViewId="0">
      <selection activeCell="N13" sqref="N13"/>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Inputs'!E43)&amp;"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Inputs'!E43)&amp;"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670">
        <f>K9-L9</f>
        <v>0</v>
      </c>
    </row>
    <row r="10" spans="1:15" ht="24" customHeight="1" x14ac:dyDescent="0.2">
      <c r="C10" s="744"/>
      <c r="D10" s="744"/>
      <c r="E10" s="744"/>
      <c r="F10" s="745"/>
      <c r="G10" s="958"/>
      <c r="H10" s="742"/>
      <c r="I10" s="743"/>
      <c r="J10" s="97" t="s">
        <v>201</v>
      </c>
      <c r="K10" s="743">
        <f>+I10</f>
        <v>0</v>
      </c>
      <c r="L10" s="743"/>
      <c r="M10" s="99" t="s">
        <v>201</v>
      </c>
      <c r="O10" s="670">
        <f>K10-L10</f>
        <v>0</v>
      </c>
    </row>
    <row r="11" spans="1:15" ht="24" customHeight="1" x14ac:dyDescent="0.2">
      <c r="C11" s="744"/>
      <c r="D11" s="744"/>
      <c r="E11" s="744"/>
      <c r="F11" s="745"/>
      <c r="G11" s="958"/>
      <c r="H11" s="742"/>
      <c r="I11" s="743"/>
      <c r="J11" s="97" t="s">
        <v>201</v>
      </c>
      <c r="K11" s="743">
        <f>+I11</f>
        <v>0</v>
      </c>
      <c r="L11" s="743"/>
      <c r="M11" s="99" t="s">
        <v>201</v>
      </c>
      <c r="O11" s="670">
        <f>K11-L11</f>
        <v>0</v>
      </c>
    </row>
    <row r="12" spans="1:15" ht="24" customHeight="1" x14ac:dyDescent="0.2">
      <c r="C12" s="744"/>
      <c r="D12" s="744"/>
      <c r="E12" s="744"/>
      <c r="F12" s="745"/>
      <c r="G12" s="958"/>
      <c r="H12" s="742"/>
      <c r="I12" s="743"/>
      <c r="J12" s="97" t="s">
        <v>201</v>
      </c>
      <c r="K12" s="743">
        <f>+I12</f>
        <v>0</v>
      </c>
      <c r="L12" s="743"/>
      <c r="M12" s="99" t="s">
        <v>201</v>
      </c>
      <c r="O12" s="670">
        <f>K12-L12</f>
        <v>0</v>
      </c>
    </row>
    <row r="13" spans="1:15" ht="24" customHeight="1" x14ac:dyDescent="0.2">
      <c r="C13" s="744"/>
      <c r="D13" s="744"/>
      <c r="E13" s="744"/>
      <c r="F13" s="745"/>
      <c r="G13" s="958"/>
      <c r="H13" s="742"/>
      <c r="I13" s="743"/>
      <c r="J13" s="97" t="s">
        <v>201</v>
      </c>
      <c r="K13" s="743">
        <f>+I13</f>
        <v>0</v>
      </c>
      <c r="L13" s="743"/>
      <c r="M13" s="99" t="s">
        <v>201</v>
      </c>
      <c r="O13" s="670">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row>
    <row r="15" spans="1:15" ht="12.75" customHeight="1" x14ac:dyDescent="0.2">
      <c r="C15" s="104"/>
      <c r="D15" s="104"/>
      <c r="E15" s="62" t="s">
        <v>324</v>
      </c>
      <c r="F15" s="130"/>
      <c r="G15" s="131"/>
      <c r="H15" s="1751"/>
      <c r="I15" s="1751"/>
      <c r="J15" s="1751"/>
      <c r="K15" s="1751">
        <f>+I15</f>
        <v>0</v>
      </c>
      <c r="L15" s="1751"/>
      <c r="M15" s="1753">
        <f>IFERROR(IF(+K15-L15&gt;=0,K15-L15,"*")-O16,"*")</f>
        <v>0</v>
      </c>
    </row>
    <row r="16" spans="1:15" ht="12.75" customHeight="1" x14ac:dyDescent="0.2">
      <c r="C16" s="87"/>
      <c r="D16" s="87"/>
      <c r="E16" s="87"/>
      <c r="F16" s="178" t="s">
        <v>594</v>
      </c>
      <c r="G16" s="132" t="s">
        <v>576</v>
      </c>
      <c r="H16" s="1752"/>
      <c r="I16" s="1752"/>
      <c r="J16" s="1752"/>
      <c r="K16" s="1752"/>
      <c r="L16" s="1752"/>
      <c r="M16" s="1754"/>
      <c r="O16" s="1434"/>
    </row>
    <row r="17" spans="2:15" ht="24" customHeight="1" x14ac:dyDescent="0.2">
      <c r="C17" s="16"/>
      <c r="D17" s="16"/>
      <c r="E17" s="16"/>
      <c r="F17" s="17" t="s">
        <v>221</v>
      </c>
      <c r="G17" s="93" t="s">
        <v>577</v>
      </c>
      <c r="H17" s="742"/>
      <c r="I17" s="743"/>
      <c r="J17" s="742"/>
      <c r="K17" s="868">
        <f t="shared" ref="K17:K24" si="0">+I17</f>
        <v>0</v>
      </c>
      <c r="L17" s="743"/>
      <c r="M17" s="370">
        <f>IFERROR(IF(+K17-L17&gt;=0,K17-L17,"*")-O17,"*")</f>
        <v>0</v>
      </c>
      <c r="O17" s="1434"/>
    </row>
    <row r="18" spans="2:15" ht="24" customHeight="1" x14ac:dyDescent="0.2">
      <c r="C18" s="16"/>
      <c r="D18" s="16"/>
      <c r="E18" s="1731" t="s">
        <v>325</v>
      </c>
      <c r="F18" s="1750"/>
      <c r="G18" s="93" t="s">
        <v>578</v>
      </c>
      <c r="H18" s="742"/>
      <c r="I18" s="743"/>
      <c r="J18" s="742"/>
      <c r="K18" s="868">
        <f t="shared" si="0"/>
        <v>0</v>
      </c>
      <c r="L18" s="743"/>
      <c r="M18" s="370">
        <f>IFERROR(IF(+K18-L18&gt;=0,K18-L18,"*")-O18,"*")</f>
        <v>0</v>
      </c>
      <c r="O18" s="1434"/>
    </row>
    <row r="19" spans="2:15" ht="24" customHeight="1" x14ac:dyDescent="0.2">
      <c r="C19" s="744"/>
      <c r="D19" s="744"/>
      <c r="E19" s="744"/>
      <c r="F19" s="745"/>
      <c r="G19" s="958"/>
      <c r="H19" s="742"/>
      <c r="I19" s="743"/>
      <c r="J19" s="742"/>
      <c r="K19" s="868">
        <f t="shared" si="0"/>
        <v>0</v>
      </c>
      <c r="L19" s="743"/>
      <c r="M19" s="370">
        <f>IFERROR(IF(+K19-L19&gt;=0,K19-L19,"*")-O19,"*")</f>
        <v>0</v>
      </c>
      <c r="O19" s="1434"/>
    </row>
    <row r="20" spans="2:15" ht="24" customHeight="1" x14ac:dyDescent="0.2">
      <c r="C20" s="744"/>
      <c r="D20" s="744"/>
      <c r="E20" s="744"/>
      <c r="F20" s="745"/>
      <c r="G20" s="958"/>
      <c r="H20" s="742"/>
      <c r="I20" s="743"/>
      <c r="J20" s="742"/>
      <c r="K20" s="868">
        <f t="shared" si="0"/>
        <v>0</v>
      </c>
      <c r="L20" s="743"/>
      <c r="M20" s="370">
        <f>IFERROR(IF(+K20-L20&gt;=0,K20-L20,"*")-O20,"*")</f>
        <v>0</v>
      </c>
      <c r="O20" s="1434"/>
    </row>
    <row r="21" spans="2:15" ht="24" customHeight="1" x14ac:dyDescent="0.2">
      <c r="C21" s="744"/>
      <c r="D21" s="744"/>
      <c r="E21" s="744"/>
      <c r="F21" s="745"/>
      <c r="G21" s="958"/>
      <c r="H21" s="742"/>
      <c r="I21" s="743"/>
      <c r="J21" s="742"/>
      <c r="K21" s="868">
        <f t="shared" si="0"/>
        <v>0</v>
      </c>
      <c r="L21" s="743"/>
      <c r="M21" s="370">
        <f>IFERROR(IF(+K21-L21&gt;=0,K21-L21,"*")-O21,"*")</f>
        <v>0</v>
      </c>
      <c r="O21" s="1434"/>
    </row>
    <row r="22" spans="2:15" ht="24" customHeight="1" x14ac:dyDescent="0.25">
      <c r="C22" s="43" t="s">
        <v>326</v>
      </c>
      <c r="D22" s="16"/>
      <c r="E22" s="50"/>
      <c r="F22" s="17"/>
      <c r="G22" s="93" t="s">
        <v>579</v>
      </c>
      <c r="H22" s="742"/>
      <c r="I22" s="743"/>
      <c r="J22" s="742"/>
      <c r="K22" s="868">
        <f t="shared" si="0"/>
        <v>0</v>
      </c>
      <c r="L22" s="743"/>
      <c r="M22" s="99" t="s">
        <v>201</v>
      </c>
      <c r="O22" s="670">
        <f>K22-L22</f>
        <v>0</v>
      </c>
    </row>
    <row r="23" spans="2:15" ht="24" customHeight="1" x14ac:dyDescent="0.25">
      <c r="C23" s="43" t="s">
        <v>327</v>
      </c>
      <c r="D23" s="16"/>
      <c r="E23" s="16"/>
      <c r="F23" s="17"/>
      <c r="G23" s="93" t="s">
        <v>580</v>
      </c>
      <c r="H23" s="742"/>
      <c r="I23" s="743"/>
      <c r="J23" s="97" t="s">
        <v>201</v>
      </c>
      <c r="K23" s="868">
        <f t="shared" si="0"/>
        <v>0</v>
      </c>
      <c r="L23" s="743"/>
      <c r="M23" s="99" t="s">
        <v>201</v>
      </c>
      <c r="O23" s="670">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670">
        <f>K24-L24</f>
        <v>0</v>
      </c>
    </row>
    <row r="25" spans="2:15" ht="21.95" customHeight="1" thickTop="1" thickBot="1" x14ac:dyDescent="0.3">
      <c r="C25" s="18"/>
      <c r="D25" s="565" t="str">
        <f>"TOTAL "&amp;UPPER('Key Inputs'!E43)&amp;" UTILITY  APPROPRIATIONS"</f>
        <v>TOTAL  UTILITY  APPROPRIATIONS</v>
      </c>
      <c r="E25" s="566"/>
      <c r="F25" s="567"/>
      <c r="G25" s="102" t="s">
        <v>400</v>
      </c>
      <c r="H25" s="122">
        <f>+SUM(H9:H24)+SUM('32b-Utility5'!H8:H26)+SUM('32-Utility5:32a-Utility5'!H8:H26)</f>
        <v>0</v>
      </c>
      <c r="I25" s="122">
        <f>+SUM(I9:I24)+SUM('32b-Utility5'!I8:I26)+SUM('32-Utility5:32a-Utility5'!I8:I26)</f>
        <v>0</v>
      </c>
      <c r="J25" s="122">
        <f>+SUM(J9:J24)+SUM('32b-Utility5'!J8:J26)+SUM('32-Utility5:32a-Utility5'!J8:J26)</f>
        <v>0</v>
      </c>
      <c r="K25" s="122">
        <f>+SUM(K9:K24)+SUM('32b-Utility5'!K8:K26)+SUM('32-Utility5:32a-Utility5'!K8:K26)</f>
        <v>0</v>
      </c>
      <c r="L25" s="122">
        <f>+SUM(L9:L24)+SUM('32b-Utility5'!L8:L26)+SUM('32-Utility5:32a-Utility5'!L8:L26)</f>
        <v>0</v>
      </c>
      <c r="M25" s="137">
        <f>+SUM(M9:M24)+SUM('32b-Utility5'!M8:M26)+SUM('32-Utility5:32a-Utility5'!M8:M26)</f>
        <v>0</v>
      </c>
      <c r="O25" s="29">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lf97Ah1c33Zp/YanarNQXyvZ6+0uiDnQa+0bKOouMPoECpKbq9NMWC1ZFD8aBSVKnUhQ5vAwjiPWom5jUsg9aw==" saltValue="r5jZOf5Xzr6wTgzUy2P9tA=="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700-000000000000}">
          <x14:formula1>
            <xm:f>'Other Codes'!$K$2:$K$4</xm:f>
          </x14:formula1>
          <xm:sqref>G10:G13 G19:G21</xm:sqref>
        </x14:dataValidation>
      </x14:dataValidations>
    </ext>
  </extLst>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sheetPr codeName="Sheet125">
    <tabColor theme="3" tint="0.79998168889431442"/>
  </sheetPr>
  <dimension ref="C2:P27"/>
  <sheetViews>
    <sheetView zoomScaleNormal="100" workbookViewId="0"/>
  </sheetViews>
  <sheetFormatPr defaultRowHeight="12.75" x14ac:dyDescent="0.2"/>
  <cols>
    <col min="1" max="4" width="3.7109375" customWidth="1"/>
    <col min="5" max="5" width="4.7109375" customWidth="1"/>
    <col min="6" max="6" width="5.7109375" customWidth="1"/>
    <col min="7" max="7" width="16.7109375" customWidth="1"/>
    <col min="8" max="8" width="52.42578125" customWidth="1"/>
    <col min="9" max="9" width="9.7109375" customWidth="1"/>
    <col min="10" max="12" width="17.7109375" customWidth="1"/>
    <col min="13" max="13" width="1.7109375" customWidth="1"/>
  </cols>
  <sheetData>
    <row r="2" spans="3:16" ht="21" thickBot="1" x14ac:dyDescent="0.35">
      <c r="C2" s="1745" t="str">
        <f>"DEDICATED "&amp;UPPER('Key Inputs'!E44)&amp;" UTILITY BUDGET"</f>
        <v>DEDICATED  UTILITY BUDGET</v>
      </c>
      <c r="D2" s="1745"/>
      <c r="E2" s="1745"/>
      <c r="F2" s="1745"/>
      <c r="G2" s="1745"/>
      <c r="H2" s="1745"/>
      <c r="I2" s="1745"/>
      <c r="J2" s="1745"/>
      <c r="K2" s="1745"/>
      <c r="L2" s="1745"/>
    </row>
    <row r="3" spans="3:16" ht="20.45" customHeight="1" thickTop="1" x14ac:dyDescent="0.25">
      <c r="I3" s="37"/>
      <c r="J3" s="1702" t="s">
        <v>27</v>
      </c>
      <c r="K3" s="1703"/>
      <c r="L3" s="34" t="s">
        <v>28</v>
      </c>
    </row>
    <row r="4" spans="3:16" ht="20.45" customHeight="1" x14ac:dyDescent="0.25">
      <c r="C4" s="1746" t="str">
        <f>"10.  DEDICATED  REVENUES  FROM  "&amp;UPPER('Key Inputs'!E44)&amp;"  UTILITY"</f>
        <v>10.  DEDICATED  REVENUES  FROM    UTILITY</v>
      </c>
      <c r="D4" s="1746"/>
      <c r="E4" s="1746"/>
      <c r="F4" s="1746"/>
      <c r="G4" s="1746"/>
      <c r="H4" s="1747"/>
      <c r="I4" s="374" t="s">
        <v>605</v>
      </c>
      <c r="J4" s="36" t="str">
        <f>'Key Inputs'!E34</f>
        <v>2021</v>
      </c>
      <c r="K4" s="36">
        <f>J4-1</f>
        <v>2020</v>
      </c>
      <c r="L4" s="35" t="str">
        <f>"Cash in "&amp;K4</f>
        <v>Cash in 2020</v>
      </c>
    </row>
    <row r="5" spans="3:16" ht="20.45" customHeight="1" x14ac:dyDescent="0.25">
      <c r="D5" s="38"/>
      <c r="E5" s="106" t="s">
        <v>301</v>
      </c>
      <c r="F5" s="39"/>
      <c r="G5" s="39"/>
      <c r="H5" s="172"/>
      <c r="I5" s="173" t="s">
        <v>560</v>
      </c>
      <c r="J5" s="743"/>
      <c r="K5" s="743"/>
      <c r="L5" s="860"/>
    </row>
    <row r="6" spans="3:16" ht="22.5" customHeight="1" thickBot="1" x14ac:dyDescent="0.25">
      <c r="D6" s="5"/>
      <c r="E6" s="1733" t="s">
        <v>302</v>
      </c>
      <c r="F6" s="1731"/>
      <c r="G6" s="1731"/>
      <c r="H6" s="1748"/>
      <c r="I6" s="174" t="s">
        <v>561</v>
      </c>
      <c r="J6" s="955"/>
      <c r="K6" s="955"/>
      <c r="L6" s="956"/>
    </row>
    <row r="7" spans="3:16" ht="20.45" customHeight="1" thickTop="1" thickBot="1" x14ac:dyDescent="0.25">
      <c r="D7" s="171"/>
      <c r="E7" s="45"/>
      <c r="F7" s="45"/>
      <c r="G7" s="106" t="s">
        <v>307</v>
      </c>
      <c r="H7" s="5"/>
      <c r="I7" s="173" t="s">
        <v>562</v>
      </c>
      <c r="J7" s="72">
        <f>+J5+J6</f>
        <v>0</v>
      </c>
      <c r="K7" s="72">
        <f>+K5+K6</f>
        <v>0</v>
      </c>
      <c r="L7" s="73">
        <f>+L5+L6</f>
        <v>0</v>
      </c>
    </row>
    <row r="8" spans="3:16" ht="21" customHeight="1" thickTop="1" x14ac:dyDescent="0.2">
      <c r="D8" s="171"/>
      <c r="E8" s="50" t="s">
        <v>308</v>
      </c>
      <c r="F8" s="45"/>
      <c r="G8" s="45"/>
      <c r="H8" s="5"/>
      <c r="I8" s="173" t="s">
        <v>563</v>
      </c>
      <c r="J8" s="868"/>
      <c r="K8" s="868"/>
      <c r="L8" s="869"/>
    </row>
    <row r="9" spans="3:16" ht="22.5" customHeight="1" x14ac:dyDescent="0.2">
      <c r="D9" s="876"/>
      <c r="E9" s="876"/>
      <c r="F9" s="744"/>
      <c r="G9" s="744"/>
      <c r="H9" s="875"/>
      <c r="I9" s="957"/>
      <c r="J9" s="743"/>
      <c r="K9" s="743"/>
      <c r="L9" s="860"/>
      <c r="N9" s="1193"/>
      <c r="O9" s="1194"/>
      <c r="P9" s="1194"/>
    </row>
    <row r="10" spans="3:16" ht="21" customHeight="1" x14ac:dyDescent="0.2">
      <c r="D10" s="50"/>
      <c r="E10" s="50" t="s">
        <v>309</v>
      </c>
      <c r="F10" s="16"/>
      <c r="G10" s="16"/>
      <c r="H10" s="5"/>
      <c r="I10" s="173" t="s">
        <v>564</v>
      </c>
      <c r="J10" s="743"/>
      <c r="K10" s="743"/>
      <c r="L10" s="860"/>
    </row>
    <row r="11" spans="3:16" ht="22.5" customHeight="1" x14ac:dyDescent="0.2">
      <c r="D11" s="876"/>
      <c r="E11" s="876"/>
      <c r="F11" s="744"/>
      <c r="G11" s="744"/>
      <c r="H11" s="875"/>
      <c r="I11" s="859"/>
      <c r="J11" s="743"/>
      <c r="K11" s="743"/>
      <c r="L11" s="860"/>
      <c r="N11" s="1194"/>
      <c r="O11" s="1194"/>
      <c r="P11" s="1194"/>
    </row>
    <row r="12" spans="3:16" ht="20.45" customHeight="1" x14ac:dyDescent="0.2">
      <c r="D12" s="876"/>
      <c r="E12" s="876"/>
      <c r="F12" s="744"/>
      <c r="G12" s="744"/>
      <c r="H12" s="875"/>
      <c r="I12" s="859"/>
      <c r="J12" s="743"/>
      <c r="K12" s="743"/>
      <c r="L12" s="860"/>
    </row>
    <row r="13" spans="3:16" ht="20.45" customHeight="1" x14ac:dyDescent="0.2">
      <c r="D13" s="876"/>
      <c r="E13" s="876"/>
      <c r="F13" s="744"/>
      <c r="G13" s="744"/>
      <c r="H13" s="875"/>
      <c r="I13" s="859"/>
      <c r="J13" s="743"/>
      <c r="K13" s="743"/>
      <c r="L13" s="860"/>
    </row>
    <row r="14" spans="3:16" ht="20.45" customHeight="1" x14ac:dyDescent="0.2">
      <c r="D14" s="876"/>
      <c r="E14" s="876"/>
      <c r="F14" s="744"/>
      <c r="G14" s="744"/>
      <c r="H14" s="875"/>
      <c r="I14" s="859"/>
      <c r="J14" s="743"/>
      <c r="K14" s="743"/>
      <c r="L14" s="860"/>
    </row>
    <row r="15" spans="3:16" ht="20.45" customHeight="1" x14ac:dyDescent="0.2">
      <c r="D15" s="876"/>
      <c r="E15" s="876"/>
      <c r="F15" s="744"/>
      <c r="G15" s="744"/>
      <c r="H15" s="875"/>
      <c r="I15" s="859"/>
      <c r="J15" s="743"/>
      <c r="K15" s="743"/>
      <c r="L15" s="860"/>
    </row>
    <row r="16" spans="3:16" ht="20.45" customHeight="1" x14ac:dyDescent="0.2">
      <c r="D16" s="876"/>
      <c r="E16" s="876"/>
      <c r="F16" s="744"/>
      <c r="G16" s="744"/>
      <c r="H16" s="875"/>
      <c r="I16" s="859"/>
      <c r="J16" s="743"/>
      <c r="K16" s="743"/>
      <c r="L16" s="860"/>
    </row>
    <row r="17" spans="3:16" ht="20.45" customHeight="1" x14ac:dyDescent="0.2">
      <c r="D17" s="876"/>
      <c r="E17" s="876"/>
      <c r="F17" s="744"/>
      <c r="G17" s="744"/>
      <c r="H17" s="875"/>
      <c r="I17" s="859"/>
      <c r="J17" s="743"/>
      <c r="K17" s="743"/>
      <c r="L17" s="860"/>
    </row>
    <row r="18" spans="3:16" ht="20.45" customHeight="1" x14ac:dyDescent="0.2">
      <c r="D18" s="876"/>
      <c r="E18" s="876"/>
      <c r="F18" s="744"/>
      <c r="G18" s="744"/>
      <c r="H18" s="875"/>
      <c r="I18" s="859"/>
      <c r="J18" s="743"/>
      <c r="K18" s="743"/>
      <c r="L18" s="860"/>
    </row>
    <row r="19" spans="3:16" ht="22.5" customHeight="1" x14ac:dyDescent="0.2">
      <c r="D19" s="50"/>
      <c r="E19" s="1733" t="s">
        <v>310</v>
      </c>
      <c r="F19" s="1733"/>
      <c r="G19" s="1733"/>
      <c r="H19" s="1749"/>
      <c r="I19" s="173" t="s">
        <v>200</v>
      </c>
      <c r="J19" s="98" t="s">
        <v>201</v>
      </c>
      <c r="K19" s="98" t="s">
        <v>201</v>
      </c>
      <c r="L19" s="175" t="s">
        <v>201</v>
      </c>
    </row>
    <row r="20" spans="3:16" ht="20.25" customHeight="1" x14ac:dyDescent="0.2">
      <c r="D20" s="876"/>
      <c r="E20" s="876"/>
      <c r="F20" s="744"/>
      <c r="G20" s="744"/>
      <c r="H20" s="875"/>
      <c r="I20" s="859"/>
      <c r="J20" s="743"/>
      <c r="K20" s="743"/>
      <c r="L20" s="860"/>
    </row>
    <row r="21" spans="3:16" ht="20.25" customHeight="1" x14ac:dyDescent="0.2">
      <c r="D21" s="876"/>
      <c r="E21" s="876"/>
      <c r="F21" s="744"/>
      <c r="G21" s="744"/>
      <c r="H21" s="875"/>
      <c r="I21" s="859"/>
      <c r="J21" s="743"/>
      <c r="K21" s="743"/>
      <c r="L21" s="860"/>
    </row>
    <row r="22" spans="3:16" ht="20.45" customHeight="1" x14ac:dyDescent="0.2">
      <c r="D22" s="876"/>
      <c r="E22" s="876"/>
      <c r="F22" s="744"/>
      <c r="G22" s="744"/>
      <c r="H22" s="875"/>
      <c r="I22" s="859"/>
      <c r="J22" s="743"/>
      <c r="K22" s="743"/>
      <c r="L22" s="860"/>
    </row>
    <row r="23" spans="3:16" ht="20.45" customHeight="1" x14ac:dyDescent="0.2">
      <c r="D23" s="876"/>
      <c r="E23" s="876"/>
      <c r="F23" s="876"/>
      <c r="G23" s="876"/>
      <c r="H23" s="875"/>
      <c r="I23" s="859"/>
      <c r="J23" s="743"/>
      <c r="K23" s="743"/>
      <c r="L23" s="860"/>
    </row>
    <row r="24" spans="3:16" ht="20.45" customHeight="1" x14ac:dyDescent="0.2">
      <c r="D24" s="875"/>
      <c r="E24" s="875"/>
      <c r="F24" s="875"/>
      <c r="G24" s="875"/>
      <c r="H24" s="875"/>
      <c r="I24" s="859"/>
      <c r="J24" s="743"/>
      <c r="K24" s="743"/>
      <c r="L24" s="860"/>
    </row>
    <row r="25" spans="3:16" ht="20.45" customHeight="1" thickBot="1" x14ac:dyDescent="0.25">
      <c r="D25" s="5"/>
      <c r="E25" s="50" t="s">
        <v>311</v>
      </c>
      <c r="F25" s="5"/>
      <c r="G25" s="5"/>
      <c r="H25" s="5"/>
      <c r="I25" s="173" t="s">
        <v>565</v>
      </c>
      <c r="J25" s="871"/>
      <c r="K25" s="871"/>
      <c r="L25" s="872"/>
    </row>
    <row r="26" spans="3:16" ht="20.45" customHeight="1" thickBot="1" x14ac:dyDescent="0.3">
      <c r="C26" s="2"/>
      <c r="D26" s="2"/>
      <c r="E26" s="2"/>
      <c r="F26" s="562" t="str">
        <f>"Total "&amp;'Key Inputs'!E44&amp;" Utility Revenues"</f>
        <v>Total  Utility Revenues</v>
      </c>
      <c r="G26" s="563"/>
      <c r="H26" s="563"/>
      <c r="I26" s="176" t="s">
        <v>399</v>
      </c>
      <c r="J26" s="31">
        <f>SUM(J7:J25)</f>
        <v>0</v>
      </c>
      <c r="K26" s="31">
        <f>SUM(K7:K25)</f>
        <v>0</v>
      </c>
      <c r="L26" s="33">
        <f>SUM(L7:L25)</f>
        <v>0</v>
      </c>
    </row>
    <row r="27" spans="3:16" ht="16.5" thickTop="1" x14ac:dyDescent="0.25">
      <c r="C27" s="1616" t="s">
        <v>312</v>
      </c>
      <c r="D27" s="1616"/>
      <c r="E27" s="1616"/>
      <c r="F27" s="1616"/>
      <c r="G27" s="1616"/>
      <c r="H27" s="1616"/>
      <c r="I27" s="1616"/>
      <c r="J27" s="1616"/>
      <c r="K27" s="1616"/>
      <c r="L27" s="1616"/>
      <c r="M27" s="1616"/>
      <c r="N27" s="1616"/>
      <c r="O27" s="484"/>
      <c r="P27" s="484"/>
    </row>
  </sheetData>
  <sheetProtection password="CAF9" sheet="1" objects="1" scenarios="1"/>
  <mergeCells count="6">
    <mergeCell ref="C27:N27"/>
    <mergeCell ref="E19:H19"/>
    <mergeCell ref="C2:L2"/>
    <mergeCell ref="J3:K3"/>
    <mergeCell ref="C4:H4"/>
    <mergeCell ref="E6:H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8800-000000000000}">
          <x14:formula1>
            <xm:f>'Other Codes'!$F$2:$F$11</xm:f>
          </x14:formula1>
          <xm:sqref>I9 I11:I18</xm:sqref>
        </x14:dataValidation>
        <x14:dataValidation type="list" allowBlank="1" showInputMessage="1" showErrorMessage="1" errorTitle="Invalid Entry" error="This FCOA Code is not authorized for use on this sheet." xr:uid="{00000000-0002-0000-8800-000001000000}">
          <x14:formula1>
            <xm:f>'Other Codes'!$G$2</xm:f>
          </x14:formula1>
          <xm:sqref>I20:I24</xm:sqref>
        </x14:dataValidation>
      </x14:dataValidations>
    </ext>
  </extLst>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sheetPr codeName="Sheet126">
    <tabColor theme="3" tint="0.79998168889431442"/>
  </sheetPr>
  <dimension ref="B2:O30"/>
  <sheetViews>
    <sheetView topLeftCell="B1" zoomScale="92" zoomScaleNormal="92" workbookViewId="0">
      <selection activeCell="O1" sqref="O1:O1048576"/>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Inputs'!E44)&amp;"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Inputs'!E44)&amp;"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909"/>
    </row>
    <row r="9" spans="2:15" ht="21.95" customHeight="1" x14ac:dyDescent="0.2">
      <c r="C9" s="16"/>
      <c r="D9" s="16"/>
      <c r="E9" s="16" t="s">
        <v>314</v>
      </c>
      <c r="F9" s="17"/>
      <c r="G9" s="93" t="s">
        <v>567</v>
      </c>
      <c r="H9" s="742"/>
      <c r="I9" s="743"/>
      <c r="J9" s="742"/>
      <c r="K9" s="743">
        <f t="shared" ref="K9:K26" si="0">+I9</f>
        <v>0</v>
      </c>
      <c r="L9" s="743"/>
      <c r="M9" s="370">
        <f t="shared" ref="M9:M26" si="1">IFERROR(IF(+K9-L9&gt;=0,K9-L9,"*")-O9,"*")</f>
        <v>0</v>
      </c>
      <c r="O9" s="909"/>
    </row>
    <row r="10" spans="2:15" ht="21.95" customHeight="1" x14ac:dyDescent="0.2">
      <c r="C10" s="744"/>
      <c r="D10" s="744"/>
      <c r="E10" s="744"/>
      <c r="F10" s="745"/>
      <c r="G10" s="958"/>
      <c r="H10" s="742"/>
      <c r="I10" s="743"/>
      <c r="J10" s="742"/>
      <c r="K10" s="743">
        <f t="shared" si="0"/>
        <v>0</v>
      </c>
      <c r="L10" s="743"/>
      <c r="M10" s="370">
        <f t="shared" si="1"/>
        <v>0</v>
      </c>
      <c r="O10" s="909"/>
    </row>
    <row r="11" spans="2:15" ht="21.95" customHeight="1" x14ac:dyDescent="0.2">
      <c r="C11" s="744"/>
      <c r="D11" s="744"/>
      <c r="E11" s="744"/>
      <c r="F11" s="745"/>
      <c r="G11" s="958"/>
      <c r="H11" s="742"/>
      <c r="I11" s="743"/>
      <c r="J11" s="742"/>
      <c r="K11" s="743">
        <f>+I11</f>
        <v>0</v>
      </c>
      <c r="L11" s="743"/>
      <c r="M11" s="370">
        <f t="shared" si="1"/>
        <v>0</v>
      </c>
      <c r="O11" s="909"/>
    </row>
    <row r="12" spans="2:15" ht="21.95" customHeight="1" x14ac:dyDescent="0.2">
      <c r="C12" s="744"/>
      <c r="D12" s="744"/>
      <c r="E12" s="744"/>
      <c r="F12" s="745"/>
      <c r="G12" s="958"/>
      <c r="H12" s="742"/>
      <c r="I12" s="743"/>
      <c r="J12" s="742"/>
      <c r="K12" s="743">
        <f t="shared" si="0"/>
        <v>0</v>
      </c>
      <c r="L12" s="743"/>
      <c r="M12" s="370">
        <f t="shared" si="1"/>
        <v>0</v>
      </c>
      <c r="O12" s="909"/>
    </row>
    <row r="13" spans="2:15" ht="21.95" customHeight="1" x14ac:dyDescent="0.25">
      <c r="C13" s="882"/>
      <c r="D13" s="744"/>
      <c r="E13" s="744"/>
      <c r="F13" s="745"/>
      <c r="G13" s="958"/>
      <c r="H13" s="951"/>
      <c r="I13" s="952"/>
      <c r="J13" s="951"/>
      <c r="K13" s="743">
        <f t="shared" si="0"/>
        <v>0</v>
      </c>
      <c r="L13" s="952"/>
      <c r="M13" s="370">
        <f t="shared" si="1"/>
        <v>0</v>
      </c>
      <c r="O13" s="909"/>
    </row>
    <row r="14" spans="2:15" ht="21.95" customHeight="1" x14ac:dyDescent="0.2">
      <c r="C14" s="744"/>
      <c r="D14" s="744"/>
      <c r="E14" s="744"/>
      <c r="F14" s="745"/>
      <c r="G14" s="958"/>
      <c r="H14" s="742"/>
      <c r="I14" s="743"/>
      <c r="J14" s="742"/>
      <c r="K14" s="743">
        <f t="shared" si="0"/>
        <v>0</v>
      </c>
      <c r="L14" s="743"/>
      <c r="M14" s="370">
        <f t="shared" si="1"/>
        <v>0</v>
      </c>
      <c r="O14" s="909"/>
    </row>
    <row r="15" spans="2:15" ht="21.95" customHeight="1" x14ac:dyDescent="0.2">
      <c r="C15" s="744"/>
      <c r="D15" s="744"/>
      <c r="E15" s="744"/>
      <c r="F15" s="745"/>
      <c r="G15" s="958"/>
      <c r="H15" s="742"/>
      <c r="I15" s="743"/>
      <c r="J15" s="951"/>
      <c r="K15" s="743">
        <f t="shared" si="0"/>
        <v>0</v>
      </c>
      <c r="L15" s="743"/>
      <c r="M15" s="370">
        <f t="shared" si="1"/>
        <v>0</v>
      </c>
      <c r="O15" s="909"/>
    </row>
    <row r="16" spans="2:15" ht="21.95" customHeight="1" x14ac:dyDescent="0.2">
      <c r="C16" s="744"/>
      <c r="D16" s="744"/>
      <c r="E16" s="744"/>
      <c r="F16" s="745"/>
      <c r="G16" s="958"/>
      <c r="H16" s="742"/>
      <c r="I16" s="743"/>
      <c r="J16" s="742"/>
      <c r="K16" s="743">
        <f t="shared" si="0"/>
        <v>0</v>
      </c>
      <c r="L16" s="743"/>
      <c r="M16" s="370">
        <f t="shared" si="1"/>
        <v>0</v>
      </c>
      <c r="O16" s="909"/>
    </row>
    <row r="17" spans="2:15" ht="21.95" customHeight="1" x14ac:dyDescent="0.2">
      <c r="C17" s="744"/>
      <c r="D17" s="744"/>
      <c r="E17" s="744"/>
      <c r="F17" s="745"/>
      <c r="G17" s="958"/>
      <c r="H17" s="742"/>
      <c r="I17" s="743"/>
      <c r="J17" s="742"/>
      <c r="K17" s="743">
        <f t="shared" si="0"/>
        <v>0</v>
      </c>
      <c r="L17" s="743"/>
      <c r="M17" s="370">
        <f t="shared" si="1"/>
        <v>0</v>
      </c>
      <c r="O17" s="909"/>
    </row>
    <row r="18" spans="2:15" ht="21.95" customHeight="1" x14ac:dyDescent="0.2">
      <c r="C18" s="744"/>
      <c r="D18" s="744"/>
      <c r="E18" s="744"/>
      <c r="F18" s="745"/>
      <c r="G18" s="958"/>
      <c r="H18" s="742"/>
      <c r="I18" s="743"/>
      <c r="J18" s="742"/>
      <c r="K18" s="743">
        <f t="shared" si="0"/>
        <v>0</v>
      </c>
      <c r="L18" s="743"/>
      <c r="M18" s="370">
        <f t="shared" si="1"/>
        <v>0</v>
      </c>
      <c r="O18" s="909"/>
    </row>
    <row r="19" spans="2:15" ht="21.95" customHeight="1" x14ac:dyDescent="0.25">
      <c r="C19" s="882"/>
      <c r="D19" s="744"/>
      <c r="E19" s="744"/>
      <c r="F19" s="745"/>
      <c r="G19" s="958"/>
      <c r="H19" s="951"/>
      <c r="I19" s="952"/>
      <c r="J19" s="951"/>
      <c r="K19" s="743">
        <f t="shared" si="0"/>
        <v>0</v>
      </c>
      <c r="L19" s="952"/>
      <c r="M19" s="370">
        <f t="shared" si="1"/>
        <v>0</v>
      </c>
      <c r="O19" s="909"/>
    </row>
    <row r="20" spans="2:15" ht="21.95" customHeight="1" x14ac:dyDescent="0.2">
      <c r="C20" s="744"/>
      <c r="D20" s="744"/>
      <c r="E20" s="744"/>
      <c r="F20" s="745"/>
      <c r="G20" s="958"/>
      <c r="H20" s="742"/>
      <c r="I20" s="743"/>
      <c r="J20" s="742"/>
      <c r="K20" s="743">
        <f t="shared" si="0"/>
        <v>0</v>
      </c>
      <c r="L20" s="743"/>
      <c r="M20" s="370">
        <f t="shared" si="1"/>
        <v>0</v>
      </c>
      <c r="O20" s="909"/>
    </row>
    <row r="21" spans="2:15" ht="21.95" customHeight="1" x14ac:dyDescent="0.2">
      <c r="C21" s="744"/>
      <c r="D21" s="744"/>
      <c r="E21" s="876"/>
      <c r="F21" s="745"/>
      <c r="G21" s="958"/>
      <c r="H21" s="742"/>
      <c r="I21" s="743"/>
      <c r="J21" s="742"/>
      <c r="K21" s="743">
        <f t="shared" si="0"/>
        <v>0</v>
      </c>
      <c r="L21" s="743"/>
      <c r="M21" s="370">
        <f t="shared" si="1"/>
        <v>0</v>
      </c>
      <c r="O21" s="909"/>
    </row>
    <row r="22" spans="2:15" ht="21.95" customHeight="1" x14ac:dyDescent="0.2">
      <c r="C22" s="744"/>
      <c r="D22" s="744"/>
      <c r="E22" s="744"/>
      <c r="F22" s="745"/>
      <c r="G22" s="958"/>
      <c r="H22" s="742"/>
      <c r="I22" s="743"/>
      <c r="J22" s="742"/>
      <c r="K22" s="743">
        <f t="shared" si="0"/>
        <v>0</v>
      </c>
      <c r="L22" s="743"/>
      <c r="M22" s="370">
        <f t="shared" si="1"/>
        <v>0</v>
      </c>
      <c r="O22" s="909"/>
    </row>
    <row r="23" spans="2:15" ht="21.95" customHeight="1" x14ac:dyDescent="0.2">
      <c r="C23" s="744"/>
      <c r="D23" s="744"/>
      <c r="E23" s="744"/>
      <c r="F23" s="745"/>
      <c r="G23" s="958"/>
      <c r="H23" s="742"/>
      <c r="I23" s="743"/>
      <c r="J23" s="742"/>
      <c r="K23" s="743">
        <f t="shared" si="0"/>
        <v>0</v>
      </c>
      <c r="L23" s="743"/>
      <c r="M23" s="370">
        <f t="shared" si="1"/>
        <v>0</v>
      </c>
      <c r="O23" s="909"/>
    </row>
    <row r="24" spans="2:15" ht="21.95" customHeight="1" x14ac:dyDescent="0.2">
      <c r="C24" s="748"/>
      <c r="D24" s="748"/>
      <c r="E24" s="748"/>
      <c r="F24" s="904"/>
      <c r="G24" s="959"/>
      <c r="H24" s="905"/>
      <c r="I24" s="865"/>
      <c r="J24" s="905"/>
      <c r="K24" s="743">
        <f t="shared" si="0"/>
        <v>0</v>
      </c>
      <c r="L24" s="865"/>
      <c r="M24" s="370">
        <f t="shared" si="1"/>
        <v>0</v>
      </c>
      <c r="O24" s="909"/>
    </row>
    <row r="25" spans="2:15" ht="21.95" customHeight="1" x14ac:dyDescent="0.2">
      <c r="C25" s="748"/>
      <c r="D25" s="748"/>
      <c r="E25" s="748"/>
      <c r="F25" s="904"/>
      <c r="G25" s="959"/>
      <c r="H25" s="905"/>
      <c r="I25" s="865"/>
      <c r="J25" s="905"/>
      <c r="K25" s="743">
        <f t="shared" si="0"/>
        <v>0</v>
      </c>
      <c r="L25" s="865"/>
      <c r="M25" s="370">
        <f t="shared" si="1"/>
        <v>0</v>
      </c>
      <c r="O25" s="909"/>
    </row>
    <row r="26" spans="2:15" ht="21.95" customHeight="1" thickBot="1" x14ac:dyDescent="0.25">
      <c r="B26" s="2"/>
      <c r="C26" s="893"/>
      <c r="D26" s="893"/>
      <c r="E26" s="893"/>
      <c r="F26" s="894"/>
      <c r="G26" s="960"/>
      <c r="H26" s="897"/>
      <c r="I26" s="898"/>
      <c r="J26" s="897"/>
      <c r="K26" s="898">
        <f t="shared" si="0"/>
        <v>0</v>
      </c>
      <c r="L26" s="898"/>
      <c r="M26" s="525">
        <f t="shared" si="1"/>
        <v>0</v>
      </c>
      <c r="O26" s="909"/>
    </row>
    <row r="27" spans="2:15" ht="16.5" thickTop="1" x14ac:dyDescent="0.25">
      <c r="B27" s="1617" t="s">
        <v>319</v>
      </c>
      <c r="C27" s="1617"/>
      <c r="D27" s="1617"/>
      <c r="E27" s="1617"/>
      <c r="F27" s="1617"/>
      <c r="G27" s="1617"/>
      <c r="H27" s="1617"/>
      <c r="I27" s="1617"/>
      <c r="J27" s="1617"/>
      <c r="K27" s="1617"/>
      <c r="L27" s="1617"/>
      <c r="M27" s="1617"/>
    </row>
    <row r="30" spans="2:15" x14ac:dyDescent="0.2">
      <c r="H30" s="29"/>
    </row>
  </sheetData>
  <sheetProtection algorithmName="SHA-512" hashValue="rtWZ6FoEcziQwMXmN8FwQ1E5YabNrutXreH7axkF5xQuOIXpLjKoqoBp7ac/WLzfovkohs3wDQSThbAKjci2oQ==" saltValue="c5oAaPpMCIdlzVU5x+Z1Jw=="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900-000000000000}">
          <x14:formula1>
            <xm:f>'Other Codes'!$I$2:$I$6</xm:f>
          </x14:formula1>
          <xm:sqref>G10:G26</xm:sqref>
        </x14:dataValidation>
      </x14:dataValidations>
    </ext>
  </extLst>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sheetPr codeName="Sheet127">
    <tabColor theme="3" tint="0.79998168889431442"/>
  </sheetPr>
  <dimension ref="B2:O30"/>
  <sheetViews>
    <sheetView topLeftCell="B1" zoomScale="92" zoomScaleNormal="92" workbookViewId="0">
      <selection activeCell="O8" sqref="O8:O26"/>
    </sheetView>
  </sheetViews>
  <sheetFormatPr defaultRowHeight="12.75" x14ac:dyDescent="0.2"/>
  <cols>
    <col min="1" max="1" width="2" customWidth="1"/>
    <col min="2" max="2" width="4" customWidth="1"/>
    <col min="3" max="5" width="3.7109375" customWidth="1"/>
    <col min="6" max="6" width="47"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Inputs'!E44)&amp;"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Inputs'!E44)&amp;"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744"/>
      <c r="D8" s="744"/>
      <c r="E8" s="744"/>
      <c r="F8" s="745"/>
      <c r="G8" s="958"/>
      <c r="H8" s="742"/>
      <c r="I8" s="743"/>
      <c r="J8" s="742"/>
      <c r="K8" s="743">
        <f>+I8</f>
        <v>0</v>
      </c>
      <c r="L8" s="743"/>
      <c r="M8" s="370">
        <f>IFERROR(IF(+K8-L8&gt;=0,K8-L8,"*")-O8,"*")</f>
        <v>0</v>
      </c>
      <c r="O8" s="1434"/>
    </row>
    <row r="9" spans="2:15" ht="21.95" customHeight="1" x14ac:dyDescent="0.2">
      <c r="C9" s="744"/>
      <c r="D9" s="744"/>
      <c r="E9" s="744"/>
      <c r="F9" s="745"/>
      <c r="G9" s="958"/>
      <c r="H9" s="742"/>
      <c r="I9" s="743"/>
      <c r="J9" s="742"/>
      <c r="K9" s="743">
        <f t="shared" ref="K9:K26" si="0">+I9</f>
        <v>0</v>
      </c>
      <c r="L9" s="743"/>
      <c r="M9" s="370">
        <f t="shared" ref="M9:M26" si="1">IFERROR(IF(+K9-L9&gt;=0,K9-L9,"*")-O9,"*")</f>
        <v>0</v>
      </c>
      <c r="O9" s="1434"/>
    </row>
    <row r="10" spans="2:15" ht="21.95" customHeight="1" x14ac:dyDescent="0.2">
      <c r="C10" s="744"/>
      <c r="D10" s="744"/>
      <c r="E10" s="744"/>
      <c r="F10" s="745"/>
      <c r="G10" s="958"/>
      <c r="H10" s="742"/>
      <c r="I10" s="743"/>
      <c r="J10" s="742"/>
      <c r="K10" s="743">
        <f t="shared" si="0"/>
        <v>0</v>
      </c>
      <c r="L10" s="743"/>
      <c r="M10" s="370">
        <f t="shared" si="1"/>
        <v>0</v>
      </c>
      <c r="O10" s="1434"/>
    </row>
    <row r="11" spans="2:15" ht="21.95" customHeight="1" x14ac:dyDescent="0.2">
      <c r="C11" s="744"/>
      <c r="D11" s="744"/>
      <c r="E11" s="744"/>
      <c r="F11" s="745"/>
      <c r="G11" s="958"/>
      <c r="H11" s="742"/>
      <c r="I11" s="743"/>
      <c r="J11" s="742"/>
      <c r="K11" s="743">
        <f t="shared" si="0"/>
        <v>0</v>
      </c>
      <c r="L11" s="743"/>
      <c r="M11" s="370">
        <f t="shared" si="1"/>
        <v>0</v>
      </c>
      <c r="O11" s="1434"/>
    </row>
    <row r="12" spans="2:15" ht="21.95" customHeight="1" x14ac:dyDescent="0.2">
      <c r="C12" s="744"/>
      <c r="D12" s="744"/>
      <c r="E12" s="744"/>
      <c r="F12" s="745"/>
      <c r="G12" s="958"/>
      <c r="H12" s="742"/>
      <c r="I12" s="743"/>
      <c r="J12" s="742"/>
      <c r="K12" s="743">
        <f t="shared" si="0"/>
        <v>0</v>
      </c>
      <c r="L12" s="743"/>
      <c r="M12" s="370">
        <f t="shared" si="1"/>
        <v>0</v>
      </c>
      <c r="O12" s="1434"/>
    </row>
    <row r="13" spans="2:15" ht="21.95" customHeight="1" x14ac:dyDescent="0.25">
      <c r="C13" s="882"/>
      <c r="D13" s="744"/>
      <c r="E13" s="744"/>
      <c r="F13" s="745"/>
      <c r="G13" s="958"/>
      <c r="H13" s="951"/>
      <c r="I13" s="952"/>
      <c r="J13" s="951"/>
      <c r="K13" s="743">
        <f t="shared" si="0"/>
        <v>0</v>
      </c>
      <c r="L13" s="952"/>
      <c r="M13" s="370">
        <f t="shared" si="1"/>
        <v>0</v>
      </c>
      <c r="O13" s="1434"/>
    </row>
    <row r="14" spans="2:15" ht="21.95" customHeight="1" x14ac:dyDescent="0.2">
      <c r="C14" s="744"/>
      <c r="D14" s="744"/>
      <c r="E14" s="744"/>
      <c r="F14" s="745"/>
      <c r="G14" s="958"/>
      <c r="H14" s="742"/>
      <c r="I14" s="743"/>
      <c r="J14" s="742"/>
      <c r="K14" s="743">
        <f t="shared" si="0"/>
        <v>0</v>
      </c>
      <c r="L14" s="743"/>
      <c r="M14" s="370">
        <f t="shared" si="1"/>
        <v>0</v>
      </c>
      <c r="O14" s="1434"/>
    </row>
    <row r="15" spans="2:15" ht="21.95" customHeight="1" x14ac:dyDescent="0.2">
      <c r="C15" s="744"/>
      <c r="D15" s="744"/>
      <c r="E15" s="744"/>
      <c r="F15" s="745"/>
      <c r="G15" s="958"/>
      <c r="H15" s="742"/>
      <c r="I15" s="743"/>
      <c r="J15" s="951"/>
      <c r="K15" s="743">
        <f t="shared" si="0"/>
        <v>0</v>
      </c>
      <c r="L15" s="743"/>
      <c r="M15" s="370">
        <f t="shared" si="1"/>
        <v>0</v>
      </c>
      <c r="O15" s="1434"/>
    </row>
    <row r="16" spans="2:15" ht="21.95" customHeight="1" x14ac:dyDescent="0.2">
      <c r="C16" s="744"/>
      <c r="D16" s="744"/>
      <c r="E16" s="744"/>
      <c r="F16" s="745"/>
      <c r="G16" s="958"/>
      <c r="H16" s="742"/>
      <c r="I16" s="743"/>
      <c r="J16" s="742"/>
      <c r="K16" s="743">
        <f t="shared" si="0"/>
        <v>0</v>
      </c>
      <c r="L16" s="743"/>
      <c r="M16" s="370">
        <f t="shared" si="1"/>
        <v>0</v>
      </c>
      <c r="O16" s="1434"/>
    </row>
    <row r="17" spans="2:15" ht="21.95" customHeight="1" x14ac:dyDescent="0.2">
      <c r="C17" s="744"/>
      <c r="D17" s="744"/>
      <c r="E17" s="744"/>
      <c r="F17" s="745"/>
      <c r="G17" s="958"/>
      <c r="H17" s="742"/>
      <c r="I17" s="743"/>
      <c r="J17" s="742"/>
      <c r="K17" s="743">
        <f t="shared" si="0"/>
        <v>0</v>
      </c>
      <c r="L17" s="743"/>
      <c r="M17" s="370">
        <f t="shared" si="1"/>
        <v>0</v>
      </c>
      <c r="O17" s="1434"/>
    </row>
    <row r="18" spans="2:15" ht="21.95" customHeight="1" x14ac:dyDescent="0.2">
      <c r="C18" s="744"/>
      <c r="D18" s="744"/>
      <c r="E18" s="744"/>
      <c r="F18" s="745"/>
      <c r="G18" s="958"/>
      <c r="H18" s="742"/>
      <c r="I18" s="743"/>
      <c r="J18" s="742"/>
      <c r="K18" s="743">
        <f t="shared" si="0"/>
        <v>0</v>
      </c>
      <c r="L18" s="743"/>
      <c r="M18" s="370">
        <f t="shared" si="1"/>
        <v>0</v>
      </c>
      <c r="O18" s="1434"/>
    </row>
    <row r="19" spans="2:15" ht="21.95" customHeight="1" x14ac:dyDescent="0.25">
      <c r="C19" s="882"/>
      <c r="D19" s="744"/>
      <c r="E19" s="744"/>
      <c r="F19" s="745"/>
      <c r="G19" s="958"/>
      <c r="H19" s="951"/>
      <c r="I19" s="952"/>
      <c r="J19" s="951"/>
      <c r="K19" s="743">
        <f t="shared" si="0"/>
        <v>0</v>
      </c>
      <c r="L19" s="952"/>
      <c r="M19" s="370">
        <f t="shared" si="1"/>
        <v>0</v>
      </c>
      <c r="O19" s="1434"/>
    </row>
    <row r="20" spans="2:15" ht="21.95" customHeight="1" x14ac:dyDescent="0.2">
      <c r="C20" s="744"/>
      <c r="D20" s="744"/>
      <c r="E20" s="744"/>
      <c r="F20" s="745"/>
      <c r="G20" s="958"/>
      <c r="H20" s="742"/>
      <c r="I20" s="743"/>
      <c r="J20" s="742"/>
      <c r="K20" s="743">
        <f t="shared" si="0"/>
        <v>0</v>
      </c>
      <c r="L20" s="743"/>
      <c r="M20" s="370">
        <f t="shared" si="1"/>
        <v>0</v>
      </c>
      <c r="O20" s="1434"/>
    </row>
    <row r="21" spans="2:15" ht="21.95" customHeight="1" x14ac:dyDescent="0.2">
      <c r="C21" s="744"/>
      <c r="D21" s="744"/>
      <c r="E21" s="876"/>
      <c r="F21" s="745"/>
      <c r="G21" s="958"/>
      <c r="H21" s="742"/>
      <c r="I21" s="743"/>
      <c r="J21" s="742"/>
      <c r="K21" s="743">
        <f t="shared" si="0"/>
        <v>0</v>
      </c>
      <c r="L21" s="743"/>
      <c r="M21" s="370">
        <f t="shared" si="1"/>
        <v>0</v>
      </c>
      <c r="O21" s="1434"/>
    </row>
    <row r="22" spans="2:15" ht="21.95" customHeight="1" x14ac:dyDescent="0.2">
      <c r="C22" s="744"/>
      <c r="D22" s="744"/>
      <c r="E22" s="744"/>
      <c r="F22" s="745"/>
      <c r="G22" s="958"/>
      <c r="H22" s="742"/>
      <c r="I22" s="743"/>
      <c r="J22" s="742"/>
      <c r="K22" s="743">
        <f t="shared" si="0"/>
        <v>0</v>
      </c>
      <c r="L22" s="743"/>
      <c r="M22" s="370">
        <f t="shared" si="1"/>
        <v>0</v>
      </c>
      <c r="O22" s="1434"/>
    </row>
    <row r="23" spans="2:15" ht="21.95" customHeight="1" x14ac:dyDescent="0.2">
      <c r="C23" s="744"/>
      <c r="D23" s="744"/>
      <c r="E23" s="744"/>
      <c r="F23" s="745"/>
      <c r="G23" s="958"/>
      <c r="H23" s="742"/>
      <c r="I23" s="743"/>
      <c r="J23" s="742"/>
      <c r="K23" s="743">
        <f t="shared" si="0"/>
        <v>0</v>
      </c>
      <c r="L23" s="743"/>
      <c r="M23" s="370">
        <f t="shared" si="1"/>
        <v>0</v>
      </c>
      <c r="O23" s="1434"/>
    </row>
    <row r="24" spans="2:15" ht="21.95" customHeight="1" x14ac:dyDescent="0.2">
      <c r="C24" s="748"/>
      <c r="D24" s="748"/>
      <c r="E24" s="748"/>
      <c r="F24" s="904"/>
      <c r="G24" s="959"/>
      <c r="H24" s="905"/>
      <c r="I24" s="865"/>
      <c r="J24" s="905"/>
      <c r="K24" s="743">
        <f t="shared" si="0"/>
        <v>0</v>
      </c>
      <c r="L24" s="865"/>
      <c r="M24" s="370">
        <f t="shared" si="1"/>
        <v>0</v>
      </c>
      <c r="O24" s="1434"/>
    </row>
    <row r="25" spans="2:15" ht="21.95" customHeight="1" x14ac:dyDescent="0.2">
      <c r="C25" s="748"/>
      <c r="D25" s="748"/>
      <c r="E25" s="748"/>
      <c r="F25" s="904"/>
      <c r="G25" s="959"/>
      <c r="H25" s="905"/>
      <c r="I25" s="865"/>
      <c r="J25" s="905"/>
      <c r="K25" s="743">
        <f t="shared" si="0"/>
        <v>0</v>
      </c>
      <c r="L25" s="865"/>
      <c r="M25" s="370">
        <f t="shared" si="1"/>
        <v>0</v>
      </c>
      <c r="O25" s="1434"/>
    </row>
    <row r="26" spans="2:15" ht="21.95" customHeight="1" thickBot="1" x14ac:dyDescent="0.25">
      <c r="B26" s="2"/>
      <c r="C26" s="893"/>
      <c r="D26" s="893"/>
      <c r="E26" s="893"/>
      <c r="F26" s="894"/>
      <c r="G26" s="960"/>
      <c r="H26" s="897"/>
      <c r="I26" s="898"/>
      <c r="J26" s="897"/>
      <c r="K26" s="898">
        <f t="shared" si="0"/>
        <v>0</v>
      </c>
      <c r="L26" s="898"/>
      <c r="M26" s="525">
        <f t="shared" si="1"/>
        <v>0</v>
      </c>
      <c r="O26" s="1434"/>
    </row>
    <row r="27" spans="2:15" ht="16.5" thickTop="1" x14ac:dyDescent="0.25">
      <c r="B27" s="1617" t="s">
        <v>3286</v>
      </c>
      <c r="C27" s="1617"/>
      <c r="D27" s="1617"/>
      <c r="E27" s="1617"/>
      <c r="F27" s="1617"/>
      <c r="G27" s="1617"/>
      <c r="H27" s="1617"/>
      <c r="I27" s="1617"/>
      <c r="J27" s="1617"/>
      <c r="K27" s="1617"/>
      <c r="L27" s="1617"/>
      <c r="M27" s="1617"/>
    </row>
    <row r="30" spans="2:15" x14ac:dyDescent="0.2">
      <c r="H30" s="29"/>
    </row>
  </sheetData>
  <sheetProtection algorithmName="SHA-512" hashValue="vkIRAwx0HAGmgUss3AX2FIUgJsul3FMYiJqFETFQU1lp/3xCUytBG/l9pjEwznhNv5gKiUiLyzSwRCuPuool7g==" saltValue="AQAeTvFBaorQi1QJquX/7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8A00-000000000000}">
          <x14:formula1>
            <xm:f>'Other Codes'!$I$2:$I$6</xm:f>
          </x14:formula1>
          <xm:sqref>G8:G26</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dimension ref="C2:T45"/>
  <sheetViews>
    <sheetView zoomScaleNormal="100" workbookViewId="0">
      <selection activeCell="H25" sqref="H25"/>
    </sheetView>
  </sheetViews>
  <sheetFormatPr defaultRowHeight="12.75" x14ac:dyDescent="0.2"/>
  <cols>
    <col min="1" max="1" width="2.7109375" customWidth="1"/>
    <col min="2" max="2" width="1.7109375" customWidth="1"/>
    <col min="3" max="3" width="2.7109375" customWidth="1"/>
    <col min="4" max="4" width="22.7109375" customWidth="1"/>
    <col min="5" max="5" width="14.7109375" customWidth="1"/>
    <col min="6" max="6" width="8.7109375" customWidth="1"/>
    <col min="7" max="7" width="1.7109375" customWidth="1"/>
    <col min="8" max="8" width="14.7109375" customWidth="1"/>
    <col min="9" max="9" width="8.7109375" customWidth="1"/>
    <col min="10" max="10" width="1.7109375" customWidth="1"/>
    <col min="11" max="11" width="7.7109375" customWidth="1"/>
    <col min="12" max="12" width="8.7109375" customWidth="1"/>
    <col min="13" max="13" width="0.28515625" customWidth="1"/>
    <col min="14" max="14" width="12.42578125" bestFit="1" customWidth="1"/>
    <col min="15" max="15" width="10.7109375" customWidth="1"/>
    <col min="16" max="16" width="11.140625" bestFit="1" customWidth="1"/>
    <col min="17" max="17" width="10.7109375" customWidth="1"/>
    <col min="18" max="18" width="10.28515625" bestFit="1" customWidth="1"/>
    <col min="19" max="20" width="10.7109375" customWidth="1"/>
  </cols>
  <sheetData>
    <row r="2" spans="3:20" ht="13.5" thickBot="1" x14ac:dyDescent="0.25"/>
    <row r="3" spans="3:20" ht="13.5" thickTop="1" x14ac:dyDescent="0.2">
      <c r="C3" s="221"/>
      <c r="D3" s="222"/>
      <c r="E3" s="222"/>
      <c r="F3" s="222"/>
      <c r="G3" s="222"/>
      <c r="H3" s="222"/>
      <c r="I3" s="222"/>
      <c r="J3" s="222"/>
      <c r="K3" s="222"/>
      <c r="L3" s="222"/>
      <c r="M3" s="222"/>
      <c r="N3" s="222"/>
      <c r="O3" s="222"/>
      <c r="P3" s="222"/>
      <c r="Q3" s="222"/>
      <c r="R3" s="222"/>
      <c r="S3" s="222"/>
      <c r="T3" s="6"/>
    </row>
    <row r="4" spans="3:20" ht="26.25" x14ac:dyDescent="0.4">
      <c r="C4" s="1599" t="str">
        <f>+'Key Inputs'!E5</f>
        <v>TOWNSHIP OF GREENWICH</v>
      </c>
      <c r="D4" s="1600"/>
      <c r="E4" s="1600"/>
      <c r="F4" s="1600"/>
      <c r="G4" s="1600"/>
      <c r="H4" s="1600"/>
      <c r="I4" s="1600"/>
      <c r="J4" s="1600"/>
      <c r="K4" s="1600"/>
      <c r="L4" s="1600"/>
      <c r="M4" s="1600"/>
      <c r="N4" s="1600"/>
      <c r="O4" s="1600"/>
      <c r="P4" s="1600"/>
      <c r="Q4" s="1600"/>
      <c r="R4" s="1600"/>
      <c r="S4" s="1600"/>
      <c r="T4" s="1601"/>
    </row>
    <row r="5" spans="3:20" x14ac:dyDescent="0.2">
      <c r="C5" s="184"/>
      <c r="D5" s="63"/>
      <c r="E5" s="63"/>
      <c r="F5" s="63"/>
      <c r="G5" s="63"/>
      <c r="H5" s="63"/>
      <c r="I5" s="63"/>
      <c r="J5" s="63"/>
      <c r="K5" s="63"/>
      <c r="L5" s="63"/>
      <c r="M5" s="63"/>
      <c r="N5" s="63"/>
      <c r="O5" s="63"/>
      <c r="P5" s="63"/>
      <c r="Q5" s="63"/>
      <c r="R5" s="63"/>
      <c r="S5" s="63"/>
      <c r="T5" s="7"/>
    </row>
    <row r="6" spans="3:20" x14ac:dyDescent="0.2">
      <c r="C6" s="184"/>
      <c r="D6" s="63"/>
      <c r="E6" s="63"/>
      <c r="F6" s="63"/>
      <c r="G6" s="63"/>
      <c r="H6" s="63"/>
      <c r="I6" s="63"/>
      <c r="J6" s="63"/>
      <c r="K6" s="63"/>
      <c r="L6" s="63"/>
      <c r="M6" s="63"/>
      <c r="N6" s="63"/>
      <c r="O6" s="63"/>
      <c r="P6" s="63"/>
      <c r="Q6" s="63"/>
      <c r="R6" s="63"/>
      <c r="S6" s="63"/>
      <c r="T6" s="7"/>
    </row>
    <row r="7" spans="3:20" ht="13.5" thickBot="1" x14ac:dyDescent="0.25">
      <c r="C7" s="184"/>
      <c r="D7" s="63"/>
      <c r="E7" s="63"/>
      <c r="F7" s="63"/>
      <c r="G7" s="63"/>
      <c r="H7" s="63"/>
      <c r="I7" s="63"/>
      <c r="J7" s="63"/>
      <c r="K7" s="63"/>
      <c r="L7" s="63"/>
      <c r="M7" s="63"/>
      <c r="N7" s="63"/>
      <c r="O7" s="63"/>
      <c r="P7" s="63"/>
      <c r="Q7" s="63"/>
      <c r="R7" s="63"/>
      <c r="S7" s="63"/>
      <c r="T7" s="7"/>
    </row>
    <row r="8" spans="3:20" ht="21" thickTop="1" x14ac:dyDescent="0.3">
      <c r="C8" s="1602" t="s">
        <v>476</v>
      </c>
      <c r="D8" s="1603"/>
      <c r="E8" s="1603"/>
      <c r="F8" s="1603"/>
      <c r="G8" s="1603"/>
      <c r="H8" s="1603"/>
      <c r="I8" s="1603"/>
      <c r="J8" s="1603"/>
      <c r="K8" s="1603"/>
      <c r="L8" s="1603"/>
      <c r="M8" s="755"/>
      <c r="N8" s="1604" t="s">
        <v>503</v>
      </c>
      <c r="O8" s="1604"/>
      <c r="P8" s="1604"/>
      <c r="Q8" s="1604"/>
      <c r="R8" s="1604"/>
      <c r="S8" s="1604"/>
      <c r="T8" s="1605"/>
    </row>
    <row r="9" spans="3:20" x14ac:dyDescent="0.2">
      <c r="C9" s="184"/>
      <c r="D9" s="63"/>
      <c r="E9" s="63"/>
      <c r="F9" s="63"/>
      <c r="G9" s="63"/>
      <c r="H9" s="63"/>
      <c r="I9" s="63"/>
      <c r="J9" s="63"/>
      <c r="K9" s="63"/>
      <c r="L9" s="63"/>
      <c r="M9" s="754"/>
      <c r="N9" s="63"/>
      <c r="O9" s="63"/>
      <c r="P9" s="63"/>
      <c r="Q9" s="63"/>
      <c r="R9" s="63"/>
      <c r="S9" s="63"/>
      <c r="T9" s="7"/>
    </row>
    <row r="10" spans="3:20" x14ac:dyDescent="0.2">
      <c r="C10" s="184"/>
      <c r="D10" s="63"/>
      <c r="E10" s="1535" t="s">
        <v>477</v>
      </c>
      <c r="F10" s="1535"/>
      <c r="G10" s="227"/>
      <c r="H10" s="1535" t="s">
        <v>498</v>
      </c>
      <c r="I10" s="1535"/>
      <c r="J10" s="63"/>
      <c r="K10" s="63"/>
      <c r="L10" s="63"/>
      <c r="M10" s="754"/>
      <c r="N10" s="63"/>
      <c r="O10" s="1535" t="s">
        <v>477</v>
      </c>
      <c r="P10" s="1606"/>
      <c r="Q10" s="1535" t="s">
        <v>498</v>
      </c>
      <c r="R10" s="1535"/>
      <c r="S10" s="63"/>
      <c r="T10" s="7"/>
    </row>
    <row r="11" spans="3:20" x14ac:dyDescent="0.2">
      <c r="C11" s="184"/>
      <c r="D11" s="63"/>
      <c r="E11" s="1608" t="str">
        <f>'Key Inputs'!E34</f>
        <v>2021</v>
      </c>
      <c r="F11" s="1607"/>
      <c r="G11" s="227"/>
      <c r="H11" s="1607">
        <f>+E11-1</f>
        <v>2020</v>
      </c>
      <c r="I11" s="1607"/>
      <c r="J11" s="63"/>
      <c r="K11" s="63"/>
      <c r="L11" s="63"/>
      <c r="M11" s="754"/>
      <c r="N11" s="63"/>
      <c r="O11" s="1607" t="str">
        <f>+E11</f>
        <v>2021</v>
      </c>
      <c r="P11" s="1609"/>
      <c r="Q11" s="1607">
        <f>+O11-1</f>
        <v>2020</v>
      </c>
      <c r="R11" s="1607"/>
      <c r="S11" s="485" t="s">
        <v>501</v>
      </c>
      <c r="T11" s="488" t="s">
        <v>333</v>
      </c>
    </row>
    <row r="12" spans="3:20" x14ac:dyDescent="0.2">
      <c r="C12" s="184"/>
      <c r="D12" s="63"/>
      <c r="E12" s="63"/>
      <c r="F12" s="63"/>
      <c r="G12" s="63"/>
      <c r="H12" s="63"/>
      <c r="I12" s="63"/>
      <c r="J12" s="63"/>
      <c r="K12" s="63"/>
      <c r="L12" s="63"/>
      <c r="M12" s="754"/>
      <c r="N12" s="485" t="s">
        <v>499</v>
      </c>
      <c r="O12" s="485" t="s">
        <v>501</v>
      </c>
      <c r="P12" s="757" t="s">
        <v>333</v>
      </c>
      <c r="Q12" s="485" t="s">
        <v>501</v>
      </c>
      <c r="R12" s="485" t="s">
        <v>333</v>
      </c>
      <c r="S12" s="485" t="s">
        <v>502</v>
      </c>
      <c r="T12" s="488" t="s">
        <v>502</v>
      </c>
    </row>
    <row r="13" spans="3:20" ht="13.5" thickBot="1" x14ac:dyDescent="0.25">
      <c r="C13" s="184"/>
      <c r="D13" s="63"/>
      <c r="E13" s="216" t="s">
        <v>482</v>
      </c>
      <c r="F13" s="216" t="s">
        <v>483</v>
      </c>
      <c r="G13" s="63"/>
      <c r="H13" s="216" t="s">
        <v>482</v>
      </c>
      <c r="I13" s="216" t="s">
        <v>483</v>
      </c>
      <c r="J13" s="63"/>
      <c r="K13" s="216" t="s">
        <v>497</v>
      </c>
      <c r="L13" s="216" t="s">
        <v>331</v>
      </c>
      <c r="M13" s="754"/>
      <c r="N13" s="486" t="s">
        <v>500</v>
      </c>
      <c r="O13" s="486" t="s">
        <v>502</v>
      </c>
      <c r="P13" s="758" t="s">
        <v>502</v>
      </c>
      <c r="Q13" s="486" t="s">
        <v>502</v>
      </c>
      <c r="R13" s="486" t="s">
        <v>502</v>
      </c>
      <c r="S13" s="486" t="s">
        <v>497</v>
      </c>
      <c r="T13" s="489" t="s">
        <v>497</v>
      </c>
    </row>
    <row r="14" spans="3:20" x14ac:dyDescent="0.2">
      <c r="C14" s="223" t="s">
        <v>489</v>
      </c>
      <c r="D14" s="227"/>
      <c r="E14" s="197"/>
      <c r="F14" s="197"/>
      <c r="G14" s="63"/>
      <c r="H14" s="197"/>
      <c r="I14" s="197"/>
      <c r="J14" s="63"/>
      <c r="K14" s="63"/>
      <c r="L14" s="63"/>
      <c r="M14" s="754"/>
      <c r="N14" s="487"/>
      <c r="O14" s="487"/>
      <c r="P14" s="759"/>
      <c r="Q14" s="487"/>
      <c r="R14" s="487"/>
      <c r="S14" s="487"/>
      <c r="T14" s="490"/>
    </row>
    <row r="15" spans="3:20" x14ac:dyDescent="0.2">
      <c r="C15" s="184"/>
      <c r="D15" s="63" t="s">
        <v>484</v>
      </c>
      <c r="E15" s="806">
        <v>960788.85</v>
      </c>
      <c r="F15" s="224">
        <f>+E15/($E$39/100)</f>
        <v>1.2676307509731994</v>
      </c>
      <c r="G15" s="63"/>
      <c r="H15" s="806">
        <v>915037.42</v>
      </c>
      <c r="I15" s="808">
        <v>1.2090000000000001</v>
      </c>
      <c r="J15" s="63"/>
      <c r="K15" s="224">
        <f>+F15-I15</f>
        <v>5.8630750973199364E-2</v>
      </c>
      <c r="L15" s="225">
        <f>+K15/I15</f>
        <v>4.849524480827077E-2</v>
      </c>
      <c r="M15" s="754"/>
      <c r="N15" s="1285">
        <v>100000</v>
      </c>
      <c r="O15" s="491">
        <f>+N15*($F$36/100)</f>
        <v>3746.137743213817</v>
      </c>
      <c r="P15" s="760">
        <f>+N15*($F$32/100)</f>
        <v>441.00109946376557</v>
      </c>
      <c r="Q15" s="761">
        <f>+N15*($I$36/100)</f>
        <v>3588</v>
      </c>
      <c r="R15" s="761">
        <f>+N15*($I$32/100)</f>
        <v>436</v>
      </c>
      <c r="S15" s="761">
        <f>+O15-Q15</f>
        <v>158.13774321381698</v>
      </c>
      <c r="T15" s="762">
        <f>+P15-R15</f>
        <v>5.0010994637655699</v>
      </c>
    </row>
    <row r="16" spans="3:20" x14ac:dyDescent="0.2">
      <c r="C16" s="184"/>
      <c r="D16" s="63" t="s">
        <v>485</v>
      </c>
      <c r="E16" s="806"/>
      <c r="F16" s="224">
        <f>+E16/($E$39/100)</f>
        <v>0</v>
      </c>
      <c r="G16" s="63"/>
      <c r="H16" s="806"/>
      <c r="I16" s="808"/>
      <c r="J16" s="63"/>
      <c r="K16" s="224">
        <f>+F16-I16</f>
        <v>0</v>
      </c>
      <c r="L16" s="225" t="e">
        <f>+K16/I16</f>
        <v>#DIV/0!</v>
      </c>
      <c r="M16" s="754"/>
      <c r="N16" s="1285">
        <v>125000</v>
      </c>
      <c r="O16" s="491">
        <f t="shared" ref="O16:O36" si="0">+N16*($F$36/100)</f>
        <v>4682.6721790172714</v>
      </c>
      <c r="P16" s="760">
        <f t="shared" ref="P16:P36" si="1">+N16*($F$32/100)</f>
        <v>551.25137432970701</v>
      </c>
      <c r="Q16" s="761">
        <f t="shared" ref="Q16:Q36" si="2">+N16*($I$36/100)</f>
        <v>4485</v>
      </c>
      <c r="R16" s="761">
        <f t="shared" ref="R16:R36" si="3">+N16*($I$32/100)</f>
        <v>545</v>
      </c>
      <c r="S16" s="761">
        <f t="shared" ref="S16:S36" si="4">+O16-Q16</f>
        <v>197.67217901727145</v>
      </c>
      <c r="T16" s="762">
        <f t="shared" ref="T16:T36" si="5">+P16-R16</f>
        <v>6.251374329707005</v>
      </c>
    </row>
    <row r="17" spans="3:20" x14ac:dyDescent="0.2">
      <c r="C17" s="184"/>
      <c r="D17" s="63" t="s">
        <v>486</v>
      </c>
      <c r="E17" s="806"/>
      <c r="F17" s="224">
        <f>+E17/($E$39/100)</f>
        <v>0</v>
      </c>
      <c r="G17" s="63"/>
      <c r="H17" s="806"/>
      <c r="I17" s="808"/>
      <c r="J17" s="63"/>
      <c r="K17" s="224">
        <f>+F17-I17</f>
        <v>0</v>
      </c>
      <c r="L17" s="225" t="e">
        <f>+K17/I17</f>
        <v>#DIV/0!</v>
      </c>
      <c r="M17" s="754"/>
      <c r="N17" s="1285">
        <v>150000</v>
      </c>
      <c r="O17" s="491">
        <f t="shared" si="0"/>
        <v>5619.206614820725</v>
      </c>
      <c r="P17" s="760">
        <f t="shared" si="1"/>
        <v>661.50164919564838</v>
      </c>
      <c r="Q17" s="761">
        <f t="shared" si="2"/>
        <v>5382</v>
      </c>
      <c r="R17" s="761">
        <f t="shared" si="3"/>
        <v>654</v>
      </c>
      <c r="S17" s="761">
        <f t="shared" si="4"/>
        <v>237.20661482072501</v>
      </c>
      <c r="T17" s="762">
        <f t="shared" si="5"/>
        <v>7.5016491956483833</v>
      </c>
    </row>
    <row r="18" spans="3:20" x14ac:dyDescent="0.2">
      <c r="C18" s="184"/>
      <c r="D18" s="63" t="s">
        <v>487</v>
      </c>
      <c r="E18" s="807"/>
      <c r="F18" s="219">
        <f>+E18/($E$39/100)</f>
        <v>0</v>
      </c>
      <c r="G18" s="63"/>
      <c r="H18" s="807"/>
      <c r="I18" s="809"/>
      <c r="J18" s="63"/>
      <c r="K18" s="219">
        <f>+F18-I18</f>
        <v>0</v>
      </c>
      <c r="L18" s="233" t="e">
        <f>+K18/I18</f>
        <v>#DIV/0!</v>
      </c>
      <c r="M18" s="754"/>
      <c r="N18" s="1285">
        <v>175000</v>
      </c>
      <c r="O18" s="491">
        <f t="shared" si="0"/>
        <v>6555.7410506241795</v>
      </c>
      <c r="P18" s="760">
        <f t="shared" si="1"/>
        <v>771.75192406158976</v>
      </c>
      <c r="Q18" s="761">
        <f t="shared" si="2"/>
        <v>6279</v>
      </c>
      <c r="R18" s="761">
        <f t="shared" si="3"/>
        <v>763</v>
      </c>
      <c r="S18" s="761">
        <f t="shared" si="4"/>
        <v>276.74105062417948</v>
      </c>
      <c r="T18" s="762">
        <f t="shared" si="5"/>
        <v>8.7519240615897615</v>
      </c>
    </row>
    <row r="19" spans="3:20" x14ac:dyDescent="0.2">
      <c r="C19" s="184"/>
      <c r="D19" s="63" t="s">
        <v>488</v>
      </c>
      <c r="E19" s="183">
        <f>SUM(E15:E18)</f>
        <v>960788.85</v>
      </c>
      <c r="F19" s="226">
        <f>SUM(F15:F18)</f>
        <v>1.2676307509731994</v>
      </c>
      <c r="G19" s="63"/>
      <c r="H19" s="183">
        <f>SUM(H15:H18)</f>
        <v>915037.42</v>
      </c>
      <c r="I19" s="226">
        <f>SUM(I15:I18)</f>
        <v>1.2090000000000001</v>
      </c>
      <c r="J19" s="63"/>
      <c r="K19" s="224">
        <f>+F19-I19</f>
        <v>5.8630750973199364E-2</v>
      </c>
      <c r="L19" s="225">
        <f>+K19/I19</f>
        <v>4.849524480827077E-2</v>
      </c>
      <c r="M19" s="754"/>
      <c r="N19" s="1285">
        <v>200000</v>
      </c>
      <c r="O19" s="491">
        <f t="shared" si="0"/>
        <v>7492.275486427634</v>
      </c>
      <c r="P19" s="760">
        <f t="shared" si="1"/>
        <v>882.00219892753114</v>
      </c>
      <c r="Q19" s="761">
        <f t="shared" si="2"/>
        <v>7176</v>
      </c>
      <c r="R19" s="761">
        <f t="shared" si="3"/>
        <v>872</v>
      </c>
      <c r="S19" s="761">
        <f t="shared" si="4"/>
        <v>316.27548642763395</v>
      </c>
      <c r="T19" s="762">
        <f t="shared" si="5"/>
        <v>10.00219892753114</v>
      </c>
    </row>
    <row r="20" spans="3:20" x14ac:dyDescent="0.2">
      <c r="C20" s="184"/>
      <c r="D20" s="63"/>
      <c r="E20" s="183"/>
      <c r="F20" s="224"/>
      <c r="G20" s="63"/>
      <c r="H20" s="183"/>
      <c r="I20" s="224"/>
      <c r="J20" s="63"/>
      <c r="K20" s="224"/>
      <c r="L20" s="225"/>
      <c r="M20" s="754"/>
      <c r="N20" s="1285">
        <v>225000</v>
      </c>
      <c r="O20" s="491">
        <f t="shared" si="0"/>
        <v>8428.8099222310884</v>
      </c>
      <c r="P20" s="760">
        <f t="shared" si="1"/>
        <v>992.25247379347263</v>
      </c>
      <c r="Q20" s="761">
        <f t="shared" si="2"/>
        <v>8073.0000000000009</v>
      </c>
      <c r="R20" s="761">
        <f t="shared" si="3"/>
        <v>981</v>
      </c>
      <c r="S20" s="761">
        <f t="shared" si="4"/>
        <v>355.80992223108751</v>
      </c>
      <c r="T20" s="762">
        <f t="shared" si="5"/>
        <v>11.252473793472632</v>
      </c>
    </row>
    <row r="21" spans="3:20" x14ac:dyDescent="0.2">
      <c r="C21" s="223" t="s">
        <v>490</v>
      </c>
      <c r="D21" s="227"/>
      <c r="E21" s="183"/>
      <c r="F21" s="224"/>
      <c r="G21" s="63"/>
      <c r="H21" s="183"/>
      <c r="I21" s="224"/>
      <c r="J21" s="63"/>
      <c r="K21" s="224"/>
      <c r="L21" s="225"/>
      <c r="M21" s="754"/>
      <c r="N21" s="1285">
        <v>250000</v>
      </c>
      <c r="O21" s="491">
        <f t="shared" si="0"/>
        <v>9365.3443580345429</v>
      </c>
      <c r="P21" s="760">
        <f t="shared" si="1"/>
        <v>1102.502748659414</v>
      </c>
      <c r="Q21" s="761">
        <f t="shared" si="2"/>
        <v>8970</v>
      </c>
      <c r="R21" s="761">
        <f t="shared" si="3"/>
        <v>1090</v>
      </c>
      <c r="S21" s="761">
        <f t="shared" si="4"/>
        <v>395.34435803454289</v>
      </c>
      <c r="T21" s="762">
        <f t="shared" si="5"/>
        <v>12.50274865941401</v>
      </c>
    </row>
    <row r="22" spans="3:20" x14ac:dyDescent="0.2">
      <c r="C22" s="184"/>
      <c r="D22" s="63" t="s">
        <v>491</v>
      </c>
      <c r="E22" s="806">
        <f>+'Reserve &amp; Tax Calculation'!F10</f>
        <v>1062888.75</v>
      </c>
      <c r="F22" s="224">
        <f>+E22/($E$39/100)</f>
        <v>1.4023377398306249</v>
      </c>
      <c r="G22" s="63"/>
      <c r="H22" s="806">
        <v>1012275</v>
      </c>
      <c r="I22" s="808">
        <v>1.337</v>
      </c>
      <c r="J22" s="63"/>
      <c r="K22" s="224">
        <f>+F22-I22</f>
        <v>6.5337739830624963E-2</v>
      </c>
      <c r="L22" s="225">
        <f>+K22/I22</f>
        <v>4.8868915355740436E-2</v>
      </c>
      <c r="M22" s="754"/>
      <c r="N22" s="1285">
        <v>275000</v>
      </c>
      <c r="O22" s="491">
        <f t="shared" si="0"/>
        <v>10301.878793837997</v>
      </c>
      <c r="P22" s="760">
        <f t="shared" si="1"/>
        <v>1212.7530235253553</v>
      </c>
      <c r="Q22" s="761">
        <f t="shared" si="2"/>
        <v>9867</v>
      </c>
      <c r="R22" s="761">
        <f t="shared" si="3"/>
        <v>1199</v>
      </c>
      <c r="S22" s="761">
        <f t="shared" si="4"/>
        <v>434.87879383799736</v>
      </c>
      <c r="T22" s="762">
        <f t="shared" si="5"/>
        <v>13.753023525355275</v>
      </c>
    </row>
    <row r="23" spans="3:20" x14ac:dyDescent="0.2">
      <c r="C23" s="184"/>
      <c r="D23" s="63" t="s">
        <v>492</v>
      </c>
      <c r="E23" s="1178">
        <f>+'Reserve &amp; Tax Calculation'!F12</f>
        <v>0</v>
      </c>
      <c r="F23" s="224">
        <f>+E23/($E$39/100)</f>
        <v>0</v>
      </c>
      <c r="G23" s="63"/>
      <c r="H23" s="1178">
        <f>+'Reserve &amp; Tax Calculation'!G11</f>
        <v>0</v>
      </c>
      <c r="I23" s="808"/>
      <c r="J23" s="63"/>
      <c r="K23" s="224">
        <f>+F23-I23</f>
        <v>0</v>
      </c>
      <c r="L23" s="225" t="e">
        <f>+K23/I23</f>
        <v>#DIV/0!</v>
      </c>
      <c r="M23" s="754"/>
      <c r="N23" s="1285">
        <v>300000</v>
      </c>
      <c r="O23" s="491">
        <f t="shared" si="0"/>
        <v>11238.41322964145</v>
      </c>
      <c r="P23" s="760">
        <f t="shared" si="1"/>
        <v>1323.0032983912968</v>
      </c>
      <c r="Q23" s="761">
        <f t="shared" si="2"/>
        <v>10764</v>
      </c>
      <c r="R23" s="761">
        <f t="shared" si="3"/>
        <v>1308</v>
      </c>
      <c r="S23" s="761">
        <f t="shared" si="4"/>
        <v>474.41322964145002</v>
      </c>
      <c r="T23" s="762">
        <f t="shared" si="5"/>
        <v>15.003298391296767</v>
      </c>
    </row>
    <row r="24" spans="3:20" x14ac:dyDescent="0.2">
      <c r="C24" s="184"/>
      <c r="D24" s="63" t="s">
        <v>493</v>
      </c>
      <c r="E24" s="806">
        <f>+'Reserve &amp; Tax Calculation'!F14</f>
        <v>481419.75</v>
      </c>
      <c r="F24" s="224">
        <f>+E24/($E$39/100)</f>
        <v>0.63516815294622742</v>
      </c>
      <c r="G24" s="63"/>
      <c r="H24" s="806">
        <v>458495</v>
      </c>
      <c r="I24" s="808">
        <v>0.60599999999999998</v>
      </c>
      <c r="J24" s="63"/>
      <c r="K24" s="224">
        <f>+F24-I24</f>
        <v>2.9168152946227432E-2</v>
      </c>
      <c r="L24" s="225">
        <f>+K24/I24</f>
        <v>4.8132265587834046E-2</v>
      </c>
      <c r="M24" s="754"/>
      <c r="N24" s="1285">
        <v>325000</v>
      </c>
      <c r="O24" s="491">
        <f t="shared" si="0"/>
        <v>12174.947665444904</v>
      </c>
      <c r="P24" s="760">
        <f t="shared" si="1"/>
        <v>1433.2535732572383</v>
      </c>
      <c r="Q24" s="761">
        <f t="shared" si="2"/>
        <v>11661</v>
      </c>
      <c r="R24" s="761">
        <f t="shared" si="3"/>
        <v>1417</v>
      </c>
      <c r="S24" s="761">
        <f t="shared" si="4"/>
        <v>513.94766544490449</v>
      </c>
      <c r="T24" s="762">
        <f t="shared" si="5"/>
        <v>16.253573257238259</v>
      </c>
    </row>
    <row r="25" spans="3:20" x14ac:dyDescent="0.2">
      <c r="C25" s="184"/>
      <c r="D25" s="510"/>
      <c r="E25" s="752"/>
      <c r="F25" s="224"/>
      <c r="G25" s="510"/>
      <c r="H25" s="752"/>
      <c r="I25" s="753"/>
      <c r="J25" s="63"/>
      <c r="K25" s="224"/>
      <c r="L25" s="225"/>
      <c r="M25" s="754"/>
      <c r="N25" s="1285">
        <v>350000</v>
      </c>
      <c r="O25" s="491">
        <f t="shared" si="0"/>
        <v>13111.482101248359</v>
      </c>
      <c r="P25" s="760">
        <f t="shared" si="1"/>
        <v>1543.5038481231795</v>
      </c>
      <c r="Q25" s="761">
        <f t="shared" si="2"/>
        <v>12558</v>
      </c>
      <c r="R25" s="761">
        <f t="shared" si="3"/>
        <v>1526</v>
      </c>
      <c r="S25" s="761">
        <f t="shared" si="4"/>
        <v>553.48210124835896</v>
      </c>
      <c r="T25" s="762">
        <f t="shared" si="5"/>
        <v>17.503848123179523</v>
      </c>
    </row>
    <row r="26" spans="3:20" x14ac:dyDescent="0.2">
      <c r="C26" s="184"/>
      <c r="D26" s="63" t="s">
        <v>494</v>
      </c>
      <c r="E26" s="1174"/>
      <c r="F26" s="1176"/>
      <c r="G26" s="510"/>
      <c r="H26" s="1174"/>
      <c r="I26" s="1175"/>
      <c r="J26" s="63"/>
      <c r="K26" s="224"/>
      <c r="L26" s="225"/>
      <c r="M26" s="754"/>
      <c r="N26" s="1285">
        <v>375000</v>
      </c>
      <c r="O26" s="779">
        <f>+N26*($F$36/100)</f>
        <v>14048.016537051813</v>
      </c>
      <c r="P26" s="760">
        <f t="shared" si="1"/>
        <v>1653.754122989121</v>
      </c>
      <c r="Q26" s="761">
        <f t="shared" si="2"/>
        <v>13455</v>
      </c>
      <c r="R26" s="761">
        <f t="shared" si="3"/>
        <v>1635</v>
      </c>
      <c r="S26" s="761">
        <f t="shared" si="4"/>
        <v>593.01653705181343</v>
      </c>
      <c r="T26" s="762">
        <f t="shared" si="5"/>
        <v>18.754122989121015</v>
      </c>
    </row>
    <row r="27" spans="3:20" x14ac:dyDescent="0.2">
      <c r="C27" s="184"/>
      <c r="D27" s="63" t="s">
        <v>495</v>
      </c>
      <c r="E27" s="1173">
        <f>+'11'!I23</f>
        <v>0</v>
      </c>
      <c r="F27" s="224">
        <f>+E27/($E$39/100)</f>
        <v>0</v>
      </c>
      <c r="G27" s="63"/>
      <c r="H27" s="1173">
        <f>+'11'!J23</f>
        <v>0</v>
      </c>
      <c r="I27" s="808"/>
      <c r="J27" s="63"/>
      <c r="K27" s="224">
        <f>+F27-I27</f>
        <v>0</v>
      </c>
      <c r="L27" s="225" t="e">
        <f>+K27/I27</f>
        <v>#DIV/0!</v>
      </c>
      <c r="M27" s="754"/>
      <c r="N27" s="1285">
        <v>400000</v>
      </c>
      <c r="O27" s="779">
        <f>+N27*($F$36/100)</f>
        <v>14984.550972855268</v>
      </c>
      <c r="P27" s="760">
        <f t="shared" si="1"/>
        <v>1764.0043978550623</v>
      </c>
      <c r="Q27" s="761">
        <f t="shared" si="2"/>
        <v>14352</v>
      </c>
      <c r="R27" s="761">
        <f t="shared" si="3"/>
        <v>1744</v>
      </c>
      <c r="S27" s="761">
        <f t="shared" si="4"/>
        <v>632.5509728552679</v>
      </c>
      <c r="T27" s="762">
        <f t="shared" si="5"/>
        <v>20.00439785506228</v>
      </c>
    </row>
    <row r="28" spans="3:20" x14ac:dyDescent="0.2">
      <c r="C28" s="184"/>
      <c r="D28" s="63"/>
      <c r="E28" s="183"/>
      <c r="F28" s="224"/>
      <c r="G28" s="63"/>
      <c r="H28" s="1174"/>
      <c r="I28" s="1175"/>
      <c r="J28" s="63"/>
      <c r="K28" s="224"/>
      <c r="L28" s="225"/>
      <c r="M28" s="754"/>
      <c r="N28" s="1285">
        <v>425000</v>
      </c>
      <c r="O28" s="491">
        <f t="shared" si="0"/>
        <v>15921.085408658722</v>
      </c>
      <c r="P28" s="760">
        <f t="shared" si="1"/>
        <v>1874.2546727210038</v>
      </c>
      <c r="Q28" s="761">
        <f t="shared" si="2"/>
        <v>15249.000000000002</v>
      </c>
      <c r="R28" s="761">
        <f t="shared" si="3"/>
        <v>1853</v>
      </c>
      <c r="S28" s="761">
        <f t="shared" si="4"/>
        <v>672.08540865872055</v>
      </c>
      <c r="T28" s="762">
        <f t="shared" si="5"/>
        <v>21.254672721003772</v>
      </c>
    </row>
    <row r="29" spans="3:20" x14ac:dyDescent="0.2">
      <c r="C29" s="223" t="s">
        <v>5298</v>
      </c>
      <c r="D29" s="63"/>
      <c r="E29" s="183"/>
      <c r="F29" s="224"/>
      <c r="G29" s="63"/>
      <c r="H29" s="1174"/>
      <c r="I29" s="1175"/>
      <c r="J29" s="63"/>
      <c r="K29" s="224"/>
      <c r="L29" s="225"/>
      <c r="M29" s="754"/>
      <c r="N29" s="1285">
        <v>450000</v>
      </c>
      <c r="O29" s="491">
        <f t="shared" si="0"/>
        <v>16857.619844462177</v>
      </c>
      <c r="P29" s="760">
        <f t="shared" si="1"/>
        <v>1984.5049475869453</v>
      </c>
      <c r="Q29" s="761">
        <f t="shared" si="2"/>
        <v>16146.000000000002</v>
      </c>
      <c r="R29" s="761">
        <f t="shared" si="3"/>
        <v>1962</v>
      </c>
      <c r="S29" s="761">
        <f t="shared" si="4"/>
        <v>711.61984446217502</v>
      </c>
      <c r="T29" s="762">
        <f t="shared" si="5"/>
        <v>22.504947586945264</v>
      </c>
    </row>
    <row r="30" spans="3:20" x14ac:dyDescent="0.2">
      <c r="C30" s="184"/>
      <c r="D30" s="1177" t="s">
        <v>3295</v>
      </c>
      <c r="E30" s="1173">
        <f>+'Reserve &amp; Tax Calculation'!F18</f>
        <v>0</v>
      </c>
      <c r="F30" s="808"/>
      <c r="G30" s="63"/>
      <c r="H30" s="806">
        <f>+'Reserve &amp; Tax Calculation'!G17</f>
        <v>0</v>
      </c>
      <c r="I30" s="808"/>
      <c r="J30" s="63"/>
      <c r="K30" s="224">
        <f>+F30-I30</f>
        <v>0</v>
      </c>
      <c r="L30" s="225" t="e">
        <f>+K30/I30</f>
        <v>#DIV/0!</v>
      </c>
      <c r="M30" s="754"/>
      <c r="N30" s="1285">
        <v>475000</v>
      </c>
      <c r="O30" s="491">
        <f t="shared" si="0"/>
        <v>17794.154280265629</v>
      </c>
      <c r="P30" s="760">
        <f t="shared" si="1"/>
        <v>2094.7552224528868</v>
      </c>
      <c r="Q30" s="761">
        <f t="shared" si="2"/>
        <v>17043</v>
      </c>
      <c r="R30" s="761">
        <f t="shared" si="3"/>
        <v>2071</v>
      </c>
      <c r="S30" s="761">
        <f t="shared" si="4"/>
        <v>751.1542802656295</v>
      </c>
      <c r="T30" s="762">
        <f t="shared" si="5"/>
        <v>23.755222452886755</v>
      </c>
    </row>
    <row r="31" spans="3:20" x14ac:dyDescent="0.2">
      <c r="C31" s="184"/>
      <c r="D31" s="510"/>
      <c r="E31" s="752"/>
      <c r="F31" s="753"/>
      <c r="G31" s="510"/>
      <c r="H31" s="752"/>
      <c r="I31" s="753"/>
      <c r="J31" s="510"/>
      <c r="K31" s="224"/>
      <c r="L31" s="225"/>
      <c r="M31" s="754"/>
      <c r="N31" s="1285">
        <v>500000</v>
      </c>
      <c r="O31" s="491">
        <f t="shared" si="0"/>
        <v>18730.688716069086</v>
      </c>
      <c r="P31" s="760">
        <f t="shared" si="1"/>
        <v>2205.005497318828</v>
      </c>
      <c r="Q31" s="761">
        <f t="shared" si="2"/>
        <v>17940</v>
      </c>
      <c r="R31" s="761">
        <f t="shared" si="3"/>
        <v>2180</v>
      </c>
      <c r="S31" s="761">
        <f t="shared" si="4"/>
        <v>790.68871606908579</v>
      </c>
      <c r="T31" s="762">
        <f t="shared" si="5"/>
        <v>25.00549731882802</v>
      </c>
    </row>
    <row r="32" spans="3:20" x14ac:dyDescent="0.2">
      <c r="C32" s="223" t="s">
        <v>496</v>
      </c>
      <c r="D32" s="227"/>
      <c r="E32" s="1173">
        <f>+'11'!I22</f>
        <v>334252.65115825913</v>
      </c>
      <c r="F32" s="224">
        <f>+E32/($E$39/100)</f>
        <v>0.44100109946376559</v>
      </c>
      <c r="G32" s="63"/>
      <c r="H32" s="806">
        <f>+'11'!J22</f>
        <v>329911.78999999998</v>
      </c>
      <c r="I32" s="808">
        <v>0.436</v>
      </c>
      <c r="J32" s="63"/>
      <c r="K32" s="226">
        <f>+F32-I32</f>
        <v>5.0010994637655903E-3</v>
      </c>
      <c r="L32" s="225">
        <f>+K32/I32</f>
        <v>1.1470411614141262E-2</v>
      </c>
      <c r="M32" s="754"/>
      <c r="N32" s="1285">
        <v>600000</v>
      </c>
      <c r="O32" s="1425">
        <f>+N32*($F$36/100)</f>
        <v>22476.8264592829</v>
      </c>
      <c r="P32" s="1424">
        <f>+N32*($F$32/100)</f>
        <v>2646.0065967825935</v>
      </c>
      <c r="Q32" s="761">
        <f t="shared" si="2"/>
        <v>21528</v>
      </c>
      <c r="R32" s="761">
        <f t="shared" si="3"/>
        <v>2616</v>
      </c>
      <c r="S32" s="761">
        <f t="shared" si="4"/>
        <v>948.82645928290003</v>
      </c>
      <c r="T32" s="762">
        <f t="shared" si="5"/>
        <v>30.006596782593533</v>
      </c>
    </row>
    <row r="33" spans="3:20" x14ac:dyDescent="0.2">
      <c r="C33" s="223"/>
      <c r="D33" s="249" t="s">
        <v>3464</v>
      </c>
      <c r="E33" s="1173">
        <f>+'11'!I24</f>
        <v>0</v>
      </c>
      <c r="F33" s="224">
        <f>+E33/($E$39/100)</f>
        <v>0</v>
      </c>
      <c r="G33" s="63"/>
      <c r="H33" s="806">
        <f>+'11'!J24</f>
        <v>0</v>
      </c>
      <c r="I33" s="808"/>
      <c r="J33" s="63"/>
      <c r="K33" s="226">
        <f>+F33-I33</f>
        <v>0</v>
      </c>
      <c r="L33" s="225" t="e">
        <f>+K33/I33</f>
        <v>#DIV/0!</v>
      </c>
      <c r="M33" s="754"/>
      <c r="N33" s="1285">
        <v>750000</v>
      </c>
      <c r="O33" s="491">
        <f t="shared" si="0"/>
        <v>28096.033074103627</v>
      </c>
      <c r="P33" s="760">
        <f t="shared" si="1"/>
        <v>3307.508245978242</v>
      </c>
      <c r="Q33" s="761">
        <f t="shared" si="2"/>
        <v>26910</v>
      </c>
      <c r="R33" s="761">
        <f t="shared" si="3"/>
        <v>3270</v>
      </c>
      <c r="S33" s="761">
        <f t="shared" si="4"/>
        <v>1186.0330741036269</v>
      </c>
      <c r="T33" s="762">
        <f t="shared" si="5"/>
        <v>37.50824597824203</v>
      </c>
    </row>
    <row r="34" spans="3:20" x14ac:dyDescent="0.2">
      <c r="C34" s="184"/>
      <c r="D34" s="535" t="s">
        <v>3236</v>
      </c>
      <c r="E34" s="1179">
        <f>'43'!I8</f>
        <v>0</v>
      </c>
      <c r="F34" s="224">
        <f>+E34/($E$39/100)</f>
        <v>0</v>
      </c>
      <c r="G34" s="63"/>
      <c r="H34" s="806">
        <f>'43'!J8</f>
        <v>0</v>
      </c>
      <c r="I34" s="808"/>
      <c r="J34" s="63"/>
      <c r="K34" s="226">
        <f>+F34-I34</f>
        <v>0</v>
      </c>
      <c r="L34" s="780" t="e">
        <f>+K34/I34</f>
        <v>#DIV/0!</v>
      </c>
      <c r="M34" s="754"/>
      <c r="N34" s="1285">
        <v>1000000</v>
      </c>
      <c r="O34" s="1425">
        <f>+N34*($F$36/100)</f>
        <v>37461.377432138172</v>
      </c>
      <c r="P34" s="1424">
        <f>+N34*($F$32/100)</f>
        <v>4410.010994637656</v>
      </c>
      <c r="Q34" s="761">
        <f t="shared" si="2"/>
        <v>35880</v>
      </c>
      <c r="R34" s="761">
        <f t="shared" si="3"/>
        <v>4360</v>
      </c>
      <c r="S34" s="761">
        <f t="shared" si="4"/>
        <v>1581.3774321381716</v>
      </c>
      <c r="T34" s="762">
        <f t="shared" si="5"/>
        <v>50.01099463765604</v>
      </c>
    </row>
    <row r="35" spans="3:20" x14ac:dyDescent="0.2">
      <c r="C35" s="184"/>
      <c r="D35" s="848" t="s">
        <v>6182</v>
      </c>
      <c r="E35" s="1179">
        <f>'44'!I8</f>
        <v>0</v>
      </c>
      <c r="F35" s="1423">
        <f>+E35/($E$39/100)</f>
        <v>0</v>
      </c>
      <c r="G35" s="63"/>
      <c r="H35" s="806">
        <f>'44'!J8</f>
        <v>0</v>
      </c>
      <c r="I35" s="808"/>
      <c r="J35" s="63"/>
      <c r="K35" s="226">
        <f>+F35-I35</f>
        <v>0</v>
      </c>
      <c r="L35" s="780" t="e">
        <f>+K35/I35</f>
        <v>#DIV/0!</v>
      </c>
      <c r="M35" s="754"/>
      <c r="N35" s="1285">
        <v>1250000</v>
      </c>
      <c r="O35" s="1425">
        <f>+N35*($F$36/100)</f>
        <v>46826.721790172713</v>
      </c>
      <c r="P35" s="1424">
        <f>+N35*($F$32/100)</f>
        <v>5512.5137432970696</v>
      </c>
      <c r="Q35" s="761">
        <f t="shared" si="2"/>
        <v>44850</v>
      </c>
      <c r="R35" s="761">
        <f t="shared" si="3"/>
        <v>5450</v>
      </c>
      <c r="S35" s="761">
        <f>+O35-Q35</f>
        <v>1976.7217901727126</v>
      </c>
      <c r="T35" s="762">
        <f>+P35-R35</f>
        <v>62.513743297069595</v>
      </c>
    </row>
    <row r="36" spans="3:20" ht="13.5" thickBot="1" x14ac:dyDescent="0.25">
      <c r="C36" s="223" t="s">
        <v>504</v>
      </c>
      <c r="D36" s="63"/>
      <c r="E36" s="195">
        <f>SUM(E19:E35)</f>
        <v>2839350.0011582593</v>
      </c>
      <c r="F36" s="220">
        <f>SUM(F19:F35)</f>
        <v>3.7461377432138172</v>
      </c>
      <c r="G36" s="63"/>
      <c r="H36" s="195">
        <f>SUM(H19:H35)</f>
        <v>2715719.21</v>
      </c>
      <c r="I36" s="220">
        <f>SUM(I19:I35)</f>
        <v>3.5880000000000001</v>
      </c>
      <c r="J36" s="63"/>
      <c r="K36" s="1426">
        <f>+F36-I36</f>
        <v>0.15813774321381713</v>
      </c>
      <c r="L36" s="1427">
        <f>+K36/I36</f>
        <v>4.4074064440863189E-2</v>
      </c>
      <c r="M36" s="754"/>
      <c r="N36" s="1286">
        <v>1500000</v>
      </c>
      <c r="O36" s="756">
        <f t="shared" si="0"/>
        <v>56192.066148207254</v>
      </c>
      <c r="P36" s="763">
        <f t="shared" si="1"/>
        <v>6615.0164919564841</v>
      </c>
      <c r="Q36" s="764">
        <f t="shared" si="2"/>
        <v>53820</v>
      </c>
      <c r="R36" s="764">
        <f t="shared" si="3"/>
        <v>6540</v>
      </c>
      <c r="S36" s="764">
        <f t="shared" si="4"/>
        <v>2372.0661482072537</v>
      </c>
      <c r="T36" s="765">
        <f t="shared" si="5"/>
        <v>75.01649195648406</v>
      </c>
    </row>
    <row r="37" spans="3:20" ht="13.5" thickTop="1" x14ac:dyDescent="0.2">
      <c r="C37" s="184"/>
      <c r="D37" s="63"/>
      <c r="E37" s="183"/>
      <c r="F37" s="63"/>
      <c r="G37" s="63"/>
      <c r="H37" s="183"/>
      <c r="I37" s="63"/>
      <c r="J37" s="63"/>
      <c r="K37" s="224"/>
      <c r="L37" s="63"/>
      <c r="M37" s="63"/>
      <c r="N37" s="63"/>
      <c r="O37" s="63"/>
      <c r="P37" s="63"/>
      <c r="Q37" s="63"/>
      <c r="R37" s="63"/>
      <c r="S37" s="63"/>
      <c r="T37" s="7"/>
    </row>
    <row r="38" spans="3:20" x14ac:dyDescent="0.2">
      <c r="C38" s="184"/>
      <c r="D38" s="63"/>
      <c r="E38" s="183"/>
      <c r="F38" s="63"/>
      <c r="G38" s="63"/>
      <c r="H38" s="183"/>
      <c r="I38" s="63"/>
      <c r="J38" s="63"/>
      <c r="K38" s="63"/>
      <c r="L38" s="63"/>
      <c r="M38" s="63"/>
      <c r="N38" s="63"/>
      <c r="O38" s="63"/>
      <c r="P38" s="63"/>
      <c r="Q38" s="63"/>
      <c r="R38" s="63"/>
      <c r="S38" s="63"/>
      <c r="T38" s="7"/>
    </row>
    <row r="39" spans="3:20" ht="13.5" thickBot="1" x14ac:dyDescent="0.25">
      <c r="C39" s="223" t="s">
        <v>505</v>
      </c>
      <c r="D39" s="63"/>
      <c r="E39" s="218">
        <f>+'Key Inputs'!F31</f>
        <v>75794063</v>
      </c>
      <c r="F39" s="63"/>
      <c r="G39" s="63"/>
      <c r="H39" s="218">
        <f>+'Key Inputs'!F32</f>
        <v>75758623</v>
      </c>
      <c r="L39" s="509"/>
      <c r="M39" s="63"/>
      <c r="N39" s="63"/>
      <c r="O39" s="63"/>
      <c r="P39" s="63"/>
      <c r="Q39" s="63"/>
      <c r="R39" s="63"/>
      <c r="S39" s="63"/>
      <c r="T39" s="7"/>
    </row>
    <row r="40" spans="3:20" ht="14.25" thickTop="1" thickBot="1" x14ac:dyDescent="0.25">
      <c r="C40" s="188"/>
      <c r="D40" s="2"/>
      <c r="E40" s="2"/>
      <c r="F40" s="2"/>
      <c r="G40" s="2"/>
      <c r="H40" s="2"/>
      <c r="I40" s="2"/>
      <c r="J40" s="2"/>
      <c r="K40" s="2"/>
      <c r="L40" s="2"/>
      <c r="M40" s="2"/>
      <c r="N40" s="2"/>
      <c r="O40" s="2"/>
      <c r="P40" s="2"/>
      <c r="Q40" s="2"/>
      <c r="R40" s="2"/>
      <c r="S40" s="2"/>
      <c r="T40" s="8"/>
    </row>
    <row r="41" spans="3:20" ht="13.5" thickTop="1" x14ac:dyDescent="0.2">
      <c r="E41" s="180"/>
    </row>
    <row r="42" spans="3:20" x14ac:dyDescent="0.2">
      <c r="E42" s="180"/>
    </row>
    <row r="45" spans="3:20" x14ac:dyDescent="0.2">
      <c r="E45" s="180"/>
    </row>
  </sheetData>
  <sheetProtection algorithmName="SHA-512" hashValue="UgxsUMcBDtsTdSRjrn6E1Mv3FWyxpIDYlMHCxwpI6QSK5BmsmGTQVP9dsVdBTPUIlnJFZ/O5rWJEy5xl9vhHvA==" saltValue="oeJPo6sAN9II4W155hDxBQ==" spinCount="100000" sheet="1" objects="1" scenarios="1"/>
  <mergeCells count="11">
    <mergeCell ref="Q11:R11"/>
    <mergeCell ref="E11:F11"/>
    <mergeCell ref="H10:I10"/>
    <mergeCell ref="H11:I11"/>
    <mergeCell ref="O11:P11"/>
    <mergeCell ref="C4:T4"/>
    <mergeCell ref="C8:L8"/>
    <mergeCell ref="N8:T8"/>
    <mergeCell ref="O10:P10"/>
    <mergeCell ref="E10:F10"/>
    <mergeCell ref="Q10:R10"/>
  </mergeCells>
  <phoneticPr fontId="0" type="noConversion"/>
  <pageMargins left="0.25" right="0.3" top="0.25" bottom="0.75" header="0.25" footer="0.25"/>
  <pageSetup paperSize="5"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sheetPr codeName="Sheet128">
    <tabColor theme="3" tint="0.79998168889431442"/>
  </sheetPr>
  <dimension ref="B2:O30"/>
  <sheetViews>
    <sheetView topLeftCell="B1" zoomScale="92" zoomScaleNormal="92" workbookViewId="0">
      <selection activeCell="O14" activeCellId="1" sqref="O8:O12 O14:O18"/>
    </sheetView>
  </sheetViews>
  <sheetFormatPr defaultRowHeight="12.75" x14ac:dyDescent="0.2"/>
  <cols>
    <col min="1" max="1" width="2" customWidth="1"/>
    <col min="2" max="2" width="4" customWidth="1"/>
    <col min="3" max="5" width="3.7109375" customWidth="1"/>
    <col min="6" max="6" width="46.5703125" customWidth="1"/>
    <col min="7" max="7" width="9.7109375" customWidth="1"/>
    <col min="8" max="12" width="16.7109375" customWidth="1"/>
    <col min="13" max="13" width="16.85546875" customWidth="1"/>
    <col min="15" max="15" width="14.7109375" customWidth="1"/>
  </cols>
  <sheetData>
    <row r="2" spans="2:15" ht="21" thickBot="1" x14ac:dyDescent="0.35">
      <c r="B2" s="1745" t="str">
        <f>"DEDICATED "&amp;UPPER('Key Inputs'!E44)&amp;" UTILITY  BUDGET  -  (continued)"</f>
        <v>DEDICATED  UTILITY  BUDGET  -  (continued)</v>
      </c>
      <c r="C2" s="1745"/>
      <c r="D2" s="1745"/>
      <c r="E2" s="1745"/>
      <c r="F2" s="1745"/>
      <c r="G2" s="1745"/>
      <c r="H2" s="1745"/>
      <c r="I2" s="1745"/>
      <c r="J2" s="1745"/>
      <c r="K2" s="1745"/>
      <c r="L2" s="1745"/>
      <c r="M2" s="1745"/>
    </row>
    <row r="3" spans="2:15" ht="17.25" thickTop="1" thickBot="1" x14ac:dyDescent="0.3">
      <c r="B3" s="1"/>
      <c r="F3" s="6"/>
      <c r="G3" s="9"/>
      <c r="H3" s="1705" t="s">
        <v>23</v>
      </c>
      <c r="I3" s="1707"/>
      <c r="J3" s="1707"/>
      <c r="K3" s="1708"/>
      <c r="L3" s="1705" t="str">
        <f>"Expended "&amp;'Key Inputs'!E34-1</f>
        <v>Expended 2020</v>
      </c>
      <c r="M3" s="1706"/>
    </row>
    <row r="4" spans="2:15" ht="15" customHeight="1" thickTop="1" x14ac:dyDescent="0.25">
      <c r="B4" s="568"/>
      <c r="C4" s="568"/>
      <c r="D4" s="568"/>
      <c r="E4" s="568"/>
      <c r="F4" s="569" t="str">
        <f>"11.  APPROPRIATIONS  FOR  "&amp;UPPER('Key Inputs'!E44)&amp;"  UTILITY"</f>
        <v>11.  APPROPRIATIONS  FOR    UTILITY</v>
      </c>
      <c r="G4" s="26" t="s">
        <v>605</v>
      </c>
      <c r="H4" s="24"/>
      <c r="I4" s="25"/>
      <c r="J4" s="24" t="str">
        <f>"for "&amp;'Key Inputs'!E34-1&amp;"  By"</f>
        <v>for 2020  By</v>
      </c>
      <c r="K4" s="25" t="str">
        <f>"Total for "&amp;'Key Inputs'!E34-1</f>
        <v>Total for 2020</v>
      </c>
      <c r="L4" s="25"/>
      <c r="M4" s="81"/>
    </row>
    <row r="5" spans="2:15" ht="15" x14ac:dyDescent="0.25">
      <c r="C5" s="12"/>
      <c r="F5" s="7"/>
      <c r="G5" s="10"/>
      <c r="H5" s="24" t="str">
        <f>"for  "&amp;'Key Inputs'!E34</f>
        <v>for  2021</v>
      </c>
      <c r="I5" s="26" t="str">
        <f>"for  "&amp;'Key Inputs'!E34-1</f>
        <v>for  2020</v>
      </c>
      <c r="J5" s="24" t="s">
        <v>19</v>
      </c>
      <c r="K5" s="26" t="s">
        <v>24</v>
      </c>
      <c r="L5" s="26" t="s">
        <v>20</v>
      </c>
      <c r="M5" s="82" t="s">
        <v>22</v>
      </c>
      <c r="O5" s="568" t="s">
        <v>3375</v>
      </c>
    </row>
    <row r="6" spans="2:15" ht="15" customHeight="1" thickBot="1" x14ac:dyDescent="0.3">
      <c r="B6" s="2"/>
      <c r="C6" s="3"/>
      <c r="D6" s="3"/>
      <c r="E6" s="2"/>
      <c r="F6" s="8"/>
      <c r="G6" s="11"/>
      <c r="H6" s="27"/>
      <c r="I6" s="28"/>
      <c r="J6" s="27" t="s">
        <v>18</v>
      </c>
      <c r="K6" s="28" t="s">
        <v>25</v>
      </c>
      <c r="L6" s="28" t="s">
        <v>21</v>
      </c>
      <c r="M6" s="83"/>
    </row>
    <row r="7" spans="2:15" ht="21.95" customHeight="1" thickTop="1" x14ac:dyDescent="0.25">
      <c r="C7" s="100" t="s">
        <v>313</v>
      </c>
      <c r="D7" s="14"/>
      <c r="E7" s="14"/>
      <c r="F7" s="15"/>
      <c r="G7" s="168" t="s">
        <v>200</v>
      </c>
      <c r="H7" s="95" t="s">
        <v>201</v>
      </c>
      <c r="I7" s="95" t="s">
        <v>201</v>
      </c>
      <c r="J7" s="95" t="s">
        <v>201</v>
      </c>
      <c r="K7" s="95" t="s">
        <v>201</v>
      </c>
      <c r="L7" s="95" t="s">
        <v>201</v>
      </c>
      <c r="M7" s="96" t="s">
        <v>201</v>
      </c>
    </row>
    <row r="8" spans="2:15" ht="21.95" customHeight="1" x14ac:dyDescent="0.2">
      <c r="C8" s="16"/>
      <c r="D8" s="16"/>
      <c r="E8" s="16" t="s">
        <v>205</v>
      </c>
      <c r="F8" s="17"/>
      <c r="G8" s="93" t="s">
        <v>566</v>
      </c>
      <c r="H8" s="742"/>
      <c r="I8" s="743"/>
      <c r="J8" s="742"/>
      <c r="K8" s="743">
        <f>+I8</f>
        <v>0</v>
      </c>
      <c r="L8" s="743"/>
      <c r="M8" s="370">
        <f>IFERROR(IF(+K8-L8&gt;=0,K8-L8,"*")-O8,"*")</f>
        <v>0</v>
      </c>
      <c r="O8" s="1434"/>
    </row>
    <row r="9" spans="2:15" ht="21.95" customHeight="1" x14ac:dyDescent="0.2">
      <c r="C9" s="16"/>
      <c r="D9" s="16"/>
      <c r="E9" s="16" t="s">
        <v>314</v>
      </c>
      <c r="F9" s="17"/>
      <c r="G9" s="93" t="s">
        <v>567</v>
      </c>
      <c r="H9" s="742"/>
      <c r="I9" s="743"/>
      <c r="J9" s="742"/>
      <c r="K9" s="743">
        <f t="shared" ref="K9:K26" si="0">+I9</f>
        <v>0</v>
      </c>
      <c r="L9" s="743"/>
      <c r="M9" s="370">
        <f>IFERROR(IF(+K9-L9&gt;=0,K9-L9,"*")-O9,"*")</f>
        <v>0</v>
      </c>
      <c r="O9" s="1434"/>
    </row>
    <row r="10" spans="2:15" ht="21.95" customHeight="1" x14ac:dyDescent="0.2">
      <c r="C10" s="744"/>
      <c r="D10" s="744"/>
      <c r="E10" s="744"/>
      <c r="F10" s="745"/>
      <c r="G10" s="958"/>
      <c r="H10" s="742"/>
      <c r="I10" s="743"/>
      <c r="J10" s="742"/>
      <c r="K10" s="743">
        <f t="shared" si="0"/>
        <v>0</v>
      </c>
      <c r="L10" s="743"/>
      <c r="M10" s="370">
        <f>IFERROR(IF(+K10-L10&gt;=0,K10-L10,"*")-O10,"*")</f>
        <v>0</v>
      </c>
      <c r="O10" s="1434"/>
    </row>
    <row r="11" spans="2:15" ht="21.95" customHeight="1" x14ac:dyDescent="0.2">
      <c r="C11" s="744"/>
      <c r="D11" s="744"/>
      <c r="E11" s="744"/>
      <c r="F11" s="745"/>
      <c r="G11" s="958"/>
      <c r="H11" s="742"/>
      <c r="I11" s="743"/>
      <c r="J11" s="742"/>
      <c r="K11" s="743">
        <f t="shared" si="0"/>
        <v>0</v>
      </c>
      <c r="L11" s="743"/>
      <c r="M11" s="370">
        <f>IFERROR(IF(+K11-L11&gt;=0,K11-L11,"*")-O11,"*")</f>
        <v>0</v>
      </c>
      <c r="O11" s="1434"/>
    </row>
    <row r="12" spans="2:15" ht="21.95" customHeight="1" x14ac:dyDescent="0.2">
      <c r="C12" s="744"/>
      <c r="D12" s="744"/>
      <c r="E12" s="744"/>
      <c r="F12" s="745"/>
      <c r="G12" s="958"/>
      <c r="H12" s="742"/>
      <c r="I12" s="743"/>
      <c r="J12" s="742"/>
      <c r="K12" s="743">
        <f t="shared" si="0"/>
        <v>0</v>
      </c>
      <c r="L12" s="743"/>
      <c r="M12" s="370">
        <f>IFERROR(IF(+K12-L12&gt;=0,K12-L12,"*")-O12,"*")</f>
        <v>0</v>
      </c>
      <c r="O12" s="1434"/>
    </row>
    <row r="13" spans="2:15" ht="21.95" customHeight="1" x14ac:dyDescent="0.25">
      <c r="C13" s="43" t="s">
        <v>315</v>
      </c>
      <c r="D13" s="16"/>
      <c r="E13" s="16"/>
      <c r="F13" s="17"/>
      <c r="G13" s="93" t="s">
        <v>200</v>
      </c>
      <c r="H13" s="97" t="s">
        <v>201</v>
      </c>
      <c r="I13" s="98" t="s">
        <v>201</v>
      </c>
      <c r="J13" s="97" t="s">
        <v>201</v>
      </c>
      <c r="K13" s="98" t="s">
        <v>201</v>
      </c>
      <c r="L13" s="98" t="s">
        <v>201</v>
      </c>
      <c r="M13" s="99" t="s">
        <v>201</v>
      </c>
    </row>
    <row r="14" spans="2:15" ht="21.95" customHeight="1" x14ac:dyDescent="0.2">
      <c r="C14" s="16"/>
      <c r="D14" s="16"/>
      <c r="E14" s="16" t="s">
        <v>243</v>
      </c>
      <c r="F14" s="17"/>
      <c r="G14" s="93" t="s">
        <v>568</v>
      </c>
      <c r="H14" s="742"/>
      <c r="I14" s="743"/>
      <c r="J14" s="742"/>
      <c r="K14" s="743">
        <f t="shared" si="0"/>
        <v>0</v>
      </c>
      <c r="L14" s="743"/>
      <c r="M14" s="370">
        <f>IFERROR(IF(+K14-L14&gt;=0,K14-L14,"*")-O14,"*")</f>
        <v>0</v>
      </c>
      <c r="O14" s="1434"/>
    </row>
    <row r="15" spans="2:15" ht="21.95" customHeight="1" x14ac:dyDescent="0.2">
      <c r="C15" s="16"/>
      <c r="D15" s="16"/>
      <c r="E15" s="16" t="s">
        <v>244</v>
      </c>
      <c r="F15" s="17"/>
      <c r="G15" s="93" t="s">
        <v>569</v>
      </c>
      <c r="H15" s="742"/>
      <c r="I15" s="743"/>
      <c r="J15" s="97" t="s">
        <v>201</v>
      </c>
      <c r="K15" s="743">
        <f t="shared" si="0"/>
        <v>0</v>
      </c>
      <c r="L15" s="743"/>
      <c r="M15" s="370">
        <f>IFERROR(IF(+K15-L15&gt;=0,K15-L15,"*")-O15,"*")</f>
        <v>0</v>
      </c>
      <c r="O15" s="1434"/>
    </row>
    <row r="16" spans="2:15" ht="21.95" customHeight="1" x14ac:dyDescent="0.2">
      <c r="C16" s="16"/>
      <c r="D16" s="16"/>
      <c r="E16" s="16" t="s">
        <v>317</v>
      </c>
      <c r="F16" s="17"/>
      <c r="G16" s="93" t="s">
        <v>570</v>
      </c>
      <c r="H16" s="742"/>
      <c r="I16" s="743"/>
      <c r="J16" s="742"/>
      <c r="K16" s="743">
        <f t="shared" si="0"/>
        <v>0</v>
      </c>
      <c r="L16" s="743"/>
      <c r="M16" s="370">
        <f>IFERROR(IF(+K16-L16&gt;=0,K16-L16,"*")-O16,"*")</f>
        <v>0</v>
      </c>
      <c r="O16" s="1434"/>
    </row>
    <row r="17" spans="2:15" ht="21.95" customHeight="1" x14ac:dyDescent="0.2">
      <c r="C17" s="744"/>
      <c r="D17" s="744"/>
      <c r="E17" s="744"/>
      <c r="F17" s="745"/>
      <c r="G17" s="958"/>
      <c r="H17" s="742"/>
      <c r="I17" s="743"/>
      <c r="J17" s="742"/>
      <c r="K17" s="743">
        <f t="shared" si="0"/>
        <v>0</v>
      </c>
      <c r="L17" s="743"/>
      <c r="M17" s="370">
        <f>IFERROR(IF(+K17-L17&gt;=0,K17-L17,"*")-O17,"*")</f>
        <v>0</v>
      </c>
      <c r="O17" s="1434"/>
    </row>
    <row r="18" spans="2:15" ht="21.95" customHeight="1" x14ac:dyDescent="0.2">
      <c r="C18" s="744"/>
      <c r="D18" s="744"/>
      <c r="E18" s="744"/>
      <c r="F18" s="745"/>
      <c r="G18" s="958"/>
      <c r="H18" s="742"/>
      <c r="I18" s="743"/>
      <c r="J18" s="742"/>
      <c r="K18" s="743">
        <f t="shared" si="0"/>
        <v>0</v>
      </c>
      <c r="L18" s="743"/>
      <c r="M18" s="370">
        <f>IFERROR(IF(+K18-L18&gt;=0,K18-L18,"*")-O18,"*")</f>
        <v>0</v>
      </c>
      <c r="O18" s="1434"/>
    </row>
    <row r="19" spans="2:15" ht="21.95" customHeight="1" x14ac:dyDescent="0.25">
      <c r="C19" s="43" t="s">
        <v>318</v>
      </c>
      <c r="D19" s="16"/>
      <c r="E19" s="16"/>
      <c r="F19" s="17"/>
      <c r="G19" s="93" t="s">
        <v>200</v>
      </c>
      <c r="H19" s="97" t="s">
        <v>201</v>
      </c>
      <c r="I19" s="98" t="s">
        <v>201</v>
      </c>
      <c r="J19" s="97" t="s">
        <v>201</v>
      </c>
      <c r="K19" s="98" t="s">
        <v>201</v>
      </c>
      <c r="L19" s="98" t="s">
        <v>201</v>
      </c>
      <c r="M19" s="99" t="s">
        <v>201</v>
      </c>
    </row>
    <row r="20" spans="2:15" ht="21.95" customHeight="1" x14ac:dyDescent="0.2">
      <c r="C20" s="16"/>
      <c r="D20" s="16"/>
      <c r="E20" s="16" t="s">
        <v>592</v>
      </c>
      <c r="F20" s="17"/>
      <c r="G20" s="93" t="s">
        <v>571</v>
      </c>
      <c r="H20" s="742"/>
      <c r="I20" s="743"/>
      <c r="J20" s="742"/>
      <c r="K20" s="743">
        <f t="shared" si="0"/>
        <v>0</v>
      </c>
      <c r="L20" s="743"/>
      <c r="M20" s="99" t="s">
        <v>201</v>
      </c>
      <c r="O20" s="29">
        <f>K20-L20</f>
        <v>0</v>
      </c>
    </row>
    <row r="21" spans="2:15" ht="21.95" customHeight="1" x14ac:dyDescent="0.2">
      <c r="C21" s="16"/>
      <c r="D21" s="16"/>
      <c r="E21" s="50" t="s">
        <v>593</v>
      </c>
      <c r="F21" s="17"/>
      <c r="G21" s="93" t="s">
        <v>572</v>
      </c>
      <c r="H21" s="742"/>
      <c r="I21" s="743"/>
      <c r="J21" s="742"/>
      <c r="K21" s="743">
        <f t="shared" si="0"/>
        <v>0</v>
      </c>
      <c r="L21" s="743"/>
      <c r="M21" s="99" t="s">
        <v>201</v>
      </c>
      <c r="O21" s="29">
        <f t="shared" ref="O21:O26" si="1">K21-L21</f>
        <v>0</v>
      </c>
    </row>
    <row r="22" spans="2:15" ht="21.95" customHeight="1" x14ac:dyDescent="0.2">
      <c r="C22" s="16"/>
      <c r="D22" s="16"/>
      <c r="E22" s="16" t="s">
        <v>256</v>
      </c>
      <c r="F22" s="17"/>
      <c r="G22" s="93" t="s">
        <v>573</v>
      </c>
      <c r="H22" s="742"/>
      <c r="I22" s="743"/>
      <c r="J22" s="742"/>
      <c r="K22" s="743">
        <f t="shared" si="0"/>
        <v>0</v>
      </c>
      <c r="L22" s="743"/>
      <c r="M22" s="99" t="s">
        <v>201</v>
      </c>
      <c r="O22" s="29">
        <f t="shared" si="1"/>
        <v>0</v>
      </c>
    </row>
    <row r="23" spans="2:15" ht="21.95" customHeight="1" x14ac:dyDescent="0.2">
      <c r="C23" s="16"/>
      <c r="D23" s="16"/>
      <c r="E23" s="16" t="s">
        <v>257</v>
      </c>
      <c r="F23" s="17"/>
      <c r="G23" s="93" t="s">
        <v>574</v>
      </c>
      <c r="H23" s="742"/>
      <c r="I23" s="743"/>
      <c r="J23" s="742"/>
      <c r="K23" s="743">
        <f t="shared" si="0"/>
        <v>0</v>
      </c>
      <c r="L23" s="743"/>
      <c r="M23" s="99" t="s">
        <v>201</v>
      </c>
      <c r="O23" s="29">
        <f t="shared" si="1"/>
        <v>0</v>
      </c>
    </row>
    <row r="24" spans="2:15" ht="21.95" customHeight="1" x14ac:dyDescent="0.2">
      <c r="C24" s="748"/>
      <c r="D24" s="748"/>
      <c r="E24" s="748"/>
      <c r="F24" s="904"/>
      <c r="G24" s="959"/>
      <c r="H24" s="905"/>
      <c r="I24" s="865"/>
      <c r="J24" s="905"/>
      <c r="K24" s="743">
        <f t="shared" si="0"/>
        <v>0</v>
      </c>
      <c r="L24" s="865"/>
      <c r="M24" s="99" t="s">
        <v>201</v>
      </c>
      <c r="O24" s="29">
        <f t="shared" si="1"/>
        <v>0</v>
      </c>
    </row>
    <row r="25" spans="2:15" ht="21.95" customHeight="1" x14ac:dyDescent="0.2">
      <c r="C25" s="748"/>
      <c r="D25" s="748"/>
      <c r="E25" s="748"/>
      <c r="F25" s="904"/>
      <c r="G25" s="959"/>
      <c r="H25" s="905"/>
      <c r="I25" s="865"/>
      <c r="J25" s="905"/>
      <c r="K25" s="743">
        <f t="shared" si="0"/>
        <v>0</v>
      </c>
      <c r="L25" s="865"/>
      <c r="M25" s="99" t="s">
        <v>201</v>
      </c>
      <c r="O25" s="29">
        <f t="shared" si="1"/>
        <v>0</v>
      </c>
    </row>
    <row r="26" spans="2:15" ht="21.95" customHeight="1" thickBot="1" x14ac:dyDescent="0.25">
      <c r="B26" s="2"/>
      <c r="C26" s="893"/>
      <c r="D26" s="893"/>
      <c r="E26" s="893"/>
      <c r="F26" s="894"/>
      <c r="G26" s="960"/>
      <c r="H26" s="897"/>
      <c r="I26" s="898"/>
      <c r="J26" s="897"/>
      <c r="K26" s="898">
        <f t="shared" si="0"/>
        <v>0</v>
      </c>
      <c r="L26" s="898"/>
      <c r="M26" s="118" t="s">
        <v>201</v>
      </c>
      <c r="O26" s="29">
        <f t="shared" si="1"/>
        <v>0</v>
      </c>
    </row>
    <row r="27" spans="2:15" ht="16.5" thickTop="1" x14ac:dyDescent="0.25">
      <c r="B27" s="1617" t="s">
        <v>3287</v>
      </c>
      <c r="C27" s="1617"/>
      <c r="D27" s="1617"/>
      <c r="E27" s="1617"/>
      <c r="F27" s="1617"/>
      <c r="G27" s="1617"/>
      <c r="H27" s="1617"/>
      <c r="I27" s="1617"/>
      <c r="J27" s="1617"/>
      <c r="K27" s="1617"/>
      <c r="L27" s="1617"/>
      <c r="M27" s="1617"/>
    </row>
    <row r="30" spans="2:15" x14ac:dyDescent="0.2">
      <c r="H30" s="29"/>
    </row>
  </sheetData>
  <sheetProtection algorithmName="SHA-512" hashValue="4MHekxaHvXbv5Wx9ks8oBIbkczvpehCRuo9GgfdImJ7BCmx7wG/Tq+Fj1vACnnKXSJrPt7hREFlXS9v8kVOHVA==" saltValue="yIquBb2fIu+pCp0JJM92uQ==" spinCount="100000" sheet="1" objects="1" scenarios="1"/>
  <mergeCells count="4">
    <mergeCell ref="B2:M2"/>
    <mergeCell ref="H3:K3"/>
    <mergeCell ref="L3:M3"/>
    <mergeCell ref="B27:M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3">
        <x14:dataValidation type="list" allowBlank="1" showInputMessage="1" showErrorMessage="1" errorTitle="Invalid Entry" error="This FCOA Code is not authorized for use on this sheet." xr:uid="{00000000-0002-0000-8B00-000000000000}">
          <x14:formula1>
            <xm:f>'Other Codes'!$J$2:$J$6</xm:f>
          </x14:formula1>
          <xm:sqref>G10:G12</xm:sqref>
        </x14:dataValidation>
        <x14:dataValidation type="list" allowBlank="1" showInputMessage="1" showErrorMessage="1" errorTitle="Invalid Entry" error="This FCOA Code is not authorized for use on this sheet." xr:uid="{00000000-0002-0000-8B00-000001000000}">
          <x14:formula1>
            <xm:f>'Other Codes'!$J$7:$J$9</xm:f>
          </x14:formula1>
          <xm:sqref>G17:G18</xm:sqref>
        </x14:dataValidation>
        <x14:dataValidation type="list" allowBlank="1" showInputMessage="1" showErrorMessage="1" errorTitle="Invalid Entry" error="This FCOA Code is not authorized for use on this sheet." xr:uid="{00000000-0002-0000-8B00-000002000000}">
          <x14:formula1>
            <xm:f>'Other Codes'!$J$10:$J$11</xm:f>
          </x14:formula1>
          <xm:sqref>G24:G26</xm:sqref>
        </x14:dataValidation>
      </x14:dataValidations>
    </ext>
  </extLst>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sheetPr codeName="Sheet129">
    <tabColor theme="3" tint="0.79998168889431442"/>
  </sheetPr>
  <dimension ref="A2:O29"/>
  <sheetViews>
    <sheetView topLeftCell="A4" zoomScaleNormal="100" workbookViewId="0">
      <selection activeCell="M14" sqref="M14"/>
    </sheetView>
  </sheetViews>
  <sheetFormatPr defaultRowHeight="12.75" x14ac:dyDescent="0.2"/>
  <cols>
    <col min="1" max="1" width="4.7109375" customWidth="1"/>
    <col min="2" max="2" width="5.7109375" customWidth="1"/>
    <col min="3" max="5" width="3.7109375" customWidth="1"/>
    <col min="6" max="6" width="40.7109375" customWidth="1"/>
    <col min="7" max="7" width="9.7109375" customWidth="1"/>
    <col min="8" max="13" width="16.7109375" customWidth="1"/>
    <col min="15" max="15" width="14.7109375" customWidth="1"/>
  </cols>
  <sheetData>
    <row r="2" spans="1:15" ht="21" thickBot="1" x14ac:dyDescent="0.35">
      <c r="B2" s="1745" t="str">
        <f>"DEDICATED "&amp;UPPER('Key Inputs'!E44)&amp;" UTILITY  BUDGET  -  (continued)"</f>
        <v>DEDICATED  UTILITY  BUDGET  -  (continued)</v>
      </c>
      <c r="C2" s="1745"/>
      <c r="D2" s="1745"/>
      <c r="E2" s="1745"/>
      <c r="F2" s="1745"/>
      <c r="G2" s="1745"/>
      <c r="H2" s="1745"/>
      <c r="I2" s="1745"/>
      <c r="J2" s="1745"/>
      <c r="K2" s="1745"/>
      <c r="L2" s="1745"/>
      <c r="M2" s="1745"/>
    </row>
    <row r="3" spans="1:15" ht="15" customHeight="1" thickTop="1" thickBot="1" x14ac:dyDescent="0.3">
      <c r="B3" s="1"/>
      <c r="F3" s="6"/>
      <c r="G3" s="9"/>
      <c r="H3" s="1705" t="s">
        <v>23</v>
      </c>
      <c r="I3" s="1707"/>
      <c r="J3" s="1707"/>
      <c r="K3" s="1708"/>
      <c r="L3" s="1705" t="str">
        <f>"Expended "&amp;'Key Inputs'!E34-1</f>
        <v>Expended 2020</v>
      </c>
      <c r="M3" s="1706"/>
    </row>
    <row r="4" spans="1:15" ht="15" customHeight="1" thickTop="1" x14ac:dyDescent="0.25">
      <c r="A4" s="134"/>
      <c r="C4" s="569" t="str">
        <f>"11.  APPROPRIATIONS  FOR  "&amp;UPPER('Key Inputs'!E44)&amp;" UTILITY"</f>
        <v>11.  APPROPRIATIONS  FOR   UTILITY</v>
      </c>
      <c r="D4" s="251"/>
      <c r="E4" s="251"/>
      <c r="F4" s="564"/>
      <c r="G4" s="26" t="s">
        <v>605</v>
      </c>
      <c r="H4" s="24"/>
      <c r="I4" s="25"/>
      <c r="J4" s="24" t="str">
        <f>"for "&amp;'Key Inputs'!E34-1&amp;"  By"</f>
        <v>for 2020  By</v>
      </c>
      <c r="K4" s="25" t="str">
        <f>"Total for "&amp;'Key Inputs'!E34-1</f>
        <v>Total for 2020</v>
      </c>
      <c r="L4" s="25"/>
      <c r="M4" s="81"/>
    </row>
    <row r="5" spans="1:15" ht="15" x14ac:dyDescent="0.25">
      <c r="C5" s="12"/>
      <c r="F5" s="7"/>
      <c r="G5" s="10"/>
      <c r="H5" s="24" t="str">
        <f>"for  "&amp;'Key Inputs'!E34</f>
        <v>for  2021</v>
      </c>
      <c r="I5" s="26" t="str">
        <f>"for  "&amp;'Key Inputs'!E34-1</f>
        <v>for  2020</v>
      </c>
      <c r="J5" s="24" t="s">
        <v>19</v>
      </c>
      <c r="K5" s="26" t="s">
        <v>24</v>
      </c>
      <c r="L5" s="26" t="s">
        <v>20</v>
      </c>
      <c r="M5" s="82" t="s">
        <v>22</v>
      </c>
      <c r="O5" s="568" t="s">
        <v>3375</v>
      </c>
    </row>
    <row r="6" spans="1:15" ht="15" customHeight="1" thickBot="1" x14ac:dyDescent="0.3">
      <c r="B6" s="2"/>
      <c r="C6" s="3"/>
      <c r="D6" s="3"/>
      <c r="E6" s="2"/>
      <c r="F6" s="8"/>
      <c r="G6" s="11"/>
      <c r="H6" s="27"/>
      <c r="I6" s="28"/>
      <c r="J6" s="27" t="s">
        <v>18</v>
      </c>
      <c r="K6" s="28" t="s">
        <v>25</v>
      </c>
      <c r="L6" s="28" t="s">
        <v>21</v>
      </c>
      <c r="M6" s="83"/>
    </row>
    <row r="7" spans="1:15" ht="21.95" customHeight="1" thickTop="1" x14ac:dyDescent="0.25">
      <c r="C7" s="100" t="s">
        <v>321</v>
      </c>
      <c r="D7" s="14"/>
      <c r="E7" s="14"/>
      <c r="F7" s="15"/>
      <c r="G7" s="168" t="s">
        <v>200</v>
      </c>
      <c r="H7" s="95" t="s">
        <v>201</v>
      </c>
      <c r="I7" s="95" t="s">
        <v>201</v>
      </c>
      <c r="J7" s="95" t="s">
        <v>201</v>
      </c>
      <c r="K7" s="95" t="s">
        <v>201</v>
      </c>
      <c r="L7" s="95" t="s">
        <v>201</v>
      </c>
      <c r="M7" s="96" t="s">
        <v>201</v>
      </c>
    </row>
    <row r="8" spans="1:15" ht="21.95" customHeight="1" x14ac:dyDescent="0.2">
      <c r="C8" s="16"/>
      <c r="D8" s="106" t="s">
        <v>322</v>
      </c>
      <c r="E8" s="16"/>
      <c r="F8" s="17"/>
      <c r="G8" s="93" t="s">
        <v>200</v>
      </c>
      <c r="H8" s="97" t="s">
        <v>201</v>
      </c>
      <c r="I8" s="98" t="s">
        <v>201</v>
      </c>
      <c r="J8" s="97" t="s">
        <v>201</v>
      </c>
      <c r="K8" s="98" t="s">
        <v>201</v>
      </c>
      <c r="L8" s="98" t="s">
        <v>201</v>
      </c>
      <c r="M8" s="99" t="s">
        <v>201</v>
      </c>
    </row>
    <row r="9" spans="1:15" ht="24" customHeight="1" x14ac:dyDescent="0.2">
      <c r="C9" s="16"/>
      <c r="D9" s="16"/>
      <c r="E9" s="50" t="s">
        <v>213</v>
      </c>
      <c r="F9" s="17"/>
      <c r="G9" s="93" t="s">
        <v>575</v>
      </c>
      <c r="H9" s="742"/>
      <c r="I9" s="743"/>
      <c r="J9" s="97" t="s">
        <v>201</v>
      </c>
      <c r="K9" s="743">
        <f>+I9</f>
        <v>0</v>
      </c>
      <c r="L9" s="743"/>
      <c r="M9" s="99" t="s">
        <v>201</v>
      </c>
      <c r="O9" s="670">
        <f>K9-L9</f>
        <v>0</v>
      </c>
    </row>
    <row r="10" spans="1:15" ht="24" customHeight="1" x14ac:dyDescent="0.2">
      <c r="C10" s="744"/>
      <c r="D10" s="744"/>
      <c r="E10" s="744"/>
      <c r="F10" s="745"/>
      <c r="G10" s="958"/>
      <c r="H10" s="742"/>
      <c r="I10" s="743"/>
      <c r="J10" s="97" t="s">
        <v>201</v>
      </c>
      <c r="K10" s="743">
        <f>+I10</f>
        <v>0</v>
      </c>
      <c r="L10" s="743"/>
      <c r="M10" s="99" t="s">
        <v>201</v>
      </c>
      <c r="O10" s="670">
        <f>K10-L10</f>
        <v>0</v>
      </c>
    </row>
    <row r="11" spans="1:15" ht="24" customHeight="1" x14ac:dyDescent="0.2">
      <c r="C11" s="744"/>
      <c r="D11" s="744"/>
      <c r="E11" s="744"/>
      <c r="F11" s="745"/>
      <c r="G11" s="958"/>
      <c r="H11" s="742"/>
      <c r="I11" s="743"/>
      <c r="J11" s="97" t="s">
        <v>201</v>
      </c>
      <c r="K11" s="743">
        <f>+I11</f>
        <v>0</v>
      </c>
      <c r="L11" s="743"/>
      <c r="M11" s="99" t="s">
        <v>201</v>
      </c>
      <c r="O11" s="670">
        <f>K11-L11</f>
        <v>0</v>
      </c>
    </row>
    <row r="12" spans="1:15" ht="24" customHeight="1" x14ac:dyDescent="0.2">
      <c r="C12" s="744"/>
      <c r="D12" s="744"/>
      <c r="E12" s="744"/>
      <c r="F12" s="745"/>
      <c r="G12" s="958"/>
      <c r="H12" s="742"/>
      <c r="I12" s="743"/>
      <c r="J12" s="97" t="s">
        <v>201</v>
      </c>
      <c r="K12" s="743">
        <f>+I12</f>
        <v>0</v>
      </c>
      <c r="L12" s="743"/>
      <c r="M12" s="99" t="s">
        <v>201</v>
      </c>
      <c r="O12" s="670">
        <f>K12-L12</f>
        <v>0</v>
      </c>
    </row>
    <row r="13" spans="1:15" ht="24" customHeight="1" x14ac:dyDescent="0.2">
      <c r="C13" s="744"/>
      <c r="D13" s="744"/>
      <c r="E13" s="744"/>
      <c r="F13" s="745"/>
      <c r="G13" s="958"/>
      <c r="H13" s="742"/>
      <c r="I13" s="743"/>
      <c r="J13" s="97" t="s">
        <v>201</v>
      </c>
      <c r="K13" s="743">
        <f>+I13</f>
        <v>0</v>
      </c>
      <c r="L13" s="743"/>
      <c r="M13" s="99" t="s">
        <v>201</v>
      </c>
      <c r="O13" s="670">
        <f>K13-L13</f>
        <v>0</v>
      </c>
    </row>
    <row r="14" spans="1:15" ht="21.95" customHeight="1" x14ac:dyDescent="0.25">
      <c r="C14" s="43"/>
      <c r="D14" s="106" t="s">
        <v>323</v>
      </c>
      <c r="E14" s="16"/>
      <c r="F14" s="17"/>
      <c r="G14" s="93" t="s">
        <v>200</v>
      </c>
      <c r="H14" s="97" t="s">
        <v>201</v>
      </c>
      <c r="I14" s="98" t="s">
        <v>201</v>
      </c>
      <c r="J14" s="97" t="s">
        <v>201</v>
      </c>
      <c r="K14" s="98" t="s">
        <v>201</v>
      </c>
      <c r="L14" s="98" t="s">
        <v>201</v>
      </c>
      <c r="M14" s="99" t="s">
        <v>201</v>
      </c>
    </row>
    <row r="15" spans="1:15" ht="12.75" customHeight="1" x14ac:dyDescent="0.2">
      <c r="C15" s="104"/>
      <c r="D15" s="104"/>
      <c r="E15" s="62" t="s">
        <v>324</v>
      </c>
      <c r="F15" s="130"/>
      <c r="G15" s="131"/>
      <c r="H15" s="1751"/>
      <c r="I15" s="1751"/>
      <c r="J15" s="1751"/>
      <c r="K15" s="1751">
        <f>+I15</f>
        <v>0</v>
      </c>
      <c r="L15" s="1751"/>
      <c r="M15" s="1753">
        <f>IFERROR(IF(+K15-L15&gt;=0,K15-L15,"*")-O16,"*")</f>
        <v>0</v>
      </c>
    </row>
    <row r="16" spans="1:15" ht="12.75" customHeight="1" x14ac:dyDescent="0.2">
      <c r="C16" s="87"/>
      <c r="D16" s="87"/>
      <c r="E16" s="87"/>
      <c r="F16" s="178" t="s">
        <v>594</v>
      </c>
      <c r="G16" s="132" t="s">
        <v>576</v>
      </c>
      <c r="H16" s="1752"/>
      <c r="I16" s="1752"/>
      <c r="J16" s="1752"/>
      <c r="K16" s="1752"/>
      <c r="L16" s="1752"/>
      <c r="M16" s="1754"/>
      <c r="O16" s="1434"/>
    </row>
    <row r="17" spans="2:15" ht="24" customHeight="1" x14ac:dyDescent="0.2">
      <c r="C17" s="16"/>
      <c r="D17" s="16"/>
      <c r="E17" s="16"/>
      <c r="F17" s="17" t="s">
        <v>221</v>
      </c>
      <c r="G17" s="93" t="s">
        <v>577</v>
      </c>
      <c r="H17" s="742"/>
      <c r="I17" s="743"/>
      <c r="J17" s="742"/>
      <c r="K17" s="868">
        <f t="shared" ref="K17:K24" si="0">+I17</f>
        <v>0</v>
      </c>
      <c r="L17" s="743"/>
      <c r="M17" s="370">
        <f>IFERROR(IF(+K17-L17&gt;=0,K17-L17,"*")-O17,"*")</f>
        <v>0</v>
      </c>
      <c r="O17" s="1434"/>
    </row>
    <row r="18" spans="2:15" ht="24" customHeight="1" x14ac:dyDescent="0.2">
      <c r="C18" s="16"/>
      <c r="D18" s="16"/>
      <c r="E18" s="1731" t="s">
        <v>325</v>
      </c>
      <c r="F18" s="1750"/>
      <c r="G18" s="93" t="s">
        <v>578</v>
      </c>
      <c r="H18" s="742"/>
      <c r="I18" s="743"/>
      <c r="J18" s="742"/>
      <c r="K18" s="868">
        <f t="shared" si="0"/>
        <v>0</v>
      </c>
      <c r="L18" s="743"/>
      <c r="M18" s="370">
        <f>IFERROR(IF(+K18-L18&gt;=0,K18-L18,"*")-O18,"*")</f>
        <v>0</v>
      </c>
      <c r="O18" s="1434"/>
    </row>
    <row r="19" spans="2:15" ht="24" customHeight="1" x14ac:dyDescent="0.2">
      <c r="C19" s="744"/>
      <c r="D19" s="744"/>
      <c r="E19" s="744"/>
      <c r="F19" s="745"/>
      <c r="G19" s="958"/>
      <c r="H19" s="742"/>
      <c r="I19" s="743"/>
      <c r="J19" s="742"/>
      <c r="K19" s="868">
        <f t="shared" si="0"/>
        <v>0</v>
      </c>
      <c r="L19" s="743"/>
      <c r="M19" s="370">
        <f>IFERROR(IF(+K19-L19&gt;=0,K19-L19,"*")-O19,"*")</f>
        <v>0</v>
      </c>
      <c r="O19" s="1434"/>
    </row>
    <row r="20" spans="2:15" ht="24" customHeight="1" x14ac:dyDescent="0.2">
      <c r="C20" s="744"/>
      <c r="D20" s="744"/>
      <c r="E20" s="744"/>
      <c r="F20" s="745"/>
      <c r="G20" s="958"/>
      <c r="H20" s="742"/>
      <c r="I20" s="743"/>
      <c r="J20" s="742"/>
      <c r="K20" s="868">
        <f t="shared" si="0"/>
        <v>0</v>
      </c>
      <c r="L20" s="743"/>
      <c r="M20" s="370">
        <f>IFERROR(IF(+K20-L20&gt;=0,K20-L20,"*")-O20,"*")</f>
        <v>0</v>
      </c>
      <c r="O20" s="1434"/>
    </row>
    <row r="21" spans="2:15" ht="24" customHeight="1" x14ac:dyDescent="0.2">
      <c r="C21" s="744"/>
      <c r="D21" s="744"/>
      <c r="E21" s="744"/>
      <c r="F21" s="745"/>
      <c r="G21" s="958"/>
      <c r="H21" s="742"/>
      <c r="I21" s="743"/>
      <c r="J21" s="742"/>
      <c r="K21" s="868">
        <f t="shared" si="0"/>
        <v>0</v>
      </c>
      <c r="L21" s="743"/>
      <c r="M21" s="370">
        <f>IFERROR(IF(+K21-L21&gt;=0,K21-L21,"*")-O21,"*")</f>
        <v>0</v>
      </c>
      <c r="O21" s="1434"/>
    </row>
    <row r="22" spans="2:15" ht="24" customHeight="1" x14ac:dyDescent="0.25">
      <c r="C22" s="43" t="s">
        <v>326</v>
      </c>
      <c r="D22" s="16"/>
      <c r="E22" s="50"/>
      <c r="F22" s="17"/>
      <c r="G22" s="93" t="s">
        <v>579</v>
      </c>
      <c r="H22" s="742"/>
      <c r="I22" s="743"/>
      <c r="J22" s="742"/>
      <c r="K22" s="868">
        <f t="shared" si="0"/>
        <v>0</v>
      </c>
      <c r="L22" s="743"/>
      <c r="M22" s="99" t="s">
        <v>201</v>
      </c>
      <c r="O22" s="670">
        <f>K22-L22</f>
        <v>0</v>
      </c>
    </row>
    <row r="23" spans="2:15" ht="24" customHeight="1" x14ac:dyDescent="0.25">
      <c r="C23" s="43" t="s">
        <v>327</v>
      </c>
      <c r="D23" s="16"/>
      <c r="E23" s="16"/>
      <c r="F23" s="17"/>
      <c r="G23" s="93" t="s">
        <v>580</v>
      </c>
      <c r="H23" s="742"/>
      <c r="I23" s="743"/>
      <c r="J23" s="97" t="s">
        <v>201</v>
      </c>
      <c r="K23" s="868">
        <f t="shared" si="0"/>
        <v>0</v>
      </c>
      <c r="L23" s="743"/>
      <c r="M23" s="99" t="s">
        <v>201</v>
      </c>
      <c r="O23" s="670">
        <f>K23-L23</f>
        <v>0</v>
      </c>
    </row>
    <row r="24" spans="2:15" ht="24" customHeight="1" thickBot="1" x14ac:dyDescent="0.3">
      <c r="C24" s="43" t="s">
        <v>328</v>
      </c>
      <c r="D24" s="16"/>
      <c r="E24" s="16"/>
      <c r="F24" s="17"/>
      <c r="G24" s="93" t="s">
        <v>581</v>
      </c>
      <c r="H24" s="905"/>
      <c r="I24" s="865"/>
      <c r="J24" s="108" t="s">
        <v>201</v>
      </c>
      <c r="K24" s="868">
        <f t="shared" si="0"/>
        <v>0</v>
      </c>
      <c r="L24" s="865"/>
      <c r="M24" s="149" t="s">
        <v>201</v>
      </c>
      <c r="O24" s="670">
        <f>K24-L24</f>
        <v>0</v>
      </c>
    </row>
    <row r="25" spans="2:15" ht="21.95" customHeight="1" thickTop="1" thickBot="1" x14ac:dyDescent="0.3">
      <c r="C25" s="18"/>
      <c r="D25" s="565" t="str">
        <f>"TOTAL "&amp;UPPER('Key Inputs'!E44)&amp;" UTILITY  APPROPRIATIONS"</f>
        <v>TOTAL  UTILITY  APPROPRIATIONS</v>
      </c>
      <c r="E25" s="566"/>
      <c r="F25" s="567"/>
      <c r="G25" s="102" t="s">
        <v>400</v>
      </c>
      <c r="H25" s="122">
        <f>+SUM(H9:H24)+SUM('32b-Utility6'!H8:H26)+SUM('32-Utility6:32a-Utility6'!H8:H26)</f>
        <v>0</v>
      </c>
      <c r="I25" s="122">
        <f>+SUM(I9:I24)+SUM('32b-Utility6'!I8:I26)+SUM('32-Utility6:32a-Utility6'!I8:I26)</f>
        <v>0</v>
      </c>
      <c r="J25" s="122">
        <f>+SUM(J9:J24)+SUM('32b-Utility6'!J8:J26)+SUM('32-Utility6:32a-Utility6'!J8:J26)</f>
        <v>0</v>
      </c>
      <c r="K25" s="122">
        <f>+SUM(K9:K24)+SUM('32b-Utility6'!K8:K26)+SUM('32-Utility6:32a-Utility6'!K8:K26)</f>
        <v>0</v>
      </c>
      <c r="L25" s="122">
        <f>+SUM(L9:L24)+SUM('32b-Utility6'!L8:L26)+SUM('32-Utility6:32a-Utility6'!L8:L26)</f>
        <v>0</v>
      </c>
      <c r="M25" s="137">
        <f>+SUM(M9:M24)+SUM('32b-Utility6'!M8:M26)+SUM('32-Utility6:32a-Utility6'!M8:M26)</f>
        <v>0</v>
      </c>
      <c r="O25" s="29">
        <f>K25-L25-M25</f>
        <v>0</v>
      </c>
    </row>
    <row r="26" spans="2:15" ht="16.5" thickTop="1" x14ac:dyDescent="0.25">
      <c r="B26" s="1617" t="s">
        <v>320</v>
      </c>
      <c r="C26" s="1617"/>
      <c r="D26" s="1617"/>
      <c r="E26" s="1617"/>
      <c r="F26" s="1617"/>
      <c r="G26" s="1617"/>
      <c r="H26" s="1617"/>
      <c r="I26" s="1617"/>
      <c r="J26" s="1617"/>
      <c r="K26" s="1617"/>
      <c r="L26" s="1617"/>
      <c r="M26" s="1617"/>
    </row>
    <row r="29" spans="2:15" x14ac:dyDescent="0.2">
      <c r="H29" s="29"/>
    </row>
  </sheetData>
  <sheetProtection algorithmName="SHA-512" hashValue="KMmil7YuaQo9gKJjvQ8v55i8b4MhjxqxhbDW6T3cmQPw+xDH50JiCBzAoTQI03Az8XDuKMGr/Y3Su4BJ+GW2fQ==" saltValue="+JZDXNkfazORfaSmlar5gw==" spinCount="100000" sheet="1" objects="1" scenarios="1"/>
  <mergeCells count="11">
    <mergeCell ref="B2:M2"/>
    <mergeCell ref="H3:K3"/>
    <mergeCell ref="L3:M3"/>
    <mergeCell ref="E18:F18"/>
    <mergeCell ref="B26:M26"/>
    <mergeCell ref="H15:H16"/>
    <mergeCell ref="I15:I16"/>
    <mergeCell ref="J15:J16"/>
    <mergeCell ref="K15:K16"/>
    <mergeCell ref="L15:L16"/>
    <mergeCell ref="M15:M16"/>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8C00-000000000000}">
          <x14:formula1>
            <xm:f>'Other Codes'!$K$2:$K$4</xm:f>
          </x14:formula1>
          <xm:sqref>G10:G13 G19:G21</xm:sqref>
        </x14:dataValidation>
      </x14:dataValidations>
    </ext>
  </extLst>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sheetPr codeName="Sheet130"/>
  <dimension ref="A2:O31"/>
  <sheetViews>
    <sheetView zoomScale="110" zoomScaleNormal="110" workbookViewId="0">
      <selection activeCell="L29" sqref="L29"/>
    </sheetView>
  </sheetViews>
  <sheetFormatPr defaultRowHeight="12.75" x14ac:dyDescent="0.2"/>
  <cols>
    <col min="1" max="3" width="3.7109375" customWidth="1"/>
    <col min="4" max="4" width="4.7109375" customWidth="1"/>
    <col min="5" max="5" width="5.7109375" customWidth="1"/>
    <col min="6" max="6" width="11.7109375" customWidth="1"/>
    <col min="7" max="7" width="42.7109375" customWidth="1"/>
    <col min="8" max="8" width="11.7109375" customWidth="1"/>
    <col min="9" max="10" width="19.7109375" customWidth="1"/>
    <col min="11" max="11" width="20.7109375" customWidth="1"/>
    <col min="12" max="15" width="6.7109375" customWidth="1"/>
  </cols>
  <sheetData>
    <row r="2" spans="3:11" ht="20.25" x14ac:dyDescent="0.3">
      <c r="E2" s="1582" t="s">
        <v>590</v>
      </c>
      <c r="F2" s="1582"/>
      <c r="G2" s="1582"/>
      <c r="H2" s="1582"/>
      <c r="I2" s="1582"/>
      <c r="J2" s="1582"/>
      <c r="K2" s="1582"/>
    </row>
    <row r="3" spans="3:11" ht="13.5" thickBot="1" x14ac:dyDescent="0.25"/>
    <row r="4" spans="3:11" ht="20.45" customHeight="1" thickTop="1" x14ac:dyDescent="0.25">
      <c r="E4" s="238"/>
      <c r="F4" s="238"/>
      <c r="G4" s="238"/>
      <c r="H4" s="37"/>
      <c r="I4" s="1702" t="s">
        <v>27</v>
      </c>
      <c r="J4" s="1703"/>
      <c r="K4" s="34" t="s">
        <v>28</v>
      </c>
    </row>
    <row r="5" spans="3:11" ht="20.45" customHeight="1" thickBot="1" x14ac:dyDescent="0.3">
      <c r="E5" s="53" t="s">
        <v>582</v>
      </c>
      <c r="F5" s="2"/>
      <c r="G5" s="2"/>
      <c r="H5" s="427" t="s">
        <v>605</v>
      </c>
      <c r="I5" s="36" t="str">
        <f>'Key Inputs'!E$34</f>
        <v>2021</v>
      </c>
      <c r="J5" s="36">
        <f>I5-1</f>
        <v>2020</v>
      </c>
      <c r="K5" s="35" t="str">
        <f>"Cash in "&amp;J5</f>
        <v>Cash in 2020</v>
      </c>
    </row>
    <row r="6" spans="3:11" ht="15.95" customHeight="1" thickTop="1" x14ac:dyDescent="0.2">
      <c r="E6" s="14" t="s">
        <v>583</v>
      </c>
      <c r="F6" s="239"/>
      <c r="G6" s="239"/>
      <c r="H6" s="430" t="s">
        <v>38</v>
      </c>
      <c r="I6" s="891"/>
      <c r="J6" s="891"/>
      <c r="K6" s="964"/>
    </row>
    <row r="7" spans="3:11" ht="15.95" customHeight="1" x14ac:dyDescent="0.2">
      <c r="E7" s="961"/>
      <c r="F7" s="962"/>
      <c r="G7" s="962"/>
      <c r="H7" s="963"/>
      <c r="I7" s="868"/>
      <c r="J7" s="868"/>
      <c r="K7" s="869"/>
    </row>
    <row r="8" spans="3:11" ht="15.95" customHeight="1" thickBot="1" x14ac:dyDescent="0.25">
      <c r="C8" s="46"/>
      <c r="D8" s="47"/>
      <c r="E8" s="16" t="s">
        <v>584</v>
      </c>
      <c r="F8" s="45"/>
      <c r="G8" s="45"/>
      <c r="H8" s="428" t="s">
        <v>39</v>
      </c>
      <c r="I8" s="865"/>
      <c r="J8" s="865"/>
      <c r="K8" s="866"/>
    </row>
    <row r="9" spans="3:11" ht="20.45" customHeight="1" thickBot="1" x14ac:dyDescent="0.25">
      <c r="C9" s="51"/>
      <c r="D9" s="52"/>
      <c r="E9" s="240"/>
      <c r="F9" s="240"/>
      <c r="G9" s="240" t="s">
        <v>585</v>
      </c>
      <c r="H9" s="429" t="s">
        <v>40</v>
      </c>
      <c r="I9" s="79">
        <f>SUM(I6:I8)</f>
        <v>0</v>
      </c>
      <c r="J9" s="79">
        <f>SUM(J6:J8)</f>
        <v>0</v>
      </c>
      <c r="K9" s="80">
        <f>SUM(K6:K8)</f>
        <v>0</v>
      </c>
    </row>
    <row r="10" spans="3:11" ht="20.45" customHeight="1" x14ac:dyDescent="0.25">
      <c r="C10" s="49"/>
      <c r="D10" s="49"/>
      <c r="E10" s="244"/>
      <c r="F10" s="244"/>
      <c r="G10" s="244"/>
      <c r="H10" s="425"/>
      <c r="I10" s="1755" t="s">
        <v>23</v>
      </c>
      <c r="J10" s="1756"/>
      <c r="K10" s="369" t="str">
        <f>"Expended "&amp;J$5</f>
        <v>Expended 2020</v>
      </c>
    </row>
    <row r="11" spans="3:11" ht="20.45" customHeight="1" x14ac:dyDescent="0.25">
      <c r="C11" s="49"/>
      <c r="D11" s="49"/>
      <c r="E11" s="42" t="s">
        <v>587</v>
      </c>
      <c r="F11" s="48"/>
      <c r="G11" s="48"/>
      <c r="H11" s="426"/>
      <c r="I11" s="243" t="str">
        <f>I5</f>
        <v>2021</v>
      </c>
      <c r="J11" s="243">
        <f>I11-1</f>
        <v>2020</v>
      </c>
      <c r="K11" s="242" t="s">
        <v>586</v>
      </c>
    </row>
    <row r="12" spans="3:11" ht="15.95" customHeight="1" x14ac:dyDescent="0.2">
      <c r="C12" s="49"/>
      <c r="D12" s="49"/>
      <c r="E12" s="16" t="s">
        <v>254</v>
      </c>
      <c r="F12" s="45"/>
      <c r="G12" s="45"/>
      <c r="H12" s="428" t="s">
        <v>41</v>
      </c>
      <c r="I12" s="743"/>
      <c r="J12" s="743"/>
      <c r="K12" s="860"/>
    </row>
    <row r="13" spans="3:11" ht="15.95" customHeight="1" x14ac:dyDescent="0.2">
      <c r="C13" s="49"/>
      <c r="D13" s="49"/>
      <c r="E13" s="16" t="s">
        <v>272</v>
      </c>
      <c r="F13" s="45"/>
      <c r="G13" s="45"/>
      <c r="H13" s="428" t="s">
        <v>42</v>
      </c>
      <c r="I13" s="743"/>
      <c r="J13" s="743"/>
      <c r="K13" s="860"/>
    </row>
    <row r="14" spans="3:11" ht="15.95" customHeight="1" x14ac:dyDescent="0.2">
      <c r="C14" s="49"/>
      <c r="D14" s="49"/>
      <c r="E14" s="748"/>
      <c r="F14" s="749"/>
      <c r="G14" s="749"/>
      <c r="H14" s="750"/>
      <c r="I14" s="865"/>
      <c r="J14" s="865"/>
      <c r="K14" s="866"/>
    </row>
    <row r="15" spans="3:11" ht="20.45" customHeight="1" thickBot="1" x14ac:dyDescent="0.25">
      <c r="C15" s="49"/>
      <c r="D15" s="49"/>
      <c r="E15" s="245"/>
      <c r="F15" s="245"/>
      <c r="G15" s="245" t="s">
        <v>588</v>
      </c>
      <c r="H15" s="431" t="s">
        <v>43</v>
      </c>
      <c r="I15" s="23">
        <f>SUM(I12:I14)</f>
        <v>0</v>
      </c>
      <c r="J15" s="23">
        <f>SUM(J12:J14)</f>
        <v>0</v>
      </c>
      <c r="K15" s="60">
        <f>SUM(K12:K14)</f>
        <v>0</v>
      </c>
    </row>
    <row r="16" spans="3:11" ht="13.5" customHeight="1" thickTop="1" x14ac:dyDescent="0.2">
      <c r="C16" s="49"/>
      <c r="D16" s="49"/>
      <c r="E16" s="246"/>
      <c r="F16" s="246"/>
      <c r="G16" s="246"/>
      <c r="H16" s="246"/>
      <c r="I16" s="247"/>
      <c r="J16" s="247"/>
      <c r="K16" s="247"/>
    </row>
    <row r="17" spans="1:15" ht="20.45" customHeight="1" x14ac:dyDescent="0.3">
      <c r="C17" s="49"/>
      <c r="D17" s="49"/>
      <c r="E17" s="1757" t="str">
        <f>"DEDICATED ASSESSMENT BUDGET "&amp;UPPER('Key Inputs'!E46)&amp;" UTILITY"</f>
        <v>DEDICATED ASSESSMENT BUDGET  UTILITY</v>
      </c>
      <c r="F17" s="1757"/>
      <c r="G17" s="1757"/>
      <c r="H17" s="1757"/>
      <c r="I17" s="1757"/>
      <c r="J17" s="1757"/>
      <c r="K17" s="1757"/>
    </row>
    <row r="18" spans="1:15" ht="13.5" customHeight="1" thickBot="1" x14ac:dyDescent="0.25">
      <c r="C18" s="49"/>
      <c r="D18" s="49"/>
    </row>
    <row r="19" spans="1:15" ht="20.45" customHeight="1" thickTop="1" x14ac:dyDescent="0.25">
      <c r="C19" s="49"/>
      <c r="D19" s="49"/>
      <c r="E19" s="238"/>
      <c r="F19" s="238"/>
      <c r="G19" s="238"/>
      <c r="H19" s="37"/>
      <c r="I19" s="1702" t="s">
        <v>27</v>
      </c>
      <c r="J19" s="1703"/>
      <c r="K19" s="34" t="s">
        <v>28</v>
      </c>
    </row>
    <row r="20" spans="1:15" ht="20.45" customHeight="1" thickBot="1" x14ac:dyDescent="0.3">
      <c r="C20" s="49"/>
      <c r="D20" s="49"/>
      <c r="E20" s="53" t="s">
        <v>582</v>
      </c>
      <c r="F20" s="2"/>
      <c r="G20" s="2"/>
      <c r="H20" s="427" t="s">
        <v>605</v>
      </c>
      <c r="I20" s="36" t="str">
        <f>'Key Inputs'!E$34</f>
        <v>2021</v>
      </c>
      <c r="J20" s="36">
        <f>I20-1</f>
        <v>2020</v>
      </c>
      <c r="K20" s="35" t="str">
        <f>"Cash in "&amp;J20</f>
        <v>Cash in 2020</v>
      </c>
    </row>
    <row r="21" spans="1:15" ht="15.95" customHeight="1" thickTop="1" x14ac:dyDescent="0.2">
      <c r="C21" s="49"/>
      <c r="D21" s="49"/>
      <c r="E21" s="14" t="s">
        <v>583</v>
      </c>
      <c r="F21" s="239"/>
      <c r="G21" s="239"/>
      <c r="H21" s="430" t="s">
        <v>44</v>
      </c>
      <c r="I21" s="891"/>
      <c r="J21" s="891"/>
      <c r="K21" s="964"/>
    </row>
    <row r="22" spans="1:15" ht="15.95" customHeight="1" x14ac:dyDescent="0.2">
      <c r="C22" s="49"/>
      <c r="D22" s="49"/>
      <c r="E22" s="961"/>
      <c r="F22" s="962"/>
      <c r="G22" s="962"/>
      <c r="H22" s="965"/>
      <c r="I22" s="868"/>
      <c r="J22" s="868"/>
      <c r="K22" s="869"/>
    </row>
    <row r="23" spans="1:15" ht="15.95" customHeight="1" thickBot="1" x14ac:dyDescent="0.25">
      <c r="C23" s="49"/>
      <c r="D23" s="49"/>
      <c r="E23" s="573" t="str">
        <f>"Deficit ("&amp;'Key Inputs'!E46&amp;" Utility Budget)"</f>
        <v>Deficit ( Utility Budget)</v>
      </c>
      <c r="F23" s="574"/>
      <c r="G23" s="574"/>
      <c r="H23" s="428" t="s">
        <v>45</v>
      </c>
      <c r="I23" s="865"/>
      <c r="J23" s="865"/>
      <c r="K23" s="866"/>
    </row>
    <row r="24" spans="1:15" ht="20.45" customHeight="1" thickBot="1" x14ac:dyDescent="0.25">
      <c r="C24" s="49"/>
      <c r="D24" s="49"/>
      <c r="E24" s="575" t="str">
        <f>"Total "&amp;'Key Inputs'!E46&amp;" Utility Assessment Revenues"</f>
        <v>Total  Utility Assessment Revenues</v>
      </c>
      <c r="F24" s="576"/>
      <c r="G24" s="576"/>
      <c r="H24" s="429" t="s">
        <v>46</v>
      </c>
      <c r="I24" s="1207">
        <f>SUM(I20:I23)</f>
        <v>0</v>
      </c>
      <c r="J24" s="1207">
        <f>SUM(J21:J23)</f>
        <v>0</v>
      </c>
      <c r="K24" s="1208">
        <f>SUM(K20:K23)</f>
        <v>0</v>
      </c>
    </row>
    <row r="25" spans="1:15" ht="20.45" customHeight="1" x14ac:dyDescent="0.25">
      <c r="C25" s="49"/>
      <c r="D25" s="49"/>
      <c r="E25" s="244"/>
      <c r="F25" s="244"/>
      <c r="G25" s="244"/>
      <c r="H25" s="433"/>
      <c r="I25" s="1755" t="s">
        <v>23</v>
      </c>
      <c r="J25" s="1756"/>
      <c r="K25" s="369" t="str">
        <f>"Expended "&amp;J$5</f>
        <v>Expended 2020</v>
      </c>
    </row>
    <row r="26" spans="1:15" ht="20.45" customHeight="1" x14ac:dyDescent="0.25">
      <c r="C26" s="49"/>
      <c r="D26" s="49"/>
      <c r="E26" s="42" t="s">
        <v>587</v>
      </c>
      <c r="F26" s="48"/>
      <c r="G26" s="48"/>
      <c r="H26" s="434"/>
      <c r="I26" s="243" t="str">
        <f>I5</f>
        <v>2021</v>
      </c>
      <c r="J26" s="243">
        <f>I26-1</f>
        <v>2020</v>
      </c>
      <c r="K26" s="242" t="s">
        <v>586</v>
      </c>
    </row>
    <row r="27" spans="1:15" ht="15.95" customHeight="1" x14ac:dyDescent="0.2">
      <c r="C27" s="49"/>
      <c r="D27" s="49"/>
      <c r="E27" s="16" t="s">
        <v>254</v>
      </c>
      <c r="F27" s="45"/>
      <c r="G27" s="45"/>
      <c r="H27" s="428" t="s">
        <v>47</v>
      </c>
      <c r="I27" s="743"/>
      <c r="J27" s="743"/>
      <c r="K27" s="860"/>
    </row>
    <row r="28" spans="1:15" ht="15.95" customHeight="1" x14ac:dyDescent="0.2">
      <c r="C28" s="49"/>
      <c r="D28" s="49"/>
      <c r="E28" s="16" t="s">
        <v>272</v>
      </c>
      <c r="F28" s="45"/>
      <c r="G28" s="45"/>
      <c r="H28" s="428" t="s">
        <v>48</v>
      </c>
      <c r="I28" s="743"/>
      <c r="J28" s="743"/>
      <c r="K28" s="860"/>
    </row>
    <row r="29" spans="1:15" ht="15.95" customHeight="1" x14ac:dyDescent="0.2">
      <c r="C29" s="49"/>
      <c r="D29" s="49"/>
      <c r="E29" s="748"/>
      <c r="F29" s="749"/>
      <c r="G29" s="749"/>
      <c r="H29" s="750"/>
      <c r="I29" s="865"/>
      <c r="J29" s="865"/>
      <c r="K29" s="866"/>
    </row>
    <row r="30" spans="1:15" ht="20.45" customHeight="1" thickBot="1" x14ac:dyDescent="0.25">
      <c r="C30" s="49"/>
      <c r="D30" s="49"/>
      <c r="E30" s="577" t="str">
        <f>"Total "&amp;'Key Inputs'!E46&amp;" Utility Assessment  Appropriations"</f>
        <v>Total  Utility Assessment  Appropriations</v>
      </c>
      <c r="F30" s="577"/>
      <c r="G30" s="577"/>
      <c r="H30" s="431" t="s">
        <v>49</v>
      </c>
      <c r="I30" s="553">
        <f>SUM(I27:I29)</f>
        <v>0</v>
      </c>
      <c r="J30" s="553">
        <f>SUM(J27:J29)</f>
        <v>0</v>
      </c>
      <c r="K30" s="636">
        <f>SUM(K27:K29)</f>
        <v>0</v>
      </c>
    </row>
    <row r="31" spans="1:15" ht="16.5" thickTop="1" x14ac:dyDescent="0.25">
      <c r="A31" s="1616" t="s">
        <v>589</v>
      </c>
      <c r="B31" s="1616"/>
      <c r="C31" s="1616"/>
      <c r="D31" s="1616"/>
      <c r="E31" s="1616"/>
      <c r="F31" s="1616"/>
      <c r="G31" s="1616"/>
      <c r="H31" s="1616"/>
      <c r="I31" s="1616"/>
      <c r="J31" s="1616"/>
      <c r="K31" s="1616"/>
      <c r="L31" s="1616"/>
      <c r="M31" s="1616"/>
      <c r="N31" s="1616"/>
      <c r="O31" s="1616"/>
    </row>
  </sheetData>
  <sheetProtection algorithmName="SHA-512" hashValue="f2KYfM/58L56yVvQ2UQdL3jTNspT660P3lD0ZjdR2RVojwy9WwMyX1IRspsr1HEtPpDE+fGtx0iBQI0h/IvILA==" saltValue="ukUBourob56UF82UTQQ9jw==" spinCount="100000" sheet="1" objects="1" scenarios="1"/>
  <mergeCells count="7">
    <mergeCell ref="A31:O31"/>
    <mergeCell ref="I4:J4"/>
    <mergeCell ref="E2:K2"/>
    <mergeCell ref="I10:J10"/>
    <mergeCell ref="I19:J19"/>
    <mergeCell ref="I25:J25"/>
    <mergeCell ref="E17:K17"/>
  </mergeCells>
  <phoneticPr fontId="0" type="noConversion"/>
  <pageMargins left="0.25" right="0.3" top="0.25" bottom="0.75" header="0.25" footer="0.25"/>
  <pageSetup paperSize="5"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sheetPr codeName="Sheet131"/>
  <dimension ref="A2:L36"/>
  <sheetViews>
    <sheetView zoomScaleNormal="100" workbookViewId="0">
      <selection activeCell="C28" sqref="C28"/>
    </sheetView>
  </sheetViews>
  <sheetFormatPr defaultRowHeight="12.75" x14ac:dyDescent="0.2"/>
  <cols>
    <col min="1" max="2" width="3.7109375" customWidth="1"/>
    <col min="3" max="3" width="5.7109375" customWidth="1"/>
    <col min="4" max="4" width="11.7109375" customWidth="1"/>
    <col min="5" max="5" width="42.7109375" customWidth="1"/>
    <col min="6" max="6" width="10.7109375" customWidth="1"/>
    <col min="7" max="9" width="19.7109375" customWidth="1"/>
    <col min="12" max="12" width="17.7109375" customWidth="1"/>
  </cols>
  <sheetData>
    <row r="2" spans="2:9" ht="20.25" x14ac:dyDescent="0.3">
      <c r="C2" s="1757" t="str">
        <f>"DEDICATED  ASSESSMENT  BUDGET  "&amp;UPPER('Key Inputs'!E47)&amp;" UTILITY"</f>
        <v>DEDICATED  ASSESSMENT  BUDGET   UTILITY</v>
      </c>
      <c r="D2" s="1757"/>
      <c r="E2" s="1757"/>
      <c r="F2" s="1757"/>
      <c r="G2" s="1757"/>
      <c r="H2" s="1757"/>
      <c r="I2" s="1757"/>
    </row>
    <row r="3" spans="2:9" ht="13.5" thickBot="1" x14ac:dyDescent="0.25"/>
    <row r="4" spans="2:9" ht="20.45" customHeight="1" thickTop="1" x14ac:dyDescent="0.25">
      <c r="C4" s="238"/>
      <c r="D4" s="238"/>
      <c r="E4" s="238"/>
      <c r="F4" s="37"/>
      <c r="G4" s="1702" t="s">
        <v>27</v>
      </c>
      <c r="H4" s="1703"/>
      <c r="I4" s="34" t="s">
        <v>28</v>
      </c>
    </row>
    <row r="5" spans="2:9" ht="20.45" customHeight="1" thickBot="1" x14ac:dyDescent="0.3">
      <c r="C5" s="53" t="s">
        <v>582</v>
      </c>
      <c r="D5" s="2"/>
      <c r="E5" s="2"/>
      <c r="F5" s="427" t="s">
        <v>605</v>
      </c>
      <c r="G5" s="36" t="str">
        <f>'Key Inputs'!E$34</f>
        <v>2021</v>
      </c>
      <c r="H5" s="36">
        <f>G5-1</f>
        <v>2020</v>
      </c>
      <c r="I5" s="35" t="str">
        <f>"Cash in "&amp;H5</f>
        <v>Cash in 2020</v>
      </c>
    </row>
    <row r="6" spans="2:9" ht="15.95" customHeight="1" thickTop="1" x14ac:dyDescent="0.2">
      <c r="C6" s="14" t="s">
        <v>583</v>
      </c>
      <c r="D6" s="239"/>
      <c r="E6" s="239"/>
      <c r="F6" s="430" t="s">
        <v>50</v>
      </c>
      <c r="G6" s="891"/>
      <c r="H6" s="891"/>
      <c r="I6" s="964"/>
    </row>
    <row r="7" spans="2:9" ht="15.95" customHeight="1" x14ac:dyDescent="0.2">
      <c r="C7" s="961"/>
      <c r="D7" s="962"/>
      <c r="E7" s="962"/>
      <c r="F7" s="965"/>
      <c r="G7" s="868"/>
      <c r="H7" s="868"/>
      <c r="I7" s="869"/>
    </row>
    <row r="8" spans="2:9" ht="15.95" customHeight="1" thickBot="1" x14ac:dyDescent="0.25">
      <c r="B8" s="47"/>
      <c r="C8" s="16" t="str">
        <f>"Deficit ("&amp;'Key Inputs'!E47&amp;" Utility Budget)"</f>
        <v>Deficit ( Utility Budget)</v>
      </c>
      <c r="D8" s="45"/>
      <c r="E8" s="45"/>
      <c r="F8" s="428" t="s">
        <v>51</v>
      </c>
      <c r="G8" s="865"/>
      <c r="H8" s="865"/>
      <c r="I8" s="866"/>
    </row>
    <row r="9" spans="2:9" ht="20.45" customHeight="1" thickBot="1" x14ac:dyDescent="0.25">
      <c r="B9" s="52"/>
      <c r="C9" s="241" t="str">
        <f>"Total  "&amp;'Key Inputs'!E47&amp;" Utility Assessment Revenues"</f>
        <v>Total   Utility Assessment Revenues</v>
      </c>
      <c r="D9" s="240"/>
      <c r="E9" s="240"/>
      <c r="F9" s="429" t="s">
        <v>52</v>
      </c>
      <c r="G9" s="79">
        <f>SUM(G6:G8)</f>
        <v>0</v>
      </c>
      <c r="H9" s="79">
        <f>SUM(H6:H8)</f>
        <v>0</v>
      </c>
      <c r="I9" s="80">
        <f>SUM(I6:I8)</f>
        <v>0</v>
      </c>
    </row>
    <row r="10" spans="2:9" ht="20.45" customHeight="1" x14ac:dyDescent="0.25">
      <c r="B10" s="49"/>
      <c r="C10" s="244"/>
      <c r="D10" s="244"/>
      <c r="E10" s="244"/>
      <c r="F10" s="433"/>
      <c r="G10" s="1755" t="s">
        <v>23</v>
      </c>
      <c r="H10" s="1756"/>
      <c r="I10" s="369" t="str">
        <f>"Expended "&amp;H$5</f>
        <v>Expended 2020</v>
      </c>
    </row>
    <row r="11" spans="2:9" ht="20.45" customHeight="1" x14ac:dyDescent="0.25">
      <c r="B11" s="49"/>
      <c r="C11" s="42" t="s">
        <v>587</v>
      </c>
      <c r="D11" s="48"/>
      <c r="E11" s="48"/>
      <c r="F11" s="434"/>
      <c r="G11" s="36" t="str">
        <f>'Key Inputs'!E$34</f>
        <v>2021</v>
      </c>
      <c r="H11" s="36">
        <f>G11-1</f>
        <v>2020</v>
      </c>
      <c r="I11" s="242" t="s">
        <v>586</v>
      </c>
    </row>
    <row r="12" spans="2:9" ht="15.95" customHeight="1" x14ac:dyDescent="0.2">
      <c r="B12" s="49"/>
      <c r="C12" s="16" t="s">
        <v>254</v>
      </c>
      <c r="D12" s="45"/>
      <c r="E12" s="45"/>
      <c r="F12" s="428" t="s">
        <v>53</v>
      </c>
      <c r="G12" s="743"/>
      <c r="H12" s="743"/>
      <c r="I12" s="860"/>
    </row>
    <row r="13" spans="2:9" ht="15.95" customHeight="1" x14ac:dyDescent="0.2">
      <c r="B13" s="49"/>
      <c r="C13" s="16" t="s">
        <v>272</v>
      </c>
      <c r="D13" s="45"/>
      <c r="E13" s="45"/>
      <c r="F13" s="428" t="s">
        <v>54</v>
      </c>
      <c r="G13" s="743"/>
      <c r="H13" s="743"/>
      <c r="I13" s="860"/>
    </row>
    <row r="14" spans="2:9" ht="15.95" customHeight="1" x14ac:dyDescent="0.2">
      <c r="B14" s="49"/>
      <c r="C14" s="748"/>
      <c r="D14" s="749"/>
      <c r="E14" s="749"/>
      <c r="F14" s="750"/>
      <c r="G14" s="865"/>
      <c r="H14" s="865"/>
      <c r="I14" s="866"/>
    </row>
    <row r="15" spans="2:9" ht="20.45" customHeight="1" thickBot="1" x14ac:dyDescent="0.25">
      <c r="B15" s="49"/>
      <c r="C15" s="577" t="str">
        <f>"Total "&amp;'Key Inputs'!E47&amp;" Utility Assessment  Appropriations"</f>
        <v>Total  Utility Assessment  Appropriations</v>
      </c>
      <c r="D15" s="577"/>
      <c r="E15" s="577"/>
      <c r="F15" s="431" t="s">
        <v>55</v>
      </c>
      <c r="G15" s="23">
        <f>SUM(G12:G14)</f>
        <v>0</v>
      </c>
      <c r="H15" s="23">
        <f>SUM(H12:H14)</f>
        <v>0</v>
      </c>
      <c r="I15" s="60">
        <f>SUM(I12:I14)</f>
        <v>0</v>
      </c>
    </row>
    <row r="16" spans="2:9" ht="13.5" customHeight="1" thickTop="1" x14ac:dyDescent="0.2">
      <c r="B16" s="49"/>
      <c r="C16" s="246"/>
      <c r="D16" s="246"/>
      <c r="E16" s="246"/>
      <c r="F16" s="246"/>
      <c r="G16" s="247"/>
      <c r="H16" s="247"/>
      <c r="I16" s="247"/>
    </row>
    <row r="17" spans="2:12" ht="13.5" customHeight="1" x14ac:dyDescent="0.2">
      <c r="B17" s="49"/>
      <c r="C17" s="52"/>
      <c r="D17" s="52"/>
      <c r="E17" s="52"/>
      <c r="F17" s="52"/>
      <c r="G17" s="164"/>
      <c r="H17" s="164"/>
      <c r="I17" s="164"/>
    </row>
    <row r="18" spans="2:12" ht="13.5" customHeight="1" x14ac:dyDescent="0.2">
      <c r="B18" s="49"/>
      <c r="C18" s="52"/>
      <c r="D18" s="52"/>
      <c r="E18" s="52"/>
      <c r="F18" s="52"/>
      <c r="G18" s="164"/>
      <c r="H18" s="164"/>
      <c r="I18" s="164"/>
    </row>
    <row r="19" spans="2:12" ht="13.5" customHeight="1" x14ac:dyDescent="0.25">
      <c r="B19" s="49"/>
      <c r="C19" s="12" t="s">
        <v>3367</v>
      </c>
      <c r="D19" s="249"/>
      <c r="E19" s="249"/>
      <c r="F19" s="249"/>
      <c r="G19" s="250"/>
      <c r="H19" s="250"/>
      <c r="I19" s="250"/>
      <c r="J19" s="49"/>
      <c r="K19" s="49"/>
      <c r="L19" s="49"/>
    </row>
    <row r="20" spans="2:12" ht="13.5" customHeight="1" x14ac:dyDescent="0.2">
      <c r="B20" s="49"/>
      <c r="C20" s="249"/>
      <c r="D20" s="249"/>
      <c r="E20" s="249"/>
      <c r="F20" s="249"/>
      <c r="G20" s="250"/>
      <c r="H20" s="250"/>
      <c r="I20" s="250"/>
      <c r="J20" s="49"/>
      <c r="K20" s="49"/>
      <c r="L20" s="49"/>
    </row>
    <row r="21" spans="2:12" ht="13.5" customHeight="1" x14ac:dyDescent="0.25">
      <c r="B21" s="49"/>
      <c r="C21" s="12" t="s">
        <v>591</v>
      </c>
      <c r="D21" s="249"/>
      <c r="E21" s="249"/>
      <c r="F21" s="249"/>
      <c r="G21" s="250"/>
      <c r="H21" s="250"/>
      <c r="I21" s="250"/>
      <c r="J21" s="49"/>
      <c r="K21" s="49"/>
      <c r="L21" s="49"/>
    </row>
    <row r="22" spans="2:12" ht="13.5" customHeight="1" x14ac:dyDescent="0.2">
      <c r="B22" s="49"/>
      <c r="C22" s="249"/>
      <c r="D22" s="249"/>
      <c r="E22" s="249"/>
      <c r="F22" s="249"/>
      <c r="G22" s="250"/>
      <c r="H22" s="250"/>
      <c r="I22" s="250"/>
      <c r="J22" s="49"/>
      <c r="K22" s="49"/>
      <c r="L22" s="49"/>
    </row>
    <row r="23" spans="2:12" ht="13.5" customHeight="1" x14ac:dyDescent="0.25">
      <c r="B23" s="49"/>
      <c r="C23" s="12" t="s">
        <v>3341</v>
      </c>
      <c r="D23" s="249"/>
      <c r="E23" s="249"/>
      <c r="F23" s="249"/>
      <c r="G23" s="250"/>
      <c r="H23" s="250"/>
      <c r="I23" s="250"/>
      <c r="J23" s="49"/>
      <c r="K23" s="49"/>
      <c r="L23" s="49"/>
    </row>
    <row r="24" spans="2:12" ht="13.5" customHeight="1" x14ac:dyDescent="0.2">
      <c r="B24" s="49"/>
      <c r="C24" s="249"/>
      <c r="D24" s="249"/>
      <c r="E24" s="249"/>
      <c r="F24" s="249"/>
      <c r="G24" s="250"/>
      <c r="H24" s="250"/>
      <c r="I24" s="250"/>
      <c r="J24" s="49"/>
      <c r="K24" s="49"/>
      <c r="L24" s="49"/>
    </row>
    <row r="25" spans="2:12" ht="13.5" customHeight="1" x14ac:dyDescent="0.25">
      <c r="B25" s="49"/>
      <c r="C25" s="12" t="s">
        <v>3340</v>
      </c>
      <c r="D25" s="249"/>
      <c r="E25" s="249"/>
      <c r="F25" s="249"/>
      <c r="G25" s="250"/>
      <c r="H25" s="250"/>
      <c r="I25" s="966"/>
      <c r="J25" s="1526" t="s">
        <v>6334</v>
      </c>
      <c r="K25" s="937"/>
      <c r="L25" s="937"/>
    </row>
    <row r="26" spans="2:12" ht="13.5" customHeight="1" x14ac:dyDescent="0.2">
      <c r="B26" s="49"/>
      <c r="C26" s="1526" t="s">
        <v>6335</v>
      </c>
      <c r="D26" s="937"/>
      <c r="E26" s="937"/>
      <c r="F26" s="937"/>
      <c r="G26" s="966"/>
      <c r="H26" s="966"/>
      <c r="I26" s="966"/>
      <c r="J26" s="937"/>
      <c r="K26" s="937"/>
      <c r="L26" s="937"/>
    </row>
    <row r="27" spans="2:12" ht="13.5" customHeight="1" x14ac:dyDescent="0.2">
      <c r="B27" s="49"/>
      <c r="C27" s="1526" t="s">
        <v>6336</v>
      </c>
      <c r="D27" s="819"/>
      <c r="E27" s="819"/>
      <c r="F27" s="819"/>
      <c r="G27" s="819"/>
      <c r="H27" s="819"/>
      <c r="I27" s="819"/>
      <c r="J27" s="819"/>
      <c r="K27" s="819"/>
      <c r="L27" s="819"/>
    </row>
    <row r="28" spans="2:12" ht="13.5" customHeight="1" x14ac:dyDescent="0.2">
      <c r="B28" s="49"/>
      <c r="C28" s="819"/>
      <c r="D28" s="819"/>
      <c r="E28" s="819"/>
      <c r="F28" s="819"/>
      <c r="G28" s="819"/>
      <c r="H28" s="819"/>
      <c r="I28" s="819"/>
      <c r="J28" s="819"/>
      <c r="K28" s="819"/>
      <c r="L28" s="819"/>
    </row>
    <row r="29" spans="2:12" ht="13.5" customHeight="1" x14ac:dyDescent="0.2">
      <c r="B29" s="49"/>
      <c r="C29" s="819"/>
      <c r="D29" s="819"/>
      <c r="E29" s="819"/>
      <c r="F29" s="819"/>
      <c r="G29" s="819"/>
      <c r="H29" s="819"/>
      <c r="I29" s="819"/>
      <c r="J29" s="819"/>
      <c r="K29" s="819"/>
      <c r="L29" s="819"/>
    </row>
    <row r="30" spans="2:12" ht="13.5" customHeight="1" x14ac:dyDescent="0.2">
      <c r="B30" s="49"/>
      <c r="C30" s="876"/>
      <c r="D30" s="876"/>
      <c r="E30" s="876"/>
      <c r="F30" s="876"/>
      <c r="G30" s="967"/>
      <c r="H30" s="967"/>
      <c r="I30" s="967"/>
      <c r="J30" s="876"/>
      <c r="K30" s="876"/>
      <c r="L30" s="876"/>
    </row>
    <row r="31" spans="2:12" ht="13.5" customHeight="1" x14ac:dyDescent="0.2">
      <c r="B31" s="49"/>
      <c r="C31" s="937"/>
      <c r="D31" s="937"/>
      <c r="E31" s="937"/>
      <c r="F31" s="937"/>
      <c r="G31" s="966"/>
      <c r="H31" s="966"/>
      <c r="I31" s="966"/>
      <c r="J31" s="937"/>
      <c r="K31" s="937"/>
      <c r="L31" s="937"/>
    </row>
    <row r="32" spans="2:12" ht="13.5" customHeight="1" x14ac:dyDescent="0.2">
      <c r="B32" s="49"/>
      <c r="C32" s="876"/>
      <c r="D32" s="876"/>
      <c r="E32" s="876"/>
      <c r="F32" s="876"/>
      <c r="G32" s="967"/>
      <c r="H32" s="967"/>
      <c r="I32" s="967"/>
      <c r="J32" s="876"/>
      <c r="K32" s="876"/>
      <c r="L32" s="876"/>
    </row>
    <row r="33" spans="1:12" ht="13.5" customHeight="1" x14ac:dyDescent="0.2">
      <c r="B33" s="49"/>
      <c r="C33" s="937"/>
      <c r="D33" s="937"/>
      <c r="E33" s="937"/>
      <c r="F33" s="937"/>
      <c r="G33" s="966"/>
      <c r="H33" s="966"/>
      <c r="I33" s="966"/>
      <c r="J33" s="937"/>
      <c r="K33" s="937"/>
      <c r="L33" s="937"/>
    </row>
    <row r="34" spans="1:12" ht="13.5" customHeight="1" x14ac:dyDescent="0.25">
      <c r="B34" s="49"/>
      <c r="C34" s="12" t="s">
        <v>595</v>
      </c>
      <c r="D34" s="249"/>
      <c r="E34" s="249"/>
      <c r="F34" s="249"/>
      <c r="G34" s="250"/>
      <c r="H34" s="250"/>
      <c r="I34" s="250"/>
      <c r="J34" s="249"/>
      <c r="K34" s="249"/>
      <c r="L34" s="249"/>
    </row>
    <row r="35" spans="1:12" ht="13.5" customHeight="1" x14ac:dyDescent="0.2">
      <c r="B35" s="49"/>
      <c r="C35" s="249"/>
      <c r="D35" s="249"/>
      <c r="E35" s="249"/>
      <c r="F35" s="249"/>
      <c r="G35" s="250"/>
      <c r="H35" s="250"/>
      <c r="I35" s="250"/>
      <c r="J35" s="249"/>
      <c r="K35" s="249"/>
      <c r="L35" s="249"/>
    </row>
    <row r="36" spans="1:12" ht="15.75" x14ac:dyDescent="0.25">
      <c r="A36" s="1616" t="s">
        <v>606</v>
      </c>
      <c r="B36" s="1616"/>
      <c r="C36" s="1616"/>
      <c r="D36" s="1616"/>
      <c r="E36" s="1616"/>
      <c r="F36" s="1616"/>
      <c r="G36" s="1616"/>
      <c r="H36" s="1616"/>
      <c r="I36" s="1616"/>
      <c r="J36" s="1616"/>
      <c r="K36" s="1616"/>
      <c r="L36" s="1616"/>
    </row>
  </sheetData>
  <sheetProtection algorithmName="SHA-512" hashValue="zKPr9NqFys3TCNmKwzA4fN2GnbIGY4t8lN5yolG5hNoHgLAN+Qhx+abiU/uMVyR/QsnInRqtlz9HGdn/7rudng==" saltValue="vOBDScScR12IFXjZmK3BFw==" spinCount="100000" sheet="1" objects="1" scenarios="1"/>
  <mergeCells count="4">
    <mergeCell ref="A36:L36"/>
    <mergeCell ref="G4:H4"/>
    <mergeCell ref="C2:I2"/>
    <mergeCell ref="G10:H10"/>
  </mergeCells>
  <phoneticPr fontId="0" type="noConversion"/>
  <pageMargins left="0.25" right="0.3" top="0.25" bottom="0.75" header="0.25" footer="0.25"/>
  <pageSetup paperSize="5"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sheetPr codeName="Sheet132"/>
  <dimension ref="A2:N37"/>
  <sheetViews>
    <sheetView zoomScaleNormal="100" workbookViewId="0">
      <selection activeCell="L9" sqref="L9"/>
    </sheetView>
  </sheetViews>
  <sheetFormatPr defaultRowHeight="12.75" x14ac:dyDescent="0.2"/>
  <cols>
    <col min="1" max="1" width="2" customWidth="1"/>
    <col min="2" max="3" width="5.7109375" customWidth="1"/>
    <col min="4" max="4" width="36.7109375" customWidth="1"/>
    <col min="5" max="5" width="9.7109375" customWidth="1"/>
    <col min="6" max="6" width="18.7109375" bestFit="1" customWidth="1"/>
    <col min="7" max="7" width="2.85546875" customWidth="1"/>
    <col min="8" max="9" width="4.7109375" customWidth="1"/>
    <col min="10" max="10" width="37.7109375" customWidth="1"/>
    <col min="12" max="13" width="18.7109375" bestFit="1" customWidth="1"/>
  </cols>
  <sheetData>
    <row r="2" spans="2:14" ht="18" x14ac:dyDescent="0.25">
      <c r="B2" s="1685" t="s">
        <v>607</v>
      </c>
      <c r="C2" s="1685"/>
      <c r="D2" s="1685"/>
      <c r="E2" s="1685"/>
      <c r="F2" s="1685"/>
      <c r="G2" s="1685"/>
      <c r="H2" s="1685"/>
      <c r="I2" s="1685"/>
      <c r="J2" s="1685"/>
      <c r="K2" s="1685"/>
      <c r="L2" s="1685"/>
      <c r="M2" s="1685"/>
    </row>
    <row r="3" spans="2:14" ht="14.25" customHeight="1" x14ac:dyDescent="0.25">
      <c r="B3" s="236"/>
      <c r="C3" s="236"/>
      <c r="D3" s="236"/>
      <c r="E3" s="236"/>
      <c r="F3" s="236"/>
      <c r="G3" s="236"/>
      <c r="H3" s="236"/>
      <c r="I3" s="236"/>
      <c r="J3" s="236"/>
      <c r="K3" s="236"/>
      <c r="L3" s="236"/>
      <c r="M3" s="236"/>
    </row>
    <row r="4" spans="2:14" ht="15.75" x14ac:dyDescent="0.25">
      <c r="H4" s="1617" t="s">
        <v>641</v>
      </c>
      <c r="I4" s="1617"/>
      <c r="J4" s="1617"/>
      <c r="K4" s="1617"/>
      <c r="L4" s="1617"/>
      <c r="M4" s="1617"/>
    </row>
    <row r="5" spans="2:14" ht="16.5" thickBot="1" x14ac:dyDescent="0.3">
      <c r="B5" s="1687" t="str">
        <f>"CURRENT  FUND  BALANCE  SHEET  -  DECEMBER  31, "&amp;'Key Inputs'!E34-1</f>
        <v>CURRENT  FUND  BALANCE  SHEET  -  DECEMBER  31, 2020</v>
      </c>
      <c r="C5" s="1687"/>
      <c r="D5" s="1687"/>
      <c r="E5" s="1687"/>
      <c r="F5" s="1687"/>
      <c r="H5" s="1687" t="s">
        <v>640</v>
      </c>
      <c r="I5" s="1687"/>
      <c r="J5" s="1687"/>
      <c r="K5" s="1687"/>
      <c r="L5" s="1687"/>
      <c r="M5" s="1687"/>
    </row>
    <row r="6" spans="2:14" ht="14.25" thickTop="1" thickBot="1" x14ac:dyDescent="0.25">
      <c r="B6" s="1758" t="s">
        <v>608</v>
      </c>
      <c r="C6" s="1758"/>
      <c r="D6" s="1758"/>
      <c r="E6" s="1758"/>
      <c r="F6" s="1758"/>
      <c r="H6" s="270"/>
      <c r="I6" s="269"/>
      <c r="J6" s="269"/>
      <c r="K6" s="271"/>
      <c r="L6" s="279" t="str">
        <f>"YEAR "&amp;'Key Inputs'!E34-1</f>
        <v>YEAR 2020</v>
      </c>
      <c r="M6" s="279" t="str">
        <f>"YEAR "&amp;'Key Inputs'!E34-2</f>
        <v>YEAR 2019</v>
      </c>
    </row>
    <row r="7" spans="2:14" ht="18" customHeight="1" thickTop="1" x14ac:dyDescent="0.2">
      <c r="B7" s="253" t="s">
        <v>609</v>
      </c>
      <c r="C7" s="253"/>
      <c r="D7" s="254"/>
      <c r="E7" s="252">
        <v>1110100</v>
      </c>
      <c r="F7" s="968">
        <v>1337486.3799999999</v>
      </c>
      <c r="H7" s="221" t="s">
        <v>634</v>
      </c>
      <c r="I7" s="222"/>
      <c r="J7" s="6"/>
      <c r="K7" s="268">
        <v>2310100</v>
      </c>
      <c r="L7" s="20">
        <f>+M22</f>
        <v>517620.45000000019</v>
      </c>
      <c r="M7" s="968">
        <v>524079.04</v>
      </c>
      <c r="N7" s="282"/>
    </row>
    <row r="8" spans="2:14" ht="18" customHeight="1" x14ac:dyDescent="0.2">
      <c r="B8" s="5" t="s">
        <v>618</v>
      </c>
      <c r="C8" s="5"/>
      <c r="D8" s="255"/>
      <c r="E8" s="257">
        <v>1111000</v>
      </c>
      <c r="F8" s="918">
        <v>1703.27</v>
      </c>
      <c r="H8" s="275" t="s">
        <v>635</v>
      </c>
      <c r="I8" s="202"/>
      <c r="J8" s="273"/>
      <c r="K8" s="93" t="s">
        <v>200</v>
      </c>
      <c r="L8" s="626" t="s">
        <v>3334</v>
      </c>
      <c r="M8" s="626" t="s">
        <v>3334</v>
      </c>
    </row>
    <row r="9" spans="2:14" ht="18" customHeight="1" x14ac:dyDescent="0.2">
      <c r="B9" s="5" t="s">
        <v>619</v>
      </c>
      <c r="C9" s="5"/>
      <c r="D9" s="255"/>
      <c r="E9" s="257">
        <v>1110200</v>
      </c>
      <c r="F9" s="918"/>
      <c r="H9" s="970" t="str">
        <f>"Current Taxes:  *(Percentage Collected  "&amp;'Key Inputs'!E34-1&amp;"  99%, "&amp;'Key Inputs'!E34-2&amp;" 99%)"</f>
        <v>Current Taxes:  *(Percentage Collected  2020  99%, 2019 99%)</v>
      </c>
      <c r="I9" s="819"/>
      <c r="J9" s="971"/>
      <c r="K9" s="268">
        <v>2310200</v>
      </c>
      <c r="L9" s="868">
        <v>2540060.86</v>
      </c>
      <c r="M9" s="972">
        <v>2539759.7200000002</v>
      </c>
    </row>
    <row r="10" spans="2:14" ht="18" customHeight="1" x14ac:dyDescent="0.2">
      <c r="B10" s="5" t="s">
        <v>620</v>
      </c>
      <c r="C10" s="5"/>
      <c r="D10" s="255"/>
      <c r="E10" s="93" t="s">
        <v>200</v>
      </c>
      <c r="F10" s="626" t="s">
        <v>3334</v>
      </c>
      <c r="H10" s="256" t="s">
        <v>636</v>
      </c>
      <c r="I10" s="5"/>
      <c r="J10" s="255"/>
      <c r="K10" s="268">
        <v>2310300</v>
      </c>
      <c r="L10" s="743">
        <v>127779.88</v>
      </c>
      <c r="M10" s="918">
        <v>99756.46</v>
      </c>
    </row>
    <row r="11" spans="2:14" ht="18" customHeight="1" x14ac:dyDescent="0.2">
      <c r="B11" s="5"/>
      <c r="C11" s="5" t="s">
        <v>621</v>
      </c>
      <c r="D11" s="255"/>
      <c r="E11" s="257">
        <v>1110300</v>
      </c>
      <c r="F11" s="918">
        <v>137976.18</v>
      </c>
      <c r="H11" s="256" t="s">
        <v>637</v>
      </c>
      <c r="I11" s="5"/>
      <c r="J11" s="255"/>
      <c r="K11" s="268">
        <v>2310400</v>
      </c>
      <c r="L11" s="743">
        <v>600477.44999999995</v>
      </c>
      <c r="M11" s="918">
        <v>492374.79</v>
      </c>
    </row>
    <row r="12" spans="2:14" ht="18" customHeight="1" thickBot="1" x14ac:dyDescent="0.25">
      <c r="B12" s="5"/>
      <c r="C12" s="5" t="s">
        <v>622</v>
      </c>
      <c r="D12" s="255"/>
      <c r="E12" s="257">
        <v>1110400</v>
      </c>
      <c r="F12" s="918">
        <v>216092.71</v>
      </c>
      <c r="H12" s="263"/>
      <c r="I12" s="276" t="s">
        <v>638</v>
      </c>
      <c r="J12" s="277"/>
      <c r="K12" s="278">
        <v>2310500</v>
      </c>
      <c r="L12" s="367">
        <f>SUM(L7:L11)</f>
        <v>3785938.6399999997</v>
      </c>
      <c r="M12" s="364">
        <f>SUM(M7:M11)</f>
        <v>3655970.0100000002</v>
      </c>
    </row>
    <row r="13" spans="2:14" ht="18" customHeight="1" x14ac:dyDescent="0.2">
      <c r="B13" s="5"/>
      <c r="C13" s="264" t="s">
        <v>629</v>
      </c>
      <c r="E13" s="257">
        <v>1110500</v>
      </c>
      <c r="F13" s="918">
        <v>225100</v>
      </c>
      <c r="H13" s="274" t="s">
        <v>639</v>
      </c>
      <c r="I13" s="4"/>
      <c r="J13" s="272"/>
      <c r="K13" s="93" t="s">
        <v>200</v>
      </c>
      <c r="L13" s="626" t="s">
        <v>3334</v>
      </c>
      <c r="M13" s="626" t="s">
        <v>3334</v>
      </c>
    </row>
    <row r="14" spans="2:14" ht="18" customHeight="1" x14ac:dyDescent="0.2">
      <c r="B14" s="5"/>
      <c r="C14" s="5" t="s">
        <v>627</v>
      </c>
      <c r="D14" s="255"/>
      <c r="E14" s="257">
        <v>1110600</v>
      </c>
      <c r="F14" s="918">
        <v>603.51</v>
      </c>
      <c r="H14" s="256"/>
      <c r="I14" s="5" t="s">
        <v>642</v>
      </c>
      <c r="J14" s="255"/>
      <c r="K14" s="268">
        <v>2310600</v>
      </c>
      <c r="L14" s="868">
        <v>745825.96</v>
      </c>
      <c r="M14" s="972">
        <v>765278.1</v>
      </c>
    </row>
    <row r="15" spans="2:14" ht="18" customHeight="1" x14ac:dyDescent="0.2">
      <c r="B15" s="5" t="str">
        <f>"Deferred Charges Required to be in "&amp;'Key Inputs'!E34&amp;" Budget"</f>
        <v>Deferred Charges Required to be in 2021 Budget</v>
      </c>
      <c r="C15" s="5"/>
      <c r="D15" s="255"/>
      <c r="E15" s="257">
        <v>1110700</v>
      </c>
      <c r="F15" s="918">
        <v>26000</v>
      </c>
      <c r="H15" s="256"/>
      <c r="I15" s="5" t="s">
        <v>643</v>
      </c>
      <c r="J15" s="255"/>
      <c r="K15" s="268">
        <v>2310700</v>
      </c>
      <c r="L15" s="743">
        <v>1544305.5</v>
      </c>
      <c r="M15" s="918">
        <v>1439144</v>
      </c>
    </row>
    <row r="16" spans="2:14" ht="18" customHeight="1" thickBot="1" x14ac:dyDescent="0.25">
      <c r="B16" s="267" t="str">
        <f>"Deferred Charges Required to be in Budgets Subsequent to "&amp;'Key Inputs'!E34</f>
        <v>Deferred Charges Required to be in Budgets Subsequent to 2021</v>
      </c>
      <c r="C16" s="5"/>
      <c r="D16" s="255"/>
      <c r="E16" s="257">
        <v>1110800</v>
      </c>
      <c r="F16" s="969">
        <v>0</v>
      </c>
      <c r="H16" s="256"/>
      <c r="I16" s="5" t="s">
        <v>644</v>
      </c>
      <c r="J16" s="255"/>
      <c r="K16" s="268">
        <v>2310800</v>
      </c>
      <c r="L16" s="743">
        <v>960788.85</v>
      </c>
      <c r="M16" s="918">
        <v>933927.46</v>
      </c>
    </row>
    <row r="17" spans="1:13" ht="18" customHeight="1" thickBot="1" x14ac:dyDescent="0.25">
      <c r="B17" s="258"/>
      <c r="C17" s="258" t="s">
        <v>628</v>
      </c>
      <c r="D17" s="259"/>
      <c r="E17" s="260">
        <v>1110900</v>
      </c>
      <c r="F17" s="365">
        <f>SUM(F7:F16)</f>
        <v>1944962.0499999998</v>
      </c>
      <c r="H17" s="256"/>
      <c r="I17" s="5" t="s">
        <v>645</v>
      </c>
      <c r="J17" s="255"/>
      <c r="K17" s="268">
        <v>2310900</v>
      </c>
      <c r="L17" s="743"/>
      <c r="M17" s="918"/>
    </row>
    <row r="18" spans="1:13" ht="18" customHeight="1" thickTop="1" thickBot="1" x14ac:dyDescent="0.25">
      <c r="H18" s="256"/>
      <c r="I18" s="5" t="s">
        <v>646</v>
      </c>
      <c r="J18" s="255"/>
      <c r="K18" s="268">
        <v>2311000</v>
      </c>
      <c r="L18" s="871"/>
      <c r="M18" s="969"/>
    </row>
    <row r="19" spans="1:13" ht="18" customHeight="1" thickBot="1" x14ac:dyDescent="0.3">
      <c r="B19" s="1683" t="s">
        <v>623</v>
      </c>
      <c r="C19" s="1683"/>
      <c r="D19" s="1683"/>
      <c r="E19" s="1683"/>
      <c r="F19" s="1683"/>
      <c r="H19" s="263"/>
      <c r="I19" s="276" t="s">
        <v>647</v>
      </c>
      <c r="J19" s="277"/>
      <c r="K19" s="278">
        <v>2311100</v>
      </c>
      <c r="L19" s="368">
        <f>SUM(L13:L18)</f>
        <v>3250920.31</v>
      </c>
      <c r="M19" s="558">
        <f>SUM(M13:M18)</f>
        <v>3138349.56</v>
      </c>
    </row>
    <row r="20" spans="1:13" ht="18" customHeight="1" x14ac:dyDescent="0.2">
      <c r="B20" s="5" t="s">
        <v>624</v>
      </c>
      <c r="C20" s="5"/>
      <c r="D20" s="255"/>
      <c r="E20" s="257">
        <v>2110100</v>
      </c>
      <c r="F20" s="918">
        <v>830171.32</v>
      </c>
      <c r="H20" s="274" t="s">
        <v>596</v>
      </c>
      <c r="I20" s="4"/>
      <c r="J20" s="272"/>
      <c r="K20" s="268">
        <v>2311200</v>
      </c>
      <c r="L20" s="868">
        <v>0</v>
      </c>
      <c r="M20" s="972"/>
    </row>
    <row r="21" spans="1:13" ht="18" customHeight="1" x14ac:dyDescent="0.2">
      <c r="B21" s="5" t="s">
        <v>625</v>
      </c>
      <c r="C21" s="5"/>
      <c r="D21" s="255"/>
      <c r="E21" s="257">
        <v>2110200</v>
      </c>
      <c r="F21" s="918">
        <v>579772.4</v>
      </c>
      <c r="H21" s="256" t="s">
        <v>648</v>
      </c>
      <c r="I21" s="5"/>
      <c r="J21" s="255"/>
      <c r="K21" s="268">
        <v>2311300</v>
      </c>
      <c r="L21" s="363">
        <f>+L19-L20</f>
        <v>3250920.31</v>
      </c>
      <c r="M21" s="85">
        <f>+M19-M20</f>
        <v>3138349.56</v>
      </c>
    </row>
    <row r="22" spans="1:13" ht="18" customHeight="1" thickBot="1" x14ac:dyDescent="0.25">
      <c r="B22" s="5" t="s">
        <v>332</v>
      </c>
      <c r="C22" s="5"/>
      <c r="D22" s="255"/>
      <c r="E22" s="257">
        <v>2110300</v>
      </c>
      <c r="F22" s="364">
        <f>+L22</f>
        <v>535018.32999999961</v>
      </c>
      <c r="H22" s="261" t="s">
        <v>649</v>
      </c>
      <c r="I22" s="202"/>
      <c r="J22" s="273"/>
      <c r="K22" s="280">
        <v>2311400</v>
      </c>
      <c r="L22" s="128">
        <f>+L12-L21</f>
        <v>535018.32999999961</v>
      </c>
      <c r="M22" s="86">
        <f>+M12-M21</f>
        <v>517620.45000000019</v>
      </c>
    </row>
    <row r="23" spans="1:13" ht="18" customHeight="1" thickTop="1" thickBot="1" x14ac:dyDescent="0.25">
      <c r="B23" s="258"/>
      <c r="C23" s="258" t="s">
        <v>626</v>
      </c>
      <c r="D23" s="259"/>
      <c r="E23" s="102" t="s">
        <v>200</v>
      </c>
      <c r="F23" s="365">
        <f>SUM(F20:F22)</f>
        <v>1944962.0499999996</v>
      </c>
      <c r="H23" s="285" t="s">
        <v>651</v>
      </c>
      <c r="I23" s="222"/>
      <c r="J23" s="222"/>
      <c r="K23" s="281"/>
      <c r="L23" s="283"/>
      <c r="M23" s="283"/>
    </row>
    <row r="24" spans="1:13" ht="18" customHeight="1" thickTop="1" x14ac:dyDescent="0.2">
      <c r="F24" s="248"/>
      <c r="J24" s="1607" t="str">
        <f>"Proposed Use of Current Fund Surplus in "&amp;'Key Inputs'!E34&amp;" Budget"</f>
        <v>Proposed Use of Current Fund Surplus in 2021 Budget</v>
      </c>
      <c r="K24" s="1607"/>
      <c r="L24" s="1607"/>
      <c r="M24" s="180"/>
    </row>
    <row r="25" spans="1:13" ht="18" customHeight="1" x14ac:dyDescent="0.2">
      <c r="D25" s="265" t="s">
        <v>630</v>
      </c>
      <c r="E25" s="257">
        <v>2220170</v>
      </c>
      <c r="F25" s="918">
        <v>709358.81</v>
      </c>
      <c r="J25" s="265" t="str">
        <f>"Surplus Balance December 31, "&amp;'Key Inputs'!E34-1</f>
        <v>Surplus Balance December 31, 2020</v>
      </c>
      <c r="K25" s="257">
        <v>2311500</v>
      </c>
      <c r="L25" s="363">
        <f>+L22</f>
        <v>535018.32999999961</v>
      </c>
      <c r="M25" s="284"/>
    </row>
    <row r="26" spans="1:13" ht="18" customHeight="1" thickBot="1" x14ac:dyDescent="0.25">
      <c r="D26" s="265" t="s">
        <v>631</v>
      </c>
      <c r="E26" s="257">
        <v>2220200</v>
      </c>
      <c r="F26" s="969">
        <v>238266</v>
      </c>
      <c r="J26" s="265" t="str">
        <f>"Current Surplus Anticipated in "&amp;'Key Inputs'!E34&amp;" Budget"</f>
        <v>Current Surplus Anticipated in 2021 Budget</v>
      </c>
      <c r="K26" s="268">
        <v>2311600</v>
      </c>
      <c r="L26" s="364">
        <f>+'4'!I7</f>
        <v>302200</v>
      </c>
      <c r="M26" s="284"/>
    </row>
    <row r="27" spans="1:13" ht="18" customHeight="1" x14ac:dyDescent="0.2">
      <c r="D27" s="266" t="s">
        <v>617</v>
      </c>
      <c r="E27" s="257">
        <v>2220300</v>
      </c>
      <c r="F27" s="111">
        <f>+F25-F26</f>
        <v>471092.81000000006</v>
      </c>
      <c r="J27" s="265" t="s">
        <v>650</v>
      </c>
      <c r="K27" s="268">
        <v>2311700</v>
      </c>
      <c r="L27" s="366">
        <f>+L25-L26</f>
        <v>232818.32999999961</v>
      </c>
      <c r="M27" s="284"/>
    </row>
    <row r="28" spans="1:13" x14ac:dyDescent="0.2">
      <c r="F28" s="180"/>
      <c r="L28" s="180"/>
      <c r="M28" s="180"/>
    </row>
    <row r="29" spans="1:13" x14ac:dyDescent="0.2">
      <c r="C29" s="264" t="s">
        <v>632</v>
      </c>
    </row>
    <row r="30" spans="1:13" x14ac:dyDescent="0.2">
      <c r="C30" s="264"/>
    </row>
    <row r="31" spans="1:13" ht="15.75" x14ac:dyDescent="0.25">
      <c r="A31" s="1617" t="s">
        <v>633</v>
      </c>
      <c r="B31" s="1617"/>
      <c r="C31" s="1617"/>
      <c r="D31" s="1617"/>
      <c r="E31" s="1617"/>
      <c r="F31" s="1617"/>
      <c r="G31" s="1617"/>
      <c r="H31" s="1617"/>
      <c r="I31" s="1617"/>
      <c r="J31" s="1617"/>
      <c r="K31" s="1617"/>
      <c r="L31" s="1617"/>
      <c r="M31" s="1617"/>
    </row>
    <row r="34" spans="12:12" x14ac:dyDescent="0.2">
      <c r="L34" s="29"/>
    </row>
    <row r="37" spans="12:12" x14ac:dyDescent="0.2">
      <c r="L37" s="29">
        <f>+L25-3000704.33</f>
        <v>-2465686.0000000005</v>
      </c>
    </row>
  </sheetData>
  <sheetProtection algorithmName="SHA-512" hashValue="1giA4qdCh6pQXSjgLLssM7tpZo/FzDyb9CLG0VZ41goPIrmgEv7SagegHNtW/B0ys3WcqOswk/6tX4yJGLc/zA==" saltValue="353L31/4VLKXq51dQ4xomg==" spinCount="100000" sheet="1" objects="1" scenarios="1"/>
  <mergeCells count="8">
    <mergeCell ref="B2:M2"/>
    <mergeCell ref="H5:M5"/>
    <mergeCell ref="H4:M4"/>
    <mergeCell ref="A31:M31"/>
    <mergeCell ref="J24:L24"/>
    <mergeCell ref="B6:F6"/>
    <mergeCell ref="B19:F19"/>
    <mergeCell ref="B5:F5"/>
  </mergeCells>
  <phoneticPr fontId="0" type="noConversion"/>
  <pageMargins left="0.25" right="0.3" top="0.25" bottom="0.75" header="0.25" footer="0.25"/>
  <pageSetup paperSize="5" orientation="landscape"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sheetPr codeName="Sheet133"/>
  <dimension ref="B3:S42"/>
  <sheetViews>
    <sheetView showZeros="0" zoomScaleNormal="100" workbookViewId="0">
      <selection activeCell="F31" sqref="F31"/>
    </sheetView>
  </sheetViews>
  <sheetFormatPr defaultRowHeight="12.75" x14ac:dyDescent="0.2"/>
  <cols>
    <col min="1" max="1" width="3.7109375" customWidth="1"/>
    <col min="2" max="2" width="5.7109375" customWidth="1"/>
    <col min="3" max="5" width="3.7109375" customWidth="1"/>
    <col min="6" max="6" width="40.7109375" customWidth="1"/>
    <col min="7" max="8" width="3.7109375" customWidth="1"/>
    <col min="9" max="11" width="16.7109375" customWidth="1"/>
    <col min="12" max="12" width="21.7109375" customWidth="1"/>
    <col min="13" max="13" width="31.7109375" customWidth="1"/>
    <col min="19" max="19" width="20.85546875" customWidth="1"/>
  </cols>
  <sheetData>
    <row r="3" spans="2:13" ht="18" x14ac:dyDescent="0.25">
      <c r="B3" s="1759" t="str">
        <f>'Key Inputs'!E34</f>
        <v>2021</v>
      </c>
      <c r="C3" s="1760"/>
      <c r="D3" s="1760"/>
      <c r="E3" s="1760"/>
      <c r="F3" s="1760"/>
      <c r="G3" s="1760"/>
      <c r="H3" s="1760"/>
      <c r="I3" s="1760"/>
      <c r="J3" s="1760"/>
      <c r="K3" s="1760"/>
      <c r="L3" s="1760"/>
      <c r="M3" s="1761"/>
    </row>
    <row r="4" spans="2:13" ht="18" x14ac:dyDescent="0.25">
      <c r="B4" s="1762" t="s">
        <v>653</v>
      </c>
      <c r="C4" s="1763"/>
      <c r="D4" s="1763"/>
      <c r="E4" s="1763"/>
      <c r="F4" s="1763"/>
      <c r="G4" s="1763"/>
      <c r="H4" s="1763"/>
      <c r="I4" s="1763"/>
      <c r="J4" s="1763"/>
      <c r="K4" s="1763"/>
      <c r="L4" s="1763"/>
      <c r="M4" s="1764"/>
    </row>
    <row r="5" spans="2:13" ht="6" customHeight="1" x14ac:dyDescent="0.2"/>
    <row r="6" spans="2:13" x14ac:dyDescent="0.2">
      <c r="B6" s="286"/>
      <c r="C6" s="202"/>
      <c r="D6" s="202"/>
      <c r="E6" s="202"/>
      <c r="F6" s="202"/>
      <c r="G6" s="202"/>
      <c r="H6" s="202"/>
      <c r="I6" s="202"/>
      <c r="J6" s="202"/>
      <c r="K6" s="202"/>
      <c r="L6" s="202"/>
      <c r="M6" s="56"/>
    </row>
    <row r="7" spans="2:13" ht="15" customHeight="1" x14ac:dyDescent="0.25">
      <c r="B7" s="282"/>
      <c r="C7" s="63"/>
      <c r="D7" s="63"/>
      <c r="E7" s="227"/>
      <c r="F7" s="12" t="s">
        <v>654</v>
      </c>
      <c r="G7" s="63"/>
      <c r="H7" s="63"/>
      <c r="I7" s="63"/>
      <c r="J7" s="63"/>
      <c r="K7" s="63"/>
      <c r="L7" s="63"/>
      <c r="M7" s="287"/>
    </row>
    <row r="8" spans="2:13" ht="15" customHeight="1" x14ac:dyDescent="0.25">
      <c r="B8" s="282"/>
      <c r="C8" s="63"/>
      <c r="D8" s="63"/>
      <c r="E8" s="12" t="s">
        <v>656</v>
      </c>
      <c r="F8" s="227"/>
      <c r="G8" s="63"/>
      <c r="H8" s="63"/>
      <c r="I8" s="63"/>
      <c r="J8" s="63"/>
      <c r="K8" s="63"/>
      <c r="L8" s="63"/>
      <c r="M8" s="287"/>
    </row>
    <row r="9" spans="2:13" ht="15" customHeight="1" x14ac:dyDescent="0.25">
      <c r="B9" s="282"/>
      <c r="C9" s="63"/>
      <c r="D9" s="63"/>
      <c r="E9" s="12" t="s">
        <v>56</v>
      </c>
      <c r="F9" s="227"/>
      <c r="G9" s="63"/>
      <c r="H9" s="63"/>
      <c r="I9" s="63"/>
      <c r="J9" s="63"/>
      <c r="K9" s="63"/>
      <c r="L9" s="63"/>
      <c r="M9" s="287"/>
    </row>
    <row r="10" spans="2:13" ht="15" customHeight="1" x14ac:dyDescent="0.25">
      <c r="B10" s="282"/>
      <c r="C10" s="63"/>
      <c r="D10" s="63"/>
      <c r="E10" s="12" t="s">
        <v>597</v>
      </c>
      <c r="F10" s="227"/>
      <c r="G10" s="63"/>
      <c r="H10" s="63"/>
      <c r="I10" s="63"/>
      <c r="J10" s="63"/>
      <c r="K10" s="63"/>
      <c r="L10" s="63"/>
      <c r="M10" s="287"/>
    </row>
    <row r="11" spans="2:13" ht="21.95" customHeight="1" x14ac:dyDescent="0.2">
      <c r="B11" s="282"/>
      <c r="C11" s="63"/>
      <c r="D11" s="63"/>
      <c r="E11" s="63"/>
      <c r="F11" s="63"/>
      <c r="G11" s="63"/>
      <c r="H11" s="63"/>
      <c r="I11" s="63"/>
      <c r="J11" s="63"/>
      <c r="K11" s="63"/>
      <c r="L11" s="63"/>
      <c r="M11" s="287"/>
    </row>
    <row r="12" spans="2:13" ht="16.5" customHeight="1" x14ac:dyDescent="0.25">
      <c r="B12" s="282"/>
      <c r="C12" s="63"/>
      <c r="D12" s="63"/>
      <c r="E12" s="290" t="s">
        <v>657</v>
      </c>
      <c r="F12" s="63"/>
      <c r="G12" s="291" t="s">
        <v>658</v>
      </c>
      <c r="H12" s="63"/>
      <c r="I12" s="63"/>
      <c r="J12" s="63"/>
      <c r="K12" s="63"/>
      <c r="L12" s="63"/>
      <c r="M12" s="287"/>
    </row>
    <row r="13" spans="2:13" ht="14.25" customHeight="1" x14ac:dyDescent="0.2">
      <c r="B13" s="282"/>
      <c r="C13" s="63"/>
      <c r="D13" s="63"/>
      <c r="E13" s="63"/>
      <c r="F13" s="63"/>
      <c r="G13" s="63" t="s">
        <v>659</v>
      </c>
      <c r="H13" s="63"/>
      <c r="I13" s="63"/>
      <c r="J13" s="63"/>
      <c r="K13" s="63"/>
      <c r="L13" s="63"/>
      <c r="M13" s="287"/>
    </row>
    <row r="14" spans="2:13" ht="12" customHeight="1" thickBot="1" x14ac:dyDescent="0.25">
      <c r="B14" s="282"/>
      <c r="C14" s="63"/>
      <c r="D14" s="63"/>
      <c r="E14" s="63"/>
      <c r="F14" s="63"/>
      <c r="G14" s="63"/>
      <c r="H14" s="63"/>
      <c r="I14" s="63"/>
      <c r="J14" s="63"/>
      <c r="K14" s="63"/>
      <c r="L14" s="63"/>
      <c r="M14" s="287"/>
    </row>
    <row r="15" spans="2:13" ht="14.25" customHeight="1" thickBot="1" x14ac:dyDescent="0.25">
      <c r="B15" s="282"/>
      <c r="C15" s="63"/>
      <c r="D15" s="63"/>
      <c r="E15" s="63"/>
      <c r="F15" s="63"/>
      <c r="G15" s="63"/>
      <c r="H15" s="973"/>
      <c r="I15" s="1177" t="s">
        <v>5322</v>
      </c>
      <c r="J15" s="63"/>
      <c r="K15" s="63"/>
      <c r="L15" s="63"/>
      <c r="M15" s="287"/>
    </row>
    <row r="16" spans="2:13" ht="14.25" customHeight="1" x14ac:dyDescent="0.2">
      <c r="B16" s="282"/>
      <c r="C16" s="63"/>
      <c r="D16" s="63"/>
      <c r="E16" s="63"/>
      <c r="F16" s="63"/>
      <c r="G16" s="63"/>
      <c r="H16" s="63"/>
      <c r="I16" s="1177" t="s">
        <v>5324</v>
      </c>
      <c r="J16" s="63"/>
      <c r="K16" s="63"/>
      <c r="L16" s="63"/>
      <c r="M16" s="287"/>
    </row>
    <row r="17" spans="2:19" ht="12" customHeight="1" thickBot="1" x14ac:dyDescent="0.25">
      <c r="B17" s="282"/>
      <c r="C17" s="63"/>
      <c r="D17" s="63"/>
      <c r="E17" s="63"/>
      <c r="F17" s="63"/>
      <c r="G17" s="63"/>
      <c r="H17" s="63"/>
      <c r="I17" s="63"/>
      <c r="J17" s="63"/>
      <c r="K17" s="63"/>
      <c r="L17" s="63"/>
      <c r="M17" s="287"/>
    </row>
    <row r="18" spans="2:19" ht="14.25" customHeight="1" thickBot="1" x14ac:dyDescent="0.25">
      <c r="B18" s="282"/>
      <c r="C18" s="63"/>
      <c r="D18" s="63"/>
      <c r="E18" s="63"/>
      <c r="F18" s="63"/>
      <c r="G18" s="63"/>
      <c r="H18" s="973" t="s">
        <v>6337</v>
      </c>
      <c r="I18" s="1177" t="s">
        <v>5323</v>
      </c>
      <c r="J18" s="63"/>
      <c r="K18" s="63"/>
      <c r="L18" s="63"/>
      <c r="M18" s="287"/>
    </row>
    <row r="19" spans="2:19" ht="21.95" customHeight="1" x14ac:dyDescent="0.2">
      <c r="B19" s="282"/>
      <c r="C19" s="63"/>
      <c r="D19" s="63"/>
      <c r="E19" s="63"/>
      <c r="F19" s="63"/>
      <c r="G19" s="63"/>
      <c r="H19" s="63"/>
      <c r="I19" s="63"/>
      <c r="J19" s="63"/>
      <c r="K19" s="63"/>
      <c r="L19" s="63"/>
      <c r="M19" s="287"/>
    </row>
    <row r="20" spans="2:19" ht="16.5" customHeight="1" x14ac:dyDescent="0.25">
      <c r="B20" s="282"/>
      <c r="C20" s="63"/>
      <c r="D20" s="63"/>
      <c r="E20" s="290" t="s">
        <v>660</v>
      </c>
      <c r="F20" s="63"/>
      <c r="G20" s="291" t="s">
        <v>661</v>
      </c>
      <c r="H20" s="63"/>
      <c r="I20" s="63"/>
      <c r="J20" s="63"/>
      <c r="K20" s="63"/>
      <c r="L20" s="63"/>
      <c r="M20" s="287"/>
    </row>
    <row r="21" spans="2:19" ht="14.25" customHeight="1" x14ac:dyDescent="0.2">
      <c r="B21" s="282"/>
      <c r="C21" s="63"/>
      <c r="D21" s="63"/>
      <c r="E21" s="63"/>
      <c r="F21" s="63"/>
      <c r="G21" s="63" t="s">
        <v>662</v>
      </c>
      <c r="H21" s="63"/>
      <c r="I21" s="63"/>
      <c r="J21" s="63"/>
      <c r="K21" s="63"/>
      <c r="L21" s="63"/>
      <c r="M21" s="287"/>
    </row>
    <row r="22" spans="2:19" ht="12" customHeight="1" thickBot="1" x14ac:dyDescent="0.25">
      <c r="B22" s="282"/>
      <c r="C22" s="63"/>
      <c r="D22" s="63"/>
      <c r="E22" s="63"/>
      <c r="F22" s="63"/>
      <c r="G22" s="63"/>
      <c r="H22" s="63"/>
      <c r="I22" s="63"/>
      <c r="J22" s="63"/>
      <c r="K22" s="63"/>
      <c r="L22" s="63"/>
      <c r="M22" s="287"/>
    </row>
    <row r="23" spans="2:19" ht="14.25" customHeight="1" thickBot="1" x14ac:dyDescent="0.25">
      <c r="B23" s="282"/>
      <c r="C23" s="63"/>
      <c r="D23" s="63"/>
      <c r="E23" s="63"/>
      <c r="F23" s="63"/>
      <c r="G23" s="63"/>
      <c r="H23" s="973" t="s">
        <v>6337</v>
      </c>
      <c r="I23" s="1177" t="s">
        <v>663</v>
      </c>
      <c r="J23" s="63"/>
      <c r="K23" s="63"/>
      <c r="L23" s="63"/>
      <c r="M23" s="287"/>
      <c r="S23" s="217" t="s">
        <v>3285</v>
      </c>
    </row>
    <row r="24" spans="2:19" ht="12" customHeight="1" thickBot="1" x14ac:dyDescent="0.25">
      <c r="B24" s="282"/>
      <c r="C24" s="63"/>
      <c r="D24" s="63"/>
      <c r="E24" s="63"/>
      <c r="F24" s="63"/>
      <c r="G24" s="63"/>
      <c r="H24" s="63"/>
      <c r="I24" s="63"/>
      <c r="J24" s="63"/>
      <c r="K24" s="63"/>
      <c r="L24" s="63"/>
      <c r="M24" s="287"/>
      <c r="S24" s="974"/>
    </row>
    <row r="25" spans="2:19" ht="14.25" customHeight="1" thickBot="1" x14ac:dyDescent="0.25">
      <c r="B25" s="282"/>
      <c r="C25" s="63"/>
      <c r="D25" s="63"/>
      <c r="E25" s="63"/>
      <c r="F25" s="63"/>
      <c r="G25" s="63"/>
      <c r="H25" s="973"/>
      <c r="I25" s="63" t="s">
        <v>681</v>
      </c>
      <c r="J25" s="63"/>
      <c r="K25" s="63"/>
      <c r="L25" s="63"/>
      <c r="M25" s="287"/>
    </row>
    <row r="26" spans="2:19" ht="12" customHeight="1" thickBot="1" x14ac:dyDescent="0.25">
      <c r="B26" s="282"/>
      <c r="C26" s="63"/>
      <c r="D26" s="63"/>
      <c r="E26" s="63"/>
      <c r="F26" s="63"/>
      <c r="G26" s="63"/>
      <c r="H26" s="63"/>
      <c r="I26" s="63"/>
      <c r="J26" s="63"/>
      <c r="K26" s="63"/>
      <c r="L26" s="63"/>
      <c r="M26" s="287"/>
    </row>
    <row r="27" spans="2:19" ht="14.25" customHeight="1" thickBot="1" x14ac:dyDescent="0.25">
      <c r="B27" s="282"/>
      <c r="C27" s="63"/>
      <c r="D27" s="63"/>
      <c r="E27" s="63"/>
      <c r="F27" s="63"/>
      <c r="G27" s="63"/>
      <c r="H27" s="973"/>
      <c r="I27" s="1209" t="str">
        <f>"   "&amp;S24&amp;" years exceeding minimum time period."</f>
        <v xml:space="preserve">    years exceeding minimum time period.</v>
      </c>
      <c r="J27" s="63"/>
      <c r="K27" s="63"/>
      <c r="L27" s="63"/>
      <c r="M27" s="287"/>
    </row>
    <row r="28" spans="2:19" ht="12" customHeight="1" thickBot="1" x14ac:dyDescent="0.25">
      <c r="B28" s="282"/>
      <c r="C28" s="63"/>
      <c r="D28" s="63"/>
      <c r="E28" s="63"/>
      <c r="F28" s="63"/>
      <c r="G28" s="63"/>
      <c r="H28" s="63"/>
      <c r="I28" s="63"/>
      <c r="J28" s="63"/>
      <c r="K28" s="63"/>
      <c r="L28" s="63"/>
      <c r="M28" s="287"/>
    </row>
    <row r="29" spans="2:19" ht="14.25" customHeight="1" thickBot="1" x14ac:dyDescent="0.25">
      <c r="B29" s="282"/>
      <c r="C29" s="63"/>
      <c r="D29" s="63"/>
      <c r="E29" s="63"/>
      <c r="F29" s="63"/>
      <c r="G29" s="973"/>
      <c r="H29" t="s">
        <v>682</v>
      </c>
      <c r="I29" s="63"/>
      <c r="J29" s="63"/>
      <c r="K29" s="63"/>
      <c r="L29" s="63"/>
      <c r="M29" s="287"/>
    </row>
    <row r="30" spans="2:19" ht="12" customHeight="1" x14ac:dyDescent="0.2">
      <c r="B30" s="282"/>
      <c r="C30" s="63"/>
      <c r="D30" s="63"/>
      <c r="E30" s="63"/>
      <c r="F30" s="63"/>
      <c r="G30" s="63"/>
      <c r="H30" s="784" t="s">
        <v>5325</v>
      </c>
      <c r="I30" s="63"/>
      <c r="J30" s="63"/>
      <c r="K30" s="63"/>
      <c r="L30" s="63"/>
      <c r="M30" s="287"/>
    </row>
    <row r="31" spans="2:19" ht="12" customHeight="1" x14ac:dyDescent="0.2">
      <c r="B31" s="282"/>
      <c r="C31" s="63"/>
      <c r="D31" s="63"/>
      <c r="E31" s="63"/>
      <c r="F31" s="63"/>
      <c r="G31" s="63"/>
      <c r="H31" s="63"/>
      <c r="I31" s="63"/>
      <c r="J31" s="63"/>
      <c r="K31" s="63"/>
      <c r="L31" s="63"/>
      <c r="M31" s="287"/>
    </row>
    <row r="32" spans="2:19" ht="12" customHeight="1" x14ac:dyDescent="0.2">
      <c r="B32" s="288"/>
      <c r="C32" s="4"/>
      <c r="D32" s="4"/>
      <c r="E32" s="4"/>
      <c r="F32" s="4"/>
      <c r="G32" s="4"/>
      <c r="H32" s="4"/>
      <c r="I32" s="4"/>
      <c r="J32" s="4"/>
      <c r="K32" s="4"/>
      <c r="L32" s="4"/>
      <c r="M32" s="289"/>
    </row>
    <row r="33" spans="2:13" ht="14.25" customHeight="1" x14ac:dyDescent="0.2">
      <c r="G33" s="63"/>
    </row>
    <row r="34" spans="2:13" ht="14.25" customHeight="1" x14ac:dyDescent="0.2">
      <c r="G34" s="63"/>
    </row>
    <row r="35" spans="2:13" ht="14.25" customHeight="1" x14ac:dyDescent="0.2">
      <c r="G35" s="63"/>
    </row>
    <row r="36" spans="2:13" ht="14.25" customHeight="1" x14ac:dyDescent="0.2">
      <c r="G36" s="63"/>
    </row>
    <row r="37" spans="2:13" ht="14.25" customHeight="1" x14ac:dyDescent="0.2">
      <c r="G37" s="63"/>
    </row>
    <row r="38" spans="2:13" ht="14.25" customHeight="1" x14ac:dyDescent="0.25">
      <c r="G38" s="63"/>
      <c r="L38" s="235"/>
      <c r="M38" s="293" t="s">
        <v>683</v>
      </c>
    </row>
    <row r="39" spans="2:13" ht="15.75" x14ac:dyDescent="0.25">
      <c r="B39" s="1617" t="s">
        <v>652</v>
      </c>
      <c r="C39" s="1617"/>
      <c r="D39" s="1617"/>
      <c r="E39" s="1617"/>
      <c r="F39" s="1617"/>
      <c r="G39" s="1617"/>
      <c r="H39" s="1617"/>
      <c r="I39" s="1617"/>
      <c r="J39" s="1617"/>
      <c r="K39" s="1617"/>
      <c r="L39" s="1617"/>
      <c r="M39" s="1617"/>
    </row>
    <row r="42" spans="2:13" x14ac:dyDescent="0.2">
      <c r="H42" s="29"/>
    </row>
  </sheetData>
  <sheetProtection algorithmName="SHA-512" hashValue="t/3PSw9t6Q3ZMFbhKvr/iNY4RbWHZo1Ai2vH7TmXVND5cMyLoZ+ubk7knAb+j7jnw3x/aioHhfGL/pUDa5OwzA==" saltValue="xrKjZCklSqk5FRWgoJp5MQ==" spinCount="100000" sheet="1" objects="1" scenarios="1"/>
  <mergeCells count="3">
    <mergeCell ref="B3:M3"/>
    <mergeCell ref="B39:M39"/>
    <mergeCell ref="B4:M4"/>
  </mergeCells>
  <phoneticPr fontId="0" type="noConversion"/>
  <pageMargins left="0.25" right="0.3" top="0.25" bottom="0.75" header="0.25" footer="0.25"/>
  <pageSetup paperSize="5"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sheetPr codeName="Sheet134"/>
  <dimension ref="B3:M45"/>
  <sheetViews>
    <sheetView zoomScaleNormal="100" workbookViewId="0">
      <selection activeCell="F12" sqref="F12"/>
    </sheetView>
  </sheetViews>
  <sheetFormatPr defaultRowHeight="12.75" x14ac:dyDescent="0.2"/>
  <cols>
    <col min="1" max="1" width="3.7109375" customWidth="1"/>
    <col min="2" max="2" width="5.7109375" customWidth="1"/>
    <col min="3" max="5" width="3.7109375" customWidth="1"/>
    <col min="6" max="6" width="40.7109375" customWidth="1"/>
    <col min="7" max="7" width="5.7109375" customWidth="1"/>
    <col min="8" max="8" width="3.7109375" customWidth="1"/>
    <col min="9" max="12" width="16.7109375" customWidth="1"/>
    <col min="13" max="13" width="31.7109375" customWidth="1"/>
  </cols>
  <sheetData>
    <row r="3" spans="2:13" ht="18" x14ac:dyDescent="0.25">
      <c r="B3" s="1765" t="str">
        <f>+'Key Inputs'!E5</f>
        <v>TOWNSHIP OF GREENWICH</v>
      </c>
      <c r="C3" s="1760"/>
      <c r="D3" s="1760"/>
      <c r="E3" s="1760"/>
      <c r="F3" s="1760"/>
      <c r="G3" s="1760"/>
      <c r="H3" s="1760"/>
      <c r="I3" s="1760"/>
      <c r="J3" s="1760"/>
      <c r="K3" s="1760"/>
      <c r="L3" s="1760"/>
      <c r="M3" s="1761"/>
    </row>
    <row r="4" spans="2:13" ht="18" x14ac:dyDescent="0.25">
      <c r="B4" s="1766" t="s">
        <v>686</v>
      </c>
      <c r="C4" s="1767"/>
      <c r="D4" s="1767"/>
      <c r="E4" s="1767"/>
      <c r="F4" s="1767"/>
      <c r="G4" s="1767"/>
      <c r="H4" s="1767"/>
      <c r="I4" s="1767"/>
      <c r="J4" s="1767"/>
      <c r="K4" s="1767"/>
      <c r="L4" s="1767"/>
      <c r="M4" s="1768"/>
    </row>
    <row r="5" spans="2:13" ht="6" customHeight="1" x14ac:dyDescent="0.2">
      <c r="B5" s="288"/>
      <c r="M5" s="289"/>
    </row>
    <row r="6" spans="2:13" ht="12.75" customHeight="1" x14ac:dyDescent="0.2">
      <c r="B6" s="975"/>
      <c r="C6" s="976"/>
      <c r="D6" s="976"/>
      <c r="E6" s="976"/>
      <c r="F6" s="976"/>
      <c r="G6" s="976"/>
      <c r="H6" s="976"/>
      <c r="I6" s="976"/>
      <c r="J6" s="976"/>
      <c r="K6" s="976"/>
      <c r="L6" s="976"/>
      <c r="M6" s="977"/>
    </row>
    <row r="7" spans="2:13" ht="12.75" customHeight="1" x14ac:dyDescent="0.2">
      <c r="B7" s="1527" t="s">
        <v>6338</v>
      </c>
      <c r="C7" s="791"/>
      <c r="D7" s="909"/>
      <c r="E7" s="909"/>
      <c r="F7" s="909"/>
      <c r="G7" s="909"/>
      <c r="H7" s="909"/>
      <c r="I7" s="909"/>
      <c r="J7" s="909"/>
      <c r="K7" s="791"/>
      <c r="L7" s="791"/>
      <c r="M7" s="979"/>
    </row>
    <row r="8" spans="2:13" ht="12.75" customHeight="1" x14ac:dyDescent="0.2">
      <c r="B8" s="1527" t="s">
        <v>6352</v>
      </c>
      <c r="C8" s="791"/>
      <c r="D8" s="909"/>
      <c r="E8" s="909"/>
      <c r="F8" s="909"/>
      <c r="G8" s="909"/>
      <c r="H8" s="909"/>
      <c r="I8" s="909"/>
      <c r="J8" s="909"/>
      <c r="K8" s="791"/>
      <c r="L8" s="791"/>
      <c r="M8" s="979"/>
    </row>
    <row r="9" spans="2:13" ht="12.75" customHeight="1" x14ac:dyDescent="0.2">
      <c r="B9" s="1527" t="s">
        <v>6348</v>
      </c>
      <c r="C9" s="791"/>
      <c r="D9" s="909"/>
      <c r="E9" s="909"/>
      <c r="F9" s="909"/>
      <c r="G9" s="909"/>
      <c r="H9" s="909"/>
      <c r="I9" s="909"/>
      <c r="J9" s="909"/>
      <c r="K9" s="791"/>
      <c r="L9" s="791"/>
      <c r="M9" s="979"/>
    </row>
    <row r="10" spans="2:13" ht="12.75" customHeight="1" x14ac:dyDescent="0.2">
      <c r="B10" s="1527" t="s">
        <v>6339</v>
      </c>
      <c r="C10" s="791"/>
      <c r="D10" s="909"/>
      <c r="E10" s="909"/>
      <c r="F10" s="909"/>
      <c r="G10" s="909"/>
      <c r="H10" s="909"/>
      <c r="I10" s="909"/>
      <c r="J10" s="909"/>
      <c r="K10" s="791"/>
      <c r="L10" s="791"/>
      <c r="M10" s="979"/>
    </row>
    <row r="11" spans="2:13" ht="12.75" customHeight="1" x14ac:dyDescent="0.2">
      <c r="B11" s="978"/>
      <c r="C11" s="791"/>
      <c r="D11" s="909"/>
      <c r="E11" s="909"/>
      <c r="F11" s="909"/>
      <c r="G11" s="909"/>
      <c r="H11" s="909"/>
      <c r="I11" s="909"/>
      <c r="J11" s="909"/>
      <c r="K11" s="791"/>
      <c r="L11" s="791"/>
      <c r="M11" s="979"/>
    </row>
    <row r="12" spans="2:13" ht="12.75" customHeight="1" x14ac:dyDescent="0.2">
      <c r="B12" s="978"/>
      <c r="C12" s="791"/>
      <c r="D12" s="909"/>
      <c r="E12" s="909"/>
      <c r="F12" s="909"/>
      <c r="G12" s="909"/>
      <c r="H12" s="909"/>
      <c r="I12" s="909"/>
      <c r="J12" s="909"/>
      <c r="K12" s="791"/>
      <c r="L12" s="791"/>
      <c r="M12" s="979"/>
    </row>
    <row r="13" spans="2:13" ht="12.75" customHeight="1" x14ac:dyDescent="0.2">
      <c r="B13" s="978"/>
      <c r="C13" s="791"/>
      <c r="D13" s="909"/>
      <c r="E13" s="909"/>
      <c r="F13" s="909"/>
      <c r="G13" s="909"/>
      <c r="H13" s="909"/>
      <c r="I13" s="909"/>
      <c r="J13" s="909"/>
      <c r="K13" s="791"/>
      <c r="L13" s="791"/>
      <c r="M13" s="979"/>
    </row>
    <row r="14" spans="2:13" ht="12.75" customHeight="1" x14ac:dyDescent="0.2">
      <c r="B14" s="978"/>
      <c r="C14" s="791"/>
      <c r="D14" s="909"/>
      <c r="E14" s="909"/>
      <c r="F14" s="909"/>
      <c r="G14" s="909"/>
      <c r="H14" s="909"/>
      <c r="I14" s="909"/>
      <c r="J14" s="909"/>
      <c r="K14" s="791"/>
      <c r="L14" s="791"/>
      <c r="M14" s="979"/>
    </row>
    <row r="15" spans="2:13" ht="12.75" customHeight="1" x14ac:dyDescent="0.2">
      <c r="B15" s="978"/>
      <c r="C15" s="791"/>
      <c r="D15" s="909"/>
      <c r="E15" s="909"/>
      <c r="F15" s="909"/>
      <c r="G15" s="909"/>
      <c r="H15" s="909"/>
      <c r="I15" s="909"/>
      <c r="J15" s="909"/>
      <c r="K15" s="791"/>
      <c r="L15" s="791"/>
      <c r="M15" s="979"/>
    </row>
    <row r="16" spans="2:13" ht="12.75" customHeight="1" x14ac:dyDescent="0.2">
      <c r="B16" s="978"/>
      <c r="C16" s="791"/>
      <c r="D16" s="909"/>
      <c r="E16" s="909"/>
      <c r="F16" s="909"/>
      <c r="G16" s="909"/>
      <c r="H16" s="909"/>
      <c r="I16" s="909"/>
      <c r="J16" s="909"/>
      <c r="K16" s="791"/>
      <c r="L16" s="791"/>
      <c r="M16" s="979"/>
    </row>
    <row r="17" spans="2:13" ht="12.75" customHeight="1" x14ac:dyDescent="0.2">
      <c r="B17" s="978"/>
      <c r="C17" s="791"/>
      <c r="D17" s="909"/>
      <c r="E17" s="909"/>
      <c r="F17" s="909"/>
      <c r="G17" s="909"/>
      <c r="H17" s="909"/>
      <c r="I17" s="909"/>
      <c r="J17" s="909"/>
      <c r="K17" s="791"/>
      <c r="L17" s="791"/>
      <c r="M17" s="979"/>
    </row>
    <row r="18" spans="2:13" ht="12.75" customHeight="1" x14ac:dyDescent="0.2">
      <c r="B18" s="978"/>
      <c r="C18" s="791"/>
      <c r="D18" s="909"/>
      <c r="E18" s="909"/>
      <c r="F18" s="909"/>
      <c r="G18" s="909"/>
      <c r="H18" s="909"/>
      <c r="I18" s="909"/>
      <c r="J18" s="909"/>
      <c r="K18" s="791"/>
      <c r="L18" s="791"/>
      <c r="M18" s="979"/>
    </row>
    <row r="19" spans="2:13" ht="12.75" customHeight="1" x14ac:dyDescent="0.2">
      <c r="B19" s="978"/>
      <c r="C19" s="791"/>
      <c r="D19" s="909"/>
      <c r="E19" s="909"/>
      <c r="F19" s="909"/>
      <c r="G19" s="909"/>
      <c r="H19" s="909"/>
      <c r="I19" s="909"/>
      <c r="J19" s="909"/>
      <c r="K19" s="791"/>
      <c r="L19" s="791"/>
      <c r="M19" s="979"/>
    </row>
    <row r="20" spans="2:13" ht="12.75" customHeight="1" x14ac:dyDescent="0.2">
      <c r="B20" s="978"/>
      <c r="C20" s="791"/>
      <c r="D20" s="909"/>
      <c r="E20" s="909"/>
      <c r="F20" s="909"/>
      <c r="G20" s="909"/>
      <c r="H20" s="909"/>
      <c r="I20" s="909"/>
      <c r="J20" s="909"/>
      <c r="K20" s="791"/>
      <c r="L20" s="791"/>
      <c r="M20" s="979"/>
    </row>
    <row r="21" spans="2:13" ht="12.75" customHeight="1" x14ac:dyDescent="0.2">
      <c r="B21" s="978"/>
      <c r="C21" s="791"/>
      <c r="D21" s="909"/>
      <c r="E21" s="909"/>
      <c r="F21" s="909"/>
      <c r="G21" s="909"/>
      <c r="H21" s="909"/>
      <c r="I21" s="909"/>
      <c r="J21" s="909"/>
      <c r="K21" s="791"/>
      <c r="L21" s="791"/>
      <c r="M21" s="979"/>
    </row>
    <row r="22" spans="2:13" ht="12.75" customHeight="1" x14ac:dyDescent="0.2">
      <c r="B22" s="978"/>
      <c r="C22" s="791"/>
      <c r="D22" s="909"/>
      <c r="E22" s="909"/>
      <c r="F22" s="909"/>
      <c r="G22" s="909"/>
      <c r="H22" s="909"/>
      <c r="I22" s="909"/>
      <c r="J22" s="909"/>
      <c r="K22" s="791"/>
      <c r="L22" s="791"/>
      <c r="M22" s="979"/>
    </row>
    <row r="23" spans="2:13" ht="12.75" customHeight="1" x14ac:dyDescent="0.2">
      <c r="B23" s="978"/>
      <c r="C23" s="791"/>
      <c r="D23" s="909"/>
      <c r="E23" s="909"/>
      <c r="F23" s="909"/>
      <c r="G23" s="909"/>
      <c r="H23" s="909"/>
      <c r="I23" s="909"/>
      <c r="J23" s="909"/>
      <c r="K23" s="791"/>
      <c r="L23" s="791"/>
      <c r="M23" s="979"/>
    </row>
    <row r="24" spans="2:13" ht="12.75" customHeight="1" x14ac:dyDescent="0.2">
      <c r="B24" s="978"/>
      <c r="C24" s="791"/>
      <c r="D24" s="909"/>
      <c r="E24" s="909"/>
      <c r="F24" s="909"/>
      <c r="G24" s="909"/>
      <c r="H24" s="909"/>
      <c r="I24" s="909"/>
      <c r="J24" s="909"/>
      <c r="K24" s="791"/>
      <c r="L24" s="791"/>
      <c r="M24" s="979"/>
    </row>
    <row r="25" spans="2:13" ht="12.75" customHeight="1" x14ac:dyDescent="0.2">
      <c r="B25" s="978"/>
      <c r="C25" s="791"/>
      <c r="D25" s="909"/>
      <c r="E25" s="909"/>
      <c r="F25" s="909"/>
      <c r="G25" s="909"/>
      <c r="H25" s="909"/>
      <c r="I25" s="909"/>
      <c r="J25" s="909"/>
      <c r="K25" s="791"/>
      <c r="L25" s="791"/>
      <c r="M25" s="979"/>
    </row>
    <row r="26" spans="2:13" ht="12.75" customHeight="1" x14ac:dyDescent="0.2">
      <c r="B26" s="978"/>
      <c r="C26" s="791"/>
      <c r="D26" s="909"/>
      <c r="E26" s="909"/>
      <c r="F26" s="909"/>
      <c r="G26" s="909"/>
      <c r="H26" s="909"/>
      <c r="I26" s="909"/>
      <c r="J26" s="909"/>
      <c r="K26" s="791"/>
      <c r="L26" s="791"/>
      <c r="M26" s="979"/>
    </row>
    <row r="27" spans="2:13" ht="12.75" customHeight="1" x14ac:dyDescent="0.2">
      <c r="B27" s="978"/>
      <c r="C27" s="791"/>
      <c r="D27" s="909"/>
      <c r="E27" s="909"/>
      <c r="F27" s="909"/>
      <c r="G27" s="909"/>
      <c r="H27" s="909"/>
      <c r="I27" s="909"/>
      <c r="J27" s="909"/>
      <c r="K27" s="791"/>
      <c r="L27" s="791"/>
      <c r="M27" s="979"/>
    </row>
    <row r="28" spans="2:13" ht="12.75" customHeight="1" x14ac:dyDescent="0.2">
      <c r="B28" s="978"/>
      <c r="C28" s="791"/>
      <c r="D28" s="909"/>
      <c r="E28" s="909"/>
      <c r="F28" s="909"/>
      <c r="G28" s="909"/>
      <c r="H28" s="909"/>
      <c r="I28" s="909"/>
      <c r="J28" s="909"/>
      <c r="K28" s="791"/>
      <c r="L28" s="791"/>
      <c r="M28" s="979"/>
    </row>
    <row r="29" spans="2:13" ht="12.75" customHeight="1" x14ac:dyDescent="0.2">
      <c r="B29" s="978"/>
      <c r="C29" s="791"/>
      <c r="D29" s="909"/>
      <c r="E29" s="909"/>
      <c r="F29" s="909"/>
      <c r="G29" s="909"/>
      <c r="H29" s="909"/>
      <c r="I29" s="909"/>
      <c r="J29" s="909"/>
      <c r="K29" s="791"/>
      <c r="L29" s="791"/>
      <c r="M29" s="979"/>
    </row>
    <row r="30" spans="2:13" ht="12.75" customHeight="1" x14ac:dyDescent="0.2">
      <c r="B30" s="978"/>
      <c r="C30" s="791"/>
      <c r="D30" s="909"/>
      <c r="E30" s="909"/>
      <c r="F30" s="909"/>
      <c r="G30" s="909"/>
      <c r="H30" s="909"/>
      <c r="I30" s="909"/>
      <c r="J30" s="909"/>
      <c r="K30" s="791"/>
      <c r="L30" s="791"/>
      <c r="M30" s="979"/>
    </row>
    <row r="31" spans="2:13" ht="12.75" customHeight="1" x14ac:dyDescent="0.2">
      <c r="B31" s="978"/>
      <c r="C31" s="791"/>
      <c r="D31" s="909"/>
      <c r="E31" s="909"/>
      <c r="F31" s="909"/>
      <c r="G31" s="909"/>
      <c r="H31" s="909"/>
      <c r="I31" s="909"/>
      <c r="J31" s="909"/>
      <c r="K31" s="791"/>
      <c r="L31" s="791"/>
      <c r="M31" s="979"/>
    </row>
    <row r="32" spans="2:13" ht="12.75" customHeight="1" x14ac:dyDescent="0.2">
      <c r="B32" s="978"/>
      <c r="C32" s="791"/>
      <c r="D32" s="909"/>
      <c r="E32" s="909"/>
      <c r="F32" s="909"/>
      <c r="G32" s="909"/>
      <c r="H32" s="909"/>
      <c r="I32" s="909"/>
      <c r="J32" s="909"/>
      <c r="K32" s="791"/>
      <c r="L32" s="791"/>
      <c r="M32" s="979"/>
    </row>
    <row r="33" spans="2:13" ht="12.75" customHeight="1" x14ac:dyDescent="0.2">
      <c r="B33" s="978"/>
      <c r="C33" s="791"/>
      <c r="D33" s="909"/>
      <c r="E33" s="909"/>
      <c r="F33" s="909"/>
      <c r="G33" s="909"/>
      <c r="H33" s="909"/>
      <c r="I33" s="909"/>
      <c r="J33" s="909"/>
      <c r="K33" s="791"/>
      <c r="L33" s="791"/>
      <c r="M33" s="979"/>
    </row>
    <row r="34" spans="2:13" ht="12.75" customHeight="1" x14ac:dyDescent="0.2">
      <c r="B34" s="978"/>
      <c r="C34" s="791"/>
      <c r="D34" s="909"/>
      <c r="E34" s="909"/>
      <c r="F34" s="909"/>
      <c r="G34" s="909"/>
      <c r="H34" s="909"/>
      <c r="I34" s="909"/>
      <c r="J34" s="909"/>
      <c r="K34" s="791"/>
      <c r="L34" s="791"/>
      <c r="M34" s="979"/>
    </row>
    <row r="35" spans="2:13" ht="12.75" customHeight="1" x14ac:dyDescent="0.2">
      <c r="B35" s="978"/>
      <c r="C35" s="791"/>
      <c r="D35" s="909"/>
      <c r="E35" s="909"/>
      <c r="F35" s="909"/>
      <c r="G35" s="909"/>
      <c r="H35" s="909"/>
      <c r="I35" s="909"/>
      <c r="J35" s="909"/>
      <c r="K35" s="791"/>
      <c r="L35" s="791"/>
      <c r="M35" s="979"/>
    </row>
    <row r="36" spans="2:13" ht="12.75" customHeight="1" x14ac:dyDescent="0.2">
      <c r="B36" s="978"/>
      <c r="C36" s="791"/>
      <c r="D36" s="909"/>
      <c r="E36" s="909"/>
      <c r="F36" s="909"/>
      <c r="G36" s="909"/>
      <c r="H36" s="909"/>
      <c r="I36" s="909"/>
      <c r="J36" s="909"/>
      <c r="K36" s="791"/>
      <c r="L36" s="791"/>
      <c r="M36" s="979"/>
    </row>
    <row r="37" spans="2:13" ht="12" customHeight="1" x14ac:dyDescent="0.2">
      <c r="B37" s="980"/>
      <c r="C37" s="819"/>
      <c r="D37" s="819"/>
      <c r="E37" s="819"/>
      <c r="F37" s="819"/>
      <c r="G37" s="819"/>
      <c r="H37" s="819"/>
      <c r="I37" s="819"/>
      <c r="J37" s="819"/>
      <c r="K37" s="819"/>
      <c r="L37" s="819"/>
      <c r="M37" s="981"/>
    </row>
    <row r="38" spans="2:13" ht="14.25" customHeight="1" x14ac:dyDescent="0.2">
      <c r="G38" s="63"/>
    </row>
    <row r="39" spans="2:13" ht="14.25" customHeight="1" x14ac:dyDescent="0.2">
      <c r="G39" s="63"/>
    </row>
    <row r="40" spans="2:13" ht="14.25" customHeight="1" x14ac:dyDescent="0.2">
      <c r="G40" s="63"/>
    </row>
    <row r="41" spans="2:13" ht="14.25" customHeight="1" x14ac:dyDescent="0.25">
      <c r="G41" s="63"/>
      <c r="L41" s="235"/>
      <c r="M41" s="293" t="s">
        <v>685</v>
      </c>
    </row>
    <row r="42" spans="2:13" ht="15.75" x14ac:dyDescent="0.25">
      <c r="B42" s="1617" t="s">
        <v>684</v>
      </c>
      <c r="C42" s="1617"/>
      <c r="D42" s="1617"/>
      <c r="E42" s="1617"/>
      <c r="F42" s="1617"/>
      <c r="G42" s="1617"/>
      <c r="H42" s="1617"/>
      <c r="I42" s="1617"/>
      <c r="J42" s="1617"/>
      <c r="K42" s="1617"/>
      <c r="L42" s="1617"/>
      <c r="M42" s="1617"/>
    </row>
    <row r="45" spans="2:13" x14ac:dyDescent="0.2">
      <c r="H45" s="29"/>
    </row>
  </sheetData>
  <sheetProtection password="CAF9" sheet="1" objects="1" scenarios="1"/>
  <mergeCells count="3">
    <mergeCell ref="B3:M3"/>
    <mergeCell ref="B42:M42"/>
    <mergeCell ref="B4:M4"/>
  </mergeCells>
  <phoneticPr fontId="0" type="noConversion"/>
  <pageMargins left="0.25" right="0.3" top="0.25" bottom="0.75" header="0.25" footer="0.25"/>
  <pageSetup paperSize="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sheetPr codeName="Sheet135">
    <tabColor theme="9"/>
  </sheetPr>
  <dimension ref="B2:O47"/>
  <sheetViews>
    <sheetView topLeftCell="A7" zoomScale="110" zoomScaleNormal="110" workbookViewId="0">
      <selection activeCell="B24" sqref="B24"/>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1442" t="s">
        <v>6340</v>
      </c>
      <c r="C12" s="1443">
        <v>1</v>
      </c>
      <c r="D12" s="1449">
        <f t="shared" ref="D12:D28" si="0">SUM(E12:K12)</f>
        <v>20000</v>
      </c>
      <c r="E12" s="1450"/>
      <c r="F12" s="1451"/>
      <c r="G12" s="1450">
        <v>20000</v>
      </c>
      <c r="H12" s="1450"/>
      <c r="I12" s="1451"/>
      <c r="J12" s="1450"/>
      <c r="K12" s="1452"/>
      <c r="N12" s="29"/>
    </row>
    <row r="13" spans="2:15" ht="20.100000000000001" customHeight="1" x14ac:dyDescent="0.2">
      <c r="B13" s="983"/>
      <c r="C13" s="1443"/>
      <c r="D13" s="1449">
        <f t="shared" si="0"/>
        <v>0</v>
      </c>
      <c r="E13" s="1450"/>
      <c r="F13" s="1451"/>
      <c r="G13" s="1450"/>
      <c r="H13" s="1450"/>
      <c r="I13" s="1451"/>
      <c r="J13" s="1450"/>
      <c r="K13" s="1452"/>
      <c r="N13" s="29"/>
    </row>
    <row r="14" spans="2:15" ht="20.100000000000001" customHeight="1" x14ac:dyDescent="0.2">
      <c r="B14" s="1442" t="s">
        <v>6341</v>
      </c>
      <c r="C14" s="1443"/>
      <c r="D14" s="1449">
        <f t="shared" si="0"/>
        <v>0</v>
      </c>
      <c r="E14" s="1450"/>
      <c r="F14" s="1451"/>
      <c r="G14" s="1450"/>
      <c r="H14" s="1450"/>
      <c r="I14" s="1451"/>
      <c r="J14" s="1450"/>
      <c r="K14" s="1452"/>
      <c r="N14" s="29"/>
      <c r="O14" s="29"/>
    </row>
    <row r="15" spans="2:15" ht="20.100000000000001" customHeight="1" x14ac:dyDescent="0.2">
      <c r="B15" s="1442" t="s">
        <v>6342</v>
      </c>
      <c r="C15" s="1443">
        <v>2</v>
      </c>
      <c r="D15" s="1449">
        <f t="shared" si="0"/>
        <v>31109</v>
      </c>
      <c r="E15" s="1450"/>
      <c r="F15" s="1451"/>
      <c r="G15" s="1450">
        <v>20000</v>
      </c>
      <c r="H15" s="1450"/>
      <c r="I15" s="1451">
        <v>11109</v>
      </c>
      <c r="J15" s="1450"/>
      <c r="K15" s="1452"/>
      <c r="N15" s="29"/>
    </row>
    <row r="16" spans="2:15" ht="20.100000000000001" customHeight="1" x14ac:dyDescent="0.2">
      <c r="B16" s="982"/>
      <c r="C16" s="1443"/>
      <c r="D16" s="1449">
        <f t="shared" si="0"/>
        <v>0</v>
      </c>
      <c r="E16" s="1450"/>
      <c r="F16" s="1451"/>
      <c r="G16" s="1450"/>
      <c r="H16" s="1450"/>
      <c r="I16" s="1451"/>
      <c r="J16" s="1450"/>
      <c r="K16" s="1452"/>
      <c r="N16" s="29"/>
    </row>
    <row r="17" spans="2:14" ht="20.100000000000001" customHeight="1" x14ac:dyDescent="0.2">
      <c r="B17" s="1442"/>
      <c r="C17" s="1443"/>
      <c r="D17" s="1449">
        <f t="shared" si="0"/>
        <v>0</v>
      </c>
      <c r="E17" s="1450"/>
      <c r="F17" s="1451"/>
      <c r="G17" s="1450"/>
      <c r="H17" s="1450"/>
      <c r="I17" s="1451"/>
      <c r="J17" s="1450"/>
      <c r="K17" s="1452"/>
      <c r="N17" s="29"/>
    </row>
    <row r="18" spans="2:14" ht="20.100000000000001" customHeight="1" x14ac:dyDescent="0.2">
      <c r="B18" s="1442" t="s">
        <v>6350</v>
      </c>
      <c r="C18" s="1443">
        <v>3</v>
      </c>
      <c r="D18" s="1449">
        <f t="shared" si="0"/>
        <v>185000</v>
      </c>
      <c r="E18" s="1450"/>
      <c r="F18" s="1451"/>
      <c r="G18" s="1450">
        <v>28000</v>
      </c>
      <c r="H18" s="1450"/>
      <c r="I18" s="1451">
        <v>157000</v>
      </c>
      <c r="J18" s="1450"/>
      <c r="K18" s="1452"/>
      <c r="N18" s="29"/>
    </row>
    <row r="19" spans="2:14" ht="20.100000000000001" customHeight="1" x14ac:dyDescent="0.2">
      <c r="B19" s="1442"/>
      <c r="C19" s="1443"/>
      <c r="D19" s="1449">
        <f t="shared" si="0"/>
        <v>0</v>
      </c>
      <c r="E19" s="1450"/>
      <c r="F19" s="1451"/>
      <c r="G19" s="1450"/>
      <c r="H19" s="1450"/>
      <c r="I19" s="1451"/>
      <c r="J19" s="1450"/>
      <c r="K19" s="1452"/>
      <c r="N19" s="29"/>
    </row>
    <row r="20" spans="2:14" ht="20.100000000000001" customHeight="1" x14ac:dyDescent="0.2">
      <c r="B20" s="1442" t="s">
        <v>6343</v>
      </c>
      <c r="C20" s="1443"/>
      <c r="D20" s="1449">
        <f t="shared" si="0"/>
        <v>0</v>
      </c>
      <c r="E20" s="1450"/>
      <c r="F20" s="1451"/>
      <c r="G20" s="1450"/>
      <c r="H20" s="1450"/>
      <c r="I20" s="1451"/>
      <c r="J20" s="1450"/>
      <c r="K20" s="1452"/>
      <c r="N20" s="180"/>
    </row>
    <row r="21" spans="2:14" ht="20.100000000000001" customHeight="1" x14ac:dyDescent="0.2">
      <c r="B21" s="1442" t="s">
        <v>6344</v>
      </c>
      <c r="C21" s="1443">
        <v>4</v>
      </c>
      <c r="D21" s="1449">
        <f t="shared" si="0"/>
        <v>50000</v>
      </c>
      <c r="E21" s="1450"/>
      <c r="F21" s="1451"/>
      <c r="G21" s="1450">
        <v>50000</v>
      </c>
      <c r="H21" s="1450"/>
      <c r="I21" s="1451"/>
      <c r="J21" s="1450"/>
      <c r="K21" s="1452"/>
      <c r="N21" s="180"/>
    </row>
    <row r="22" spans="2:14" ht="20.100000000000001" customHeight="1" x14ac:dyDescent="0.2">
      <c r="B22" s="982"/>
      <c r="C22" s="1443"/>
      <c r="D22" s="1449">
        <f t="shared" si="0"/>
        <v>0</v>
      </c>
      <c r="E22" s="1450"/>
      <c r="F22" s="1451"/>
      <c r="G22" s="1450"/>
      <c r="H22" s="1450"/>
      <c r="I22" s="1451"/>
      <c r="J22" s="1450"/>
      <c r="K22" s="1452"/>
      <c r="N22" s="180"/>
    </row>
    <row r="23" spans="2:14" ht="20.100000000000001" customHeight="1" x14ac:dyDescent="0.2">
      <c r="B23" s="1442" t="s">
        <v>6353</v>
      </c>
      <c r="C23" s="1443">
        <v>5</v>
      </c>
      <c r="D23" s="1449">
        <f t="shared" si="0"/>
        <v>250000</v>
      </c>
      <c r="E23" s="1450"/>
      <c r="F23" s="1451"/>
      <c r="G23" s="1450">
        <v>50000</v>
      </c>
      <c r="H23" s="1450"/>
      <c r="I23" s="1451"/>
      <c r="J23" s="1450"/>
      <c r="K23" s="1452">
        <v>200000</v>
      </c>
      <c r="N23" s="180"/>
    </row>
    <row r="24" spans="2:14" ht="20.100000000000001" customHeight="1" x14ac:dyDescent="0.2">
      <c r="B24" s="982"/>
      <c r="C24" s="1443"/>
      <c r="D24" s="1449">
        <f t="shared" si="0"/>
        <v>0</v>
      </c>
      <c r="E24" s="1450"/>
      <c r="F24" s="1451"/>
      <c r="G24" s="1450"/>
      <c r="H24" s="1450"/>
      <c r="I24" s="1451"/>
      <c r="J24" s="1450"/>
      <c r="K24" s="1452"/>
      <c r="N24" s="180"/>
    </row>
    <row r="25" spans="2:14" ht="20.100000000000001" customHeight="1" x14ac:dyDescent="0.2">
      <c r="B25" s="1442"/>
      <c r="C25" s="1443"/>
      <c r="D25" s="1449">
        <f t="shared" si="0"/>
        <v>0</v>
      </c>
      <c r="E25" s="1450"/>
      <c r="F25" s="1451"/>
      <c r="G25" s="1450"/>
      <c r="H25" s="1450"/>
      <c r="I25" s="1451"/>
      <c r="J25" s="1450"/>
      <c r="K25" s="1452"/>
    </row>
    <row r="26" spans="2:14" ht="20.100000000000001" customHeight="1" x14ac:dyDescent="0.2">
      <c r="B26" s="1442"/>
      <c r="C26" s="1444"/>
      <c r="D26" s="1449">
        <f t="shared" si="0"/>
        <v>0</v>
      </c>
      <c r="E26" s="1450"/>
      <c r="F26" s="1451"/>
      <c r="G26" s="1450"/>
      <c r="H26" s="1450"/>
      <c r="I26" s="1451"/>
      <c r="J26" s="1450"/>
      <c r="K26" s="1452"/>
    </row>
    <row r="27" spans="2:14" ht="20.100000000000001" customHeight="1" x14ac:dyDescent="0.2">
      <c r="B27" s="1442"/>
      <c r="C27" s="1443"/>
      <c r="D27" s="1449">
        <f t="shared" si="0"/>
        <v>0</v>
      </c>
      <c r="E27" s="1450"/>
      <c r="F27" s="1451"/>
      <c r="G27" s="1450"/>
      <c r="H27" s="1450"/>
      <c r="I27" s="1451"/>
      <c r="J27" s="1450"/>
      <c r="K27" s="1452"/>
    </row>
    <row r="28" spans="2:14" ht="20.100000000000001" customHeight="1" x14ac:dyDescent="0.2">
      <c r="B28" s="1442"/>
      <c r="C28" s="1443"/>
      <c r="D28" s="1449">
        <f t="shared" si="0"/>
        <v>0</v>
      </c>
      <c r="E28" s="1450"/>
      <c r="F28" s="1451"/>
      <c r="G28" s="1450"/>
      <c r="H28" s="1450"/>
      <c r="I28" s="1451"/>
      <c r="J28" s="1450"/>
      <c r="K28" s="1452"/>
    </row>
    <row r="29" spans="2:14" ht="20.100000000000001" customHeight="1" thickBot="1" x14ac:dyDescent="0.3">
      <c r="B29" s="299" t="s">
        <v>3317</v>
      </c>
      <c r="C29" s="604" t="s">
        <v>85</v>
      </c>
      <c r="D29" s="1453">
        <f>SUM(E29:K29)</f>
        <v>536109</v>
      </c>
      <c r="E29" s="1454">
        <f>+SUM(E11:E28)</f>
        <v>0</v>
      </c>
      <c r="F29" s="1454">
        <f t="shared" ref="F29:K29" si="1">+SUM(F11:F28)</f>
        <v>0</v>
      </c>
      <c r="G29" s="1454">
        <f t="shared" si="1"/>
        <v>168000</v>
      </c>
      <c r="H29" s="1454">
        <f t="shared" si="1"/>
        <v>0</v>
      </c>
      <c r="I29" s="1454">
        <f t="shared" si="1"/>
        <v>168109</v>
      </c>
      <c r="J29" s="1454">
        <f t="shared" si="1"/>
        <v>0</v>
      </c>
      <c r="K29" s="1455">
        <f t="shared" si="1"/>
        <v>200000</v>
      </c>
    </row>
    <row r="30" spans="2:14" ht="15.75" customHeight="1" thickTop="1" x14ac:dyDescent="0.25">
      <c r="B30" s="12"/>
      <c r="C30" s="126"/>
      <c r="D30" s="126"/>
      <c r="E30" s="126"/>
      <c r="F30" s="164"/>
      <c r="G30" s="164"/>
      <c r="H30" s="164"/>
      <c r="I30" s="164"/>
      <c r="J30" s="164"/>
      <c r="K30" s="300" t="s">
        <v>705</v>
      </c>
    </row>
    <row r="31" spans="2:14" ht="15.75" x14ac:dyDescent="0.25">
      <c r="B31" s="1617" t="s">
        <v>704</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gG6rYn/5k0i3Wp+clLynsVDfIJAu+JxRYeSaoS5SjfIeZZHTNT0qoTM8eV1xF4+ciMy2Cq5jB1LhkaHq35g54w==" saltValue="p05i5WMKdkioK0bW7cF48g=="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sheetPr codeName="Sheet136">
    <tabColor theme="9"/>
  </sheetPr>
  <dimension ref="B2:O47"/>
  <sheetViews>
    <sheetView topLeftCell="A7" zoomScaleNormal="100" workbookViewId="0">
      <selection activeCell="B15" sqref="B15"/>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3256</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PHGvtD/vbMfCKVpRp4C6Y8C19ZjuO+x6zB14jP2vVdzJA9qUl6stLVJm9WT775aLxc4Vs9DR473wRyS3BxHw/Q==" saltValue="sT8YJfY2+BO1E4i/XJL1nw==" spinCount="100000" sheet="1" objects="1" scenarios="1"/>
  <mergeCells count="5">
    <mergeCell ref="B31:K31"/>
    <mergeCell ref="B2:K2"/>
    <mergeCell ref="B3:K3"/>
    <mergeCell ref="F7:J7"/>
    <mergeCell ref="F6:J6"/>
  </mergeCells>
  <phoneticPr fontId="0" type="noConversion"/>
  <pageMargins left="0.25" right="0.3" top="0.25" bottom="0.75" header="0.25" footer="0.25"/>
  <pageSetup paperSize="5" orientation="landscape" r:id="rId1"/>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sheetPr codeName="Sheet137">
    <tabColor theme="9"/>
  </sheetPr>
  <dimension ref="B2:O47"/>
  <sheetViews>
    <sheetView zoomScaleNormal="100" workbookViewId="0">
      <selection activeCell="B23" sqref="B23"/>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t="str">
        <f>+'40b'!B12</f>
        <v>CONSTRUCTION/RESTORATION OF DIKES</v>
      </c>
      <c r="C12" s="1458">
        <v>1</v>
      </c>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t="str">
        <f>+'40b'!B14</f>
        <v>RENOVATION OF OLD STONE SCHOOL</v>
      </c>
      <c r="C14" s="1458"/>
      <c r="D14" s="1449">
        <f t="shared" si="0"/>
        <v>0</v>
      </c>
      <c r="E14" s="1450"/>
      <c r="F14" s="1451"/>
      <c r="G14" s="1450"/>
      <c r="H14" s="1450"/>
      <c r="I14" s="1451"/>
      <c r="J14" s="1450"/>
      <c r="K14" s="1452"/>
      <c r="N14" s="29"/>
      <c r="O14" s="29"/>
    </row>
    <row r="15" spans="2:15" ht="20.100000000000001" customHeight="1" x14ac:dyDescent="0.2">
      <c r="B15" s="983" t="str">
        <f>+'40b'!B15</f>
        <v xml:space="preserve">   HOUSE</v>
      </c>
      <c r="C15" s="1458">
        <v>2</v>
      </c>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f>+'40b'!B17</f>
        <v>0</v>
      </c>
      <c r="C17" s="1458"/>
      <c r="D17" s="1449">
        <f t="shared" si="0"/>
        <v>0</v>
      </c>
      <c r="E17" s="1450"/>
      <c r="F17" s="1451"/>
      <c r="G17" s="1450"/>
      <c r="H17" s="1450"/>
      <c r="I17" s="1451"/>
      <c r="J17" s="1450"/>
      <c r="K17" s="1452"/>
      <c r="N17" s="29"/>
    </row>
    <row r="18" spans="2:14" ht="20.100000000000001" customHeight="1" x14ac:dyDescent="0.2">
      <c r="B18" s="983" t="str">
        <f>+'40b'!B18</f>
        <v>RESURFACING OF WIBLE DRIVE</v>
      </c>
      <c r="C18" s="1458">
        <v>3</v>
      </c>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t="str">
        <f>+'40b'!B20</f>
        <v>CONSTRUCTION OF FENCING AROUND</v>
      </c>
      <c r="C20" s="1458"/>
      <c r="D20" s="1449">
        <f t="shared" si="0"/>
        <v>0</v>
      </c>
      <c r="E20" s="1450"/>
      <c r="F20" s="1451"/>
      <c r="G20" s="1450"/>
      <c r="H20" s="1450"/>
      <c r="I20" s="1451"/>
      <c r="J20" s="1450"/>
      <c r="K20" s="1452"/>
      <c r="N20" s="180"/>
    </row>
    <row r="21" spans="2:14" ht="20.100000000000001" customHeight="1" x14ac:dyDescent="0.2">
      <c r="B21" s="983" t="str">
        <f>+'40b'!B21</f>
        <v xml:space="preserve">   COMMUNICATION ANTENNAS</v>
      </c>
      <c r="C21" s="1458">
        <v>4</v>
      </c>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t="str">
        <f>+'40b'!B23</f>
        <v>FIRE APPARATUS</v>
      </c>
      <c r="C23" s="1458">
        <v>5</v>
      </c>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f>+'40b'!B25</f>
        <v>0</v>
      </c>
      <c r="C25" s="1458">
        <v>6</v>
      </c>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f>+'40b'!B27</f>
        <v>0</v>
      </c>
      <c r="C27" s="1458"/>
      <c r="D27" s="1449">
        <f t="shared" si="0"/>
        <v>0</v>
      </c>
      <c r="E27" s="1450"/>
      <c r="F27" s="1451"/>
      <c r="G27" s="1450"/>
      <c r="H27" s="1450"/>
      <c r="I27" s="1451"/>
      <c r="J27" s="1450"/>
      <c r="K27" s="1452"/>
    </row>
    <row r="28" spans="2:14" ht="20.100000000000001" customHeight="1" x14ac:dyDescent="0.2">
      <c r="B28" s="983">
        <f>+'40b'!B28</f>
        <v>0</v>
      </c>
      <c r="C28" s="1458">
        <v>7</v>
      </c>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3311</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IlOtnmPa41CGrlFdFwNo42u5mJKbPkvcNWx9u9PyfJSnQojUkeei5tovnu8NqSDUFl0zNdzWTSTJu3Z+HQ6IQg==" saltValue="Mc0bmV7fK9L3GocjhwHsCg=="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dimension ref="B1:L52"/>
  <sheetViews>
    <sheetView zoomScaleNormal="100" workbookViewId="0">
      <selection activeCell="F25" sqref="F25"/>
    </sheetView>
  </sheetViews>
  <sheetFormatPr defaultRowHeight="12.75" x14ac:dyDescent="0.2"/>
  <cols>
    <col min="1" max="1" width="1.5703125" customWidth="1"/>
    <col min="2" max="2" width="2.7109375" customWidth="1"/>
    <col min="3" max="3" width="28.85546875" customWidth="1"/>
    <col min="4" max="4" width="12.7109375" customWidth="1"/>
    <col min="5" max="7" width="16.7109375" customWidth="1"/>
    <col min="9" max="9" width="26.140625" customWidth="1"/>
    <col min="10" max="10" width="20.140625" customWidth="1"/>
    <col min="11" max="11" width="3.28515625" customWidth="1"/>
    <col min="12" max="12" width="22" customWidth="1"/>
    <col min="13" max="13" width="32.85546875" customWidth="1"/>
  </cols>
  <sheetData>
    <row r="1" spans="2:7" ht="6.75" customHeight="1" x14ac:dyDescent="0.2"/>
    <row r="2" spans="2:7" ht="15.75" x14ac:dyDescent="0.25">
      <c r="C2" s="1616" t="s">
        <v>3288</v>
      </c>
      <c r="D2" s="1616"/>
      <c r="E2" s="1616"/>
      <c r="F2" s="1616"/>
      <c r="G2" s="1616"/>
    </row>
    <row r="3" spans="2:7" ht="15.75" x14ac:dyDescent="0.25">
      <c r="C3" s="1616" t="s">
        <v>3289</v>
      </c>
      <c r="D3" s="1616"/>
      <c r="E3" s="1616"/>
      <c r="F3" s="1616"/>
      <c r="G3" s="1616"/>
    </row>
    <row r="4" spans="2:7" ht="15.75" x14ac:dyDescent="0.25">
      <c r="C4" s="1616" t="s">
        <v>3290</v>
      </c>
      <c r="D4" s="1616"/>
      <c r="E4" s="1616"/>
      <c r="F4" s="1616"/>
      <c r="G4" s="1616"/>
    </row>
    <row r="5" spans="2:7" ht="16.5" thickBot="1" x14ac:dyDescent="0.3">
      <c r="C5" s="1617" t="str">
        <f>"IN "&amp;'Key Inputs'!E34&amp;" MUNICIPAL BUDGET"</f>
        <v>IN 2021 MUNICIPAL BUDGET</v>
      </c>
      <c r="D5" s="1617"/>
      <c r="E5" s="1617"/>
      <c r="F5" s="1617"/>
      <c r="G5" s="1617"/>
    </row>
    <row r="6" spans="2:7" ht="15" customHeight="1" thickTop="1" thickBot="1" x14ac:dyDescent="0.3">
      <c r="B6" s="269"/>
      <c r="C6" s="269"/>
      <c r="D6" s="269"/>
      <c r="E6" s="269"/>
      <c r="F6" s="579" t="str">
        <f>"YEAR "&amp;'Key Inputs'!E34&amp;""</f>
        <v>YEAR 2021</v>
      </c>
      <c r="G6" s="583" t="str">
        <f>"YEAR "&amp;'Key Inputs'!E34-1&amp;""</f>
        <v>YEAR 2020</v>
      </c>
    </row>
    <row r="7" spans="2:7" ht="15" customHeight="1" thickTop="1" x14ac:dyDescent="0.2">
      <c r="B7" s="1623">
        <v>1</v>
      </c>
      <c r="C7" s="1614" t="str">
        <f>"Total General Appropriations for "&amp;'Key Inputs'!E34&amp;" Municipal Budget Statement Item 8(L) (Exclusive of Reserve for Uncollected Taxes)"</f>
        <v>Total General Appropriations for 2021 Municipal Budget Statement Item 8(L) (Exclusive of Reserve for Uncollected Taxes)</v>
      </c>
      <c r="D7" s="1614"/>
      <c r="E7" s="1614"/>
      <c r="F7" s="619"/>
      <c r="G7" s="1612" t="s">
        <v>98</v>
      </c>
    </row>
    <row r="8" spans="2:7" ht="15" customHeight="1" x14ac:dyDescent="0.2">
      <c r="B8" s="1624"/>
      <c r="C8" s="1615"/>
      <c r="D8" s="1615"/>
      <c r="E8" s="1615"/>
      <c r="F8" s="620">
        <f>+'29'!J23</f>
        <v>530739.89999999991</v>
      </c>
      <c r="G8" s="1613"/>
    </row>
    <row r="9" spans="2:7" ht="15" customHeight="1" x14ac:dyDescent="0.2">
      <c r="B9" s="1631">
        <v>2</v>
      </c>
      <c r="C9" s="1610" t="s">
        <v>3291</v>
      </c>
      <c r="D9" s="50" t="s">
        <v>498</v>
      </c>
      <c r="E9" s="5"/>
      <c r="F9" s="810"/>
      <c r="G9" s="811">
        <v>978360</v>
      </c>
    </row>
    <row r="10" spans="2:7" ht="15" customHeight="1" x14ac:dyDescent="0.2">
      <c r="B10" s="1624"/>
      <c r="C10" s="1611"/>
      <c r="D10" s="581" t="s">
        <v>3296</v>
      </c>
      <c r="E10" s="4"/>
      <c r="F10" s="812">
        <v>1062888.75</v>
      </c>
      <c r="G10" s="199" t="s">
        <v>98</v>
      </c>
    </row>
    <row r="11" spans="2:7" ht="15" customHeight="1" x14ac:dyDescent="0.2">
      <c r="B11" s="1631">
        <v>3</v>
      </c>
      <c r="C11" s="1610" t="s">
        <v>3292</v>
      </c>
      <c r="D11" s="5" t="s">
        <v>498</v>
      </c>
      <c r="E11" s="5"/>
      <c r="F11" s="810"/>
      <c r="G11" s="811"/>
    </row>
    <row r="12" spans="2:7" ht="15" customHeight="1" x14ac:dyDescent="0.2">
      <c r="B12" s="1624"/>
      <c r="C12" s="1632"/>
      <c r="D12" s="581" t="s">
        <v>3296</v>
      </c>
      <c r="E12" s="4"/>
      <c r="F12" s="812"/>
      <c r="G12" s="199" t="s">
        <v>98</v>
      </c>
    </row>
    <row r="13" spans="2:7" ht="15" customHeight="1" x14ac:dyDescent="0.2">
      <c r="B13" s="1631">
        <v>4</v>
      </c>
      <c r="C13" s="1610" t="s">
        <v>3293</v>
      </c>
      <c r="D13" s="5" t="s">
        <v>498</v>
      </c>
      <c r="E13" s="5"/>
      <c r="F13" s="810"/>
      <c r="G13" s="811">
        <v>460784</v>
      </c>
    </row>
    <row r="14" spans="2:7" ht="15" customHeight="1" x14ac:dyDescent="0.2">
      <c r="B14" s="1624"/>
      <c r="C14" s="1632"/>
      <c r="D14" s="581" t="s">
        <v>3296</v>
      </c>
      <c r="E14" s="4"/>
      <c r="F14" s="812">
        <v>481419.75</v>
      </c>
      <c r="G14" s="813" t="s">
        <v>98</v>
      </c>
    </row>
    <row r="15" spans="2:7" ht="15" customHeight="1" x14ac:dyDescent="0.2">
      <c r="B15" s="1631">
        <v>5</v>
      </c>
      <c r="C15" s="1610" t="s">
        <v>3294</v>
      </c>
      <c r="D15" s="5" t="s">
        <v>498</v>
      </c>
      <c r="E15" s="5"/>
      <c r="F15" s="810"/>
      <c r="G15" s="811">
        <v>933478.15</v>
      </c>
    </row>
    <row r="16" spans="2:7" ht="15" customHeight="1" x14ac:dyDescent="0.2">
      <c r="B16" s="1624"/>
      <c r="C16" s="1611"/>
      <c r="D16" s="581" t="s">
        <v>3296</v>
      </c>
      <c r="E16" s="4"/>
      <c r="F16" s="812">
        <v>960788.85</v>
      </c>
      <c r="G16" s="199" t="s">
        <v>98</v>
      </c>
    </row>
    <row r="17" spans="2:12" ht="15" customHeight="1" x14ac:dyDescent="0.2">
      <c r="B17" s="1631">
        <v>6</v>
      </c>
      <c r="C17" s="1610" t="s">
        <v>3295</v>
      </c>
      <c r="D17" s="5" t="s">
        <v>498</v>
      </c>
      <c r="E17" s="5"/>
      <c r="F17" s="810"/>
      <c r="G17" s="811"/>
    </row>
    <row r="18" spans="2:12" ht="15" customHeight="1" x14ac:dyDescent="0.2">
      <c r="B18" s="1624"/>
      <c r="C18" s="1611"/>
      <c r="D18" s="581" t="s">
        <v>3296</v>
      </c>
      <c r="E18" s="4"/>
      <c r="F18" s="812"/>
      <c r="G18" s="199" t="s">
        <v>98</v>
      </c>
    </row>
    <row r="19" spans="2:12" ht="15" customHeight="1" x14ac:dyDescent="0.2">
      <c r="B19" s="1631">
        <v>7</v>
      </c>
      <c r="C19" s="1610" t="s">
        <v>3236</v>
      </c>
      <c r="D19" s="50" t="s">
        <v>498</v>
      </c>
      <c r="E19" s="255"/>
      <c r="F19" s="812"/>
      <c r="G19" s="814"/>
    </row>
    <row r="20" spans="2:12" ht="15" customHeight="1" x14ac:dyDescent="0.2">
      <c r="B20" s="1624"/>
      <c r="C20" s="1611"/>
      <c r="D20" s="581" t="s">
        <v>3296</v>
      </c>
      <c r="E20" s="272"/>
      <c r="F20" s="1515"/>
      <c r="G20" s="175" t="s">
        <v>98</v>
      </c>
    </row>
    <row r="21" spans="2:12" ht="15" customHeight="1" x14ac:dyDescent="0.2">
      <c r="B21" s="1631">
        <v>8</v>
      </c>
      <c r="C21" s="1638" t="s">
        <v>6237</v>
      </c>
      <c r="D21" s="1517" t="s">
        <v>498</v>
      </c>
      <c r="E21" s="4"/>
      <c r="F21" s="810"/>
      <c r="G21" s="1521"/>
    </row>
    <row r="22" spans="2:12" ht="15" customHeight="1" thickBot="1" x14ac:dyDescent="0.25">
      <c r="B22" s="1624"/>
      <c r="C22" s="1611"/>
      <c r="D22" s="1517" t="s">
        <v>3296</v>
      </c>
      <c r="E22" s="4"/>
      <c r="F22" s="1515"/>
      <c r="G22" s="175" t="s">
        <v>98</v>
      </c>
    </row>
    <row r="23" spans="2:12" ht="15" customHeight="1" thickTop="1" x14ac:dyDescent="0.2">
      <c r="B23" s="232">
        <v>9</v>
      </c>
      <c r="C23" s="581" t="s">
        <v>3297</v>
      </c>
      <c r="D23" s="4"/>
      <c r="E23" s="4"/>
      <c r="F23" s="1516">
        <f>SUM(F7:F22)</f>
        <v>3035837.25</v>
      </c>
      <c r="G23" s="180"/>
    </row>
    <row r="24" spans="2:12" ht="15" customHeight="1" thickBot="1" x14ac:dyDescent="0.25">
      <c r="B24" s="594">
        <v>10</v>
      </c>
      <c r="C24" s="1625" t="str">
        <f>"Less: Total Anticipated Revenues from "&amp;'Key Inputs'!E34&amp;" in"</f>
        <v>Less: Total Anticipated Revenues from 2021 in</v>
      </c>
      <c r="D24" s="1625"/>
      <c r="E24" s="273"/>
      <c r="F24" s="617"/>
      <c r="G24" s="180"/>
    </row>
    <row r="25" spans="2:12" ht="15" customHeight="1" thickBot="1" x14ac:dyDescent="0.25">
      <c r="B25" s="4"/>
      <c r="C25" s="1615" t="s">
        <v>3298</v>
      </c>
      <c r="D25" s="1626"/>
      <c r="E25" s="272"/>
      <c r="F25" s="618">
        <f>+'11'!I20</f>
        <v>494501.83999999997</v>
      </c>
      <c r="G25" s="180"/>
      <c r="I25" s="621" t="s">
        <v>5215</v>
      </c>
      <c r="J25" s="348"/>
      <c r="K25" s="63"/>
    </row>
    <row r="26" spans="2:12" ht="15" customHeight="1" thickTop="1" x14ac:dyDescent="0.2">
      <c r="B26">
        <v>11</v>
      </c>
      <c r="C26" s="1629" t="str">
        <f>"Cash Required from "&amp;'Key Inputs'!E34&amp;" to Support Local Municipal Budget and Other Taxes"</f>
        <v>Cash Required from 2021 to Support Local Municipal Budget and Other Taxes</v>
      </c>
      <c r="D26" s="1629"/>
      <c r="E26" s="63"/>
      <c r="F26" s="585"/>
      <c r="G26" s="180"/>
      <c r="I26" s="614" t="s">
        <v>5216</v>
      </c>
      <c r="J26" s="851">
        <v>0.89504126260000005</v>
      </c>
      <c r="K26" s="848" t="s">
        <v>5224</v>
      </c>
      <c r="L26" s="784"/>
    </row>
    <row r="27" spans="2:12" ht="12" customHeight="1" thickBot="1" x14ac:dyDescent="0.25">
      <c r="C27" s="1630"/>
      <c r="D27" s="1630"/>
      <c r="E27" s="63"/>
      <c r="F27" s="584">
        <f>+F23-F25</f>
        <v>2541335.41</v>
      </c>
      <c r="G27" s="180"/>
      <c r="I27" s="307"/>
      <c r="J27" s="346"/>
      <c r="K27" s="63"/>
    </row>
    <row r="28" spans="2:12" ht="15" customHeight="1" thickTop="1" thickBot="1" x14ac:dyDescent="0.3">
      <c r="B28">
        <v>12</v>
      </c>
      <c r="C28" s="784" t="s">
        <v>6244</v>
      </c>
      <c r="D28" s="846">
        <f>IF(J30="X",J33,J26)</f>
        <v>0.89504126260000005</v>
      </c>
      <c r="E28" s="63"/>
      <c r="F28" s="600"/>
      <c r="G28" s="180"/>
      <c r="K28" s="63"/>
    </row>
    <row r="29" spans="2:12" ht="15" customHeight="1" thickTop="1" thickBot="1" x14ac:dyDescent="0.3">
      <c r="B29" s="63"/>
      <c r="C29" s="1614" t="s">
        <v>3299</v>
      </c>
      <c r="D29" s="1614"/>
      <c r="E29" s="1627"/>
      <c r="F29" s="601"/>
      <c r="I29" s="847" t="s">
        <v>5217</v>
      </c>
      <c r="J29" s="348"/>
      <c r="K29" s="63"/>
    </row>
    <row r="30" spans="2:12" ht="23.25" customHeight="1" thickBot="1" x14ac:dyDescent="0.25">
      <c r="B30" s="4"/>
      <c r="C30" s="1615"/>
      <c r="D30" s="1615"/>
      <c r="E30" s="1628"/>
      <c r="F30" s="602">
        <f>IF(J30="x",F27+J31,F27/J26)</f>
        <v>2839350.0011582593</v>
      </c>
      <c r="I30" s="292" t="s">
        <v>5218</v>
      </c>
      <c r="J30" s="852"/>
      <c r="K30" s="63"/>
    </row>
    <row r="31" spans="2:12" ht="15" customHeight="1" thickBot="1" x14ac:dyDescent="0.25">
      <c r="B31" s="202"/>
      <c r="C31" s="590" t="s">
        <v>6238</v>
      </c>
      <c r="D31" s="273"/>
      <c r="E31" s="273"/>
      <c r="F31" s="184"/>
      <c r="I31" s="292" t="s">
        <v>5219</v>
      </c>
      <c r="J31" s="853"/>
      <c r="K31" s="63"/>
    </row>
    <row r="32" spans="2:12" ht="15" customHeight="1" x14ac:dyDescent="0.2">
      <c r="B32" s="4"/>
      <c r="C32" s="1641" t="s">
        <v>3300</v>
      </c>
      <c r="D32" s="1642"/>
      <c r="E32" s="588">
        <f>+F10</f>
        <v>1062888.75</v>
      </c>
      <c r="F32" s="184"/>
      <c r="I32" s="292"/>
      <c r="J32" s="345"/>
      <c r="K32" s="63"/>
    </row>
    <row r="33" spans="2:11" ht="15" customHeight="1" thickBot="1" x14ac:dyDescent="0.25">
      <c r="B33" s="5"/>
      <c r="C33" s="1643" t="s">
        <v>3301</v>
      </c>
      <c r="D33" s="1644"/>
      <c r="E33" s="589">
        <f>+F12</f>
        <v>0</v>
      </c>
      <c r="F33" s="184"/>
      <c r="G33" s="63"/>
      <c r="I33" s="307" t="s">
        <v>5220</v>
      </c>
      <c r="J33" s="850">
        <f>F27/F30</f>
        <v>0.89504126260000005</v>
      </c>
      <c r="K33" s="63"/>
    </row>
    <row r="34" spans="2:11" ht="15" customHeight="1" x14ac:dyDescent="0.2">
      <c r="B34" s="5"/>
      <c r="C34" s="1643" t="s">
        <v>3302</v>
      </c>
      <c r="D34" s="1644"/>
      <c r="E34" s="589">
        <f>+F14</f>
        <v>481419.75</v>
      </c>
      <c r="F34" s="184"/>
      <c r="K34" s="63"/>
    </row>
    <row r="35" spans="2:11" ht="15" customHeight="1" x14ac:dyDescent="0.2">
      <c r="B35" s="5"/>
      <c r="C35" s="1643" t="s">
        <v>3303</v>
      </c>
      <c r="D35" s="1644"/>
      <c r="E35" s="589">
        <f>+F16</f>
        <v>960788.85</v>
      </c>
      <c r="F35" s="184"/>
      <c r="I35" t="s">
        <v>5221</v>
      </c>
    </row>
    <row r="36" spans="2:11" ht="15" customHeight="1" x14ac:dyDescent="0.2">
      <c r="B36" s="5"/>
      <c r="C36" s="1643" t="s">
        <v>3304</v>
      </c>
      <c r="D36" s="1644"/>
      <c r="E36" s="589">
        <f>+F18</f>
        <v>0</v>
      </c>
      <c r="F36" s="184"/>
    </row>
    <row r="37" spans="2:11" ht="15" customHeight="1" x14ac:dyDescent="0.2">
      <c r="B37" s="4"/>
      <c r="C37" s="1643" t="s">
        <v>3305</v>
      </c>
      <c r="D37" s="1644"/>
      <c r="E37" s="589">
        <f>+F20</f>
        <v>0</v>
      </c>
      <c r="F37" s="184"/>
    </row>
    <row r="38" spans="2:11" ht="15" customHeight="1" x14ac:dyDescent="0.2">
      <c r="B38" s="4"/>
      <c r="C38" s="1518" t="s">
        <v>6239</v>
      </c>
      <c r="D38" s="1513"/>
      <c r="E38" s="589">
        <f>F22</f>
        <v>0</v>
      </c>
      <c r="F38" s="184"/>
    </row>
    <row r="39" spans="2:11" ht="15" customHeight="1" x14ac:dyDescent="0.2">
      <c r="B39" s="5"/>
      <c r="C39" s="587" t="s">
        <v>3306</v>
      </c>
      <c r="D39" s="255"/>
      <c r="E39" s="591">
        <f>+F48</f>
        <v>334252.65115825913</v>
      </c>
      <c r="F39" s="184"/>
    </row>
    <row r="40" spans="2:11" ht="15" customHeight="1" thickBot="1" x14ac:dyDescent="0.25">
      <c r="B40" s="4"/>
      <c r="C40" s="1519" t="s">
        <v>6240</v>
      </c>
      <c r="D40" s="272"/>
      <c r="E40" s="582">
        <f>+SUM(E32:E39)</f>
        <v>2839350.0011582593</v>
      </c>
      <c r="F40" s="184"/>
    </row>
    <row r="41" spans="2:11" ht="15" customHeight="1" x14ac:dyDescent="0.2">
      <c r="B41" s="1631">
        <v>13</v>
      </c>
      <c r="C41" s="1633" t="s">
        <v>3307</v>
      </c>
      <c r="D41" s="1633"/>
      <c r="E41" s="1634"/>
      <c r="F41" s="1639">
        <f>F30-F27</f>
        <v>298014.59115825919</v>
      </c>
      <c r="I41" s="180"/>
    </row>
    <row r="42" spans="2:11" ht="15" customHeight="1" x14ac:dyDescent="0.2">
      <c r="B42" s="1624"/>
      <c r="C42" s="1635" t="s">
        <v>6241</v>
      </c>
      <c r="D42" s="1636"/>
      <c r="E42" s="1637"/>
      <c r="F42" s="1640"/>
      <c r="I42" s="854">
        <v>0.93320000000000003</v>
      </c>
      <c r="J42" t="s">
        <v>5222</v>
      </c>
    </row>
    <row r="43" spans="2:11" ht="15" customHeight="1" x14ac:dyDescent="0.2">
      <c r="B43" s="595"/>
      <c r="C43" s="1622" t="s">
        <v>3308</v>
      </c>
      <c r="D43" s="1622"/>
      <c r="E43" s="596"/>
      <c r="F43" s="597"/>
      <c r="I43" s="180"/>
    </row>
    <row r="44" spans="2:11" ht="15" customHeight="1" x14ac:dyDescent="0.2">
      <c r="B44" s="4"/>
      <c r="C44" s="586" t="s">
        <v>3309</v>
      </c>
      <c r="D44" s="4"/>
      <c r="E44" s="4"/>
      <c r="F44" s="592">
        <f>+F8</f>
        <v>530739.89999999991</v>
      </c>
      <c r="I44" s="1522">
        <f>F27/D28</f>
        <v>2839350.0011582593</v>
      </c>
      <c r="J44" t="s">
        <v>5223</v>
      </c>
    </row>
    <row r="45" spans="2:11" ht="15" customHeight="1" x14ac:dyDescent="0.2">
      <c r="B45" s="5"/>
      <c r="C45" s="1518" t="s">
        <v>6242</v>
      </c>
      <c r="D45" s="5"/>
      <c r="E45" s="5"/>
      <c r="F45" s="598">
        <f>+F41</f>
        <v>298014.59115825919</v>
      </c>
      <c r="I45" s="180"/>
    </row>
    <row r="46" spans="2:11" ht="15" customHeight="1" x14ac:dyDescent="0.2">
      <c r="B46" s="63"/>
      <c r="C46" s="599" t="s">
        <v>794</v>
      </c>
      <c r="D46" s="63"/>
      <c r="E46" s="63"/>
      <c r="F46" s="592">
        <f>+F44+F45</f>
        <v>828754.4911582591</v>
      </c>
      <c r="I46" s="849">
        <f>F27/F30</f>
        <v>0.89504126260000005</v>
      </c>
      <c r="J46" t="s">
        <v>5220</v>
      </c>
    </row>
    <row r="47" spans="2:11" ht="15" customHeight="1" x14ac:dyDescent="0.2">
      <c r="C47" s="1520" t="s">
        <v>6243</v>
      </c>
      <c r="F47" s="592">
        <f>+F25</f>
        <v>494501.83999999997</v>
      </c>
    </row>
    <row r="48" spans="2:11" ht="15" customHeight="1" thickBot="1" x14ac:dyDescent="0.25">
      <c r="B48" s="2"/>
      <c r="C48" s="580" t="s">
        <v>3310</v>
      </c>
      <c r="D48" s="2"/>
      <c r="E48" s="8"/>
      <c r="F48" s="593">
        <f>+F46-F47</f>
        <v>334252.65115825913</v>
      </c>
    </row>
    <row r="49" spans="3:5" ht="14.25" thickTop="1" thickBot="1" x14ac:dyDescent="0.25"/>
    <row r="50" spans="3:5" x14ac:dyDescent="0.2">
      <c r="C50" s="634" t="s">
        <v>3342</v>
      </c>
      <c r="D50" s="635"/>
      <c r="E50" s="603">
        <f>+F48-E51-E52</f>
        <v>334252.65115825913</v>
      </c>
    </row>
    <row r="51" spans="3:5" x14ac:dyDescent="0.2">
      <c r="C51" s="1618" t="s">
        <v>181</v>
      </c>
      <c r="D51" s="1619"/>
      <c r="E51" s="815"/>
    </row>
    <row r="52" spans="3:5" ht="13.5" thickBot="1" x14ac:dyDescent="0.25">
      <c r="C52" s="1620" t="s">
        <v>3219</v>
      </c>
      <c r="D52" s="1621"/>
      <c r="E52" s="1439"/>
    </row>
  </sheetData>
  <sheetProtection algorithmName="SHA-512" hashValue="caWI4N3r385iA/qGinLoL0MOuqdkTUo+DaSu15i3xyJIx7M71FGNqtCb/eB1qM+9JhmQE8VTAlyAE8SdueGX7A==" saltValue="bsCDgik+a7T/beGJO1y8gA==" spinCount="100000" sheet="1" objects="1" scenarios="1"/>
  <mergeCells count="38">
    <mergeCell ref="F41:F42"/>
    <mergeCell ref="C32:D32"/>
    <mergeCell ref="C33:D33"/>
    <mergeCell ref="C34:D34"/>
    <mergeCell ref="C35:D35"/>
    <mergeCell ref="C36:D36"/>
    <mergeCell ref="C37:D37"/>
    <mergeCell ref="C15:C16"/>
    <mergeCell ref="C17:C18"/>
    <mergeCell ref="C19:C20"/>
    <mergeCell ref="B41:B42"/>
    <mergeCell ref="C41:E41"/>
    <mergeCell ref="C42:E42"/>
    <mergeCell ref="B21:B22"/>
    <mergeCell ref="C21:C22"/>
    <mergeCell ref="C51:D51"/>
    <mergeCell ref="C52:D52"/>
    <mergeCell ref="C43:D43"/>
    <mergeCell ref="B7:B8"/>
    <mergeCell ref="C24:D24"/>
    <mergeCell ref="C25:D25"/>
    <mergeCell ref="C29:E30"/>
    <mergeCell ref="C26:D27"/>
    <mergeCell ref="B9:B10"/>
    <mergeCell ref="B11:B12"/>
    <mergeCell ref="B13:B14"/>
    <mergeCell ref="B15:B16"/>
    <mergeCell ref="B17:B18"/>
    <mergeCell ref="B19:B20"/>
    <mergeCell ref="C11:C12"/>
    <mergeCell ref="C13:C14"/>
    <mergeCell ref="C9:C10"/>
    <mergeCell ref="G7:G8"/>
    <mergeCell ref="C7:E8"/>
    <mergeCell ref="C2:G2"/>
    <mergeCell ref="C3:G3"/>
    <mergeCell ref="C4:G4"/>
    <mergeCell ref="C5:G5"/>
  </mergeCells>
  <phoneticPr fontId="0" type="noConversion"/>
  <pageMargins left="0.25" right="0.3" top="0.25" bottom="0.75" header="0.25" footer="0.25"/>
  <pageSetup paperSize="5" orientation="portrait"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sheetPr codeName="Sheet138">
    <tabColor theme="9"/>
  </sheetPr>
  <dimension ref="B2:O47"/>
  <sheetViews>
    <sheetView zoomScaleNormal="100" workbookViewId="0">
      <selection activeCell="F12" sqref="F12"/>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3312</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kqPdwlxx68EEgI1ARol+4PI2N/9+1Dgm/Bnkl02y0K0JRZ+AxRUpb4XgB93ZUd2hIxkCXRvzs7WFqCZ3FAyMlQ==" saltValue="KEYnE4zaoOa3qsq9T0sD5g=="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sheetPr codeName="Sheet139">
    <tabColor theme="9"/>
  </sheetPr>
  <dimension ref="B2:O47"/>
  <sheetViews>
    <sheetView zoomScaleNormal="100" workbookViewId="0">
      <selection activeCell="N12" sqref="N12"/>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3313</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h/1/rI463zxoDVWVhdBqs+ppJRaw0rtUdV3+XrSsvqnaRXEEfnHQZoU7t0yQ6M31adKFiLR2mbBy62U4D0E7tQ==" saltValue="IwENci5ecit/fdSSdk1JWw=="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sheetPr codeName="Sheet140">
    <tabColor theme="9"/>
  </sheetPr>
  <dimension ref="B2:O47"/>
  <sheetViews>
    <sheetView zoomScaleNormal="100" workbookViewId="0">
      <selection activeCell="E4" sqref="E4"/>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3314</v>
      </c>
      <c r="C31" s="1617"/>
      <c r="D31" s="1617"/>
      <c r="E31" s="1617"/>
      <c r="F31" s="1617"/>
      <c r="G31" s="1617"/>
      <c r="H31" s="1617"/>
      <c r="I31" s="1617"/>
      <c r="J31" s="1617"/>
      <c r="K31" s="1617"/>
    </row>
    <row r="34" spans="4:11" x14ac:dyDescent="0.2">
      <c r="F34" s="29"/>
      <c r="G34" s="29"/>
      <c r="J34" s="29"/>
    </row>
    <row r="35" spans="4:11" x14ac:dyDescent="0.2">
      <c r="K35" s="29">
        <f>SUM(F29:K29)</f>
        <v>0</v>
      </c>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adRMYvbB7JqnsjRwYY0SjvpJXKy7V8XooI+EDaOyp3WNCxYj+JXLznyUBrXedbZx6SvyNJjcwjntkhZPcOI6zw==" saltValue="2WxiuxB1MPbuZD0BnkVNhQ=="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sheetPr codeName="Sheet141">
    <tabColor theme="9"/>
  </sheetPr>
  <dimension ref="B2:O47"/>
  <sheetViews>
    <sheetView zoomScaleNormal="100" workbookViewId="0">
      <selection activeCell="C21" sqref="C21"/>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3315</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B2EWZgPewLIfuy9ORp4tSo8w2OQ3UGJyImTV+/RgjvnJ954dnfGT9h/sxZQX3J9nBzdSvaybFAARYVsX8um43A==" saltValue="dhbGSd6/xZi6aSzo/1sfSA=="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sheetPr codeName="Sheet142">
    <tabColor theme="9"/>
  </sheetPr>
  <dimension ref="B2:O47"/>
  <sheetViews>
    <sheetView zoomScaleNormal="100" workbookViewId="0">
      <selection activeCell="K16" sqref="K16"/>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3317</v>
      </c>
      <c r="C29" s="604" t="s">
        <v>85</v>
      </c>
      <c r="D29" s="1453">
        <f t="shared" si="0"/>
        <v>0</v>
      </c>
      <c r="E29" s="1453">
        <f>SUM(E11:E28)</f>
        <v>0</v>
      </c>
      <c r="F29" s="1453">
        <f t="shared" ref="F29:K29" si="1">SUM(F11:F28)</f>
        <v>0</v>
      </c>
      <c r="G29" s="1453">
        <f t="shared" si="1"/>
        <v>0</v>
      </c>
      <c r="H29" s="1453">
        <f t="shared" si="1"/>
        <v>0</v>
      </c>
      <c r="I29" s="1453">
        <f t="shared" si="1"/>
        <v>0</v>
      </c>
      <c r="J29" s="1453">
        <f t="shared" si="1"/>
        <v>0</v>
      </c>
      <c r="K29" s="1459">
        <f t="shared" si="1"/>
        <v>0</v>
      </c>
    </row>
    <row r="30" spans="2:14" ht="15.75" customHeight="1" thickTop="1" x14ac:dyDescent="0.25">
      <c r="B30" s="12"/>
      <c r="C30" s="126"/>
      <c r="D30" s="126"/>
      <c r="E30" s="126"/>
      <c r="F30" s="164"/>
      <c r="G30" s="164"/>
      <c r="H30" s="164"/>
      <c r="I30" s="164"/>
      <c r="J30" s="164"/>
      <c r="K30" s="300" t="s">
        <v>705</v>
      </c>
    </row>
    <row r="31" spans="2:14" ht="15.75" x14ac:dyDescent="0.25">
      <c r="B31" s="1617" t="s">
        <v>3316</v>
      </c>
      <c r="C31" s="1617"/>
      <c r="D31" s="1617"/>
      <c r="E31" s="1617"/>
      <c r="F31" s="1617"/>
      <c r="G31" s="1617"/>
      <c r="H31" s="1617"/>
      <c r="I31" s="1617"/>
      <c r="J31" s="1617"/>
      <c r="K31" s="1617"/>
    </row>
    <row r="34" spans="4:11" x14ac:dyDescent="0.2">
      <c r="F34" s="29"/>
      <c r="G34" s="29"/>
      <c r="J34" s="29"/>
    </row>
    <row r="35" spans="4:11" x14ac:dyDescent="0.2">
      <c r="K35" s="29"/>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vdKrrSentIgf+M5M7DJYKzlgOGsEUpDw8Baa63LZYbuFmu1olk5QYAMXauSu7vV5ljM03milXVfcAzRNrXYcAQ==" saltValue="UweoR/NSrmO6MUW5gGA1LA=="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sheetPr codeName="Sheet143">
    <tabColor theme="9"/>
  </sheetPr>
  <dimension ref="B2:O47"/>
  <sheetViews>
    <sheetView zoomScaleNormal="100" workbookViewId="0">
      <selection activeCell="H21" sqref="H21"/>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5" ht="18" x14ac:dyDescent="0.25">
      <c r="B2" s="1685" t="s">
        <v>687</v>
      </c>
      <c r="C2" s="1685"/>
      <c r="D2" s="1685"/>
      <c r="E2" s="1685"/>
      <c r="F2" s="1685"/>
      <c r="G2" s="1685"/>
      <c r="H2" s="1685"/>
      <c r="I2" s="1685"/>
      <c r="J2" s="1685"/>
      <c r="K2" s="1685"/>
    </row>
    <row r="3" spans="2:15" ht="18" x14ac:dyDescent="0.25">
      <c r="B3" s="1769" t="str">
        <f>'Key Inputs'!E34</f>
        <v>2021</v>
      </c>
      <c r="C3" s="1685"/>
      <c r="D3" s="1685"/>
      <c r="E3" s="1685"/>
      <c r="F3" s="1685"/>
      <c r="G3" s="1685"/>
      <c r="H3" s="1685"/>
      <c r="I3" s="1685"/>
      <c r="J3" s="1685"/>
      <c r="K3" s="1685"/>
    </row>
    <row r="4" spans="2:15" ht="15" customHeight="1" x14ac:dyDescent="0.25">
      <c r="B4" s="236"/>
      <c r="C4" s="236"/>
      <c r="D4" s="236"/>
      <c r="E4" s="236"/>
      <c r="F4" s="236"/>
      <c r="G4" s="236"/>
      <c r="H4" s="375" t="s">
        <v>688</v>
      </c>
      <c r="I4" s="559"/>
      <c r="J4" s="559" t="str">
        <f>+'Key Inputs'!E5</f>
        <v>TOWNSHIP OF GREENWICH</v>
      </c>
      <c r="K4" s="559"/>
    </row>
    <row r="5" spans="2:15" ht="6" customHeight="1" thickBot="1" x14ac:dyDescent="0.25"/>
    <row r="6" spans="2:15" ht="15.75" thickTop="1" x14ac:dyDescent="0.25">
      <c r="B6" s="435"/>
      <c r="C6" s="436"/>
      <c r="D6" s="437"/>
      <c r="E6" s="436">
        <v>4</v>
      </c>
      <c r="F6" s="1770"/>
      <c r="G6" s="1771"/>
      <c r="H6" s="1771"/>
      <c r="I6" s="1771"/>
      <c r="J6" s="1772"/>
      <c r="K6" s="81">
        <v>6</v>
      </c>
    </row>
    <row r="7" spans="2:15" ht="15" x14ac:dyDescent="0.25">
      <c r="B7" s="438">
        <v>1</v>
      </c>
      <c r="C7" s="439">
        <v>2</v>
      </c>
      <c r="D7" s="422">
        <v>3</v>
      </c>
      <c r="E7" s="422" t="s">
        <v>694</v>
      </c>
      <c r="F7" s="1773" t="str">
        <f>"PLANNED  FUNDING  SERVICES  FOR  CURRENT  YEAR  -  "&amp;'Key Inputs'!E34</f>
        <v>PLANNED  FUNDING  SERVICES  FOR  CURRENT  YEAR  -  2021</v>
      </c>
      <c r="G7" s="1667"/>
      <c r="H7" s="1667"/>
      <c r="I7" s="1667"/>
      <c r="J7" s="1774"/>
      <c r="K7" s="440" t="s">
        <v>706</v>
      </c>
    </row>
    <row r="8" spans="2:15" ht="15" customHeight="1" x14ac:dyDescent="0.25">
      <c r="B8" s="438" t="s">
        <v>689</v>
      </c>
      <c r="C8" s="439" t="s">
        <v>690</v>
      </c>
      <c r="D8" s="422" t="s">
        <v>692</v>
      </c>
      <c r="E8" s="422" t="s">
        <v>695</v>
      </c>
      <c r="F8" s="24" t="s">
        <v>698</v>
      </c>
      <c r="G8" s="441" t="s">
        <v>699</v>
      </c>
      <c r="H8" s="26" t="s">
        <v>700</v>
      </c>
      <c r="I8" s="24" t="s">
        <v>701</v>
      </c>
      <c r="J8" s="26" t="s">
        <v>702</v>
      </c>
      <c r="K8" s="440" t="s">
        <v>707</v>
      </c>
    </row>
    <row r="9" spans="2:15" x14ac:dyDescent="0.2">
      <c r="B9" s="442"/>
      <c r="C9" s="439" t="s">
        <v>691</v>
      </c>
      <c r="D9" s="422" t="s">
        <v>509</v>
      </c>
      <c r="E9" s="422" t="s">
        <v>696</v>
      </c>
      <c r="F9" s="235" t="str">
        <f>'Key Inputs'!E34&amp;" Budget"</f>
        <v>2021 Budget</v>
      </c>
      <c r="G9" s="443" t="s">
        <v>342</v>
      </c>
      <c r="H9" s="443" t="s">
        <v>342</v>
      </c>
      <c r="I9" s="235" t="s">
        <v>711</v>
      </c>
      <c r="J9" s="443" t="s">
        <v>713</v>
      </c>
      <c r="K9" s="440" t="s">
        <v>708</v>
      </c>
    </row>
    <row r="10" spans="2:15" ht="15" customHeight="1" thickBot="1" x14ac:dyDescent="0.25">
      <c r="B10" s="444"/>
      <c r="C10" s="445"/>
      <c r="D10" s="446" t="s">
        <v>693</v>
      </c>
      <c r="E10" s="446" t="s">
        <v>697</v>
      </c>
      <c r="F10" s="447" t="s">
        <v>709</v>
      </c>
      <c r="G10" s="446" t="s">
        <v>710</v>
      </c>
      <c r="H10" s="448" t="s">
        <v>332</v>
      </c>
      <c r="I10" s="447" t="s">
        <v>712</v>
      </c>
      <c r="J10" s="448" t="s">
        <v>714</v>
      </c>
      <c r="K10" s="449" t="s">
        <v>697</v>
      </c>
    </row>
    <row r="11" spans="2:15" ht="20.100000000000001" customHeight="1" thickTop="1" x14ac:dyDescent="0.2">
      <c r="B11" s="1456"/>
      <c r="C11" s="1457"/>
      <c r="D11" s="1445">
        <f>SUM(E11:K11)</f>
        <v>0</v>
      </c>
      <c r="E11" s="1446"/>
      <c r="F11" s="1447"/>
      <c r="G11" s="1446"/>
      <c r="H11" s="1446"/>
      <c r="I11" s="1447"/>
      <c r="J11" s="1446"/>
      <c r="K11" s="1448"/>
      <c r="N11" s="29"/>
    </row>
    <row r="12" spans="2:15" ht="20.100000000000001" customHeight="1" x14ac:dyDescent="0.2">
      <c r="B12" s="983"/>
      <c r="C12" s="1458"/>
      <c r="D12" s="1449">
        <f t="shared" ref="D12:D29" si="0">SUM(E12:K12)</f>
        <v>0</v>
      </c>
      <c r="E12" s="1450"/>
      <c r="F12" s="1451"/>
      <c r="G12" s="1450"/>
      <c r="H12" s="1450"/>
      <c r="I12" s="1451"/>
      <c r="J12" s="1450"/>
      <c r="K12" s="1452"/>
      <c r="N12" s="29"/>
    </row>
    <row r="13" spans="2:15" ht="20.100000000000001" customHeight="1" x14ac:dyDescent="0.2">
      <c r="B13" s="983"/>
      <c r="C13" s="1458"/>
      <c r="D13" s="1449">
        <f t="shared" si="0"/>
        <v>0</v>
      </c>
      <c r="E13" s="1450"/>
      <c r="F13" s="1451"/>
      <c r="G13" s="1450"/>
      <c r="H13" s="1450"/>
      <c r="I13" s="1451"/>
      <c r="J13" s="1450"/>
      <c r="K13" s="1452"/>
      <c r="N13" s="29"/>
    </row>
    <row r="14" spans="2:15" ht="20.100000000000001" customHeight="1" x14ac:dyDescent="0.2">
      <c r="B14" s="983"/>
      <c r="C14" s="1458"/>
      <c r="D14" s="1449">
        <f t="shared" si="0"/>
        <v>0</v>
      </c>
      <c r="E14" s="1450"/>
      <c r="F14" s="1451"/>
      <c r="G14" s="1450"/>
      <c r="H14" s="1450"/>
      <c r="I14" s="1451"/>
      <c r="J14" s="1450"/>
      <c r="K14" s="1452"/>
      <c r="N14" s="29"/>
      <c r="O14" s="29"/>
    </row>
    <row r="15" spans="2:15" ht="20.100000000000001" customHeight="1" x14ac:dyDescent="0.2">
      <c r="B15" s="983"/>
      <c r="C15" s="1458"/>
      <c r="D15" s="1449">
        <f t="shared" si="0"/>
        <v>0</v>
      </c>
      <c r="E15" s="1450"/>
      <c r="F15" s="1451"/>
      <c r="G15" s="1450"/>
      <c r="H15" s="1450"/>
      <c r="I15" s="1451"/>
      <c r="J15" s="1450"/>
      <c r="K15" s="1452"/>
      <c r="N15" s="29"/>
    </row>
    <row r="16" spans="2:15" ht="20.100000000000001" customHeight="1" x14ac:dyDescent="0.2">
      <c r="B16" s="983"/>
      <c r="C16" s="1458"/>
      <c r="D16" s="1449">
        <f t="shared" si="0"/>
        <v>0</v>
      </c>
      <c r="E16" s="1450"/>
      <c r="F16" s="1451"/>
      <c r="G16" s="1450"/>
      <c r="H16" s="1450"/>
      <c r="I16" s="1451"/>
      <c r="J16" s="1450"/>
      <c r="K16" s="1452"/>
      <c r="N16" s="29"/>
    </row>
    <row r="17" spans="2:14" ht="20.100000000000001" customHeight="1" x14ac:dyDescent="0.2">
      <c r="B17" s="983"/>
      <c r="C17" s="1458"/>
      <c r="D17" s="1449">
        <f t="shared" si="0"/>
        <v>0</v>
      </c>
      <c r="E17" s="1450"/>
      <c r="F17" s="1451"/>
      <c r="G17" s="1450"/>
      <c r="H17" s="1450"/>
      <c r="I17" s="1451"/>
      <c r="J17" s="1450"/>
      <c r="K17" s="1452"/>
      <c r="N17" s="29"/>
    </row>
    <row r="18" spans="2:14" ht="20.100000000000001" customHeight="1" x14ac:dyDescent="0.2">
      <c r="B18" s="983"/>
      <c r="C18" s="1458"/>
      <c r="D18" s="1449">
        <f t="shared" si="0"/>
        <v>0</v>
      </c>
      <c r="E18" s="1450"/>
      <c r="F18" s="1451"/>
      <c r="G18" s="1450"/>
      <c r="H18" s="1450"/>
      <c r="I18" s="1451"/>
      <c r="J18" s="1450"/>
      <c r="K18" s="1452"/>
      <c r="N18" s="29"/>
    </row>
    <row r="19" spans="2:14" ht="20.100000000000001" customHeight="1" x14ac:dyDescent="0.2">
      <c r="B19" s="983"/>
      <c r="C19" s="1458"/>
      <c r="D19" s="1449">
        <f t="shared" si="0"/>
        <v>0</v>
      </c>
      <c r="E19" s="1450"/>
      <c r="F19" s="1451"/>
      <c r="G19" s="1450"/>
      <c r="H19" s="1450"/>
      <c r="I19" s="1451"/>
      <c r="J19" s="1450"/>
      <c r="K19" s="1452"/>
      <c r="N19" s="29"/>
    </row>
    <row r="20" spans="2:14" ht="20.100000000000001" customHeight="1" x14ac:dyDescent="0.2">
      <c r="B20" s="983"/>
      <c r="C20" s="1458"/>
      <c r="D20" s="1449">
        <f t="shared" si="0"/>
        <v>0</v>
      </c>
      <c r="E20" s="1450"/>
      <c r="F20" s="1451"/>
      <c r="G20" s="1450"/>
      <c r="H20" s="1450"/>
      <c r="I20" s="1451"/>
      <c r="J20" s="1450"/>
      <c r="K20" s="1452"/>
      <c r="N20" s="180"/>
    </row>
    <row r="21" spans="2:14" ht="20.100000000000001" customHeight="1" x14ac:dyDescent="0.2">
      <c r="B21" s="983"/>
      <c r="C21" s="1458"/>
      <c r="D21" s="1449">
        <f t="shared" si="0"/>
        <v>0</v>
      </c>
      <c r="E21" s="1450"/>
      <c r="F21" s="1451"/>
      <c r="G21" s="1450"/>
      <c r="H21" s="1450"/>
      <c r="I21" s="1451"/>
      <c r="J21" s="1450"/>
      <c r="K21" s="1452"/>
      <c r="N21" s="180"/>
    </row>
    <row r="22" spans="2:14" ht="20.100000000000001" customHeight="1" x14ac:dyDescent="0.2">
      <c r="B22" s="983"/>
      <c r="C22" s="1458"/>
      <c r="D22" s="1449">
        <f t="shared" si="0"/>
        <v>0</v>
      </c>
      <c r="E22" s="1450"/>
      <c r="F22" s="1451"/>
      <c r="G22" s="1450"/>
      <c r="H22" s="1450"/>
      <c r="I22" s="1451"/>
      <c r="J22" s="1450"/>
      <c r="K22" s="1452"/>
      <c r="N22" s="180"/>
    </row>
    <row r="23" spans="2:14" ht="20.100000000000001" customHeight="1" x14ac:dyDescent="0.2">
      <c r="B23" s="983"/>
      <c r="C23" s="1458"/>
      <c r="D23" s="1449">
        <f t="shared" si="0"/>
        <v>0</v>
      </c>
      <c r="E23" s="1450"/>
      <c r="F23" s="1451"/>
      <c r="G23" s="1450"/>
      <c r="H23" s="1450"/>
      <c r="I23" s="1451"/>
      <c r="J23" s="1450"/>
      <c r="K23" s="1452"/>
      <c r="N23" s="180"/>
    </row>
    <row r="24" spans="2:14" ht="20.100000000000001" customHeight="1" x14ac:dyDescent="0.2">
      <c r="B24" s="983"/>
      <c r="C24" s="1458"/>
      <c r="D24" s="1449">
        <f t="shared" si="0"/>
        <v>0</v>
      </c>
      <c r="E24" s="1450"/>
      <c r="F24" s="1451"/>
      <c r="G24" s="1450"/>
      <c r="H24" s="1450"/>
      <c r="I24" s="1451"/>
      <c r="J24" s="1450"/>
      <c r="K24" s="1452"/>
      <c r="N24" s="180"/>
    </row>
    <row r="25" spans="2:14" ht="20.100000000000001" customHeight="1" x14ac:dyDescent="0.2">
      <c r="B25" s="983"/>
      <c r="C25" s="1458"/>
      <c r="D25" s="1449">
        <f t="shared" si="0"/>
        <v>0</v>
      </c>
      <c r="E25" s="1450"/>
      <c r="F25" s="1451"/>
      <c r="G25" s="1450"/>
      <c r="H25" s="1450"/>
      <c r="I25" s="1451"/>
      <c r="J25" s="1450"/>
      <c r="K25" s="1452"/>
    </row>
    <row r="26" spans="2:14" ht="20.100000000000001" customHeight="1" x14ac:dyDescent="0.2">
      <c r="B26" s="983"/>
      <c r="C26" s="747"/>
      <c r="D26" s="1449">
        <f t="shared" si="0"/>
        <v>0</v>
      </c>
      <c r="E26" s="1450"/>
      <c r="F26" s="1451"/>
      <c r="G26" s="1450"/>
      <c r="H26" s="1450"/>
      <c r="I26" s="1451"/>
      <c r="J26" s="1450"/>
      <c r="K26" s="1452"/>
    </row>
    <row r="27" spans="2:14" ht="20.100000000000001" customHeight="1" x14ac:dyDescent="0.2">
      <c r="B27" s="983"/>
      <c r="C27" s="1458"/>
      <c r="D27" s="1449">
        <f t="shared" si="0"/>
        <v>0</v>
      </c>
      <c r="E27" s="1450"/>
      <c r="F27" s="1451"/>
      <c r="G27" s="1450"/>
      <c r="H27" s="1450"/>
      <c r="I27" s="1451"/>
      <c r="J27" s="1450"/>
      <c r="K27" s="1452"/>
    </row>
    <row r="28" spans="2:14" ht="20.100000000000001" customHeight="1" x14ac:dyDescent="0.2">
      <c r="B28" s="983"/>
      <c r="C28" s="1458"/>
      <c r="D28" s="1449">
        <f t="shared" si="0"/>
        <v>0</v>
      </c>
      <c r="E28" s="1450"/>
      <c r="F28" s="1451"/>
      <c r="G28" s="1450"/>
      <c r="H28" s="1450"/>
      <c r="I28" s="1451"/>
      <c r="J28" s="1450"/>
      <c r="K28" s="1452"/>
    </row>
    <row r="29" spans="2:14" ht="20.100000000000001" customHeight="1" thickBot="1" x14ac:dyDescent="0.3">
      <c r="B29" s="299" t="s">
        <v>703</v>
      </c>
      <c r="C29" s="604" t="s">
        <v>85</v>
      </c>
      <c r="D29" s="1453">
        <f t="shared" si="0"/>
        <v>536109</v>
      </c>
      <c r="E29" s="1453">
        <f>SUM(E11:E28)+SUM('40b:40b7'!E29)</f>
        <v>0</v>
      </c>
      <c r="F29" s="1453">
        <f>SUM(F11:F28)+SUM('40b:40b7'!F29)</f>
        <v>0</v>
      </c>
      <c r="G29" s="1453">
        <f>SUM(G11:G28)+SUM('40b:40b7'!G29)</f>
        <v>168000</v>
      </c>
      <c r="H29" s="1453">
        <f>SUM(H11:H28)+SUM('40b:40b7'!H29)</f>
        <v>0</v>
      </c>
      <c r="I29" s="1453">
        <f>SUM(I11:I28)+SUM('40b:40b7'!I29)</f>
        <v>168109</v>
      </c>
      <c r="J29" s="1453">
        <f>SUM(J11:J28)+SUM('40b:40b7'!J29)</f>
        <v>0</v>
      </c>
      <c r="K29" s="1459">
        <f>SUM(K11:K28)+SUM('40b:40b7'!K29)</f>
        <v>200000</v>
      </c>
    </row>
    <row r="30" spans="2:14" ht="15.75" customHeight="1" thickTop="1" x14ac:dyDescent="0.25">
      <c r="B30" s="12"/>
      <c r="C30" s="126"/>
      <c r="D30" s="126"/>
      <c r="E30" s="126"/>
      <c r="F30" s="164"/>
      <c r="G30" s="164"/>
      <c r="H30" s="164"/>
      <c r="I30" s="164"/>
      <c r="J30" s="164"/>
      <c r="K30" s="300" t="s">
        <v>705</v>
      </c>
    </row>
    <row r="31" spans="2:14" ht="15.75" x14ac:dyDescent="0.25">
      <c r="B31" s="1617" t="s">
        <v>5326</v>
      </c>
      <c r="C31" s="1617"/>
      <c r="D31" s="1617"/>
      <c r="E31" s="1617"/>
      <c r="F31" s="1617"/>
      <c r="G31" s="1617"/>
      <c r="H31" s="1617"/>
      <c r="I31" s="1617"/>
      <c r="J31" s="1617"/>
      <c r="K31" s="1617"/>
    </row>
    <row r="34" spans="4:11" x14ac:dyDescent="0.2">
      <c r="F34" s="29"/>
      <c r="G34" s="29"/>
      <c r="J34" s="29"/>
    </row>
    <row r="35" spans="4:11" x14ac:dyDescent="0.2">
      <c r="K35" s="29">
        <f>SUM(F29:K29)</f>
        <v>536109</v>
      </c>
    </row>
    <row r="36" spans="4:11" x14ac:dyDescent="0.2">
      <c r="D36" s="180"/>
    </row>
    <row r="37" spans="4:11" x14ac:dyDescent="0.2">
      <c r="D37" s="180"/>
    </row>
    <row r="38" spans="4:11" x14ac:dyDescent="0.2">
      <c r="D38" s="180"/>
    </row>
    <row r="39" spans="4:11" x14ac:dyDescent="0.2">
      <c r="D39" s="180"/>
    </row>
    <row r="40" spans="4:11" x14ac:dyDescent="0.2">
      <c r="D40" s="180"/>
    </row>
    <row r="41" spans="4:11" x14ac:dyDescent="0.2">
      <c r="D41" s="180"/>
    </row>
    <row r="42" spans="4:11" x14ac:dyDescent="0.2">
      <c r="D42" s="180"/>
    </row>
    <row r="43" spans="4:11" x14ac:dyDescent="0.2">
      <c r="D43" s="180"/>
    </row>
    <row r="44" spans="4:11" x14ac:dyDescent="0.2">
      <c r="D44" s="180"/>
    </row>
    <row r="45" spans="4:11" x14ac:dyDescent="0.2">
      <c r="D45" s="180"/>
    </row>
    <row r="46" spans="4:11" x14ac:dyDescent="0.2">
      <c r="D46" s="180"/>
    </row>
    <row r="47" spans="4:11" x14ac:dyDescent="0.2">
      <c r="D47" s="180"/>
    </row>
  </sheetData>
  <sheetProtection algorithmName="SHA-512" hashValue="cFeMD7eISTV5Pyq8ZHaNOPj2cvdeY6SkoF+hCNgl118MTe3AaopzimjCBkdc9I88NTm53Jx0hYMBssyaJfnW5g==" saltValue="WiCaijW+tQsqNJjKYHyhLQ==" spinCount="100000" sheet="1" objects="1" scenarios="1"/>
  <mergeCells count="5">
    <mergeCell ref="B2:K2"/>
    <mergeCell ref="B3:K3"/>
    <mergeCell ref="F6:J6"/>
    <mergeCell ref="F7:J7"/>
    <mergeCell ref="B31:K31"/>
  </mergeCells>
  <pageMargins left="0.25" right="0.3" top="0.25" bottom="0.75" header="0.25" footer="0.25"/>
  <pageSetup paperSize="5"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codeName="Sheet144"/>
  <dimension ref="B2:N39"/>
  <sheetViews>
    <sheetView showZeros="0" zoomScaleNormal="100" workbookViewId="0">
      <selection activeCell="F22" sqref="F22"/>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+'40b'!B11</f>
        <v>0</v>
      </c>
      <c r="C11" s="1461">
        <f>+'40b'!C11</f>
        <v>0</v>
      </c>
      <c r="D11" s="1445">
        <f>+'40b'!D11</f>
        <v>0</v>
      </c>
      <c r="E11" s="1446"/>
      <c r="F11" s="1446"/>
      <c r="G11" s="1446"/>
      <c r="H11" s="1446"/>
      <c r="I11" s="1446"/>
      <c r="J11" s="1446"/>
      <c r="K11" s="1448"/>
      <c r="N11" s="29"/>
    </row>
    <row r="12" spans="2:14" ht="20.100000000000001" customHeight="1" x14ac:dyDescent="0.2">
      <c r="B12" s="1462" t="str">
        <f>+'40b'!B12</f>
        <v>CONSTRUCTION/RESTORATION OF DIKES</v>
      </c>
      <c r="C12" s="1463">
        <f>+'40b'!C12</f>
        <v>1</v>
      </c>
      <c r="D12" s="1449">
        <f>+'40b'!D12</f>
        <v>20000</v>
      </c>
      <c r="E12" s="1529">
        <v>2021</v>
      </c>
      <c r="F12" s="1450">
        <v>20000</v>
      </c>
      <c r="G12" s="1450"/>
      <c r="H12" s="1450"/>
      <c r="I12" s="1450"/>
      <c r="J12" s="1450"/>
      <c r="K12" s="1452"/>
      <c r="N12" s="29"/>
    </row>
    <row r="13" spans="2:14" ht="20.100000000000001" customHeight="1" x14ac:dyDescent="0.2">
      <c r="B13" s="1462">
        <f>+'40b'!B13</f>
        <v>0</v>
      </c>
      <c r="C13" s="1463">
        <f>+'40b'!C13</f>
        <v>0</v>
      </c>
      <c r="D13" s="1449">
        <f>+'40b'!D13</f>
        <v>0</v>
      </c>
      <c r="E13" s="1529"/>
      <c r="F13" s="1450"/>
      <c r="G13" s="1450"/>
      <c r="H13" s="1450"/>
      <c r="I13" s="1450"/>
      <c r="J13" s="1450"/>
      <c r="K13" s="1452"/>
      <c r="N13" s="29"/>
    </row>
    <row r="14" spans="2:14" ht="20.100000000000001" customHeight="1" x14ac:dyDescent="0.2">
      <c r="B14" s="1462" t="str">
        <f>+'40b'!B14</f>
        <v>RENOVATION OF OLD STONE SCHOOL</v>
      </c>
      <c r="C14" s="1463">
        <f>+'40b'!C14</f>
        <v>0</v>
      </c>
      <c r="D14" s="1449">
        <f>+'40b'!D14</f>
        <v>0</v>
      </c>
      <c r="E14" s="1529"/>
      <c r="F14" s="1450"/>
      <c r="G14" s="1450"/>
      <c r="H14" s="1450"/>
      <c r="I14" s="1450"/>
      <c r="J14" s="1450"/>
      <c r="K14" s="1452"/>
      <c r="N14" s="29"/>
    </row>
    <row r="15" spans="2:14" ht="20.100000000000001" customHeight="1" x14ac:dyDescent="0.2">
      <c r="B15" s="1462" t="str">
        <f>+'40b'!B15</f>
        <v xml:space="preserve">   HOUSE</v>
      </c>
      <c r="C15" s="1463">
        <f>+'40b'!C15</f>
        <v>2</v>
      </c>
      <c r="D15" s="1449">
        <f>+'40b'!D15</f>
        <v>31109</v>
      </c>
      <c r="E15" s="1529">
        <v>2021</v>
      </c>
      <c r="F15" s="1450">
        <v>31109</v>
      </c>
      <c r="G15" s="1450"/>
      <c r="H15" s="1450"/>
      <c r="I15" s="1450"/>
      <c r="J15" s="1450"/>
      <c r="K15" s="1452"/>
      <c r="N15" s="29"/>
    </row>
    <row r="16" spans="2:14" ht="20.100000000000001" customHeight="1" x14ac:dyDescent="0.2">
      <c r="B16" s="1462">
        <f>+'40b'!B16</f>
        <v>0</v>
      </c>
      <c r="C16" s="1463">
        <f>+'40b'!C16</f>
        <v>0</v>
      </c>
      <c r="D16" s="1449">
        <f>+'40b'!D16</f>
        <v>0</v>
      </c>
      <c r="E16" s="1529"/>
      <c r="F16" s="1450"/>
      <c r="G16" s="1450"/>
      <c r="H16" s="1450"/>
      <c r="I16" s="1450"/>
      <c r="J16" s="1450"/>
      <c r="K16" s="1452"/>
      <c r="N16" s="29"/>
    </row>
    <row r="17" spans="2:14" ht="20.100000000000001" customHeight="1" x14ac:dyDescent="0.2">
      <c r="B17" s="1462">
        <f>+'40b'!B17</f>
        <v>0</v>
      </c>
      <c r="C17" s="1463">
        <f>+'40b'!C17</f>
        <v>0</v>
      </c>
      <c r="D17" s="1449">
        <f>+'40b'!D17</f>
        <v>0</v>
      </c>
      <c r="E17" s="1529"/>
      <c r="F17" s="1450"/>
      <c r="G17" s="1450"/>
      <c r="H17" s="1450"/>
      <c r="I17" s="1450"/>
      <c r="J17" s="1450"/>
      <c r="K17" s="1452"/>
      <c r="N17" s="29"/>
    </row>
    <row r="18" spans="2:14" ht="20.100000000000001" customHeight="1" x14ac:dyDescent="0.2">
      <c r="B18" s="1462" t="str">
        <f>+'40b'!B18</f>
        <v>RESURFACING OF WIBLE DRIVE</v>
      </c>
      <c r="C18" s="1463">
        <f>+'40b'!C18</f>
        <v>3</v>
      </c>
      <c r="D18" s="1449">
        <f>+'40b'!D18</f>
        <v>185000</v>
      </c>
      <c r="E18" s="1529">
        <v>2021</v>
      </c>
      <c r="F18" s="1450">
        <f>+'40b'!D18</f>
        <v>185000</v>
      </c>
      <c r="G18" s="1450"/>
      <c r="H18" s="1450"/>
      <c r="I18" s="1450"/>
      <c r="J18" s="1450"/>
      <c r="K18" s="1452"/>
      <c r="N18" s="29"/>
    </row>
    <row r="19" spans="2:14" ht="20.100000000000001" customHeight="1" x14ac:dyDescent="0.2">
      <c r="B19" s="1462">
        <f>+'40b'!B19</f>
        <v>0</v>
      </c>
      <c r="C19" s="1463">
        <f>+'40b'!C19</f>
        <v>0</v>
      </c>
      <c r="D19" s="1449">
        <f>+'40b'!D19</f>
        <v>0</v>
      </c>
      <c r="E19" s="1529"/>
      <c r="F19" s="1450">
        <f>+D19</f>
        <v>0</v>
      </c>
      <c r="G19" s="1450"/>
      <c r="H19" s="1450"/>
      <c r="I19" s="1450"/>
      <c r="J19" s="1450"/>
      <c r="K19" s="1452"/>
      <c r="N19" s="29"/>
    </row>
    <row r="20" spans="2:14" ht="20.100000000000001" customHeight="1" x14ac:dyDescent="0.2">
      <c r="B20" s="1462" t="str">
        <f>+'40b'!B20</f>
        <v>CONSTRUCTION OF FENCING AROUND</v>
      </c>
      <c r="C20" s="1463">
        <f>+'40b'!C20</f>
        <v>0</v>
      </c>
      <c r="D20" s="1449">
        <f>+'40b'!D20</f>
        <v>0</v>
      </c>
      <c r="E20" s="1529"/>
      <c r="F20" s="1450"/>
      <c r="G20" s="1450"/>
      <c r="H20" s="1450"/>
      <c r="I20" s="1450"/>
      <c r="J20" s="1450"/>
      <c r="K20" s="1452"/>
      <c r="N20" s="29"/>
    </row>
    <row r="21" spans="2:14" ht="20.100000000000001" customHeight="1" x14ac:dyDescent="0.2">
      <c r="B21" s="1462" t="str">
        <f>+'40b'!B21</f>
        <v xml:space="preserve">   COMMUNICATION ANTENNAS</v>
      </c>
      <c r="C21" s="1463">
        <f>+'40b'!C21</f>
        <v>4</v>
      </c>
      <c r="D21" s="1449">
        <f>+'40b'!D21</f>
        <v>50000</v>
      </c>
      <c r="E21" s="1529">
        <v>2021</v>
      </c>
      <c r="F21" s="1450">
        <f>+'40b'!G21</f>
        <v>50000</v>
      </c>
      <c r="G21" s="1450"/>
      <c r="H21" s="1450"/>
      <c r="I21" s="1450"/>
      <c r="J21" s="1450"/>
      <c r="K21" s="1452"/>
      <c r="N21" s="29"/>
    </row>
    <row r="22" spans="2:14" ht="20.100000000000001" customHeight="1" x14ac:dyDescent="0.2">
      <c r="B22" s="1462">
        <f>+'40b'!B22</f>
        <v>0</v>
      </c>
      <c r="C22" s="1463">
        <f>+'40b'!C22</f>
        <v>0</v>
      </c>
      <c r="D22" s="1449">
        <f>+'40b'!D22</f>
        <v>0</v>
      </c>
      <c r="E22" s="1529"/>
      <c r="F22" s="1450"/>
      <c r="G22" s="1450"/>
      <c r="H22" s="1450"/>
      <c r="I22" s="1450"/>
      <c r="J22" s="1450"/>
      <c r="K22" s="1452"/>
      <c r="N22" s="29"/>
    </row>
    <row r="23" spans="2:14" ht="20.100000000000001" customHeight="1" x14ac:dyDescent="0.2">
      <c r="B23" s="1462" t="str">
        <f>+'40b'!B23</f>
        <v>FIRE APPARATUS</v>
      </c>
      <c r="C23" s="1463">
        <f>+'40b'!C23</f>
        <v>5</v>
      </c>
      <c r="D23" s="1449">
        <f>+'40b'!D23</f>
        <v>250000</v>
      </c>
      <c r="E23" s="1529">
        <v>2021</v>
      </c>
      <c r="F23" s="1450">
        <v>250000</v>
      </c>
      <c r="G23" s="1450"/>
      <c r="H23" s="1450"/>
      <c r="I23" s="1450"/>
      <c r="J23" s="1450"/>
      <c r="K23" s="1452"/>
      <c r="N23" s="29"/>
    </row>
    <row r="24" spans="2:14" ht="20.100000000000001" customHeight="1" x14ac:dyDescent="0.2">
      <c r="B24" s="1462">
        <f>+'40b'!B24</f>
        <v>0</v>
      </c>
      <c r="C24" s="1463">
        <f>+'40b'!C24</f>
        <v>0</v>
      </c>
      <c r="D24" s="1449">
        <f>+'40b'!D24</f>
        <v>0</v>
      </c>
      <c r="E24" s="1529"/>
      <c r="F24" s="1450"/>
      <c r="G24" s="1450"/>
      <c r="H24" s="1450"/>
      <c r="I24" s="1450"/>
      <c r="J24" s="1450"/>
      <c r="K24" s="1452"/>
      <c r="N24" s="29"/>
    </row>
    <row r="25" spans="2:14" ht="20.100000000000001" customHeight="1" x14ac:dyDescent="0.2">
      <c r="B25" s="1462">
        <f>+'40b'!B25</f>
        <v>0</v>
      </c>
      <c r="C25" s="1463">
        <f>+'40b'!C25</f>
        <v>0</v>
      </c>
      <c r="D25" s="1449">
        <f>+'40b'!D25</f>
        <v>0</v>
      </c>
      <c r="E25" s="1529"/>
      <c r="F25" s="1450"/>
      <c r="G25" s="1450"/>
      <c r="H25" s="1450"/>
      <c r="I25" s="1450"/>
      <c r="J25" s="1450"/>
      <c r="K25" s="1452"/>
      <c r="N25" s="29"/>
    </row>
    <row r="26" spans="2:14" ht="20.100000000000001" customHeight="1" x14ac:dyDescent="0.2">
      <c r="B26" s="1462">
        <f>+'40b'!B26</f>
        <v>0</v>
      </c>
      <c r="C26" s="1463">
        <f>+'40b'!C26</f>
        <v>0</v>
      </c>
      <c r="D26" s="1449">
        <f>+'40b'!D26</f>
        <v>0</v>
      </c>
      <c r="E26" s="1529"/>
      <c r="F26" s="1450"/>
      <c r="G26" s="1450"/>
      <c r="H26" s="1450"/>
      <c r="I26" s="1450"/>
      <c r="J26" s="1450"/>
      <c r="K26" s="1452"/>
      <c r="N26" s="29"/>
    </row>
    <row r="27" spans="2:14" ht="20.100000000000001" customHeight="1" x14ac:dyDescent="0.2">
      <c r="B27" s="1462">
        <f>+'40b'!B27</f>
        <v>0</v>
      </c>
      <c r="C27" s="1463">
        <f>+'40b'!C27</f>
        <v>0</v>
      </c>
      <c r="D27" s="1449">
        <f>+'40b'!D27</f>
        <v>0</v>
      </c>
      <c r="E27" s="1529"/>
      <c r="F27" s="1450"/>
      <c r="G27" s="1450"/>
      <c r="H27" s="1450"/>
      <c r="I27" s="1450"/>
      <c r="J27" s="1450"/>
      <c r="K27" s="1452"/>
      <c r="N27" s="29"/>
    </row>
    <row r="28" spans="2:14" ht="20.100000000000001" customHeight="1" x14ac:dyDescent="0.2">
      <c r="B28" s="1462">
        <f>+'40b'!B28</f>
        <v>0</v>
      </c>
      <c r="C28" s="1463">
        <f>+'40b'!C28</f>
        <v>0</v>
      </c>
      <c r="D28" s="1449">
        <f>+'40b'!D28</f>
        <v>0</v>
      </c>
      <c r="E28" s="1529"/>
      <c r="F28" s="1450"/>
      <c r="G28" s="1450"/>
      <c r="H28" s="1450"/>
      <c r="I28" s="1450"/>
      <c r="J28" s="1450"/>
      <c r="K28" s="1452"/>
    </row>
    <row r="29" spans="2:14" ht="20.100000000000001" customHeight="1" thickBot="1" x14ac:dyDescent="0.3">
      <c r="B29" s="299" t="str">
        <f>+'40b'!B29</f>
        <v>TOTAL  -  THIS  PAGE</v>
      </c>
      <c r="C29" s="604" t="s">
        <v>85</v>
      </c>
      <c r="D29" s="1453">
        <f>+SUM(D11:D28)</f>
        <v>536109</v>
      </c>
      <c r="E29" s="1465" t="s">
        <v>201</v>
      </c>
      <c r="F29" s="1454">
        <f t="shared" ref="F29:K29" si="0">+SUM(F11:F28)</f>
        <v>536109</v>
      </c>
      <c r="G29" s="1454">
        <f t="shared" si="0"/>
        <v>0</v>
      </c>
      <c r="H29" s="1454">
        <f t="shared" si="0"/>
        <v>0</v>
      </c>
      <c r="I29" s="1454">
        <f t="shared" si="0"/>
        <v>0</v>
      </c>
      <c r="J29" s="1454">
        <f t="shared" si="0"/>
        <v>0</v>
      </c>
      <c r="K29" s="1455">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739</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LkD1w2iehpK0lLri/kE4OwzWkjJwdfrWmHgMG7duDc7hEy2yCN5dPmwrHYRBfB6A/419CQA0CCt0FAxWs0sNWQ==" saltValue="ZK115cwyzpQBMUykxWfn4g=="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sheetPr codeName="Sheet145"/>
  <dimension ref="B2:N39"/>
  <sheetViews>
    <sheetView showZeros="0" zoomScaleNormal="100" workbookViewId="0">
      <selection activeCell="P18" sqref="P18"/>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+'40b1'!B11</f>
        <v>0</v>
      </c>
      <c r="C11" s="1461">
        <f>+'40b1'!C11</f>
        <v>0</v>
      </c>
      <c r="D11" s="1445">
        <f>+'40b1'!D11</f>
        <v>0</v>
      </c>
      <c r="E11" s="1446"/>
      <c r="F11" s="1446"/>
      <c r="G11" s="1446"/>
      <c r="H11" s="1446"/>
      <c r="I11" s="1446"/>
      <c r="J11" s="1446"/>
      <c r="K11" s="1448"/>
      <c r="N11" s="29"/>
    </row>
    <row r="12" spans="2:14" ht="20.100000000000001" customHeight="1" x14ac:dyDescent="0.2">
      <c r="B12" s="1462">
        <f>+'40b1'!B12</f>
        <v>0</v>
      </c>
      <c r="C12" s="1463">
        <f>+'40b1'!C12</f>
        <v>0</v>
      </c>
      <c r="D12" s="1449">
        <f>+'40b1'!D12</f>
        <v>0</v>
      </c>
      <c r="E12" s="1450"/>
      <c r="F12" s="1450"/>
      <c r="G12" s="1450"/>
      <c r="H12" s="1450"/>
      <c r="I12" s="1450"/>
      <c r="J12" s="1450"/>
      <c r="K12" s="1452"/>
      <c r="N12" s="29"/>
    </row>
    <row r="13" spans="2:14" ht="20.100000000000001" customHeight="1" x14ac:dyDescent="0.2">
      <c r="B13" s="1462">
        <f>+'40b1'!B13</f>
        <v>0</v>
      </c>
      <c r="C13" s="1463">
        <f>+'40b1'!C13</f>
        <v>0</v>
      </c>
      <c r="D13" s="1449">
        <f>+'40b1'!D13</f>
        <v>0</v>
      </c>
      <c r="E13" s="1450"/>
      <c r="F13" s="1450"/>
      <c r="G13" s="1450"/>
      <c r="H13" s="1450"/>
      <c r="I13" s="1450"/>
      <c r="J13" s="1450"/>
      <c r="K13" s="1452"/>
      <c r="N13" s="29"/>
    </row>
    <row r="14" spans="2:14" ht="20.100000000000001" customHeight="1" x14ac:dyDescent="0.2">
      <c r="B14" s="1462">
        <f>+'40b1'!B14</f>
        <v>0</v>
      </c>
      <c r="C14" s="1463">
        <f>+'40b1'!C14</f>
        <v>0</v>
      </c>
      <c r="D14" s="1449">
        <f>+'40b1'!D14</f>
        <v>0</v>
      </c>
      <c r="E14" s="1450"/>
      <c r="F14" s="1450"/>
      <c r="G14" s="1450"/>
      <c r="H14" s="1450"/>
      <c r="I14" s="1450"/>
      <c r="J14" s="1450"/>
      <c r="K14" s="1452"/>
      <c r="N14" s="29"/>
    </row>
    <row r="15" spans="2:14" ht="20.100000000000001" customHeight="1" x14ac:dyDescent="0.2">
      <c r="B15" s="1462">
        <f>+'40b1'!B15</f>
        <v>0</v>
      </c>
      <c r="C15" s="1463">
        <f>+'40b1'!C15</f>
        <v>0</v>
      </c>
      <c r="D15" s="1449">
        <f>+'40b1'!D15</f>
        <v>0</v>
      </c>
      <c r="E15" s="1450"/>
      <c r="F15" s="1450"/>
      <c r="G15" s="1450"/>
      <c r="H15" s="1450"/>
      <c r="I15" s="1450"/>
      <c r="J15" s="1450"/>
      <c r="K15" s="1452"/>
      <c r="N15" s="29"/>
    </row>
    <row r="16" spans="2:14" ht="20.100000000000001" customHeight="1" x14ac:dyDescent="0.2">
      <c r="B16" s="1462">
        <f>+'40b1'!B16</f>
        <v>0</v>
      </c>
      <c r="C16" s="1463">
        <f>+'40b1'!C16</f>
        <v>0</v>
      </c>
      <c r="D16" s="1449">
        <f>+'40b1'!D16</f>
        <v>0</v>
      </c>
      <c r="E16" s="1450"/>
      <c r="F16" s="1450"/>
      <c r="G16" s="1450"/>
      <c r="H16" s="1450"/>
      <c r="I16" s="1450"/>
      <c r="J16" s="1450"/>
      <c r="K16" s="1452"/>
      <c r="N16" s="29"/>
    </row>
    <row r="17" spans="2:14" ht="20.100000000000001" customHeight="1" x14ac:dyDescent="0.2">
      <c r="B17" s="1462">
        <f>+'40b1'!B17</f>
        <v>0</v>
      </c>
      <c r="C17" s="1463">
        <f>+'40b1'!C17</f>
        <v>0</v>
      </c>
      <c r="D17" s="1449">
        <f>+'40b1'!D17</f>
        <v>0</v>
      </c>
      <c r="E17" s="1450"/>
      <c r="F17" s="1450"/>
      <c r="G17" s="1450"/>
      <c r="H17" s="1450"/>
      <c r="I17" s="1450"/>
      <c r="J17" s="1450"/>
      <c r="K17" s="1452"/>
      <c r="N17" s="29"/>
    </row>
    <row r="18" spans="2:14" ht="20.100000000000001" customHeight="1" x14ac:dyDescent="0.2">
      <c r="B18" s="1462">
        <f>+'40b1'!B18</f>
        <v>0</v>
      </c>
      <c r="C18" s="1463">
        <f>+'40b1'!C18</f>
        <v>0</v>
      </c>
      <c r="D18" s="1449">
        <f>+'40b1'!D18</f>
        <v>0</v>
      </c>
      <c r="E18" s="1450"/>
      <c r="F18" s="1450"/>
      <c r="G18" s="1450"/>
      <c r="H18" s="1450"/>
      <c r="I18" s="1450"/>
      <c r="J18" s="1450"/>
      <c r="K18" s="1452"/>
      <c r="N18" s="29"/>
    </row>
    <row r="19" spans="2:14" ht="20.100000000000001" customHeight="1" x14ac:dyDescent="0.2">
      <c r="B19" s="1462">
        <f>+'40b1'!B19</f>
        <v>0</v>
      </c>
      <c r="C19" s="1463">
        <f>+'40b1'!C19</f>
        <v>0</v>
      </c>
      <c r="D19" s="1449">
        <f>+'40b1'!D19</f>
        <v>0</v>
      </c>
      <c r="E19" s="1450"/>
      <c r="F19" s="1450"/>
      <c r="G19" s="1450"/>
      <c r="H19" s="1450"/>
      <c r="I19" s="1450"/>
      <c r="J19" s="1450"/>
      <c r="K19" s="1452"/>
      <c r="N19" s="29"/>
    </row>
    <row r="20" spans="2:14" ht="20.100000000000001" customHeight="1" x14ac:dyDescent="0.2">
      <c r="B20" s="1462">
        <f>+'40b1'!B20</f>
        <v>0</v>
      </c>
      <c r="C20" s="1463">
        <f>+'40b1'!C20</f>
        <v>0</v>
      </c>
      <c r="D20" s="1449">
        <f>+'40b1'!D20</f>
        <v>0</v>
      </c>
      <c r="E20" s="1450"/>
      <c r="F20" s="1450"/>
      <c r="G20" s="1450"/>
      <c r="H20" s="1450"/>
      <c r="I20" s="1450"/>
      <c r="J20" s="1450"/>
      <c r="K20" s="1452"/>
      <c r="N20" s="29"/>
    </row>
    <row r="21" spans="2:14" ht="20.100000000000001" customHeight="1" x14ac:dyDescent="0.2">
      <c r="B21" s="1462">
        <f>+'40b1'!B21</f>
        <v>0</v>
      </c>
      <c r="C21" s="1463">
        <f>+'40b1'!C21</f>
        <v>0</v>
      </c>
      <c r="D21" s="1449">
        <f>+'40b1'!D21</f>
        <v>0</v>
      </c>
      <c r="E21" s="1450"/>
      <c r="F21" s="1450"/>
      <c r="G21" s="1450"/>
      <c r="H21" s="1450"/>
      <c r="I21" s="1450"/>
      <c r="J21" s="1450"/>
      <c r="K21" s="1452"/>
      <c r="N21" s="29"/>
    </row>
    <row r="22" spans="2:14" ht="20.100000000000001" customHeight="1" x14ac:dyDescent="0.2">
      <c r="B22" s="1462">
        <f>+'40b1'!B22</f>
        <v>0</v>
      </c>
      <c r="C22" s="1463">
        <f>+'40b1'!C22</f>
        <v>0</v>
      </c>
      <c r="D22" s="1449">
        <f>+'40b1'!D22</f>
        <v>0</v>
      </c>
      <c r="E22" s="1450"/>
      <c r="F22" s="1450"/>
      <c r="G22" s="1450"/>
      <c r="H22" s="1450"/>
      <c r="I22" s="1450"/>
      <c r="J22" s="1450"/>
      <c r="K22" s="1452"/>
      <c r="N22" s="29"/>
    </row>
    <row r="23" spans="2:14" ht="20.100000000000001" customHeight="1" x14ac:dyDescent="0.2">
      <c r="B23" s="1462">
        <f>+'40b1'!B23</f>
        <v>0</v>
      </c>
      <c r="C23" s="1463">
        <f>+'40b1'!C23</f>
        <v>0</v>
      </c>
      <c r="D23" s="1449">
        <f>+'40b1'!D23</f>
        <v>0</v>
      </c>
      <c r="E23" s="1450"/>
      <c r="F23" s="1450"/>
      <c r="G23" s="1450"/>
      <c r="H23" s="1450"/>
      <c r="I23" s="1450"/>
      <c r="J23" s="1450"/>
      <c r="K23" s="1452"/>
      <c r="N23" s="29"/>
    </row>
    <row r="24" spans="2:14" ht="20.100000000000001" customHeight="1" x14ac:dyDescent="0.2">
      <c r="B24" s="1462">
        <f>+'40b1'!B24</f>
        <v>0</v>
      </c>
      <c r="C24" s="1463">
        <f>+'40b1'!C24</f>
        <v>0</v>
      </c>
      <c r="D24" s="1449">
        <f>+'40b1'!D24</f>
        <v>0</v>
      </c>
      <c r="E24" s="1450"/>
      <c r="F24" s="1450"/>
      <c r="G24" s="1450"/>
      <c r="H24" s="1450"/>
      <c r="I24" s="1450"/>
      <c r="J24" s="1450"/>
      <c r="K24" s="1452"/>
      <c r="N24" s="29"/>
    </row>
    <row r="25" spans="2:14" ht="20.100000000000001" customHeight="1" x14ac:dyDescent="0.2">
      <c r="B25" s="1462">
        <f>+'40b1'!B25</f>
        <v>0</v>
      </c>
      <c r="C25" s="1463">
        <f>+'40b1'!C25</f>
        <v>0</v>
      </c>
      <c r="D25" s="1449">
        <f>+'40b1'!D25</f>
        <v>0</v>
      </c>
      <c r="E25" s="1450"/>
      <c r="F25" s="1450"/>
      <c r="G25" s="1450"/>
      <c r="H25" s="1450"/>
      <c r="I25" s="1450"/>
      <c r="J25" s="1450"/>
      <c r="K25" s="1452"/>
      <c r="N25" s="29"/>
    </row>
    <row r="26" spans="2:14" ht="20.100000000000001" customHeight="1" x14ac:dyDescent="0.2">
      <c r="B26" s="1462">
        <f>+'40b1'!B26</f>
        <v>0</v>
      </c>
      <c r="C26" s="1463">
        <f>+'40b1'!C26</f>
        <v>0</v>
      </c>
      <c r="D26" s="1449">
        <f>+'40b1'!D26</f>
        <v>0</v>
      </c>
      <c r="E26" s="1450"/>
      <c r="F26" s="1450"/>
      <c r="G26" s="1450"/>
      <c r="H26" s="1450"/>
      <c r="I26" s="1450"/>
      <c r="J26" s="1450"/>
      <c r="K26" s="1452"/>
      <c r="N26" s="29"/>
    </row>
    <row r="27" spans="2:14" ht="20.100000000000001" customHeight="1" x14ac:dyDescent="0.2">
      <c r="B27" s="1462">
        <f>+'40b1'!B27</f>
        <v>0</v>
      </c>
      <c r="C27" s="1463">
        <f>+'40b1'!C27</f>
        <v>0</v>
      </c>
      <c r="D27" s="1449">
        <f>+'40b1'!D27</f>
        <v>0</v>
      </c>
      <c r="E27" s="1450"/>
      <c r="F27" s="1450"/>
      <c r="G27" s="1450"/>
      <c r="H27" s="1450"/>
      <c r="I27" s="1450"/>
      <c r="J27" s="1450"/>
      <c r="K27" s="1452"/>
      <c r="N27" s="29"/>
    </row>
    <row r="28" spans="2:14" ht="20.100000000000001" customHeight="1" x14ac:dyDescent="0.2">
      <c r="B28" s="1462">
        <f>+'40b1'!B28</f>
        <v>0</v>
      </c>
      <c r="C28" s="1463">
        <f>+'40b1'!C28</f>
        <v>0</v>
      </c>
      <c r="D28" s="1449">
        <f>+'40b1'!D28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3257</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4JcCrmzfRXu5/5AQ2WYzJLWTpRCPskgkJaFcoLYZiB+7ExsHg5uDnBOOL1iz5o/CXaO7DBnCU6xYhwCbPjyasQ==" saltValue="BsV0Q4H1CDpolsojllHsgg==" spinCount="100000" sheet="1" objects="1" scenarios="1"/>
  <mergeCells count="5">
    <mergeCell ref="B31:K31"/>
    <mergeCell ref="F7:K7"/>
    <mergeCell ref="B2:K2"/>
    <mergeCell ref="B3:K3"/>
    <mergeCell ref="F6:J6"/>
  </mergeCells>
  <phoneticPr fontId="0" type="noConversion"/>
  <pageMargins left="0.25" right="0.3" top="0.25" bottom="0.75" header="0.25" footer="0.25"/>
  <pageSetup paperSize="5" orientation="landscape"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sheetPr codeName="Sheet146"/>
  <dimension ref="B2:N39"/>
  <sheetViews>
    <sheetView showZeros="0" zoomScaleNormal="100" workbookViewId="0">
      <selection activeCell="M25" sqref="M25"/>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+'40b2'!B11</f>
        <v>0</v>
      </c>
      <c r="C11" s="1461">
        <f>+'40b2'!C11</f>
        <v>0</v>
      </c>
      <c r="D11" s="1445">
        <f>+'40b2'!D11</f>
        <v>0</v>
      </c>
      <c r="E11" s="1446"/>
      <c r="F11" s="1446"/>
      <c r="G11" s="1446"/>
      <c r="H11" s="1446"/>
      <c r="I11" s="1446"/>
      <c r="J11" s="1446"/>
      <c r="K11" s="1448"/>
      <c r="N11" s="29"/>
    </row>
    <row r="12" spans="2:14" ht="20.100000000000001" customHeight="1" x14ac:dyDescent="0.2">
      <c r="B12" s="1462" t="str">
        <f>+'40b2'!B12</f>
        <v>CONSTRUCTION/RESTORATION OF DIKES</v>
      </c>
      <c r="C12" s="1463">
        <f>+'40b2'!C12</f>
        <v>1</v>
      </c>
      <c r="D12" s="1449">
        <f>+'40b2'!D12</f>
        <v>0</v>
      </c>
      <c r="E12" s="1450"/>
      <c r="F12" s="1450"/>
      <c r="G12" s="1450"/>
      <c r="H12" s="1450"/>
      <c r="I12" s="1450"/>
      <c r="J12" s="1450"/>
      <c r="K12" s="1452"/>
      <c r="N12" s="29"/>
    </row>
    <row r="13" spans="2:14" ht="20.100000000000001" customHeight="1" x14ac:dyDescent="0.2">
      <c r="B13" s="1462">
        <f>+'40b2'!B13</f>
        <v>0</v>
      </c>
      <c r="C13" s="1463">
        <f>+'40b2'!C13</f>
        <v>0</v>
      </c>
      <c r="D13" s="1449">
        <f>+'40b2'!D13</f>
        <v>0</v>
      </c>
      <c r="E13" s="1450"/>
      <c r="F13" s="1450"/>
      <c r="G13" s="1450"/>
      <c r="H13" s="1450"/>
      <c r="I13" s="1450"/>
      <c r="J13" s="1450"/>
      <c r="K13" s="1452"/>
      <c r="N13" s="29"/>
    </row>
    <row r="14" spans="2:14" ht="20.100000000000001" customHeight="1" x14ac:dyDescent="0.2">
      <c r="B14" s="1462" t="str">
        <f>+'40b2'!B14</f>
        <v>RENOVATION OF OLD STONE SCHOOL</v>
      </c>
      <c r="C14" s="1463">
        <f>+'40b2'!C14</f>
        <v>0</v>
      </c>
      <c r="D14" s="1449">
        <f>+'40b2'!D14</f>
        <v>0</v>
      </c>
      <c r="E14" s="1450"/>
      <c r="F14" s="1450"/>
      <c r="G14" s="1450"/>
      <c r="H14" s="1450"/>
      <c r="I14" s="1450"/>
      <c r="J14" s="1450"/>
      <c r="K14" s="1452"/>
      <c r="N14" s="29"/>
    </row>
    <row r="15" spans="2:14" ht="20.100000000000001" customHeight="1" x14ac:dyDescent="0.2">
      <c r="B15" s="1462" t="str">
        <f>+'40b2'!B15</f>
        <v xml:space="preserve">   HOUSE</v>
      </c>
      <c r="C15" s="1463">
        <f>+'40b2'!C15</f>
        <v>2</v>
      </c>
      <c r="D15" s="1449">
        <f>+'40b2'!D15</f>
        <v>0</v>
      </c>
      <c r="E15" s="1450"/>
      <c r="F15" s="1450"/>
      <c r="G15" s="1450"/>
      <c r="H15" s="1450"/>
      <c r="I15" s="1450"/>
      <c r="J15" s="1450"/>
      <c r="K15" s="1452"/>
      <c r="N15" s="29"/>
    </row>
    <row r="16" spans="2:14" ht="20.100000000000001" customHeight="1" x14ac:dyDescent="0.2">
      <c r="B16" s="1462">
        <f>+'40b2'!B16</f>
        <v>0</v>
      </c>
      <c r="C16" s="1463">
        <f>+'40b2'!C16</f>
        <v>0</v>
      </c>
      <c r="D16" s="1449">
        <f>+'40b2'!D16</f>
        <v>0</v>
      </c>
      <c r="E16" s="1450"/>
      <c r="F16" s="1450"/>
      <c r="G16" s="1450"/>
      <c r="H16" s="1450"/>
      <c r="I16" s="1450"/>
      <c r="J16" s="1450"/>
      <c r="K16" s="1452"/>
      <c r="N16" s="29"/>
    </row>
    <row r="17" spans="2:14" ht="20.100000000000001" customHeight="1" x14ac:dyDescent="0.2">
      <c r="B17" s="1462">
        <f>+'40b2'!B17</f>
        <v>0</v>
      </c>
      <c r="C17" s="1463">
        <f>+'40b2'!C17</f>
        <v>0</v>
      </c>
      <c r="D17" s="1449">
        <f>+'40b2'!D17</f>
        <v>0</v>
      </c>
      <c r="E17" s="1450"/>
      <c r="F17" s="1450"/>
      <c r="G17" s="1450"/>
      <c r="H17" s="1450"/>
      <c r="I17" s="1450"/>
      <c r="J17" s="1450"/>
      <c r="K17" s="1452"/>
      <c r="N17" s="29"/>
    </row>
    <row r="18" spans="2:14" ht="20.100000000000001" customHeight="1" x14ac:dyDescent="0.2">
      <c r="B18" s="1462" t="str">
        <f>+'40b2'!B18</f>
        <v>RESURFACING OF WIBLE DRIVE</v>
      </c>
      <c r="C18" s="1463">
        <f>+'40b2'!C18</f>
        <v>3</v>
      </c>
      <c r="D18" s="1449">
        <f>+'40b2'!D18</f>
        <v>0</v>
      </c>
      <c r="E18" s="1450"/>
      <c r="F18" s="1450"/>
      <c r="G18" s="1450"/>
      <c r="H18" s="1450"/>
      <c r="I18" s="1450"/>
      <c r="J18" s="1450"/>
      <c r="K18" s="1452"/>
      <c r="N18" s="29"/>
    </row>
    <row r="19" spans="2:14" ht="20.100000000000001" customHeight="1" x14ac:dyDescent="0.2">
      <c r="B19" s="1462">
        <f>+'40b2'!B19</f>
        <v>0</v>
      </c>
      <c r="C19" s="1463">
        <f>+'40b2'!C19</f>
        <v>0</v>
      </c>
      <c r="D19" s="1449">
        <f>+'40b2'!D19</f>
        <v>0</v>
      </c>
      <c r="E19" s="1450"/>
      <c r="F19" s="1450"/>
      <c r="G19" s="1450"/>
      <c r="H19" s="1450"/>
      <c r="I19" s="1450"/>
      <c r="J19" s="1450"/>
      <c r="K19" s="1452"/>
      <c r="N19" s="29"/>
    </row>
    <row r="20" spans="2:14" ht="20.100000000000001" customHeight="1" x14ac:dyDescent="0.2">
      <c r="B20" s="1462" t="str">
        <f>+'40b2'!B20</f>
        <v>CONSTRUCTION OF FENCING AROUND</v>
      </c>
      <c r="C20" s="1463">
        <f>+'40b2'!C20</f>
        <v>0</v>
      </c>
      <c r="D20" s="1449">
        <f>+'40b2'!D20</f>
        <v>0</v>
      </c>
      <c r="E20" s="1450"/>
      <c r="F20" s="1450"/>
      <c r="G20" s="1450"/>
      <c r="H20" s="1450"/>
      <c r="I20" s="1450"/>
      <c r="J20" s="1450"/>
      <c r="K20" s="1452"/>
      <c r="N20" s="29"/>
    </row>
    <row r="21" spans="2:14" ht="20.100000000000001" customHeight="1" x14ac:dyDescent="0.2">
      <c r="B21" s="1462" t="str">
        <f>+'40b2'!B21</f>
        <v xml:space="preserve">   COMMUNICATION ANTENNAS</v>
      </c>
      <c r="C21" s="1463">
        <f>+'40b2'!C21</f>
        <v>4</v>
      </c>
      <c r="D21" s="1449">
        <f>+'40b2'!D21</f>
        <v>0</v>
      </c>
      <c r="E21" s="1450"/>
      <c r="F21" s="1450"/>
      <c r="G21" s="1450"/>
      <c r="H21" s="1450"/>
      <c r="I21" s="1450"/>
      <c r="J21" s="1450"/>
      <c r="K21" s="1452"/>
      <c r="N21" s="29"/>
    </row>
    <row r="22" spans="2:14" ht="20.100000000000001" customHeight="1" x14ac:dyDescent="0.2">
      <c r="B22" s="1462">
        <f>+'40b2'!B22</f>
        <v>0</v>
      </c>
      <c r="C22" s="1463">
        <f>+'40b2'!C22</f>
        <v>0</v>
      </c>
      <c r="D22" s="1449">
        <f>+'40b2'!D22</f>
        <v>0</v>
      </c>
      <c r="E22" s="1450"/>
      <c r="F22" s="1450"/>
      <c r="G22" s="1450"/>
      <c r="H22" s="1450"/>
      <c r="I22" s="1450"/>
      <c r="J22" s="1450"/>
      <c r="K22" s="1452"/>
      <c r="N22" s="29"/>
    </row>
    <row r="23" spans="2:14" ht="20.100000000000001" customHeight="1" x14ac:dyDescent="0.2">
      <c r="B23" s="1462" t="str">
        <f>+'40b2'!B23</f>
        <v>FIRE APPARATUS</v>
      </c>
      <c r="C23" s="1463">
        <f>+'40b2'!C23</f>
        <v>5</v>
      </c>
      <c r="D23" s="1449">
        <f>+'40b2'!D23</f>
        <v>0</v>
      </c>
      <c r="E23" s="1450"/>
      <c r="F23" s="1450"/>
      <c r="G23" s="1450"/>
      <c r="H23" s="1450"/>
      <c r="I23" s="1450"/>
      <c r="J23" s="1450"/>
      <c r="K23" s="1452"/>
      <c r="N23" s="29"/>
    </row>
    <row r="24" spans="2:14" ht="20.100000000000001" customHeight="1" x14ac:dyDescent="0.2">
      <c r="B24" s="1462">
        <f>+'40b2'!B24</f>
        <v>0</v>
      </c>
      <c r="C24" s="1463">
        <f>+'40b2'!C24</f>
        <v>0</v>
      </c>
      <c r="D24" s="1449">
        <f>+'40b2'!D24</f>
        <v>0</v>
      </c>
      <c r="E24" s="1450"/>
      <c r="F24" s="1450"/>
      <c r="G24" s="1450"/>
      <c r="H24" s="1450"/>
      <c r="I24" s="1450"/>
      <c r="J24" s="1450"/>
      <c r="K24" s="1452"/>
      <c r="N24" s="29"/>
    </row>
    <row r="25" spans="2:14" ht="20.100000000000001" customHeight="1" x14ac:dyDescent="0.2">
      <c r="B25" s="1462">
        <f>+'40b2'!B25</f>
        <v>0</v>
      </c>
      <c r="C25" s="1463">
        <f>+'40b2'!C25</f>
        <v>6</v>
      </c>
      <c r="D25" s="1449">
        <f>+'40b2'!D25</f>
        <v>0</v>
      </c>
      <c r="E25" s="1450"/>
      <c r="F25" s="1450"/>
      <c r="G25" s="1450"/>
      <c r="H25" s="1450"/>
      <c r="I25" s="1450"/>
      <c r="J25" s="1450"/>
      <c r="K25" s="1452"/>
      <c r="N25" s="29"/>
    </row>
    <row r="26" spans="2:14" ht="20.100000000000001" customHeight="1" x14ac:dyDescent="0.2">
      <c r="B26" s="1462">
        <f>+'40b2'!B26</f>
        <v>0</v>
      </c>
      <c r="C26" s="1463">
        <f>+'40b2'!C26</f>
        <v>0</v>
      </c>
      <c r="D26" s="1449">
        <f>+'40b2'!D26</f>
        <v>0</v>
      </c>
      <c r="E26" s="1450"/>
      <c r="F26" s="1450"/>
      <c r="G26" s="1450"/>
      <c r="H26" s="1450"/>
      <c r="I26" s="1450"/>
      <c r="J26" s="1450"/>
      <c r="K26" s="1452"/>
      <c r="N26" s="29"/>
    </row>
    <row r="27" spans="2:14" ht="20.100000000000001" customHeight="1" x14ac:dyDescent="0.2">
      <c r="B27" s="1462">
        <f>+'40b2'!B27</f>
        <v>0</v>
      </c>
      <c r="C27" s="1463">
        <f>+'40b2'!C27</f>
        <v>0</v>
      </c>
      <c r="D27" s="1449">
        <f>+'40b2'!D27</f>
        <v>0</v>
      </c>
      <c r="E27" s="1450"/>
      <c r="F27" s="1450"/>
      <c r="G27" s="1450"/>
      <c r="H27" s="1450"/>
      <c r="I27" s="1450"/>
      <c r="J27" s="1450"/>
      <c r="K27" s="1452"/>
      <c r="N27" s="29"/>
    </row>
    <row r="28" spans="2:14" ht="20.100000000000001" customHeight="1" x14ac:dyDescent="0.2">
      <c r="B28" s="1462">
        <f>+'40b2'!B28</f>
        <v>0</v>
      </c>
      <c r="C28" s="1463">
        <f>+'40b2'!C28</f>
        <v>7</v>
      </c>
      <c r="D28" s="1449">
        <f>+'40b2'!D28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3318</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8gyuKSUoQlC6PuD05vArjEfU/BAaYhsasQWvd2hjXR+dmcTPmueQozI7GoCcUk799k2yGb7qLScPzOlN5nZwaQ==" saltValue="1Kzx8j3bx73t2w+8kpMl5Q=="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sheetPr codeName="Sheet147"/>
  <dimension ref="B2:N39"/>
  <sheetViews>
    <sheetView showZeros="0" zoomScaleNormal="100" workbookViewId="0">
      <selection activeCell="G13" sqref="G13"/>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+'40b3'!B11</f>
        <v>0</v>
      </c>
      <c r="C11" s="1461">
        <f>+'40b3'!C11</f>
        <v>0</v>
      </c>
      <c r="D11" s="1445">
        <f>+'40b3'!D11</f>
        <v>0</v>
      </c>
      <c r="E11" s="1446"/>
      <c r="F11" s="1446"/>
      <c r="G11" s="1446"/>
      <c r="H11" s="1446"/>
      <c r="I11" s="1446"/>
      <c r="J11" s="1446"/>
      <c r="K11" s="1448"/>
      <c r="N11" s="29"/>
    </row>
    <row r="12" spans="2:14" ht="20.100000000000001" customHeight="1" x14ac:dyDescent="0.2">
      <c r="B12" s="1462">
        <f>+'40b3'!B12</f>
        <v>0</v>
      </c>
      <c r="C12" s="1463">
        <f>+'40b3'!C12</f>
        <v>0</v>
      </c>
      <c r="D12" s="1449">
        <f>+'40b3'!D12</f>
        <v>0</v>
      </c>
      <c r="E12" s="1450"/>
      <c r="F12" s="1450"/>
      <c r="G12" s="1450"/>
      <c r="H12" s="1450"/>
      <c r="I12" s="1450"/>
      <c r="J12" s="1450"/>
      <c r="K12" s="1452"/>
      <c r="N12" s="29"/>
    </row>
    <row r="13" spans="2:14" ht="20.100000000000001" customHeight="1" x14ac:dyDescent="0.2">
      <c r="B13" s="1462">
        <f>+'40b3'!B13</f>
        <v>0</v>
      </c>
      <c r="C13" s="1463">
        <f>+'40b3'!C13</f>
        <v>0</v>
      </c>
      <c r="D13" s="1449">
        <f>+'40b3'!D13</f>
        <v>0</v>
      </c>
      <c r="E13" s="1450"/>
      <c r="F13" s="1450"/>
      <c r="G13" s="1450"/>
      <c r="H13" s="1450"/>
      <c r="I13" s="1450"/>
      <c r="J13" s="1450"/>
      <c r="K13" s="1452"/>
      <c r="N13" s="29"/>
    </row>
    <row r="14" spans="2:14" ht="20.100000000000001" customHeight="1" x14ac:dyDescent="0.2">
      <c r="B14" s="1462">
        <f>+'40b3'!B14</f>
        <v>0</v>
      </c>
      <c r="C14" s="1463">
        <f>+'40b3'!C14</f>
        <v>0</v>
      </c>
      <c r="D14" s="1449">
        <f>+'40b3'!D14</f>
        <v>0</v>
      </c>
      <c r="E14" s="1450"/>
      <c r="F14" s="1450"/>
      <c r="G14" s="1450"/>
      <c r="H14" s="1450"/>
      <c r="I14" s="1450"/>
      <c r="J14" s="1450"/>
      <c r="K14" s="1452"/>
      <c r="N14" s="29"/>
    </row>
    <row r="15" spans="2:14" ht="20.100000000000001" customHeight="1" x14ac:dyDescent="0.2">
      <c r="B15" s="1462">
        <f>+'40b3'!B15</f>
        <v>0</v>
      </c>
      <c r="C15" s="1463">
        <f>+'40b3'!C15</f>
        <v>0</v>
      </c>
      <c r="D15" s="1449">
        <f>+'40b3'!D15</f>
        <v>0</v>
      </c>
      <c r="E15" s="1450"/>
      <c r="F15" s="1450"/>
      <c r="G15" s="1450"/>
      <c r="H15" s="1450"/>
      <c r="I15" s="1450"/>
      <c r="J15" s="1450"/>
      <c r="K15" s="1452"/>
      <c r="N15" s="29"/>
    </row>
    <row r="16" spans="2:14" ht="20.100000000000001" customHeight="1" x14ac:dyDescent="0.2">
      <c r="B16" s="1462">
        <f>+'40b3'!B16</f>
        <v>0</v>
      </c>
      <c r="C16" s="1463">
        <f>+'40b3'!C16</f>
        <v>0</v>
      </c>
      <c r="D16" s="1449">
        <f>+'40b3'!D16</f>
        <v>0</v>
      </c>
      <c r="E16" s="1450"/>
      <c r="F16" s="1450"/>
      <c r="G16" s="1450"/>
      <c r="H16" s="1450"/>
      <c r="I16" s="1450"/>
      <c r="J16" s="1450"/>
      <c r="K16" s="1452"/>
      <c r="N16" s="29"/>
    </row>
    <row r="17" spans="2:14" ht="20.100000000000001" customHeight="1" x14ac:dyDescent="0.2">
      <c r="B17" s="1462">
        <f>+'40b3'!B17</f>
        <v>0</v>
      </c>
      <c r="C17" s="1463">
        <f>+'40b3'!C17</f>
        <v>0</v>
      </c>
      <c r="D17" s="1449">
        <f>+'40b3'!D17</f>
        <v>0</v>
      </c>
      <c r="E17" s="1450"/>
      <c r="F17" s="1450"/>
      <c r="G17" s="1450"/>
      <c r="H17" s="1450"/>
      <c r="I17" s="1450"/>
      <c r="J17" s="1450"/>
      <c r="K17" s="1452"/>
      <c r="N17" s="29"/>
    </row>
    <row r="18" spans="2:14" ht="20.100000000000001" customHeight="1" x14ac:dyDescent="0.2">
      <c r="B18" s="1462">
        <f>+'40b3'!B18</f>
        <v>0</v>
      </c>
      <c r="C18" s="1463">
        <f>+'40b3'!C18</f>
        <v>0</v>
      </c>
      <c r="D18" s="1449">
        <f>+'40b3'!D18</f>
        <v>0</v>
      </c>
      <c r="E18" s="1450"/>
      <c r="F18" s="1450"/>
      <c r="G18" s="1450"/>
      <c r="H18" s="1450"/>
      <c r="I18" s="1450"/>
      <c r="J18" s="1450"/>
      <c r="K18" s="1452"/>
      <c r="N18" s="29"/>
    </row>
    <row r="19" spans="2:14" ht="20.100000000000001" customHeight="1" x14ac:dyDescent="0.2">
      <c r="B19" s="1462">
        <f>+'40b3'!B19</f>
        <v>0</v>
      </c>
      <c r="C19" s="1463">
        <f>+'40b3'!C19</f>
        <v>0</v>
      </c>
      <c r="D19" s="1449">
        <f>+'40b3'!D19</f>
        <v>0</v>
      </c>
      <c r="E19" s="1450"/>
      <c r="F19" s="1450"/>
      <c r="G19" s="1450"/>
      <c r="H19" s="1450"/>
      <c r="I19" s="1450"/>
      <c r="J19" s="1450"/>
      <c r="K19" s="1452"/>
      <c r="N19" s="29"/>
    </row>
    <row r="20" spans="2:14" ht="20.100000000000001" customHeight="1" x14ac:dyDescent="0.2">
      <c r="B20" s="1462">
        <f>+'40b3'!B20</f>
        <v>0</v>
      </c>
      <c r="C20" s="1463">
        <f>+'40b3'!C20</f>
        <v>0</v>
      </c>
      <c r="D20" s="1449">
        <f>+'40b3'!D20</f>
        <v>0</v>
      </c>
      <c r="E20" s="1450"/>
      <c r="F20" s="1450"/>
      <c r="G20" s="1450"/>
      <c r="H20" s="1450"/>
      <c r="I20" s="1450"/>
      <c r="J20" s="1450"/>
      <c r="K20" s="1452"/>
      <c r="N20" s="29"/>
    </row>
    <row r="21" spans="2:14" ht="20.100000000000001" customHeight="1" x14ac:dyDescent="0.2">
      <c r="B21" s="1462">
        <f>+'40b3'!B21</f>
        <v>0</v>
      </c>
      <c r="C21" s="1463">
        <f>+'40b3'!C21</f>
        <v>0</v>
      </c>
      <c r="D21" s="1449">
        <f>+'40b3'!D21</f>
        <v>0</v>
      </c>
      <c r="E21" s="1450"/>
      <c r="F21" s="1450"/>
      <c r="G21" s="1450"/>
      <c r="H21" s="1450"/>
      <c r="I21" s="1450"/>
      <c r="J21" s="1450"/>
      <c r="K21" s="1452"/>
      <c r="N21" s="29"/>
    </row>
    <row r="22" spans="2:14" ht="20.100000000000001" customHeight="1" x14ac:dyDescent="0.2">
      <c r="B22" s="1462">
        <f>+'40b3'!B22</f>
        <v>0</v>
      </c>
      <c r="C22" s="1463">
        <f>+'40b3'!C22</f>
        <v>0</v>
      </c>
      <c r="D22" s="1449">
        <f>+'40b3'!D22</f>
        <v>0</v>
      </c>
      <c r="E22" s="1450"/>
      <c r="F22" s="1450"/>
      <c r="G22" s="1450"/>
      <c r="H22" s="1450"/>
      <c r="I22" s="1450"/>
      <c r="J22" s="1450"/>
      <c r="K22" s="1452"/>
      <c r="N22" s="29"/>
    </row>
    <row r="23" spans="2:14" ht="20.100000000000001" customHeight="1" x14ac:dyDescent="0.2">
      <c r="B23" s="1462">
        <f>+'40b3'!B23</f>
        <v>0</v>
      </c>
      <c r="C23" s="1463">
        <f>+'40b3'!C23</f>
        <v>0</v>
      </c>
      <c r="D23" s="1449">
        <f>+'40b3'!D23</f>
        <v>0</v>
      </c>
      <c r="E23" s="1450"/>
      <c r="F23" s="1450"/>
      <c r="G23" s="1450"/>
      <c r="H23" s="1450"/>
      <c r="I23" s="1450"/>
      <c r="J23" s="1450"/>
      <c r="K23" s="1452"/>
      <c r="N23" s="29"/>
    </row>
    <row r="24" spans="2:14" ht="20.100000000000001" customHeight="1" x14ac:dyDescent="0.2">
      <c r="B24" s="1462">
        <f>+'40b3'!B24</f>
        <v>0</v>
      </c>
      <c r="C24" s="1463">
        <f>+'40b3'!C24</f>
        <v>0</v>
      </c>
      <c r="D24" s="1449">
        <f>+'40b3'!D24</f>
        <v>0</v>
      </c>
      <c r="E24" s="1450"/>
      <c r="F24" s="1450"/>
      <c r="G24" s="1450"/>
      <c r="H24" s="1450"/>
      <c r="I24" s="1450"/>
      <c r="J24" s="1450"/>
      <c r="K24" s="1452"/>
      <c r="N24" s="29"/>
    </row>
    <row r="25" spans="2:14" ht="20.100000000000001" customHeight="1" x14ac:dyDescent="0.2">
      <c r="B25" s="1462">
        <f>+'40b3'!B25</f>
        <v>0</v>
      </c>
      <c r="C25" s="1463">
        <f>+'40b3'!C25</f>
        <v>0</v>
      </c>
      <c r="D25" s="1449">
        <f>+'40b3'!D25</f>
        <v>0</v>
      </c>
      <c r="E25" s="1450"/>
      <c r="F25" s="1450"/>
      <c r="G25" s="1450"/>
      <c r="H25" s="1450"/>
      <c r="I25" s="1450"/>
      <c r="J25" s="1450"/>
      <c r="K25" s="1452"/>
      <c r="N25" s="29"/>
    </row>
    <row r="26" spans="2:14" ht="20.100000000000001" customHeight="1" x14ac:dyDescent="0.2">
      <c r="B26" s="1462">
        <f>+'40b3'!B26</f>
        <v>0</v>
      </c>
      <c r="C26" s="1463">
        <f>+'40b3'!C26</f>
        <v>0</v>
      </c>
      <c r="D26" s="1449">
        <f>+'40b3'!D26</f>
        <v>0</v>
      </c>
      <c r="E26" s="1450"/>
      <c r="F26" s="1450"/>
      <c r="G26" s="1450"/>
      <c r="H26" s="1450"/>
      <c r="I26" s="1450"/>
      <c r="J26" s="1450"/>
      <c r="K26" s="1452"/>
      <c r="N26" s="29"/>
    </row>
    <row r="27" spans="2:14" ht="20.100000000000001" customHeight="1" x14ac:dyDescent="0.2">
      <c r="B27" s="1462">
        <f>+'40b3'!B27</f>
        <v>0</v>
      </c>
      <c r="C27" s="1463">
        <f>+'40b3'!C27</f>
        <v>0</v>
      </c>
      <c r="D27" s="1449">
        <f>+'40b3'!D27</f>
        <v>0</v>
      </c>
      <c r="E27" s="1450"/>
      <c r="F27" s="1450"/>
      <c r="G27" s="1450"/>
      <c r="H27" s="1450"/>
      <c r="I27" s="1450"/>
      <c r="J27" s="1450"/>
      <c r="K27" s="1452"/>
      <c r="N27" s="29"/>
    </row>
    <row r="28" spans="2:14" ht="20.100000000000001" customHeight="1" x14ac:dyDescent="0.2">
      <c r="B28" s="1462">
        <f>+'40b3'!B28</f>
        <v>0</v>
      </c>
      <c r="C28" s="1463">
        <f>+'40b3'!C28</f>
        <v>0</v>
      </c>
      <c r="D28" s="1449">
        <f>+'40b3'!D28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3323</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WFNZKn9utgt5DCiXgfPQhhV8hJkT2t6c4xThCwFfGkRATwutLPSgQ7ZtXhKTfB0Os1CVEI+KLO5/74Qrj6bs6w==" saltValue="qCk7xKfyEEa/2Cri3KuBIA=="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5"/>
  <dimension ref="B1:R38"/>
  <sheetViews>
    <sheetView showZeros="0" zoomScaleNormal="100" workbookViewId="0">
      <selection activeCell="F25" sqref="F25"/>
    </sheetView>
  </sheetViews>
  <sheetFormatPr defaultRowHeight="12.75" x14ac:dyDescent="0.2"/>
  <cols>
    <col min="1" max="1" width="6.7109375" customWidth="1"/>
    <col min="2" max="2" width="2.7109375" customWidth="1"/>
    <col min="3" max="3" width="32.7109375" customWidth="1"/>
    <col min="4" max="4" width="17.7109375" customWidth="1"/>
    <col min="5" max="5" width="3.28515625" customWidth="1"/>
    <col min="6" max="6" width="17.7109375" customWidth="1"/>
    <col min="7" max="7" width="2.7109375" customWidth="1"/>
    <col min="8" max="8" width="4.7109375" customWidth="1"/>
    <col min="9" max="9" width="3.7109375" customWidth="1"/>
    <col min="10" max="10" width="7.7109375" customWidth="1"/>
    <col min="11" max="11" width="12.7109375" customWidth="1"/>
    <col min="12" max="12" width="30.7109375" customWidth="1"/>
    <col min="13" max="13" width="6.85546875" customWidth="1"/>
    <col min="14" max="14" width="15.7109375" customWidth="1"/>
    <col min="15" max="15" width="3.5703125" customWidth="1"/>
  </cols>
  <sheetData>
    <row r="1" spans="2:18" ht="19.5" customHeight="1" x14ac:dyDescent="0.35">
      <c r="N1" s="411"/>
    </row>
    <row r="2" spans="2:18" ht="26.25" x14ac:dyDescent="0.4">
      <c r="B2" s="1645" t="str">
        <f>'Key Inputs'!E34&amp;"  MUNICIPAL  DATA  SHEET"</f>
        <v>2021  MUNICIPAL  DATA  SHEET</v>
      </c>
      <c r="C2" s="1645"/>
      <c r="D2" s="1645"/>
      <c r="E2" s="1645"/>
      <c r="F2" s="1645"/>
      <c r="G2" s="1645"/>
      <c r="H2" s="1645"/>
      <c r="I2" s="1645"/>
      <c r="J2" s="1645"/>
      <c r="K2" s="1645"/>
      <c r="L2" s="1645"/>
      <c r="M2" s="1645"/>
      <c r="N2" s="1645"/>
      <c r="O2" s="1645"/>
    </row>
    <row r="3" spans="2:18" ht="27" customHeight="1" x14ac:dyDescent="0.2">
      <c r="E3" s="1650" t="str">
        <f>"(MUST ACCOMPANY "&amp;'Key Inputs'!E34&amp;" BUDGET)"</f>
        <v>(MUST ACCOMPANY 2021 BUDGET)</v>
      </c>
      <c r="F3" s="1650"/>
      <c r="G3" s="1650"/>
      <c r="H3" s="1650"/>
      <c r="I3" s="1650"/>
      <c r="J3" s="1650"/>
      <c r="K3" s="1650"/>
      <c r="L3" s="494"/>
      <c r="M3" s="494"/>
      <c r="N3" s="495" t="s">
        <v>303</v>
      </c>
      <c r="O3" s="494"/>
      <c r="P3" s="494"/>
      <c r="Q3" s="494"/>
      <c r="R3" s="494"/>
    </row>
    <row r="5" spans="2:18" ht="15.75" thickBot="1" x14ac:dyDescent="0.3">
      <c r="D5" s="343" t="s">
        <v>833</v>
      </c>
      <c r="E5" s="1648" t="str">
        <f>+'Key Inputs'!E5</f>
        <v>TOWNSHIP OF GREENWICH</v>
      </c>
      <c r="F5" s="1648"/>
      <c r="G5" s="1648"/>
      <c r="H5" s="1648"/>
      <c r="I5" s="1648"/>
      <c r="J5" s="339"/>
      <c r="K5" s="343" t="s">
        <v>489</v>
      </c>
      <c r="L5" s="339" t="str">
        <f>+'Key Inputs'!E6</f>
        <v>CUMBERLAND</v>
      </c>
    </row>
    <row r="6" spans="2:18" ht="13.5" thickBot="1" x14ac:dyDescent="0.25"/>
    <row r="7" spans="2:18" ht="16.5" customHeight="1" x14ac:dyDescent="0.25">
      <c r="B7" s="306"/>
      <c r="C7" s="347"/>
      <c r="D7" s="347"/>
      <c r="E7" s="347"/>
      <c r="F7" s="347"/>
      <c r="G7" s="348"/>
      <c r="I7" s="1538" t="s">
        <v>834</v>
      </c>
      <c r="J7" s="1539"/>
      <c r="K7" s="1539"/>
      <c r="L7" s="1539"/>
      <c r="M7" s="1539"/>
      <c r="N7" s="1539"/>
      <c r="O7" s="1540"/>
    </row>
    <row r="8" spans="2:18" ht="16.5" customHeight="1" x14ac:dyDescent="0.2">
      <c r="B8" s="292"/>
      <c r="C8" s="1649" t="s">
        <v>6258</v>
      </c>
      <c r="D8" s="1649"/>
      <c r="E8" s="249"/>
      <c r="F8" s="816">
        <v>45291</v>
      </c>
      <c r="G8" s="345"/>
      <c r="I8" s="350"/>
      <c r="J8" s="340"/>
      <c r="K8" s="340"/>
      <c r="L8" s="340"/>
      <c r="M8" s="340"/>
      <c r="N8" s="340"/>
      <c r="O8" s="351"/>
    </row>
    <row r="9" spans="2:18" ht="12" customHeight="1" x14ac:dyDescent="0.2">
      <c r="B9" s="292"/>
      <c r="C9" s="1535" t="s">
        <v>837</v>
      </c>
      <c r="D9" s="1535"/>
      <c r="E9" s="63"/>
      <c r="F9" s="196" t="s">
        <v>836</v>
      </c>
      <c r="G9" s="345"/>
      <c r="I9" s="292"/>
      <c r="J9" s="1647" t="s">
        <v>835</v>
      </c>
      <c r="K9" s="1647"/>
      <c r="L9" s="1647"/>
      <c r="M9" s="63"/>
      <c r="N9" s="196" t="s">
        <v>836</v>
      </c>
      <c r="O9" s="344"/>
    </row>
    <row r="10" spans="2:18" ht="17.25" customHeight="1" thickBot="1" x14ac:dyDescent="0.25">
      <c r="B10" s="307"/>
      <c r="C10" s="1646"/>
      <c r="D10" s="1646"/>
      <c r="E10" s="215"/>
      <c r="F10" s="216"/>
      <c r="G10" s="349"/>
      <c r="I10" s="292"/>
      <c r="J10" s="87"/>
      <c r="K10" s="87"/>
      <c r="L10" s="87"/>
      <c r="M10" s="126"/>
      <c r="N10" s="372"/>
      <c r="O10" s="344"/>
    </row>
    <row r="11" spans="2:18" ht="21.95" customHeight="1" thickBot="1" x14ac:dyDescent="0.25">
      <c r="B11" s="347"/>
      <c r="C11" s="347"/>
      <c r="D11" s="347"/>
      <c r="E11" s="347"/>
      <c r="F11" s="347"/>
      <c r="G11" s="347"/>
      <c r="I11" s="292"/>
      <c r="J11" s="1663" t="s">
        <v>6259</v>
      </c>
      <c r="K11" s="1663"/>
      <c r="L11" s="1663"/>
      <c r="M11" s="126"/>
      <c r="N11" s="1052">
        <v>44926</v>
      </c>
      <c r="O11" s="345"/>
    </row>
    <row r="12" spans="2:18" ht="24" customHeight="1" x14ac:dyDescent="0.2">
      <c r="B12" s="306"/>
      <c r="C12" s="1664" t="s">
        <v>838</v>
      </c>
      <c r="D12" s="1664"/>
      <c r="E12" s="347"/>
      <c r="F12" s="347"/>
      <c r="G12" s="348"/>
      <c r="I12" s="292"/>
      <c r="J12" s="1663" t="s">
        <v>6260</v>
      </c>
      <c r="K12" s="1663"/>
      <c r="L12" s="1663"/>
      <c r="M12" s="126"/>
      <c r="N12" s="1052">
        <v>44561</v>
      </c>
      <c r="O12" s="345"/>
    </row>
    <row r="13" spans="2:18" ht="13.5" customHeight="1" x14ac:dyDescent="0.2">
      <c r="B13" s="292"/>
      <c r="C13" s="63"/>
      <c r="D13" s="63"/>
      <c r="E13" s="1659" t="s">
        <v>763</v>
      </c>
      <c r="F13" s="560">
        <f>+'Key Inputs'!H16</f>
        <v>41091</v>
      </c>
      <c r="G13" s="345"/>
      <c r="I13" s="292"/>
      <c r="J13" s="1657"/>
      <c r="K13" s="1657"/>
      <c r="L13" s="1657"/>
      <c r="M13" s="126"/>
      <c r="N13" s="1657"/>
      <c r="O13" s="345"/>
    </row>
    <row r="14" spans="2:18" ht="14.1" customHeight="1" x14ac:dyDescent="0.2">
      <c r="B14" s="292"/>
      <c r="C14" s="63"/>
      <c r="D14" s="63"/>
      <c r="E14" s="1659"/>
      <c r="F14" s="412" t="s">
        <v>842</v>
      </c>
      <c r="G14" s="345"/>
      <c r="I14" s="292"/>
      <c r="J14" s="1658"/>
      <c r="K14" s="1658"/>
      <c r="L14" s="1658"/>
      <c r="M14" s="126"/>
      <c r="N14" s="1658"/>
      <c r="O14" s="345"/>
    </row>
    <row r="15" spans="2:18" ht="15.6" customHeight="1" x14ac:dyDescent="0.2">
      <c r="B15" s="292"/>
      <c r="C15" s="1653" t="str">
        <f>+'Key Inputs'!E16</f>
        <v>LISA GARRISON</v>
      </c>
      <c r="D15" s="1653"/>
      <c r="E15" s="1660"/>
      <c r="F15" s="352" t="str">
        <f>+'Key Inputs'!G16</f>
        <v>C1164</v>
      </c>
      <c r="G15" s="345"/>
      <c r="I15" s="292"/>
      <c r="J15" s="1657"/>
      <c r="K15" s="1657"/>
      <c r="L15" s="1657"/>
      <c r="M15" s="126"/>
      <c r="N15" s="1657"/>
      <c r="O15" s="345"/>
    </row>
    <row r="16" spans="2:18" ht="14.1" customHeight="1" x14ac:dyDescent="0.2">
      <c r="B16" s="292"/>
      <c r="C16" s="1652" t="s">
        <v>839</v>
      </c>
      <c r="D16" s="1652"/>
      <c r="E16" s="1659"/>
      <c r="F16" s="412" t="s">
        <v>841</v>
      </c>
      <c r="G16" s="345"/>
      <c r="I16" s="292"/>
      <c r="J16" s="1658"/>
      <c r="K16" s="1658"/>
      <c r="L16" s="1658"/>
      <c r="M16" s="126"/>
      <c r="N16" s="1658"/>
      <c r="O16" s="345"/>
    </row>
    <row r="17" spans="2:18" ht="15" customHeight="1" x14ac:dyDescent="0.2">
      <c r="B17" s="292"/>
      <c r="C17" s="1653" t="str">
        <f>+'Key Inputs'!E17</f>
        <v>ELIZABETH WALLENDER</v>
      </c>
      <c r="D17" s="1653"/>
      <c r="E17" s="63"/>
      <c r="F17" s="352" t="str">
        <f>+'Key Inputs'!G17</f>
        <v>T1404</v>
      </c>
      <c r="G17" s="345"/>
      <c r="I17" s="292"/>
      <c r="J17" s="1657"/>
      <c r="K17" s="1657"/>
      <c r="L17" s="1657"/>
      <c r="M17" s="126"/>
      <c r="N17" s="1657"/>
      <c r="O17" s="345"/>
    </row>
    <row r="18" spans="2:18" ht="14.1" customHeight="1" x14ac:dyDescent="0.2">
      <c r="B18" s="292"/>
      <c r="C18" s="1652" t="s">
        <v>465</v>
      </c>
      <c r="D18" s="1652"/>
      <c r="E18" s="63"/>
      <c r="F18" s="412" t="s">
        <v>841</v>
      </c>
      <c r="G18" s="345"/>
      <c r="I18" s="292"/>
      <c r="J18" s="1658"/>
      <c r="K18" s="1658"/>
      <c r="L18" s="1658"/>
      <c r="M18" s="353"/>
      <c r="N18" s="1658"/>
      <c r="O18" s="345"/>
    </row>
    <row r="19" spans="2:18" ht="15" customHeight="1" x14ac:dyDescent="0.2">
      <c r="B19" s="292"/>
      <c r="C19" s="1653" t="str">
        <f>+'Key Inputs'!E18</f>
        <v>KIMBERLY FLEETWOOD</v>
      </c>
      <c r="D19" s="1653"/>
      <c r="E19" s="63"/>
      <c r="F19" s="352">
        <f>+'Key Inputs'!G18</f>
        <v>0</v>
      </c>
      <c r="G19" s="345"/>
      <c r="I19" s="292"/>
      <c r="J19" s="1657"/>
      <c r="K19" s="1657"/>
      <c r="L19" s="1657"/>
      <c r="M19" s="353"/>
      <c r="N19" s="1657"/>
      <c r="O19" s="345"/>
    </row>
    <row r="20" spans="2:18" ht="13.5" customHeight="1" x14ac:dyDescent="0.2">
      <c r="B20" s="292"/>
      <c r="C20" s="1652" t="s">
        <v>464</v>
      </c>
      <c r="D20" s="1652"/>
      <c r="E20" s="63"/>
      <c r="F20" s="412" t="s">
        <v>841</v>
      </c>
      <c r="G20" s="345"/>
      <c r="I20" s="292"/>
      <c r="J20" s="1658"/>
      <c r="K20" s="1658"/>
      <c r="L20" s="1658"/>
      <c r="M20" s="353"/>
      <c r="N20" s="1658"/>
      <c r="O20" s="345"/>
    </row>
    <row r="21" spans="2:18" ht="15" customHeight="1" x14ac:dyDescent="0.2">
      <c r="B21" s="292"/>
      <c r="C21" s="1653" t="str">
        <f>+'Key Inputs'!E19</f>
        <v>RAYMOND COLAVITA</v>
      </c>
      <c r="D21" s="1653"/>
      <c r="E21" s="63"/>
      <c r="F21" s="352" t="str">
        <f>+'Key Inputs'!G19</f>
        <v>423</v>
      </c>
      <c r="G21" s="345"/>
      <c r="I21" s="292"/>
      <c r="J21" s="1657"/>
      <c r="K21" s="1657"/>
      <c r="L21" s="1657"/>
      <c r="M21" s="353"/>
      <c r="N21" s="1657"/>
      <c r="O21" s="345"/>
    </row>
    <row r="22" spans="2:18" ht="13.5" customHeight="1" x14ac:dyDescent="0.2">
      <c r="B22" s="292"/>
      <c r="C22" s="1652" t="s">
        <v>466</v>
      </c>
      <c r="D22" s="1652"/>
      <c r="E22" s="63"/>
      <c r="F22" s="412" t="s">
        <v>840</v>
      </c>
      <c r="G22" s="345"/>
      <c r="I22" s="292"/>
      <c r="J22" s="1658"/>
      <c r="K22" s="1658"/>
      <c r="L22" s="1658"/>
      <c r="M22" s="353"/>
      <c r="N22" s="1658"/>
      <c r="O22" s="345"/>
    </row>
    <row r="23" spans="2:18" ht="15" customHeight="1" x14ac:dyDescent="0.2">
      <c r="B23" s="292"/>
      <c r="C23" s="1653" t="str">
        <f>+'Key Inputs'!E20</f>
        <v>JOHN G CARR, ESQ</v>
      </c>
      <c r="D23" s="1653"/>
      <c r="E23" s="63"/>
      <c r="F23" s="63"/>
      <c r="G23" s="345"/>
      <c r="I23" s="292"/>
      <c r="J23" s="1657"/>
      <c r="K23" s="1657"/>
      <c r="L23" s="1657"/>
      <c r="M23" s="353"/>
      <c r="N23" s="1657"/>
      <c r="O23" s="345"/>
    </row>
    <row r="24" spans="2:18" ht="11.25" customHeight="1" x14ac:dyDescent="0.2">
      <c r="B24" s="292"/>
      <c r="C24" s="1652" t="s">
        <v>467</v>
      </c>
      <c r="D24" s="1652"/>
      <c r="E24" s="63"/>
      <c r="F24" s="63"/>
      <c r="G24" s="345"/>
      <c r="I24" s="292"/>
      <c r="J24" s="1658"/>
      <c r="K24" s="1658"/>
      <c r="L24" s="1658"/>
      <c r="M24" s="126"/>
      <c r="N24" s="1658"/>
      <c r="O24" s="345"/>
      <c r="R24" s="63"/>
    </row>
    <row r="25" spans="2:18" ht="11.25" customHeight="1" x14ac:dyDescent="0.2">
      <c r="B25" s="292"/>
      <c r="C25" s="1656"/>
      <c r="D25" s="1656"/>
      <c r="E25" s="63"/>
      <c r="F25" s="63"/>
      <c r="G25" s="345"/>
      <c r="I25" s="292"/>
      <c r="J25" s="1657"/>
      <c r="K25" s="1657"/>
      <c r="L25" s="1657"/>
      <c r="M25" s="126"/>
      <c r="N25" s="1657"/>
      <c r="O25" s="345"/>
    </row>
    <row r="26" spans="2:18" ht="15" customHeight="1" x14ac:dyDescent="0.2">
      <c r="B26" s="292"/>
      <c r="C26" s="1649"/>
      <c r="D26" s="1649"/>
      <c r="E26" s="63"/>
      <c r="F26" s="63"/>
      <c r="G26" s="345"/>
      <c r="I26" s="292"/>
      <c r="J26" s="1658"/>
      <c r="K26" s="1658"/>
      <c r="L26" s="1658"/>
      <c r="M26" s="126"/>
      <c r="N26" s="1658"/>
      <c r="O26" s="345"/>
    </row>
    <row r="27" spans="2:18" ht="24" customHeight="1" x14ac:dyDescent="0.2">
      <c r="B27" s="292"/>
      <c r="C27" s="1654"/>
      <c r="D27" s="1654"/>
      <c r="E27" s="63"/>
      <c r="F27" s="63"/>
      <c r="G27" s="345"/>
      <c r="I27" s="292"/>
      <c r="J27" s="1663"/>
      <c r="K27" s="1663"/>
      <c r="L27" s="1663"/>
      <c r="M27" s="126"/>
      <c r="N27" s="1053"/>
      <c r="O27" s="345"/>
    </row>
    <row r="28" spans="2:18" ht="7.5" customHeight="1" thickBot="1" x14ac:dyDescent="0.25">
      <c r="B28" s="307"/>
      <c r="C28" s="1655"/>
      <c r="D28" s="1655"/>
      <c r="E28" s="215"/>
      <c r="F28" s="215"/>
      <c r="G28" s="346"/>
      <c r="I28" s="307"/>
      <c r="J28" s="215"/>
      <c r="K28" s="215"/>
      <c r="L28" s="215"/>
      <c r="M28" s="215"/>
      <c r="N28" s="215"/>
      <c r="O28" s="346"/>
    </row>
    <row r="29" spans="2:18" x14ac:dyDescent="0.2">
      <c r="C29" s="1651" t="s">
        <v>360</v>
      </c>
      <c r="D29" s="1651"/>
      <c r="E29" s="1651"/>
      <c r="F29" s="1651"/>
      <c r="J29" s="1651"/>
      <c r="K29" s="1651"/>
      <c r="L29" s="1651"/>
      <c r="M29" s="1651"/>
      <c r="N29" s="1651"/>
    </row>
    <row r="31" spans="2:18" x14ac:dyDescent="0.2">
      <c r="C31" s="1661" t="str">
        <f>+'Key Inputs'!E10</f>
        <v>EMERGENCY MANAGEMENT BUILDING</v>
      </c>
      <c r="D31" s="1661"/>
      <c r="E31" s="1661"/>
      <c r="F31" s="1661"/>
      <c r="L31" s="409"/>
    </row>
    <row r="32" spans="2:18" x14ac:dyDescent="0.2">
      <c r="C32" s="1662" t="str">
        <f>+'Key Inputs'!E11</f>
        <v>PO BOX 64</v>
      </c>
      <c r="D32" s="1662"/>
      <c r="E32" s="1662"/>
      <c r="F32" s="1662"/>
      <c r="L32" s="235"/>
    </row>
    <row r="33" spans="3:15" x14ac:dyDescent="0.2">
      <c r="C33" s="1662" t="str">
        <f>+'Key Inputs'!E12</f>
        <v>GREENWICH, NJ  08323</v>
      </c>
      <c r="D33" s="1662"/>
      <c r="E33" s="1662"/>
      <c r="F33" s="1662"/>
      <c r="L33" s="235"/>
      <c r="M33" s="63"/>
      <c r="N33" s="63"/>
      <c r="O33" s="63"/>
    </row>
    <row r="34" spans="3:15" x14ac:dyDescent="0.2">
      <c r="L34" s="235"/>
      <c r="M34" s="1014"/>
      <c r="N34" s="1014"/>
      <c r="O34" s="1014"/>
    </row>
    <row r="35" spans="3:15" x14ac:dyDescent="0.2">
      <c r="C35" s="229" t="s">
        <v>844</v>
      </c>
      <c r="D35" s="232">
        <f>+'Key Inputs'!E14</f>
        <v>0</v>
      </c>
      <c r="L35" s="235"/>
      <c r="M35" s="413"/>
      <c r="N35" s="63"/>
      <c r="O35" s="63"/>
    </row>
    <row r="36" spans="3:15" x14ac:dyDescent="0.2">
      <c r="G36" s="1647" t="s">
        <v>845</v>
      </c>
      <c r="H36" s="1647"/>
      <c r="I36" s="1647"/>
      <c r="M36" s="413"/>
      <c r="N36" s="63"/>
      <c r="O36" s="63"/>
    </row>
    <row r="37" spans="3:15" x14ac:dyDescent="0.2">
      <c r="M37" s="63"/>
      <c r="N37" s="63"/>
      <c r="O37" s="63"/>
    </row>
    <row r="38" spans="3:15" x14ac:dyDescent="0.2">
      <c r="M38" s="63"/>
      <c r="N38" s="63"/>
      <c r="O38" s="63"/>
    </row>
  </sheetData>
  <sheetProtection password="CAF9" sheet="1" objects="1" scenarios="1"/>
  <mergeCells count="46">
    <mergeCell ref="N13:N14"/>
    <mergeCell ref="N15:N16"/>
    <mergeCell ref="N17:N18"/>
    <mergeCell ref="N19:N20"/>
    <mergeCell ref="N21:N22"/>
    <mergeCell ref="C31:F31"/>
    <mergeCell ref="C32:F32"/>
    <mergeCell ref="C33:F33"/>
    <mergeCell ref="G36:I36"/>
    <mergeCell ref="J11:L11"/>
    <mergeCell ref="J12:L12"/>
    <mergeCell ref="J13:L14"/>
    <mergeCell ref="J15:L16"/>
    <mergeCell ref="J17:L18"/>
    <mergeCell ref="J19:L20"/>
    <mergeCell ref="J21:L22"/>
    <mergeCell ref="J23:L24"/>
    <mergeCell ref="J25:L26"/>
    <mergeCell ref="J27:L27"/>
    <mergeCell ref="C12:D12"/>
    <mergeCell ref="C24:D24"/>
    <mergeCell ref="E13:E16"/>
    <mergeCell ref="C29:F29"/>
    <mergeCell ref="C15:D15"/>
    <mergeCell ref="C16:D16"/>
    <mergeCell ref="C17:D17"/>
    <mergeCell ref="C18:D18"/>
    <mergeCell ref="C19:D19"/>
    <mergeCell ref="J29:N29"/>
    <mergeCell ref="C20:D20"/>
    <mergeCell ref="C21:D21"/>
    <mergeCell ref="C22:D22"/>
    <mergeCell ref="C23:D23"/>
    <mergeCell ref="C27:D27"/>
    <mergeCell ref="C28:D28"/>
    <mergeCell ref="C25:D26"/>
    <mergeCell ref="N23:N24"/>
    <mergeCell ref="N25:N26"/>
    <mergeCell ref="B2:O2"/>
    <mergeCell ref="C10:D10"/>
    <mergeCell ref="C9:D9"/>
    <mergeCell ref="J9:L9"/>
    <mergeCell ref="E5:I5"/>
    <mergeCell ref="I7:O7"/>
    <mergeCell ref="C8:D8"/>
    <mergeCell ref="E3:K3"/>
  </mergeCells>
  <phoneticPr fontId="0" type="noConversion"/>
  <pageMargins left="0.25" right="0.3" top="0.25" bottom="0.75" header="0.25" footer="0.25"/>
  <pageSetup paperSize="5" orientation="landscape" r:id="rId1"/>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sheetPr codeName="Sheet148"/>
  <dimension ref="B2:N39"/>
  <sheetViews>
    <sheetView showZeros="0" zoomScaleNormal="100" workbookViewId="0">
      <selection activeCell="F17" sqref="F17"/>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+'40b4'!B11</f>
        <v>0</v>
      </c>
      <c r="C11" s="1461">
        <f>+'40b4'!C11</f>
        <v>0</v>
      </c>
      <c r="D11" s="1445">
        <f>+'40b4'!D11</f>
        <v>0</v>
      </c>
      <c r="E11" s="1446"/>
      <c r="F11" s="1446"/>
      <c r="G11" s="1446"/>
      <c r="H11" s="1446"/>
      <c r="I11" s="1446"/>
      <c r="J11" s="1446"/>
      <c r="K11" s="1448"/>
      <c r="N11" s="29"/>
    </row>
    <row r="12" spans="2:14" ht="20.100000000000001" customHeight="1" x14ac:dyDescent="0.2">
      <c r="B12" s="1462">
        <f>+'40b4'!B12</f>
        <v>0</v>
      </c>
      <c r="C12" s="1463">
        <f>+'40b4'!C12</f>
        <v>0</v>
      </c>
      <c r="D12" s="1449">
        <f>+'40b4'!D12</f>
        <v>0</v>
      </c>
      <c r="E12" s="1450"/>
      <c r="F12" s="1450"/>
      <c r="G12" s="1450"/>
      <c r="H12" s="1450"/>
      <c r="I12" s="1450"/>
      <c r="J12" s="1450"/>
      <c r="K12" s="1452"/>
      <c r="N12" s="29"/>
    </row>
    <row r="13" spans="2:14" ht="20.100000000000001" customHeight="1" x14ac:dyDescent="0.2">
      <c r="B13" s="1462">
        <f>+'40b4'!B13</f>
        <v>0</v>
      </c>
      <c r="C13" s="1463">
        <f>+'40b4'!C13</f>
        <v>0</v>
      </c>
      <c r="D13" s="1449">
        <f>+'40b4'!D13</f>
        <v>0</v>
      </c>
      <c r="E13" s="1450"/>
      <c r="F13" s="1450"/>
      <c r="G13" s="1450"/>
      <c r="H13" s="1450"/>
      <c r="I13" s="1450"/>
      <c r="J13" s="1450"/>
      <c r="K13" s="1452"/>
      <c r="N13" s="29"/>
    </row>
    <row r="14" spans="2:14" ht="20.100000000000001" customHeight="1" x14ac:dyDescent="0.2">
      <c r="B14" s="1462">
        <f>+'40b4'!B14</f>
        <v>0</v>
      </c>
      <c r="C14" s="1463">
        <f>+'40b4'!C14</f>
        <v>0</v>
      </c>
      <c r="D14" s="1449">
        <f>+'40b4'!D14</f>
        <v>0</v>
      </c>
      <c r="E14" s="1450"/>
      <c r="F14" s="1450"/>
      <c r="G14" s="1450"/>
      <c r="H14" s="1450"/>
      <c r="I14" s="1450"/>
      <c r="J14" s="1450"/>
      <c r="K14" s="1452"/>
      <c r="N14" s="29"/>
    </row>
    <row r="15" spans="2:14" ht="20.100000000000001" customHeight="1" x14ac:dyDescent="0.2">
      <c r="B15" s="1462">
        <f>+'40b4'!B15</f>
        <v>0</v>
      </c>
      <c r="C15" s="1463">
        <f>+'40b4'!C15</f>
        <v>0</v>
      </c>
      <c r="D15" s="1449">
        <f>+'40b4'!D15</f>
        <v>0</v>
      </c>
      <c r="E15" s="1450"/>
      <c r="F15" s="1450"/>
      <c r="G15" s="1450"/>
      <c r="H15" s="1450"/>
      <c r="I15" s="1450"/>
      <c r="J15" s="1450"/>
      <c r="K15" s="1452"/>
      <c r="N15" s="29"/>
    </row>
    <row r="16" spans="2:14" ht="20.100000000000001" customHeight="1" x14ac:dyDescent="0.2">
      <c r="B16" s="1462">
        <f>+'40b4'!B16</f>
        <v>0</v>
      </c>
      <c r="C16" s="1463">
        <f>+'40b4'!C16</f>
        <v>0</v>
      </c>
      <c r="D16" s="1449">
        <f>+'40b4'!D16</f>
        <v>0</v>
      </c>
      <c r="E16" s="1450"/>
      <c r="F16" s="1450"/>
      <c r="G16" s="1450"/>
      <c r="H16" s="1450"/>
      <c r="I16" s="1450"/>
      <c r="J16" s="1450"/>
      <c r="K16" s="1452"/>
      <c r="N16" s="29"/>
    </row>
    <row r="17" spans="2:14" ht="20.100000000000001" customHeight="1" x14ac:dyDescent="0.2">
      <c r="B17" s="1462">
        <f>+'40b4'!B17</f>
        <v>0</v>
      </c>
      <c r="C17" s="1463">
        <f>+'40b4'!C17</f>
        <v>0</v>
      </c>
      <c r="D17" s="1449">
        <f>+'40b4'!D17</f>
        <v>0</v>
      </c>
      <c r="E17" s="1450"/>
      <c r="F17" s="1450"/>
      <c r="G17" s="1450"/>
      <c r="H17" s="1450"/>
      <c r="I17" s="1450"/>
      <c r="J17" s="1450"/>
      <c r="K17" s="1452"/>
      <c r="N17" s="29"/>
    </row>
    <row r="18" spans="2:14" ht="20.100000000000001" customHeight="1" x14ac:dyDescent="0.2">
      <c r="B18" s="1462">
        <f>+'40b4'!B18</f>
        <v>0</v>
      </c>
      <c r="C18" s="1463">
        <f>+'40b4'!C18</f>
        <v>0</v>
      </c>
      <c r="D18" s="1449">
        <f>+'40b4'!D18</f>
        <v>0</v>
      </c>
      <c r="E18" s="1450"/>
      <c r="F18" s="1450"/>
      <c r="G18" s="1450"/>
      <c r="H18" s="1450"/>
      <c r="I18" s="1450"/>
      <c r="J18" s="1450"/>
      <c r="K18" s="1452"/>
      <c r="N18" s="29"/>
    </row>
    <row r="19" spans="2:14" ht="20.100000000000001" customHeight="1" x14ac:dyDescent="0.2">
      <c r="B19" s="1462">
        <f>+'40b4'!B19</f>
        <v>0</v>
      </c>
      <c r="C19" s="1463">
        <f>+'40b4'!C19</f>
        <v>0</v>
      </c>
      <c r="D19" s="1449">
        <f>+'40b4'!D19</f>
        <v>0</v>
      </c>
      <c r="E19" s="1450"/>
      <c r="F19" s="1450"/>
      <c r="G19" s="1450"/>
      <c r="H19" s="1450"/>
      <c r="I19" s="1450"/>
      <c r="J19" s="1450"/>
      <c r="K19" s="1452"/>
      <c r="N19" s="29"/>
    </row>
    <row r="20" spans="2:14" ht="20.100000000000001" customHeight="1" x14ac:dyDescent="0.2">
      <c r="B20" s="1462">
        <f>+'40b4'!B20</f>
        <v>0</v>
      </c>
      <c r="C20" s="1463">
        <f>+'40b4'!C20</f>
        <v>0</v>
      </c>
      <c r="D20" s="1449">
        <f>+'40b4'!D20</f>
        <v>0</v>
      </c>
      <c r="E20" s="1450"/>
      <c r="F20" s="1450"/>
      <c r="G20" s="1450"/>
      <c r="H20" s="1450"/>
      <c r="I20" s="1450"/>
      <c r="J20" s="1450"/>
      <c r="K20" s="1452"/>
      <c r="N20" s="29"/>
    </row>
    <row r="21" spans="2:14" ht="20.100000000000001" customHeight="1" x14ac:dyDescent="0.2">
      <c r="B21" s="1462">
        <f>+'40b4'!B21</f>
        <v>0</v>
      </c>
      <c r="C21" s="1463">
        <f>+'40b4'!C21</f>
        <v>0</v>
      </c>
      <c r="D21" s="1449">
        <f>+'40b4'!D21</f>
        <v>0</v>
      </c>
      <c r="E21" s="1450"/>
      <c r="F21" s="1450"/>
      <c r="G21" s="1450"/>
      <c r="H21" s="1450"/>
      <c r="I21" s="1450"/>
      <c r="J21" s="1450"/>
      <c r="K21" s="1452"/>
      <c r="N21" s="29"/>
    </row>
    <row r="22" spans="2:14" ht="20.100000000000001" customHeight="1" x14ac:dyDescent="0.2">
      <c r="B22" s="1462">
        <f>+'40b4'!B22</f>
        <v>0</v>
      </c>
      <c r="C22" s="1463">
        <f>+'40b4'!C22</f>
        <v>0</v>
      </c>
      <c r="D22" s="1449">
        <f>+'40b4'!D22</f>
        <v>0</v>
      </c>
      <c r="E22" s="1450"/>
      <c r="F22" s="1450"/>
      <c r="G22" s="1450"/>
      <c r="H22" s="1450"/>
      <c r="I22" s="1450"/>
      <c r="J22" s="1450"/>
      <c r="K22" s="1452"/>
      <c r="N22" s="29"/>
    </row>
    <row r="23" spans="2:14" ht="20.100000000000001" customHeight="1" x14ac:dyDescent="0.2">
      <c r="B23" s="1462">
        <f>+'40b4'!B23</f>
        <v>0</v>
      </c>
      <c r="C23" s="1463">
        <f>+'40b4'!C23</f>
        <v>0</v>
      </c>
      <c r="D23" s="1449">
        <f>+'40b4'!D23</f>
        <v>0</v>
      </c>
      <c r="E23" s="1450"/>
      <c r="F23" s="1450"/>
      <c r="G23" s="1450"/>
      <c r="H23" s="1450"/>
      <c r="I23" s="1450"/>
      <c r="J23" s="1450"/>
      <c r="K23" s="1452"/>
      <c r="N23" s="29"/>
    </row>
    <row r="24" spans="2:14" ht="20.100000000000001" customHeight="1" x14ac:dyDescent="0.2">
      <c r="B24" s="1462">
        <f>+'40b4'!B24</f>
        <v>0</v>
      </c>
      <c r="C24" s="1463">
        <f>+'40b4'!C24</f>
        <v>0</v>
      </c>
      <c r="D24" s="1449">
        <f>+'40b4'!D24</f>
        <v>0</v>
      </c>
      <c r="E24" s="1450"/>
      <c r="F24" s="1450"/>
      <c r="G24" s="1450"/>
      <c r="H24" s="1450"/>
      <c r="I24" s="1450"/>
      <c r="J24" s="1450"/>
      <c r="K24" s="1452"/>
      <c r="N24" s="29"/>
    </row>
    <row r="25" spans="2:14" ht="20.100000000000001" customHeight="1" x14ac:dyDescent="0.2">
      <c r="B25" s="1462">
        <f>+'40b4'!B25</f>
        <v>0</v>
      </c>
      <c r="C25" s="1463">
        <f>+'40b4'!C25</f>
        <v>0</v>
      </c>
      <c r="D25" s="1449">
        <f>+'40b4'!D25</f>
        <v>0</v>
      </c>
      <c r="E25" s="1450"/>
      <c r="F25" s="1450"/>
      <c r="G25" s="1450"/>
      <c r="H25" s="1450"/>
      <c r="I25" s="1450"/>
      <c r="J25" s="1450"/>
      <c r="K25" s="1452"/>
      <c r="N25" s="29"/>
    </row>
    <row r="26" spans="2:14" ht="20.100000000000001" customHeight="1" x14ac:dyDescent="0.2">
      <c r="B26" s="1462">
        <f>+'40b4'!B26</f>
        <v>0</v>
      </c>
      <c r="C26" s="1463">
        <f>+'40b4'!C26</f>
        <v>0</v>
      </c>
      <c r="D26" s="1449">
        <f>+'40b4'!D26</f>
        <v>0</v>
      </c>
      <c r="E26" s="1450"/>
      <c r="F26" s="1450"/>
      <c r="G26" s="1450"/>
      <c r="H26" s="1450"/>
      <c r="I26" s="1450"/>
      <c r="J26" s="1450"/>
      <c r="K26" s="1452"/>
      <c r="N26" s="29"/>
    </row>
    <row r="27" spans="2:14" ht="20.100000000000001" customHeight="1" x14ac:dyDescent="0.2">
      <c r="B27" s="1462">
        <f>+'40b4'!B27</f>
        <v>0</v>
      </c>
      <c r="C27" s="1463">
        <f>+'40b4'!C27</f>
        <v>0</v>
      </c>
      <c r="D27" s="1449">
        <f>+'40b4'!D27</f>
        <v>0</v>
      </c>
      <c r="E27" s="1450"/>
      <c r="F27" s="1450"/>
      <c r="G27" s="1450"/>
      <c r="H27" s="1450"/>
      <c r="I27" s="1450"/>
      <c r="J27" s="1450"/>
      <c r="K27" s="1452"/>
      <c r="N27" s="29"/>
    </row>
    <row r="28" spans="2:14" ht="20.100000000000001" customHeight="1" x14ac:dyDescent="0.2">
      <c r="B28" s="1462">
        <f>+'40b4'!B28</f>
        <v>0</v>
      </c>
      <c r="C28" s="1463">
        <f>+'40b4'!C28</f>
        <v>0</v>
      </c>
      <c r="D28" s="1449">
        <f>+'40b4'!D28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3324</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fxlLLyfiePqBLemdmN40k1nVroIIbv92BQEcdqW7yC+Xyi5Czmoa+fUKgT2Jzg5iYXOsVolm7w7mC/EZHsfLyA==" saltValue="GtRnAdu1uhNt+XSipR3qcw=="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sheetPr codeName="Sheet149"/>
  <dimension ref="B2:N39"/>
  <sheetViews>
    <sheetView showZeros="0" zoomScaleNormal="100" workbookViewId="0">
      <selection activeCell="I12" sqref="I12"/>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+'40b5'!B11</f>
        <v>0</v>
      </c>
      <c r="C11" s="1461">
        <f>+'40b5'!C11</f>
        <v>0</v>
      </c>
      <c r="D11" s="1445">
        <f>+'40b5'!D11</f>
        <v>0</v>
      </c>
      <c r="E11" s="1446"/>
      <c r="F11" s="1446"/>
      <c r="G11" s="1446"/>
      <c r="H11" s="1446"/>
      <c r="I11" s="1446"/>
      <c r="J11" s="1446"/>
      <c r="K11" s="1448"/>
      <c r="N11" s="29"/>
    </row>
    <row r="12" spans="2:14" ht="20.100000000000001" customHeight="1" x14ac:dyDescent="0.2">
      <c r="B12" s="1462">
        <f>+'40b5'!B12</f>
        <v>0</v>
      </c>
      <c r="C12" s="1463">
        <f>+'40b5'!C12</f>
        <v>0</v>
      </c>
      <c r="D12" s="1449">
        <f>+'40b5'!D12</f>
        <v>0</v>
      </c>
      <c r="E12" s="1450"/>
      <c r="F12" s="1450"/>
      <c r="G12" s="1450"/>
      <c r="H12" s="1450"/>
      <c r="I12" s="1450"/>
      <c r="J12" s="1450"/>
      <c r="K12" s="1452"/>
      <c r="N12" s="29"/>
    </row>
    <row r="13" spans="2:14" ht="20.100000000000001" customHeight="1" x14ac:dyDescent="0.2">
      <c r="B13" s="1462">
        <f>+'40b5'!B13</f>
        <v>0</v>
      </c>
      <c r="C13" s="1463">
        <f>+'40b5'!C13</f>
        <v>0</v>
      </c>
      <c r="D13" s="1449">
        <f>+'40b5'!D13</f>
        <v>0</v>
      </c>
      <c r="E13" s="1450"/>
      <c r="F13" s="1450"/>
      <c r="G13" s="1450"/>
      <c r="H13" s="1450"/>
      <c r="I13" s="1450"/>
      <c r="J13" s="1450"/>
      <c r="K13" s="1452"/>
      <c r="N13" s="29"/>
    </row>
    <row r="14" spans="2:14" ht="20.100000000000001" customHeight="1" x14ac:dyDescent="0.2">
      <c r="B14" s="1462">
        <f>+'40b5'!B14</f>
        <v>0</v>
      </c>
      <c r="C14" s="1463">
        <f>+'40b5'!C14</f>
        <v>0</v>
      </c>
      <c r="D14" s="1449">
        <f>+'40b5'!D14</f>
        <v>0</v>
      </c>
      <c r="E14" s="1450"/>
      <c r="F14" s="1450"/>
      <c r="G14" s="1450"/>
      <c r="H14" s="1450"/>
      <c r="I14" s="1450"/>
      <c r="J14" s="1450"/>
      <c r="K14" s="1452"/>
      <c r="N14" s="29"/>
    </row>
    <row r="15" spans="2:14" ht="20.100000000000001" customHeight="1" x14ac:dyDescent="0.2">
      <c r="B15" s="1462">
        <f>+'40b5'!B15</f>
        <v>0</v>
      </c>
      <c r="C15" s="1463">
        <f>+'40b5'!C15</f>
        <v>0</v>
      </c>
      <c r="D15" s="1449">
        <f>+'40b5'!D15</f>
        <v>0</v>
      </c>
      <c r="E15" s="1450"/>
      <c r="F15" s="1450"/>
      <c r="G15" s="1450"/>
      <c r="H15" s="1450"/>
      <c r="I15" s="1450"/>
      <c r="J15" s="1450"/>
      <c r="K15" s="1452"/>
      <c r="N15" s="29"/>
    </row>
    <row r="16" spans="2:14" ht="20.100000000000001" customHeight="1" x14ac:dyDescent="0.2">
      <c r="B16" s="1462">
        <f>+'40b5'!B16</f>
        <v>0</v>
      </c>
      <c r="C16" s="1463">
        <f>+'40b5'!C16</f>
        <v>0</v>
      </c>
      <c r="D16" s="1449">
        <f>+'40b5'!D16</f>
        <v>0</v>
      </c>
      <c r="E16" s="1450"/>
      <c r="F16" s="1450"/>
      <c r="G16" s="1450"/>
      <c r="H16" s="1450"/>
      <c r="I16" s="1450"/>
      <c r="J16" s="1450"/>
      <c r="K16" s="1452"/>
      <c r="N16" s="29"/>
    </row>
    <row r="17" spans="2:14" ht="20.100000000000001" customHeight="1" x14ac:dyDescent="0.2">
      <c r="B17" s="1462">
        <f>+'40b5'!B17</f>
        <v>0</v>
      </c>
      <c r="C17" s="1463">
        <f>+'40b5'!C17</f>
        <v>0</v>
      </c>
      <c r="D17" s="1449">
        <f>+'40b5'!D17</f>
        <v>0</v>
      </c>
      <c r="E17" s="1450"/>
      <c r="F17" s="1450"/>
      <c r="G17" s="1450"/>
      <c r="H17" s="1450"/>
      <c r="I17" s="1450"/>
      <c r="J17" s="1450"/>
      <c r="K17" s="1452"/>
      <c r="N17" s="29"/>
    </row>
    <row r="18" spans="2:14" ht="20.100000000000001" customHeight="1" x14ac:dyDescent="0.2">
      <c r="B18" s="1462">
        <f>+'40b5'!B18</f>
        <v>0</v>
      </c>
      <c r="C18" s="1463">
        <f>+'40b5'!C18</f>
        <v>0</v>
      </c>
      <c r="D18" s="1449">
        <f>+'40b5'!D18</f>
        <v>0</v>
      </c>
      <c r="E18" s="1450"/>
      <c r="F18" s="1450"/>
      <c r="G18" s="1450"/>
      <c r="H18" s="1450"/>
      <c r="I18" s="1450"/>
      <c r="J18" s="1450"/>
      <c r="K18" s="1452"/>
      <c r="N18" s="29"/>
    </row>
    <row r="19" spans="2:14" ht="20.100000000000001" customHeight="1" x14ac:dyDescent="0.2">
      <c r="B19" s="1462">
        <f>+'40b5'!B19</f>
        <v>0</v>
      </c>
      <c r="C19" s="1463">
        <f>+'40b5'!C19</f>
        <v>0</v>
      </c>
      <c r="D19" s="1449">
        <f>+'40b5'!D19</f>
        <v>0</v>
      </c>
      <c r="E19" s="1450"/>
      <c r="F19" s="1450"/>
      <c r="G19" s="1450"/>
      <c r="H19" s="1450"/>
      <c r="I19" s="1450"/>
      <c r="J19" s="1450"/>
      <c r="K19" s="1452"/>
      <c r="N19" s="29"/>
    </row>
    <row r="20" spans="2:14" ht="20.100000000000001" customHeight="1" x14ac:dyDescent="0.2">
      <c r="B20" s="1462">
        <f>+'40b5'!B20</f>
        <v>0</v>
      </c>
      <c r="C20" s="1463">
        <f>+'40b5'!C20</f>
        <v>0</v>
      </c>
      <c r="D20" s="1449">
        <f>+'40b5'!D20</f>
        <v>0</v>
      </c>
      <c r="E20" s="1450"/>
      <c r="F20" s="1450"/>
      <c r="G20" s="1450"/>
      <c r="H20" s="1450"/>
      <c r="I20" s="1450"/>
      <c r="J20" s="1450"/>
      <c r="K20" s="1452"/>
      <c r="N20" s="29"/>
    </row>
    <row r="21" spans="2:14" ht="20.100000000000001" customHeight="1" x14ac:dyDescent="0.2">
      <c r="B21" s="1462">
        <f>+'40b5'!B21</f>
        <v>0</v>
      </c>
      <c r="C21" s="1463">
        <f>+'40b5'!C21</f>
        <v>0</v>
      </c>
      <c r="D21" s="1449">
        <f>+'40b5'!D21</f>
        <v>0</v>
      </c>
      <c r="E21" s="1450"/>
      <c r="F21" s="1450"/>
      <c r="G21" s="1450"/>
      <c r="H21" s="1450"/>
      <c r="I21" s="1450"/>
      <c r="J21" s="1450"/>
      <c r="K21" s="1452"/>
      <c r="N21" s="29"/>
    </row>
    <row r="22" spans="2:14" ht="20.100000000000001" customHeight="1" x14ac:dyDescent="0.2">
      <c r="B22" s="1462">
        <f>+'40b5'!B22</f>
        <v>0</v>
      </c>
      <c r="C22" s="1463">
        <f>+'40b5'!C22</f>
        <v>0</v>
      </c>
      <c r="D22" s="1449">
        <f>+'40b5'!D22</f>
        <v>0</v>
      </c>
      <c r="E22" s="1450"/>
      <c r="F22" s="1450"/>
      <c r="G22" s="1450"/>
      <c r="H22" s="1450"/>
      <c r="I22" s="1450"/>
      <c r="J22" s="1450"/>
      <c r="K22" s="1452"/>
      <c r="N22" s="29"/>
    </row>
    <row r="23" spans="2:14" ht="20.100000000000001" customHeight="1" x14ac:dyDescent="0.2">
      <c r="B23" s="1462">
        <f>+'40b5'!B23</f>
        <v>0</v>
      </c>
      <c r="C23" s="1463">
        <f>+'40b5'!C23</f>
        <v>0</v>
      </c>
      <c r="D23" s="1449">
        <f>+'40b5'!D23</f>
        <v>0</v>
      </c>
      <c r="E23" s="1450"/>
      <c r="F23" s="1450"/>
      <c r="G23" s="1450"/>
      <c r="H23" s="1450"/>
      <c r="I23" s="1450"/>
      <c r="J23" s="1450"/>
      <c r="K23" s="1452"/>
      <c r="N23" s="29"/>
    </row>
    <row r="24" spans="2:14" ht="20.100000000000001" customHeight="1" x14ac:dyDescent="0.2">
      <c r="B24" s="1462">
        <f>+'40b5'!B24</f>
        <v>0</v>
      </c>
      <c r="C24" s="1463">
        <f>+'40b5'!C24</f>
        <v>0</v>
      </c>
      <c r="D24" s="1449">
        <f>+'40b5'!D24</f>
        <v>0</v>
      </c>
      <c r="E24" s="1450"/>
      <c r="F24" s="1450"/>
      <c r="G24" s="1450"/>
      <c r="H24" s="1450"/>
      <c r="I24" s="1450"/>
      <c r="J24" s="1450"/>
      <c r="K24" s="1452"/>
      <c r="N24" s="29"/>
    </row>
    <row r="25" spans="2:14" ht="20.100000000000001" customHeight="1" x14ac:dyDescent="0.2">
      <c r="B25" s="1462">
        <f>+'40b5'!B25</f>
        <v>0</v>
      </c>
      <c r="C25" s="1463">
        <f>+'40b5'!C25</f>
        <v>0</v>
      </c>
      <c r="D25" s="1449">
        <f>+'40b5'!D25</f>
        <v>0</v>
      </c>
      <c r="E25" s="1450"/>
      <c r="F25" s="1450"/>
      <c r="G25" s="1450"/>
      <c r="H25" s="1450"/>
      <c r="I25" s="1450"/>
      <c r="J25" s="1450"/>
      <c r="K25" s="1452"/>
      <c r="N25" s="29"/>
    </row>
    <row r="26" spans="2:14" ht="20.100000000000001" customHeight="1" x14ac:dyDescent="0.2">
      <c r="B26" s="1462">
        <f>+'40b5'!B26</f>
        <v>0</v>
      </c>
      <c r="C26" s="1463">
        <f>+'40b5'!C26</f>
        <v>0</v>
      </c>
      <c r="D26" s="1449">
        <f>+'40b5'!D26</f>
        <v>0</v>
      </c>
      <c r="E26" s="1450"/>
      <c r="F26" s="1450"/>
      <c r="G26" s="1450"/>
      <c r="H26" s="1450"/>
      <c r="I26" s="1450"/>
      <c r="J26" s="1450"/>
      <c r="K26" s="1452"/>
      <c r="N26" s="29"/>
    </row>
    <row r="27" spans="2:14" ht="20.100000000000001" customHeight="1" x14ac:dyDescent="0.2">
      <c r="B27" s="1462">
        <f>+'40b5'!B27</f>
        <v>0</v>
      </c>
      <c r="C27" s="1463">
        <f>+'40b5'!C27</f>
        <v>0</v>
      </c>
      <c r="D27" s="1449">
        <f>+'40b5'!D27</f>
        <v>0</v>
      </c>
      <c r="E27" s="1450"/>
      <c r="F27" s="1450"/>
      <c r="G27" s="1450"/>
      <c r="H27" s="1450"/>
      <c r="I27" s="1450"/>
      <c r="J27" s="1450"/>
      <c r="K27" s="1452"/>
      <c r="N27" s="29"/>
    </row>
    <row r="28" spans="2:14" ht="20.100000000000001" customHeight="1" x14ac:dyDescent="0.2">
      <c r="B28" s="1462">
        <f>+'40b5'!B28</f>
        <v>0</v>
      </c>
      <c r="C28" s="1463">
        <f>+'40b5'!C28</f>
        <v>0</v>
      </c>
      <c r="D28" s="1449">
        <f>+'40b5'!D28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3325</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hqEjV8WHbLj7748+EKojdAJt4IlZFmre3tBruMzTWfkQ+wNOND+xNkUSDq8MGCG6p79OqP9S+6VfBHpwIe39lw==" saltValue="4eVlI0+HfWFLD+2tidn+EQ=="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sheetPr codeName="Sheet150"/>
  <dimension ref="B2:N39"/>
  <sheetViews>
    <sheetView showZeros="0" zoomScaleNormal="100" workbookViewId="0">
      <selection activeCell="B24" sqref="B24"/>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+'40b6'!B11</f>
        <v>0</v>
      </c>
      <c r="C11" s="1461">
        <f>+'40b6'!C11</f>
        <v>0</v>
      </c>
      <c r="D11" s="1445">
        <f>+'40b6'!D11</f>
        <v>0</v>
      </c>
      <c r="E11" s="1446"/>
      <c r="F11" s="1446"/>
      <c r="G11" s="1446"/>
      <c r="H11" s="1446"/>
      <c r="I11" s="1446"/>
      <c r="J11" s="1446"/>
      <c r="K11" s="1448"/>
      <c r="N11" s="29"/>
    </row>
    <row r="12" spans="2:14" ht="20.100000000000001" customHeight="1" x14ac:dyDescent="0.2">
      <c r="B12" s="1462">
        <f>+'40b6'!B12</f>
        <v>0</v>
      </c>
      <c r="C12" s="1463">
        <f>+'40b6'!C12</f>
        <v>0</v>
      </c>
      <c r="D12" s="1449">
        <f>+'40b6'!D12</f>
        <v>0</v>
      </c>
      <c r="E12" s="1450"/>
      <c r="F12" s="1450"/>
      <c r="G12" s="1450"/>
      <c r="H12" s="1450"/>
      <c r="I12" s="1450"/>
      <c r="J12" s="1450"/>
      <c r="K12" s="1452"/>
      <c r="N12" s="29"/>
    </row>
    <row r="13" spans="2:14" ht="20.100000000000001" customHeight="1" x14ac:dyDescent="0.2">
      <c r="B13" s="1462">
        <f>+'40b6'!B13</f>
        <v>0</v>
      </c>
      <c r="C13" s="1463">
        <f>+'40b6'!C13</f>
        <v>0</v>
      </c>
      <c r="D13" s="1449">
        <f>+'40b6'!D13</f>
        <v>0</v>
      </c>
      <c r="E13" s="1450"/>
      <c r="F13" s="1450"/>
      <c r="G13" s="1450"/>
      <c r="H13" s="1450"/>
      <c r="I13" s="1450"/>
      <c r="J13" s="1450"/>
      <c r="K13" s="1452"/>
      <c r="N13" s="29"/>
    </row>
    <row r="14" spans="2:14" ht="20.100000000000001" customHeight="1" x14ac:dyDescent="0.2">
      <c r="B14" s="1462">
        <f>+'40b6'!B14</f>
        <v>0</v>
      </c>
      <c r="C14" s="1463">
        <f>+'40b6'!C14</f>
        <v>0</v>
      </c>
      <c r="D14" s="1449">
        <f>+'40b6'!D14</f>
        <v>0</v>
      </c>
      <c r="E14" s="1450"/>
      <c r="F14" s="1450"/>
      <c r="G14" s="1450"/>
      <c r="H14" s="1450"/>
      <c r="I14" s="1450"/>
      <c r="J14" s="1450"/>
      <c r="K14" s="1452"/>
      <c r="N14" s="29"/>
    </row>
    <row r="15" spans="2:14" ht="20.100000000000001" customHeight="1" x14ac:dyDescent="0.2">
      <c r="B15" s="1462">
        <f>+'40b6'!B15</f>
        <v>0</v>
      </c>
      <c r="C15" s="1463">
        <f>+'40b6'!C15</f>
        <v>0</v>
      </c>
      <c r="D15" s="1449">
        <f>+'40b6'!D15</f>
        <v>0</v>
      </c>
      <c r="E15" s="1450"/>
      <c r="F15" s="1450"/>
      <c r="G15" s="1450"/>
      <c r="H15" s="1450"/>
      <c r="I15" s="1450"/>
      <c r="J15" s="1450"/>
      <c r="K15" s="1452"/>
      <c r="N15" s="29"/>
    </row>
    <row r="16" spans="2:14" ht="20.100000000000001" customHeight="1" x14ac:dyDescent="0.2">
      <c r="B16" s="1462">
        <f>+'40b6'!B16</f>
        <v>0</v>
      </c>
      <c r="C16" s="1463">
        <f>+'40b6'!C16</f>
        <v>0</v>
      </c>
      <c r="D16" s="1449">
        <f>+'40b6'!D16</f>
        <v>0</v>
      </c>
      <c r="E16" s="1450"/>
      <c r="F16" s="1450"/>
      <c r="G16" s="1450"/>
      <c r="H16" s="1450"/>
      <c r="I16" s="1450"/>
      <c r="J16" s="1450"/>
      <c r="K16" s="1452"/>
      <c r="N16" s="29"/>
    </row>
    <row r="17" spans="2:14" ht="20.100000000000001" customHeight="1" x14ac:dyDescent="0.2">
      <c r="B17" s="1462">
        <f>+'40b6'!B17</f>
        <v>0</v>
      </c>
      <c r="C17" s="1463">
        <f>+'40b6'!C17</f>
        <v>0</v>
      </c>
      <c r="D17" s="1449">
        <f>+'40b6'!D17</f>
        <v>0</v>
      </c>
      <c r="E17" s="1450"/>
      <c r="F17" s="1450"/>
      <c r="G17" s="1450"/>
      <c r="H17" s="1450"/>
      <c r="I17" s="1450"/>
      <c r="J17" s="1450"/>
      <c r="K17" s="1452"/>
      <c r="N17" s="29"/>
    </row>
    <row r="18" spans="2:14" ht="20.100000000000001" customHeight="1" x14ac:dyDescent="0.2">
      <c r="B18" s="1462">
        <f>+'40b6'!B18</f>
        <v>0</v>
      </c>
      <c r="C18" s="1463">
        <f>+'40b6'!C18</f>
        <v>0</v>
      </c>
      <c r="D18" s="1449">
        <f>+'40b6'!D18</f>
        <v>0</v>
      </c>
      <c r="E18" s="1450"/>
      <c r="F18" s="1450"/>
      <c r="G18" s="1450"/>
      <c r="H18" s="1450"/>
      <c r="I18" s="1450"/>
      <c r="J18" s="1450"/>
      <c r="K18" s="1452"/>
      <c r="N18" s="29"/>
    </row>
    <row r="19" spans="2:14" ht="20.100000000000001" customHeight="1" x14ac:dyDescent="0.2">
      <c r="B19" s="1462">
        <f>+'40b6'!B19</f>
        <v>0</v>
      </c>
      <c r="C19" s="1463">
        <f>+'40b6'!C19</f>
        <v>0</v>
      </c>
      <c r="D19" s="1449">
        <f>+'40b6'!D19</f>
        <v>0</v>
      </c>
      <c r="E19" s="1450"/>
      <c r="F19" s="1450"/>
      <c r="G19" s="1450"/>
      <c r="H19" s="1450"/>
      <c r="I19" s="1450"/>
      <c r="J19" s="1450"/>
      <c r="K19" s="1452"/>
      <c r="N19" s="29"/>
    </row>
    <row r="20" spans="2:14" ht="20.100000000000001" customHeight="1" x14ac:dyDescent="0.2">
      <c r="B20" s="1462">
        <f>+'40b6'!B20</f>
        <v>0</v>
      </c>
      <c r="C20" s="1463">
        <f>+'40b6'!C20</f>
        <v>0</v>
      </c>
      <c r="D20" s="1449">
        <f>+'40b6'!D20</f>
        <v>0</v>
      </c>
      <c r="E20" s="1450"/>
      <c r="F20" s="1450"/>
      <c r="G20" s="1450"/>
      <c r="H20" s="1450"/>
      <c r="I20" s="1450"/>
      <c r="J20" s="1450"/>
      <c r="K20" s="1452"/>
      <c r="N20" s="29"/>
    </row>
    <row r="21" spans="2:14" ht="20.100000000000001" customHeight="1" x14ac:dyDescent="0.2">
      <c r="B21" s="1462">
        <f>+'40b6'!B21</f>
        <v>0</v>
      </c>
      <c r="C21" s="1463">
        <f>+'40b6'!C21</f>
        <v>0</v>
      </c>
      <c r="D21" s="1449">
        <f>+'40b6'!D21</f>
        <v>0</v>
      </c>
      <c r="E21" s="1450"/>
      <c r="F21" s="1450"/>
      <c r="G21" s="1450"/>
      <c r="H21" s="1450"/>
      <c r="I21" s="1450"/>
      <c r="J21" s="1450"/>
      <c r="K21" s="1452"/>
      <c r="N21" s="29"/>
    </row>
    <row r="22" spans="2:14" ht="20.100000000000001" customHeight="1" x14ac:dyDescent="0.2">
      <c r="B22" s="1462">
        <f>+'40b6'!B22</f>
        <v>0</v>
      </c>
      <c r="C22" s="1463">
        <f>+'40b6'!C22</f>
        <v>0</v>
      </c>
      <c r="D22" s="1449">
        <f>+'40b6'!D22</f>
        <v>0</v>
      </c>
      <c r="E22" s="1450"/>
      <c r="F22" s="1450"/>
      <c r="G22" s="1450"/>
      <c r="H22" s="1450"/>
      <c r="I22" s="1450"/>
      <c r="J22" s="1450"/>
      <c r="K22" s="1452"/>
      <c r="N22" s="29"/>
    </row>
    <row r="23" spans="2:14" ht="20.100000000000001" customHeight="1" x14ac:dyDescent="0.2">
      <c r="B23" s="1462">
        <f>+'40b6'!B23</f>
        <v>0</v>
      </c>
      <c r="C23" s="1463">
        <f>+'40b6'!C23</f>
        <v>0</v>
      </c>
      <c r="D23" s="1449">
        <f>+'40b6'!D23</f>
        <v>0</v>
      </c>
      <c r="E23" s="1450"/>
      <c r="F23" s="1450"/>
      <c r="G23" s="1450"/>
      <c r="H23" s="1450"/>
      <c r="I23" s="1450"/>
      <c r="J23" s="1450"/>
      <c r="K23" s="1452"/>
      <c r="N23" s="29"/>
    </row>
    <row r="24" spans="2:14" ht="20.100000000000001" customHeight="1" x14ac:dyDescent="0.2">
      <c r="B24" s="1462">
        <f>+'40b6'!B24</f>
        <v>0</v>
      </c>
      <c r="C24" s="1463">
        <f>+'40b6'!C24</f>
        <v>0</v>
      </c>
      <c r="D24" s="1449">
        <f>+'40b6'!D24</f>
        <v>0</v>
      </c>
      <c r="E24" s="1450"/>
      <c r="F24" s="1450"/>
      <c r="G24" s="1450"/>
      <c r="H24" s="1450"/>
      <c r="I24" s="1450"/>
      <c r="J24" s="1450"/>
      <c r="K24" s="1452"/>
      <c r="N24" s="29"/>
    </row>
    <row r="25" spans="2:14" ht="20.100000000000001" customHeight="1" x14ac:dyDescent="0.2">
      <c r="B25" s="1462">
        <f>+'40b6'!B25</f>
        <v>0</v>
      </c>
      <c r="C25" s="1463">
        <f>+'40b6'!C25</f>
        <v>0</v>
      </c>
      <c r="D25" s="1449">
        <f>+'40b6'!D25</f>
        <v>0</v>
      </c>
      <c r="E25" s="1450"/>
      <c r="F25" s="1450"/>
      <c r="G25" s="1450"/>
      <c r="H25" s="1450"/>
      <c r="I25" s="1450"/>
      <c r="J25" s="1450"/>
      <c r="K25" s="1452"/>
      <c r="N25" s="29"/>
    </row>
    <row r="26" spans="2:14" ht="20.100000000000001" customHeight="1" x14ac:dyDescent="0.2">
      <c r="B26" s="1462">
        <f>+'40b6'!B26</f>
        <v>0</v>
      </c>
      <c r="C26" s="1463">
        <f>+'40b6'!C26</f>
        <v>0</v>
      </c>
      <c r="D26" s="1449">
        <f>+'40b6'!D26</f>
        <v>0</v>
      </c>
      <c r="E26" s="1450"/>
      <c r="F26" s="1450"/>
      <c r="G26" s="1450"/>
      <c r="H26" s="1450"/>
      <c r="I26" s="1450"/>
      <c r="J26" s="1450"/>
      <c r="K26" s="1452"/>
      <c r="N26" s="29"/>
    </row>
    <row r="27" spans="2:14" ht="20.100000000000001" customHeight="1" x14ac:dyDescent="0.2">
      <c r="B27" s="1462">
        <f>+'40b6'!B27</f>
        <v>0</v>
      </c>
      <c r="C27" s="1463">
        <f>+'40b6'!C27</f>
        <v>0</v>
      </c>
      <c r="D27" s="1449">
        <f>+'40b6'!D27</f>
        <v>0</v>
      </c>
      <c r="E27" s="1450"/>
      <c r="F27" s="1450"/>
      <c r="G27" s="1450"/>
      <c r="H27" s="1450"/>
      <c r="I27" s="1450"/>
      <c r="J27" s="1450"/>
      <c r="K27" s="1452"/>
      <c r="N27" s="29"/>
    </row>
    <row r="28" spans="2:14" ht="20.100000000000001" customHeight="1" x14ac:dyDescent="0.2">
      <c r="B28" s="1462">
        <f>+'40b6'!B28</f>
        <v>0</v>
      </c>
      <c r="C28" s="1463">
        <f>+'40b6'!C28</f>
        <v>0</v>
      </c>
      <c r="D28" s="1449">
        <f>+'40b6'!D28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3326</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COgO2tZ4EqOijF0gYMArw3G0ggfKLA/mC4BjUy6iQWyrsHPNzKT+H2KkMVR+6K9mjxOMlrvnzTlaUvxydgqj/A==" saltValue="+x17NSSQZai4lQMXdQtNwg=="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sheetPr codeName="Sheet151"/>
  <dimension ref="B2:N39"/>
  <sheetViews>
    <sheetView showZeros="0" zoomScaleNormal="100" workbookViewId="0">
      <selection activeCell="I10" sqref="I10"/>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+'40b7'!B11</f>
        <v>0</v>
      </c>
      <c r="C11" s="1461">
        <f>+'40b7'!C11</f>
        <v>0</v>
      </c>
      <c r="D11" s="1445">
        <f>+'40b7'!D11</f>
        <v>0</v>
      </c>
      <c r="E11" s="1446"/>
      <c r="F11" s="1446"/>
      <c r="G11" s="1446"/>
      <c r="H11" s="1446"/>
      <c r="I11" s="1446"/>
      <c r="J11" s="1446"/>
      <c r="K11" s="1448"/>
      <c r="N11" s="29"/>
    </row>
    <row r="12" spans="2:14" ht="20.100000000000001" customHeight="1" x14ac:dyDescent="0.2">
      <c r="B12" s="1462">
        <f>+'40b7'!B12</f>
        <v>0</v>
      </c>
      <c r="C12" s="1463">
        <f>+'40b7'!C12</f>
        <v>0</v>
      </c>
      <c r="D12" s="1449">
        <f>+'40b7'!D12</f>
        <v>0</v>
      </c>
      <c r="E12" s="1450"/>
      <c r="F12" s="1450"/>
      <c r="G12" s="1450"/>
      <c r="H12" s="1450"/>
      <c r="I12" s="1450"/>
      <c r="J12" s="1450"/>
      <c r="K12" s="1452"/>
      <c r="N12" s="29"/>
    </row>
    <row r="13" spans="2:14" ht="20.100000000000001" customHeight="1" x14ac:dyDescent="0.2">
      <c r="B13" s="1462">
        <f>+'40b7'!B13</f>
        <v>0</v>
      </c>
      <c r="C13" s="1463">
        <f>+'40b7'!C13</f>
        <v>0</v>
      </c>
      <c r="D13" s="1449">
        <f>+'40b7'!D13</f>
        <v>0</v>
      </c>
      <c r="E13" s="1450"/>
      <c r="F13" s="1450"/>
      <c r="G13" s="1450"/>
      <c r="H13" s="1450"/>
      <c r="I13" s="1450"/>
      <c r="J13" s="1450"/>
      <c r="K13" s="1452"/>
      <c r="N13" s="29"/>
    </row>
    <row r="14" spans="2:14" ht="20.100000000000001" customHeight="1" x14ac:dyDescent="0.2">
      <c r="B14" s="1462">
        <f>+'40b7'!B14</f>
        <v>0</v>
      </c>
      <c r="C14" s="1463">
        <f>+'40b7'!C14</f>
        <v>0</v>
      </c>
      <c r="D14" s="1449">
        <f>+'40b7'!D14</f>
        <v>0</v>
      </c>
      <c r="E14" s="1450"/>
      <c r="F14" s="1450"/>
      <c r="G14" s="1450"/>
      <c r="H14" s="1450"/>
      <c r="I14" s="1450"/>
      <c r="J14" s="1450"/>
      <c r="K14" s="1452"/>
      <c r="N14" s="29"/>
    </row>
    <row r="15" spans="2:14" ht="20.100000000000001" customHeight="1" x14ac:dyDescent="0.2">
      <c r="B15" s="1462">
        <f>+'40b7'!B15</f>
        <v>0</v>
      </c>
      <c r="C15" s="1463">
        <f>+'40b7'!C15</f>
        <v>0</v>
      </c>
      <c r="D15" s="1449">
        <f>+'40b7'!D15</f>
        <v>0</v>
      </c>
      <c r="E15" s="1450"/>
      <c r="F15" s="1450"/>
      <c r="G15" s="1450"/>
      <c r="H15" s="1450"/>
      <c r="I15" s="1450"/>
      <c r="J15" s="1450"/>
      <c r="K15" s="1452"/>
      <c r="N15" s="29"/>
    </row>
    <row r="16" spans="2:14" ht="20.100000000000001" customHeight="1" x14ac:dyDescent="0.2">
      <c r="B16" s="1462">
        <f>+'40b7'!B16</f>
        <v>0</v>
      </c>
      <c r="C16" s="1463">
        <f>+'40b7'!C16</f>
        <v>0</v>
      </c>
      <c r="D16" s="1449">
        <f>+'40b7'!D16</f>
        <v>0</v>
      </c>
      <c r="E16" s="1450"/>
      <c r="F16" s="1450"/>
      <c r="G16" s="1450"/>
      <c r="H16" s="1450"/>
      <c r="I16" s="1450"/>
      <c r="J16" s="1450"/>
      <c r="K16" s="1452"/>
      <c r="N16" s="29"/>
    </row>
    <row r="17" spans="2:14" ht="20.100000000000001" customHeight="1" x14ac:dyDescent="0.2">
      <c r="B17" s="1462">
        <f>+'40b7'!B17</f>
        <v>0</v>
      </c>
      <c r="C17" s="1463">
        <f>+'40b7'!C17</f>
        <v>0</v>
      </c>
      <c r="D17" s="1449">
        <f>+'40b7'!D17</f>
        <v>0</v>
      </c>
      <c r="E17" s="1450"/>
      <c r="F17" s="1450"/>
      <c r="G17" s="1450"/>
      <c r="H17" s="1450"/>
      <c r="I17" s="1450"/>
      <c r="J17" s="1450"/>
      <c r="K17" s="1452"/>
      <c r="N17" s="29"/>
    </row>
    <row r="18" spans="2:14" ht="20.100000000000001" customHeight="1" x14ac:dyDescent="0.2">
      <c r="B18" s="1462">
        <f>+'40b7'!B18</f>
        <v>0</v>
      </c>
      <c r="C18" s="1463">
        <f>+'40b7'!C18</f>
        <v>0</v>
      </c>
      <c r="D18" s="1449">
        <f>+'40b7'!D18</f>
        <v>0</v>
      </c>
      <c r="E18" s="1450"/>
      <c r="F18" s="1450"/>
      <c r="G18" s="1450"/>
      <c r="H18" s="1450"/>
      <c r="I18" s="1450"/>
      <c r="J18" s="1450"/>
      <c r="K18" s="1452"/>
      <c r="N18" s="29"/>
    </row>
    <row r="19" spans="2:14" ht="20.100000000000001" customHeight="1" x14ac:dyDescent="0.2">
      <c r="B19" s="1462">
        <f>+'40b7'!B19</f>
        <v>0</v>
      </c>
      <c r="C19" s="1463">
        <f>+'40b7'!C19</f>
        <v>0</v>
      </c>
      <c r="D19" s="1449">
        <f>+'40b7'!D19</f>
        <v>0</v>
      </c>
      <c r="E19" s="1450"/>
      <c r="F19" s="1450"/>
      <c r="G19" s="1450"/>
      <c r="H19" s="1450"/>
      <c r="I19" s="1450"/>
      <c r="J19" s="1450"/>
      <c r="K19" s="1452"/>
      <c r="N19" s="29"/>
    </row>
    <row r="20" spans="2:14" ht="20.100000000000001" customHeight="1" x14ac:dyDescent="0.2">
      <c r="B20" s="1462">
        <f>+'40b7'!B20</f>
        <v>0</v>
      </c>
      <c r="C20" s="1463">
        <f>+'40b7'!C20</f>
        <v>0</v>
      </c>
      <c r="D20" s="1449">
        <f>+'40b7'!D20</f>
        <v>0</v>
      </c>
      <c r="E20" s="1450"/>
      <c r="F20" s="1450"/>
      <c r="G20" s="1450"/>
      <c r="H20" s="1450"/>
      <c r="I20" s="1450"/>
      <c r="J20" s="1450"/>
      <c r="K20" s="1452"/>
      <c r="N20" s="29"/>
    </row>
    <row r="21" spans="2:14" ht="20.100000000000001" customHeight="1" x14ac:dyDescent="0.2">
      <c r="B21" s="1462">
        <f>+'40b7'!B21</f>
        <v>0</v>
      </c>
      <c r="C21" s="1463">
        <f>+'40b7'!C21</f>
        <v>0</v>
      </c>
      <c r="D21" s="1449">
        <f>+'40b7'!D21</f>
        <v>0</v>
      </c>
      <c r="E21" s="1450"/>
      <c r="F21" s="1450"/>
      <c r="G21" s="1450"/>
      <c r="H21" s="1450"/>
      <c r="I21" s="1450"/>
      <c r="J21" s="1450"/>
      <c r="K21" s="1452"/>
      <c r="N21" s="29"/>
    </row>
    <row r="22" spans="2:14" ht="20.100000000000001" customHeight="1" x14ac:dyDescent="0.2">
      <c r="B22" s="1462">
        <f>+'40b7'!B22</f>
        <v>0</v>
      </c>
      <c r="C22" s="1463">
        <f>+'40b7'!C22</f>
        <v>0</v>
      </c>
      <c r="D22" s="1449">
        <f>+'40b7'!D22</f>
        <v>0</v>
      </c>
      <c r="E22" s="1450"/>
      <c r="F22" s="1450"/>
      <c r="G22" s="1450"/>
      <c r="H22" s="1450"/>
      <c r="I22" s="1450"/>
      <c r="J22" s="1450"/>
      <c r="K22" s="1452"/>
      <c r="N22" s="29"/>
    </row>
    <row r="23" spans="2:14" ht="20.100000000000001" customHeight="1" x14ac:dyDescent="0.2">
      <c r="B23" s="1462">
        <f>+'40b7'!B23</f>
        <v>0</v>
      </c>
      <c r="C23" s="1463">
        <f>+'40b7'!C23</f>
        <v>0</v>
      </c>
      <c r="D23" s="1449">
        <f>+'40b7'!D23</f>
        <v>0</v>
      </c>
      <c r="E23" s="1450"/>
      <c r="F23" s="1450"/>
      <c r="G23" s="1450"/>
      <c r="H23" s="1450"/>
      <c r="I23" s="1450"/>
      <c r="J23" s="1450"/>
      <c r="K23" s="1452"/>
      <c r="N23" s="29"/>
    </row>
    <row r="24" spans="2:14" ht="20.100000000000001" customHeight="1" x14ac:dyDescent="0.2">
      <c r="B24" s="1462">
        <f>+'40b7'!B24</f>
        <v>0</v>
      </c>
      <c r="C24" s="1463">
        <f>+'40b7'!C24</f>
        <v>0</v>
      </c>
      <c r="D24" s="1449">
        <f>+'40b7'!D24</f>
        <v>0</v>
      </c>
      <c r="E24" s="1450"/>
      <c r="F24" s="1450"/>
      <c r="G24" s="1450"/>
      <c r="H24" s="1450"/>
      <c r="I24" s="1450"/>
      <c r="J24" s="1450"/>
      <c r="K24" s="1452"/>
      <c r="N24" s="29"/>
    </row>
    <row r="25" spans="2:14" ht="20.100000000000001" customHeight="1" x14ac:dyDescent="0.2">
      <c r="B25" s="1462">
        <f>+'40b7'!B25</f>
        <v>0</v>
      </c>
      <c r="C25" s="1463">
        <f>+'40b7'!C25</f>
        <v>0</v>
      </c>
      <c r="D25" s="1449">
        <f>+'40b7'!D25</f>
        <v>0</v>
      </c>
      <c r="E25" s="1450"/>
      <c r="F25" s="1450"/>
      <c r="G25" s="1450"/>
      <c r="H25" s="1450"/>
      <c r="I25" s="1450"/>
      <c r="J25" s="1450"/>
      <c r="K25" s="1452"/>
      <c r="N25" s="29"/>
    </row>
    <row r="26" spans="2:14" ht="20.100000000000001" customHeight="1" x14ac:dyDescent="0.2">
      <c r="B26" s="1462">
        <f>+'40b7'!B26</f>
        <v>0</v>
      </c>
      <c r="C26" s="1463">
        <f>+'40b7'!C26</f>
        <v>0</v>
      </c>
      <c r="D26" s="1449">
        <f>+'40b7'!D26</f>
        <v>0</v>
      </c>
      <c r="E26" s="1450"/>
      <c r="F26" s="1450"/>
      <c r="G26" s="1450"/>
      <c r="H26" s="1450"/>
      <c r="I26" s="1450"/>
      <c r="J26" s="1450"/>
      <c r="K26" s="1452"/>
      <c r="N26" s="29"/>
    </row>
    <row r="27" spans="2:14" ht="20.100000000000001" customHeight="1" x14ac:dyDescent="0.2">
      <c r="B27" s="1462">
        <f>+'40b7'!B27</f>
        <v>0</v>
      </c>
      <c r="C27" s="1463">
        <f>+'40b7'!C27</f>
        <v>0</v>
      </c>
      <c r="D27" s="1449">
        <f>+'40b7'!D27</f>
        <v>0</v>
      </c>
      <c r="E27" s="1450"/>
      <c r="F27" s="1450"/>
      <c r="G27" s="1450"/>
      <c r="H27" s="1450"/>
      <c r="I27" s="1450"/>
      <c r="J27" s="1450"/>
      <c r="K27" s="1452"/>
      <c r="N27" s="29"/>
    </row>
    <row r="28" spans="2:14" ht="20.100000000000001" customHeight="1" x14ac:dyDescent="0.2">
      <c r="B28" s="1462">
        <f>+'40b7'!B28</f>
        <v>0</v>
      </c>
      <c r="C28" s="1463">
        <f>+'40b7'!C28</f>
        <v>0</v>
      </c>
      <c r="D28" s="1449">
        <f>+'40b7'!D28</f>
        <v>0</v>
      </c>
      <c r="E28" s="1450"/>
      <c r="F28" s="1450"/>
      <c r="G28" s="1450"/>
      <c r="H28" s="1450"/>
      <c r="I28" s="1450"/>
      <c r="J28" s="1450"/>
      <c r="K28" s="1452"/>
    </row>
    <row r="29" spans="2:14" ht="20.100000000000001" customHeight="1" thickBot="1" x14ac:dyDescent="0.3">
      <c r="B29" s="299" t="s">
        <v>3317</v>
      </c>
      <c r="C29" s="604" t="s">
        <v>85</v>
      </c>
      <c r="D29" s="1453">
        <f>SUM(D11:D28)</f>
        <v>0</v>
      </c>
      <c r="E29" s="1465" t="s">
        <v>201</v>
      </c>
      <c r="F29" s="1453">
        <f t="shared" ref="F29:K29" si="0">SUM(F11:F28)</f>
        <v>0</v>
      </c>
      <c r="G29" s="1453">
        <f t="shared" si="0"/>
        <v>0</v>
      </c>
      <c r="H29" s="1453">
        <f t="shared" si="0"/>
        <v>0</v>
      </c>
      <c r="I29" s="1453">
        <f t="shared" si="0"/>
        <v>0</v>
      </c>
      <c r="J29" s="1453">
        <f t="shared" si="0"/>
        <v>0</v>
      </c>
      <c r="K29" s="1459">
        <f t="shared" si="0"/>
        <v>0</v>
      </c>
    </row>
    <row r="30" spans="2:14" ht="15.75" customHeight="1" thickTop="1" x14ac:dyDescent="0.25">
      <c r="B30" s="12"/>
      <c r="C30" s="12"/>
      <c r="D30" s="126"/>
      <c r="E30" s="126"/>
      <c r="F30" s="164"/>
      <c r="G30" s="164"/>
      <c r="H30" s="164"/>
      <c r="I30" s="164"/>
      <c r="J30" s="164"/>
      <c r="K30" s="300" t="s">
        <v>716</v>
      </c>
    </row>
    <row r="31" spans="2:14" ht="15.75" x14ac:dyDescent="0.25">
      <c r="B31" s="1617" t="s">
        <v>3327</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38lic4Y5aFJrTHIG3adbtK3J4T7utycOFLYnKe6zd3smxX0AkjGBYavUPqctivgHQvjT96UP/HNoCnmNnyCCWw==" saltValue="voZCF+lDP27/R1uS/4/iUg=="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sheetPr codeName="Sheet152"/>
  <dimension ref="B2:N39"/>
  <sheetViews>
    <sheetView showZeros="0" zoomScaleNormal="100" workbookViewId="0">
      <selection activeCell="B29" sqref="B29"/>
    </sheetView>
  </sheetViews>
  <sheetFormatPr defaultRowHeight="12.75" x14ac:dyDescent="0.2"/>
  <cols>
    <col min="1" max="1" width="2.7109375" customWidth="1"/>
    <col min="2" max="2" width="38.7109375" customWidth="1"/>
    <col min="3" max="3" width="7.7109375" customWidth="1"/>
    <col min="4" max="11" width="15.7109375" customWidth="1"/>
    <col min="14" max="14" width="14" bestFit="1" customWidth="1"/>
  </cols>
  <sheetData>
    <row r="2" spans="2:14" ht="18" x14ac:dyDescent="0.25">
      <c r="B2" s="1685" t="str">
        <f>""&amp;'Key Inputs'!H39&amp;" YEAR  CAPITAL  PROGRAM  -  "&amp;'Key Inputs'!H40&amp;" to "&amp;'Key Inputs'!H41&amp;""</f>
        <v>3 YEAR  CAPITAL  PROGRAM  -  2021 to 2023</v>
      </c>
      <c r="C2" s="1685"/>
      <c r="D2" s="1685"/>
      <c r="E2" s="1685"/>
      <c r="F2" s="1685"/>
      <c r="G2" s="1685"/>
      <c r="H2" s="1685"/>
      <c r="I2" s="1685"/>
      <c r="J2" s="1685"/>
      <c r="K2" s="1685"/>
    </row>
    <row r="3" spans="2:14" ht="18" x14ac:dyDescent="0.25">
      <c r="B3" s="1685" t="s">
        <v>740</v>
      </c>
      <c r="C3" s="1685"/>
      <c r="D3" s="1685"/>
      <c r="E3" s="1685"/>
      <c r="F3" s="1685"/>
      <c r="G3" s="1685"/>
      <c r="H3" s="1685"/>
      <c r="I3" s="1685"/>
      <c r="J3" s="1685"/>
      <c r="K3" s="1685"/>
    </row>
    <row r="4" spans="2:14" ht="15" customHeight="1" x14ac:dyDescent="0.25">
      <c r="B4" s="236"/>
      <c r="C4" s="236"/>
      <c r="D4" s="236"/>
      <c r="E4" s="236"/>
      <c r="F4" s="236"/>
      <c r="G4" s="236"/>
      <c r="H4" s="375" t="s">
        <v>688</v>
      </c>
      <c r="I4" s="559"/>
      <c r="J4" s="298" t="str">
        <f>+'Key Inputs'!E5</f>
        <v>TOWNSHIP OF GREENWICH</v>
      </c>
      <c r="K4" s="298"/>
    </row>
    <row r="5" spans="2:14" ht="6" customHeight="1" thickBot="1" x14ac:dyDescent="0.25"/>
    <row r="6" spans="2:14" ht="6.75" customHeight="1" thickTop="1" x14ac:dyDescent="0.25">
      <c r="B6" s="294"/>
      <c r="C6" s="281"/>
      <c r="D6" s="296"/>
      <c r="E6" s="9"/>
      <c r="F6" s="1770"/>
      <c r="G6" s="1771"/>
      <c r="H6" s="1771"/>
      <c r="I6" s="1771"/>
      <c r="J6" s="1771"/>
      <c r="K6" s="302"/>
    </row>
    <row r="7" spans="2:14" ht="18.75" customHeight="1" x14ac:dyDescent="0.2">
      <c r="B7" s="228">
        <v>1</v>
      </c>
      <c r="C7" s="301">
        <v>2</v>
      </c>
      <c r="D7" s="295">
        <v>3</v>
      </c>
      <c r="E7" s="295">
        <v>4</v>
      </c>
      <c r="F7" s="1775" t="s">
        <v>600</v>
      </c>
      <c r="G7" s="1776"/>
      <c r="H7" s="1776"/>
      <c r="I7" s="1776"/>
      <c r="J7" s="1776"/>
      <c r="K7" s="1777"/>
    </row>
    <row r="8" spans="2:14" ht="15" customHeight="1" x14ac:dyDescent="0.25">
      <c r="B8" s="438" t="s">
        <v>689</v>
      </c>
      <c r="C8" s="439" t="s">
        <v>690</v>
      </c>
      <c r="D8" s="422" t="s">
        <v>692</v>
      </c>
      <c r="E8" s="422" t="s">
        <v>477</v>
      </c>
      <c r="F8" s="441" t="s">
        <v>698</v>
      </c>
      <c r="G8" s="441" t="s">
        <v>699</v>
      </c>
      <c r="H8" s="441" t="s">
        <v>700</v>
      </c>
      <c r="I8" s="441" t="s">
        <v>701</v>
      </c>
      <c r="J8" s="26" t="s">
        <v>702</v>
      </c>
      <c r="K8" s="440" t="s">
        <v>715</v>
      </c>
    </row>
    <row r="9" spans="2:14" x14ac:dyDescent="0.2">
      <c r="B9" s="442"/>
      <c r="C9" s="439" t="s">
        <v>691</v>
      </c>
      <c r="D9" s="422" t="s">
        <v>718</v>
      </c>
      <c r="E9" s="422" t="s">
        <v>598</v>
      </c>
      <c r="F9" s="542" t="str">
        <f>'Key Inputs'!E34</f>
        <v>2021</v>
      </c>
      <c r="G9" s="443">
        <f>+F9+1</f>
        <v>2022</v>
      </c>
      <c r="H9" s="443">
        <f>+G9+1</f>
        <v>2023</v>
      </c>
      <c r="I9" s="443">
        <f>+H9+1</f>
        <v>2024</v>
      </c>
      <c r="J9" s="443">
        <f>+I9+1</f>
        <v>2025</v>
      </c>
      <c r="K9" s="440">
        <f>+J9+1</f>
        <v>2026</v>
      </c>
    </row>
    <row r="10" spans="2:14" ht="15" customHeight="1" thickBot="1" x14ac:dyDescent="0.25">
      <c r="B10" s="444"/>
      <c r="C10" s="444"/>
      <c r="D10" s="446"/>
      <c r="E10" s="446" t="s">
        <v>599</v>
      </c>
      <c r="F10" s="448"/>
      <c r="G10" s="448"/>
      <c r="H10" s="448"/>
      <c r="I10" s="448"/>
      <c r="J10" s="448"/>
      <c r="K10" s="449"/>
    </row>
    <row r="11" spans="2:14" ht="20.100000000000001" customHeight="1" thickTop="1" x14ac:dyDescent="0.2">
      <c r="B11" s="1460">
        <f>+'40b Totals'!B11</f>
        <v>0</v>
      </c>
      <c r="C11" s="1461">
        <f>+'40b Totals'!C11</f>
        <v>0</v>
      </c>
      <c r="D11" s="1445">
        <f>+'40b Totals'!D11</f>
        <v>0</v>
      </c>
      <c r="E11" s="1446"/>
      <c r="F11" s="1446"/>
      <c r="G11" s="1446"/>
      <c r="H11" s="1446"/>
      <c r="I11" s="1446"/>
      <c r="J11" s="1446"/>
      <c r="K11" s="1448"/>
      <c r="N11" s="29"/>
    </row>
    <row r="12" spans="2:14" ht="20.100000000000001" customHeight="1" x14ac:dyDescent="0.2">
      <c r="B12" s="1462">
        <f>+'40b Totals'!B12</f>
        <v>0</v>
      </c>
      <c r="C12" s="1463">
        <f>+'40b Totals'!C12</f>
        <v>0</v>
      </c>
      <c r="D12" s="1449">
        <f>+'40b Totals'!D12</f>
        <v>0</v>
      </c>
      <c r="E12" s="1450"/>
      <c r="F12" s="1450"/>
      <c r="G12" s="1450"/>
      <c r="H12" s="1450"/>
      <c r="I12" s="1450"/>
      <c r="J12" s="1450"/>
      <c r="K12" s="1452"/>
      <c r="N12" s="29"/>
    </row>
    <row r="13" spans="2:14" ht="20.100000000000001" customHeight="1" x14ac:dyDescent="0.2">
      <c r="B13" s="1462">
        <f>+'40b Totals'!B13</f>
        <v>0</v>
      </c>
      <c r="C13" s="1463">
        <f>+'40b Totals'!C13</f>
        <v>0</v>
      </c>
      <c r="D13" s="1449">
        <f>+'40b Totals'!D13</f>
        <v>0</v>
      </c>
      <c r="E13" s="1450"/>
      <c r="F13" s="1450"/>
      <c r="G13" s="1450"/>
      <c r="H13" s="1450"/>
      <c r="I13" s="1450"/>
      <c r="J13" s="1450"/>
      <c r="K13" s="1452"/>
      <c r="N13" s="29"/>
    </row>
    <row r="14" spans="2:14" ht="20.100000000000001" customHeight="1" x14ac:dyDescent="0.2">
      <c r="B14" s="1462">
        <f>+'40b Totals'!B14</f>
        <v>0</v>
      </c>
      <c r="C14" s="1463">
        <f>+'40b Totals'!C14</f>
        <v>0</v>
      </c>
      <c r="D14" s="1449">
        <f>+'40b Totals'!D14</f>
        <v>0</v>
      </c>
      <c r="E14" s="1450"/>
      <c r="F14" s="1450"/>
      <c r="G14" s="1450"/>
      <c r="H14" s="1450"/>
      <c r="I14" s="1450"/>
      <c r="J14" s="1450"/>
      <c r="K14" s="1452"/>
      <c r="N14" s="29"/>
    </row>
    <row r="15" spans="2:14" ht="20.100000000000001" customHeight="1" x14ac:dyDescent="0.2">
      <c r="B15" s="1462">
        <f>+'40b Totals'!B15</f>
        <v>0</v>
      </c>
      <c r="C15" s="1463">
        <f>+'40b Totals'!C15</f>
        <v>0</v>
      </c>
      <c r="D15" s="1449">
        <f>+'40b Totals'!D15</f>
        <v>0</v>
      </c>
      <c r="E15" s="1450"/>
      <c r="F15" s="1450"/>
      <c r="G15" s="1450"/>
      <c r="H15" s="1450"/>
      <c r="I15" s="1450"/>
      <c r="J15" s="1450"/>
      <c r="K15" s="1452"/>
      <c r="N15" s="29"/>
    </row>
    <row r="16" spans="2:14" ht="20.100000000000001" customHeight="1" x14ac:dyDescent="0.2">
      <c r="B16" s="1462">
        <f>+'40b Totals'!B16</f>
        <v>0</v>
      </c>
      <c r="C16" s="1463">
        <f>+'40b Totals'!C16</f>
        <v>0</v>
      </c>
      <c r="D16" s="1449">
        <f>+'40b Totals'!D16</f>
        <v>0</v>
      </c>
      <c r="E16" s="1450"/>
      <c r="F16" s="1450"/>
      <c r="G16" s="1450"/>
      <c r="H16" s="1450"/>
      <c r="I16" s="1450"/>
      <c r="J16" s="1450"/>
      <c r="K16" s="1452"/>
      <c r="N16" s="29"/>
    </row>
    <row r="17" spans="2:14" ht="20.100000000000001" customHeight="1" x14ac:dyDescent="0.2">
      <c r="B17" s="1462">
        <f>+'40b Totals'!B17</f>
        <v>0</v>
      </c>
      <c r="C17" s="1463">
        <f>+'40b Totals'!C17</f>
        <v>0</v>
      </c>
      <c r="D17" s="1449">
        <f>+'40b Totals'!D17</f>
        <v>0</v>
      </c>
      <c r="E17" s="1450"/>
      <c r="F17" s="1450"/>
      <c r="G17" s="1450"/>
      <c r="H17" s="1450"/>
      <c r="I17" s="1450"/>
      <c r="J17" s="1450"/>
      <c r="K17" s="1452"/>
      <c r="N17" s="29"/>
    </row>
    <row r="18" spans="2:14" ht="20.100000000000001" customHeight="1" x14ac:dyDescent="0.2">
      <c r="B18" s="1462">
        <f>+'40b Totals'!B18</f>
        <v>0</v>
      </c>
      <c r="C18" s="1463">
        <f>+'40b Totals'!C18</f>
        <v>0</v>
      </c>
      <c r="D18" s="1449">
        <f>+'40b Totals'!D18</f>
        <v>0</v>
      </c>
      <c r="E18" s="1450"/>
      <c r="F18" s="1450"/>
      <c r="G18" s="1450"/>
      <c r="H18" s="1450"/>
      <c r="I18" s="1450"/>
      <c r="J18" s="1450"/>
      <c r="K18" s="1452"/>
      <c r="N18" s="29"/>
    </row>
    <row r="19" spans="2:14" ht="20.100000000000001" customHeight="1" x14ac:dyDescent="0.2">
      <c r="B19" s="1462">
        <f>+'40b Totals'!B19</f>
        <v>0</v>
      </c>
      <c r="C19" s="1463">
        <f>+'40b Totals'!C19</f>
        <v>0</v>
      </c>
      <c r="D19" s="1449">
        <f>+'40b Totals'!D19</f>
        <v>0</v>
      </c>
      <c r="E19" s="1450"/>
      <c r="F19" s="1450"/>
      <c r="G19" s="1450"/>
      <c r="H19" s="1450"/>
      <c r="I19" s="1450"/>
      <c r="J19" s="1450"/>
      <c r="K19" s="1452"/>
      <c r="N19" s="29"/>
    </row>
    <row r="20" spans="2:14" ht="20.100000000000001" customHeight="1" x14ac:dyDescent="0.2">
      <c r="B20" s="1462">
        <f>+'40b Totals'!B20</f>
        <v>0</v>
      </c>
      <c r="C20" s="1463">
        <f>+'40b Totals'!C20</f>
        <v>0</v>
      </c>
      <c r="D20" s="1449">
        <f>+'40b Totals'!D20</f>
        <v>0</v>
      </c>
      <c r="E20" s="1450"/>
      <c r="F20" s="1450"/>
      <c r="G20" s="1450"/>
      <c r="H20" s="1450"/>
      <c r="I20" s="1450"/>
      <c r="J20" s="1450"/>
      <c r="K20" s="1452"/>
      <c r="N20" s="29"/>
    </row>
    <row r="21" spans="2:14" ht="20.100000000000001" customHeight="1" x14ac:dyDescent="0.2">
      <c r="B21" s="1462">
        <f>+'40b Totals'!B21</f>
        <v>0</v>
      </c>
      <c r="C21" s="1463">
        <f>+'40b Totals'!C21</f>
        <v>0</v>
      </c>
      <c r="D21" s="1449">
        <f>+'40b Totals'!D21</f>
        <v>0</v>
      </c>
      <c r="E21" s="1450"/>
      <c r="F21" s="1450"/>
      <c r="G21" s="1450"/>
      <c r="H21" s="1450"/>
      <c r="I21" s="1450"/>
      <c r="J21" s="1450"/>
      <c r="K21" s="1452"/>
      <c r="N21" s="29"/>
    </row>
    <row r="22" spans="2:14" ht="20.100000000000001" customHeight="1" x14ac:dyDescent="0.2">
      <c r="B22" s="1462">
        <f>+'40b Totals'!B22</f>
        <v>0</v>
      </c>
      <c r="C22" s="1463">
        <f>+'40b Totals'!C22</f>
        <v>0</v>
      </c>
      <c r="D22" s="1449">
        <f>+'40b Totals'!D22</f>
        <v>0</v>
      </c>
      <c r="E22" s="1450"/>
      <c r="F22" s="1450"/>
      <c r="G22" s="1450"/>
      <c r="H22" s="1450"/>
      <c r="I22" s="1450"/>
      <c r="J22" s="1450"/>
      <c r="K22" s="1452"/>
      <c r="N22" s="29"/>
    </row>
    <row r="23" spans="2:14" ht="20.100000000000001" customHeight="1" x14ac:dyDescent="0.2">
      <c r="B23" s="1462">
        <f>+'40b Totals'!B23</f>
        <v>0</v>
      </c>
      <c r="C23" s="1463">
        <f>+'40b Totals'!C23</f>
        <v>0</v>
      </c>
      <c r="D23" s="1449">
        <f>+'40b Totals'!D23</f>
        <v>0</v>
      </c>
      <c r="E23" s="1450"/>
      <c r="F23" s="1450"/>
      <c r="G23" s="1450"/>
      <c r="H23" s="1450"/>
      <c r="I23" s="1450"/>
      <c r="J23" s="1450"/>
      <c r="K23" s="1452"/>
      <c r="N23" s="29"/>
    </row>
    <row r="24" spans="2:14" ht="20.100000000000001" customHeight="1" x14ac:dyDescent="0.2">
      <c r="B24" s="1462">
        <f>+'40b Totals'!B24</f>
        <v>0</v>
      </c>
      <c r="C24" s="1463">
        <f>+'40b Totals'!C24</f>
        <v>0</v>
      </c>
      <c r="D24" s="1449">
        <f>+'40b Totals'!D24</f>
        <v>0</v>
      </c>
      <c r="E24" s="1450"/>
      <c r="F24" s="1450"/>
      <c r="G24" s="1450"/>
      <c r="H24" s="1450"/>
      <c r="I24" s="1450"/>
      <c r="J24" s="1450"/>
      <c r="K24" s="1452"/>
      <c r="N24" s="29"/>
    </row>
    <row r="25" spans="2:14" ht="20.100000000000001" customHeight="1" x14ac:dyDescent="0.2">
      <c r="B25" s="1462">
        <f>+'40b Totals'!B25</f>
        <v>0</v>
      </c>
      <c r="C25" s="1463">
        <f>+'40b Totals'!C25</f>
        <v>0</v>
      </c>
      <c r="D25" s="1449">
        <f>+'40b Totals'!D25</f>
        <v>0</v>
      </c>
      <c r="E25" s="1450"/>
      <c r="F25" s="1450"/>
      <c r="G25" s="1450"/>
      <c r="H25" s="1450"/>
      <c r="I25" s="1450"/>
      <c r="J25" s="1450"/>
      <c r="K25" s="1452"/>
      <c r="N25" s="29"/>
    </row>
    <row r="26" spans="2:14" ht="20.100000000000001" customHeight="1" x14ac:dyDescent="0.2">
      <c r="B26" s="1462">
        <f>+'40b Totals'!B26</f>
        <v>0</v>
      </c>
      <c r="C26" s="1463">
        <f>+'40b Totals'!C26</f>
        <v>0</v>
      </c>
      <c r="D26" s="1449">
        <f>+'40b Totals'!D26</f>
        <v>0</v>
      </c>
      <c r="E26" s="1450"/>
      <c r="F26" s="1450"/>
      <c r="G26" s="1450"/>
      <c r="H26" s="1450"/>
      <c r="I26" s="1450"/>
      <c r="J26" s="1450"/>
      <c r="K26" s="1452"/>
      <c r="N26" s="29"/>
    </row>
    <row r="27" spans="2:14" ht="20.100000000000001" customHeight="1" x14ac:dyDescent="0.2">
      <c r="B27" s="1462">
        <f>+'40b Totals'!B27</f>
        <v>0</v>
      </c>
      <c r="C27" s="1463">
        <f>+'40b Totals'!C27</f>
        <v>0</v>
      </c>
      <c r="D27" s="1449">
        <f>+'40b Totals'!D27</f>
        <v>0</v>
      </c>
      <c r="E27" s="1450"/>
      <c r="F27" s="1450"/>
      <c r="G27" s="1450"/>
      <c r="H27" s="1450"/>
      <c r="I27" s="1450"/>
      <c r="J27" s="1450"/>
      <c r="K27" s="1452"/>
      <c r="N27" s="29"/>
    </row>
    <row r="28" spans="2:14" ht="20.100000000000001" customHeight="1" x14ac:dyDescent="0.2">
      <c r="B28" s="1462">
        <f>+'40b Totals'!B28</f>
        <v>0</v>
      </c>
      <c r="C28" s="1463">
        <f>+'40b Totals'!C28</f>
        <v>0</v>
      </c>
      <c r="D28" s="1449">
        <f>+'40b Totals'!D28</f>
        <v>0</v>
      </c>
      <c r="E28" s="1450"/>
      <c r="F28" s="1450"/>
      <c r="G28" s="1450"/>
      <c r="H28" s="1450"/>
      <c r="I28" s="1450"/>
      <c r="J28" s="1450"/>
      <c r="K28" s="1452"/>
    </row>
    <row r="29" spans="2:14" ht="20.100000000000001" customHeight="1" thickBot="1" x14ac:dyDescent="0.3">
      <c r="B29" s="299" t="s">
        <v>703</v>
      </c>
      <c r="C29" s="604" t="s">
        <v>85</v>
      </c>
      <c r="D29" s="1453">
        <f>SUM(D11:D28)+SUM('40c:40c7'!D29)</f>
        <v>536109</v>
      </c>
      <c r="E29" s="1465" t="s">
        <v>201</v>
      </c>
      <c r="F29" s="1453">
        <f>SUM(F11:F28)+SUM('40c:40c7'!F29)</f>
        <v>536109</v>
      </c>
      <c r="G29" s="1453">
        <f>SUM(G11:G28)+SUM('40c:40c7'!G29)</f>
        <v>0</v>
      </c>
      <c r="H29" s="1453">
        <f>SUM(H11:H28)+SUM('40c:40c7'!H29)</f>
        <v>0</v>
      </c>
      <c r="I29" s="1453">
        <f>SUM(I11:I28)+SUM('40c:40c7'!I29)</f>
        <v>0</v>
      </c>
      <c r="J29" s="1453">
        <f>SUM(J11:J28)+SUM('40c:40c7'!J29)</f>
        <v>0</v>
      </c>
      <c r="K29" s="1459">
        <f>SUM(K11:K28)+SUM('40c:40c7'!K29)</f>
        <v>0</v>
      </c>
    </row>
    <row r="30" spans="2:14" ht="15.75" customHeight="1" thickTop="1" x14ac:dyDescent="0.25">
      <c r="B30" s="12"/>
      <c r="C30" s="12"/>
      <c r="D30" s="126"/>
      <c r="E30" s="126"/>
      <c r="F30" s="164"/>
      <c r="G30" s="164"/>
      <c r="H30" s="164"/>
      <c r="I30" s="164"/>
      <c r="J30" s="164"/>
      <c r="K30" s="300" t="s">
        <v>716</v>
      </c>
    </row>
    <row r="31" spans="2:14" ht="15.75" x14ac:dyDescent="0.25">
      <c r="B31" s="1617" t="s">
        <v>5327</v>
      </c>
      <c r="C31" s="1617"/>
      <c r="D31" s="1617"/>
      <c r="E31" s="1617"/>
      <c r="F31" s="1617"/>
      <c r="G31" s="1617"/>
      <c r="H31" s="1617"/>
      <c r="I31" s="1617"/>
      <c r="J31" s="1617"/>
      <c r="K31" s="1617"/>
    </row>
    <row r="34" spans="6:11" x14ac:dyDescent="0.2">
      <c r="F34" s="29"/>
      <c r="G34" s="29"/>
      <c r="H34" s="29"/>
      <c r="K34" s="29"/>
    </row>
    <row r="37" spans="6:11" x14ac:dyDescent="0.2">
      <c r="H37" s="29"/>
      <c r="K37" s="29"/>
    </row>
    <row r="39" spans="6:11" x14ac:dyDescent="0.2">
      <c r="F39" s="29"/>
    </row>
  </sheetData>
  <sheetProtection algorithmName="SHA-512" hashValue="JuM92KlXYdXv0lbjmhQgHWv6PJ4q+HfrzI0z4DeHmHHxe88aw+cXmDUGZF47Cm5KemJU/m1M4m8rvALRP1BXAA==" saltValue="3ezgJZcMhLZd8g8OtwQmxQ==" spinCount="100000" sheet="1" objects="1" scenarios="1"/>
  <mergeCells count="5">
    <mergeCell ref="B2:K2"/>
    <mergeCell ref="B3:K3"/>
    <mergeCell ref="F6:J6"/>
    <mergeCell ref="F7:K7"/>
    <mergeCell ref="B31:K31"/>
  </mergeCells>
  <pageMargins left="0.25" right="0.3" top="0.25" bottom="0.75" header="0.25" footer="0.25"/>
  <pageSetup paperSize="5"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sheetPr codeName="Sheet153">
    <tabColor theme="9"/>
  </sheetPr>
  <dimension ref="B2:L37"/>
  <sheetViews>
    <sheetView showZeros="0" zoomScaleNormal="100" workbookViewId="0">
      <selection activeCell="I24" sqref="I24"/>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+'40b'!B11</f>
        <v>0</v>
      </c>
      <c r="C11" s="1466">
        <f>+'40b'!D11</f>
        <v>0</v>
      </c>
      <c r="D11" s="1469"/>
      <c r="E11" s="1469"/>
      <c r="F11" s="1469">
        <f>+C11*0.05</f>
        <v>0</v>
      </c>
      <c r="G11" s="1469"/>
      <c r="H11" s="1469"/>
      <c r="I11" s="1469"/>
      <c r="J11" s="1470"/>
      <c r="K11" s="1469"/>
      <c r="L11" s="1471"/>
    </row>
    <row r="12" spans="2:12" ht="20.100000000000001" customHeight="1" x14ac:dyDescent="0.2">
      <c r="B12" s="1462" t="str">
        <f>+'40b'!B12</f>
        <v>CONSTRUCTION/RESTORATION OF DIKES</v>
      </c>
      <c r="C12" s="1467">
        <f>+'40b'!D12</f>
        <v>20000</v>
      </c>
      <c r="D12" s="1472"/>
      <c r="E12" s="1472"/>
      <c r="F12" s="1472">
        <f>+C12</f>
        <v>20000</v>
      </c>
      <c r="G12" s="1472"/>
      <c r="H12" s="1472"/>
      <c r="I12" s="1472"/>
      <c r="J12" s="1470"/>
      <c r="K12" s="1472"/>
      <c r="L12" s="1473"/>
    </row>
    <row r="13" spans="2:12" ht="20.100000000000001" customHeight="1" x14ac:dyDescent="0.2">
      <c r="B13" s="1462">
        <f>+'40b'!B13</f>
        <v>0</v>
      </c>
      <c r="C13" s="1467">
        <f>+'40b'!D13</f>
        <v>0</v>
      </c>
      <c r="D13" s="1472"/>
      <c r="E13" s="1472"/>
      <c r="F13" s="1472">
        <f>+C13</f>
        <v>0</v>
      </c>
      <c r="G13" s="1472"/>
      <c r="H13" s="1472"/>
      <c r="I13" s="1472"/>
      <c r="J13" s="1470"/>
      <c r="K13" s="1472"/>
      <c r="L13" s="1473"/>
    </row>
    <row r="14" spans="2:12" ht="20.100000000000001" customHeight="1" x14ac:dyDescent="0.2">
      <c r="B14" s="1462" t="str">
        <f>+'40b'!B14</f>
        <v>RENOVATION OF OLD STONE SCHOOL</v>
      </c>
      <c r="C14" s="1467">
        <f>+'40b'!D14</f>
        <v>0</v>
      </c>
      <c r="D14" s="1472"/>
      <c r="E14" s="1472"/>
      <c r="F14" s="1472">
        <f t="shared" ref="F14:F28" si="0">+C14</f>
        <v>0</v>
      </c>
      <c r="G14" s="1472"/>
      <c r="H14" s="1472"/>
      <c r="I14" s="1472"/>
      <c r="J14" s="1470"/>
      <c r="K14" s="1472"/>
      <c r="L14" s="1473"/>
    </row>
    <row r="15" spans="2:12" ht="20.100000000000001" customHeight="1" x14ac:dyDescent="0.2">
      <c r="B15" s="1462" t="str">
        <f>+'40b'!B15</f>
        <v xml:space="preserve">   HOUSE</v>
      </c>
      <c r="C15" s="1467">
        <f>+'40b'!D15</f>
        <v>31109</v>
      </c>
      <c r="D15" s="1472"/>
      <c r="E15" s="1472"/>
      <c r="F15" s="1472">
        <v>20000</v>
      </c>
      <c r="G15" s="1472"/>
      <c r="H15" s="1472">
        <v>11109</v>
      </c>
      <c r="I15" s="1472"/>
      <c r="J15" s="1470"/>
      <c r="K15" s="1472"/>
      <c r="L15" s="1473"/>
    </row>
    <row r="16" spans="2:12" ht="20.100000000000001" customHeight="1" x14ac:dyDescent="0.2">
      <c r="B16" s="1462">
        <f>+'40b'!B16</f>
        <v>0</v>
      </c>
      <c r="C16" s="1467">
        <f>+'40b'!D16</f>
        <v>0</v>
      </c>
      <c r="D16" s="1472"/>
      <c r="E16" s="1472"/>
      <c r="F16" s="1472">
        <f t="shared" si="0"/>
        <v>0</v>
      </c>
      <c r="G16" s="1472"/>
      <c r="H16" s="1472"/>
      <c r="I16" s="1472"/>
      <c r="J16" s="1470"/>
      <c r="K16" s="1472"/>
      <c r="L16" s="1473"/>
    </row>
    <row r="17" spans="2:12" ht="20.100000000000001" customHeight="1" x14ac:dyDescent="0.2">
      <c r="B17" s="1462">
        <f>+'40b'!B17</f>
        <v>0</v>
      </c>
      <c r="C17" s="1467">
        <f>+'40b'!D17</f>
        <v>0</v>
      </c>
      <c r="D17" s="1472"/>
      <c r="E17" s="1472"/>
      <c r="F17" s="1472">
        <f t="shared" si="0"/>
        <v>0</v>
      </c>
      <c r="G17" s="1472"/>
      <c r="H17" s="1472"/>
      <c r="I17" s="1472"/>
      <c r="J17" s="1470"/>
      <c r="K17" s="1472"/>
      <c r="L17" s="1473"/>
    </row>
    <row r="18" spans="2:12" ht="20.100000000000001" customHeight="1" x14ac:dyDescent="0.2">
      <c r="B18" s="1462" t="str">
        <f>+'40b'!B18</f>
        <v>RESURFACING OF WIBLE DRIVE</v>
      </c>
      <c r="C18" s="1467">
        <f>+'40b'!D18</f>
        <v>185000</v>
      </c>
      <c r="D18" s="1472"/>
      <c r="E18" s="1472"/>
      <c r="F18" s="1472">
        <f>+'40b'!G18</f>
        <v>28000</v>
      </c>
      <c r="G18" s="1472"/>
      <c r="H18" s="1472">
        <f>+'40b'!I18</f>
        <v>157000</v>
      </c>
      <c r="I18" s="1472"/>
      <c r="J18" s="1470"/>
      <c r="K18" s="1472"/>
      <c r="L18" s="1473"/>
    </row>
    <row r="19" spans="2:12" ht="20.100000000000001" customHeight="1" x14ac:dyDescent="0.2">
      <c r="B19" s="1462">
        <f>+'40b'!B19</f>
        <v>0</v>
      </c>
      <c r="C19" s="1467">
        <f>+'40b'!D19</f>
        <v>0</v>
      </c>
      <c r="D19" s="1472"/>
      <c r="E19" s="1472"/>
      <c r="F19" s="1472">
        <f t="shared" si="0"/>
        <v>0</v>
      </c>
      <c r="G19" s="1472"/>
      <c r="H19" s="1472"/>
      <c r="I19" s="1472"/>
      <c r="J19" s="1470"/>
      <c r="K19" s="1472"/>
      <c r="L19" s="1473"/>
    </row>
    <row r="20" spans="2:12" ht="20.100000000000001" customHeight="1" x14ac:dyDescent="0.2">
      <c r="B20" s="1462" t="str">
        <f>+'40b'!B20</f>
        <v>CONSTRUCTION OF FENCING AROUND</v>
      </c>
      <c r="C20" s="1467">
        <f>+'40b'!D20</f>
        <v>0</v>
      </c>
      <c r="D20" s="1472"/>
      <c r="E20" s="1472"/>
      <c r="F20" s="1472">
        <f t="shared" si="0"/>
        <v>0</v>
      </c>
      <c r="G20" s="1472"/>
      <c r="H20" s="1472"/>
      <c r="I20" s="1472"/>
      <c r="J20" s="1470"/>
      <c r="K20" s="1472"/>
      <c r="L20" s="1473"/>
    </row>
    <row r="21" spans="2:12" ht="20.100000000000001" customHeight="1" x14ac:dyDescent="0.2">
      <c r="B21" s="1462" t="str">
        <f>+'40b'!B21</f>
        <v xml:space="preserve">   COMMUNICATION ANTENNAS</v>
      </c>
      <c r="C21" s="1467">
        <f>+'40b'!D21</f>
        <v>50000</v>
      </c>
      <c r="D21" s="1472"/>
      <c r="E21" s="1472"/>
      <c r="F21" s="1472">
        <f t="shared" si="0"/>
        <v>50000</v>
      </c>
      <c r="G21" s="1472"/>
      <c r="H21" s="1472"/>
      <c r="I21" s="1472"/>
      <c r="J21" s="1470"/>
      <c r="K21" s="1472"/>
      <c r="L21" s="1473"/>
    </row>
    <row r="22" spans="2:12" ht="20.100000000000001" customHeight="1" x14ac:dyDescent="0.2">
      <c r="B22" s="1462">
        <f>+'40b'!B22</f>
        <v>0</v>
      </c>
      <c r="C22" s="1467">
        <f>+'40b'!D22</f>
        <v>0</v>
      </c>
      <c r="D22" s="1472"/>
      <c r="E22" s="1472"/>
      <c r="F22" s="1472">
        <f t="shared" si="0"/>
        <v>0</v>
      </c>
      <c r="G22" s="1472"/>
      <c r="H22" s="1472"/>
      <c r="I22" s="1472"/>
      <c r="J22" s="1470"/>
      <c r="K22" s="1472"/>
      <c r="L22" s="1473"/>
    </row>
    <row r="23" spans="2:12" ht="20.100000000000001" customHeight="1" x14ac:dyDescent="0.2">
      <c r="B23" s="1462" t="str">
        <f>+'40b'!B23</f>
        <v>FIRE APPARATUS</v>
      </c>
      <c r="C23" s="1467">
        <f>+'40b'!D23</f>
        <v>250000</v>
      </c>
      <c r="D23" s="1472"/>
      <c r="E23" s="1472">
        <f>+'40b'!K23</f>
        <v>200000</v>
      </c>
      <c r="F23" s="1472">
        <v>50000</v>
      </c>
      <c r="G23" s="1472"/>
      <c r="H23" s="1472"/>
      <c r="I23" s="1472"/>
      <c r="J23" s="1470"/>
      <c r="K23" s="1472"/>
      <c r="L23" s="1473"/>
    </row>
    <row r="24" spans="2:12" ht="20.100000000000001" customHeight="1" x14ac:dyDescent="0.2">
      <c r="B24" s="1462">
        <f>+'40b'!B24</f>
        <v>0</v>
      </c>
      <c r="C24" s="1467">
        <f>+'40b'!D24</f>
        <v>0</v>
      </c>
      <c r="D24" s="1472"/>
      <c r="E24" s="1472"/>
      <c r="F24" s="1472">
        <f t="shared" si="0"/>
        <v>0</v>
      </c>
      <c r="G24" s="1472"/>
      <c r="H24" s="1472"/>
      <c r="I24" s="1472"/>
      <c r="J24" s="1470"/>
      <c r="K24" s="1472"/>
      <c r="L24" s="1473"/>
    </row>
    <row r="25" spans="2:12" ht="20.100000000000001" customHeight="1" x14ac:dyDescent="0.2">
      <c r="B25" s="1462">
        <f>+'40b'!B25</f>
        <v>0</v>
      </c>
      <c r="C25" s="1467">
        <f>+'40b'!D25</f>
        <v>0</v>
      </c>
      <c r="D25" s="1472"/>
      <c r="E25" s="1472"/>
      <c r="F25" s="1472"/>
      <c r="G25" s="1472"/>
      <c r="H25" s="1472"/>
      <c r="I25" s="1472"/>
      <c r="J25" s="1470"/>
      <c r="K25" s="1472"/>
      <c r="L25" s="1473"/>
    </row>
    <row r="26" spans="2:12" ht="20.100000000000001" customHeight="1" x14ac:dyDescent="0.2">
      <c r="B26" s="1462">
        <f>+'40b'!B26</f>
        <v>0</v>
      </c>
      <c r="C26" s="1467">
        <f>+'40b'!D26</f>
        <v>0</v>
      </c>
      <c r="D26" s="1472"/>
      <c r="E26" s="1472">
        <f>+'40b'!K26</f>
        <v>0</v>
      </c>
      <c r="F26" s="1472">
        <f>+'40b'!G26</f>
        <v>0</v>
      </c>
      <c r="G26" s="1472"/>
      <c r="H26" s="1472"/>
      <c r="I26" s="1472"/>
      <c r="J26" s="1470"/>
      <c r="K26" s="1472"/>
      <c r="L26" s="1473"/>
    </row>
    <row r="27" spans="2:12" ht="20.100000000000001" customHeight="1" x14ac:dyDescent="0.2">
      <c r="B27" s="1462">
        <f>+'40b'!B27</f>
        <v>0</v>
      </c>
      <c r="C27" s="1467">
        <f>+'40b'!D27</f>
        <v>0</v>
      </c>
      <c r="D27" s="1472"/>
      <c r="E27" s="1472"/>
      <c r="F27" s="1472">
        <f t="shared" si="0"/>
        <v>0</v>
      </c>
      <c r="G27" s="1472"/>
      <c r="H27" s="1472"/>
      <c r="I27" s="1472"/>
      <c r="J27" s="1470"/>
      <c r="K27" s="1472"/>
      <c r="L27" s="1473"/>
    </row>
    <row r="28" spans="2:12" ht="20.100000000000001" customHeight="1" x14ac:dyDescent="0.2">
      <c r="B28" s="1462">
        <f>+'40b'!B28</f>
        <v>0</v>
      </c>
      <c r="C28" s="1467">
        <f>+'40b'!D28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536109</v>
      </c>
      <c r="D29" s="1468">
        <f t="shared" ref="D29:L29" si="1">+SUM(D11:D28)</f>
        <v>0</v>
      </c>
      <c r="E29" s="1468">
        <f t="shared" si="1"/>
        <v>200000</v>
      </c>
      <c r="F29" s="1468">
        <f t="shared" si="1"/>
        <v>168000</v>
      </c>
      <c r="G29" s="1468">
        <f t="shared" si="1"/>
        <v>0</v>
      </c>
      <c r="H29" s="1468">
        <f t="shared" si="1"/>
        <v>168109</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738</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vG2yrf4K/+c1cZ7Xm38cAxfpa3KdJxPLkdmB43+MKewlSuFAeNtWL06uVuRSdolD9dStF1V/kEfnvohNfUq4WQ==" saltValue="E3eS0gpFcqXL1Pu3u2vL0A=="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sheetPr codeName="Sheet154">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+'40b1'!B11</f>
        <v>0</v>
      </c>
      <c r="C11" s="1466">
        <f>+'40b1'!D11</f>
        <v>0</v>
      </c>
      <c r="D11" s="1469"/>
      <c r="E11" s="1469"/>
      <c r="F11" s="1469">
        <f>+C11*0.05</f>
        <v>0</v>
      </c>
      <c r="G11" s="1469"/>
      <c r="H11" s="1469"/>
      <c r="I11" s="1469"/>
      <c r="J11" s="1470"/>
      <c r="K11" s="1469"/>
      <c r="L11" s="1471"/>
    </row>
    <row r="12" spans="2:12" ht="20.100000000000001" customHeight="1" x14ac:dyDescent="0.2">
      <c r="B12" s="1462">
        <f>+'40b1'!B12</f>
        <v>0</v>
      </c>
      <c r="C12" s="1467">
        <f>+'40b1'!D12</f>
        <v>0</v>
      </c>
      <c r="D12" s="1472"/>
      <c r="E12" s="1472"/>
      <c r="F12" s="1472">
        <f>+C12*0.05</f>
        <v>0</v>
      </c>
      <c r="G12" s="1472"/>
      <c r="H12" s="1472"/>
      <c r="I12" s="1472"/>
      <c r="J12" s="1470"/>
      <c r="K12" s="1472"/>
      <c r="L12" s="1473"/>
    </row>
    <row r="13" spans="2:12" ht="20.100000000000001" customHeight="1" x14ac:dyDescent="0.2">
      <c r="B13" s="1462">
        <f>+'40b1'!B13</f>
        <v>0</v>
      </c>
      <c r="C13" s="1467">
        <f>+'40b1'!D13</f>
        <v>0</v>
      </c>
      <c r="D13" s="1472"/>
      <c r="E13" s="1472"/>
      <c r="F13" s="1472">
        <f t="shared" ref="F13:F28" si="0">+C13*0.05</f>
        <v>0</v>
      </c>
      <c r="G13" s="1472"/>
      <c r="H13" s="1472"/>
      <c r="I13" s="1472"/>
      <c r="J13" s="1470"/>
      <c r="K13" s="1472"/>
      <c r="L13" s="1473"/>
    </row>
    <row r="14" spans="2:12" ht="20.100000000000001" customHeight="1" x14ac:dyDescent="0.2">
      <c r="B14" s="1462">
        <f>+'40b1'!B14</f>
        <v>0</v>
      </c>
      <c r="C14" s="1467">
        <f>+'40b1'!D14</f>
        <v>0</v>
      </c>
      <c r="D14" s="1472"/>
      <c r="E14" s="1472"/>
      <c r="F14" s="1472">
        <f t="shared" si="0"/>
        <v>0</v>
      </c>
      <c r="G14" s="1472"/>
      <c r="H14" s="1472"/>
      <c r="I14" s="1472"/>
      <c r="J14" s="1470"/>
      <c r="K14" s="1472"/>
      <c r="L14" s="1473"/>
    </row>
    <row r="15" spans="2:12" ht="20.100000000000001" customHeight="1" x14ac:dyDescent="0.2">
      <c r="B15" s="1462">
        <f>+'40b1'!B15</f>
        <v>0</v>
      </c>
      <c r="C15" s="1467">
        <f>+'40b1'!D15</f>
        <v>0</v>
      </c>
      <c r="D15" s="1472"/>
      <c r="E15" s="1472"/>
      <c r="F15" s="1472">
        <f t="shared" si="0"/>
        <v>0</v>
      </c>
      <c r="G15" s="1472"/>
      <c r="H15" s="1472"/>
      <c r="I15" s="1472"/>
      <c r="J15" s="1470"/>
      <c r="K15" s="1472"/>
      <c r="L15" s="1473"/>
    </row>
    <row r="16" spans="2:12" ht="20.100000000000001" customHeight="1" x14ac:dyDescent="0.2">
      <c r="B16" s="1462">
        <f>+'40b1'!B16</f>
        <v>0</v>
      </c>
      <c r="C16" s="1467">
        <f>+'40b1'!D16</f>
        <v>0</v>
      </c>
      <c r="D16" s="1472"/>
      <c r="E16" s="1472"/>
      <c r="F16" s="1472">
        <f t="shared" si="0"/>
        <v>0</v>
      </c>
      <c r="G16" s="1472"/>
      <c r="H16" s="1472"/>
      <c r="I16" s="1472"/>
      <c r="J16" s="1470"/>
      <c r="K16" s="1472"/>
      <c r="L16" s="1473"/>
    </row>
    <row r="17" spans="2:12" ht="20.100000000000001" customHeight="1" x14ac:dyDescent="0.2">
      <c r="B17" s="1462">
        <f>+'40b1'!B17</f>
        <v>0</v>
      </c>
      <c r="C17" s="1467">
        <f>+'40b1'!D17</f>
        <v>0</v>
      </c>
      <c r="D17" s="1472"/>
      <c r="E17" s="1472"/>
      <c r="F17" s="1472">
        <f t="shared" si="0"/>
        <v>0</v>
      </c>
      <c r="G17" s="1472"/>
      <c r="H17" s="1472"/>
      <c r="I17" s="1472"/>
      <c r="J17" s="1470"/>
      <c r="K17" s="1472"/>
      <c r="L17" s="1473"/>
    </row>
    <row r="18" spans="2:12" ht="20.100000000000001" customHeight="1" x14ac:dyDescent="0.2">
      <c r="B18" s="1462">
        <f>+'40b1'!B18</f>
        <v>0</v>
      </c>
      <c r="C18" s="1467">
        <f>+'40b1'!D18</f>
        <v>0</v>
      </c>
      <c r="D18" s="1472"/>
      <c r="E18" s="1472"/>
      <c r="F18" s="1472">
        <f t="shared" si="0"/>
        <v>0</v>
      </c>
      <c r="G18" s="1472"/>
      <c r="H18" s="1472"/>
      <c r="I18" s="1472"/>
      <c r="J18" s="1470"/>
      <c r="K18" s="1472"/>
      <c r="L18" s="1473"/>
    </row>
    <row r="19" spans="2:12" ht="20.100000000000001" customHeight="1" x14ac:dyDescent="0.2">
      <c r="B19" s="1462">
        <f>+'40b1'!B19</f>
        <v>0</v>
      </c>
      <c r="C19" s="1467">
        <f>+'40b1'!D19</f>
        <v>0</v>
      </c>
      <c r="D19" s="1472"/>
      <c r="E19" s="1472"/>
      <c r="F19" s="1472">
        <f t="shared" si="0"/>
        <v>0</v>
      </c>
      <c r="G19" s="1472"/>
      <c r="H19" s="1472"/>
      <c r="I19" s="1472"/>
      <c r="J19" s="1470"/>
      <c r="K19" s="1472"/>
      <c r="L19" s="1473"/>
    </row>
    <row r="20" spans="2:12" ht="20.100000000000001" customHeight="1" x14ac:dyDescent="0.2">
      <c r="B20" s="1462">
        <f>+'40b1'!B20</f>
        <v>0</v>
      </c>
      <c r="C20" s="1467">
        <f>+'40b1'!D20</f>
        <v>0</v>
      </c>
      <c r="D20" s="1472"/>
      <c r="E20" s="1472"/>
      <c r="F20" s="1472">
        <f t="shared" si="0"/>
        <v>0</v>
      </c>
      <c r="G20" s="1472"/>
      <c r="H20" s="1472"/>
      <c r="I20" s="1472"/>
      <c r="J20" s="1470"/>
      <c r="K20" s="1472"/>
      <c r="L20" s="1473"/>
    </row>
    <row r="21" spans="2:12" ht="20.100000000000001" customHeight="1" x14ac:dyDescent="0.2">
      <c r="B21" s="1462">
        <f>+'40b1'!B21</f>
        <v>0</v>
      </c>
      <c r="C21" s="1467">
        <f>+'40b1'!D21</f>
        <v>0</v>
      </c>
      <c r="D21" s="1472"/>
      <c r="E21" s="1472"/>
      <c r="F21" s="1472">
        <f t="shared" si="0"/>
        <v>0</v>
      </c>
      <c r="G21" s="1472"/>
      <c r="H21" s="1472"/>
      <c r="I21" s="1472"/>
      <c r="J21" s="1470"/>
      <c r="K21" s="1472"/>
      <c r="L21" s="1473"/>
    </row>
    <row r="22" spans="2:12" ht="20.100000000000001" customHeight="1" x14ac:dyDescent="0.2">
      <c r="B22" s="1462">
        <f>+'40b1'!B22</f>
        <v>0</v>
      </c>
      <c r="C22" s="1467">
        <f>+'40b1'!D22</f>
        <v>0</v>
      </c>
      <c r="D22" s="1472"/>
      <c r="E22" s="1472"/>
      <c r="F22" s="1472">
        <f t="shared" si="0"/>
        <v>0</v>
      </c>
      <c r="G22" s="1472"/>
      <c r="H22" s="1472"/>
      <c r="I22" s="1472"/>
      <c r="J22" s="1470"/>
      <c r="K22" s="1472"/>
      <c r="L22" s="1473"/>
    </row>
    <row r="23" spans="2:12" ht="20.100000000000001" customHeight="1" x14ac:dyDescent="0.2">
      <c r="B23" s="1462">
        <f>+'40b1'!B23</f>
        <v>0</v>
      </c>
      <c r="C23" s="1467">
        <f>+'40b1'!D23</f>
        <v>0</v>
      </c>
      <c r="D23" s="1472"/>
      <c r="E23" s="1472"/>
      <c r="F23" s="1472">
        <f t="shared" si="0"/>
        <v>0</v>
      </c>
      <c r="G23" s="1472"/>
      <c r="H23" s="1472"/>
      <c r="I23" s="1472"/>
      <c r="J23" s="1470"/>
      <c r="K23" s="1472"/>
      <c r="L23" s="1473"/>
    </row>
    <row r="24" spans="2:12" ht="20.100000000000001" customHeight="1" x14ac:dyDescent="0.2">
      <c r="B24" s="1462">
        <f>+'40b1'!B24</f>
        <v>0</v>
      </c>
      <c r="C24" s="1467">
        <f>+'40b1'!D24</f>
        <v>0</v>
      </c>
      <c r="D24" s="1472"/>
      <c r="E24" s="1472"/>
      <c r="F24" s="1472">
        <f t="shared" si="0"/>
        <v>0</v>
      </c>
      <c r="G24" s="1472"/>
      <c r="H24" s="1472"/>
      <c r="I24" s="1472"/>
      <c r="J24" s="1470"/>
      <c r="K24" s="1472"/>
      <c r="L24" s="1473"/>
    </row>
    <row r="25" spans="2:12" ht="20.100000000000001" customHeight="1" x14ac:dyDescent="0.2">
      <c r="B25" s="1462">
        <f>+'40b1'!B25</f>
        <v>0</v>
      </c>
      <c r="C25" s="1467">
        <f>+'40b1'!D25</f>
        <v>0</v>
      </c>
      <c r="D25" s="1472"/>
      <c r="E25" s="1472"/>
      <c r="F25" s="1472">
        <f t="shared" si="0"/>
        <v>0</v>
      </c>
      <c r="G25" s="1472"/>
      <c r="H25" s="1472"/>
      <c r="I25" s="1472"/>
      <c r="J25" s="1470"/>
      <c r="K25" s="1472"/>
      <c r="L25" s="1473"/>
    </row>
    <row r="26" spans="2:12" ht="20.100000000000001" customHeight="1" x14ac:dyDescent="0.2">
      <c r="B26" s="1462">
        <f>+'40b1'!B26</f>
        <v>0</v>
      </c>
      <c r="C26" s="1467">
        <f>+'40b1'!D26</f>
        <v>0</v>
      </c>
      <c r="D26" s="1472"/>
      <c r="E26" s="1472"/>
      <c r="F26" s="1472">
        <f t="shared" si="0"/>
        <v>0</v>
      </c>
      <c r="G26" s="1472"/>
      <c r="H26" s="1472"/>
      <c r="I26" s="1472"/>
      <c r="J26" s="1470"/>
      <c r="K26" s="1472"/>
      <c r="L26" s="1473"/>
    </row>
    <row r="27" spans="2:12" ht="20.100000000000001" customHeight="1" x14ac:dyDescent="0.2">
      <c r="B27" s="1462">
        <f>+'40b1'!B27</f>
        <v>0</v>
      </c>
      <c r="C27" s="1467">
        <f>+'40b1'!D27</f>
        <v>0</v>
      </c>
      <c r="D27" s="1472"/>
      <c r="E27" s="1472"/>
      <c r="F27" s="1472">
        <f t="shared" si="0"/>
        <v>0</v>
      </c>
      <c r="G27" s="1472"/>
      <c r="H27" s="1472"/>
      <c r="I27" s="1472"/>
      <c r="J27" s="1470"/>
      <c r="K27" s="1472"/>
      <c r="L27" s="1473"/>
    </row>
    <row r="28" spans="2:12" ht="20.100000000000001" customHeight="1" x14ac:dyDescent="0.2">
      <c r="B28" s="1462">
        <f>+'40b1'!B28</f>
        <v>0</v>
      </c>
      <c r="C28" s="1467">
        <f>+'40b1'!D28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3264</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5yWFxFgET40qdeumD3P4M72KIWWLqMo3BZMln4wbiPtT0wHZl7Ns0HT7koLvx0WBBtuvyJXMVNY2fthHo4tTzw==" saltValue="cr6DYSkNarHCfNgurWLKAQ=="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sheetPr codeName="Sheet155">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+'40b2'!B11</f>
        <v>0</v>
      </c>
      <c r="C11" s="1466">
        <f>+'40b2'!D11</f>
        <v>0</v>
      </c>
      <c r="D11" s="1469"/>
      <c r="E11" s="1469"/>
      <c r="F11" s="1469">
        <f>+C11*0.05</f>
        <v>0</v>
      </c>
      <c r="G11" s="1469"/>
      <c r="H11" s="1469"/>
      <c r="I11" s="1469"/>
      <c r="J11" s="1470"/>
      <c r="K11" s="1469"/>
      <c r="L11" s="1471"/>
    </row>
    <row r="12" spans="2:12" ht="20.100000000000001" customHeight="1" x14ac:dyDescent="0.2">
      <c r="B12" s="1462" t="str">
        <f>+'40b2'!B12</f>
        <v>CONSTRUCTION/RESTORATION OF DIKES</v>
      </c>
      <c r="C12" s="1467">
        <f>+'40b2'!D12</f>
        <v>0</v>
      </c>
      <c r="D12" s="1472"/>
      <c r="E12" s="1472"/>
      <c r="F12" s="1472">
        <f>+C12*0.05</f>
        <v>0</v>
      </c>
      <c r="G12" s="1472"/>
      <c r="H12" s="1472"/>
      <c r="I12" s="1472"/>
      <c r="J12" s="1470"/>
      <c r="K12" s="1472"/>
      <c r="L12" s="1473"/>
    </row>
    <row r="13" spans="2:12" ht="20.100000000000001" customHeight="1" x14ac:dyDescent="0.2">
      <c r="B13" s="1462">
        <f>+'40b2'!B13</f>
        <v>0</v>
      </c>
      <c r="C13" s="1467">
        <f>+'40b2'!D13</f>
        <v>0</v>
      </c>
      <c r="D13" s="1472"/>
      <c r="E13" s="1472"/>
      <c r="F13" s="1472">
        <f t="shared" ref="F13:F28" si="0">+C13*0.05</f>
        <v>0</v>
      </c>
      <c r="G13" s="1472"/>
      <c r="H13" s="1472"/>
      <c r="I13" s="1472"/>
      <c r="J13" s="1470"/>
      <c r="K13" s="1472"/>
      <c r="L13" s="1473"/>
    </row>
    <row r="14" spans="2:12" ht="20.100000000000001" customHeight="1" x14ac:dyDescent="0.2">
      <c r="B14" s="1462" t="str">
        <f>+'40b2'!B14</f>
        <v>RENOVATION OF OLD STONE SCHOOL</v>
      </c>
      <c r="C14" s="1467">
        <f>+'40b2'!D14</f>
        <v>0</v>
      </c>
      <c r="D14" s="1472"/>
      <c r="E14" s="1472"/>
      <c r="F14" s="1472">
        <f t="shared" si="0"/>
        <v>0</v>
      </c>
      <c r="G14" s="1472"/>
      <c r="H14" s="1472"/>
      <c r="I14" s="1472"/>
      <c r="J14" s="1470"/>
      <c r="K14" s="1472"/>
      <c r="L14" s="1473"/>
    </row>
    <row r="15" spans="2:12" ht="20.100000000000001" customHeight="1" x14ac:dyDescent="0.2">
      <c r="B15" s="1462" t="str">
        <f>+'40b2'!B15</f>
        <v xml:space="preserve">   HOUSE</v>
      </c>
      <c r="C15" s="1467">
        <f>+'40b2'!D15</f>
        <v>0</v>
      </c>
      <c r="D15" s="1472"/>
      <c r="E15" s="1472"/>
      <c r="F15" s="1472">
        <f t="shared" si="0"/>
        <v>0</v>
      </c>
      <c r="G15" s="1472"/>
      <c r="H15" s="1472"/>
      <c r="I15" s="1472"/>
      <c r="J15" s="1470"/>
      <c r="K15" s="1472"/>
      <c r="L15" s="1473"/>
    </row>
    <row r="16" spans="2:12" ht="20.100000000000001" customHeight="1" x14ac:dyDescent="0.2">
      <c r="B16" s="1462">
        <f>+'40b2'!B16</f>
        <v>0</v>
      </c>
      <c r="C16" s="1467">
        <f>+'40b2'!D16</f>
        <v>0</v>
      </c>
      <c r="D16" s="1472"/>
      <c r="E16" s="1472"/>
      <c r="F16" s="1472">
        <f t="shared" si="0"/>
        <v>0</v>
      </c>
      <c r="G16" s="1472"/>
      <c r="H16" s="1472"/>
      <c r="I16" s="1472"/>
      <c r="J16" s="1470"/>
      <c r="K16" s="1472"/>
      <c r="L16" s="1473"/>
    </row>
    <row r="17" spans="2:12" ht="20.100000000000001" customHeight="1" x14ac:dyDescent="0.2">
      <c r="B17" s="1462">
        <f>+'40b2'!B17</f>
        <v>0</v>
      </c>
      <c r="C17" s="1467">
        <f>+'40b2'!D17</f>
        <v>0</v>
      </c>
      <c r="D17" s="1472"/>
      <c r="E17" s="1472"/>
      <c r="F17" s="1472">
        <f t="shared" si="0"/>
        <v>0</v>
      </c>
      <c r="G17" s="1472"/>
      <c r="H17" s="1472"/>
      <c r="I17" s="1472"/>
      <c r="J17" s="1470"/>
      <c r="K17" s="1472"/>
      <c r="L17" s="1473"/>
    </row>
    <row r="18" spans="2:12" ht="20.100000000000001" customHeight="1" x14ac:dyDescent="0.2">
      <c r="B18" s="1462" t="str">
        <f>+'40b2'!B18</f>
        <v>RESURFACING OF WIBLE DRIVE</v>
      </c>
      <c r="C18" s="1467">
        <f>+'40b2'!D18</f>
        <v>0</v>
      </c>
      <c r="D18" s="1472"/>
      <c r="E18" s="1472"/>
      <c r="F18" s="1472">
        <f t="shared" si="0"/>
        <v>0</v>
      </c>
      <c r="G18" s="1472"/>
      <c r="H18" s="1472"/>
      <c r="I18" s="1472"/>
      <c r="J18" s="1470"/>
      <c r="K18" s="1472"/>
      <c r="L18" s="1473"/>
    </row>
    <row r="19" spans="2:12" ht="20.100000000000001" customHeight="1" x14ac:dyDescent="0.2">
      <c r="B19" s="1462">
        <f>+'40b2'!B19</f>
        <v>0</v>
      </c>
      <c r="C19" s="1467">
        <f>+'40b2'!D19</f>
        <v>0</v>
      </c>
      <c r="D19" s="1472"/>
      <c r="E19" s="1472"/>
      <c r="F19" s="1472">
        <f t="shared" si="0"/>
        <v>0</v>
      </c>
      <c r="G19" s="1472"/>
      <c r="H19" s="1472"/>
      <c r="I19" s="1472"/>
      <c r="J19" s="1470"/>
      <c r="K19" s="1472"/>
      <c r="L19" s="1473"/>
    </row>
    <row r="20" spans="2:12" ht="20.100000000000001" customHeight="1" x14ac:dyDescent="0.2">
      <c r="B20" s="1462" t="str">
        <f>+'40b2'!B20</f>
        <v>CONSTRUCTION OF FENCING AROUND</v>
      </c>
      <c r="C20" s="1467">
        <f>+'40b2'!D20</f>
        <v>0</v>
      </c>
      <c r="D20" s="1472"/>
      <c r="E20" s="1472"/>
      <c r="F20" s="1472">
        <f t="shared" si="0"/>
        <v>0</v>
      </c>
      <c r="G20" s="1472"/>
      <c r="H20" s="1472"/>
      <c r="I20" s="1472"/>
      <c r="J20" s="1470"/>
      <c r="K20" s="1472"/>
      <c r="L20" s="1473"/>
    </row>
    <row r="21" spans="2:12" ht="20.100000000000001" customHeight="1" x14ac:dyDescent="0.2">
      <c r="B21" s="1462" t="str">
        <f>+'40b2'!B21</f>
        <v xml:space="preserve">   COMMUNICATION ANTENNAS</v>
      </c>
      <c r="C21" s="1467">
        <f>+'40b2'!D21</f>
        <v>0</v>
      </c>
      <c r="D21" s="1472"/>
      <c r="E21" s="1472"/>
      <c r="F21" s="1472">
        <f t="shared" si="0"/>
        <v>0</v>
      </c>
      <c r="G21" s="1472"/>
      <c r="H21" s="1472"/>
      <c r="I21" s="1472"/>
      <c r="J21" s="1470"/>
      <c r="K21" s="1472"/>
      <c r="L21" s="1473"/>
    </row>
    <row r="22" spans="2:12" ht="20.100000000000001" customHeight="1" x14ac:dyDescent="0.2">
      <c r="B22" s="1462">
        <f>+'40b2'!B22</f>
        <v>0</v>
      </c>
      <c r="C22" s="1467">
        <f>+'40b2'!D22</f>
        <v>0</v>
      </c>
      <c r="D22" s="1472"/>
      <c r="E22" s="1472"/>
      <c r="F22" s="1472">
        <f t="shared" si="0"/>
        <v>0</v>
      </c>
      <c r="G22" s="1472"/>
      <c r="H22" s="1472"/>
      <c r="I22" s="1472"/>
      <c r="J22" s="1470"/>
      <c r="K22" s="1472"/>
      <c r="L22" s="1473"/>
    </row>
    <row r="23" spans="2:12" ht="20.100000000000001" customHeight="1" x14ac:dyDescent="0.2">
      <c r="B23" s="1462" t="str">
        <f>+'40b2'!B23</f>
        <v>FIRE APPARATUS</v>
      </c>
      <c r="C23" s="1467">
        <f>+'40b2'!D23</f>
        <v>0</v>
      </c>
      <c r="D23" s="1472"/>
      <c r="E23" s="1472"/>
      <c r="F23" s="1472">
        <f t="shared" si="0"/>
        <v>0</v>
      </c>
      <c r="G23" s="1472"/>
      <c r="H23" s="1472"/>
      <c r="I23" s="1472"/>
      <c r="J23" s="1470"/>
      <c r="K23" s="1472"/>
      <c r="L23" s="1473"/>
    </row>
    <row r="24" spans="2:12" ht="20.100000000000001" customHeight="1" x14ac:dyDescent="0.2">
      <c r="B24" s="1462">
        <f>+'40b2'!B24</f>
        <v>0</v>
      </c>
      <c r="C24" s="1467">
        <f>+'40b2'!D24</f>
        <v>0</v>
      </c>
      <c r="D24" s="1472"/>
      <c r="E24" s="1472"/>
      <c r="F24" s="1472">
        <f t="shared" si="0"/>
        <v>0</v>
      </c>
      <c r="G24" s="1472"/>
      <c r="H24" s="1472"/>
      <c r="I24" s="1472"/>
      <c r="J24" s="1470"/>
      <c r="K24" s="1472"/>
      <c r="L24" s="1473"/>
    </row>
    <row r="25" spans="2:12" ht="20.100000000000001" customHeight="1" x14ac:dyDescent="0.2">
      <c r="B25" s="1462">
        <f>+'40b2'!B25</f>
        <v>0</v>
      </c>
      <c r="C25" s="1467">
        <f>+'40b2'!D25</f>
        <v>0</v>
      </c>
      <c r="D25" s="1472"/>
      <c r="E25" s="1472"/>
      <c r="F25" s="1472">
        <f t="shared" si="0"/>
        <v>0</v>
      </c>
      <c r="G25" s="1472"/>
      <c r="H25" s="1472"/>
      <c r="I25" s="1472"/>
      <c r="J25" s="1470"/>
      <c r="K25" s="1472"/>
      <c r="L25" s="1473"/>
    </row>
    <row r="26" spans="2:12" ht="20.100000000000001" customHeight="1" x14ac:dyDescent="0.2">
      <c r="B26" s="1462">
        <f>+'40b2'!B26</f>
        <v>0</v>
      </c>
      <c r="C26" s="1467">
        <f>+'40b2'!D26</f>
        <v>0</v>
      </c>
      <c r="D26" s="1472"/>
      <c r="E26" s="1472"/>
      <c r="F26" s="1472">
        <f t="shared" si="0"/>
        <v>0</v>
      </c>
      <c r="G26" s="1472"/>
      <c r="H26" s="1472"/>
      <c r="I26" s="1472"/>
      <c r="J26" s="1470"/>
      <c r="K26" s="1472"/>
      <c r="L26" s="1473"/>
    </row>
    <row r="27" spans="2:12" ht="20.100000000000001" customHeight="1" x14ac:dyDescent="0.2">
      <c r="B27" s="1462">
        <f>+'40b2'!B27</f>
        <v>0</v>
      </c>
      <c r="C27" s="1467">
        <f>+'40b2'!D27</f>
        <v>0</v>
      </c>
      <c r="D27" s="1472"/>
      <c r="E27" s="1472"/>
      <c r="F27" s="1472">
        <f t="shared" si="0"/>
        <v>0</v>
      </c>
      <c r="G27" s="1472"/>
      <c r="H27" s="1472"/>
      <c r="I27" s="1472"/>
      <c r="J27" s="1470"/>
      <c r="K27" s="1472"/>
      <c r="L27" s="1473"/>
    </row>
    <row r="28" spans="2:12" ht="20.100000000000001" customHeight="1" x14ac:dyDescent="0.2">
      <c r="B28" s="1462">
        <f>+'40b2'!B28</f>
        <v>0</v>
      </c>
      <c r="C28" s="1467">
        <f>+'40b2'!D28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3328</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qq+traz2srF0/7YPsDkbBQGVhVzubOnG9AQVpmA0/eSzNd/wxTIA4M6oa0dQtYP0/Hg5yN2Ei4ESZTw38H3MIA==" saltValue="NYGZTpUBUpSUEjInHOFY0g=="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sheetPr codeName="Sheet156">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+'40b3'!B11</f>
        <v>0</v>
      </c>
      <c r="C11" s="1466">
        <f>+'40b3'!D11</f>
        <v>0</v>
      </c>
      <c r="D11" s="1469"/>
      <c r="E11" s="1469"/>
      <c r="F11" s="1469">
        <f>+C11*0.05</f>
        <v>0</v>
      </c>
      <c r="G11" s="1469"/>
      <c r="H11" s="1469"/>
      <c r="I11" s="1469"/>
      <c r="J11" s="1470"/>
      <c r="K11" s="1469"/>
      <c r="L11" s="1471"/>
    </row>
    <row r="12" spans="2:12" ht="20.100000000000001" customHeight="1" x14ac:dyDescent="0.2">
      <c r="B12" s="1462">
        <f>+'40b3'!B12</f>
        <v>0</v>
      </c>
      <c r="C12" s="1467">
        <f>+'40b3'!D12</f>
        <v>0</v>
      </c>
      <c r="D12" s="1472"/>
      <c r="E12" s="1472"/>
      <c r="F12" s="1472">
        <f>+C12*0.05</f>
        <v>0</v>
      </c>
      <c r="G12" s="1472"/>
      <c r="H12" s="1472"/>
      <c r="I12" s="1472"/>
      <c r="J12" s="1470"/>
      <c r="K12" s="1472"/>
      <c r="L12" s="1473"/>
    </row>
    <row r="13" spans="2:12" ht="20.100000000000001" customHeight="1" x14ac:dyDescent="0.2">
      <c r="B13" s="1462">
        <f>+'40b3'!B13</f>
        <v>0</v>
      </c>
      <c r="C13" s="1467">
        <f>+'40b3'!D13</f>
        <v>0</v>
      </c>
      <c r="D13" s="1472"/>
      <c r="E13" s="1472"/>
      <c r="F13" s="1472">
        <f t="shared" ref="F13:F28" si="0">+C13*0.05</f>
        <v>0</v>
      </c>
      <c r="G13" s="1472"/>
      <c r="H13" s="1472"/>
      <c r="I13" s="1472"/>
      <c r="J13" s="1470"/>
      <c r="K13" s="1472"/>
      <c r="L13" s="1473"/>
    </row>
    <row r="14" spans="2:12" ht="20.100000000000001" customHeight="1" x14ac:dyDescent="0.2">
      <c r="B14" s="1462">
        <f>+'40b3'!B14</f>
        <v>0</v>
      </c>
      <c r="C14" s="1467">
        <f>+'40b3'!D14</f>
        <v>0</v>
      </c>
      <c r="D14" s="1472"/>
      <c r="E14" s="1472"/>
      <c r="F14" s="1472">
        <f t="shared" si="0"/>
        <v>0</v>
      </c>
      <c r="G14" s="1472"/>
      <c r="H14" s="1472"/>
      <c r="I14" s="1472"/>
      <c r="J14" s="1470"/>
      <c r="K14" s="1472"/>
      <c r="L14" s="1473"/>
    </row>
    <row r="15" spans="2:12" ht="20.100000000000001" customHeight="1" x14ac:dyDescent="0.2">
      <c r="B15" s="1462">
        <f>+'40b3'!B15</f>
        <v>0</v>
      </c>
      <c r="C15" s="1467">
        <f>+'40b3'!D15</f>
        <v>0</v>
      </c>
      <c r="D15" s="1472"/>
      <c r="E15" s="1472"/>
      <c r="F15" s="1472">
        <f t="shared" si="0"/>
        <v>0</v>
      </c>
      <c r="G15" s="1472"/>
      <c r="H15" s="1472"/>
      <c r="I15" s="1472"/>
      <c r="J15" s="1470"/>
      <c r="K15" s="1472"/>
      <c r="L15" s="1473"/>
    </row>
    <row r="16" spans="2:12" ht="20.100000000000001" customHeight="1" x14ac:dyDescent="0.2">
      <c r="B16" s="1462">
        <f>+'40b3'!B16</f>
        <v>0</v>
      </c>
      <c r="C16" s="1467">
        <f>+'40b3'!D16</f>
        <v>0</v>
      </c>
      <c r="D16" s="1472"/>
      <c r="E16" s="1472"/>
      <c r="F16" s="1472">
        <f t="shared" si="0"/>
        <v>0</v>
      </c>
      <c r="G16" s="1472"/>
      <c r="H16" s="1472"/>
      <c r="I16" s="1472"/>
      <c r="J16" s="1470"/>
      <c r="K16" s="1472"/>
      <c r="L16" s="1473"/>
    </row>
    <row r="17" spans="2:12" ht="20.100000000000001" customHeight="1" x14ac:dyDescent="0.2">
      <c r="B17" s="1462">
        <f>+'40b3'!B17</f>
        <v>0</v>
      </c>
      <c r="C17" s="1467">
        <f>+'40b3'!D17</f>
        <v>0</v>
      </c>
      <c r="D17" s="1472"/>
      <c r="E17" s="1472"/>
      <c r="F17" s="1472">
        <f t="shared" si="0"/>
        <v>0</v>
      </c>
      <c r="G17" s="1472"/>
      <c r="H17" s="1472"/>
      <c r="I17" s="1472"/>
      <c r="J17" s="1470"/>
      <c r="K17" s="1472"/>
      <c r="L17" s="1473"/>
    </row>
    <row r="18" spans="2:12" ht="20.100000000000001" customHeight="1" x14ac:dyDescent="0.2">
      <c r="B18" s="1462">
        <f>+'40b3'!B18</f>
        <v>0</v>
      </c>
      <c r="C18" s="1467">
        <f>+'40b3'!D18</f>
        <v>0</v>
      </c>
      <c r="D18" s="1472"/>
      <c r="E18" s="1472"/>
      <c r="F18" s="1472">
        <f t="shared" si="0"/>
        <v>0</v>
      </c>
      <c r="G18" s="1472"/>
      <c r="H18" s="1472"/>
      <c r="I18" s="1472"/>
      <c r="J18" s="1470"/>
      <c r="K18" s="1472"/>
      <c r="L18" s="1473"/>
    </row>
    <row r="19" spans="2:12" ht="20.100000000000001" customHeight="1" x14ac:dyDescent="0.2">
      <c r="B19" s="1462">
        <f>+'40b3'!B19</f>
        <v>0</v>
      </c>
      <c r="C19" s="1467">
        <f>+'40b3'!D19</f>
        <v>0</v>
      </c>
      <c r="D19" s="1472"/>
      <c r="E19" s="1472"/>
      <c r="F19" s="1472">
        <f t="shared" si="0"/>
        <v>0</v>
      </c>
      <c r="G19" s="1472"/>
      <c r="H19" s="1472"/>
      <c r="I19" s="1472"/>
      <c r="J19" s="1470"/>
      <c r="K19" s="1472"/>
      <c r="L19" s="1473"/>
    </row>
    <row r="20" spans="2:12" ht="20.100000000000001" customHeight="1" x14ac:dyDescent="0.2">
      <c r="B20" s="1462">
        <f>+'40b3'!B20</f>
        <v>0</v>
      </c>
      <c r="C20" s="1467">
        <f>+'40b3'!D20</f>
        <v>0</v>
      </c>
      <c r="D20" s="1472"/>
      <c r="E20" s="1472"/>
      <c r="F20" s="1472">
        <f t="shared" si="0"/>
        <v>0</v>
      </c>
      <c r="G20" s="1472"/>
      <c r="H20" s="1472"/>
      <c r="I20" s="1472"/>
      <c r="J20" s="1470"/>
      <c r="K20" s="1472"/>
      <c r="L20" s="1473"/>
    </row>
    <row r="21" spans="2:12" ht="20.100000000000001" customHeight="1" x14ac:dyDescent="0.2">
      <c r="B21" s="1462">
        <f>+'40b3'!B21</f>
        <v>0</v>
      </c>
      <c r="C21" s="1467">
        <f>+'40b3'!D21</f>
        <v>0</v>
      </c>
      <c r="D21" s="1472"/>
      <c r="E21" s="1472"/>
      <c r="F21" s="1472">
        <f t="shared" si="0"/>
        <v>0</v>
      </c>
      <c r="G21" s="1472"/>
      <c r="H21" s="1472"/>
      <c r="I21" s="1472"/>
      <c r="J21" s="1470"/>
      <c r="K21" s="1472"/>
      <c r="L21" s="1473"/>
    </row>
    <row r="22" spans="2:12" ht="20.100000000000001" customHeight="1" x14ac:dyDescent="0.2">
      <c r="B22" s="1462">
        <f>+'40b3'!B22</f>
        <v>0</v>
      </c>
      <c r="C22" s="1467">
        <f>+'40b3'!D22</f>
        <v>0</v>
      </c>
      <c r="D22" s="1472"/>
      <c r="E22" s="1472"/>
      <c r="F22" s="1472">
        <f t="shared" si="0"/>
        <v>0</v>
      </c>
      <c r="G22" s="1472"/>
      <c r="H22" s="1472"/>
      <c r="I22" s="1472"/>
      <c r="J22" s="1470"/>
      <c r="K22" s="1472"/>
      <c r="L22" s="1473"/>
    </row>
    <row r="23" spans="2:12" ht="20.100000000000001" customHeight="1" x14ac:dyDescent="0.2">
      <c r="B23" s="1462">
        <f>+'40b3'!B23</f>
        <v>0</v>
      </c>
      <c r="C23" s="1467">
        <f>+'40b3'!D23</f>
        <v>0</v>
      </c>
      <c r="D23" s="1472"/>
      <c r="E23" s="1472"/>
      <c r="F23" s="1472">
        <f t="shared" si="0"/>
        <v>0</v>
      </c>
      <c r="G23" s="1472"/>
      <c r="H23" s="1472"/>
      <c r="I23" s="1472"/>
      <c r="J23" s="1470"/>
      <c r="K23" s="1472"/>
      <c r="L23" s="1473"/>
    </row>
    <row r="24" spans="2:12" ht="20.100000000000001" customHeight="1" x14ac:dyDescent="0.2">
      <c r="B24" s="1462">
        <f>+'40b3'!B24</f>
        <v>0</v>
      </c>
      <c r="C24" s="1467">
        <f>+'40b3'!D24</f>
        <v>0</v>
      </c>
      <c r="D24" s="1472"/>
      <c r="E24" s="1472"/>
      <c r="F24" s="1472">
        <f t="shared" si="0"/>
        <v>0</v>
      </c>
      <c r="G24" s="1472"/>
      <c r="H24" s="1472"/>
      <c r="I24" s="1472"/>
      <c r="J24" s="1470"/>
      <c r="K24" s="1472"/>
      <c r="L24" s="1473"/>
    </row>
    <row r="25" spans="2:12" ht="20.100000000000001" customHeight="1" x14ac:dyDescent="0.2">
      <c r="B25" s="1462">
        <f>+'40b3'!B25</f>
        <v>0</v>
      </c>
      <c r="C25" s="1467">
        <f>+'40b3'!D25</f>
        <v>0</v>
      </c>
      <c r="D25" s="1472"/>
      <c r="E25" s="1472"/>
      <c r="F25" s="1472">
        <f t="shared" si="0"/>
        <v>0</v>
      </c>
      <c r="G25" s="1472"/>
      <c r="H25" s="1472"/>
      <c r="I25" s="1472"/>
      <c r="J25" s="1470"/>
      <c r="K25" s="1472"/>
      <c r="L25" s="1473"/>
    </row>
    <row r="26" spans="2:12" ht="20.100000000000001" customHeight="1" x14ac:dyDescent="0.2">
      <c r="B26" s="1462">
        <f>+'40b3'!B26</f>
        <v>0</v>
      </c>
      <c r="C26" s="1467">
        <f>+'40b3'!D26</f>
        <v>0</v>
      </c>
      <c r="D26" s="1472"/>
      <c r="E26" s="1472"/>
      <c r="F26" s="1472">
        <f t="shared" si="0"/>
        <v>0</v>
      </c>
      <c r="G26" s="1472"/>
      <c r="H26" s="1472"/>
      <c r="I26" s="1472"/>
      <c r="J26" s="1470"/>
      <c r="K26" s="1472"/>
      <c r="L26" s="1473"/>
    </row>
    <row r="27" spans="2:12" ht="20.100000000000001" customHeight="1" x14ac:dyDescent="0.2">
      <c r="B27" s="1462">
        <f>+'40b3'!B27</f>
        <v>0</v>
      </c>
      <c r="C27" s="1467">
        <f>+'40b3'!D27</f>
        <v>0</v>
      </c>
      <c r="D27" s="1472"/>
      <c r="E27" s="1472"/>
      <c r="F27" s="1472">
        <f t="shared" si="0"/>
        <v>0</v>
      </c>
      <c r="G27" s="1472"/>
      <c r="H27" s="1472"/>
      <c r="I27" s="1472"/>
      <c r="J27" s="1470"/>
      <c r="K27" s="1472"/>
      <c r="L27" s="1473"/>
    </row>
    <row r="28" spans="2:12" ht="20.100000000000001" customHeight="1" x14ac:dyDescent="0.2">
      <c r="B28" s="1462">
        <f>+'40b3'!B28</f>
        <v>0</v>
      </c>
      <c r="C28" s="1467">
        <f>+'40b3'!D28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3329</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e5H4szGt6ZcO1q/GWtbufVhTWBHlxI+cgI8eLo8/hxVNLV9Neg+aA6iyfYfcKZQdQRS7KzVz9lgbmwQjzJsG7g==" saltValue="lB0p+zOCRXPPMxwD9koFEA=="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sheetPr codeName="Sheet157">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+'40b4'!B11</f>
        <v>0</v>
      </c>
      <c r="C11" s="1466">
        <f>+'40b4'!D11</f>
        <v>0</v>
      </c>
      <c r="D11" s="1469"/>
      <c r="E11" s="1469"/>
      <c r="F11" s="1469">
        <f>+C11*0.05</f>
        <v>0</v>
      </c>
      <c r="G11" s="1469"/>
      <c r="H11" s="1469"/>
      <c r="I11" s="1469"/>
      <c r="J11" s="1470"/>
      <c r="K11" s="1469"/>
      <c r="L11" s="1471"/>
    </row>
    <row r="12" spans="2:12" ht="20.100000000000001" customHeight="1" x14ac:dyDescent="0.2">
      <c r="B12" s="1462">
        <f>+'40b4'!B12</f>
        <v>0</v>
      </c>
      <c r="C12" s="1467">
        <f>+'40b4'!D12</f>
        <v>0</v>
      </c>
      <c r="D12" s="1472"/>
      <c r="E12" s="1472"/>
      <c r="F12" s="1472">
        <f>+C12*0.05</f>
        <v>0</v>
      </c>
      <c r="G12" s="1472"/>
      <c r="H12" s="1472"/>
      <c r="I12" s="1472"/>
      <c r="J12" s="1470"/>
      <c r="K12" s="1472"/>
      <c r="L12" s="1473"/>
    </row>
    <row r="13" spans="2:12" ht="20.100000000000001" customHeight="1" x14ac:dyDescent="0.2">
      <c r="B13" s="1462">
        <f>+'40b4'!B13</f>
        <v>0</v>
      </c>
      <c r="C13" s="1467">
        <f>+'40b4'!D13</f>
        <v>0</v>
      </c>
      <c r="D13" s="1472"/>
      <c r="E13" s="1472"/>
      <c r="F13" s="1472">
        <f t="shared" ref="F13:F28" si="0">+C13*0.05</f>
        <v>0</v>
      </c>
      <c r="G13" s="1472"/>
      <c r="H13" s="1472"/>
      <c r="I13" s="1472"/>
      <c r="J13" s="1470"/>
      <c r="K13" s="1472"/>
      <c r="L13" s="1473"/>
    </row>
    <row r="14" spans="2:12" ht="20.100000000000001" customHeight="1" x14ac:dyDescent="0.2">
      <c r="B14" s="1462">
        <f>+'40b4'!B14</f>
        <v>0</v>
      </c>
      <c r="C14" s="1467">
        <f>+'40b4'!D14</f>
        <v>0</v>
      </c>
      <c r="D14" s="1472"/>
      <c r="E14" s="1472"/>
      <c r="F14" s="1472">
        <f t="shared" si="0"/>
        <v>0</v>
      </c>
      <c r="G14" s="1472"/>
      <c r="H14" s="1472"/>
      <c r="I14" s="1472"/>
      <c r="J14" s="1470"/>
      <c r="K14" s="1472"/>
      <c r="L14" s="1473"/>
    </row>
    <row r="15" spans="2:12" ht="20.100000000000001" customHeight="1" x14ac:dyDescent="0.2">
      <c r="B15" s="1462">
        <f>+'40b4'!B15</f>
        <v>0</v>
      </c>
      <c r="C15" s="1467">
        <f>+'40b4'!D15</f>
        <v>0</v>
      </c>
      <c r="D15" s="1472"/>
      <c r="E15" s="1472"/>
      <c r="F15" s="1472">
        <f t="shared" si="0"/>
        <v>0</v>
      </c>
      <c r="G15" s="1472"/>
      <c r="H15" s="1472"/>
      <c r="I15" s="1472"/>
      <c r="J15" s="1470"/>
      <c r="K15" s="1472"/>
      <c r="L15" s="1473"/>
    </row>
    <row r="16" spans="2:12" ht="20.100000000000001" customHeight="1" x14ac:dyDescent="0.2">
      <c r="B16" s="1462">
        <f>+'40b4'!B16</f>
        <v>0</v>
      </c>
      <c r="C16" s="1467">
        <f>+'40b4'!D16</f>
        <v>0</v>
      </c>
      <c r="D16" s="1472"/>
      <c r="E16" s="1472"/>
      <c r="F16" s="1472">
        <f t="shared" si="0"/>
        <v>0</v>
      </c>
      <c r="G16" s="1472"/>
      <c r="H16" s="1472"/>
      <c r="I16" s="1472"/>
      <c r="J16" s="1470"/>
      <c r="K16" s="1472"/>
      <c r="L16" s="1473"/>
    </row>
    <row r="17" spans="2:12" ht="20.100000000000001" customHeight="1" x14ac:dyDescent="0.2">
      <c r="B17" s="1462">
        <f>+'40b4'!B17</f>
        <v>0</v>
      </c>
      <c r="C17" s="1467">
        <f>+'40b4'!D17</f>
        <v>0</v>
      </c>
      <c r="D17" s="1472"/>
      <c r="E17" s="1472"/>
      <c r="F17" s="1472">
        <f t="shared" si="0"/>
        <v>0</v>
      </c>
      <c r="G17" s="1472"/>
      <c r="H17" s="1472"/>
      <c r="I17" s="1472"/>
      <c r="J17" s="1470"/>
      <c r="K17" s="1472"/>
      <c r="L17" s="1473"/>
    </row>
    <row r="18" spans="2:12" ht="20.100000000000001" customHeight="1" x14ac:dyDescent="0.2">
      <c r="B18" s="1462">
        <f>+'40b4'!B18</f>
        <v>0</v>
      </c>
      <c r="C18" s="1467">
        <f>+'40b4'!D18</f>
        <v>0</v>
      </c>
      <c r="D18" s="1472"/>
      <c r="E18" s="1472"/>
      <c r="F18" s="1472">
        <f t="shared" si="0"/>
        <v>0</v>
      </c>
      <c r="G18" s="1472"/>
      <c r="H18" s="1472"/>
      <c r="I18" s="1472"/>
      <c r="J18" s="1470"/>
      <c r="K18" s="1472"/>
      <c r="L18" s="1473"/>
    </row>
    <row r="19" spans="2:12" ht="20.100000000000001" customHeight="1" x14ac:dyDescent="0.2">
      <c r="B19" s="1462">
        <f>+'40b4'!B19</f>
        <v>0</v>
      </c>
      <c r="C19" s="1467">
        <f>+'40b4'!D19</f>
        <v>0</v>
      </c>
      <c r="D19" s="1472"/>
      <c r="E19" s="1472"/>
      <c r="F19" s="1472">
        <f t="shared" si="0"/>
        <v>0</v>
      </c>
      <c r="G19" s="1472"/>
      <c r="H19" s="1472"/>
      <c r="I19" s="1472"/>
      <c r="J19" s="1470"/>
      <c r="K19" s="1472"/>
      <c r="L19" s="1473"/>
    </row>
    <row r="20" spans="2:12" ht="20.100000000000001" customHeight="1" x14ac:dyDescent="0.2">
      <c r="B20" s="1462">
        <f>+'40b4'!B20</f>
        <v>0</v>
      </c>
      <c r="C20" s="1467">
        <f>+'40b4'!D20</f>
        <v>0</v>
      </c>
      <c r="D20" s="1472"/>
      <c r="E20" s="1472"/>
      <c r="F20" s="1472">
        <f t="shared" si="0"/>
        <v>0</v>
      </c>
      <c r="G20" s="1472"/>
      <c r="H20" s="1472"/>
      <c r="I20" s="1472"/>
      <c r="J20" s="1470"/>
      <c r="K20" s="1472"/>
      <c r="L20" s="1473"/>
    </row>
    <row r="21" spans="2:12" ht="20.100000000000001" customHeight="1" x14ac:dyDescent="0.2">
      <c r="B21" s="1462">
        <f>+'40b4'!B21</f>
        <v>0</v>
      </c>
      <c r="C21" s="1467">
        <f>+'40b4'!D21</f>
        <v>0</v>
      </c>
      <c r="D21" s="1472"/>
      <c r="E21" s="1472"/>
      <c r="F21" s="1472">
        <f t="shared" si="0"/>
        <v>0</v>
      </c>
      <c r="G21" s="1472"/>
      <c r="H21" s="1472"/>
      <c r="I21" s="1472"/>
      <c r="J21" s="1470"/>
      <c r="K21" s="1472"/>
      <c r="L21" s="1473"/>
    </row>
    <row r="22" spans="2:12" ht="20.100000000000001" customHeight="1" x14ac:dyDescent="0.2">
      <c r="B22" s="1462">
        <f>+'40b4'!B22</f>
        <v>0</v>
      </c>
      <c r="C22" s="1467">
        <f>+'40b4'!D22</f>
        <v>0</v>
      </c>
      <c r="D22" s="1472"/>
      <c r="E22" s="1472"/>
      <c r="F22" s="1472">
        <f t="shared" si="0"/>
        <v>0</v>
      </c>
      <c r="G22" s="1472"/>
      <c r="H22" s="1472"/>
      <c r="I22" s="1472"/>
      <c r="J22" s="1470"/>
      <c r="K22" s="1472"/>
      <c r="L22" s="1473"/>
    </row>
    <row r="23" spans="2:12" ht="20.100000000000001" customHeight="1" x14ac:dyDescent="0.2">
      <c r="B23" s="1462">
        <f>+'40b4'!B23</f>
        <v>0</v>
      </c>
      <c r="C23" s="1467">
        <f>+'40b4'!D23</f>
        <v>0</v>
      </c>
      <c r="D23" s="1472"/>
      <c r="E23" s="1472"/>
      <c r="F23" s="1472">
        <f t="shared" si="0"/>
        <v>0</v>
      </c>
      <c r="G23" s="1472"/>
      <c r="H23" s="1472"/>
      <c r="I23" s="1472"/>
      <c r="J23" s="1470"/>
      <c r="K23" s="1472"/>
      <c r="L23" s="1473"/>
    </row>
    <row r="24" spans="2:12" ht="20.100000000000001" customHeight="1" x14ac:dyDescent="0.2">
      <c r="B24" s="1462">
        <f>+'40b4'!B24</f>
        <v>0</v>
      </c>
      <c r="C24" s="1467">
        <f>+'40b4'!D24</f>
        <v>0</v>
      </c>
      <c r="D24" s="1472"/>
      <c r="E24" s="1472"/>
      <c r="F24" s="1472">
        <f t="shared" si="0"/>
        <v>0</v>
      </c>
      <c r="G24" s="1472"/>
      <c r="H24" s="1472"/>
      <c r="I24" s="1472"/>
      <c r="J24" s="1470"/>
      <c r="K24" s="1472"/>
      <c r="L24" s="1473"/>
    </row>
    <row r="25" spans="2:12" ht="20.100000000000001" customHeight="1" x14ac:dyDescent="0.2">
      <c r="B25" s="1462">
        <f>+'40b4'!B25</f>
        <v>0</v>
      </c>
      <c r="C25" s="1467">
        <f>+'40b4'!D25</f>
        <v>0</v>
      </c>
      <c r="D25" s="1472"/>
      <c r="E25" s="1472"/>
      <c r="F25" s="1472">
        <f t="shared" si="0"/>
        <v>0</v>
      </c>
      <c r="G25" s="1472"/>
      <c r="H25" s="1472"/>
      <c r="I25" s="1472"/>
      <c r="J25" s="1470"/>
      <c r="K25" s="1472"/>
      <c r="L25" s="1473"/>
    </row>
    <row r="26" spans="2:12" ht="20.100000000000001" customHeight="1" x14ac:dyDescent="0.2">
      <c r="B26" s="1462">
        <f>+'40b4'!B26</f>
        <v>0</v>
      </c>
      <c r="C26" s="1467">
        <f>+'40b4'!D26</f>
        <v>0</v>
      </c>
      <c r="D26" s="1472"/>
      <c r="E26" s="1472"/>
      <c r="F26" s="1472">
        <f t="shared" si="0"/>
        <v>0</v>
      </c>
      <c r="G26" s="1472"/>
      <c r="H26" s="1472"/>
      <c r="I26" s="1472"/>
      <c r="J26" s="1470"/>
      <c r="K26" s="1472"/>
      <c r="L26" s="1473"/>
    </row>
    <row r="27" spans="2:12" ht="20.100000000000001" customHeight="1" x14ac:dyDescent="0.2">
      <c r="B27" s="1462">
        <f>+'40b4'!B27</f>
        <v>0</v>
      </c>
      <c r="C27" s="1467">
        <f>+'40b4'!D27</f>
        <v>0</v>
      </c>
      <c r="D27" s="1472"/>
      <c r="E27" s="1472"/>
      <c r="F27" s="1472">
        <f t="shared" si="0"/>
        <v>0</v>
      </c>
      <c r="G27" s="1472"/>
      <c r="H27" s="1472"/>
      <c r="I27" s="1472"/>
      <c r="J27" s="1470"/>
      <c r="K27" s="1472"/>
      <c r="L27" s="1473"/>
    </row>
    <row r="28" spans="2:12" ht="20.100000000000001" customHeight="1" x14ac:dyDescent="0.2">
      <c r="B28" s="1462">
        <f>+'40b4'!B28</f>
        <v>0</v>
      </c>
      <c r="C28" s="1467">
        <f>+'40b4'!D28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3330</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7Hedi4Y1LrqGiHfyOLCQH4RA3NRSGyTQyuSZmrL+YDbH4qM4iVYUMmHOLMjujKxz3+nrXIH8JgDLrEG5FyU6Ew==" saltValue="5wxKK/h7+Kh9f2qFpp+RXQ=="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
  <dimension ref="A1:U44"/>
  <sheetViews>
    <sheetView showZeros="0" topLeftCell="B23" zoomScaleNormal="100" workbookViewId="0">
      <selection activeCell="P54" sqref="P54"/>
    </sheetView>
  </sheetViews>
  <sheetFormatPr defaultRowHeight="12.75" x14ac:dyDescent="0.2"/>
  <cols>
    <col min="1" max="1" width="1.85546875" hidden="1" customWidth="1"/>
    <col min="2" max="2" width="1.85546875" customWidth="1"/>
    <col min="3" max="3" width="5.7109375" customWidth="1"/>
    <col min="4" max="4" width="13" customWidth="1"/>
    <col min="5" max="5" width="6.5703125" customWidth="1"/>
    <col min="6" max="6" width="10" customWidth="1"/>
    <col min="7" max="7" width="7" customWidth="1"/>
    <col min="8" max="8" width="15.7109375" customWidth="1"/>
    <col min="9" max="9" width="7.140625" customWidth="1"/>
    <col min="10" max="10" width="10.7109375" customWidth="1"/>
    <col min="11" max="11" width="4.7109375" customWidth="1"/>
    <col min="12" max="12" width="2.7109375" customWidth="1"/>
    <col min="13" max="13" width="6.7109375" customWidth="1"/>
    <col min="14" max="14" width="5.7109375" customWidth="1"/>
    <col min="15" max="15" width="10.42578125" customWidth="1"/>
    <col min="18" max="18" width="7.140625" customWidth="1"/>
    <col min="21" max="21" width="14.7109375" customWidth="1"/>
  </cols>
  <sheetData>
    <row r="1" spans="2:21" ht="9" customHeight="1" x14ac:dyDescent="0.25">
      <c r="U1" s="375"/>
    </row>
    <row r="2" spans="2:21" ht="22.5" customHeight="1" x14ac:dyDescent="0.35">
      <c r="B2" s="1665" t="str">
        <f>'Key Inputs'!E34</f>
        <v>2021</v>
      </c>
      <c r="C2" s="1666"/>
      <c r="D2" s="1666"/>
      <c r="E2" s="1666"/>
      <c r="F2" s="1666"/>
      <c r="G2" s="1666"/>
      <c r="H2" s="1666"/>
      <c r="I2" s="1666"/>
      <c r="J2" s="1666"/>
      <c r="K2" s="1666"/>
      <c r="L2" s="1666"/>
      <c r="M2" s="1666"/>
      <c r="N2" s="1666"/>
      <c r="O2" s="1666"/>
      <c r="P2" s="1666"/>
      <c r="Q2" s="1666"/>
      <c r="R2" s="1666"/>
      <c r="S2" s="1666"/>
      <c r="T2" s="1666"/>
      <c r="U2" s="1666"/>
    </row>
    <row r="3" spans="2:21" ht="22.5" customHeight="1" x14ac:dyDescent="0.35">
      <c r="B3" s="1669" t="s">
        <v>846</v>
      </c>
      <c r="C3" s="1669"/>
      <c r="D3" s="1669"/>
      <c r="E3" s="1669"/>
      <c r="F3" s="1669"/>
      <c r="G3" s="1669"/>
      <c r="H3" s="1669"/>
      <c r="I3" s="1669"/>
      <c r="J3" s="1669"/>
      <c r="K3" s="1669"/>
      <c r="L3" s="1669"/>
      <c r="M3" s="1669"/>
      <c r="N3" s="1669"/>
      <c r="O3" s="1669"/>
      <c r="P3" s="1669"/>
      <c r="Q3" s="1669"/>
      <c r="R3" s="1669"/>
      <c r="S3" s="1669"/>
      <c r="T3" s="1669"/>
      <c r="U3" s="1669"/>
    </row>
    <row r="4" spans="2:21" ht="7.5" customHeight="1" x14ac:dyDescent="0.2"/>
    <row r="5" spans="2:21" ht="15" x14ac:dyDescent="0.25">
      <c r="B5" t="s">
        <v>847</v>
      </c>
      <c r="E5" s="1667" t="str">
        <f>+'Key Inputs'!E8</f>
        <v>TOWNSHIP</v>
      </c>
      <c r="F5" s="1667"/>
      <c r="G5" s="1667"/>
      <c r="H5" s="1667"/>
      <c r="I5" s="311" t="s">
        <v>417</v>
      </c>
      <c r="J5" s="1667" t="str">
        <f>+'Key Inputs'!E7</f>
        <v>GREENWICH</v>
      </c>
      <c r="K5" s="1667"/>
      <c r="L5" s="1667"/>
      <c r="M5" s="1667"/>
      <c r="N5" s="1667"/>
      <c r="O5" s="311" t="s">
        <v>447</v>
      </c>
      <c r="P5" s="1667" t="str">
        <f>+'Key Inputs'!E6</f>
        <v>CUMBERLAND</v>
      </c>
      <c r="Q5" s="1667"/>
      <c r="R5" s="1667"/>
      <c r="S5" t="str">
        <f>"for the Fiscal Year "&amp;'Key Inputs'!E34&amp;"."</f>
        <v>for the Fiscal Year 2021.</v>
      </c>
    </row>
    <row r="6" spans="2:21" ht="12" customHeight="1" thickBot="1" x14ac:dyDescent="0.25">
      <c r="B6" s="2"/>
      <c r="C6" s="2"/>
      <c r="D6" s="2"/>
      <c r="E6" s="2"/>
      <c r="F6" s="2"/>
      <c r="G6" s="2"/>
      <c r="H6" s="2"/>
      <c r="I6" s="2"/>
      <c r="J6" s="2"/>
      <c r="K6" s="2"/>
      <c r="L6" s="2"/>
      <c r="M6" s="2"/>
      <c r="N6" s="2"/>
      <c r="O6" s="2"/>
      <c r="P6" s="2"/>
      <c r="Q6" s="2"/>
      <c r="R6" s="2"/>
      <c r="S6" s="2"/>
      <c r="T6" s="2"/>
      <c r="U6" s="2"/>
    </row>
    <row r="7" spans="2:21" ht="9" customHeight="1" thickTop="1" x14ac:dyDescent="0.2"/>
    <row r="8" spans="2:21" x14ac:dyDescent="0.2">
      <c r="D8" t="s">
        <v>610</v>
      </c>
      <c r="Q8" s="1668"/>
      <c r="R8" s="1668"/>
      <c r="S8" s="1668"/>
      <c r="T8" s="1668"/>
    </row>
    <row r="9" spans="2:21" x14ac:dyDescent="0.2">
      <c r="C9" t="s">
        <v>848</v>
      </c>
      <c r="Q9" s="1671" t="s">
        <v>463</v>
      </c>
      <c r="R9" s="1671"/>
      <c r="S9" s="1671"/>
      <c r="T9" s="1671"/>
    </row>
    <row r="10" spans="2:21" x14ac:dyDescent="0.2">
      <c r="Q10" s="1661" t="str">
        <f>+'Key Inputs'!E11</f>
        <v>PO BOX 64</v>
      </c>
      <c r="R10" s="1661"/>
      <c r="S10" s="1661"/>
      <c r="T10" s="1661"/>
    </row>
    <row r="11" spans="2:21" x14ac:dyDescent="0.2">
      <c r="C11" s="1661" t="str">
        <f>+'Key Inputs'!E25</f>
        <v>20th</v>
      </c>
      <c r="D11" s="1661"/>
      <c r="E11" t="s">
        <v>780</v>
      </c>
      <c r="F11" s="1661" t="str">
        <f>+'Key Inputs'!F25</f>
        <v>APRIL</v>
      </c>
      <c r="G11" s="1661"/>
      <c r="H11" s="1661"/>
      <c r="I11" t="str">
        <f>", "&amp;'Key Inputs'!$E$34</f>
        <v>, 2021</v>
      </c>
      <c r="Q11" s="1671" t="s">
        <v>459</v>
      </c>
      <c r="R11" s="1671"/>
      <c r="S11" s="1671"/>
      <c r="T11" s="1671"/>
    </row>
    <row r="12" spans="2:21" x14ac:dyDescent="0.2">
      <c r="C12" t="s">
        <v>3355</v>
      </c>
      <c r="Q12" s="1661" t="str">
        <f>+'Key Inputs'!E12</f>
        <v>GREENWICH, NJ  08323</v>
      </c>
      <c r="R12" s="1661"/>
      <c r="S12" s="1661"/>
      <c r="T12" s="1661"/>
    </row>
    <row r="13" spans="2:21" x14ac:dyDescent="0.2">
      <c r="C13" t="s">
        <v>849</v>
      </c>
      <c r="Q13" s="1671" t="s">
        <v>459</v>
      </c>
      <c r="R13" s="1671"/>
      <c r="S13" s="1671"/>
      <c r="T13" s="1671"/>
    </row>
    <row r="14" spans="2:21" x14ac:dyDescent="0.2">
      <c r="F14" t="s">
        <v>850</v>
      </c>
      <c r="H14" s="232" t="str">
        <f>+'Key Inputs'!E25</f>
        <v>20th</v>
      </c>
      <c r="I14" t="s">
        <v>780</v>
      </c>
      <c r="J14" s="1661" t="str">
        <f>+'Key Inputs'!F25</f>
        <v>APRIL</v>
      </c>
      <c r="K14" s="1661"/>
      <c r="L14" t="str">
        <f>", "&amp;'Key Inputs'!$E$34</f>
        <v>, 2021</v>
      </c>
      <c r="Q14" s="1661" t="str">
        <f>+'Key Inputs'!E13</f>
        <v>(856) 207-0330</v>
      </c>
      <c r="R14" s="1661"/>
      <c r="S14" s="1661"/>
      <c r="T14" s="1661"/>
    </row>
    <row r="15" spans="2:21" ht="13.5" thickBot="1" x14ac:dyDescent="0.25">
      <c r="B15" s="2"/>
      <c r="C15" s="2"/>
      <c r="D15" s="2"/>
      <c r="E15" s="2"/>
      <c r="F15" s="2"/>
      <c r="G15" s="2"/>
      <c r="H15" s="2"/>
      <c r="I15" s="2"/>
      <c r="J15" s="2"/>
      <c r="K15" s="2"/>
      <c r="Q15" s="1670" t="s">
        <v>854</v>
      </c>
      <c r="R15" s="1670"/>
      <c r="S15" s="1670"/>
      <c r="T15" s="1670"/>
    </row>
    <row r="16" spans="2:21" ht="13.5" thickTop="1" x14ac:dyDescent="0.2">
      <c r="K16" s="6"/>
      <c r="L16" s="221"/>
      <c r="M16" s="222"/>
      <c r="N16" s="222"/>
      <c r="O16" s="222"/>
      <c r="P16" s="222"/>
      <c r="Q16" s="222"/>
      <c r="R16" s="222"/>
      <c r="S16" s="222"/>
      <c r="T16" s="222"/>
      <c r="U16" s="222"/>
    </row>
    <row r="17" spans="2:21" x14ac:dyDescent="0.2">
      <c r="D17" t="s">
        <v>851</v>
      </c>
      <c r="K17" s="7"/>
      <c r="O17" t="s">
        <v>851</v>
      </c>
    </row>
    <row r="18" spans="2:21" x14ac:dyDescent="0.2">
      <c r="C18" t="s">
        <v>852</v>
      </c>
      <c r="K18" s="7"/>
      <c r="N18" t="s">
        <v>852</v>
      </c>
    </row>
    <row r="19" spans="2:21" x14ac:dyDescent="0.2">
      <c r="C19" t="s">
        <v>665</v>
      </c>
      <c r="K19" s="7"/>
      <c r="N19" t="s">
        <v>664</v>
      </c>
    </row>
    <row r="20" spans="2:21" x14ac:dyDescent="0.2">
      <c r="C20" t="s">
        <v>853</v>
      </c>
      <c r="K20" s="7"/>
      <c r="N20" t="s">
        <v>859</v>
      </c>
    </row>
    <row r="21" spans="2:21" x14ac:dyDescent="0.2">
      <c r="K21" s="7"/>
      <c r="N21" t="s">
        <v>3356</v>
      </c>
    </row>
    <row r="22" spans="2:21" x14ac:dyDescent="0.2">
      <c r="C22" t="s">
        <v>850</v>
      </c>
      <c r="E22" s="1661" t="str">
        <f>+'Key Inputs'!E25</f>
        <v>20th</v>
      </c>
      <c r="F22" s="1661"/>
      <c r="G22" s="311" t="s">
        <v>780</v>
      </c>
      <c r="H22" s="1661" t="str">
        <f>+'Key Inputs'!F25</f>
        <v>APRIL</v>
      </c>
      <c r="I22" s="1661"/>
      <c r="J22" s="630" t="str">
        <f>", "&amp;'Key Inputs'!$E$34</f>
        <v>, 2021</v>
      </c>
      <c r="L22" s="184"/>
    </row>
    <row r="23" spans="2:21" x14ac:dyDescent="0.2">
      <c r="K23" s="7"/>
      <c r="N23" s="264" t="s">
        <v>860</v>
      </c>
      <c r="P23" s="1661" t="str">
        <f>+'Key Inputs'!E25</f>
        <v>20th</v>
      </c>
      <c r="Q23" s="1661"/>
      <c r="R23" t="s">
        <v>780</v>
      </c>
      <c r="S23" s="1661" t="str">
        <f>+'Key Inputs'!F25</f>
        <v>APRIL</v>
      </c>
      <c r="T23" s="1661"/>
      <c r="U23" t="str">
        <f>", "&amp;'Key Inputs'!$E$34</f>
        <v>, 2021</v>
      </c>
    </row>
    <row r="24" spans="2:21" x14ac:dyDescent="0.2">
      <c r="C24" s="1672" t="s">
        <v>6362</v>
      </c>
      <c r="D24" s="1668"/>
      <c r="E24" s="1668"/>
      <c r="F24" s="1668"/>
      <c r="H24" s="1672" t="s">
        <v>6261</v>
      </c>
      <c r="I24" s="1668"/>
      <c r="J24" s="1668"/>
      <c r="K24" s="7"/>
    </row>
    <row r="25" spans="2:21" x14ac:dyDescent="0.2">
      <c r="C25" s="1671" t="s">
        <v>466</v>
      </c>
      <c r="D25" s="1671"/>
      <c r="E25" s="1671"/>
      <c r="F25" s="1671"/>
      <c r="H25" s="1671" t="s">
        <v>459</v>
      </c>
      <c r="I25" s="1671"/>
      <c r="J25" s="1671"/>
      <c r="K25" s="7"/>
      <c r="P25" s="1672" t="s">
        <v>6363</v>
      </c>
      <c r="Q25" s="1668"/>
      <c r="R25" s="1668"/>
      <c r="S25" s="1668"/>
    </row>
    <row r="26" spans="2:21" x14ac:dyDescent="0.2">
      <c r="C26" s="1672" t="s">
        <v>6262</v>
      </c>
      <c r="D26" s="1668"/>
      <c r="E26" s="1668"/>
      <c r="F26" s="1668"/>
      <c r="H26" s="1672" t="s">
        <v>6263</v>
      </c>
      <c r="I26" s="1668"/>
      <c r="J26" s="1668"/>
      <c r="K26" s="7"/>
      <c r="P26" s="1671" t="s">
        <v>464</v>
      </c>
      <c r="Q26" s="1671"/>
      <c r="R26" s="1671"/>
      <c r="S26" s="1671"/>
    </row>
    <row r="27" spans="2:21" x14ac:dyDescent="0.2">
      <c r="C27" s="1671" t="s">
        <v>459</v>
      </c>
      <c r="D27" s="1671"/>
      <c r="E27" s="1671"/>
      <c r="F27" s="1671"/>
      <c r="H27" s="1671" t="s">
        <v>854</v>
      </c>
      <c r="I27" s="1671"/>
      <c r="J27" s="1671"/>
      <c r="K27" s="7"/>
    </row>
    <row r="28" spans="2:21" ht="6" customHeight="1" thickBot="1" x14ac:dyDescent="0.25">
      <c r="B28" s="2"/>
      <c r="C28" s="2"/>
      <c r="D28" s="2"/>
      <c r="E28" s="2"/>
      <c r="F28" s="2"/>
      <c r="G28" s="2"/>
      <c r="H28" s="2"/>
      <c r="I28" s="2"/>
      <c r="J28" s="2"/>
      <c r="K28" s="8"/>
      <c r="L28" s="188"/>
      <c r="M28" s="2"/>
      <c r="N28" s="2"/>
      <c r="O28" s="2"/>
      <c r="P28" s="2"/>
      <c r="Q28" s="2"/>
      <c r="R28" s="2"/>
      <c r="S28" s="2"/>
      <c r="T28" s="2"/>
      <c r="U28" s="2"/>
    </row>
    <row r="29" spans="2:21" ht="15" customHeight="1" thickTop="1" x14ac:dyDescent="0.2">
      <c r="B29" s="253"/>
      <c r="C29" s="253"/>
      <c r="D29" s="253"/>
      <c r="E29" s="253"/>
      <c r="F29" s="253"/>
      <c r="G29" s="253"/>
      <c r="H29" s="356"/>
      <c r="I29" s="1674" t="s">
        <v>858</v>
      </c>
      <c r="J29" s="1675"/>
      <c r="K29" s="1675"/>
      <c r="L29" s="1675"/>
      <c r="M29" s="1675"/>
      <c r="N29" s="1675"/>
      <c r="O29" s="1676"/>
      <c r="P29" s="253"/>
      <c r="Q29" s="253"/>
      <c r="R29" s="253"/>
      <c r="S29" s="253"/>
      <c r="T29" s="253"/>
      <c r="U29" s="253"/>
    </row>
    <row r="30" spans="2:21" ht="3" customHeight="1" x14ac:dyDescent="0.2">
      <c r="B30" s="5"/>
      <c r="C30" s="5"/>
      <c r="D30" s="5"/>
      <c r="E30" s="5"/>
      <c r="F30" s="5"/>
      <c r="G30" s="5"/>
      <c r="H30" s="172"/>
      <c r="I30" s="5"/>
      <c r="J30" s="5"/>
      <c r="K30" s="5"/>
      <c r="L30" s="5"/>
      <c r="M30" s="5"/>
      <c r="N30" s="5"/>
      <c r="O30" s="172"/>
      <c r="P30" s="5"/>
      <c r="Q30" s="5"/>
      <c r="R30" s="5"/>
      <c r="S30" s="5"/>
      <c r="T30" s="5"/>
      <c r="U30" s="5"/>
    </row>
    <row r="31" spans="2:21" ht="3" customHeight="1" thickBot="1" x14ac:dyDescent="0.25">
      <c r="B31" s="258"/>
      <c r="C31" s="258"/>
      <c r="D31" s="258"/>
      <c r="E31" s="258"/>
      <c r="F31" s="258"/>
      <c r="G31" s="258"/>
      <c r="H31" s="357"/>
      <c r="I31" s="258"/>
      <c r="J31" s="258"/>
      <c r="K31" s="258"/>
      <c r="L31" s="258"/>
      <c r="M31" s="258"/>
      <c r="N31" s="258"/>
      <c r="O31" s="357"/>
      <c r="P31" s="258"/>
      <c r="Q31" s="258"/>
      <c r="R31" s="258"/>
      <c r="S31" s="258"/>
      <c r="T31" s="258"/>
      <c r="U31" s="258"/>
    </row>
    <row r="32" spans="2:21" ht="3" customHeight="1" thickTop="1" x14ac:dyDescent="0.2"/>
    <row r="33" spans="2:21" ht="15" x14ac:dyDescent="0.25">
      <c r="B33" s="1677" t="s">
        <v>94</v>
      </c>
      <c r="C33" s="1678"/>
      <c r="D33" s="1678"/>
      <c r="E33" s="1678"/>
      <c r="F33" s="1678"/>
      <c r="G33" s="1678"/>
      <c r="H33" s="1678"/>
      <c r="I33" s="1678"/>
      <c r="J33" s="1679"/>
      <c r="L33" s="1680"/>
      <c r="M33" s="1680"/>
      <c r="N33" s="1680"/>
      <c r="O33" s="1680"/>
      <c r="P33" s="1680"/>
      <c r="Q33" s="1680"/>
      <c r="R33" s="1680"/>
      <c r="S33" s="1680"/>
      <c r="T33" s="1680"/>
      <c r="U33" s="1680"/>
    </row>
    <row r="34" spans="2:21" x14ac:dyDescent="0.2">
      <c r="B34" s="282"/>
      <c r="C34" s="1681" t="s">
        <v>862</v>
      </c>
      <c r="D34" s="1681"/>
      <c r="E34" s="1681"/>
      <c r="F34" s="1681"/>
      <c r="G34" s="1681"/>
      <c r="H34" s="1681"/>
      <c r="I34" s="1681"/>
      <c r="J34" s="1682"/>
      <c r="K34" s="415"/>
      <c r="L34" s="63"/>
      <c r="M34" s="63"/>
      <c r="N34" s="63"/>
      <c r="O34" s="63"/>
      <c r="P34" s="63"/>
      <c r="Q34" s="63"/>
      <c r="R34" s="63"/>
      <c r="S34" s="63"/>
      <c r="T34" s="63"/>
      <c r="U34" s="63"/>
    </row>
    <row r="35" spans="2:21" ht="11.1" customHeight="1" x14ac:dyDescent="0.2">
      <c r="B35" s="354"/>
      <c r="C35" s="628" t="s">
        <v>3335</v>
      </c>
      <c r="D35" s="628"/>
      <c r="E35" s="628"/>
      <c r="F35" s="628"/>
      <c r="G35" s="628"/>
      <c r="H35" s="628"/>
      <c r="I35" s="628"/>
      <c r="J35" s="629"/>
      <c r="L35" s="63"/>
      <c r="M35" s="413"/>
      <c r="N35" s="355"/>
      <c r="O35" s="63"/>
      <c r="P35" s="63"/>
      <c r="Q35" s="63"/>
      <c r="R35" s="63"/>
      <c r="S35" s="63"/>
      <c r="T35" s="63"/>
      <c r="U35" s="63"/>
    </row>
    <row r="36" spans="2:21" ht="11.1" customHeight="1" x14ac:dyDescent="0.2">
      <c r="B36" s="354"/>
      <c r="C36" s="628" t="s">
        <v>3336</v>
      </c>
      <c r="D36" s="628"/>
      <c r="E36" s="628"/>
      <c r="F36" s="628"/>
      <c r="G36" s="628"/>
      <c r="H36" s="628"/>
      <c r="I36" s="628"/>
      <c r="J36" s="629"/>
      <c r="L36" s="63"/>
      <c r="M36" s="413"/>
      <c r="N36" s="355"/>
      <c r="O36" s="63"/>
      <c r="P36" s="63"/>
      <c r="Q36" s="63"/>
      <c r="R36" s="63"/>
      <c r="S36" s="63"/>
      <c r="T36" s="63"/>
      <c r="U36" s="63"/>
    </row>
    <row r="37" spans="2:21" ht="11.1" customHeight="1" x14ac:dyDescent="0.2">
      <c r="B37" s="354"/>
      <c r="C37" s="628" t="s">
        <v>3338</v>
      </c>
      <c r="D37" s="628"/>
      <c r="E37" s="628"/>
      <c r="F37" s="628"/>
      <c r="G37" s="628"/>
      <c r="H37" s="628"/>
      <c r="I37" s="628"/>
      <c r="J37" s="287"/>
      <c r="L37" s="63"/>
      <c r="M37" s="63"/>
      <c r="N37" s="63"/>
      <c r="O37" s="63"/>
      <c r="P37" s="63"/>
      <c r="Q37" s="63"/>
      <c r="R37" s="63"/>
      <c r="S37" s="63"/>
      <c r="T37" s="63"/>
      <c r="U37" s="63"/>
    </row>
    <row r="38" spans="2:21" ht="11.1" customHeight="1" x14ac:dyDescent="0.2">
      <c r="B38" s="354"/>
      <c r="C38" s="413" t="s">
        <v>3337</v>
      </c>
      <c r="D38" s="63"/>
      <c r="E38" s="63"/>
      <c r="F38" s="63"/>
      <c r="G38" s="63"/>
      <c r="H38" s="63"/>
      <c r="I38" s="63"/>
      <c r="J38" s="287"/>
      <c r="L38" s="63"/>
      <c r="M38" s="63"/>
      <c r="N38" s="63"/>
      <c r="O38" s="63"/>
      <c r="P38" s="63"/>
      <c r="Q38" s="63"/>
      <c r="R38" s="63"/>
      <c r="S38" s="63"/>
      <c r="T38" s="63"/>
      <c r="U38" s="63"/>
    </row>
    <row r="39" spans="2:21" ht="11.1" customHeight="1" x14ac:dyDescent="0.2">
      <c r="B39" s="282"/>
      <c r="C39" s="63"/>
      <c r="D39" s="63"/>
      <c r="E39" s="63"/>
      <c r="F39" s="413" t="s">
        <v>855</v>
      </c>
      <c r="G39" s="63"/>
      <c r="H39" s="63"/>
      <c r="I39" s="63"/>
      <c r="J39" s="287"/>
      <c r="L39" s="63"/>
      <c r="M39" s="63"/>
      <c r="N39" s="63"/>
      <c r="O39" s="63"/>
      <c r="P39" s="63"/>
      <c r="Q39" s="413"/>
      <c r="R39" s="355"/>
      <c r="S39" s="63"/>
      <c r="T39" s="63"/>
      <c r="U39" s="63"/>
    </row>
    <row r="40" spans="2:21" ht="11.1" customHeight="1" x14ac:dyDescent="0.2">
      <c r="B40" s="282"/>
      <c r="C40" s="63"/>
      <c r="D40" s="63"/>
      <c r="E40" s="63"/>
      <c r="F40" s="413" t="s">
        <v>843</v>
      </c>
      <c r="G40" s="63"/>
      <c r="H40" s="63"/>
      <c r="I40" s="63"/>
      <c r="J40" s="287"/>
      <c r="L40" s="63"/>
      <c r="M40" s="63"/>
      <c r="N40" s="63"/>
      <c r="O40" s="63"/>
      <c r="P40" s="63"/>
      <c r="Q40" s="413"/>
      <c r="R40" s="355"/>
      <c r="S40" s="63"/>
      <c r="T40" s="63"/>
      <c r="U40" s="63"/>
    </row>
    <row r="41" spans="2:21" ht="11.1" customHeight="1" x14ac:dyDescent="0.2">
      <c r="B41" s="282"/>
      <c r="C41" s="63"/>
      <c r="D41" s="63"/>
      <c r="E41" s="63"/>
      <c r="F41" s="413" t="s">
        <v>863</v>
      </c>
      <c r="G41" s="63"/>
      <c r="H41" s="63"/>
      <c r="I41" s="63"/>
      <c r="J41" s="287"/>
      <c r="L41" s="63"/>
      <c r="M41" s="63"/>
      <c r="N41" s="63"/>
      <c r="O41" s="63"/>
      <c r="P41" s="63"/>
      <c r="Q41" s="413"/>
      <c r="R41" s="355"/>
      <c r="S41" s="63"/>
      <c r="T41" s="63"/>
      <c r="U41" s="63"/>
    </row>
    <row r="42" spans="2:21" ht="36" customHeight="1" x14ac:dyDescent="0.2">
      <c r="B42" s="282"/>
      <c r="C42" s="413" t="s">
        <v>856</v>
      </c>
      <c r="D42" s="1041"/>
      <c r="E42" s="413" t="str">
        <f>", "&amp;'Key Inputs'!E34</f>
        <v>, 2021</v>
      </c>
      <c r="F42" s="414" t="s">
        <v>857</v>
      </c>
      <c r="G42" s="1042"/>
      <c r="H42" s="1042"/>
      <c r="I42" s="1042"/>
      <c r="J42" s="289"/>
      <c r="L42" s="63"/>
      <c r="M42" s="414"/>
      <c r="N42" s="1511"/>
      <c r="O42" s="1512"/>
      <c r="P42" s="413"/>
      <c r="Q42" s="414"/>
      <c r="R42" s="1673"/>
      <c r="S42" s="1673"/>
      <c r="T42" s="1673"/>
      <c r="U42" s="1673"/>
    </row>
    <row r="43" spans="2:21" ht="5.25" customHeight="1" x14ac:dyDescent="0.2">
      <c r="B43" s="288"/>
      <c r="C43" s="4"/>
      <c r="D43" s="4"/>
      <c r="E43" s="4"/>
      <c r="F43" s="4"/>
      <c r="G43" s="4"/>
      <c r="H43" s="4"/>
      <c r="I43" s="4"/>
      <c r="J43" s="289"/>
      <c r="L43" s="63"/>
      <c r="M43" s="63"/>
      <c r="N43" s="63"/>
      <c r="O43" s="63"/>
      <c r="P43" s="63"/>
      <c r="Q43" s="63"/>
      <c r="R43" s="63"/>
      <c r="S43" s="63"/>
      <c r="T43" s="63"/>
      <c r="U43" s="63"/>
    </row>
    <row r="44" spans="2:21" ht="15.75" x14ac:dyDescent="0.25">
      <c r="B44" s="1617" t="s">
        <v>861</v>
      </c>
      <c r="C44" s="1617"/>
      <c r="D44" s="1617"/>
      <c r="E44" s="1617"/>
      <c r="F44" s="1617"/>
      <c r="G44" s="1617"/>
      <c r="H44" s="1617"/>
      <c r="I44" s="1617"/>
      <c r="J44" s="1617"/>
      <c r="K44" s="1617"/>
      <c r="L44" s="1617"/>
      <c r="M44" s="1617"/>
      <c r="N44" s="1617"/>
      <c r="O44" s="1617"/>
      <c r="P44" s="1617"/>
      <c r="Q44" s="1617"/>
      <c r="R44" s="1617"/>
      <c r="S44" s="1617"/>
      <c r="T44" s="1617"/>
      <c r="U44" s="1617"/>
    </row>
  </sheetData>
  <sheetProtection algorithmName="SHA-512" hashValue="CYQjL5wvV46OcN0jma6/C3h6yb5qERx+SV9k7lfkmr0jOakpiNkgmvpwwTBUK8S+M9qMI3gS6hr385oORkdczg==" saltValue="rjok3IoZ/ppallMI3irEfw==" spinCount="100000" sheet="1" objects="1" scenarios="1"/>
  <mergeCells count="36">
    <mergeCell ref="P25:S25"/>
    <mergeCell ref="Q9:T9"/>
    <mergeCell ref="Q11:T11"/>
    <mergeCell ref="Q13:T13"/>
    <mergeCell ref="Q14:T14"/>
    <mergeCell ref="B44:U44"/>
    <mergeCell ref="R42:U42"/>
    <mergeCell ref="I29:O29"/>
    <mergeCell ref="P26:S26"/>
    <mergeCell ref="B33:J33"/>
    <mergeCell ref="L33:U33"/>
    <mergeCell ref="C26:F26"/>
    <mergeCell ref="C27:F27"/>
    <mergeCell ref="H26:J26"/>
    <mergeCell ref="H27:J27"/>
    <mergeCell ref="C34:J34"/>
    <mergeCell ref="C25:F25"/>
    <mergeCell ref="C11:D11"/>
    <mergeCell ref="F11:H11"/>
    <mergeCell ref="J14:K14"/>
    <mergeCell ref="E22:F22"/>
    <mergeCell ref="C24:F24"/>
    <mergeCell ref="H22:I22"/>
    <mergeCell ref="H24:J24"/>
    <mergeCell ref="H25:J25"/>
    <mergeCell ref="B2:U2"/>
    <mergeCell ref="E5:H5"/>
    <mergeCell ref="P5:R5"/>
    <mergeCell ref="J5:N5"/>
    <mergeCell ref="P23:Q23"/>
    <mergeCell ref="Q8:T8"/>
    <mergeCell ref="Q10:T10"/>
    <mergeCell ref="Q12:T12"/>
    <mergeCell ref="B3:U3"/>
    <mergeCell ref="S23:T23"/>
    <mergeCell ref="Q15:T15"/>
  </mergeCells>
  <phoneticPr fontId="0" type="noConversion"/>
  <pageMargins left="0.25" right="0.3" top="0.25" bottom="0.75" header="0.25" footer="0.25"/>
  <pageSetup paperSize="5"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sheetPr codeName="Sheet158">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+'40b5'!B11</f>
        <v>0</v>
      </c>
      <c r="C11" s="1466">
        <f>+'40b5'!D11</f>
        <v>0</v>
      </c>
      <c r="D11" s="1469"/>
      <c r="E11" s="1469"/>
      <c r="F11" s="1469">
        <f>+C11*0.05</f>
        <v>0</v>
      </c>
      <c r="G11" s="1469"/>
      <c r="H11" s="1469"/>
      <c r="I11" s="1469"/>
      <c r="J11" s="1470"/>
      <c r="K11" s="1469"/>
      <c r="L11" s="1471"/>
    </row>
    <row r="12" spans="2:12" ht="20.100000000000001" customHeight="1" x14ac:dyDescent="0.2">
      <c r="B12" s="1462">
        <f>+'40b5'!B12</f>
        <v>0</v>
      </c>
      <c r="C12" s="1467">
        <f>+'40b5'!D12</f>
        <v>0</v>
      </c>
      <c r="D12" s="1472"/>
      <c r="E12" s="1472"/>
      <c r="F12" s="1472">
        <f>+C12*0.05</f>
        <v>0</v>
      </c>
      <c r="G12" s="1472"/>
      <c r="H12" s="1472"/>
      <c r="I12" s="1472"/>
      <c r="J12" s="1470"/>
      <c r="K12" s="1472"/>
      <c r="L12" s="1473"/>
    </row>
    <row r="13" spans="2:12" ht="20.100000000000001" customHeight="1" x14ac:dyDescent="0.2">
      <c r="B13" s="1462">
        <f>+'40b5'!B13</f>
        <v>0</v>
      </c>
      <c r="C13" s="1467">
        <f>+'40b5'!D13</f>
        <v>0</v>
      </c>
      <c r="D13" s="1472"/>
      <c r="E13" s="1472"/>
      <c r="F13" s="1472">
        <f t="shared" ref="F13:F28" si="0">+C13*0.05</f>
        <v>0</v>
      </c>
      <c r="G13" s="1472"/>
      <c r="H13" s="1472"/>
      <c r="I13" s="1472"/>
      <c r="J13" s="1470"/>
      <c r="K13" s="1472"/>
      <c r="L13" s="1473"/>
    </row>
    <row r="14" spans="2:12" ht="20.100000000000001" customHeight="1" x14ac:dyDescent="0.2">
      <c r="B14" s="1462">
        <f>+'40b5'!B14</f>
        <v>0</v>
      </c>
      <c r="C14" s="1467">
        <f>+'40b5'!D14</f>
        <v>0</v>
      </c>
      <c r="D14" s="1472"/>
      <c r="E14" s="1472"/>
      <c r="F14" s="1472">
        <f t="shared" si="0"/>
        <v>0</v>
      </c>
      <c r="G14" s="1472"/>
      <c r="H14" s="1472"/>
      <c r="I14" s="1472"/>
      <c r="J14" s="1470"/>
      <c r="K14" s="1472"/>
      <c r="L14" s="1473"/>
    </row>
    <row r="15" spans="2:12" ht="20.100000000000001" customHeight="1" x14ac:dyDescent="0.2">
      <c r="B15" s="1462">
        <f>+'40b5'!B15</f>
        <v>0</v>
      </c>
      <c r="C15" s="1467">
        <f>+'40b5'!D15</f>
        <v>0</v>
      </c>
      <c r="D15" s="1472"/>
      <c r="E15" s="1472"/>
      <c r="F15" s="1472">
        <f t="shared" si="0"/>
        <v>0</v>
      </c>
      <c r="G15" s="1472"/>
      <c r="H15" s="1472"/>
      <c r="I15" s="1472"/>
      <c r="J15" s="1470"/>
      <c r="K15" s="1472"/>
      <c r="L15" s="1473"/>
    </row>
    <row r="16" spans="2:12" ht="20.100000000000001" customHeight="1" x14ac:dyDescent="0.2">
      <c r="B16" s="1462">
        <f>+'40b5'!B16</f>
        <v>0</v>
      </c>
      <c r="C16" s="1467">
        <f>+'40b5'!D16</f>
        <v>0</v>
      </c>
      <c r="D16" s="1472"/>
      <c r="E16" s="1472"/>
      <c r="F16" s="1472">
        <f t="shared" si="0"/>
        <v>0</v>
      </c>
      <c r="G16" s="1472"/>
      <c r="H16" s="1472"/>
      <c r="I16" s="1472"/>
      <c r="J16" s="1470"/>
      <c r="K16" s="1472"/>
      <c r="L16" s="1473"/>
    </row>
    <row r="17" spans="2:12" ht="20.100000000000001" customHeight="1" x14ac:dyDescent="0.2">
      <c r="B17" s="1462">
        <f>+'40b5'!B17</f>
        <v>0</v>
      </c>
      <c r="C17" s="1467">
        <f>+'40b5'!D17</f>
        <v>0</v>
      </c>
      <c r="D17" s="1472"/>
      <c r="E17" s="1472"/>
      <c r="F17" s="1472">
        <f t="shared" si="0"/>
        <v>0</v>
      </c>
      <c r="G17" s="1472"/>
      <c r="H17" s="1472"/>
      <c r="I17" s="1472"/>
      <c r="J17" s="1470"/>
      <c r="K17" s="1472"/>
      <c r="L17" s="1473"/>
    </row>
    <row r="18" spans="2:12" ht="20.100000000000001" customHeight="1" x14ac:dyDescent="0.2">
      <c r="B18" s="1462">
        <f>+'40b5'!B18</f>
        <v>0</v>
      </c>
      <c r="C18" s="1467">
        <f>+'40b5'!D18</f>
        <v>0</v>
      </c>
      <c r="D18" s="1472"/>
      <c r="E18" s="1472"/>
      <c r="F18" s="1472">
        <f t="shared" si="0"/>
        <v>0</v>
      </c>
      <c r="G18" s="1472"/>
      <c r="H18" s="1472"/>
      <c r="I18" s="1472"/>
      <c r="J18" s="1470"/>
      <c r="K18" s="1472"/>
      <c r="L18" s="1473"/>
    </row>
    <row r="19" spans="2:12" ht="20.100000000000001" customHeight="1" x14ac:dyDescent="0.2">
      <c r="B19" s="1462">
        <f>+'40b5'!B19</f>
        <v>0</v>
      </c>
      <c r="C19" s="1467">
        <f>+'40b5'!D19</f>
        <v>0</v>
      </c>
      <c r="D19" s="1472"/>
      <c r="E19" s="1472"/>
      <c r="F19" s="1472">
        <f t="shared" si="0"/>
        <v>0</v>
      </c>
      <c r="G19" s="1472"/>
      <c r="H19" s="1472"/>
      <c r="I19" s="1472"/>
      <c r="J19" s="1470"/>
      <c r="K19" s="1472"/>
      <c r="L19" s="1473"/>
    </row>
    <row r="20" spans="2:12" ht="20.100000000000001" customHeight="1" x14ac:dyDescent="0.2">
      <c r="B20" s="1462">
        <f>+'40b5'!B20</f>
        <v>0</v>
      </c>
      <c r="C20" s="1467">
        <f>+'40b5'!D20</f>
        <v>0</v>
      </c>
      <c r="D20" s="1472"/>
      <c r="E20" s="1472"/>
      <c r="F20" s="1472">
        <f t="shared" si="0"/>
        <v>0</v>
      </c>
      <c r="G20" s="1472"/>
      <c r="H20" s="1472"/>
      <c r="I20" s="1472"/>
      <c r="J20" s="1470"/>
      <c r="K20" s="1472"/>
      <c r="L20" s="1473"/>
    </row>
    <row r="21" spans="2:12" ht="20.100000000000001" customHeight="1" x14ac:dyDescent="0.2">
      <c r="B21" s="1462">
        <f>+'40b5'!B21</f>
        <v>0</v>
      </c>
      <c r="C21" s="1467">
        <f>+'40b5'!D21</f>
        <v>0</v>
      </c>
      <c r="D21" s="1472"/>
      <c r="E21" s="1472"/>
      <c r="F21" s="1472">
        <f t="shared" si="0"/>
        <v>0</v>
      </c>
      <c r="G21" s="1472"/>
      <c r="H21" s="1472"/>
      <c r="I21" s="1472"/>
      <c r="J21" s="1470"/>
      <c r="K21" s="1472"/>
      <c r="L21" s="1473"/>
    </row>
    <row r="22" spans="2:12" ht="20.100000000000001" customHeight="1" x14ac:dyDescent="0.2">
      <c r="B22" s="1462">
        <f>+'40b5'!B22</f>
        <v>0</v>
      </c>
      <c r="C22" s="1467">
        <f>+'40b5'!D22</f>
        <v>0</v>
      </c>
      <c r="D22" s="1472"/>
      <c r="E22" s="1472"/>
      <c r="F22" s="1472">
        <f t="shared" si="0"/>
        <v>0</v>
      </c>
      <c r="G22" s="1472"/>
      <c r="H22" s="1472"/>
      <c r="I22" s="1472"/>
      <c r="J22" s="1470"/>
      <c r="K22" s="1472"/>
      <c r="L22" s="1473"/>
    </row>
    <row r="23" spans="2:12" ht="20.100000000000001" customHeight="1" x14ac:dyDescent="0.2">
      <c r="B23" s="1462">
        <f>+'40b5'!B23</f>
        <v>0</v>
      </c>
      <c r="C23" s="1467">
        <f>+'40b5'!D23</f>
        <v>0</v>
      </c>
      <c r="D23" s="1472"/>
      <c r="E23" s="1472"/>
      <c r="F23" s="1472">
        <f t="shared" si="0"/>
        <v>0</v>
      </c>
      <c r="G23" s="1472"/>
      <c r="H23" s="1472"/>
      <c r="I23" s="1472"/>
      <c r="J23" s="1470"/>
      <c r="K23" s="1472"/>
      <c r="L23" s="1473"/>
    </row>
    <row r="24" spans="2:12" ht="20.100000000000001" customHeight="1" x14ac:dyDescent="0.2">
      <c r="B24" s="1462">
        <f>+'40b5'!B24</f>
        <v>0</v>
      </c>
      <c r="C24" s="1467">
        <f>+'40b5'!D24</f>
        <v>0</v>
      </c>
      <c r="D24" s="1472"/>
      <c r="E24" s="1472"/>
      <c r="F24" s="1472">
        <f t="shared" si="0"/>
        <v>0</v>
      </c>
      <c r="G24" s="1472"/>
      <c r="H24" s="1472"/>
      <c r="I24" s="1472"/>
      <c r="J24" s="1470"/>
      <c r="K24" s="1472"/>
      <c r="L24" s="1473"/>
    </row>
    <row r="25" spans="2:12" ht="20.100000000000001" customHeight="1" x14ac:dyDescent="0.2">
      <c r="B25" s="1462">
        <f>+'40b5'!B25</f>
        <v>0</v>
      </c>
      <c r="C25" s="1467">
        <f>+'40b5'!D25</f>
        <v>0</v>
      </c>
      <c r="D25" s="1472"/>
      <c r="E25" s="1472"/>
      <c r="F25" s="1472">
        <f t="shared" si="0"/>
        <v>0</v>
      </c>
      <c r="G25" s="1472"/>
      <c r="H25" s="1472"/>
      <c r="I25" s="1472"/>
      <c r="J25" s="1470"/>
      <c r="K25" s="1472"/>
      <c r="L25" s="1473"/>
    </row>
    <row r="26" spans="2:12" ht="20.100000000000001" customHeight="1" x14ac:dyDescent="0.2">
      <c r="B26" s="1462">
        <f>+'40b5'!B26</f>
        <v>0</v>
      </c>
      <c r="C26" s="1467">
        <f>+'40b5'!D26</f>
        <v>0</v>
      </c>
      <c r="D26" s="1472"/>
      <c r="E26" s="1472"/>
      <c r="F26" s="1472">
        <f t="shared" si="0"/>
        <v>0</v>
      </c>
      <c r="G26" s="1472"/>
      <c r="H26" s="1472"/>
      <c r="I26" s="1472"/>
      <c r="J26" s="1470"/>
      <c r="K26" s="1472"/>
      <c r="L26" s="1473"/>
    </row>
    <row r="27" spans="2:12" ht="20.100000000000001" customHeight="1" x14ac:dyDescent="0.2">
      <c r="B27" s="1462">
        <f>+'40b5'!B27</f>
        <v>0</v>
      </c>
      <c r="C27" s="1467">
        <f>+'40b5'!D27</f>
        <v>0</v>
      </c>
      <c r="D27" s="1472"/>
      <c r="E27" s="1472"/>
      <c r="F27" s="1472">
        <f t="shared" si="0"/>
        <v>0</v>
      </c>
      <c r="G27" s="1472"/>
      <c r="H27" s="1472"/>
      <c r="I27" s="1472"/>
      <c r="J27" s="1470"/>
      <c r="K27" s="1472"/>
      <c r="L27" s="1473"/>
    </row>
    <row r="28" spans="2:12" ht="20.100000000000001" customHeight="1" x14ac:dyDescent="0.2">
      <c r="B28" s="1462">
        <f>+'40b5'!B28</f>
        <v>0</v>
      </c>
      <c r="C28" s="1467">
        <f>+'40b5'!D28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3331</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vZhBKJJmcl2mel6b7nP/cQyGZRlNm2N+nuem30E+wBgKn0i7yErdNpLm+ukVn9gJQ4lTY313a9Cu8C3J+rC2DQ==" saltValue="3UAyTba1NYmatwQi9S2XuQ=="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codeName="Sheet159">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+'40b6'!B11</f>
        <v>0</v>
      </c>
      <c r="C11" s="1466">
        <f>+'40b6'!D11</f>
        <v>0</v>
      </c>
      <c r="D11" s="1469"/>
      <c r="E11" s="1469"/>
      <c r="F11" s="1469">
        <f>+C11*0.05</f>
        <v>0</v>
      </c>
      <c r="G11" s="1469"/>
      <c r="H11" s="1469"/>
      <c r="I11" s="1469"/>
      <c r="J11" s="1470"/>
      <c r="K11" s="1469"/>
      <c r="L11" s="1471"/>
    </row>
    <row r="12" spans="2:12" ht="20.100000000000001" customHeight="1" x14ac:dyDescent="0.2">
      <c r="B12" s="1462">
        <f>+'40b6'!B12</f>
        <v>0</v>
      </c>
      <c r="C12" s="1467">
        <f>+'40b6'!D12</f>
        <v>0</v>
      </c>
      <c r="D12" s="1472"/>
      <c r="E12" s="1472"/>
      <c r="F12" s="1472">
        <f>+C12*0.05</f>
        <v>0</v>
      </c>
      <c r="G12" s="1472"/>
      <c r="H12" s="1472"/>
      <c r="I12" s="1472"/>
      <c r="J12" s="1470"/>
      <c r="K12" s="1472"/>
      <c r="L12" s="1473"/>
    </row>
    <row r="13" spans="2:12" ht="20.100000000000001" customHeight="1" x14ac:dyDescent="0.2">
      <c r="B13" s="1462">
        <f>+'40b6'!B13</f>
        <v>0</v>
      </c>
      <c r="C13" s="1467">
        <f>+'40b6'!D13</f>
        <v>0</v>
      </c>
      <c r="D13" s="1472"/>
      <c r="E13" s="1472"/>
      <c r="F13" s="1472">
        <f t="shared" ref="F13:F28" si="0">+C13*0.05</f>
        <v>0</v>
      </c>
      <c r="G13" s="1472"/>
      <c r="H13" s="1472"/>
      <c r="I13" s="1472"/>
      <c r="J13" s="1470"/>
      <c r="K13" s="1472"/>
      <c r="L13" s="1473"/>
    </row>
    <row r="14" spans="2:12" ht="20.100000000000001" customHeight="1" x14ac:dyDescent="0.2">
      <c r="B14" s="1462">
        <f>+'40b6'!B14</f>
        <v>0</v>
      </c>
      <c r="C14" s="1467">
        <f>+'40b6'!D14</f>
        <v>0</v>
      </c>
      <c r="D14" s="1472"/>
      <c r="E14" s="1472"/>
      <c r="F14" s="1472">
        <f t="shared" si="0"/>
        <v>0</v>
      </c>
      <c r="G14" s="1472"/>
      <c r="H14" s="1472"/>
      <c r="I14" s="1472"/>
      <c r="J14" s="1470"/>
      <c r="K14" s="1472"/>
      <c r="L14" s="1473"/>
    </row>
    <row r="15" spans="2:12" ht="20.100000000000001" customHeight="1" x14ac:dyDescent="0.2">
      <c r="B15" s="1462">
        <f>+'40b6'!B15</f>
        <v>0</v>
      </c>
      <c r="C15" s="1467">
        <f>+'40b6'!D15</f>
        <v>0</v>
      </c>
      <c r="D15" s="1472"/>
      <c r="E15" s="1472"/>
      <c r="F15" s="1472">
        <f t="shared" si="0"/>
        <v>0</v>
      </c>
      <c r="G15" s="1472"/>
      <c r="H15" s="1472"/>
      <c r="I15" s="1472"/>
      <c r="J15" s="1470"/>
      <c r="K15" s="1472"/>
      <c r="L15" s="1473"/>
    </row>
    <row r="16" spans="2:12" ht="20.100000000000001" customHeight="1" x14ac:dyDescent="0.2">
      <c r="B16" s="1462">
        <f>+'40b6'!B16</f>
        <v>0</v>
      </c>
      <c r="C16" s="1467">
        <f>+'40b6'!D16</f>
        <v>0</v>
      </c>
      <c r="D16" s="1472"/>
      <c r="E16" s="1472"/>
      <c r="F16" s="1472">
        <f t="shared" si="0"/>
        <v>0</v>
      </c>
      <c r="G16" s="1472"/>
      <c r="H16" s="1472"/>
      <c r="I16" s="1472"/>
      <c r="J16" s="1470"/>
      <c r="K16" s="1472"/>
      <c r="L16" s="1473"/>
    </row>
    <row r="17" spans="2:12" ht="20.100000000000001" customHeight="1" x14ac:dyDescent="0.2">
      <c r="B17" s="1462">
        <f>+'40b6'!B17</f>
        <v>0</v>
      </c>
      <c r="C17" s="1467">
        <f>+'40b6'!D17</f>
        <v>0</v>
      </c>
      <c r="D17" s="1472"/>
      <c r="E17" s="1472"/>
      <c r="F17" s="1472">
        <f t="shared" si="0"/>
        <v>0</v>
      </c>
      <c r="G17" s="1472"/>
      <c r="H17" s="1472"/>
      <c r="I17" s="1472"/>
      <c r="J17" s="1470"/>
      <c r="K17" s="1472"/>
      <c r="L17" s="1473"/>
    </row>
    <row r="18" spans="2:12" ht="20.100000000000001" customHeight="1" x14ac:dyDescent="0.2">
      <c r="B18" s="1462">
        <f>+'40b6'!B18</f>
        <v>0</v>
      </c>
      <c r="C18" s="1467">
        <f>+'40b6'!D18</f>
        <v>0</v>
      </c>
      <c r="D18" s="1472"/>
      <c r="E18" s="1472"/>
      <c r="F18" s="1472">
        <f t="shared" si="0"/>
        <v>0</v>
      </c>
      <c r="G18" s="1472"/>
      <c r="H18" s="1472"/>
      <c r="I18" s="1472"/>
      <c r="J18" s="1470"/>
      <c r="K18" s="1472"/>
      <c r="L18" s="1473"/>
    </row>
    <row r="19" spans="2:12" ht="20.100000000000001" customHeight="1" x14ac:dyDescent="0.2">
      <c r="B19" s="1462">
        <f>+'40b6'!B19</f>
        <v>0</v>
      </c>
      <c r="C19" s="1467">
        <f>+'40b6'!D19</f>
        <v>0</v>
      </c>
      <c r="D19" s="1472"/>
      <c r="E19" s="1472"/>
      <c r="F19" s="1472">
        <f t="shared" si="0"/>
        <v>0</v>
      </c>
      <c r="G19" s="1472"/>
      <c r="H19" s="1472"/>
      <c r="I19" s="1472"/>
      <c r="J19" s="1470"/>
      <c r="K19" s="1472"/>
      <c r="L19" s="1473"/>
    </row>
    <row r="20" spans="2:12" ht="20.100000000000001" customHeight="1" x14ac:dyDescent="0.2">
      <c r="B20" s="1462">
        <f>+'40b6'!B20</f>
        <v>0</v>
      </c>
      <c r="C20" s="1467">
        <f>+'40b6'!D20</f>
        <v>0</v>
      </c>
      <c r="D20" s="1472"/>
      <c r="E20" s="1472"/>
      <c r="F20" s="1472">
        <f t="shared" si="0"/>
        <v>0</v>
      </c>
      <c r="G20" s="1472"/>
      <c r="H20" s="1472"/>
      <c r="I20" s="1472"/>
      <c r="J20" s="1470"/>
      <c r="K20" s="1472"/>
      <c r="L20" s="1473"/>
    </row>
    <row r="21" spans="2:12" ht="20.100000000000001" customHeight="1" x14ac:dyDescent="0.2">
      <c r="B21" s="1462">
        <f>+'40b6'!B21</f>
        <v>0</v>
      </c>
      <c r="C21" s="1467">
        <f>+'40b6'!D21</f>
        <v>0</v>
      </c>
      <c r="D21" s="1472"/>
      <c r="E21" s="1472"/>
      <c r="F21" s="1472">
        <f t="shared" si="0"/>
        <v>0</v>
      </c>
      <c r="G21" s="1472"/>
      <c r="H21" s="1472"/>
      <c r="I21" s="1472"/>
      <c r="J21" s="1470"/>
      <c r="K21" s="1472"/>
      <c r="L21" s="1473"/>
    </row>
    <row r="22" spans="2:12" ht="20.100000000000001" customHeight="1" x14ac:dyDescent="0.2">
      <c r="B22" s="1462">
        <f>+'40b6'!B22</f>
        <v>0</v>
      </c>
      <c r="C22" s="1467">
        <f>+'40b6'!D22</f>
        <v>0</v>
      </c>
      <c r="D22" s="1472"/>
      <c r="E22" s="1472"/>
      <c r="F22" s="1472">
        <f t="shared" si="0"/>
        <v>0</v>
      </c>
      <c r="G22" s="1472"/>
      <c r="H22" s="1472"/>
      <c r="I22" s="1472"/>
      <c r="J22" s="1470"/>
      <c r="K22" s="1472"/>
      <c r="L22" s="1473"/>
    </row>
    <row r="23" spans="2:12" ht="20.100000000000001" customHeight="1" x14ac:dyDescent="0.2">
      <c r="B23" s="1462">
        <f>+'40b6'!B23</f>
        <v>0</v>
      </c>
      <c r="C23" s="1467">
        <f>+'40b6'!D23</f>
        <v>0</v>
      </c>
      <c r="D23" s="1472"/>
      <c r="E23" s="1472"/>
      <c r="F23" s="1472">
        <f t="shared" si="0"/>
        <v>0</v>
      </c>
      <c r="G23" s="1472"/>
      <c r="H23" s="1472"/>
      <c r="I23" s="1472"/>
      <c r="J23" s="1470"/>
      <c r="K23" s="1472"/>
      <c r="L23" s="1473"/>
    </row>
    <row r="24" spans="2:12" ht="20.100000000000001" customHeight="1" x14ac:dyDescent="0.2">
      <c r="B24" s="1462">
        <f>+'40b6'!B24</f>
        <v>0</v>
      </c>
      <c r="C24" s="1467">
        <f>+'40b6'!D24</f>
        <v>0</v>
      </c>
      <c r="D24" s="1472"/>
      <c r="E24" s="1472"/>
      <c r="F24" s="1472">
        <f t="shared" si="0"/>
        <v>0</v>
      </c>
      <c r="G24" s="1472"/>
      <c r="H24" s="1472"/>
      <c r="I24" s="1472"/>
      <c r="J24" s="1470"/>
      <c r="K24" s="1472"/>
      <c r="L24" s="1473"/>
    </row>
    <row r="25" spans="2:12" ht="20.100000000000001" customHeight="1" x14ac:dyDescent="0.2">
      <c r="B25" s="1462">
        <f>+'40b6'!B25</f>
        <v>0</v>
      </c>
      <c r="C25" s="1467">
        <f>+'40b6'!D25</f>
        <v>0</v>
      </c>
      <c r="D25" s="1472"/>
      <c r="E25" s="1472"/>
      <c r="F25" s="1472">
        <f t="shared" si="0"/>
        <v>0</v>
      </c>
      <c r="G25" s="1472"/>
      <c r="H25" s="1472"/>
      <c r="I25" s="1472"/>
      <c r="J25" s="1470"/>
      <c r="K25" s="1472"/>
      <c r="L25" s="1473"/>
    </row>
    <row r="26" spans="2:12" ht="20.100000000000001" customHeight="1" x14ac:dyDescent="0.2">
      <c r="B26" s="1462">
        <f>+'40b6'!B26</f>
        <v>0</v>
      </c>
      <c r="C26" s="1467">
        <f>+'40b6'!D26</f>
        <v>0</v>
      </c>
      <c r="D26" s="1472"/>
      <c r="E26" s="1472"/>
      <c r="F26" s="1472">
        <f t="shared" si="0"/>
        <v>0</v>
      </c>
      <c r="G26" s="1472"/>
      <c r="H26" s="1472"/>
      <c r="I26" s="1472"/>
      <c r="J26" s="1470"/>
      <c r="K26" s="1472"/>
      <c r="L26" s="1473"/>
    </row>
    <row r="27" spans="2:12" ht="20.100000000000001" customHeight="1" x14ac:dyDescent="0.2">
      <c r="B27" s="1462">
        <f>+'40b6'!B27</f>
        <v>0</v>
      </c>
      <c r="C27" s="1467">
        <f>+'40b6'!D27</f>
        <v>0</v>
      </c>
      <c r="D27" s="1472"/>
      <c r="E27" s="1472"/>
      <c r="F27" s="1472">
        <f t="shared" si="0"/>
        <v>0</v>
      </c>
      <c r="G27" s="1472"/>
      <c r="H27" s="1472"/>
      <c r="I27" s="1472"/>
      <c r="J27" s="1470"/>
      <c r="K27" s="1472"/>
      <c r="L27" s="1473"/>
    </row>
    <row r="28" spans="2:12" ht="20.100000000000001" customHeight="1" x14ac:dyDescent="0.2">
      <c r="B28" s="1462">
        <f>+'40b6'!B28</f>
        <v>0</v>
      </c>
      <c r="C28" s="1467">
        <f>+'40b6'!D28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3332</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Sq3s7nGZDeLfqrIdzYHfkEcOYKwGwlj6UgJPi9uN2mkso+NVlBtqob27a/9v03jNMahu98I5OrFywp00amo9rQ==" saltValue="kPkp7uR9z+6bCFvjLd+jrg=="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sheetPr codeName="Sheet160">
    <tabColor theme="9"/>
  </sheetPr>
  <dimension ref="B2:L37"/>
  <sheetViews>
    <sheetView showZeros="0" zoomScaleNormal="100" workbookViewId="0">
      <selection activeCell="B29" sqref="B29"/>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+'40b7'!B11</f>
        <v>0</v>
      </c>
      <c r="C11" s="1466">
        <f>+'40b7'!D11</f>
        <v>0</v>
      </c>
      <c r="D11" s="1469"/>
      <c r="E11" s="1469"/>
      <c r="F11" s="1469">
        <f>+C11*0.05</f>
        <v>0</v>
      </c>
      <c r="G11" s="1469"/>
      <c r="H11" s="1469"/>
      <c r="I11" s="1469"/>
      <c r="J11" s="1470"/>
      <c r="K11" s="1469"/>
      <c r="L11" s="1471"/>
    </row>
    <row r="12" spans="2:12" ht="20.100000000000001" customHeight="1" x14ac:dyDescent="0.2">
      <c r="B12" s="1462">
        <f>+'40b7'!B12</f>
        <v>0</v>
      </c>
      <c r="C12" s="1467">
        <f>+'40b7'!D12</f>
        <v>0</v>
      </c>
      <c r="D12" s="1472"/>
      <c r="E12" s="1472"/>
      <c r="F12" s="1472">
        <f>+C12*0.05</f>
        <v>0</v>
      </c>
      <c r="G12" s="1472"/>
      <c r="H12" s="1472"/>
      <c r="I12" s="1472"/>
      <c r="J12" s="1470"/>
      <c r="K12" s="1472"/>
      <c r="L12" s="1473"/>
    </row>
    <row r="13" spans="2:12" ht="20.100000000000001" customHeight="1" x14ac:dyDescent="0.2">
      <c r="B13" s="1462">
        <f>+'40b7'!B13</f>
        <v>0</v>
      </c>
      <c r="C13" s="1467">
        <f>+'40b7'!D13</f>
        <v>0</v>
      </c>
      <c r="D13" s="1472"/>
      <c r="E13" s="1472"/>
      <c r="F13" s="1472">
        <f t="shared" ref="F13:F28" si="0">+C13*0.05</f>
        <v>0</v>
      </c>
      <c r="G13" s="1472"/>
      <c r="H13" s="1472"/>
      <c r="I13" s="1472"/>
      <c r="J13" s="1470"/>
      <c r="K13" s="1472"/>
      <c r="L13" s="1473"/>
    </row>
    <row r="14" spans="2:12" ht="20.100000000000001" customHeight="1" x14ac:dyDescent="0.2">
      <c r="B14" s="1462">
        <f>+'40b7'!B14</f>
        <v>0</v>
      </c>
      <c r="C14" s="1467">
        <f>+'40b7'!D14</f>
        <v>0</v>
      </c>
      <c r="D14" s="1472"/>
      <c r="E14" s="1472"/>
      <c r="F14" s="1472">
        <f t="shared" si="0"/>
        <v>0</v>
      </c>
      <c r="G14" s="1472"/>
      <c r="H14" s="1472"/>
      <c r="I14" s="1472"/>
      <c r="J14" s="1470"/>
      <c r="K14" s="1472"/>
      <c r="L14" s="1473"/>
    </row>
    <row r="15" spans="2:12" ht="20.100000000000001" customHeight="1" x14ac:dyDescent="0.2">
      <c r="B15" s="1462">
        <f>+'40b7'!B15</f>
        <v>0</v>
      </c>
      <c r="C15" s="1467">
        <f>+'40b7'!D15</f>
        <v>0</v>
      </c>
      <c r="D15" s="1472"/>
      <c r="E15" s="1472"/>
      <c r="F15" s="1472">
        <f t="shared" si="0"/>
        <v>0</v>
      </c>
      <c r="G15" s="1472"/>
      <c r="H15" s="1472"/>
      <c r="I15" s="1472"/>
      <c r="J15" s="1470"/>
      <c r="K15" s="1472"/>
      <c r="L15" s="1473"/>
    </row>
    <row r="16" spans="2:12" ht="20.100000000000001" customHeight="1" x14ac:dyDescent="0.2">
      <c r="B16" s="1462">
        <f>+'40b7'!B16</f>
        <v>0</v>
      </c>
      <c r="C16" s="1467">
        <f>+'40b7'!D16</f>
        <v>0</v>
      </c>
      <c r="D16" s="1472"/>
      <c r="E16" s="1472"/>
      <c r="F16" s="1472">
        <f t="shared" si="0"/>
        <v>0</v>
      </c>
      <c r="G16" s="1472"/>
      <c r="H16" s="1472"/>
      <c r="I16" s="1472"/>
      <c r="J16" s="1470"/>
      <c r="K16" s="1472"/>
      <c r="L16" s="1473"/>
    </row>
    <row r="17" spans="2:12" ht="20.100000000000001" customHeight="1" x14ac:dyDescent="0.2">
      <c r="B17" s="1462">
        <f>+'40b7'!B17</f>
        <v>0</v>
      </c>
      <c r="C17" s="1467">
        <f>+'40b7'!D17</f>
        <v>0</v>
      </c>
      <c r="D17" s="1472"/>
      <c r="E17" s="1472"/>
      <c r="F17" s="1472">
        <f t="shared" si="0"/>
        <v>0</v>
      </c>
      <c r="G17" s="1472"/>
      <c r="H17" s="1472"/>
      <c r="I17" s="1472"/>
      <c r="J17" s="1470"/>
      <c r="K17" s="1472"/>
      <c r="L17" s="1473"/>
    </row>
    <row r="18" spans="2:12" ht="20.100000000000001" customHeight="1" x14ac:dyDescent="0.2">
      <c r="B18" s="1462">
        <f>+'40b7'!B18</f>
        <v>0</v>
      </c>
      <c r="C18" s="1467">
        <f>+'40b7'!D18</f>
        <v>0</v>
      </c>
      <c r="D18" s="1472"/>
      <c r="E18" s="1472"/>
      <c r="F18" s="1472">
        <f t="shared" si="0"/>
        <v>0</v>
      </c>
      <c r="G18" s="1472"/>
      <c r="H18" s="1472"/>
      <c r="I18" s="1472"/>
      <c r="J18" s="1470"/>
      <c r="K18" s="1472"/>
      <c r="L18" s="1473"/>
    </row>
    <row r="19" spans="2:12" ht="20.100000000000001" customHeight="1" x14ac:dyDescent="0.2">
      <c r="B19" s="1462">
        <f>+'40b7'!B19</f>
        <v>0</v>
      </c>
      <c r="C19" s="1467">
        <f>+'40b7'!D19</f>
        <v>0</v>
      </c>
      <c r="D19" s="1472"/>
      <c r="E19" s="1472"/>
      <c r="F19" s="1472">
        <f t="shared" si="0"/>
        <v>0</v>
      </c>
      <c r="G19" s="1472"/>
      <c r="H19" s="1472"/>
      <c r="I19" s="1472"/>
      <c r="J19" s="1470"/>
      <c r="K19" s="1472"/>
      <c r="L19" s="1473"/>
    </row>
    <row r="20" spans="2:12" ht="20.100000000000001" customHeight="1" x14ac:dyDescent="0.2">
      <c r="B20" s="1462">
        <f>+'40b7'!B20</f>
        <v>0</v>
      </c>
      <c r="C20" s="1467">
        <f>+'40b7'!D20</f>
        <v>0</v>
      </c>
      <c r="D20" s="1472"/>
      <c r="E20" s="1472"/>
      <c r="F20" s="1472">
        <f t="shared" si="0"/>
        <v>0</v>
      </c>
      <c r="G20" s="1472"/>
      <c r="H20" s="1472"/>
      <c r="I20" s="1472"/>
      <c r="J20" s="1470"/>
      <c r="K20" s="1472"/>
      <c r="L20" s="1473"/>
    </row>
    <row r="21" spans="2:12" ht="20.100000000000001" customHeight="1" x14ac:dyDescent="0.2">
      <c r="B21" s="1462">
        <f>+'40b7'!B21</f>
        <v>0</v>
      </c>
      <c r="C21" s="1467">
        <f>+'40b7'!D21</f>
        <v>0</v>
      </c>
      <c r="D21" s="1472"/>
      <c r="E21" s="1472"/>
      <c r="F21" s="1472">
        <f t="shared" si="0"/>
        <v>0</v>
      </c>
      <c r="G21" s="1472"/>
      <c r="H21" s="1472"/>
      <c r="I21" s="1472"/>
      <c r="J21" s="1470"/>
      <c r="K21" s="1472"/>
      <c r="L21" s="1473"/>
    </row>
    <row r="22" spans="2:12" ht="20.100000000000001" customHeight="1" x14ac:dyDescent="0.2">
      <c r="B22" s="1462">
        <f>+'40b7'!B22</f>
        <v>0</v>
      </c>
      <c r="C22" s="1467">
        <f>+'40b7'!D22</f>
        <v>0</v>
      </c>
      <c r="D22" s="1472"/>
      <c r="E22" s="1472"/>
      <c r="F22" s="1472">
        <f t="shared" si="0"/>
        <v>0</v>
      </c>
      <c r="G22" s="1472"/>
      <c r="H22" s="1472"/>
      <c r="I22" s="1472"/>
      <c r="J22" s="1470"/>
      <c r="K22" s="1472"/>
      <c r="L22" s="1473"/>
    </row>
    <row r="23" spans="2:12" ht="20.100000000000001" customHeight="1" x14ac:dyDescent="0.2">
      <c r="B23" s="1462">
        <f>+'40b7'!B23</f>
        <v>0</v>
      </c>
      <c r="C23" s="1467">
        <f>+'40b7'!D23</f>
        <v>0</v>
      </c>
      <c r="D23" s="1472"/>
      <c r="E23" s="1472"/>
      <c r="F23" s="1472">
        <f t="shared" si="0"/>
        <v>0</v>
      </c>
      <c r="G23" s="1472"/>
      <c r="H23" s="1472"/>
      <c r="I23" s="1472"/>
      <c r="J23" s="1470"/>
      <c r="K23" s="1472"/>
      <c r="L23" s="1473"/>
    </row>
    <row r="24" spans="2:12" ht="20.100000000000001" customHeight="1" x14ac:dyDescent="0.2">
      <c r="B24" s="1462">
        <f>+'40b7'!B24</f>
        <v>0</v>
      </c>
      <c r="C24" s="1467">
        <f>+'40b7'!D24</f>
        <v>0</v>
      </c>
      <c r="D24" s="1472"/>
      <c r="E24" s="1472"/>
      <c r="F24" s="1472">
        <f t="shared" si="0"/>
        <v>0</v>
      </c>
      <c r="G24" s="1472"/>
      <c r="H24" s="1472"/>
      <c r="I24" s="1472"/>
      <c r="J24" s="1470"/>
      <c r="K24" s="1472"/>
      <c r="L24" s="1473"/>
    </row>
    <row r="25" spans="2:12" ht="20.100000000000001" customHeight="1" x14ac:dyDescent="0.2">
      <c r="B25" s="1462">
        <f>+'40b7'!B25</f>
        <v>0</v>
      </c>
      <c r="C25" s="1467">
        <f>+'40b7'!D25</f>
        <v>0</v>
      </c>
      <c r="D25" s="1472"/>
      <c r="E25" s="1472"/>
      <c r="F25" s="1472">
        <f t="shared" si="0"/>
        <v>0</v>
      </c>
      <c r="G25" s="1472"/>
      <c r="H25" s="1472"/>
      <c r="I25" s="1472"/>
      <c r="J25" s="1470"/>
      <c r="K25" s="1472"/>
      <c r="L25" s="1473"/>
    </row>
    <row r="26" spans="2:12" ht="20.100000000000001" customHeight="1" x14ac:dyDescent="0.2">
      <c r="B26" s="1462">
        <f>+'40b7'!B26</f>
        <v>0</v>
      </c>
      <c r="C26" s="1467">
        <f>+'40b7'!D26</f>
        <v>0</v>
      </c>
      <c r="D26" s="1472"/>
      <c r="E26" s="1472"/>
      <c r="F26" s="1472">
        <f t="shared" si="0"/>
        <v>0</v>
      </c>
      <c r="G26" s="1472"/>
      <c r="H26" s="1472"/>
      <c r="I26" s="1472"/>
      <c r="J26" s="1470"/>
      <c r="K26" s="1472"/>
      <c r="L26" s="1473"/>
    </row>
    <row r="27" spans="2:12" ht="20.100000000000001" customHeight="1" x14ac:dyDescent="0.2">
      <c r="B27" s="1462">
        <f>+'40b7'!B27</f>
        <v>0</v>
      </c>
      <c r="C27" s="1467">
        <f>+'40b7'!D27</f>
        <v>0</v>
      </c>
      <c r="D27" s="1472"/>
      <c r="E27" s="1472"/>
      <c r="F27" s="1472">
        <f t="shared" si="0"/>
        <v>0</v>
      </c>
      <c r="G27" s="1472"/>
      <c r="H27" s="1472"/>
      <c r="I27" s="1472"/>
      <c r="J27" s="1470"/>
      <c r="K27" s="1472"/>
      <c r="L27" s="1473"/>
    </row>
    <row r="28" spans="2:12" ht="20.100000000000001" customHeight="1" x14ac:dyDescent="0.2">
      <c r="B28" s="1462">
        <f>+'40b7'!B28</f>
        <v>0</v>
      </c>
      <c r="C28" s="1467">
        <f>+'40b7'!D28</f>
        <v>0</v>
      </c>
      <c r="D28" s="1472"/>
      <c r="E28" s="1472"/>
      <c r="F28" s="1472">
        <f t="shared" si="0"/>
        <v>0</v>
      </c>
      <c r="G28" s="1472"/>
      <c r="H28" s="1472"/>
      <c r="I28" s="1472"/>
      <c r="J28" s="1470"/>
      <c r="K28" s="1472"/>
      <c r="L28" s="1473"/>
    </row>
    <row r="29" spans="2:12" ht="20.100000000000001" customHeight="1" thickBot="1" x14ac:dyDescent="0.3">
      <c r="B29" s="299" t="str">
        <f>+'40b'!B29</f>
        <v>TOTAL  -  THIS  PAGE</v>
      </c>
      <c r="C29" s="1468">
        <f>+SUM(C11:C28)</f>
        <v>0</v>
      </c>
      <c r="D29" s="1468">
        <f t="shared" ref="D29:L29" si="1">+SUM(D11:D28)</f>
        <v>0</v>
      </c>
      <c r="E29" s="1468">
        <f>+SUM(E11:E28)</f>
        <v>0</v>
      </c>
      <c r="F29" s="1468">
        <f t="shared" si="1"/>
        <v>0</v>
      </c>
      <c r="G29" s="1468">
        <f t="shared" si="1"/>
        <v>0</v>
      </c>
      <c r="H29" s="1468">
        <f t="shared" si="1"/>
        <v>0</v>
      </c>
      <c r="I29" s="1468">
        <f t="shared" si="1"/>
        <v>0</v>
      </c>
      <c r="J29" s="1468">
        <f t="shared" si="1"/>
        <v>0</v>
      </c>
      <c r="K29" s="1468">
        <f t="shared" si="1"/>
        <v>0</v>
      </c>
      <c r="L29" s="1474">
        <f t="shared" si="1"/>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3333</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agZZ2YZrPIxVVMQmJmKZop88ujYVP3ON0EZ/uV9+2e09LnNLKWiMDmCJB9gVw/GFXTO/105yd2b4RlMym1FNHg==" saltValue="7TaA+yT1ULTFL3rao8kELw=="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sheetPr codeName="Sheet161">
    <tabColor theme="9"/>
  </sheetPr>
  <dimension ref="B2:L37"/>
  <sheetViews>
    <sheetView showZeros="0" zoomScaleNormal="100" workbookViewId="0">
      <selection activeCell="P15" sqref="P15"/>
    </sheetView>
  </sheetViews>
  <sheetFormatPr defaultRowHeight="12.75" x14ac:dyDescent="0.2"/>
  <cols>
    <col min="1" max="1" width="1.7109375" customWidth="1"/>
    <col min="2" max="2" width="38.7109375" customWidth="1"/>
    <col min="3" max="12" width="14.140625" customWidth="1"/>
  </cols>
  <sheetData>
    <row r="2" spans="2:12" ht="18" x14ac:dyDescent="0.25">
      <c r="B2" s="1685" t="str">
        <f>""&amp;'Key Inputs'!H39&amp;"  YEAR  CAPITAL  PROGRAM  -  "&amp;'Key Inputs'!H40&amp;" to "&amp;'Key Inputs'!H41&amp;""</f>
        <v>3  YEAR  CAPITAL  PROGRAM  -  2021 to 2023</v>
      </c>
      <c r="C2" s="1685"/>
      <c r="D2" s="1685"/>
      <c r="E2" s="1685"/>
      <c r="F2" s="1685"/>
      <c r="G2" s="1685"/>
      <c r="H2" s="1685"/>
      <c r="I2" s="1685"/>
      <c r="J2" s="1685"/>
      <c r="K2" s="1685"/>
      <c r="L2" s="1685"/>
    </row>
    <row r="3" spans="2:12" ht="18" x14ac:dyDescent="0.25">
      <c r="B3" s="1685" t="s">
        <v>717</v>
      </c>
      <c r="C3" s="1685"/>
      <c r="D3" s="1685"/>
      <c r="E3" s="1685"/>
      <c r="F3" s="1685"/>
      <c r="G3" s="1685"/>
      <c r="H3" s="1685"/>
      <c r="I3" s="1685"/>
      <c r="J3" s="1685"/>
      <c r="K3" s="1685"/>
      <c r="L3" s="1685"/>
    </row>
    <row r="4" spans="2:12" ht="15" customHeight="1" x14ac:dyDescent="0.25">
      <c r="B4" s="236"/>
      <c r="C4" s="236"/>
      <c r="D4" s="236"/>
      <c r="E4" s="236"/>
      <c r="F4" s="236"/>
      <c r="G4" s="236"/>
      <c r="H4" s="236"/>
      <c r="I4" s="375" t="s">
        <v>688</v>
      </c>
      <c r="J4" s="559"/>
      <c r="K4" s="298" t="str">
        <f>+'Key Inputs'!E5</f>
        <v>TOWNSHIP OF GREENWICH</v>
      </c>
      <c r="L4" s="298"/>
    </row>
    <row r="5" spans="2:12" ht="6" customHeight="1" thickBot="1" x14ac:dyDescent="0.25"/>
    <row r="6" spans="2:12" ht="9.75" customHeight="1" thickTop="1" x14ac:dyDescent="0.25">
      <c r="B6" s="294"/>
      <c r="C6" s="296"/>
      <c r="D6" s="296"/>
      <c r="E6" s="237"/>
      <c r="F6" s="9"/>
      <c r="G6" s="9"/>
      <c r="H6" s="9"/>
      <c r="I6" s="1770"/>
      <c r="J6" s="1771"/>
      <c r="K6" s="1771"/>
      <c r="L6" s="302"/>
    </row>
    <row r="7" spans="2:12" ht="15.75" x14ac:dyDescent="0.25">
      <c r="B7" s="438">
        <v>1</v>
      </c>
      <c r="C7" s="422">
        <v>2</v>
      </c>
      <c r="D7" s="1778" t="s">
        <v>719</v>
      </c>
      <c r="E7" s="1779"/>
      <c r="F7" s="422">
        <v>4</v>
      </c>
      <c r="G7" s="422">
        <v>5</v>
      </c>
      <c r="H7" s="422">
        <v>6</v>
      </c>
      <c r="I7" s="1780" t="s">
        <v>724</v>
      </c>
      <c r="J7" s="1595"/>
      <c r="K7" s="1595"/>
      <c r="L7" s="1781"/>
    </row>
    <row r="8" spans="2:12" ht="15" customHeight="1" x14ac:dyDescent="0.25">
      <c r="B8" s="438" t="s">
        <v>57</v>
      </c>
      <c r="C8" s="422" t="s">
        <v>477</v>
      </c>
      <c r="D8" s="422" t="s">
        <v>720</v>
      </c>
      <c r="E8" s="422" t="s">
        <v>722</v>
      </c>
      <c r="F8" s="422" t="s">
        <v>342</v>
      </c>
      <c r="G8" s="422" t="s">
        <v>342</v>
      </c>
      <c r="H8" s="422" t="s">
        <v>734</v>
      </c>
      <c r="I8" s="441" t="s">
        <v>725</v>
      </c>
      <c r="J8" s="24" t="s">
        <v>726</v>
      </c>
      <c r="K8" s="26" t="s">
        <v>727</v>
      </c>
      <c r="L8" s="440" t="s">
        <v>728</v>
      </c>
    </row>
    <row r="9" spans="2:12" x14ac:dyDescent="0.2">
      <c r="B9" s="442"/>
      <c r="C9" s="422" t="s">
        <v>58</v>
      </c>
      <c r="D9" s="422" t="s">
        <v>721</v>
      </c>
      <c r="E9" s="422" t="s">
        <v>723</v>
      </c>
      <c r="F9" s="422" t="s">
        <v>732</v>
      </c>
      <c r="G9" s="422" t="s">
        <v>332</v>
      </c>
      <c r="H9" s="422" t="s">
        <v>735</v>
      </c>
      <c r="I9" s="443" t="s">
        <v>442</v>
      </c>
      <c r="J9" s="235" t="s">
        <v>729</v>
      </c>
      <c r="K9" s="443" t="s">
        <v>500</v>
      </c>
      <c r="L9" s="440" t="s">
        <v>731</v>
      </c>
    </row>
    <row r="10" spans="2:12" ht="15" customHeight="1" thickBot="1" x14ac:dyDescent="0.25">
      <c r="B10" s="444"/>
      <c r="C10" s="446"/>
      <c r="D10" s="545" t="str">
        <f>'Key Inputs'!E34</f>
        <v>2021</v>
      </c>
      <c r="E10" s="446"/>
      <c r="F10" s="446" t="s">
        <v>733</v>
      </c>
      <c r="G10" s="446"/>
      <c r="H10" s="446" t="s">
        <v>736</v>
      </c>
      <c r="I10" s="448"/>
      <c r="J10" s="447" t="s">
        <v>730</v>
      </c>
      <c r="K10" s="448"/>
      <c r="L10" s="449"/>
    </row>
    <row r="11" spans="2:12" ht="20.100000000000001" customHeight="1" thickTop="1" x14ac:dyDescent="0.2">
      <c r="B11" s="1460">
        <f>+'40b Totals'!B11</f>
        <v>0</v>
      </c>
      <c r="C11" s="1466">
        <f>+'40b Totals'!D11</f>
        <v>0</v>
      </c>
      <c r="D11" s="1469"/>
      <c r="E11" s="1469"/>
      <c r="F11" s="1469">
        <f>+C11*0.05</f>
        <v>0</v>
      </c>
      <c r="G11" s="1469"/>
      <c r="H11" s="1469"/>
      <c r="I11" s="1469"/>
      <c r="J11" s="1470"/>
      <c r="K11" s="1469"/>
      <c r="L11" s="1471"/>
    </row>
    <row r="12" spans="2:12" ht="20.100000000000001" customHeight="1" x14ac:dyDescent="0.2">
      <c r="B12" s="1462">
        <f>+'40b Totals'!B12</f>
        <v>0</v>
      </c>
      <c r="C12" s="1467">
        <f>+'40b Totals'!D12</f>
        <v>0</v>
      </c>
      <c r="D12" s="1472"/>
      <c r="E12" s="1472"/>
      <c r="F12" s="1472">
        <f>+C12*0.05</f>
        <v>0</v>
      </c>
      <c r="G12" s="1472"/>
      <c r="H12" s="1472"/>
      <c r="I12" s="1472"/>
      <c r="J12" s="1470"/>
      <c r="K12" s="1472"/>
      <c r="L12" s="1473"/>
    </row>
    <row r="13" spans="2:12" ht="20.100000000000001" customHeight="1" x14ac:dyDescent="0.2">
      <c r="B13" s="1462">
        <f>+'40b Totals'!B13</f>
        <v>0</v>
      </c>
      <c r="C13" s="1467">
        <f>+'40b Totals'!D13</f>
        <v>0</v>
      </c>
      <c r="D13" s="1472"/>
      <c r="E13" s="1472"/>
      <c r="F13" s="1472">
        <f t="shared" ref="F13:F28" si="0">+C13*0.05</f>
        <v>0</v>
      </c>
      <c r="G13" s="1472"/>
      <c r="H13" s="1472"/>
      <c r="I13" s="1472"/>
      <c r="J13" s="1470"/>
      <c r="K13" s="1472"/>
      <c r="L13" s="1473"/>
    </row>
    <row r="14" spans="2:12" ht="20.100000000000001" customHeight="1" x14ac:dyDescent="0.2">
      <c r="B14" s="1462">
        <f>+'40b Totals'!B14</f>
        <v>0</v>
      </c>
      <c r="C14" s="1467">
        <f>+'40b Totals'!D14</f>
        <v>0</v>
      </c>
      <c r="D14" s="1472"/>
      <c r="E14" s="1472"/>
      <c r="F14" s="1472">
        <f t="shared" si="0"/>
        <v>0</v>
      </c>
      <c r="G14" s="1472"/>
      <c r="H14" s="1472"/>
      <c r="I14" s="1472"/>
      <c r="J14" s="1470"/>
      <c r="K14" s="1472"/>
      <c r="L14" s="1473"/>
    </row>
    <row r="15" spans="2:12" ht="20.100000000000001" customHeight="1" x14ac:dyDescent="0.2">
      <c r="B15" s="1462">
        <f>+'40b Totals'!B15</f>
        <v>0</v>
      </c>
      <c r="C15" s="1467">
        <f>+'40b Totals'!D15</f>
        <v>0</v>
      </c>
      <c r="D15" s="1472"/>
      <c r="E15" s="1472"/>
      <c r="F15" s="1472">
        <f t="shared" si="0"/>
        <v>0</v>
      </c>
      <c r="G15" s="1472"/>
      <c r="H15" s="1472"/>
      <c r="I15" s="1472"/>
      <c r="J15" s="1470"/>
      <c r="K15" s="1472"/>
      <c r="L15" s="1473"/>
    </row>
    <row r="16" spans="2:12" ht="20.100000000000001" customHeight="1" x14ac:dyDescent="0.2">
      <c r="B16" s="1462">
        <f>+'40b Totals'!B16</f>
        <v>0</v>
      </c>
      <c r="C16" s="1467">
        <f>+'40b Totals'!D16</f>
        <v>0</v>
      </c>
      <c r="D16" s="1472"/>
      <c r="E16" s="1472"/>
      <c r="F16" s="1472">
        <f t="shared" si="0"/>
        <v>0</v>
      </c>
      <c r="G16" s="1472"/>
      <c r="H16" s="1472"/>
      <c r="I16" s="1472"/>
      <c r="J16" s="1470"/>
      <c r="K16" s="1472"/>
      <c r="L16" s="1473"/>
    </row>
    <row r="17" spans="2:12" ht="20.100000000000001" customHeight="1" x14ac:dyDescent="0.2">
      <c r="B17" s="1462">
        <f>+'40b Totals'!B17</f>
        <v>0</v>
      </c>
      <c r="C17" s="1467">
        <f>+'40b Totals'!D17</f>
        <v>0</v>
      </c>
      <c r="D17" s="1472"/>
      <c r="E17" s="1472"/>
      <c r="F17" s="1472">
        <f t="shared" si="0"/>
        <v>0</v>
      </c>
      <c r="G17" s="1472"/>
      <c r="H17" s="1472"/>
      <c r="I17" s="1472"/>
      <c r="J17" s="1470"/>
      <c r="K17" s="1472"/>
      <c r="L17" s="1473"/>
    </row>
    <row r="18" spans="2:12" ht="20.100000000000001" customHeight="1" x14ac:dyDescent="0.2">
      <c r="B18" s="1462">
        <f>+'40b Totals'!B18</f>
        <v>0</v>
      </c>
      <c r="C18" s="1467">
        <f>+'40b Totals'!D18</f>
        <v>0</v>
      </c>
      <c r="D18" s="1472"/>
      <c r="E18" s="1472"/>
      <c r="F18" s="1472">
        <f t="shared" si="0"/>
        <v>0</v>
      </c>
      <c r="G18" s="1472"/>
      <c r="H18" s="1472"/>
      <c r="I18" s="1472"/>
      <c r="J18" s="1470"/>
      <c r="K18" s="1472"/>
      <c r="L18" s="1473"/>
    </row>
    <row r="19" spans="2:12" ht="20.100000000000001" customHeight="1" x14ac:dyDescent="0.2">
      <c r="B19" s="1462">
        <f>+'40b Totals'!B19</f>
        <v>0</v>
      </c>
      <c r="C19" s="1467">
        <f>+'40b Totals'!D19</f>
        <v>0</v>
      </c>
      <c r="D19" s="1472"/>
      <c r="E19" s="1472"/>
      <c r="F19" s="1472">
        <f t="shared" si="0"/>
        <v>0</v>
      </c>
      <c r="G19" s="1472"/>
      <c r="H19" s="1472"/>
      <c r="I19" s="1472"/>
      <c r="J19" s="1470"/>
      <c r="K19" s="1472"/>
      <c r="L19" s="1473"/>
    </row>
    <row r="20" spans="2:12" ht="20.100000000000001" customHeight="1" x14ac:dyDescent="0.2">
      <c r="B20" s="1462">
        <f>+'40b Totals'!B20</f>
        <v>0</v>
      </c>
      <c r="C20" s="1467">
        <f>+'40b Totals'!D20</f>
        <v>0</v>
      </c>
      <c r="D20" s="1472"/>
      <c r="E20" s="1472"/>
      <c r="F20" s="1472">
        <f t="shared" si="0"/>
        <v>0</v>
      </c>
      <c r="G20" s="1472"/>
      <c r="H20" s="1472"/>
      <c r="I20" s="1472"/>
      <c r="J20" s="1470"/>
      <c r="K20" s="1472"/>
      <c r="L20" s="1473"/>
    </row>
    <row r="21" spans="2:12" ht="20.100000000000001" customHeight="1" x14ac:dyDescent="0.2">
      <c r="B21" s="1462">
        <f>+'40b Totals'!B21</f>
        <v>0</v>
      </c>
      <c r="C21" s="1467">
        <f>+'40b Totals'!D21</f>
        <v>0</v>
      </c>
      <c r="D21" s="1472"/>
      <c r="E21" s="1472"/>
      <c r="F21" s="1472">
        <f t="shared" si="0"/>
        <v>0</v>
      </c>
      <c r="G21" s="1472"/>
      <c r="H21" s="1472"/>
      <c r="I21" s="1472"/>
      <c r="J21" s="1470"/>
      <c r="K21" s="1472"/>
      <c r="L21" s="1473"/>
    </row>
    <row r="22" spans="2:12" ht="20.100000000000001" customHeight="1" x14ac:dyDescent="0.2">
      <c r="B22" s="1462">
        <f>+'40b Totals'!B22</f>
        <v>0</v>
      </c>
      <c r="C22" s="1467">
        <f>+'40b Totals'!D22</f>
        <v>0</v>
      </c>
      <c r="D22" s="1472"/>
      <c r="E22" s="1472"/>
      <c r="F22" s="1472">
        <f t="shared" si="0"/>
        <v>0</v>
      </c>
      <c r="G22" s="1472"/>
      <c r="H22" s="1472"/>
      <c r="I22" s="1472"/>
      <c r="J22" s="1470"/>
      <c r="K22" s="1472"/>
      <c r="L22" s="1473"/>
    </row>
    <row r="23" spans="2:12" ht="20.100000000000001" customHeight="1" x14ac:dyDescent="0.2">
      <c r="B23" s="1462">
        <f>+'40b Totals'!B23</f>
        <v>0</v>
      </c>
      <c r="C23" s="1467">
        <f>+'40b Totals'!D23</f>
        <v>0</v>
      </c>
      <c r="D23" s="1472"/>
      <c r="E23" s="1472"/>
      <c r="F23" s="1472">
        <f t="shared" si="0"/>
        <v>0</v>
      </c>
      <c r="G23" s="1472"/>
      <c r="H23" s="1472"/>
      <c r="I23" s="1472"/>
      <c r="J23" s="1470"/>
      <c r="K23" s="1472"/>
      <c r="L23" s="1473"/>
    </row>
    <row r="24" spans="2:12" ht="20.100000000000001" customHeight="1" x14ac:dyDescent="0.2">
      <c r="B24" s="1462">
        <f>+'40b Totals'!B24</f>
        <v>0</v>
      </c>
      <c r="C24" s="1467">
        <f>+'40b Totals'!D24</f>
        <v>0</v>
      </c>
      <c r="D24" s="1472"/>
      <c r="E24" s="1472"/>
      <c r="F24" s="1472">
        <f t="shared" si="0"/>
        <v>0</v>
      </c>
      <c r="G24" s="1472"/>
      <c r="H24" s="1472"/>
      <c r="I24" s="1472"/>
      <c r="J24" s="1470"/>
      <c r="K24" s="1472"/>
      <c r="L24" s="1473"/>
    </row>
    <row r="25" spans="2:12" ht="20.100000000000001" customHeight="1" x14ac:dyDescent="0.2">
      <c r="B25" s="1462">
        <f>+'40b Totals'!B25</f>
        <v>0</v>
      </c>
      <c r="C25" s="1467">
        <f>+'40b Totals'!D25</f>
        <v>0</v>
      </c>
      <c r="D25" s="1472"/>
      <c r="E25" s="1472"/>
      <c r="F25" s="1472">
        <f t="shared" si="0"/>
        <v>0</v>
      </c>
      <c r="G25" s="1472"/>
      <c r="H25" s="1472"/>
      <c r="I25" s="1472"/>
      <c r="J25" s="1470"/>
      <c r="K25" s="1472"/>
      <c r="L25" s="1473"/>
    </row>
    <row r="26" spans="2:12" ht="20.100000000000001" customHeight="1" x14ac:dyDescent="0.2">
      <c r="B26" s="1462">
        <f>+'40b Totals'!B26</f>
        <v>0</v>
      </c>
      <c r="C26" s="1467">
        <f>+'40b Totals'!D26</f>
        <v>0</v>
      </c>
      <c r="D26" s="1472"/>
      <c r="E26" s="1472"/>
      <c r="F26" s="1472">
        <f t="shared" si="0"/>
        <v>0</v>
      </c>
      <c r="G26" s="1472"/>
      <c r="H26" s="1472"/>
      <c r="I26" s="1472"/>
      <c r="J26" s="1470"/>
      <c r="K26" s="1472"/>
      <c r="L26" s="1473"/>
    </row>
    <row r="27" spans="2:12" ht="20.100000000000001" customHeight="1" x14ac:dyDescent="0.2">
      <c r="B27" s="1462">
        <f>+'40b Totals'!B27</f>
        <v>0</v>
      </c>
      <c r="C27" s="1467">
        <f>+'40b Totals'!D27</f>
        <v>0</v>
      </c>
      <c r="D27" s="1472"/>
      <c r="E27" s="1472"/>
      <c r="F27" s="1472">
        <f t="shared" si="0"/>
        <v>0</v>
      </c>
      <c r="G27" s="1472"/>
      <c r="H27" s="1472"/>
      <c r="I27" s="1472"/>
      <c r="J27" s="1470"/>
      <c r="K27" s="1472"/>
      <c r="L27" s="1473"/>
    </row>
    <row r="28" spans="2:12" ht="20.100000000000001" customHeight="1" x14ac:dyDescent="0.2">
      <c r="B28" s="1462">
        <f>+'40b Totals'!B28</f>
        <v>0</v>
      </c>
      <c r="C28" s="1467">
        <f>+'40b Totals'!D28</f>
        <v>0</v>
      </c>
      <c r="D28" s="1472"/>
      <c r="E28" s="1472"/>
      <c r="F28" s="1472">
        <f t="shared" si="0"/>
        <v>0</v>
      </c>
      <c r="G28" s="1472"/>
      <c r="H28" s="1472"/>
      <c r="I28" s="1472"/>
      <c r="J28" s="1470"/>
      <c r="K28" s="1472"/>
      <c r="L28" s="1473"/>
    </row>
    <row r="29" spans="2:12" ht="20.100000000000001" customHeight="1" thickBot="1" x14ac:dyDescent="0.3">
      <c r="B29" s="299" t="s">
        <v>703</v>
      </c>
      <c r="C29" s="1468">
        <f>+SUM(C11:C28)+SUM('40d:40d7'!C29)</f>
        <v>536109</v>
      </c>
      <c r="D29" s="1468">
        <f>+SUM(D11:D28)+SUM('40d:40d7'!D29)</f>
        <v>0</v>
      </c>
      <c r="E29" s="1468">
        <f>+SUM(E11:E28)+SUM('40d:40d7'!E29)</f>
        <v>200000</v>
      </c>
      <c r="F29" s="1468">
        <f>+SUM(F11:F28)+SUM('40d:40d7'!F29)</f>
        <v>168000</v>
      </c>
      <c r="G29" s="1468">
        <f>+SUM(G11:G28)+SUM('40d:40d7'!G29)</f>
        <v>0</v>
      </c>
      <c r="H29" s="1468">
        <f>+SUM(H11:H28)+SUM('40d:40d7'!H29)</f>
        <v>168109</v>
      </c>
      <c r="I29" s="1468">
        <f>+SUM(I11:I28)+SUM('40d:40d7'!I29)</f>
        <v>0</v>
      </c>
      <c r="J29" s="1468">
        <f>+SUM(J11:J28)+SUM('40d:40d7'!J29)</f>
        <v>0</v>
      </c>
      <c r="K29" s="1468">
        <f>+SUM(K11:K28)+SUM('40d:40d7'!K29)</f>
        <v>0</v>
      </c>
      <c r="L29" s="1474">
        <f>+SUM(L11:L28)+SUM('40d:40d7'!L29)</f>
        <v>0</v>
      </c>
    </row>
    <row r="30" spans="2:12" ht="15.75" customHeight="1" thickTop="1" x14ac:dyDescent="0.25">
      <c r="B30" s="12"/>
      <c r="C30" s="126"/>
      <c r="D30" s="126"/>
      <c r="E30" s="126"/>
      <c r="F30" s="126"/>
      <c r="G30" s="126"/>
      <c r="H30" s="126"/>
      <c r="I30" s="164"/>
      <c r="J30" s="164"/>
      <c r="K30" s="164"/>
      <c r="L30" s="300" t="s">
        <v>737</v>
      </c>
    </row>
    <row r="31" spans="2:12" ht="15.75" x14ac:dyDescent="0.25">
      <c r="B31" s="1617" t="s">
        <v>5328</v>
      </c>
      <c r="C31" s="1617"/>
      <c r="D31" s="1617"/>
      <c r="E31" s="1617"/>
      <c r="F31" s="1617"/>
      <c r="G31" s="1617"/>
      <c r="H31" s="1617"/>
      <c r="I31" s="1617"/>
      <c r="J31" s="1617"/>
      <c r="K31" s="1617"/>
      <c r="L31" s="1617"/>
    </row>
    <row r="34" spans="9:12" x14ac:dyDescent="0.2">
      <c r="I34" s="29"/>
    </row>
    <row r="35" spans="9:12" x14ac:dyDescent="0.2">
      <c r="L35" s="29"/>
    </row>
    <row r="37" spans="9:12" x14ac:dyDescent="0.2">
      <c r="L37" s="29"/>
    </row>
  </sheetData>
  <sheetProtection algorithmName="SHA-512" hashValue="zgFaiH6KK+hqYO1+zS9+KUj3tOCF+dVGXYLmp5rBM0OnMhQYVL9NaXRgLV6VxHsbA7zGGMwQ3Ws2r1TvD7joAQ==" saltValue="t6qsRgbTJCbqWvDDvgugeQ==" spinCount="100000" sheet="1" objects="1" scenarios="1"/>
  <mergeCells count="6">
    <mergeCell ref="B31:L31"/>
    <mergeCell ref="B2:L2"/>
    <mergeCell ref="B3:L3"/>
    <mergeCell ref="I6:K6"/>
    <mergeCell ref="D7:E7"/>
    <mergeCell ref="I7:L7"/>
  </mergeCells>
  <pageMargins left="0.25" right="0.3" top="0.25" bottom="0.75" header="0.25" footer="0.25"/>
  <pageSetup paperSize="5" scale="95" orientation="landscape" r:id="rId1"/>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sheetPr codeName="Sheet162"/>
  <dimension ref="A1:X51"/>
  <sheetViews>
    <sheetView zoomScaleNormal="100" workbookViewId="0">
      <selection activeCell="Q30" sqref="Q30"/>
    </sheetView>
  </sheetViews>
  <sheetFormatPr defaultRowHeight="12.75" x14ac:dyDescent="0.2"/>
  <cols>
    <col min="1" max="1" width="14.7109375" customWidth="1"/>
    <col min="2" max="3" width="4.7109375" customWidth="1"/>
    <col min="4" max="4" width="5.7109375" customWidth="1"/>
    <col min="5" max="5" width="5.42578125" customWidth="1"/>
    <col min="7" max="7" width="12.5703125" customWidth="1"/>
    <col min="8" max="8" width="2.7109375" customWidth="1"/>
    <col min="9" max="9" width="10" customWidth="1"/>
    <col min="10" max="10" width="15.7109375" customWidth="1"/>
    <col min="11" max="11" width="6.28515625" customWidth="1"/>
    <col min="12" max="12" width="2.7109375" customWidth="1"/>
    <col min="13" max="13" width="29.7109375" customWidth="1"/>
    <col min="14" max="16" width="8.7109375" customWidth="1"/>
    <col min="17" max="17" width="18.7109375" customWidth="1"/>
    <col min="18" max="18" width="1.42578125" customWidth="1"/>
    <col min="20" max="20" width="12.28515625" customWidth="1"/>
    <col min="24" max="24" width="12.5703125" customWidth="1"/>
  </cols>
  <sheetData>
    <row r="1" spans="1:24" ht="8.25" customHeight="1" x14ac:dyDescent="0.2"/>
    <row r="2" spans="1:24" ht="18" x14ac:dyDescent="0.25">
      <c r="B2" s="1685" t="str">
        <f>"SECTION  2 - UPON  ADOPTION  FOR  YEAR  "&amp;'Key Inputs'!E34</f>
        <v>SECTION  2 - UPON  ADOPTION  FOR  YEAR  2021</v>
      </c>
      <c r="C2" s="1685"/>
      <c r="D2" s="1685"/>
      <c r="E2" s="1685"/>
      <c r="F2" s="1685"/>
      <c r="G2" s="1685"/>
      <c r="H2" s="1685"/>
      <c r="I2" s="1685"/>
      <c r="J2" s="1685"/>
      <c r="K2" s="1685"/>
      <c r="L2" s="1685"/>
      <c r="M2" s="1685"/>
      <c r="N2" s="1685"/>
      <c r="O2" s="1685"/>
      <c r="P2" s="1685"/>
      <c r="Q2" s="1685"/>
    </row>
    <row r="3" spans="1:24" x14ac:dyDescent="0.2">
      <c r="B3" s="1782" t="str">
        <f>"RESOLUTION "&amp;T10&amp;""</f>
        <v xml:space="preserve">RESOLUTION </v>
      </c>
      <c r="C3" s="1782"/>
      <c r="D3" s="1782"/>
      <c r="E3" s="1782"/>
      <c r="F3" s="1782"/>
      <c r="G3" s="1782"/>
      <c r="H3" s="1782"/>
      <c r="I3" s="1782"/>
      <c r="J3" s="1782"/>
      <c r="K3" s="1782"/>
      <c r="L3" s="1782"/>
      <c r="M3" s="1782"/>
      <c r="N3" s="1782"/>
      <c r="O3" s="1782"/>
      <c r="P3" s="1782"/>
      <c r="Q3" s="1782"/>
    </row>
    <row r="4" spans="1:24" ht="15" x14ac:dyDescent="0.25">
      <c r="B4" s="248" t="s">
        <v>749</v>
      </c>
      <c r="C4" s="248"/>
      <c r="D4" s="248"/>
      <c r="E4" s="248"/>
      <c r="F4" s="1667" t="str">
        <f>+'Key Inputs'!E9</f>
        <v>COMMITTEEPERSONS</v>
      </c>
      <c r="G4" s="1667"/>
      <c r="H4" s="1667"/>
      <c r="I4" s="1667"/>
      <c r="J4" s="1667"/>
      <c r="K4" s="248" t="s">
        <v>416</v>
      </c>
      <c r="L4" s="1667" t="str">
        <f>+'Key Inputs'!E8</f>
        <v>TOWNSHIP</v>
      </c>
      <c r="M4" s="1667"/>
      <c r="N4" s="1667"/>
      <c r="O4" s="1667"/>
      <c r="P4" s="1667"/>
      <c r="Q4" s="1667"/>
    </row>
    <row r="5" spans="1:24" ht="15" x14ac:dyDescent="0.25">
      <c r="B5" s="248" t="s">
        <v>417</v>
      </c>
      <c r="C5" s="1667" t="str">
        <f>+'Key Inputs'!E7</f>
        <v>GREENWICH</v>
      </c>
      <c r="D5" s="1667"/>
      <c r="E5" s="1667"/>
      <c r="F5" s="1667"/>
      <c r="G5" s="1667"/>
      <c r="H5" s="1667"/>
      <c r="I5" s="248" t="s">
        <v>611</v>
      </c>
      <c r="J5" s="1667" t="str">
        <f>+'Key Inputs'!E6</f>
        <v>CUMBERLAND</v>
      </c>
      <c r="K5" s="1667"/>
      <c r="L5" s="1667"/>
      <c r="M5" s="1667"/>
      <c r="N5" s="248" t="s">
        <v>750</v>
      </c>
      <c r="O5" s="248"/>
      <c r="P5" s="248"/>
      <c r="Q5" s="248"/>
    </row>
    <row r="6" spans="1:24" ht="14.25" x14ac:dyDescent="0.2">
      <c r="B6" s="248" t="s">
        <v>601</v>
      </c>
      <c r="C6" s="248"/>
      <c r="D6" s="248"/>
      <c r="E6" s="248"/>
      <c r="F6" s="248"/>
      <c r="G6" s="248"/>
      <c r="H6" s="248"/>
      <c r="I6" s="248"/>
      <c r="J6" s="248"/>
      <c r="K6" s="248"/>
      <c r="L6" s="248"/>
      <c r="M6" s="248"/>
      <c r="N6" s="248"/>
      <c r="O6" s="248"/>
      <c r="P6" s="248"/>
      <c r="Q6" s="248"/>
    </row>
    <row r="7" spans="1:24" ht="3.75" customHeight="1" x14ac:dyDescent="0.2">
      <c r="A7" s="1415"/>
      <c r="B7" s="1418"/>
      <c r="C7" s="1418"/>
      <c r="D7" s="1418"/>
      <c r="E7" s="1418"/>
      <c r="F7" s="1418"/>
      <c r="G7" s="1418"/>
      <c r="H7" s="1418"/>
      <c r="I7" s="1418"/>
      <c r="J7" s="1418"/>
      <c r="K7" s="1418"/>
      <c r="L7" s="1418"/>
      <c r="M7" s="1418"/>
      <c r="N7" s="1418"/>
      <c r="O7" s="1418"/>
      <c r="P7" s="1418"/>
      <c r="Q7" s="1418"/>
    </row>
    <row r="8" spans="1:24" ht="14.25" x14ac:dyDescent="0.2">
      <c r="B8" s="248"/>
      <c r="C8" s="305" t="s">
        <v>751</v>
      </c>
      <c r="D8" s="1783">
        <f>+Q33</f>
        <v>334252.65115825913</v>
      </c>
      <c r="E8" s="1783"/>
      <c r="F8" s="1783"/>
      <c r="G8" s="248" t="s">
        <v>754</v>
      </c>
      <c r="H8" s="248"/>
      <c r="I8" s="248"/>
      <c r="J8" s="248"/>
      <c r="K8" s="248"/>
      <c r="L8" s="248"/>
      <c r="M8" s="248"/>
      <c r="N8" s="248"/>
      <c r="O8" s="248"/>
      <c r="P8" s="248"/>
      <c r="Q8" s="248"/>
    </row>
    <row r="9" spans="1:24" ht="14.25" x14ac:dyDescent="0.2">
      <c r="C9" s="305" t="s">
        <v>752</v>
      </c>
      <c r="D9" s="1783">
        <f>+Q37</f>
        <v>0</v>
      </c>
      <c r="E9" s="1783"/>
      <c r="F9" s="1783"/>
      <c r="G9" s="248" t="s">
        <v>3368</v>
      </c>
      <c r="H9" s="248"/>
      <c r="T9" s="671" t="s">
        <v>3349</v>
      </c>
    </row>
    <row r="10" spans="1:24" ht="14.25" x14ac:dyDescent="0.2">
      <c r="C10" s="305" t="s">
        <v>753</v>
      </c>
      <c r="D10" s="1783">
        <f>+Q39</f>
        <v>0</v>
      </c>
      <c r="E10" s="1783"/>
      <c r="F10" s="1783"/>
      <c r="G10" s="248" t="s">
        <v>755</v>
      </c>
      <c r="H10" s="248"/>
      <c r="T10" s="989"/>
    </row>
    <row r="11" spans="1:24" ht="14.25" x14ac:dyDescent="0.2">
      <c r="G11" s="248" t="s">
        <v>3353</v>
      </c>
      <c r="H11" s="248"/>
      <c r="X11" s="63"/>
    </row>
    <row r="12" spans="1:24" ht="14.25" x14ac:dyDescent="0.2">
      <c r="G12" s="248" t="s">
        <v>756</v>
      </c>
      <c r="H12" s="248"/>
      <c r="X12" s="63"/>
    </row>
    <row r="13" spans="1:24" ht="14.25" x14ac:dyDescent="0.2">
      <c r="C13" s="305" t="s">
        <v>59</v>
      </c>
      <c r="D13" s="1783">
        <f>+'43'!I8</f>
        <v>0</v>
      </c>
      <c r="E13" s="1783"/>
      <c r="F13" s="1783"/>
      <c r="G13" s="248" t="s">
        <v>60</v>
      </c>
      <c r="H13" s="248"/>
      <c r="X13" s="227"/>
    </row>
    <row r="14" spans="1:24" ht="14.25" x14ac:dyDescent="0.2">
      <c r="C14" s="305" t="s">
        <v>3350</v>
      </c>
      <c r="D14" s="1789">
        <f>'44'!I8</f>
        <v>0</v>
      </c>
      <c r="E14" s="1789"/>
      <c r="F14" s="1789"/>
      <c r="G14" s="248" t="s">
        <v>6186</v>
      </c>
      <c r="H14" s="248"/>
      <c r="X14" s="227"/>
    </row>
    <row r="15" spans="1:24" ht="14.25" x14ac:dyDescent="0.2">
      <c r="C15" s="305" t="s">
        <v>6180</v>
      </c>
      <c r="D15" s="1788">
        <f>+Q40</f>
        <v>0</v>
      </c>
      <c r="E15" s="1788"/>
      <c r="F15" s="1788"/>
      <c r="G15" s="248" t="s">
        <v>3351</v>
      </c>
      <c r="H15" s="248"/>
      <c r="X15" s="227"/>
    </row>
    <row r="16" spans="1:24" ht="3.75" customHeight="1" thickBot="1" x14ac:dyDescent="0.25">
      <c r="A16" s="1415"/>
      <c r="B16" s="1415"/>
      <c r="C16" s="1419"/>
      <c r="D16" s="1420"/>
      <c r="E16" s="1420"/>
      <c r="F16" s="1420"/>
      <c r="G16" s="1418"/>
      <c r="H16" s="1415"/>
      <c r="I16" s="1415"/>
      <c r="J16" s="1415"/>
      <c r="K16" s="1415"/>
      <c r="L16" s="1415"/>
      <c r="M16" s="1415"/>
      <c r="N16" s="1415"/>
      <c r="O16" s="1415"/>
      <c r="P16" s="1414"/>
      <c r="Q16" s="1415"/>
      <c r="X16" s="535"/>
    </row>
    <row r="17" spans="1:24" x14ac:dyDescent="0.2">
      <c r="H17" s="984"/>
      <c r="I17" s="1409"/>
      <c r="J17" s="1409"/>
      <c r="L17" s="984"/>
      <c r="M17" s="1409"/>
      <c r="O17" s="229"/>
      <c r="P17" s="986"/>
      <c r="Q17" s="823"/>
      <c r="X17" s="63"/>
    </row>
    <row r="18" spans="1:24" ht="15.75" x14ac:dyDescent="0.25">
      <c r="C18" s="1" t="s">
        <v>757</v>
      </c>
      <c r="H18" s="986"/>
      <c r="I18" s="1411"/>
      <c r="J18" s="985"/>
      <c r="L18" s="986"/>
      <c r="M18" s="985"/>
      <c r="O18" s="229" t="s">
        <v>761</v>
      </c>
      <c r="P18" s="986"/>
      <c r="Q18" s="909"/>
      <c r="X18" s="63"/>
    </row>
    <row r="19" spans="1:24" ht="13.5" thickBot="1" x14ac:dyDescent="0.25">
      <c r="C19" t="s">
        <v>758</v>
      </c>
      <c r="G19" s="229"/>
      <c r="H19" s="986"/>
      <c r="I19" s="985"/>
      <c r="J19" s="985"/>
      <c r="K19" s="229"/>
      <c r="L19" s="986"/>
      <c r="M19" s="985"/>
      <c r="O19" s="229"/>
      <c r="P19" s="826"/>
      <c r="Q19" s="827"/>
    </row>
    <row r="20" spans="1:24" x14ac:dyDescent="0.2">
      <c r="G20" s="229"/>
      <c r="H20" s="986"/>
      <c r="I20" s="985"/>
      <c r="J20" s="985"/>
      <c r="K20" s="229"/>
      <c r="L20" s="986"/>
      <c r="M20" s="985"/>
      <c r="O20" s="229"/>
      <c r="P20" s="63"/>
    </row>
    <row r="21" spans="1:24" ht="13.5" thickBot="1" x14ac:dyDescent="0.25">
      <c r="G21" s="229" t="s">
        <v>759</v>
      </c>
      <c r="H21" s="986"/>
      <c r="I21" s="985"/>
      <c r="J21" s="985"/>
      <c r="K21" s="229" t="s">
        <v>760</v>
      </c>
      <c r="L21" s="986"/>
      <c r="M21" s="985"/>
    </row>
    <row r="22" spans="1:24" x14ac:dyDescent="0.2">
      <c r="H22" s="986"/>
      <c r="I22" s="985"/>
      <c r="J22" s="985"/>
      <c r="L22" s="986"/>
      <c r="M22" s="985"/>
      <c r="P22" s="984"/>
      <c r="Q22" s="823"/>
    </row>
    <row r="23" spans="1:24" x14ac:dyDescent="0.2">
      <c r="H23" s="986"/>
      <c r="I23" s="985"/>
      <c r="J23" s="985"/>
      <c r="L23" s="986"/>
      <c r="M23" s="985"/>
      <c r="P23" s="986"/>
      <c r="Q23" s="909"/>
    </row>
    <row r="24" spans="1:24" x14ac:dyDescent="0.2">
      <c r="H24" s="986"/>
      <c r="I24" s="985"/>
      <c r="J24" s="985"/>
      <c r="L24" s="986"/>
      <c r="M24" s="985"/>
      <c r="O24" s="229" t="s">
        <v>762</v>
      </c>
      <c r="P24" s="986"/>
      <c r="Q24" s="909"/>
    </row>
    <row r="25" spans="1:24" x14ac:dyDescent="0.2">
      <c r="H25" s="986"/>
      <c r="I25" s="985"/>
      <c r="J25" s="985"/>
      <c r="L25" s="986"/>
      <c r="M25" s="985"/>
      <c r="O25" s="229"/>
      <c r="P25" s="986"/>
      <c r="Q25" s="909"/>
    </row>
    <row r="26" spans="1:24" s="182" customFormat="1" ht="13.5" thickBot="1" x14ac:dyDescent="0.25">
      <c r="H26" s="1271"/>
      <c r="I26" s="1412"/>
      <c r="J26" s="988"/>
      <c r="L26" s="1271"/>
      <c r="M26" s="988"/>
      <c r="P26" s="987"/>
      <c r="Q26" s="1413"/>
    </row>
    <row r="27" spans="1:24" ht="13.5" thickBot="1" x14ac:dyDescent="0.25">
      <c r="H27" s="987"/>
      <c r="I27" s="1410"/>
      <c r="J27" s="1410"/>
      <c r="L27" s="987"/>
      <c r="M27" s="1410"/>
      <c r="P27" s="264"/>
    </row>
    <row r="28" spans="1:24" ht="3.75" customHeight="1" x14ac:dyDescent="0.2">
      <c r="A28" s="1415"/>
      <c r="B28" s="1415"/>
      <c r="C28" s="1415"/>
      <c r="D28" s="1415"/>
      <c r="E28" s="1415"/>
      <c r="F28" s="1415"/>
      <c r="G28" s="1415"/>
      <c r="H28" s="1416"/>
      <c r="I28" s="1416"/>
      <c r="J28" s="1416"/>
      <c r="K28" s="1415"/>
      <c r="L28" s="1416"/>
      <c r="M28" s="1416"/>
      <c r="N28" s="1415"/>
      <c r="O28" s="1415"/>
      <c r="P28" s="1417"/>
      <c r="Q28" s="1415"/>
    </row>
    <row r="29" spans="1:24" ht="15.75" x14ac:dyDescent="0.25">
      <c r="B29" s="303" t="s">
        <v>30</v>
      </c>
      <c r="C29" t="s">
        <v>741</v>
      </c>
      <c r="J29" s="1" t="s">
        <v>746</v>
      </c>
    </row>
    <row r="30" spans="1:24" x14ac:dyDescent="0.2">
      <c r="B30" s="304"/>
      <c r="C30" s="5"/>
      <c r="D30" s="5" t="s">
        <v>742</v>
      </c>
      <c r="E30" s="5"/>
      <c r="F30" s="5"/>
      <c r="G30" s="5"/>
      <c r="H30" s="5"/>
      <c r="I30" s="5"/>
      <c r="J30" s="5"/>
      <c r="K30" s="5"/>
      <c r="L30" s="5"/>
      <c r="M30" s="5"/>
      <c r="N30" s="5"/>
      <c r="O30" s="5"/>
      <c r="P30" s="499" t="s">
        <v>517</v>
      </c>
      <c r="Q30" s="450">
        <f>+'11'!I8+'11'!I9</f>
        <v>302200</v>
      </c>
    </row>
    <row r="31" spans="1:24" x14ac:dyDescent="0.2">
      <c r="B31" s="304"/>
      <c r="C31" s="5"/>
      <c r="D31" s="5" t="s">
        <v>743</v>
      </c>
      <c r="E31" s="5"/>
      <c r="F31" s="5"/>
      <c r="G31" s="5"/>
      <c r="H31" s="5"/>
      <c r="I31" s="5"/>
      <c r="J31" s="5"/>
      <c r="K31" s="5"/>
      <c r="L31" s="5"/>
      <c r="M31" s="5"/>
      <c r="N31" s="5"/>
      <c r="O31" s="5"/>
      <c r="P31" s="499" t="s">
        <v>61</v>
      </c>
      <c r="Q31" s="450">
        <f>+'11'!I18</f>
        <v>102301.84</v>
      </c>
    </row>
    <row r="32" spans="1:24" x14ac:dyDescent="0.2">
      <c r="B32" s="304"/>
      <c r="C32" s="5"/>
      <c r="D32" s="5" t="s">
        <v>422</v>
      </c>
      <c r="E32" s="5"/>
      <c r="F32" s="5"/>
      <c r="G32" s="5"/>
      <c r="H32" s="5"/>
      <c r="I32" s="5"/>
      <c r="J32" s="5"/>
      <c r="K32" s="5"/>
      <c r="L32" s="5"/>
      <c r="M32" s="5"/>
      <c r="N32" s="5"/>
      <c r="O32" s="5"/>
      <c r="P32" s="499" t="s">
        <v>531</v>
      </c>
      <c r="Q32" s="450">
        <f>+'11'!I19</f>
        <v>90000</v>
      </c>
    </row>
    <row r="33" spans="2:17" x14ac:dyDescent="0.2">
      <c r="B33" s="304" t="s">
        <v>32</v>
      </c>
      <c r="C33" s="5" t="s">
        <v>744</v>
      </c>
      <c r="D33" s="5"/>
      <c r="E33" s="5"/>
      <c r="F33" s="5"/>
      <c r="G33" s="5"/>
      <c r="H33" s="5"/>
      <c r="I33" s="5"/>
      <c r="J33" s="5"/>
      <c r="K33" s="5"/>
      <c r="L33" s="5"/>
      <c r="M33" s="5"/>
      <c r="N33" s="5"/>
      <c r="O33" s="5"/>
      <c r="P33" s="499" t="s">
        <v>532</v>
      </c>
      <c r="Q33" s="450">
        <f>+'11'!I22</f>
        <v>334252.65115825913</v>
      </c>
    </row>
    <row r="34" spans="2:17" x14ac:dyDescent="0.2">
      <c r="B34" s="303" t="s">
        <v>35</v>
      </c>
      <c r="C34" t="s">
        <v>602</v>
      </c>
      <c r="O34" s="202"/>
      <c r="P34" s="273"/>
    </row>
    <row r="35" spans="2:17" x14ac:dyDescent="0.2">
      <c r="B35" s="304"/>
      <c r="C35" s="5"/>
      <c r="D35" s="5" t="s">
        <v>745</v>
      </c>
      <c r="E35" s="5"/>
      <c r="F35" s="5"/>
      <c r="G35" s="5"/>
      <c r="H35" s="5"/>
      <c r="I35" s="5"/>
      <c r="J35" s="5"/>
      <c r="K35" s="5"/>
      <c r="L35" s="5"/>
      <c r="M35" s="5"/>
      <c r="N35" s="499" t="s">
        <v>747</v>
      </c>
      <c r="O35" s="1784">
        <f>+'42'!P19</f>
        <v>0</v>
      </c>
      <c r="P35" s="1785"/>
    </row>
    <row r="36" spans="2:17" x14ac:dyDescent="0.2">
      <c r="B36" s="304"/>
      <c r="C36" s="5"/>
      <c r="D36" s="5" t="s">
        <v>3369</v>
      </c>
      <c r="E36" s="5"/>
      <c r="F36" s="5"/>
      <c r="G36" s="5"/>
      <c r="H36" s="5"/>
      <c r="I36" s="5"/>
      <c r="J36" s="5"/>
      <c r="K36" s="5"/>
      <c r="L36" s="5"/>
      <c r="M36" s="5"/>
      <c r="N36" s="499" t="s">
        <v>533</v>
      </c>
      <c r="O36" s="1786">
        <f>+'11'!I23</f>
        <v>0</v>
      </c>
      <c r="P36" s="1787"/>
    </row>
    <row r="37" spans="2:17" x14ac:dyDescent="0.2">
      <c r="B37" s="304"/>
      <c r="C37" s="5"/>
      <c r="D37" s="5"/>
      <c r="E37" s="5" t="s">
        <v>603</v>
      </c>
      <c r="F37" s="5"/>
      <c r="G37" s="5"/>
      <c r="H37" s="5"/>
      <c r="I37" s="5"/>
      <c r="J37" s="5"/>
      <c r="K37" s="5"/>
      <c r="L37" s="5"/>
      <c r="M37" s="5"/>
      <c r="N37" s="5"/>
      <c r="O37" s="5"/>
      <c r="P37" s="255"/>
      <c r="Q37" s="451">
        <f>+O36+O35</f>
        <v>0</v>
      </c>
    </row>
    <row r="38" spans="2:17" x14ac:dyDescent="0.2">
      <c r="B38" s="304" t="s">
        <v>174</v>
      </c>
      <c r="C38" s="5" t="s">
        <v>789</v>
      </c>
      <c r="D38" s="5"/>
      <c r="E38" s="5"/>
      <c r="F38" s="5"/>
      <c r="G38" s="5"/>
      <c r="H38" s="5"/>
      <c r="I38" s="5"/>
      <c r="J38" s="5"/>
      <c r="K38" s="5"/>
      <c r="L38" s="5"/>
      <c r="M38" s="5"/>
      <c r="N38" s="5"/>
      <c r="O38" s="5"/>
      <c r="P38" s="255"/>
      <c r="Q38" s="452"/>
    </row>
    <row r="39" spans="2:17" ht="13.5" thickBot="1" x14ac:dyDescent="0.25">
      <c r="B39" s="304"/>
      <c r="C39" s="5"/>
      <c r="D39" s="5" t="s">
        <v>3369</v>
      </c>
      <c r="E39" s="5"/>
      <c r="F39" s="5"/>
      <c r="G39" s="5"/>
      <c r="H39" s="5"/>
      <c r="I39" s="5"/>
      <c r="J39" s="5"/>
      <c r="K39" s="5"/>
      <c r="L39" s="5"/>
      <c r="M39" s="5"/>
      <c r="N39" s="5"/>
      <c r="O39" s="5"/>
      <c r="P39" s="499" t="s">
        <v>533</v>
      </c>
      <c r="Q39" s="990"/>
    </row>
    <row r="40" spans="2:17" x14ac:dyDescent="0.2">
      <c r="B40" s="1408" t="s">
        <v>6181</v>
      </c>
      <c r="C40" s="63" t="s">
        <v>3352</v>
      </c>
      <c r="D40" s="63"/>
      <c r="E40" s="63"/>
      <c r="F40" s="63"/>
      <c r="G40" s="63"/>
      <c r="H40" s="63"/>
      <c r="I40" s="63"/>
      <c r="J40" s="63"/>
      <c r="K40" s="63"/>
      <c r="L40" s="63"/>
      <c r="M40" s="63"/>
      <c r="N40" s="63"/>
      <c r="O40" s="273"/>
      <c r="P40" s="662" t="s">
        <v>3220</v>
      </c>
      <c r="Q40" s="663">
        <f>+'11'!I24</f>
        <v>0</v>
      </c>
    </row>
    <row r="41" spans="2:17" ht="13.5" thickBot="1" x14ac:dyDescent="0.25">
      <c r="B41" s="2"/>
      <c r="C41" s="308" t="s">
        <v>764</v>
      </c>
      <c r="D41" s="2"/>
      <c r="E41" s="2"/>
      <c r="F41" s="2"/>
      <c r="G41" s="2"/>
      <c r="H41" s="2"/>
      <c r="I41" s="2"/>
      <c r="J41" s="2"/>
      <c r="K41" s="2"/>
      <c r="L41" s="2"/>
      <c r="M41" s="2"/>
      <c r="N41" s="2"/>
      <c r="O41" s="2"/>
      <c r="P41" s="500" t="s">
        <v>62</v>
      </c>
      <c r="Q41" s="453">
        <f>SUM(Q30:Q40)</f>
        <v>828754.4911582591</v>
      </c>
    </row>
    <row r="42" spans="2:17" ht="16.5" thickBot="1" x14ac:dyDescent="0.3">
      <c r="B42" s="1701" t="s">
        <v>748</v>
      </c>
      <c r="C42" s="1701"/>
      <c r="D42" s="1701"/>
      <c r="E42" s="1701"/>
      <c r="F42" s="1701"/>
      <c r="G42" s="1701"/>
      <c r="H42" s="1701"/>
      <c r="I42" s="1701"/>
      <c r="J42" s="1701"/>
      <c r="K42" s="1701"/>
      <c r="L42" s="1701"/>
      <c r="M42" s="1701"/>
      <c r="N42" s="1701"/>
      <c r="O42" s="1701"/>
      <c r="P42" s="1701"/>
      <c r="Q42" s="1701"/>
    </row>
    <row r="51" spans="17:17" x14ac:dyDescent="0.2">
      <c r="Q51" s="29">
        <f>+Q41-'42'!P20</f>
        <v>0</v>
      </c>
    </row>
  </sheetData>
  <sheetProtection algorithmName="SHA-512" hashValue="aOh7V01/8YEVZdjS3U74jnW8Ib9f+FiS1OFN6FbMVqTBQTgfX80T1Eo3Gfv3r4Ils434GTNThfG21VXGeEhJHw==" saltValue="c/JCcYpdYjIyd6QDj3eB/Q==" spinCount="100000" sheet="1" objects="1" scenarios="1"/>
  <mergeCells count="15">
    <mergeCell ref="B2:Q2"/>
    <mergeCell ref="B3:Q3"/>
    <mergeCell ref="C5:H5"/>
    <mergeCell ref="B42:Q42"/>
    <mergeCell ref="F4:J4"/>
    <mergeCell ref="L4:Q4"/>
    <mergeCell ref="D8:F8"/>
    <mergeCell ref="D9:F9"/>
    <mergeCell ref="D10:F10"/>
    <mergeCell ref="J5:M5"/>
    <mergeCell ref="O35:P35"/>
    <mergeCell ref="O36:P36"/>
    <mergeCell ref="D13:F13"/>
    <mergeCell ref="D15:F15"/>
    <mergeCell ref="D14:F14"/>
  </mergeCells>
  <phoneticPr fontId="0" type="noConversion"/>
  <pageMargins left="0.25" right="0.3" top="0.25" bottom="0.75" header="0.25" footer="0.25"/>
  <pageSetup paperSize="5"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sheetPr codeName="Sheet163"/>
  <dimension ref="A2:P29"/>
  <sheetViews>
    <sheetView zoomScaleNormal="100" workbookViewId="0">
      <selection activeCell="E12" sqref="E12"/>
    </sheetView>
  </sheetViews>
  <sheetFormatPr defaultRowHeight="12.75" x14ac:dyDescent="0.2"/>
  <cols>
    <col min="1" max="1" width="3.85546875" customWidth="1"/>
    <col min="3" max="5" width="4.7109375" customWidth="1"/>
    <col min="7" max="7" width="15.7109375" customWidth="1"/>
    <col min="8" max="8" width="18.7109375" customWidth="1"/>
    <col min="10" max="10" width="6.42578125" customWidth="1"/>
    <col min="11" max="11" width="14.42578125" customWidth="1"/>
    <col min="12" max="12" width="6.42578125" customWidth="1"/>
    <col min="13" max="13" width="17" customWidth="1"/>
    <col min="14" max="14" width="19.85546875" customWidth="1"/>
    <col min="16" max="16" width="18.7109375" customWidth="1"/>
  </cols>
  <sheetData>
    <row r="2" spans="2:16" ht="18" x14ac:dyDescent="0.25">
      <c r="B2" s="1685" t="s">
        <v>765</v>
      </c>
      <c r="C2" s="1685"/>
      <c r="D2" s="1685"/>
      <c r="E2" s="1685"/>
      <c r="F2" s="1685"/>
      <c r="G2" s="1685"/>
      <c r="H2" s="1685"/>
      <c r="I2" s="1685"/>
      <c r="J2" s="1685"/>
      <c r="K2" s="1685"/>
      <c r="L2" s="1685"/>
      <c r="M2" s="1685"/>
      <c r="N2" s="1685"/>
      <c r="O2" s="1685"/>
      <c r="P2" s="1685"/>
    </row>
    <row r="3" spans="2:16" ht="13.5" thickBot="1" x14ac:dyDescent="0.25">
      <c r="B3" s="2"/>
      <c r="C3" s="2"/>
      <c r="D3" s="2"/>
      <c r="E3" s="2"/>
      <c r="F3" s="2"/>
      <c r="G3" s="2"/>
      <c r="H3" s="2"/>
      <c r="I3" s="2"/>
      <c r="J3" s="2"/>
      <c r="K3" s="2"/>
      <c r="L3" s="2"/>
      <c r="M3" s="2"/>
      <c r="N3" s="2"/>
      <c r="O3" s="2"/>
      <c r="P3" s="2"/>
    </row>
    <row r="4" spans="2:16" ht="21" customHeight="1" thickTop="1" x14ac:dyDescent="0.2">
      <c r="C4" s="138" t="s">
        <v>766</v>
      </c>
      <c r="D4" s="253"/>
      <c r="E4" s="253"/>
      <c r="F4" s="253"/>
      <c r="G4" s="253"/>
      <c r="H4" s="253"/>
      <c r="I4" s="253"/>
      <c r="J4" s="253"/>
      <c r="K4" s="253"/>
      <c r="L4" s="253"/>
      <c r="M4" s="253"/>
      <c r="N4" s="253"/>
      <c r="O4" s="627" t="s">
        <v>200</v>
      </c>
      <c r="P4" s="309" t="s">
        <v>771</v>
      </c>
    </row>
    <row r="5" spans="2:16" ht="21" customHeight="1" x14ac:dyDescent="0.2">
      <c r="D5" s="106" t="s">
        <v>767</v>
      </c>
      <c r="E5" s="5"/>
      <c r="F5" s="5"/>
      <c r="G5" s="5"/>
      <c r="H5" s="5"/>
      <c r="I5" s="5"/>
      <c r="J5" s="5"/>
      <c r="K5" s="5"/>
      <c r="L5" s="5"/>
      <c r="M5" s="5"/>
      <c r="N5" s="5"/>
      <c r="O5" s="499" t="s">
        <v>200</v>
      </c>
      <c r="P5" s="310" t="s">
        <v>771</v>
      </c>
    </row>
    <row r="6" spans="2:16" ht="24" customHeight="1" x14ac:dyDescent="0.2">
      <c r="E6" s="5" t="s">
        <v>768</v>
      </c>
      <c r="F6" s="5"/>
      <c r="G6" s="5"/>
      <c r="H6" s="5"/>
      <c r="I6" s="5"/>
      <c r="J6" s="5"/>
      <c r="K6" s="5"/>
      <c r="L6" s="5"/>
      <c r="M6" s="5"/>
      <c r="N6" s="5"/>
      <c r="O6" s="498" t="s">
        <v>379</v>
      </c>
      <c r="P6" s="454">
        <f>+'30'!J7-P7-P8</f>
        <v>388353.56999999995</v>
      </c>
    </row>
    <row r="7" spans="2:16" ht="24" customHeight="1" x14ac:dyDescent="0.2">
      <c r="E7" s="5" t="s">
        <v>769</v>
      </c>
      <c r="F7" s="5"/>
      <c r="G7" s="5"/>
      <c r="H7" s="5"/>
      <c r="I7" s="5"/>
      <c r="J7" s="5"/>
      <c r="K7" s="5"/>
      <c r="L7" s="5"/>
      <c r="M7" s="5"/>
      <c r="N7" s="5"/>
      <c r="O7" s="498" t="s">
        <v>380</v>
      </c>
      <c r="P7" s="454">
        <f>+'19'!J20</f>
        <v>6316.49</v>
      </c>
    </row>
    <row r="8" spans="2:16" ht="24" customHeight="1" x14ac:dyDescent="0.2">
      <c r="E8" s="5" t="s">
        <v>770</v>
      </c>
      <c r="F8" s="5"/>
      <c r="G8" s="5"/>
      <c r="H8" s="5"/>
      <c r="I8" s="5"/>
      <c r="J8" s="5"/>
      <c r="K8" s="5"/>
      <c r="L8" s="5"/>
      <c r="M8" s="5"/>
      <c r="N8" s="5"/>
      <c r="O8" s="498" t="s">
        <v>551</v>
      </c>
      <c r="P8" s="454">
        <f>+'19'!J23</f>
        <v>0</v>
      </c>
    </row>
    <row r="9" spans="2:16" ht="24" customHeight="1" x14ac:dyDescent="0.2">
      <c r="D9" s="92" t="s">
        <v>772</v>
      </c>
      <c r="E9" s="5"/>
      <c r="F9" s="5"/>
      <c r="G9" s="5"/>
      <c r="H9" s="5"/>
      <c r="I9" s="5"/>
      <c r="J9" s="5"/>
      <c r="K9" s="5"/>
      <c r="L9" s="5"/>
      <c r="M9" s="5"/>
      <c r="N9" s="5"/>
      <c r="O9" s="499" t="s">
        <v>200</v>
      </c>
      <c r="P9" s="310" t="s">
        <v>771</v>
      </c>
    </row>
    <row r="10" spans="2:16" ht="24" customHeight="1" x14ac:dyDescent="0.2">
      <c r="E10" s="5" t="s">
        <v>775</v>
      </c>
      <c r="F10" s="5"/>
      <c r="G10" s="5"/>
      <c r="H10" s="5"/>
      <c r="I10" s="5"/>
      <c r="J10" s="5"/>
      <c r="K10" s="5"/>
      <c r="L10" s="5"/>
      <c r="M10" s="5"/>
      <c r="N10" s="5"/>
      <c r="O10" s="498" t="s">
        <v>387</v>
      </c>
      <c r="P10" s="454">
        <f>+'30'!J15</f>
        <v>62969.84</v>
      </c>
    </row>
    <row r="11" spans="2:16" ht="24" customHeight="1" x14ac:dyDescent="0.2">
      <c r="E11" s="1514" t="s">
        <v>6236</v>
      </c>
      <c r="F11" s="5"/>
      <c r="G11" s="5"/>
      <c r="H11" s="5"/>
      <c r="I11" s="5"/>
      <c r="J11" s="5"/>
      <c r="K11" s="5"/>
      <c r="L11" s="5"/>
      <c r="M11" s="5"/>
      <c r="N11" s="5"/>
      <c r="O11" s="498" t="s">
        <v>388</v>
      </c>
      <c r="P11" s="454">
        <f>+'30'!J16</f>
        <v>60100</v>
      </c>
    </row>
    <row r="12" spans="2:16" ht="24" customHeight="1" x14ac:dyDescent="0.2">
      <c r="E12" s="5" t="s">
        <v>776</v>
      </c>
      <c r="F12" s="5"/>
      <c r="G12" s="5"/>
      <c r="H12" s="5"/>
      <c r="I12" s="5"/>
      <c r="J12" s="5"/>
      <c r="K12" s="5"/>
      <c r="L12" s="5"/>
      <c r="M12" s="5"/>
      <c r="N12" s="5"/>
      <c r="O12" s="498" t="s">
        <v>389</v>
      </c>
      <c r="P12" s="454">
        <f>+'30'!J17</f>
        <v>0</v>
      </c>
    </row>
    <row r="13" spans="2:16" ht="24" customHeight="1" x14ac:dyDescent="0.2">
      <c r="E13" s="5" t="s">
        <v>777</v>
      </c>
      <c r="F13" s="5"/>
      <c r="G13" s="5"/>
      <c r="H13" s="5"/>
      <c r="I13" s="5"/>
      <c r="J13" s="5"/>
      <c r="K13" s="5"/>
      <c r="L13" s="5"/>
      <c r="M13" s="5"/>
      <c r="N13" s="5"/>
      <c r="O13" s="498" t="s">
        <v>390</v>
      </c>
      <c r="P13" s="454">
        <f>+'30'!J18</f>
        <v>13000</v>
      </c>
    </row>
    <row r="14" spans="2:16" ht="24" customHeight="1" x14ac:dyDescent="0.2">
      <c r="E14" s="5" t="s">
        <v>604</v>
      </c>
      <c r="F14" s="5"/>
      <c r="G14" s="5"/>
      <c r="H14" s="5"/>
      <c r="I14" s="5"/>
      <c r="J14" s="5"/>
      <c r="K14" s="5"/>
      <c r="L14" s="5"/>
      <c r="M14" s="5"/>
      <c r="N14" s="5"/>
      <c r="O14" s="498" t="s">
        <v>559</v>
      </c>
      <c r="P14" s="454">
        <f>+'30'!J19</f>
        <v>0</v>
      </c>
    </row>
    <row r="15" spans="2:16" ht="24" customHeight="1" x14ac:dyDescent="0.2">
      <c r="E15" s="50" t="s">
        <v>3354</v>
      </c>
      <c r="F15" s="5"/>
      <c r="G15" s="5"/>
      <c r="H15" s="5"/>
      <c r="I15" s="5"/>
      <c r="J15" s="5"/>
      <c r="K15" s="5"/>
      <c r="L15" s="5"/>
      <c r="M15" s="5"/>
      <c r="N15" s="5"/>
      <c r="O15" s="498" t="s">
        <v>550</v>
      </c>
      <c r="P15" s="454">
        <f>+'30'!J22</f>
        <v>0</v>
      </c>
    </row>
    <row r="16" spans="2:16" ht="24" customHeight="1" x14ac:dyDescent="0.2">
      <c r="E16" s="5" t="s">
        <v>770</v>
      </c>
      <c r="F16" s="5"/>
      <c r="G16" s="5"/>
      <c r="H16" s="5"/>
      <c r="I16" s="5"/>
      <c r="J16" s="5"/>
      <c r="K16" s="5"/>
      <c r="L16" s="5"/>
      <c r="M16" s="5"/>
      <c r="N16" s="5"/>
      <c r="O16" s="498" t="s">
        <v>551</v>
      </c>
      <c r="P16" s="454">
        <f>+'30'!J20</f>
        <v>0</v>
      </c>
    </row>
    <row r="17" spans="1:16" ht="24" customHeight="1" x14ac:dyDescent="0.2">
      <c r="E17" s="5" t="s">
        <v>778</v>
      </c>
      <c r="F17" s="5"/>
      <c r="G17" s="5"/>
      <c r="H17" s="5"/>
      <c r="I17" s="5"/>
      <c r="J17" s="5"/>
      <c r="K17" s="5"/>
      <c r="L17" s="5"/>
      <c r="M17" s="5"/>
      <c r="N17" s="5"/>
      <c r="O17" s="498" t="s">
        <v>394</v>
      </c>
      <c r="P17" s="454">
        <f>+'30'!J21</f>
        <v>0</v>
      </c>
    </row>
    <row r="18" spans="1:16" ht="24" customHeight="1" x14ac:dyDescent="0.2">
      <c r="E18" s="5" t="s">
        <v>779</v>
      </c>
      <c r="F18" s="5"/>
      <c r="G18" s="5"/>
      <c r="H18" s="5"/>
      <c r="I18" s="5"/>
      <c r="J18" s="5"/>
      <c r="K18" s="5"/>
      <c r="L18" s="5"/>
      <c r="M18" s="5"/>
      <c r="N18" s="5"/>
      <c r="O18" s="498" t="s">
        <v>558</v>
      </c>
      <c r="P18" s="454">
        <f>+'30'!J23</f>
        <v>298014.59115825919</v>
      </c>
    </row>
    <row r="19" spans="1:16" ht="24" customHeight="1" x14ac:dyDescent="0.2">
      <c r="C19" s="92" t="s">
        <v>3370</v>
      </c>
      <c r="D19" s="4"/>
      <c r="E19" s="5"/>
      <c r="F19" s="5"/>
      <c r="G19" s="5"/>
      <c r="H19" s="5"/>
      <c r="I19" s="5"/>
      <c r="J19" s="5"/>
      <c r="K19" s="5"/>
      <c r="L19" s="5"/>
      <c r="M19" s="5"/>
      <c r="N19" s="5"/>
      <c r="O19" s="498" t="s">
        <v>747</v>
      </c>
      <c r="P19" s="991"/>
    </row>
    <row r="20" spans="1:16" ht="24" customHeight="1" thickBot="1" x14ac:dyDescent="0.25">
      <c r="C20" s="2"/>
      <c r="D20" s="2"/>
      <c r="E20" s="308" t="s">
        <v>773</v>
      </c>
      <c r="F20" s="2"/>
      <c r="G20" s="2"/>
      <c r="H20" s="2"/>
      <c r="I20" s="2"/>
      <c r="J20" s="2"/>
      <c r="K20" s="2"/>
      <c r="L20" s="2"/>
      <c r="M20" s="2"/>
      <c r="N20" s="2"/>
      <c r="O20" s="501" t="s">
        <v>397</v>
      </c>
      <c r="P20" s="455">
        <f>SUM(P4:P19)</f>
        <v>828754.4911582591</v>
      </c>
    </row>
    <row r="21" spans="1:16" ht="12.75" customHeight="1" thickTop="1" x14ac:dyDescent="0.2">
      <c r="C21" s="63"/>
      <c r="D21" s="63"/>
      <c r="E21" s="227"/>
      <c r="F21" s="63"/>
      <c r="G21" s="63"/>
      <c r="H21" s="63"/>
      <c r="I21" s="63"/>
      <c r="J21" s="63"/>
      <c r="K21" s="63"/>
      <c r="L21" s="63"/>
      <c r="M21" s="63"/>
      <c r="N21" s="63"/>
      <c r="O21" s="485"/>
      <c r="P21" s="492"/>
    </row>
    <row r="22" spans="1:16" ht="7.5" customHeight="1" x14ac:dyDescent="0.2"/>
    <row r="23" spans="1:16" x14ac:dyDescent="0.2">
      <c r="E23" s="217" t="s">
        <v>784</v>
      </c>
      <c r="F23" s="217"/>
      <c r="G23" s="217"/>
      <c r="H23" s="217"/>
      <c r="I23" s="217"/>
      <c r="J23" s="217"/>
      <c r="K23" s="217"/>
      <c r="L23" s="217"/>
      <c r="M23" s="217"/>
      <c r="N23" s="217"/>
      <c r="O23" s="820"/>
      <c r="P23" s="217" t="s">
        <v>780</v>
      </c>
    </row>
    <row r="24" spans="1:16" x14ac:dyDescent="0.2">
      <c r="E24" s="1790"/>
      <c r="F24" s="1790"/>
      <c r="G24" s="217" t="str">
        <f>", "&amp;'Key Inputs'!E34&amp;".  It is further certified that each item of revenue and appropriation is set forth in the same amount and by the same title as"</f>
        <v>, 2021.  It is further certified that each item of revenue and appropriation is set forth in the same amount and by the same title as</v>
      </c>
      <c r="H24" s="217"/>
      <c r="I24" s="217"/>
      <c r="J24" s="217"/>
      <c r="K24" s="217"/>
      <c r="L24" s="217"/>
      <c r="M24" s="217"/>
      <c r="N24" s="217"/>
      <c r="O24" s="217"/>
      <c r="P24" s="217"/>
    </row>
    <row r="25" spans="1:16" x14ac:dyDescent="0.2">
      <c r="E25" s="217" t="str">
        <f>"appeared in the "&amp;'Key Inputs'!E34&amp;" approved budget and all amendments thereto, if any, which have been previously approved by the Director of Local Government Services."</f>
        <v>appeared in the 2021 approved budget and all amendments thereto, if any, which have been previously approved by the Director of Local Government Services.</v>
      </c>
      <c r="F25" s="217"/>
      <c r="G25" s="217"/>
      <c r="H25" s="217"/>
      <c r="I25" s="217"/>
      <c r="J25" s="217"/>
      <c r="K25" s="217"/>
      <c r="L25" s="217"/>
      <c r="M25" s="217"/>
      <c r="N25" s="217"/>
      <c r="O25" s="217"/>
      <c r="P25" s="217"/>
    </row>
    <row r="26" spans="1:16" x14ac:dyDescent="0.2">
      <c r="E26" s="217"/>
      <c r="F26" s="217"/>
      <c r="G26" s="217"/>
      <c r="H26" s="217"/>
      <c r="I26" s="217"/>
      <c r="J26" s="217"/>
      <c r="K26" s="217"/>
      <c r="L26" s="217"/>
      <c r="M26" s="217"/>
      <c r="N26" s="217"/>
      <c r="O26" s="217"/>
      <c r="P26" s="217"/>
    </row>
    <row r="27" spans="1:16" x14ac:dyDescent="0.2">
      <c r="E27" s="217"/>
      <c r="F27" s="217"/>
      <c r="G27" s="217"/>
      <c r="H27" s="456" t="s">
        <v>781</v>
      </c>
      <c r="I27" s="820"/>
      <c r="J27" s="217" t="s">
        <v>780</v>
      </c>
      <c r="K27" s="820"/>
      <c r="L27" s="217" t="str">
        <f>", "&amp;'Key Inputs'!E34&amp;","</f>
        <v>, 2021,</v>
      </c>
      <c r="M27" s="1790"/>
      <c r="N27" s="1790"/>
      <c r="O27" s="1790"/>
      <c r="P27" s="217" t="s">
        <v>782</v>
      </c>
    </row>
    <row r="28" spans="1:16" ht="9" customHeight="1" x14ac:dyDescent="0.2">
      <c r="E28" s="217"/>
      <c r="F28" s="217"/>
      <c r="G28" s="217"/>
      <c r="H28" s="217"/>
      <c r="I28" s="217"/>
      <c r="J28" s="217"/>
      <c r="K28" s="217"/>
      <c r="L28" s="217"/>
      <c r="M28" s="1791" t="s">
        <v>783</v>
      </c>
      <c r="N28" s="1791"/>
      <c r="O28" s="1791"/>
      <c r="P28" s="217"/>
    </row>
    <row r="29" spans="1:16" ht="15.75" x14ac:dyDescent="0.25">
      <c r="A29" s="1617" t="s">
        <v>774</v>
      </c>
      <c r="B29" s="1617"/>
      <c r="C29" s="1617"/>
      <c r="D29" s="1617"/>
      <c r="E29" s="1617"/>
      <c r="F29" s="1617"/>
      <c r="G29" s="1617"/>
      <c r="H29" s="1617"/>
      <c r="I29" s="1617"/>
      <c r="J29" s="1617"/>
      <c r="K29" s="1617"/>
      <c r="L29" s="1617"/>
      <c r="M29" s="1617"/>
      <c r="N29" s="1617"/>
      <c r="O29" s="1617"/>
      <c r="P29" s="1617"/>
    </row>
  </sheetData>
  <sheetProtection algorithmName="SHA-512" hashValue="JGOpAKq1hJzIHNGHut+/6e0GU5vavZcJh65/cXIe/kPy6xSweWt7zq19DYdPlw4Lq7cAMqZYvW2UFEc+SN5dUQ==" saltValue="N7/NJ/44rj/Vhz+QxolGFA==" spinCount="100000" sheet="1" objects="1" scenarios="1"/>
  <mergeCells count="5">
    <mergeCell ref="B2:P2"/>
    <mergeCell ref="A29:P29"/>
    <mergeCell ref="E24:F24"/>
    <mergeCell ref="M27:O27"/>
    <mergeCell ref="M28:O28"/>
  </mergeCells>
  <phoneticPr fontId="0" type="noConversion"/>
  <pageMargins left="0.25" right="0.3" top="0.25" bottom="0.75" header="0.25" footer="0.25"/>
  <pageSetup paperSize="5"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sheetPr codeName="Sheet164"/>
  <dimension ref="B1:R38"/>
  <sheetViews>
    <sheetView zoomScaleNormal="100" zoomScaleSheetLayoutView="80" workbookViewId="0">
      <selection activeCell="J26" sqref="J26"/>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3.85546875" customWidth="1"/>
    <col min="14" max="14" width="8.7109375" customWidth="1"/>
    <col min="15" max="18" width="14" customWidth="1"/>
  </cols>
  <sheetData>
    <row r="1" spans="2:18" ht="9.75" customHeight="1" x14ac:dyDescent="0.2"/>
    <row r="2" spans="2:18" ht="15.95" customHeight="1" x14ac:dyDescent="0.25">
      <c r="B2" s="484"/>
      <c r="C2" s="1792" t="str">
        <f>+'Key Inputs'!E5</f>
        <v>TOWNSHIP OF GREENWICH</v>
      </c>
      <c r="D2" s="1792"/>
      <c r="E2" s="1792"/>
      <c r="F2" s="1792"/>
      <c r="G2" s="1792"/>
      <c r="H2" s="1792"/>
      <c r="I2" s="1792"/>
      <c r="J2" s="484" t="s">
        <v>83</v>
      </c>
      <c r="K2" s="484"/>
      <c r="L2" s="484"/>
      <c r="M2" s="484"/>
      <c r="N2" s="484"/>
      <c r="O2" s="484"/>
      <c r="P2" s="484"/>
      <c r="Q2" s="484"/>
      <c r="R2" s="484"/>
    </row>
    <row r="3" spans="2:18" ht="15.95" customHeight="1" thickBot="1" x14ac:dyDescent="0.3">
      <c r="B3" s="484"/>
      <c r="C3" s="484"/>
      <c r="D3" s="484"/>
      <c r="E3" s="484"/>
      <c r="F3" s="484"/>
      <c r="G3" s="177"/>
      <c r="H3" s="177"/>
      <c r="I3" s="177"/>
      <c r="J3" s="484"/>
      <c r="K3" s="484"/>
      <c r="L3" s="484"/>
      <c r="M3" s="484"/>
      <c r="N3" s="484"/>
      <c r="O3" s="483"/>
      <c r="P3" s="483"/>
      <c r="Q3" s="483"/>
      <c r="R3" s="483"/>
    </row>
    <row r="4" spans="2:18" ht="16.5" customHeight="1" thickTop="1" thickBot="1" x14ac:dyDescent="0.3">
      <c r="B4" s="378"/>
      <c r="C4" s="222"/>
      <c r="D4" s="222"/>
      <c r="E4" s="222"/>
      <c r="F4" s="222"/>
      <c r="G4" s="222"/>
      <c r="H4" s="459"/>
      <c r="I4" s="296"/>
      <c r="J4" s="377"/>
      <c r="K4" s="379"/>
      <c r="L4" s="377"/>
      <c r="M4" s="377"/>
      <c r="N4" s="461"/>
      <c r="O4" s="1705" t="s">
        <v>23</v>
      </c>
      <c r="P4" s="1708"/>
      <c r="Q4" s="1705" t="str">
        <f>"Expended  "&amp;J6</f>
        <v>Expended  2020</v>
      </c>
      <c r="R4" s="1708"/>
    </row>
    <row r="5" spans="2:18" ht="15" customHeight="1" thickTop="1" thickBot="1" x14ac:dyDescent="0.3">
      <c r="B5" s="380" t="s">
        <v>873</v>
      </c>
      <c r="C5" s="67"/>
      <c r="G5" s="63"/>
      <c r="H5" s="432" t="s">
        <v>605</v>
      </c>
      <c r="I5" s="1797" t="s">
        <v>27</v>
      </c>
      <c r="J5" s="1798"/>
      <c r="K5" s="381" t="s">
        <v>28</v>
      </c>
      <c r="L5" s="1" t="s">
        <v>340</v>
      </c>
      <c r="M5" s="293"/>
      <c r="N5" s="432" t="s">
        <v>605</v>
      </c>
      <c r="O5" s="25"/>
      <c r="P5" s="25"/>
      <c r="Q5" s="25" t="s">
        <v>20</v>
      </c>
      <c r="R5" s="25"/>
    </row>
    <row r="6" spans="2:18" ht="15" customHeight="1" thickTop="1" thickBot="1" x14ac:dyDescent="0.3">
      <c r="B6" s="380" t="s">
        <v>874</v>
      </c>
      <c r="C6" s="67"/>
      <c r="D6" s="12"/>
      <c r="G6" s="63"/>
      <c r="H6" s="460"/>
      <c r="I6" s="539" t="str">
        <f>'Key Inputs'!E34</f>
        <v>2021</v>
      </c>
      <c r="J6" s="540">
        <f>I6-1</f>
        <v>2020</v>
      </c>
      <c r="K6" s="381" t="str">
        <f>"Cash in "&amp;J6</f>
        <v>Cash in 2020</v>
      </c>
      <c r="L6" s="382"/>
      <c r="M6" s="382"/>
      <c r="N6" s="432"/>
      <c r="O6" s="28" t="str">
        <f>"for "&amp;I6</f>
        <v>for 2021</v>
      </c>
      <c r="P6" s="26" t="str">
        <f>"for "&amp;J6</f>
        <v>for 2020</v>
      </c>
      <c r="Q6" s="26" t="s">
        <v>21</v>
      </c>
      <c r="R6" s="26" t="s">
        <v>22</v>
      </c>
    </row>
    <row r="7" spans="2:18" ht="12.75" customHeight="1" thickTop="1" x14ac:dyDescent="0.2">
      <c r="B7" s="383"/>
      <c r="C7" s="91" t="s">
        <v>875</v>
      </c>
      <c r="D7" s="91"/>
      <c r="E7" s="89"/>
      <c r="F7" s="89"/>
      <c r="G7" s="89"/>
      <c r="H7" s="461"/>
      <c r="I7" s="778"/>
      <c r="J7" s="1217"/>
      <c r="K7" s="1216"/>
      <c r="L7" s="469" t="s">
        <v>876</v>
      </c>
      <c r="M7" s="470"/>
      <c r="N7" s="463"/>
      <c r="O7" s="1793" t="s">
        <v>879</v>
      </c>
      <c r="P7" s="1793" t="s">
        <v>879</v>
      </c>
      <c r="Q7" s="1793" t="s">
        <v>879</v>
      </c>
      <c r="R7" s="1793" t="s">
        <v>879</v>
      </c>
    </row>
    <row r="8" spans="2:18" ht="12.75" customHeight="1" x14ac:dyDescent="0.2">
      <c r="B8" s="282"/>
      <c r="C8" s="227" t="s">
        <v>877</v>
      </c>
      <c r="D8" s="92"/>
      <c r="E8" s="87"/>
      <c r="F8" s="87"/>
      <c r="G8" s="87"/>
      <c r="H8" s="502" t="s">
        <v>65</v>
      </c>
      <c r="I8" s="1001"/>
      <c r="J8" s="940"/>
      <c r="K8" s="1215"/>
      <c r="L8" s="471" t="s">
        <v>878</v>
      </c>
      <c r="M8" s="472"/>
      <c r="N8" s="464"/>
      <c r="O8" s="1794"/>
      <c r="P8" s="1794"/>
      <c r="Q8" s="1794"/>
      <c r="R8" s="1794"/>
    </row>
    <row r="9" spans="2:18" ht="18.95" customHeight="1" x14ac:dyDescent="0.2">
      <c r="B9" s="1002"/>
      <c r="C9" s="744"/>
      <c r="D9" s="910"/>
      <c r="E9" s="744"/>
      <c r="F9" s="744"/>
      <c r="G9" s="744"/>
      <c r="H9" s="1003"/>
      <c r="I9" s="992"/>
      <c r="J9" s="993"/>
      <c r="K9" s="994"/>
      <c r="L9" s="473"/>
      <c r="M9" s="474" t="s">
        <v>205</v>
      </c>
      <c r="N9" s="465" t="s">
        <v>68</v>
      </c>
      <c r="O9" s="1009"/>
      <c r="P9" s="1009"/>
      <c r="Q9" s="1009"/>
      <c r="R9" s="385">
        <f>IF(+P9-Q9&gt;=0,P9-Q9,"*")</f>
        <v>0</v>
      </c>
    </row>
    <row r="10" spans="2:18" ht="20.100000000000001" customHeight="1" x14ac:dyDescent="0.2">
      <c r="B10" s="384"/>
      <c r="C10" s="106" t="s">
        <v>880</v>
      </c>
      <c r="D10" s="106"/>
      <c r="E10" s="16"/>
      <c r="F10" s="16"/>
      <c r="G10" s="16"/>
      <c r="H10" s="503" t="s">
        <v>66</v>
      </c>
      <c r="I10" s="992"/>
      <c r="J10" s="993"/>
      <c r="K10" s="994"/>
      <c r="L10" s="474"/>
      <c r="M10" s="474" t="s">
        <v>314</v>
      </c>
      <c r="N10" s="465" t="s">
        <v>69</v>
      </c>
      <c r="O10" s="1009"/>
      <c r="P10" s="1009"/>
      <c r="Q10" s="1009"/>
      <c r="R10" s="385">
        <f>IF(+P10-Q10&gt;=0,P10-Q10,"*")</f>
        <v>0</v>
      </c>
    </row>
    <row r="11" spans="2:18" ht="12.75" customHeight="1" x14ac:dyDescent="0.2">
      <c r="B11" s="1004"/>
      <c r="C11" s="748"/>
      <c r="D11" s="1005"/>
      <c r="E11" s="748"/>
      <c r="F11" s="748"/>
      <c r="G11" s="748"/>
      <c r="H11" s="1006"/>
      <c r="I11" s="995"/>
      <c r="J11" s="996"/>
      <c r="K11" s="997"/>
      <c r="L11" s="475" t="s">
        <v>881</v>
      </c>
      <c r="M11" s="476"/>
      <c r="N11" s="466"/>
      <c r="O11" s="388"/>
      <c r="P11" s="388"/>
      <c r="Q11" s="388"/>
      <c r="R11" s="385">
        <f>IF(+P11-Q11&gt;=0,P11-Q11,"*")</f>
        <v>0</v>
      </c>
    </row>
    <row r="12" spans="2:18" ht="12.75" customHeight="1" x14ac:dyDescent="0.2">
      <c r="B12" s="1007"/>
      <c r="C12" s="817"/>
      <c r="D12" s="821"/>
      <c r="E12" s="817"/>
      <c r="F12" s="817"/>
      <c r="G12" s="817"/>
      <c r="H12" s="1008"/>
      <c r="I12" s="998"/>
      <c r="J12" s="999"/>
      <c r="K12" s="1000"/>
      <c r="L12" s="471" t="s">
        <v>878</v>
      </c>
      <c r="M12" s="472"/>
      <c r="N12" s="464"/>
      <c r="O12" s="198" t="s">
        <v>879</v>
      </c>
      <c r="P12" s="198" t="s">
        <v>879</v>
      </c>
      <c r="Q12" s="198" t="s">
        <v>879</v>
      </c>
      <c r="R12" s="198" t="s">
        <v>879</v>
      </c>
    </row>
    <row r="13" spans="2:18" ht="18.95" customHeight="1" x14ac:dyDescent="0.2">
      <c r="B13" s="384"/>
      <c r="C13" s="106" t="s">
        <v>882</v>
      </c>
      <c r="D13" s="106"/>
      <c r="E13" s="16"/>
      <c r="F13" s="16"/>
      <c r="G13" s="16"/>
      <c r="H13" s="503" t="s">
        <v>3378</v>
      </c>
      <c r="I13" s="992"/>
      <c r="J13" s="993"/>
      <c r="K13" s="994"/>
      <c r="L13" s="474"/>
      <c r="M13" s="474" t="s">
        <v>205</v>
      </c>
      <c r="N13" s="465" t="s">
        <v>70</v>
      </c>
      <c r="O13" s="1009"/>
      <c r="P13" s="1009"/>
      <c r="Q13" s="1009"/>
      <c r="R13" s="385">
        <f>IF(+P13-Q13&gt;=0,P13-Q13,"*")</f>
        <v>0</v>
      </c>
    </row>
    <row r="14" spans="2:18" ht="18.95" customHeight="1" x14ac:dyDescent="0.25">
      <c r="B14" s="1002"/>
      <c r="C14" s="744"/>
      <c r="D14" s="882"/>
      <c r="E14" s="744"/>
      <c r="F14" s="744"/>
      <c r="G14" s="744"/>
      <c r="H14" s="1003"/>
      <c r="I14" s="992"/>
      <c r="J14" s="993"/>
      <c r="K14" s="994"/>
      <c r="L14" s="474"/>
      <c r="M14" s="474" t="s">
        <v>314</v>
      </c>
      <c r="N14" s="465" t="s">
        <v>71</v>
      </c>
      <c r="O14" s="1009"/>
      <c r="P14" s="1009"/>
      <c r="Q14" s="1009"/>
      <c r="R14" s="385">
        <f>IF(+P14-Q14&gt;=0,P14-Q14,"*")</f>
        <v>0</v>
      </c>
    </row>
    <row r="15" spans="2:18" ht="18.95" customHeight="1" x14ac:dyDescent="0.2">
      <c r="B15" s="1002"/>
      <c r="C15" s="744"/>
      <c r="D15" s="744"/>
      <c r="E15" s="744"/>
      <c r="F15" s="744"/>
      <c r="G15" s="744"/>
      <c r="H15" s="1003"/>
      <c r="I15" s="992"/>
      <c r="J15" s="993"/>
      <c r="K15" s="994"/>
      <c r="L15" s="473" t="s">
        <v>883</v>
      </c>
      <c r="M15" s="474"/>
      <c r="N15" s="464"/>
      <c r="O15" s="198" t="s">
        <v>879</v>
      </c>
      <c r="P15" s="198" t="s">
        <v>879</v>
      </c>
      <c r="Q15" s="198" t="s">
        <v>879</v>
      </c>
      <c r="R15" s="198" t="s">
        <v>879</v>
      </c>
    </row>
    <row r="16" spans="2:18" ht="18.95" customHeight="1" x14ac:dyDescent="0.2">
      <c r="B16" s="1002"/>
      <c r="C16" s="744"/>
      <c r="D16" s="744"/>
      <c r="E16" s="744"/>
      <c r="F16" s="744"/>
      <c r="G16" s="744"/>
      <c r="H16" s="1003"/>
      <c r="I16" s="992"/>
      <c r="J16" s="993"/>
      <c r="K16" s="994"/>
      <c r="L16" s="474"/>
      <c r="M16" s="474" t="s">
        <v>205</v>
      </c>
      <c r="N16" s="465" t="s">
        <v>72</v>
      </c>
      <c r="O16" s="1009"/>
      <c r="P16" s="1009"/>
      <c r="Q16" s="1009"/>
      <c r="R16" s="385">
        <f>IF(+P16-Q16&gt;=0,P16-Q16,"*")</f>
        <v>0</v>
      </c>
    </row>
    <row r="17" spans="2:18" ht="18.95" customHeight="1" x14ac:dyDescent="0.2">
      <c r="B17" s="1002"/>
      <c r="C17" s="744"/>
      <c r="D17" s="744"/>
      <c r="E17" s="744"/>
      <c r="F17" s="744"/>
      <c r="G17" s="744"/>
      <c r="H17" s="1003"/>
      <c r="I17" s="992"/>
      <c r="J17" s="993"/>
      <c r="K17" s="994"/>
      <c r="L17" s="474"/>
      <c r="M17" s="474" t="s">
        <v>314</v>
      </c>
      <c r="N17" s="465" t="s">
        <v>73</v>
      </c>
      <c r="O17" s="1009"/>
      <c r="P17" s="1009"/>
      <c r="Q17" s="1009"/>
      <c r="R17" s="385">
        <f>IF(+P17-Q17&gt;=0,P17-Q17,"*")</f>
        <v>0</v>
      </c>
    </row>
    <row r="18" spans="2:18" ht="18.95" customHeight="1" x14ac:dyDescent="0.2">
      <c r="B18" s="1004"/>
      <c r="C18" s="748"/>
      <c r="D18" s="748"/>
      <c r="E18" s="748"/>
      <c r="F18" s="748"/>
      <c r="G18" s="748"/>
      <c r="H18" s="1006"/>
      <c r="I18" s="995"/>
      <c r="J18" s="996"/>
      <c r="K18" s="997"/>
      <c r="L18" s="1011"/>
      <c r="M18" s="1011"/>
      <c r="N18" s="1012"/>
      <c r="O18" s="1010"/>
      <c r="P18" s="1010"/>
      <c r="Q18" s="1010"/>
      <c r="R18" s="385">
        <f>IF(+P18-Q18&gt;=0,P18-Q18,"*")</f>
        <v>0</v>
      </c>
    </row>
    <row r="19" spans="2:18" ht="12.75" customHeight="1" x14ac:dyDescent="0.2">
      <c r="B19" s="1004"/>
      <c r="C19" s="748"/>
      <c r="D19" s="748"/>
      <c r="E19" s="748"/>
      <c r="F19" s="748"/>
      <c r="G19" s="748"/>
      <c r="H19" s="1006"/>
      <c r="I19" s="995"/>
      <c r="J19" s="996"/>
      <c r="K19" s="997"/>
      <c r="L19" s="477" t="s">
        <v>884</v>
      </c>
      <c r="M19" s="476"/>
      <c r="N19" s="466"/>
      <c r="O19" s="1795"/>
      <c r="P19" s="1795"/>
      <c r="Q19" s="1795"/>
      <c r="R19" s="1805">
        <f>IF(+P20-Q20&gt;=0,P20-Q20,"*")</f>
        <v>0</v>
      </c>
    </row>
    <row r="20" spans="2:18" ht="12.75" customHeight="1" x14ac:dyDescent="0.2">
      <c r="B20" s="1007"/>
      <c r="C20" s="817"/>
      <c r="D20" s="817"/>
      <c r="E20" s="817"/>
      <c r="F20" s="817"/>
      <c r="G20" s="817"/>
      <c r="H20" s="1008"/>
      <c r="I20" s="998"/>
      <c r="J20" s="999"/>
      <c r="K20" s="1000"/>
      <c r="L20" s="471" t="s">
        <v>885</v>
      </c>
      <c r="M20" s="472"/>
      <c r="N20" s="464" t="s">
        <v>74</v>
      </c>
      <c r="O20" s="1796"/>
      <c r="P20" s="1796"/>
      <c r="Q20" s="1796"/>
      <c r="R20" s="1806"/>
    </row>
    <row r="21" spans="2:18" ht="18.95" customHeight="1" thickBot="1" x14ac:dyDescent="0.3">
      <c r="B21" s="389" t="s">
        <v>886</v>
      </c>
      <c r="C21" s="125"/>
      <c r="D21" s="104"/>
      <c r="E21" s="104"/>
      <c r="F21" s="104"/>
      <c r="G21" s="104"/>
      <c r="H21" s="504" t="s">
        <v>67</v>
      </c>
      <c r="I21" s="386">
        <f>SUM(I8:I20)</f>
        <v>0</v>
      </c>
      <c r="J21" s="386">
        <f>SUM(J8:J20)</f>
        <v>0</v>
      </c>
      <c r="K21" s="387">
        <f>SUM(K8:K20)</f>
        <v>0</v>
      </c>
      <c r="L21" s="478" t="s">
        <v>887</v>
      </c>
      <c r="M21" s="474"/>
      <c r="N21" s="465" t="s">
        <v>75</v>
      </c>
      <c r="O21" s="1009"/>
      <c r="P21" s="1009"/>
      <c r="Q21" s="1009"/>
      <c r="R21" s="385">
        <f>IF(+P21-Q21&gt;=0,P21-Q21,"*")</f>
        <v>0</v>
      </c>
    </row>
    <row r="22" spans="2:18" ht="20.100000000000001" customHeight="1" thickTop="1" x14ac:dyDescent="0.2">
      <c r="B22" s="390" t="s">
        <v>888</v>
      </c>
      <c r="C22" s="391"/>
      <c r="D22" s="392"/>
      <c r="E22" s="392"/>
      <c r="F22" s="392"/>
      <c r="G22" s="392"/>
      <c r="H22" s="392"/>
      <c r="I22" s="393"/>
      <c r="J22" s="394"/>
      <c r="K22" s="395"/>
      <c r="L22" s="478" t="s">
        <v>243</v>
      </c>
      <c r="M22" s="474"/>
      <c r="N22" s="465" t="s">
        <v>76</v>
      </c>
      <c r="O22" s="1009"/>
      <c r="P22" s="1009"/>
      <c r="Q22" s="1009"/>
      <c r="R22" s="385">
        <f>IF(+P22-Q22&gt;=0,P22-Q22,"*")</f>
        <v>0</v>
      </c>
    </row>
    <row r="23" spans="2:18" ht="21" customHeight="1" x14ac:dyDescent="0.2">
      <c r="B23" s="396" t="s">
        <v>889</v>
      </c>
      <c r="C23" s="227"/>
      <c r="D23" s="249"/>
      <c r="E23" s="126"/>
      <c r="F23" s="126"/>
      <c r="G23" s="126"/>
      <c r="H23" s="126"/>
      <c r="I23" s="397"/>
      <c r="J23" s="1799"/>
      <c r="K23" s="1800"/>
      <c r="L23" s="478" t="s">
        <v>318</v>
      </c>
      <c r="M23" s="474"/>
      <c r="N23" s="464"/>
      <c r="O23" s="198" t="s">
        <v>879</v>
      </c>
      <c r="P23" s="198" t="s">
        <v>879</v>
      </c>
      <c r="Q23" s="198" t="s">
        <v>879</v>
      </c>
      <c r="R23" s="198" t="s">
        <v>879</v>
      </c>
    </row>
    <row r="24" spans="2:18" ht="12.75" customHeight="1" x14ac:dyDescent="0.2">
      <c r="B24" s="396"/>
      <c r="C24" s="227"/>
      <c r="D24" s="249"/>
      <c r="E24" s="126"/>
      <c r="F24" s="126"/>
      <c r="G24" s="126"/>
      <c r="H24" s="126"/>
      <c r="I24" s="397"/>
      <c r="J24" s="1819" t="s">
        <v>890</v>
      </c>
      <c r="K24" s="1820"/>
      <c r="L24" s="477"/>
      <c r="M24" s="476"/>
      <c r="N24" s="466"/>
      <c r="O24" s="1795"/>
      <c r="P24" s="1795"/>
      <c r="Q24" s="1795"/>
      <c r="R24" s="1807" t="s">
        <v>879</v>
      </c>
    </row>
    <row r="25" spans="2:18" ht="12.75" customHeight="1" x14ac:dyDescent="0.2">
      <c r="B25" s="398"/>
      <c r="C25" s="227" t="s">
        <v>891</v>
      </c>
      <c r="D25" s="227"/>
      <c r="E25" s="126"/>
      <c r="F25" s="126"/>
      <c r="G25" s="126"/>
      <c r="H25" s="126"/>
      <c r="I25" s="399" t="s">
        <v>892</v>
      </c>
      <c r="J25" s="1801"/>
      <c r="K25" s="1802"/>
      <c r="L25" s="479"/>
      <c r="M25" s="472" t="s">
        <v>254</v>
      </c>
      <c r="N25" s="464" t="s">
        <v>77</v>
      </c>
      <c r="O25" s="1796"/>
      <c r="P25" s="1796"/>
      <c r="Q25" s="1796"/>
      <c r="R25" s="1794"/>
    </row>
    <row r="26" spans="2:18" ht="12.75" customHeight="1" x14ac:dyDescent="0.2">
      <c r="B26" s="398"/>
      <c r="C26" s="249"/>
      <c r="D26" s="249"/>
      <c r="E26" s="126"/>
      <c r="F26" s="126"/>
      <c r="G26" s="126"/>
      <c r="H26" s="126"/>
      <c r="I26" s="397"/>
      <c r="J26" s="164"/>
      <c r="K26" s="400"/>
      <c r="L26" s="480"/>
      <c r="M26" s="476" t="s">
        <v>893</v>
      </c>
      <c r="N26" s="466"/>
      <c r="O26" s="1795"/>
      <c r="P26" s="1795"/>
      <c r="Q26" s="1795"/>
      <c r="R26" s="1807" t="s">
        <v>879</v>
      </c>
    </row>
    <row r="27" spans="2:18" ht="12.75" customHeight="1" x14ac:dyDescent="0.2">
      <c r="B27" s="398"/>
      <c r="C27" s="227" t="s">
        <v>894</v>
      </c>
      <c r="D27" s="227"/>
      <c r="E27" s="126"/>
      <c r="F27" s="126"/>
      <c r="G27" s="126"/>
      <c r="H27" s="126"/>
      <c r="I27" s="399" t="s">
        <v>892</v>
      </c>
      <c r="J27" s="1803"/>
      <c r="K27" s="1804"/>
      <c r="L27" s="479"/>
      <c r="M27" s="472" t="s">
        <v>895</v>
      </c>
      <c r="N27" s="464" t="s">
        <v>78</v>
      </c>
      <c r="O27" s="1796"/>
      <c r="P27" s="1796"/>
      <c r="Q27" s="1796"/>
      <c r="R27" s="1794"/>
    </row>
    <row r="28" spans="2:18" ht="12.75" customHeight="1" x14ac:dyDescent="0.2">
      <c r="B28" s="398"/>
      <c r="C28" s="227" t="s">
        <v>896</v>
      </c>
      <c r="D28" s="227"/>
      <c r="E28" s="126"/>
      <c r="F28" s="126"/>
      <c r="G28" s="126"/>
      <c r="H28" s="126"/>
      <c r="I28" s="399" t="s">
        <v>892</v>
      </c>
      <c r="J28" s="1809"/>
      <c r="K28" s="1810"/>
      <c r="L28" s="480"/>
      <c r="M28" s="476"/>
      <c r="N28" s="466"/>
      <c r="O28" s="1795"/>
      <c r="P28" s="1795"/>
      <c r="Q28" s="1795"/>
      <c r="R28" s="1807" t="s">
        <v>879</v>
      </c>
    </row>
    <row r="29" spans="2:18" ht="12.75" customHeight="1" x14ac:dyDescent="0.2">
      <c r="B29" s="398"/>
      <c r="C29" s="227" t="s">
        <v>897</v>
      </c>
      <c r="D29" s="227"/>
      <c r="E29" s="126"/>
      <c r="F29" s="126"/>
      <c r="G29" s="126"/>
      <c r="H29" s="126"/>
      <c r="I29" s="399"/>
      <c r="J29" s="1811"/>
      <c r="K29" s="1812"/>
      <c r="L29" s="479"/>
      <c r="M29" s="472" t="s">
        <v>256</v>
      </c>
      <c r="N29" s="464" t="s">
        <v>79</v>
      </c>
      <c r="O29" s="1796"/>
      <c r="P29" s="1796"/>
      <c r="Q29" s="1796"/>
      <c r="R29" s="1794"/>
    </row>
    <row r="30" spans="2:18" ht="12.75" customHeight="1" x14ac:dyDescent="0.2">
      <c r="B30" s="398"/>
      <c r="C30" s="249"/>
      <c r="D30" s="249"/>
      <c r="E30" s="126"/>
      <c r="F30" s="126"/>
      <c r="G30" s="126"/>
      <c r="H30" s="126"/>
      <c r="I30" s="397"/>
      <c r="J30" s="462" t="s">
        <v>898</v>
      </c>
      <c r="K30" s="401"/>
      <c r="L30" s="480"/>
      <c r="M30" s="476"/>
      <c r="N30" s="466"/>
      <c r="O30" s="1795"/>
      <c r="P30" s="1795"/>
      <c r="Q30" s="1795"/>
      <c r="R30" s="1807" t="s">
        <v>879</v>
      </c>
    </row>
    <row r="31" spans="2:18" ht="12.75" customHeight="1" x14ac:dyDescent="0.2">
      <c r="B31" s="398"/>
      <c r="C31" s="227" t="str">
        <f>"Recreation land preserved in "&amp;J6&amp;":"</f>
        <v>Recreation land preserved in 2020:</v>
      </c>
      <c r="D31" s="227"/>
      <c r="E31" s="126"/>
      <c r="F31" s="126"/>
      <c r="G31" s="126"/>
      <c r="H31" s="126"/>
      <c r="I31" s="397"/>
      <c r="J31" s="1815"/>
      <c r="K31" s="1816"/>
      <c r="L31" s="479"/>
      <c r="M31" s="472" t="s">
        <v>257</v>
      </c>
      <c r="N31" s="464" t="s">
        <v>80</v>
      </c>
      <c r="O31" s="1796"/>
      <c r="P31" s="1796"/>
      <c r="Q31" s="1796"/>
      <c r="R31" s="1794"/>
    </row>
    <row r="32" spans="2:18" ht="20.100000000000001" customHeight="1" x14ac:dyDescent="0.2">
      <c r="B32" s="398"/>
      <c r="C32" s="49"/>
      <c r="D32" s="49"/>
      <c r="E32" s="126"/>
      <c r="F32" s="126"/>
      <c r="G32" s="126"/>
      <c r="H32" s="126"/>
      <c r="I32" s="397"/>
      <c r="J32" s="462" t="s">
        <v>898</v>
      </c>
      <c r="K32" s="401"/>
      <c r="L32" s="478" t="s">
        <v>899</v>
      </c>
      <c r="M32" s="474"/>
      <c r="N32" s="465" t="s">
        <v>81</v>
      </c>
      <c r="O32" s="1009"/>
      <c r="P32" s="1009"/>
      <c r="Q32" s="1009"/>
      <c r="R32" s="385">
        <f>IF(+P32-Q32&gt;=0,P32-Q32,"*")</f>
        <v>0</v>
      </c>
    </row>
    <row r="33" spans="2:18" ht="12.75" customHeight="1" x14ac:dyDescent="0.2">
      <c r="B33" s="398"/>
      <c r="C33" s="402" t="str">
        <f>"Farmland preserved in  "&amp;J6&amp;":"</f>
        <v>Farmland preserved in  2020:</v>
      </c>
      <c r="D33" s="402"/>
      <c r="E33" s="126"/>
      <c r="F33" s="126"/>
      <c r="G33" s="126"/>
      <c r="H33" s="126"/>
      <c r="I33" s="397"/>
      <c r="J33" s="1817"/>
      <c r="K33" s="1818"/>
      <c r="L33" s="481"/>
      <c r="M33" s="481"/>
      <c r="N33" s="467"/>
      <c r="O33" s="1805">
        <f>SUM(O9:O32)</f>
        <v>0</v>
      </c>
      <c r="P33" s="1805">
        <f>SUM(P9:P32)</f>
        <v>0</v>
      </c>
      <c r="Q33" s="1805">
        <f>SUM(Q9:Q32)</f>
        <v>0</v>
      </c>
      <c r="R33" s="1805">
        <f>SUM(R9:R32)</f>
        <v>0</v>
      </c>
    </row>
    <row r="34" spans="2:18" ht="12.75" customHeight="1" thickBot="1" x14ac:dyDescent="0.25">
      <c r="B34" s="403"/>
      <c r="C34" s="404"/>
      <c r="D34" s="404"/>
      <c r="E34" s="404"/>
      <c r="F34" s="404"/>
      <c r="G34" s="404"/>
      <c r="H34" s="404"/>
      <c r="I34" s="405"/>
      <c r="J34" s="1813" t="s">
        <v>898</v>
      </c>
      <c r="K34" s="1814"/>
      <c r="L34" s="505" t="s">
        <v>900</v>
      </c>
      <c r="M34" s="482"/>
      <c r="N34" s="468" t="s">
        <v>82</v>
      </c>
      <c r="O34" s="1808"/>
      <c r="P34" s="1808"/>
      <c r="Q34" s="1808"/>
      <c r="R34" s="1808"/>
    </row>
    <row r="35" spans="2:18" ht="15.75" customHeight="1" thickTop="1" x14ac:dyDescent="0.25">
      <c r="B35" s="1617" t="s">
        <v>901</v>
      </c>
      <c r="C35" s="1617"/>
      <c r="D35" s="1617"/>
      <c r="E35" s="1617"/>
      <c r="F35" s="1617"/>
      <c r="G35" s="1617"/>
      <c r="H35" s="1617"/>
      <c r="I35" s="1617"/>
      <c r="J35" s="1617"/>
      <c r="K35" s="1617"/>
      <c r="L35" s="1617"/>
      <c r="M35" s="1617"/>
      <c r="N35" s="1617"/>
      <c r="O35" s="1617"/>
      <c r="P35" s="1617"/>
      <c r="Q35" s="1617"/>
      <c r="R35" s="1617"/>
    </row>
    <row r="38" spans="2:18" x14ac:dyDescent="0.2">
      <c r="J38" s="29"/>
    </row>
  </sheetData>
  <sheetProtection algorithmName="SHA-512" hashValue="uGBxQ27G9b/8Z7cwr0hnloxmosX0E10oR9qUnLGkTUICB5sten1/zUm+CBm0QPsuQTrGXVB0LV4PbJIZRIRPTw==" saltValue="v3quIhEGLlavCOn/ujAskw==" spinCount="100000" sheet="1" objects="1" scenarios="1"/>
  <mergeCells count="42">
    <mergeCell ref="J28:K28"/>
    <mergeCell ref="J29:K29"/>
    <mergeCell ref="J34:K34"/>
    <mergeCell ref="Q4:R4"/>
    <mergeCell ref="J31:K31"/>
    <mergeCell ref="J33:K33"/>
    <mergeCell ref="J24:K24"/>
    <mergeCell ref="O24:O25"/>
    <mergeCell ref="P24:P25"/>
    <mergeCell ref="Q24:Q25"/>
    <mergeCell ref="P33:P34"/>
    <mergeCell ref="Q33:Q34"/>
    <mergeCell ref="O28:O29"/>
    <mergeCell ref="P28:P29"/>
    <mergeCell ref="Q28:Q29"/>
    <mergeCell ref="O26:O27"/>
    <mergeCell ref="B35:R35"/>
    <mergeCell ref="O4:P4"/>
    <mergeCell ref="I5:J5"/>
    <mergeCell ref="J23:K23"/>
    <mergeCell ref="J25:K25"/>
    <mergeCell ref="J27:K27"/>
    <mergeCell ref="O19:O20"/>
    <mergeCell ref="P19:P20"/>
    <mergeCell ref="Q19:Q20"/>
    <mergeCell ref="R19:R20"/>
    <mergeCell ref="R24:R25"/>
    <mergeCell ref="R26:R27"/>
    <mergeCell ref="R28:R29"/>
    <mergeCell ref="R30:R31"/>
    <mergeCell ref="R33:R34"/>
    <mergeCell ref="O33:O34"/>
    <mergeCell ref="P26:P27"/>
    <mergeCell ref="Q26:Q27"/>
    <mergeCell ref="O30:O31"/>
    <mergeCell ref="P30:P31"/>
    <mergeCell ref="Q30:Q31"/>
    <mergeCell ref="C2:I2"/>
    <mergeCell ref="O7:O8"/>
    <mergeCell ref="P7:P8"/>
    <mergeCell ref="Q7:Q8"/>
    <mergeCell ref="R7:R8"/>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AF00-000000000000}">
          <x14:formula1>
            <xm:f>'Other Codes'!$M$2:$M$5</xm:f>
          </x14:formula1>
          <xm:sqref>H9 H11:H12 H14:H20</xm:sqref>
        </x14:dataValidation>
        <x14:dataValidation type="list" allowBlank="1" showInputMessage="1" showErrorMessage="1" errorTitle="Invalid Entry" error="This FCOA Code is not authorized for use on this sheet." xr:uid="{00000000-0002-0000-AF00-000001000000}">
          <x14:formula1>
            <xm:f>'Other Codes'!$N$2:$N$3</xm:f>
          </x14:formula1>
          <xm:sqref>N18</xm:sqref>
        </x14:dataValidation>
      </x14:dataValidations>
    </ext>
  </extLst>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codeName="Sheet179"/>
  <dimension ref="B1:R38"/>
  <sheetViews>
    <sheetView zoomScaleNormal="100" zoomScaleSheetLayoutView="80" workbookViewId="0">
      <selection activeCell="B36" sqref="B36"/>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5.85546875" customWidth="1"/>
    <col min="14" max="14" width="8.7109375" customWidth="1"/>
    <col min="15" max="18" width="14" customWidth="1"/>
  </cols>
  <sheetData>
    <row r="1" spans="2:18" ht="9.75" customHeight="1" x14ac:dyDescent="0.2"/>
    <row r="2" spans="2:18" ht="15.95" customHeight="1" x14ac:dyDescent="0.25">
      <c r="B2" s="484"/>
      <c r="C2" s="1792" t="str">
        <f>+'Key Inputs'!E5</f>
        <v>TOWNSHIP OF GREENWICH</v>
      </c>
      <c r="D2" s="1792"/>
      <c r="E2" s="1792"/>
      <c r="F2" s="1792"/>
      <c r="G2" s="1792"/>
      <c r="H2" s="1792"/>
      <c r="I2" s="1792"/>
      <c r="J2" s="484" t="s">
        <v>6185</v>
      </c>
      <c r="K2" s="484"/>
      <c r="L2" s="484"/>
      <c r="M2" s="484"/>
      <c r="N2" s="484"/>
      <c r="O2" s="484"/>
      <c r="P2" s="484"/>
      <c r="Q2" s="484"/>
      <c r="R2" s="484"/>
    </row>
    <row r="3" spans="2:18" ht="15.95" customHeight="1" thickBot="1" x14ac:dyDescent="0.3">
      <c r="B3" s="484"/>
      <c r="C3" s="484"/>
      <c r="D3" s="484"/>
      <c r="E3" s="484"/>
      <c r="F3" s="484"/>
      <c r="G3" s="1428"/>
      <c r="H3" s="1428"/>
      <c r="I3" s="1428"/>
      <c r="J3" s="484"/>
      <c r="K3" s="484"/>
      <c r="L3" s="484"/>
      <c r="M3" s="484"/>
      <c r="N3" s="484"/>
      <c r="O3" s="483"/>
      <c r="P3" s="483"/>
      <c r="Q3" s="483"/>
      <c r="R3" s="483"/>
    </row>
    <row r="4" spans="2:18" ht="16.5" customHeight="1" thickTop="1" thickBot="1" x14ac:dyDescent="0.3">
      <c r="B4" s="378"/>
      <c r="C4" s="222"/>
      <c r="D4" s="222"/>
      <c r="E4" s="222"/>
      <c r="F4" s="222"/>
      <c r="G4" s="222"/>
      <c r="H4" s="459"/>
      <c r="I4" s="296"/>
      <c r="J4" s="1429"/>
      <c r="K4" s="379"/>
      <c r="L4" s="1429"/>
      <c r="M4" s="1429"/>
      <c r="N4" s="461"/>
      <c r="O4" s="1705" t="s">
        <v>23</v>
      </c>
      <c r="P4" s="1708"/>
      <c r="Q4" s="1705" t="str">
        <f>"Expended  "&amp;J6</f>
        <v>Expended  2020</v>
      </c>
      <c r="R4" s="1708"/>
    </row>
    <row r="5" spans="2:18" ht="15" customHeight="1" thickTop="1" thickBot="1" x14ac:dyDescent="0.3">
      <c r="B5" s="380" t="s">
        <v>873</v>
      </c>
      <c r="C5" s="67"/>
      <c r="G5" s="63"/>
      <c r="H5" s="432" t="s">
        <v>605</v>
      </c>
      <c r="I5" s="1797" t="s">
        <v>27</v>
      </c>
      <c r="J5" s="1798"/>
      <c r="K5" s="381" t="s">
        <v>28</v>
      </c>
      <c r="L5" s="1" t="s">
        <v>340</v>
      </c>
      <c r="M5" s="293"/>
      <c r="N5" s="432" t="s">
        <v>605</v>
      </c>
      <c r="O5" s="25"/>
      <c r="P5" s="25"/>
      <c r="Q5" s="25" t="s">
        <v>20</v>
      </c>
      <c r="R5" s="25"/>
    </row>
    <row r="6" spans="2:18" ht="15" customHeight="1" thickTop="1" thickBot="1" x14ac:dyDescent="0.3">
      <c r="B6" s="380" t="s">
        <v>874</v>
      </c>
      <c r="C6" s="67"/>
      <c r="D6" s="12"/>
      <c r="G6" s="63"/>
      <c r="H6" s="460"/>
      <c r="I6" s="539" t="str">
        <f>'Key Inputs'!E34</f>
        <v>2021</v>
      </c>
      <c r="J6" s="540">
        <f>I6-1</f>
        <v>2020</v>
      </c>
      <c r="K6" s="381" t="str">
        <f>"Cash in "&amp;J6</f>
        <v>Cash in 2020</v>
      </c>
      <c r="L6" s="382"/>
      <c r="M6" s="382"/>
      <c r="N6" s="432"/>
      <c r="O6" s="28" t="str">
        <f>"for "&amp;I6</f>
        <v>for 2021</v>
      </c>
      <c r="P6" s="26" t="str">
        <f>"for "&amp;J6</f>
        <v>for 2020</v>
      </c>
      <c r="Q6" s="26" t="s">
        <v>21</v>
      </c>
      <c r="R6" s="26" t="s">
        <v>22</v>
      </c>
    </row>
    <row r="7" spans="2:18" ht="12.75" customHeight="1" thickTop="1" x14ac:dyDescent="0.2">
      <c r="B7" s="383"/>
      <c r="C7" s="91" t="s">
        <v>875</v>
      </c>
      <c r="D7" s="91"/>
      <c r="E7" s="89"/>
      <c r="F7" s="89"/>
      <c r="G7" s="89"/>
      <c r="H7" s="461"/>
      <c r="I7" s="778"/>
      <c r="J7" s="1217"/>
      <c r="K7" s="1216"/>
      <c r="L7" s="1839" t="s">
        <v>6187</v>
      </c>
      <c r="M7" s="1840"/>
      <c r="N7" s="1837" t="s">
        <v>6188</v>
      </c>
      <c r="O7" s="1793" t="s">
        <v>879</v>
      </c>
      <c r="P7" s="1793" t="s">
        <v>879</v>
      </c>
      <c r="Q7" s="1793" t="s">
        <v>879</v>
      </c>
      <c r="R7" s="1793" t="s">
        <v>879</v>
      </c>
    </row>
    <row r="8" spans="2:18" ht="12.75" customHeight="1" x14ac:dyDescent="0.2">
      <c r="B8" s="282"/>
      <c r="C8" s="227" t="s">
        <v>877</v>
      </c>
      <c r="D8" s="92"/>
      <c r="E8" s="87"/>
      <c r="F8" s="87"/>
      <c r="G8" s="87"/>
      <c r="H8" s="502" t="s">
        <v>6196</v>
      </c>
      <c r="I8" s="1001"/>
      <c r="J8" s="940"/>
      <c r="K8" s="1215"/>
      <c r="L8" s="1841"/>
      <c r="M8" s="1842"/>
      <c r="N8" s="1838"/>
      <c r="O8" s="1794"/>
      <c r="P8" s="1794"/>
      <c r="Q8" s="1794"/>
      <c r="R8" s="1794"/>
    </row>
    <row r="9" spans="2:18" ht="14.25" x14ac:dyDescent="0.2">
      <c r="B9" s="1002"/>
      <c r="C9" s="744"/>
      <c r="D9" s="910"/>
      <c r="E9" s="744"/>
      <c r="F9" s="744"/>
      <c r="G9" s="744"/>
      <c r="H9" s="1003"/>
      <c r="I9" s="992"/>
      <c r="J9" s="993"/>
      <c r="K9" s="994"/>
      <c r="L9" s="1504"/>
      <c r="M9" s="1470"/>
      <c r="N9" s="1498"/>
      <c r="O9" s="1450"/>
      <c r="P9" s="1450"/>
      <c r="Q9" s="1450"/>
      <c r="R9" s="1487">
        <f>IF(+P9-Q9&gt;=0,P9-Q9,"*")</f>
        <v>0</v>
      </c>
    </row>
    <row r="10" spans="2:18" ht="14.25" x14ac:dyDescent="0.2">
      <c r="B10" s="1002"/>
      <c r="C10" s="910"/>
      <c r="D10" s="910"/>
      <c r="E10" s="744"/>
      <c r="F10" s="744"/>
      <c r="G10" s="744"/>
      <c r="H10" s="1008"/>
      <c r="I10" s="992"/>
      <c r="J10" s="993"/>
      <c r="K10" s="994"/>
      <c r="L10" s="1470"/>
      <c r="M10" s="1470"/>
      <c r="N10" s="1498"/>
      <c r="O10" s="1450"/>
      <c r="P10" s="1450"/>
      <c r="Q10" s="1450"/>
      <c r="R10" s="1487">
        <f t="shared" ref="R10:R31" si="0">IF(+P10-Q10&gt;=0,P10-Q10,"*")</f>
        <v>0</v>
      </c>
    </row>
    <row r="11" spans="2:18" ht="14.25" customHeight="1" x14ac:dyDescent="0.2">
      <c r="B11" s="1002"/>
      <c r="C11" s="744"/>
      <c r="D11" s="910"/>
      <c r="E11" s="744"/>
      <c r="F11" s="744"/>
      <c r="G11" s="744"/>
      <c r="H11" s="1008"/>
      <c r="I11" s="992"/>
      <c r="J11" s="993"/>
      <c r="K11" s="994"/>
      <c r="L11" s="1504"/>
      <c r="M11" s="1470"/>
      <c r="N11" s="1498"/>
      <c r="O11" s="1450"/>
      <c r="P11" s="1450"/>
      <c r="Q11" s="1450"/>
      <c r="R11" s="1487">
        <f t="shared" si="0"/>
        <v>0</v>
      </c>
    </row>
    <row r="12" spans="2:18" ht="14.25" customHeight="1" x14ac:dyDescent="0.2">
      <c r="B12" s="1007"/>
      <c r="C12" s="817"/>
      <c r="D12" s="821"/>
      <c r="E12" s="817"/>
      <c r="F12" s="817"/>
      <c r="G12" s="817"/>
      <c r="H12" s="1008"/>
      <c r="I12" s="998"/>
      <c r="J12" s="999"/>
      <c r="K12" s="1000"/>
      <c r="L12" s="1505"/>
      <c r="M12" s="1501"/>
      <c r="N12" s="1499"/>
      <c r="O12" s="1506"/>
      <c r="P12" s="1506"/>
      <c r="Q12" s="1506"/>
      <c r="R12" s="1487">
        <f t="shared" si="0"/>
        <v>0</v>
      </c>
    </row>
    <row r="13" spans="2:18" ht="14.25" x14ac:dyDescent="0.2">
      <c r="B13" s="384"/>
      <c r="C13" s="106" t="s">
        <v>882</v>
      </c>
      <c r="D13" s="106"/>
      <c r="E13" s="16"/>
      <c r="F13" s="16"/>
      <c r="G13" s="16"/>
      <c r="H13" s="503" t="s">
        <v>6198</v>
      </c>
      <c r="I13" s="992"/>
      <c r="J13" s="993"/>
      <c r="K13" s="994"/>
      <c r="L13" s="1470"/>
      <c r="M13" s="1470"/>
      <c r="N13" s="1498"/>
      <c r="O13" s="1450"/>
      <c r="P13" s="1450"/>
      <c r="Q13" s="1450"/>
      <c r="R13" s="1487">
        <f t="shared" si="0"/>
        <v>0</v>
      </c>
    </row>
    <row r="14" spans="2:18" ht="15" x14ac:dyDescent="0.25">
      <c r="B14" s="1002"/>
      <c r="C14" s="744"/>
      <c r="D14" s="882"/>
      <c r="E14" s="744"/>
      <c r="F14" s="744"/>
      <c r="G14" s="744"/>
      <c r="H14" s="1003"/>
      <c r="I14" s="992"/>
      <c r="J14" s="993"/>
      <c r="K14" s="994"/>
      <c r="L14" s="1470"/>
      <c r="M14" s="1470"/>
      <c r="N14" s="1498"/>
      <c r="O14" s="1450"/>
      <c r="P14" s="1450"/>
      <c r="Q14" s="1450"/>
      <c r="R14" s="1487">
        <f t="shared" si="0"/>
        <v>0</v>
      </c>
    </row>
    <row r="15" spans="2:18" ht="14.25" x14ac:dyDescent="0.2">
      <c r="B15" s="1002"/>
      <c r="C15" s="744"/>
      <c r="D15" s="744"/>
      <c r="E15" s="744"/>
      <c r="F15" s="744"/>
      <c r="G15" s="744"/>
      <c r="H15" s="1003"/>
      <c r="I15" s="992"/>
      <c r="J15" s="993"/>
      <c r="K15" s="994"/>
      <c r="L15" s="1504"/>
      <c r="M15" s="1470"/>
      <c r="N15" s="1499"/>
      <c r="O15" s="1506"/>
      <c r="P15" s="1506"/>
      <c r="Q15" s="1506"/>
      <c r="R15" s="1487">
        <f t="shared" si="0"/>
        <v>0</v>
      </c>
    </row>
    <row r="16" spans="2:18" ht="14.25" x14ac:dyDescent="0.2">
      <c r="B16" s="1002"/>
      <c r="C16" s="744"/>
      <c r="D16" s="744"/>
      <c r="E16" s="744"/>
      <c r="F16" s="744"/>
      <c r="G16" s="744"/>
      <c r="H16" s="1003"/>
      <c r="I16" s="992"/>
      <c r="J16" s="993"/>
      <c r="K16" s="994"/>
      <c r="L16" s="1470"/>
      <c r="M16" s="1470"/>
      <c r="N16" s="1498"/>
      <c r="O16" s="1450"/>
      <c r="P16" s="1450"/>
      <c r="Q16" s="1450"/>
      <c r="R16" s="1487">
        <f t="shared" si="0"/>
        <v>0</v>
      </c>
    </row>
    <row r="17" spans="2:18" ht="14.25" x14ac:dyDescent="0.2">
      <c r="B17" s="1002"/>
      <c r="C17" s="744"/>
      <c r="D17" s="744"/>
      <c r="E17" s="744"/>
      <c r="F17" s="744"/>
      <c r="G17" s="744"/>
      <c r="H17" s="1003"/>
      <c r="I17" s="992"/>
      <c r="J17" s="993"/>
      <c r="K17" s="994"/>
      <c r="L17" s="1470"/>
      <c r="M17" s="1470"/>
      <c r="N17" s="1498"/>
      <c r="O17" s="1450"/>
      <c r="P17" s="1450"/>
      <c r="Q17" s="1450"/>
      <c r="R17" s="1487">
        <f t="shared" si="0"/>
        <v>0</v>
      </c>
    </row>
    <row r="18" spans="2:18" ht="14.25" x14ac:dyDescent="0.2">
      <c r="B18" s="1004"/>
      <c r="C18" s="748"/>
      <c r="D18" s="748"/>
      <c r="E18" s="748"/>
      <c r="F18" s="748"/>
      <c r="G18" s="748"/>
      <c r="H18" s="1006"/>
      <c r="I18" s="995"/>
      <c r="J18" s="996"/>
      <c r="K18" s="997"/>
      <c r="L18" s="1492"/>
      <c r="M18" s="1492"/>
      <c r="N18" s="1012"/>
      <c r="O18" s="1464"/>
      <c r="P18" s="1464"/>
      <c r="Q18" s="1464"/>
      <c r="R18" s="1487">
        <f t="shared" si="0"/>
        <v>0</v>
      </c>
    </row>
    <row r="19" spans="2:18" ht="14.25" x14ac:dyDescent="0.2">
      <c r="B19" s="1002"/>
      <c r="C19" s="744"/>
      <c r="D19" s="744"/>
      <c r="E19" s="744"/>
      <c r="F19" s="744"/>
      <c r="G19" s="744"/>
      <c r="H19" s="1003"/>
      <c r="I19" s="992"/>
      <c r="J19" s="993"/>
      <c r="K19" s="994"/>
      <c r="L19" s="1496"/>
      <c r="M19" s="1470"/>
      <c r="N19" s="1498"/>
      <c r="O19" s="1484"/>
      <c r="P19" s="1484"/>
      <c r="Q19" s="1484"/>
      <c r="R19" s="1487">
        <f t="shared" si="0"/>
        <v>0</v>
      </c>
    </row>
    <row r="20" spans="2:18" ht="14.25" x14ac:dyDescent="0.2">
      <c r="B20" s="1007"/>
      <c r="C20" s="817"/>
      <c r="D20" s="817"/>
      <c r="E20" s="817"/>
      <c r="F20" s="817"/>
      <c r="G20" s="817"/>
      <c r="H20" s="1008"/>
      <c r="I20" s="998"/>
      <c r="J20" s="999"/>
      <c r="K20" s="1000"/>
      <c r="L20" s="1505"/>
      <c r="M20" s="1501"/>
      <c r="N20" s="1499"/>
      <c r="O20" s="1485"/>
      <c r="P20" s="1485"/>
      <c r="Q20" s="1485"/>
      <c r="R20" s="1487">
        <f t="shared" si="0"/>
        <v>0</v>
      </c>
    </row>
    <row r="21" spans="2:18" ht="18.95" customHeight="1" thickBot="1" x14ac:dyDescent="0.3">
      <c r="B21" s="389" t="s">
        <v>886</v>
      </c>
      <c r="C21" s="125"/>
      <c r="D21" s="104"/>
      <c r="E21" s="104"/>
      <c r="F21" s="104"/>
      <c r="G21" s="104"/>
      <c r="H21" s="504" t="s">
        <v>6199</v>
      </c>
      <c r="I21" s="386">
        <f>SUM(I8:I20)</f>
        <v>0</v>
      </c>
      <c r="J21" s="386">
        <f>SUM(J8:J20)</f>
        <v>0</v>
      </c>
      <c r="K21" s="387">
        <f>SUM(K8:K20)</f>
        <v>0</v>
      </c>
      <c r="L21" s="1496"/>
      <c r="M21" s="1470"/>
      <c r="N21" s="1498"/>
      <c r="O21" s="1450"/>
      <c r="P21" s="1450"/>
      <c r="Q21" s="1450"/>
      <c r="R21" s="1487">
        <f t="shared" si="0"/>
        <v>0</v>
      </c>
    </row>
    <row r="22" spans="2:18" ht="20.100000000000001" customHeight="1" thickTop="1" x14ac:dyDescent="0.2">
      <c r="B22" s="390" t="s">
        <v>888</v>
      </c>
      <c r="C22" s="391"/>
      <c r="D22" s="392"/>
      <c r="E22" s="392"/>
      <c r="F22" s="392"/>
      <c r="G22" s="392"/>
      <c r="H22" s="392"/>
      <c r="I22" s="393"/>
      <c r="J22" s="394"/>
      <c r="K22" s="395"/>
      <c r="L22" s="1496"/>
      <c r="M22" s="1497"/>
      <c r="N22" s="1498"/>
      <c r="O22" s="1450"/>
      <c r="P22" s="1450"/>
      <c r="Q22" s="1450"/>
      <c r="R22" s="1487">
        <f t="shared" si="0"/>
        <v>0</v>
      </c>
    </row>
    <row r="23" spans="2:18" ht="21" customHeight="1" x14ac:dyDescent="0.2">
      <c r="B23" s="396" t="s">
        <v>889</v>
      </c>
      <c r="C23" s="227"/>
      <c r="D23" s="249"/>
      <c r="E23" s="126"/>
      <c r="F23" s="126"/>
      <c r="G23" s="126"/>
      <c r="H23" s="126"/>
      <c r="I23" s="397"/>
      <c r="J23" s="1799"/>
      <c r="K23" s="1800"/>
      <c r="L23" s="1496"/>
      <c r="M23" s="1497"/>
      <c r="N23" s="1499"/>
      <c r="O23" s="1507"/>
      <c r="P23" s="1507"/>
      <c r="Q23" s="1507"/>
      <c r="R23" s="1430">
        <f t="shared" si="0"/>
        <v>0</v>
      </c>
    </row>
    <row r="24" spans="2:18" ht="12.75" customHeight="1" x14ac:dyDescent="0.2">
      <c r="B24" s="396"/>
      <c r="C24" s="227"/>
      <c r="D24" s="249"/>
      <c r="E24" s="126"/>
      <c r="F24" s="126"/>
      <c r="G24" s="126"/>
      <c r="H24" s="126"/>
      <c r="I24" s="397"/>
      <c r="J24" s="1819" t="s">
        <v>890</v>
      </c>
      <c r="K24" s="1820"/>
      <c r="L24" s="477"/>
      <c r="M24" s="476"/>
      <c r="N24" s="466"/>
      <c r="O24" s="1494"/>
      <c r="P24" s="1494"/>
      <c r="Q24" s="1494"/>
      <c r="R24" s="1502"/>
    </row>
    <row r="25" spans="2:18" ht="12.75" customHeight="1" x14ac:dyDescent="0.2">
      <c r="B25" s="398"/>
      <c r="C25" s="227" t="s">
        <v>891</v>
      </c>
      <c r="D25" s="227"/>
      <c r="E25" s="126"/>
      <c r="F25" s="126"/>
      <c r="G25" s="126"/>
      <c r="H25" s="126"/>
      <c r="I25" s="399" t="s">
        <v>892</v>
      </c>
      <c r="J25" s="1835"/>
      <c r="K25" s="1836"/>
      <c r="L25" s="1500"/>
      <c r="M25" s="1501"/>
      <c r="N25" s="1499"/>
      <c r="O25" s="1485"/>
      <c r="P25" s="1485"/>
      <c r="Q25" s="1485"/>
      <c r="R25" s="1503">
        <f t="shared" si="0"/>
        <v>0</v>
      </c>
    </row>
    <row r="26" spans="2:18" ht="12.75" customHeight="1" x14ac:dyDescent="0.2">
      <c r="B26" s="398"/>
      <c r="C26" s="249"/>
      <c r="D26" s="249"/>
      <c r="E26" s="126"/>
      <c r="F26" s="126"/>
      <c r="G26" s="126"/>
      <c r="H26" s="126"/>
      <c r="I26" s="397"/>
      <c r="J26" s="164"/>
      <c r="K26" s="400"/>
      <c r="L26" s="480"/>
      <c r="M26" s="1481"/>
      <c r="N26" s="466"/>
      <c r="O26" s="1494"/>
      <c r="P26" s="1494"/>
      <c r="Q26" s="1494"/>
      <c r="R26" s="1502"/>
    </row>
    <row r="27" spans="2:18" ht="12.75" customHeight="1" x14ac:dyDescent="0.2">
      <c r="B27" s="398"/>
      <c r="C27" s="227" t="s">
        <v>894</v>
      </c>
      <c r="D27" s="227"/>
      <c r="E27" s="126"/>
      <c r="F27" s="126"/>
      <c r="G27" s="126"/>
      <c r="H27" s="126"/>
      <c r="I27" s="399" t="s">
        <v>892</v>
      </c>
      <c r="J27" s="1803"/>
      <c r="K27" s="1804"/>
      <c r="L27" s="1500"/>
      <c r="M27" s="1501"/>
      <c r="N27" s="1499"/>
      <c r="O27" s="1485"/>
      <c r="P27" s="1485"/>
      <c r="Q27" s="1485"/>
      <c r="R27" s="1503">
        <f t="shared" si="0"/>
        <v>0</v>
      </c>
    </row>
    <row r="28" spans="2:18" ht="12.75" customHeight="1" x14ac:dyDescent="0.2">
      <c r="B28" s="398"/>
      <c r="C28" s="227" t="s">
        <v>896</v>
      </c>
      <c r="D28" s="227"/>
      <c r="E28" s="126"/>
      <c r="F28" s="126"/>
      <c r="G28" s="126"/>
      <c r="H28" s="126"/>
      <c r="I28" s="399" t="s">
        <v>892</v>
      </c>
      <c r="J28" s="1809"/>
      <c r="K28" s="1810"/>
      <c r="L28" s="480"/>
      <c r="M28" s="1481"/>
      <c r="N28" s="466"/>
      <c r="O28" s="1494"/>
      <c r="P28" s="1494"/>
      <c r="Q28" s="1494"/>
      <c r="R28" s="1502"/>
    </row>
    <row r="29" spans="2:18" ht="12.75" customHeight="1" x14ac:dyDescent="0.2">
      <c r="B29" s="398"/>
      <c r="C29" s="227"/>
      <c r="D29" s="227"/>
      <c r="E29" s="126"/>
      <c r="F29" s="126"/>
      <c r="G29" s="126"/>
      <c r="H29" s="126"/>
      <c r="I29" s="399"/>
      <c r="J29" s="1821"/>
      <c r="K29" s="1822"/>
      <c r="L29" s="1500"/>
      <c r="M29" s="1501"/>
      <c r="N29" s="1499"/>
      <c r="O29" s="1485"/>
      <c r="P29" s="1485"/>
      <c r="Q29" s="1485"/>
      <c r="R29" s="1503">
        <f t="shared" si="0"/>
        <v>0</v>
      </c>
    </row>
    <row r="30" spans="2:18" ht="12.75" customHeight="1" x14ac:dyDescent="0.2">
      <c r="B30" s="398"/>
      <c r="C30" s="249"/>
      <c r="D30" s="249"/>
      <c r="E30" s="126"/>
      <c r="F30" s="126"/>
      <c r="G30" s="126"/>
      <c r="H30" s="126"/>
      <c r="I30" s="397"/>
      <c r="J30" s="1440"/>
      <c r="K30" s="1441"/>
      <c r="L30" s="480"/>
      <c r="M30" s="1481"/>
      <c r="N30" s="466"/>
      <c r="O30" s="1494"/>
      <c r="P30" s="1494"/>
      <c r="Q30" s="1494"/>
      <c r="R30" s="1502"/>
    </row>
    <row r="31" spans="2:18" ht="12.75" customHeight="1" x14ac:dyDescent="0.2">
      <c r="B31" s="398"/>
      <c r="C31" s="227"/>
      <c r="D31" s="227"/>
      <c r="E31" s="126"/>
      <c r="F31" s="126"/>
      <c r="G31" s="126"/>
      <c r="H31" s="126"/>
      <c r="I31" s="397"/>
      <c r="J31" s="1825"/>
      <c r="K31" s="1826"/>
      <c r="L31" s="1500"/>
      <c r="M31" s="1501"/>
      <c r="N31" s="1499"/>
      <c r="O31" s="1485"/>
      <c r="P31" s="1485"/>
      <c r="Q31" s="1485"/>
      <c r="R31" s="1503">
        <f t="shared" si="0"/>
        <v>0</v>
      </c>
    </row>
    <row r="32" spans="2:18" ht="14.25" x14ac:dyDescent="0.2">
      <c r="B32" s="398"/>
      <c r="C32" s="49"/>
      <c r="D32" s="49"/>
      <c r="E32" s="126"/>
      <c r="F32" s="126"/>
      <c r="G32" s="126"/>
      <c r="H32" s="126"/>
      <c r="I32" s="397"/>
      <c r="J32" s="1440"/>
      <c r="K32" s="1441"/>
      <c r="L32" s="1496"/>
      <c r="M32" s="1497"/>
      <c r="N32" s="1498"/>
      <c r="O32" s="1450"/>
      <c r="P32" s="1450"/>
      <c r="Q32" s="1450"/>
      <c r="R32" s="1487">
        <f>IF(+P32-Q32&gt;=0,P32-Q32,"*")</f>
        <v>0</v>
      </c>
    </row>
    <row r="33" spans="2:18" ht="12.75" customHeight="1" x14ac:dyDescent="0.2">
      <c r="B33" s="398"/>
      <c r="C33" s="402"/>
      <c r="D33" s="402"/>
      <c r="E33" s="126"/>
      <c r="F33" s="126"/>
      <c r="G33" s="126"/>
      <c r="H33" s="126"/>
      <c r="I33" s="397"/>
      <c r="J33" s="1827"/>
      <c r="K33" s="1828"/>
      <c r="L33" s="1831" t="s">
        <v>900</v>
      </c>
      <c r="M33" s="1832"/>
      <c r="N33" s="467"/>
      <c r="O33" s="1829">
        <f>SUM(O9:O32)</f>
        <v>0</v>
      </c>
      <c r="P33" s="1829">
        <f>SUM(P9:P32)</f>
        <v>0</v>
      </c>
      <c r="Q33" s="1829">
        <f>SUM(Q9:Q32)</f>
        <v>0</v>
      </c>
      <c r="R33" s="1829">
        <f>SUM(R9:R32)</f>
        <v>0</v>
      </c>
    </row>
    <row r="34" spans="2:18" ht="12.75" customHeight="1" thickBot="1" x14ac:dyDescent="0.25">
      <c r="B34" s="403"/>
      <c r="C34" s="404"/>
      <c r="D34" s="404"/>
      <c r="E34" s="404"/>
      <c r="F34" s="404"/>
      <c r="G34" s="404"/>
      <c r="H34" s="404"/>
      <c r="I34" s="405"/>
      <c r="J34" s="1823"/>
      <c r="K34" s="1824"/>
      <c r="L34" s="1833"/>
      <c r="M34" s="1834"/>
      <c r="N34" s="1495" t="s">
        <v>6195</v>
      </c>
      <c r="O34" s="1830"/>
      <c r="P34" s="1830"/>
      <c r="Q34" s="1830"/>
      <c r="R34" s="1830"/>
    </row>
    <row r="35" spans="2:18" ht="15.75" customHeight="1" thickTop="1" x14ac:dyDescent="0.25">
      <c r="B35" s="1617" t="s">
        <v>141</v>
      </c>
      <c r="C35" s="1617"/>
      <c r="D35" s="1617"/>
      <c r="E35" s="1617"/>
      <c r="F35" s="1617"/>
      <c r="G35" s="1617"/>
      <c r="H35" s="1617"/>
      <c r="I35" s="1617"/>
      <c r="J35" s="1617"/>
      <c r="K35" s="1617"/>
      <c r="L35" s="1617"/>
      <c r="M35" s="1617"/>
      <c r="N35" s="1617"/>
      <c r="O35" s="1617"/>
      <c r="P35" s="1617"/>
      <c r="Q35" s="1617"/>
      <c r="R35" s="1617"/>
    </row>
    <row r="38" spans="2:18" x14ac:dyDescent="0.2">
      <c r="J38" s="29"/>
    </row>
  </sheetData>
  <sheetProtection algorithmName="SHA-512" hashValue="gDcyu+j/Z5O5Laj2RSEM8/Ce2fqV38bnZqYmAmQh4uEDsmddM0wmqJxyzkMYWA89ltfJcYhxOknHOBhSIs+XKA==" saltValue="Sq+2BwDp3D+g2Umoaw85cA==" spinCount="100000" sheet="1" objects="1" scenarios="1"/>
  <mergeCells count="25">
    <mergeCell ref="C2:I2"/>
    <mergeCell ref="O4:P4"/>
    <mergeCell ref="Q4:R4"/>
    <mergeCell ref="I5:J5"/>
    <mergeCell ref="O7:O8"/>
    <mergeCell ref="P7:P8"/>
    <mergeCell ref="Q7:Q8"/>
    <mergeCell ref="R7:R8"/>
    <mergeCell ref="N7:N8"/>
    <mergeCell ref="L7:M8"/>
    <mergeCell ref="J24:K24"/>
    <mergeCell ref="J23:K23"/>
    <mergeCell ref="J25:K25"/>
    <mergeCell ref="J27:K27"/>
    <mergeCell ref="J28:K28"/>
    <mergeCell ref="J29:K29"/>
    <mergeCell ref="J34:K34"/>
    <mergeCell ref="B35:R35"/>
    <mergeCell ref="J31:K31"/>
    <mergeCell ref="J33:K33"/>
    <mergeCell ref="O33:O34"/>
    <mergeCell ref="P33:P34"/>
    <mergeCell ref="Q33:Q34"/>
    <mergeCell ref="R33:R34"/>
    <mergeCell ref="L33:M3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B000-000000000000}">
          <x14:formula1>
            <xm:f>'Other Codes'!$Q$2:$Q$21</xm:f>
          </x14:formula1>
          <xm:sqref>N9:N23 N25 N27 N29 N31:N32</xm:sqref>
        </x14:dataValidation>
        <x14:dataValidation type="list" allowBlank="1" showInputMessage="1" showErrorMessage="1" errorTitle="Invalid Entry" error="This FCOA Code is not authorized for use on this sheet." xr:uid="{00000000-0002-0000-B000-000001000000}">
          <x14:formula1>
            <xm:f>'Other Codes'!$P$2:$P$12</xm:f>
          </x14:formula1>
          <xm:sqref>H14:H20 H9:H12</xm:sqref>
        </x14:dataValidation>
      </x14:dataValidations>
    </ext>
  </extLst>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sheetPr codeName="Sheet180"/>
  <dimension ref="B1:R38"/>
  <sheetViews>
    <sheetView zoomScaleNormal="100" zoomScaleSheetLayoutView="80" workbookViewId="0">
      <selection activeCell="I9" sqref="I9"/>
    </sheetView>
  </sheetViews>
  <sheetFormatPr defaultRowHeight="12.75" x14ac:dyDescent="0.2"/>
  <cols>
    <col min="1" max="1" width="1.7109375" customWidth="1"/>
    <col min="2" max="5" width="3.28515625" customWidth="1"/>
    <col min="6" max="6" width="3.5703125" customWidth="1"/>
    <col min="7" max="7" width="12.7109375" customWidth="1"/>
    <col min="8" max="8" width="7.7109375" customWidth="1"/>
    <col min="9" max="11" width="14" customWidth="1"/>
    <col min="12" max="12" width="3.28515625" customWidth="1"/>
    <col min="13" max="13" width="25.85546875" customWidth="1"/>
    <col min="14" max="14" width="8.7109375" customWidth="1"/>
    <col min="15" max="18" width="14" customWidth="1"/>
  </cols>
  <sheetData>
    <row r="1" spans="2:18" ht="9.75" customHeight="1" x14ac:dyDescent="0.2"/>
    <row r="2" spans="2:18" ht="15.95" customHeight="1" x14ac:dyDescent="0.25">
      <c r="B2" s="484"/>
      <c r="C2" s="1792" t="str">
        <f>+'Key Inputs'!E5</f>
        <v>TOWNSHIP OF GREENWICH</v>
      </c>
      <c r="D2" s="1792"/>
      <c r="E2" s="1792"/>
      <c r="F2" s="1792"/>
      <c r="G2" s="1792"/>
      <c r="H2" s="1792"/>
      <c r="I2" s="1792"/>
      <c r="J2" s="484" t="s">
        <v>6185</v>
      </c>
      <c r="K2" s="484"/>
      <c r="L2" s="484"/>
      <c r="M2" s="484"/>
      <c r="N2" s="484"/>
      <c r="O2" s="484"/>
      <c r="P2" s="484"/>
      <c r="Q2" s="484"/>
      <c r="R2" s="484"/>
    </row>
    <row r="3" spans="2:18" ht="15.95" customHeight="1" thickBot="1" x14ac:dyDescent="0.3">
      <c r="B3" s="484"/>
      <c r="C3" s="484"/>
      <c r="D3" s="484"/>
      <c r="E3" s="484"/>
      <c r="F3" s="484"/>
      <c r="G3" s="1475"/>
      <c r="H3" s="1475"/>
      <c r="I3" s="1475"/>
      <c r="J3" s="484"/>
      <c r="K3" s="484"/>
      <c r="L3" s="484"/>
      <c r="M3" s="484"/>
      <c r="N3" s="484"/>
      <c r="O3" s="483"/>
      <c r="P3" s="483"/>
      <c r="Q3" s="483"/>
      <c r="R3" s="483"/>
    </row>
    <row r="4" spans="2:18" ht="16.5" customHeight="1" thickTop="1" thickBot="1" x14ac:dyDescent="0.3">
      <c r="B4" s="378"/>
      <c r="C4" s="222"/>
      <c r="D4" s="222"/>
      <c r="E4" s="222"/>
      <c r="F4" s="222"/>
      <c r="G4" s="222"/>
      <c r="H4" s="459"/>
      <c r="I4" s="296"/>
      <c r="J4" s="1476"/>
      <c r="K4" s="379"/>
      <c r="L4" s="1476"/>
      <c r="M4" s="1476"/>
      <c r="N4" s="461"/>
      <c r="O4" s="1705" t="s">
        <v>23</v>
      </c>
      <c r="P4" s="1708"/>
      <c r="Q4" s="1705" t="str">
        <f>"Expended  "&amp;J6</f>
        <v>Expended  2020</v>
      </c>
      <c r="R4" s="1708"/>
    </row>
    <row r="5" spans="2:18" ht="15" customHeight="1" thickTop="1" thickBot="1" x14ac:dyDescent="0.3">
      <c r="B5" s="380" t="s">
        <v>873</v>
      </c>
      <c r="C5" s="67"/>
      <c r="G5" s="63"/>
      <c r="H5" s="432" t="s">
        <v>605</v>
      </c>
      <c r="I5" s="1797" t="s">
        <v>27</v>
      </c>
      <c r="J5" s="1798"/>
      <c r="K5" s="381" t="s">
        <v>28</v>
      </c>
      <c r="L5" s="1" t="s">
        <v>340</v>
      </c>
      <c r="M5" s="293"/>
      <c r="N5" s="432" t="s">
        <v>605</v>
      </c>
      <c r="O5" s="25"/>
      <c r="P5" s="25"/>
      <c r="Q5" s="25" t="s">
        <v>20</v>
      </c>
      <c r="R5" s="25"/>
    </row>
    <row r="6" spans="2:18" ht="15" customHeight="1" thickTop="1" thickBot="1" x14ac:dyDescent="0.3">
      <c r="B6" s="380" t="s">
        <v>874</v>
      </c>
      <c r="C6" s="67"/>
      <c r="D6" s="12"/>
      <c r="G6" s="63"/>
      <c r="H6" s="460"/>
      <c r="I6" s="539" t="str">
        <f>'Key Inputs'!E34</f>
        <v>2021</v>
      </c>
      <c r="J6" s="540">
        <f>I6-1</f>
        <v>2020</v>
      </c>
      <c r="K6" s="381" t="str">
        <f>"Cash in "&amp;J6</f>
        <v>Cash in 2020</v>
      </c>
      <c r="L6" s="382"/>
      <c r="M6" s="382"/>
      <c r="N6" s="432"/>
      <c r="O6" s="28" t="str">
        <f>"for "&amp;I6</f>
        <v>for 2021</v>
      </c>
      <c r="P6" s="26" t="str">
        <f>"for "&amp;J6</f>
        <v>for 2020</v>
      </c>
      <c r="Q6" s="26" t="s">
        <v>21</v>
      </c>
      <c r="R6" s="26" t="s">
        <v>22</v>
      </c>
    </row>
    <row r="7" spans="2:18" ht="12.75" customHeight="1" thickTop="1" x14ac:dyDescent="0.2">
      <c r="B7" s="383"/>
      <c r="C7" s="91" t="s">
        <v>875</v>
      </c>
      <c r="D7" s="91"/>
      <c r="E7" s="89"/>
      <c r="F7" s="89"/>
      <c r="G7" s="89"/>
      <c r="H7" s="461"/>
      <c r="I7" s="778"/>
      <c r="J7" s="1217"/>
      <c r="K7" s="1216"/>
      <c r="L7" s="1839" t="s">
        <v>6187</v>
      </c>
      <c r="M7" s="1840"/>
      <c r="N7" s="1837" t="s">
        <v>6188</v>
      </c>
      <c r="O7" s="1793" t="s">
        <v>879</v>
      </c>
      <c r="P7" s="1793" t="s">
        <v>879</v>
      </c>
      <c r="Q7" s="1793" t="s">
        <v>879</v>
      </c>
      <c r="R7" s="1793" t="s">
        <v>879</v>
      </c>
    </row>
    <row r="8" spans="2:18" ht="12.75" customHeight="1" x14ac:dyDescent="0.2">
      <c r="B8" s="282"/>
      <c r="C8" s="227" t="s">
        <v>877</v>
      </c>
      <c r="D8" s="92"/>
      <c r="E8" s="87"/>
      <c r="F8" s="87"/>
      <c r="G8" s="87"/>
      <c r="H8" s="502" t="s">
        <v>6196</v>
      </c>
      <c r="I8" s="1001"/>
      <c r="J8" s="940"/>
      <c r="K8" s="1215"/>
      <c r="L8" s="1841"/>
      <c r="M8" s="1842"/>
      <c r="N8" s="1838"/>
      <c r="O8" s="1794"/>
      <c r="P8" s="1794"/>
      <c r="Q8" s="1794"/>
      <c r="R8" s="1794"/>
    </row>
    <row r="9" spans="2:18" ht="14.25" x14ac:dyDescent="0.2">
      <c r="B9" s="1002"/>
      <c r="C9" s="744"/>
      <c r="D9" s="910"/>
      <c r="E9" s="744"/>
      <c r="F9" s="744"/>
      <c r="G9" s="744"/>
      <c r="H9" s="1003"/>
      <c r="I9" s="992"/>
      <c r="J9" s="993"/>
      <c r="K9" s="994"/>
      <c r="L9" s="1488"/>
      <c r="M9" s="1489"/>
      <c r="N9" s="1478"/>
      <c r="O9" s="1450"/>
      <c r="P9" s="1450"/>
      <c r="Q9" s="1450"/>
      <c r="R9" s="1487">
        <f>IF(+P9-Q9&gt;=0,P9-Q9,"*")</f>
        <v>0</v>
      </c>
    </row>
    <row r="10" spans="2:18" ht="14.25" x14ac:dyDescent="0.2">
      <c r="B10" s="384"/>
      <c r="C10" s="106" t="s">
        <v>880</v>
      </c>
      <c r="D10" s="106"/>
      <c r="E10" s="16"/>
      <c r="F10" s="16"/>
      <c r="G10" s="16"/>
      <c r="H10" s="503" t="s">
        <v>6197</v>
      </c>
      <c r="I10" s="992"/>
      <c r="J10" s="993"/>
      <c r="K10" s="994"/>
      <c r="L10" s="1489"/>
      <c r="M10" s="1489"/>
      <c r="N10" s="1478"/>
      <c r="O10" s="1450"/>
      <c r="P10" s="1450"/>
      <c r="Q10" s="1450"/>
      <c r="R10" s="1487">
        <f t="shared" ref="R10:R22" si="0">IF(+P10-Q10&gt;=0,P10-Q10,"*")</f>
        <v>0</v>
      </c>
    </row>
    <row r="11" spans="2:18" ht="14.25" customHeight="1" x14ac:dyDescent="0.2">
      <c r="B11" s="1002"/>
      <c r="C11" s="744"/>
      <c r="D11" s="910"/>
      <c r="E11" s="744"/>
      <c r="F11" s="744"/>
      <c r="G11" s="744"/>
      <c r="H11" s="1003"/>
      <c r="I11" s="992"/>
      <c r="J11" s="993"/>
      <c r="K11" s="994"/>
      <c r="L11" s="1488"/>
      <c r="M11" s="1489"/>
      <c r="N11" s="1478"/>
      <c r="O11" s="1483"/>
      <c r="P11" s="1483"/>
      <c r="Q11" s="1483"/>
      <c r="R11" s="1487">
        <f t="shared" si="0"/>
        <v>0</v>
      </c>
    </row>
    <row r="12" spans="2:18" ht="14.25" customHeight="1" x14ac:dyDescent="0.2">
      <c r="B12" s="1007"/>
      <c r="C12" s="817"/>
      <c r="D12" s="821"/>
      <c r="E12" s="817"/>
      <c r="F12" s="817"/>
      <c r="G12" s="817"/>
      <c r="H12" s="1008"/>
      <c r="I12" s="998"/>
      <c r="J12" s="999"/>
      <c r="K12" s="1000"/>
      <c r="L12" s="1490"/>
      <c r="M12" s="1491"/>
      <c r="N12" s="1479"/>
      <c r="O12" s="1486"/>
      <c r="P12" s="1486"/>
      <c r="Q12" s="1486"/>
      <c r="R12" s="1487">
        <f t="shared" si="0"/>
        <v>0</v>
      </c>
    </row>
    <row r="13" spans="2:18" ht="14.25" x14ac:dyDescent="0.2">
      <c r="B13" s="384"/>
      <c r="C13" s="106" t="s">
        <v>882</v>
      </c>
      <c r="D13" s="106"/>
      <c r="E13" s="16"/>
      <c r="F13" s="16"/>
      <c r="G13" s="16"/>
      <c r="H13" s="503" t="s">
        <v>6198</v>
      </c>
      <c r="I13" s="992"/>
      <c r="J13" s="993"/>
      <c r="K13" s="994"/>
      <c r="L13" s="1489"/>
      <c r="M13" s="1489"/>
      <c r="N13" s="1478"/>
      <c r="O13" s="1450"/>
      <c r="P13" s="1450"/>
      <c r="Q13" s="1450"/>
      <c r="R13" s="1487">
        <f t="shared" si="0"/>
        <v>0</v>
      </c>
    </row>
    <row r="14" spans="2:18" ht="15" x14ac:dyDescent="0.25">
      <c r="B14" s="1002"/>
      <c r="C14" s="744"/>
      <c r="D14" s="882"/>
      <c r="E14" s="744"/>
      <c r="F14" s="744"/>
      <c r="G14" s="744"/>
      <c r="H14" s="1003"/>
      <c r="I14" s="992"/>
      <c r="J14" s="993"/>
      <c r="K14" s="994"/>
      <c r="L14" s="1489"/>
      <c r="M14" s="1489"/>
      <c r="N14" s="1478"/>
      <c r="O14" s="1450"/>
      <c r="P14" s="1450"/>
      <c r="Q14" s="1450"/>
      <c r="R14" s="1487">
        <f t="shared" si="0"/>
        <v>0</v>
      </c>
    </row>
    <row r="15" spans="2:18" ht="14.25" x14ac:dyDescent="0.2">
      <c r="B15" s="1002"/>
      <c r="C15" s="744"/>
      <c r="D15" s="744"/>
      <c r="E15" s="744"/>
      <c r="F15" s="744"/>
      <c r="G15" s="744"/>
      <c r="H15" s="1003"/>
      <c r="I15" s="992"/>
      <c r="J15" s="993"/>
      <c r="K15" s="994"/>
      <c r="L15" s="1488"/>
      <c r="M15" s="1489"/>
      <c r="N15" s="1479"/>
      <c r="O15" s="1486"/>
      <c r="P15" s="1486"/>
      <c r="Q15" s="1486"/>
      <c r="R15" s="1487">
        <f t="shared" si="0"/>
        <v>0</v>
      </c>
    </row>
    <row r="16" spans="2:18" ht="14.25" x14ac:dyDescent="0.2">
      <c r="B16" s="1002"/>
      <c r="C16" s="744"/>
      <c r="D16" s="744"/>
      <c r="E16" s="744"/>
      <c r="F16" s="744"/>
      <c r="G16" s="744"/>
      <c r="H16" s="1003"/>
      <c r="I16" s="992"/>
      <c r="J16" s="993"/>
      <c r="K16" s="994"/>
      <c r="L16" s="1489"/>
      <c r="M16" s="1489"/>
      <c r="N16" s="1478"/>
      <c r="O16" s="1450"/>
      <c r="P16" s="1450"/>
      <c r="Q16" s="1450"/>
      <c r="R16" s="1487">
        <f t="shared" si="0"/>
        <v>0</v>
      </c>
    </row>
    <row r="17" spans="2:18" ht="14.25" x14ac:dyDescent="0.2">
      <c r="B17" s="1002"/>
      <c r="C17" s="744"/>
      <c r="D17" s="744"/>
      <c r="E17" s="744"/>
      <c r="F17" s="744"/>
      <c r="G17" s="744"/>
      <c r="H17" s="1003"/>
      <c r="I17" s="992"/>
      <c r="J17" s="993"/>
      <c r="K17" s="994"/>
      <c r="L17" s="1489"/>
      <c r="M17" s="1489"/>
      <c r="N17" s="1478"/>
      <c r="O17" s="1450"/>
      <c r="P17" s="1450"/>
      <c r="Q17" s="1450"/>
      <c r="R17" s="1487">
        <f t="shared" si="0"/>
        <v>0</v>
      </c>
    </row>
    <row r="18" spans="2:18" ht="14.25" x14ac:dyDescent="0.2">
      <c r="B18" s="1004"/>
      <c r="C18" s="748"/>
      <c r="D18" s="748"/>
      <c r="E18" s="748"/>
      <c r="F18" s="748"/>
      <c r="G18" s="748"/>
      <c r="H18" s="1006"/>
      <c r="I18" s="995"/>
      <c r="J18" s="996"/>
      <c r="K18" s="997"/>
      <c r="L18" s="1492"/>
      <c r="M18" s="1492"/>
      <c r="N18" s="1012"/>
      <c r="O18" s="1464"/>
      <c r="P18" s="1464"/>
      <c r="Q18" s="1464"/>
      <c r="R18" s="1487">
        <f t="shared" si="0"/>
        <v>0</v>
      </c>
    </row>
    <row r="19" spans="2:18" ht="14.25" x14ac:dyDescent="0.2">
      <c r="B19" s="1002"/>
      <c r="C19" s="744"/>
      <c r="D19" s="744"/>
      <c r="E19" s="744"/>
      <c r="F19" s="744"/>
      <c r="G19" s="744"/>
      <c r="H19" s="1003"/>
      <c r="I19" s="992"/>
      <c r="J19" s="993"/>
      <c r="K19" s="994"/>
      <c r="L19" s="1493"/>
      <c r="M19" s="1489"/>
      <c r="N19" s="1478"/>
      <c r="O19" s="1484"/>
      <c r="P19" s="1484"/>
      <c r="Q19" s="1484"/>
      <c r="R19" s="1487">
        <f t="shared" si="0"/>
        <v>0</v>
      </c>
    </row>
    <row r="20" spans="2:18" ht="14.25" x14ac:dyDescent="0.2">
      <c r="B20" s="1007"/>
      <c r="C20" s="817"/>
      <c r="D20" s="817"/>
      <c r="E20" s="817"/>
      <c r="F20" s="817"/>
      <c r="G20" s="817"/>
      <c r="H20" s="1008"/>
      <c r="I20" s="998"/>
      <c r="J20" s="999"/>
      <c r="K20" s="1000"/>
      <c r="L20" s="1490"/>
      <c r="M20" s="1491"/>
      <c r="N20" s="1479"/>
      <c r="O20" s="1485"/>
      <c r="P20" s="1485"/>
      <c r="Q20" s="1485"/>
      <c r="R20" s="1487">
        <f t="shared" si="0"/>
        <v>0</v>
      </c>
    </row>
    <row r="21" spans="2:18" ht="18.95" customHeight="1" thickBot="1" x14ac:dyDescent="0.3">
      <c r="B21" s="389" t="s">
        <v>886</v>
      </c>
      <c r="C21" s="125"/>
      <c r="D21" s="104"/>
      <c r="E21" s="104"/>
      <c r="F21" s="104"/>
      <c r="G21" s="104"/>
      <c r="H21" s="504" t="s">
        <v>67</v>
      </c>
      <c r="I21" s="386">
        <f>SUM(I8:I20)</f>
        <v>0</v>
      </c>
      <c r="J21" s="386">
        <f>SUM(J8:J20)</f>
        <v>0</v>
      </c>
      <c r="K21" s="387">
        <f>SUM(K8:K20)</f>
        <v>0</v>
      </c>
      <c r="L21" s="1493"/>
      <c r="M21" s="1489"/>
      <c r="N21" s="1478"/>
      <c r="O21" s="1450"/>
      <c r="P21" s="1450"/>
      <c r="Q21" s="1450"/>
      <c r="R21" s="1487">
        <f t="shared" si="0"/>
        <v>0</v>
      </c>
    </row>
    <row r="22" spans="2:18" ht="20.100000000000001" customHeight="1" thickTop="1" x14ac:dyDescent="0.2">
      <c r="B22" s="390" t="s">
        <v>888</v>
      </c>
      <c r="C22" s="391"/>
      <c r="D22" s="392"/>
      <c r="E22" s="392"/>
      <c r="F22" s="392"/>
      <c r="G22" s="392"/>
      <c r="H22" s="392"/>
      <c r="I22" s="393"/>
      <c r="J22" s="394"/>
      <c r="K22" s="395"/>
      <c r="L22" s="1482" t="s">
        <v>243</v>
      </c>
      <c r="M22" s="474"/>
      <c r="N22" s="465" t="s">
        <v>6189</v>
      </c>
      <c r="O22" s="1450"/>
      <c r="P22" s="1450"/>
      <c r="Q22" s="1450"/>
      <c r="R22" s="1487">
        <f t="shared" si="0"/>
        <v>0</v>
      </c>
    </row>
    <row r="23" spans="2:18" ht="21" customHeight="1" x14ac:dyDescent="0.2">
      <c r="B23" s="396" t="s">
        <v>889</v>
      </c>
      <c r="C23" s="227"/>
      <c r="D23" s="249"/>
      <c r="E23" s="126"/>
      <c r="F23" s="126"/>
      <c r="G23" s="126"/>
      <c r="H23" s="126"/>
      <c r="I23" s="397"/>
      <c r="J23" s="1799"/>
      <c r="K23" s="1800"/>
      <c r="L23" s="1482" t="s">
        <v>318</v>
      </c>
      <c r="M23" s="474"/>
      <c r="N23" s="464"/>
      <c r="O23" s="1477" t="s">
        <v>879</v>
      </c>
      <c r="P23" s="1477" t="s">
        <v>879</v>
      </c>
      <c r="Q23" s="1477" t="s">
        <v>879</v>
      </c>
      <c r="R23" s="1477" t="s">
        <v>879</v>
      </c>
    </row>
    <row r="24" spans="2:18" ht="12.75" customHeight="1" x14ac:dyDescent="0.2">
      <c r="B24" s="396"/>
      <c r="C24" s="227"/>
      <c r="D24" s="249"/>
      <c r="E24" s="126"/>
      <c r="F24" s="126"/>
      <c r="G24" s="126"/>
      <c r="H24" s="126"/>
      <c r="I24" s="397"/>
      <c r="J24" s="1819" t="s">
        <v>890</v>
      </c>
      <c r="K24" s="1820"/>
      <c r="L24" s="477"/>
      <c r="M24" s="476"/>
      <c r="N24" s="466"/>
      <c r="O24" s="1494"/>
      <c r="P24" s="1494"/>
      <c r="Q24" s="1494"/>
      <c r="R24" s="1807" t="s">
        <v>879</v>
      </c>
    </row>
    <row r="25" spans="2:18" ht="12.75" customHeight="1" x14ac:dyDescent="0.2">
      <c r="B25" s="398"/>
      <c r="C25" s="227" t="s">
        <v>891</v>
      </c>
      <c r="D25" s="227"/>
      <c r="E25" s="126"/>
      <c r="F25" s="126"/>
      <c r="G25" s="126"/>
      <c r="H25" s="126"/>
      <c r="I25" s="399" t="s">
        <v>892</v>
      </c>
      <c r="J25" s="1835"/>
      <c r="K25" s="1836"/>
      <c r="L25" s="479"/>
      <c r="M25" s="1480" t="s">
        <v>254</v>
      </c>
      <c r="N25" s="464" t="s">
        <v>6190</v>
      </c>
      <c r="O25" s="1485"/>
      <c r="P25" s="1485"/>
      <c r="Q25" s="1485"/>
      <c r="R25" s="1794"/>
    </row>
    <row r="26" spans="2:18" ht="12.75" customHeight="1" x14ac:dyDescent="0.2">
      <c r="B26" s="398"/>
      <c r="C26" s="249"/>
      <c r="D26" s="249"/>
      <c r="E26" s="126"/>
      <c r="F26" s="126"/>
      <c r="G26" s="126"/>
      <c r="H26" s="126"/>
      <c r="I26" s="397"/>
      <c r="J26" s="164"/>
      <c r="K26" s="400"/>
      <c r="L26" s="480"/>
      <c r="M26" s="1481" t="s">
        <v>893</v>
      </c>
      <c r="N26" s="466"/>
      <c r="O26" s="1494"/>
      <c r="P26" s="1494"/>
      <c r="Q26" s="1494"/>
      <c r="R26" s="1807" t="s">
        <v>879</v>
      </c>
    </row>
    <row r="27" spans="2:18" ht="12.75" customHeight="1" x14ac:dyDescent="0.2">
      <c r="B27" s="398"/>
      <c r="C27" s="227" t="s">
        <v>894</v>
      </c>
      <c r="D27" s="227"/>
      <c r="E27" s="126"/>
      <c r="F27" s="126"/>
      <c r="G27" s="126"/>
      <c r="H27" s="126"/>
      <c r="I27" s="399" t="s">
        <v>892</v>
      </c>
      <c r="J27" s="1803"/>
      <c r="K27" s="1804"/>
      <c r="L27" s="479"/>
      <c r="M27" s="1480" t="s">
        <v>895</v>
      </c>
      <c r="N27" s="464" t="s">
        <v>6191</v>
      </c>
      <c r="O27" s="1485"/>
      <c r="P27" s="1485"/>
      <c r="Q27" s="1485"/>
      <c r="R27" s="1794"/>
    </row>
    <row r="28" spans="2:18" ht="12.75" customHeight="1" x14ac:dyDescent="0.2">
      <c r="B28" s="398"/>
      <c r="C28" s="227" t="s">
        <v>896</v>
      </c>
      <c r="D28" s="227"/>
      <c r="E28" s="126"/>
      <c r="F28" s="126"/>
      <c r="G28" s="126"/>
      <c r="H28" s="126"/>
      <c r="I28" s="399" t="s">
        <v>892</v>
      </c>
      <c r="J28" s="1809"/>
      <c r="K28" s="1810"/>
      <c r="L28" s="480"/>
      <c r="M28" s="1481"/>
      <c r="N28" s="466"/>
      <c r="O28" s="1494"/>
      <c r="P28" s="1494"/>
      <c r="Q28" s="1494"/>
      <c r="R28" s="1807" t="s">
        <v>879</v>
      </c>
    </row>
    <row r="29" spans="2:18" ht="12.75" customHeight="1" x14ac:dyDescent="0.2">
      <c r="B29" s="398"/>
      <c r="C29" s="227"/>
      <c r="D29" s="227"/>
      <c r="E29" s="126"/>
      <c r="F29" s="126"/>
      <c r="G29" s="126"/>
      <c r="H29" s="126"/>
      <c r="I29" s="399"/>
      <c r="J29" s="1821"/>
      <c r="K29" s="1822"/>
      <c r="L29" s="479"/>
      <c r="M29" s="1480" t="s">
        <v>256</v>
      </c>
      <c r="N29" s="464" t="s">
        <v>6192</v>
      </c>
      <c r="O29" s="1485"/>
      <c r="P29" s="1485"/>
      <c r="Q29" s="1485"/>
      <c r="R29" s="1794"/>
    </row>
    <row r="30" spans="2:18" ht="12.75" customHeight="1" x14ac:dyDescent="0.2">
      <c r="B30" s="398"/>
      <c r="C30" s="249"/>
      <c r="D30" s="249"/>
      <c r="E30" s="126"/>
      <c r="F30" s="126"/>
      <c r="G30" s="126"/>
      <c r="H30" s="126"/>
      <c r="I30" s="397"/>
      <c r="J30" s="1440"/>
      <c r="K30" s="1441"/>
      <c r="L30" s="480"/>
      <c r="M30" s="1481"/>
      <c r="N30" s="466"/>
      <c r="O30" s="1494"/>
      <c r="P30" s="1494"/>
      <c r="Q30" s="1494"/>
      <c r="R30" s="1807" t="s">
        <v>879</v>
      </c>
    </row>
    <row r="31" spans="2:18" ht="12.75" customHeight="1" x14ac:dyDescent="0.2">
      <c r="B31" s="398"/>
      <c r="C31" s="227"/>
      <c r="D31" s="227"/>
      <c r="E31" s="126"/>
      <c r="F31" s="126"/>
      <c r="G31" s="126"/>
      <c r="H31" s="126"/>
      <c r="I31" s="397"/>
      <c r="J31" s="1825"/>
      <c r="K31" s="1826"/>
      <c r="L31" s="479"/>
      <c r="M31" s="1480" t="s">
        <v>257</v>
      </c>
      <c r="N31" s="464" t="s">
        <v>6193</v>
      </c>
      <c r="O31" s="1485"/>
      <c r="P31" s="1485"/>
      <c r="Q31" s="1485"/>
      <c r="R31" s="1794"/>
    </row>
    <row r="32" spans="2:18" ht="20.100000000000001" customHeight="1" x14ac:dyDescent="0.2">
      <c r="B32" s="398"/>
      <c r="C32" s="49"/>
      <c r="D32" s="49"/>
      <c r="E32" s="126"/>
      <c r="F32" s="126"/>
      <c r="G32" s="126"/>
      <c r="H32" s="126"/>
      <c r="I32" s="397"/>
      <c r="J32" s="1440"/>
      <c r="K32" s="1441"/>
      <c r="L32" s="1482" t="s">
        <v>899</v>
      </c>
      <c r="M32" s="474"/>
      <c r="N32" s="465" t="s">
        <v>6194</v>
      </c>
      <c r="O32" s="1450"/>
      <c r="P32" s="1450"/>
      <c r="Q32" s="1450"/>
      <c r="R32" s="1487">
        <f>IF(+P32-Q32&gt;=0,P32-Q32,"*")</f>
        <v>0</v>
      </c>
    </row>
    <row r="33" spans="2:18" ht="12.75" customHeight="1" x14ac:dyDescent="0.2">
      <c r="B33" s="398"/>
      <c r="C33" s="402"/>
      <c r="D33" s="402"/>
      <c r="E33" s="126"/>
      <c r="F33" s="126"/>
      <c r="G33" s="126"/>
      <c r="H33" s="126"/>
      <c r="I33" s="397"/>
      <c r="J33" s="1827"/>
      <c r="K33" s="1828"/>
      <c r="L33" s="1831" t="s">
        <v>900</v>
      </c>
      <c r="M33" s="1832"/>
      <c r="N33" s="467"/>
      <c r="O33" s="1829">
        <f>SUM(O9:O32)</f>
        <v>0</v>
      </c>
      <c r="P33" s="1829">
        <f>SUM(P9:P32)</f>
        <v>0</v>
      </c>
      <c r="Q33" s="1829">
        <f>SUM(Q9:Q32)</f>
        <v>0</v>
      </c>
      <c r="R33" s="1829">
        <f>SUM(R9:R32)</f>
        <v>0</v>
      </c>
    </row>
    <row r="34" spans="2:18" ht="12.75" customHeight="1" thickBot="1" x14ac:dyDescent="0.25">
      <c r="B34" s="403"/>
      <c r="C34" s="404"/>
      <c r="D34" s="404"/>
      <c r="E34" s="404"/>
      <c r="F34" s="404"/>
      <c r="G34" s="404"/>
      <c r="H34" s="404"/>
      <c r="I34" s="405"/>
      <c r="J34" s="1823"/>
      <c r="K34" s="1824"/>
      <c r="L34" s="1833"/>
      <c r="M34" s="1834"/>
      <c r="N34" s="1495" t="s">
        <v>6195</v>
      </c>
      <c r="O34" s="1830"/>
      <c r="P34" s="1830"/>
      <c r="Q34" s="1830"/>
      <c r="R34" s="1830"/>
    </row>
    <row r="35" spans="2:18" ht="15.75" customHeight="1" thickTop="1" x14ac:dyDescent="0.25">
      <c r="B35" s="1617" t="s">
        <v>901</v>
      </c>
      <c r="C35" s="1617"/>
      <c r="D35" s="1617"/>
      <c r="E35" s="1617"/>
      <c r="F35" s="1617"/>
      <c r="G35" s="1617"/>
      <c r="H35" s="1617"/>
      <c r="I35" s="1617"/>
      <c r="J35" s="1617"/>
      <c r="K35" s="1617"/>
      <c r="L35" s="1617"/>
      <c r="M35" s="1617"/>
      <c r="N35" s="1617"/>
      <c r="O35" s="1617"/>
      <c r="P35" s="1617"/>
      <c r="Q35" s="1617"/>
      <c r="R35" s="1617"/>
    </row>
    <row r="38" spans="2:18" x14ac:dyDescent="0.2">
      <c r="J38" s="29"/>
    </row>
  </sheetData>
  <mergeCells count="29">
    <mergeCell ref="C2:I2"/>
    <mergeCell ref="O4:P4"/>
    <mergeCell ref="Q4:R4"/>
    <mergeCell ref="I5:J5"/>
    <mergeCell ref="L7:M8"/>
    <mergeCell ref="N7:N8"/>
    <mergeCell ref="O7:O8"/>
    <mergeCell ref="P7:P8"/>
    <mergeCell ref="Q7:Q8"/>
    <mergeCell ref="R7:R8"/>
    <mergeCell ref="J23:K23"/>
    <mergeCell ref="J24:K24"/>
    <mergeCell ref="R24:R25"/>
    <mergeCell ref="J25:K25"/>
    <mergeCell ref="R26:R27"/>
    <mergeCell ref="J27:K27"/>
    <mergeCell ref="R33:R34"/>
    <mergeCell ref="J34:K34"/>
    <mergeCell ref="B35:R35"/>
    <mergeCell ref="J28:K28"/>
    <mergeCell ref="R28:R29"/>
    <mergeCell ref="J29:K29"/>
    <mergeCell ref="R30:R31"/>
    <mergeCell ref="J31:K31"/>
    <mergeCell ref="J33:K33"/>
    <mergeCell ref="L33:M34"/>
    <mergeCell ref="O33:O34"/>
    <mergeCell ref="P33:P34"/>
    <mergeCell ref="Q33:Q3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2">
        <x14:dataValidation type="list" allowBlank="1" showInputMessage="1" showErrorMessage="1" errorTitle="Invalid Entry" error="This FCOA Code is not authorized for use on this sheet." xr:uid="{00000000-0002-0000-B100-000000000000}">
          <x14:formula1>
            <xm:f>'Other Codes'!$M$2:$M$5</xm:f>
          </x14:formula1>
          <xm:sqref>H9 H11:H12 H14:H20</xm:sqref>
        </x14:dataValidation>
        <x14:dataValidation type="list" allowBlank="1" showInputMessage="1" showErrorMessage="1" errorTitle="Invalid Entry" error="This FCOA Code is not authorized for use on this sheet." xr:uid="{00000000-0002-0000-B100-000001000000}">
          <x14:formula1>
            <xm:f>'Other Codes'!$N$2:$N$3</xm:f>
          </x14:formula1>
          <xm:sqref>N18</xm:sqref>
        </x14:dataValidation>
      </x14:dataValidations>
    </ext>
  </extLs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sheetPr codeName="Sheet165"/>
  <dimension ref="A3:Q40"/>
  <sheetViews>
    <sheetView zoomScaleNormal="100" workbookViewId="0">
      <selection activeCell="E37" sqref="E37"/>
    </sheetView>
  </sheetViews>
  <sheetFormatPr defaultRowHeight="12.75" x14ac:dyDescent="0.2"/>
  <cols>
    <col min="1" max="1" width="7.7109375" style="376" customWidth="1"/>
    <col min="2" max="2" width="6.140625" customWidth="1"/>
    <col min="3" max="3" width="12.140625" customWidth="1"/>
    <col min="8" max="8" width="10.42578125" customWidth="1"/>
    <col min="9" max="10" width="15.140625" customWidth="1"/>
    <col min="12" max="12" width="4.140625" customWidth="1"/>
    <col min="13" max="13" width="7.7109375" customWidth="1"/>
    <col min="14" max="14" width="11.140625" bestFit="1" customWidth="1"/>
  </cols>
  <sheetData>
    <row r="3" spans="1:17" ht="15" x14ac:dyDescent="0.25">
      <c r="B3" s="1683" t="s">
        <v>132</v>
      </c>
      <c r="C3" s="1683"/>
      <c r="D3" s="1683"/>
      <c r="E3" s="1683"/>
      <c r="F3" s="1683"/>
      <c r="G3" s="1683"/>
      <c r="H3" s="1683"/>
      <c r="I3" s="1683"/>
      <c r="J3" s="1683"/>
      <c r="K3" s="1683"/>
      <c r="L3" s="1683"/>
      <c r="M3" s="1683"/>
      <c r="N3" s="1683"/>
      <c r="O3" s="1683"/>
      <c r="P3" s="1683"/>
      <c r="Q3" s="24"/>
    </row>
    <row r="4" spans="1:17" ht="15" x14ac:dyDescent="0.25">
      <c r="B4" s="1683" t="s">
        <v>63</v>
      </c>
      <c r="C4" s="1683"/>
      <c r="D4" s="1683"/>
      <c r="E4" s="1683"/>
      <c r="F4" s="1683"/>
      <c r="G4" s="1683"/>
      <c r="H4" s="1683"/>
      <c r="I4" s="1683"/>
      <c r="J4" s="1683"/>
      <c r="K4" s="1683"/>
      <c r="L4" s="1683"/>
      <c r="M4" s="1683"/>
      <c r="N4" s="1683"/>
      <c r="O4" s="1683"/>
      <c r="P4" s="1683"/>
      <c r="Q4" s="24"/>
    </row>
    <row r="6" spans="1:17" x14ac:dyDescent="0.2">
      <c r="B6" s="311"/>
      <c r="C6" s="311"/>
      <c r="D6" s="311"/>
      <c r="E6" s="311"/>
      <c r="F6" s="311"/>
      <c r="G6" s="311"/>
      <c r="H6" s="311"/>
      <c r="I6" s="311"/>
      <c r="J6" s="311"/>
      <c r="K6" s="311"/>
      <c r="L6" s="311"/>
      <c r="M6" s="311"/>
      <c r="N6" s="311"/>
      <c r="O6" s="311"/>
      <c r="P6" s="311"/>
      <c r="Q6" s="311"/>
    </row>
    <row r="7" spans="1:17" ht="14.25" x14ac:dyDescent="0.2">
      <c r="D7" s="248" t="s">
        <v>133</v>
      </c>
      <c r="E7" s="248"/>
      <c r="F7" s="1607" t="str">
        <f>+'Key Inputs'!E5</f>
        <v>TOWNSHIP OF GREENWICH</v>
      </c>
      <c r="G7" s="1607"/>
      <c r="H7" s="1607"/>
      <c r="K7" s="248" t="s">
        <v>134</v>
      </c>
      <c r="M7" s="1843" t="str">
        <f>"December 31, "&amp;'Key Inputs'!E34-1</f>
        <v>December 31, 2020</v>
      </c>
      <c r="N7" s="1843"/>
      <c r="O7" s="1843"/>
      <c r="P7" s="63"/>
    </row>
    <row r="9" spans="1:17" x14ac:dyDescent="0.2">
      <c r="B9" s="217"/>
      <c r="C9" s="49" t="s">
        <v>135</v>
      </c>
      <c r="E9" s="63"/>
      <c r="F9" s="196"/>
      <c r="G9" s="196"/>
      <c r="H9" s="197"/>
      <c r="I9" s="196"/>
      <c r="J9" s="196"/>
      <c r="K9" s="196"/>
      <c r="L9" s="63"/>
      <c r="M9" s="196"/>
      <c r="N9" s="63"/>
    </row>
    <row r="10" spans="1:17" x14ac:dyDescent="0.2">
      <c r="B10" s="49" t="s">
        <v>64</v>
      </c>
      <c r="C10" s="217"/>
    </row>
    <row r="12" spans="1:17" x14ac:dyDescent="0.2">
      <c r="A12" s="457" t="s">
        <v>30</v>
      </c>
      <c r="B12" s="909"/>
      <c r="C12" s="909"/>
      <c r="D12" s="909"/>
      <c r="E12" s="909"/>
      <c r="F12" s="909"/>
      <c r="G12" s="909"/>
      <c r="H12" s="909"/>
      <c r="I12" s="909"/>
      <c r="J12" s="909"/>
      <c r="K12" s="909"/>
      <c r="L12" s="909"/>
      <c r="M12" s="909"/>
      <c r="N12" s="909"/>
      <c r="O12" s="909"/>
      <c r="P12" s="909"/>
    </row>
    <row r="13" spans="1:17" x14ac:dyDescent="0.2">
      <c r="A13" s="458"/>
      <c r="B13" s="909"/>
      <c r="C13" s="909"/>
      <c r="D13" s="909"/>
      <c r="E13" s="909"/>
      <c r="F13" s="909"/>
      <c r="G13" s="909"/>
      <c r="H13" s="909"/>
      <c r="I13" s="909"/>
      <c r="J13" s="909"/>
      <c r="K13" s="909"/>
      <c r="L13" s="909"/>
      <c r="M13" s="909"/>
      <c r="N13" s="909"/>
      <c r="O13" s="909"/>
      <c r="P13" s="909"/>
    </row>
    <row r="14" spans="1:17" x14ac:dyDescent="0.2">
      <c r="A14" s="458"/>
      <c r="B14" s="909"/>
      <c r="C14" s="909"/>
      <c r="D14" s="909"/>
      <c r="E14" s="909"/>
      <c r="F14" s="909"/>
      <c r="G14" s="909"/>
      <c r="H14" s="909"/>
      <c r="I14" s="909"/>
      <c r="J14" s="909"/>
      <c r="K14" s="909"/>
      <c r="L14" s="909"/>
      <c r="M14" s="909"/>
      <c r="N14" s="909"/>
      <c r="O14" s="909"/>
      <c r="P14" s="909"/>
    </row>
    <row r="15" spans="1:17" x14ac:dyDescent="0.2">
      <c r="A15" s="458"/>
      <c r="B15" s="909"/>
      <c r="C15" s="909"/>
      <c r="D15" s="909"/>
      <c r="E15" s="909"/>
      <c r="F15" s="909"/>
      <c r="G15" s="909"/>
      <c r="H15" s="909"/>
      <c r="I15" s="909"/>
      <c r="J15" s="909"/>
      <c r="K15" s="909"/>
      <c r="L15" s="909"/>
      <c r="M15" s="909"/>
      <c r="N15" s="909"/>
      <c r="O15" s="909"/>
      <c r="P15" s="909"/>
    </row>
    <row r="16" spans="1:17" x14ac:dyDescent="0.2">
      <c r="A16" s="458"/>
      <c r="B16" s="909"/>
      <c r="C16" s="909"/>
      <c r="D16" s="909"/>
      <c r="E16" s="909"/>
      <c r="F16" s="909"/>
      <c r="G16" s="909"/>
      <c r="H16" s="909"/>
      <c r="I16" s="909"/>
      <c r="J16" s="909"/>
      <c r="K16" s="909"/>
      <c r="L16" s="909"/>
      <c r="M16" s="909"/>
      <c r="N16" s="909"/>
      <c r="O16" s="909"/>
      <c r="P16" s="909"/>
    </row>
    <row r="17" spans="1:16" x14ac:dyDescent="0.2">
      <c r="A17" s="458"/>
      <c r="B17" s="909"/>
      <c r="C17" s="909"/>
      <c r="D17" s="909"/>
      <c r="E17" s="909"/>
      <c r="F17" s="909"/>
      <c r="G17" s="909"/>
      <c r="H17" s="909"/>
      <c r="I17" s="909"/>
      <c r="J17" s="909"/>
      <c r="K17" s="909"/>
      <c r="L17" s="909"/>
      <c r="M17" s="909"/>
      <c r="N17" s="909"/>
      <c r="O17" s="909"/>
      <c r="P17" s="909"/>
    </row>
    <row r="18" spans="1:16" x14ac:dyDescent="0.2">
      <c r="A18" s="457" t="s">
        <v>32</v>
      </c>
      <c r="B18" s="909"/>
      <c r="C18" s="909"/>
      <c r="D18" s="1530" t="s">
        <v>6351</v>
      </c>
      <c r="E18" s="909"/>
      <c r="F18" s="909"/>
      <c r="G18" s="909"/>
      <c r="H18" s="909"/>
      <c r="I18" s="909"/>
      <c r="J18" s="909"/>
      <c r="K18" s="909"/>
      <c r="L18" s="909"/>
      <c r="M18" s="909"/>
      <c r="N18" s="909"/>
      <c r="O18" s="909"/>
      <c r="P18" s="909"/>
    </row>
    <row r="19" spans="1:16" x14ac:dyDescent="0.2">
      <c r="A19" s="458"/>
      <c r="B19" s="909"/>
      <c r="C19" s="909"/>
      <c r="D19" s="909"/>
      <c r="E19" s="909"/>
      <c r="F19" s="909"/>
      <c r="G19" s="909"/>
      <c r="H19" s="909"/>
      <c r="I19" s="909"/>
      <c r="J19" s="909"/>
      <c r="K19" s="909"/>
      <c r="L19" s="909"/>
      <c r="M19" s="909"/>
      <c r="N19" s="909"/>
      <c r="O19" s="909"/>
      <c r="P19" s="909"/>
    </row>
    <row r="20" spans="1:16" x14ac:dyDescent="0.2">
      <c r="A20" s="458"/>
      <c r="B20" s="909"/>
      <c r="C20" s="909"/>
      <c r="D20" s="909"/>
      <c r="E20" s="909"/>
      <c r="F20" s="909"/>
      <c r="G20" s="909"/>
      <c r="H20" s="909"/>
      <c r="I20" s="909"/>
      <c r="J20" s="909"/>
      <c r="K20" s="909"/>
      <c r="L20" s="909"/>
      <c r="M20" s="909"/>
      <c r="N20" s="909"/>
      <c r="O20" s="909"/>
      <c r="P20" s="909"/>
    </row>
    <row r="21" spans="1:16" x14ac:dyDescent="0.2">
      <c r="A21" s="458"/>
      <c r="B21" s="909"/>
      <c r="C21" s="909"/>
      <c r="D21" s="909"/>
      <c r="E21" s="909"/>
      <c r="F21" s="909"/>
      <c r="G21" s="909"/>
      <c r="H21" s="909"/>
      <c r="I21" s="909"/>
      <c r="J21" s="909"/>
      <c r="K21" s="909"/>
      <c r="L21" s="909"/>
      <c r="M21" s="909"/>
      <c r="N21" s="909"/>
      <c r="O21" s="909"/>
      <c r="P21" s="909"/>
    </row>
    <row r="22" spans="1:16" x14ac:dyDescent="0.2">
      <c r="A22" s="458"/>
      <c r="B22" s="909"/>
      <c r="C22" s="909"/>
      <c r="D22" s="909"/>
      <c r="E22" s="909"/>
      <c r="F22" s="909"/>
      <c r="G22" s="909"/>
      <c r="H22" s="909"/>
      <c r="I22" s="909"/>
      <c r="J22" s="909"/>
      <c r="K22" s="909"/>
      <c r="L22" s="909"/>
      <c r="M22" s="909"/>
      <c r="N22" s="909"/>
      <c r="O22" s="909"/>
      <c r="P22" s="909"/>
    </row>
    <row r="23" spans="1:16" x14ac:dyDescent="0.2">
      <c r="A23" s="458"/>
      <c r="B23" s="909"/>
      <c r="C23" s="909"/>
      <c r="D23" s="909"/>
      <c r="E23" s="909"/>
      <c r="F23" s="909"/>
      <c r="G23" s="909"/>
      <c r="H23" s="909"/>
      <c r="I23" s="909"/>
      <c r="J23" s="909"/>
      <c r="K23" s="909"/>
      <c r="L23" s="909"/>
      <c r="M23" s="909"/>
      <c r="N23" s="909"/>
      <c r="O23" s="909"/>
      <c r="P23" s="909"/>
    </row>
    <row r="24" spans="1:16" x14ac:dyDescent="0.2">
      <c r="A24" s="457" t="s">
        <v>35</v>
      </c>
      <c r="B24" s="909"/>
      <c r="C24" s="909"/>
      <c r="D24" s="909"/>
      <c r="E24" s="909"/>
      <c r="F24" s="909"/>
      <c r="G24" s="909"/>
      <c r="H24" s="909"/>
      <c r="I24" s="909"/>
      <c r="J24" s="909"/>
      <c r="K24" s="909"/>
      <c r="L24" s="909"/>
      <c r="M24" s="909"/>
      <c r="N24" s="909"/>
      <c r="O24" s="909"/>
      <c r="P24" s="909"/>
    </row>
    <row r="25" spans="1:16" x14ac:dyDescent="0.2">
      <c r="A25" s="458"/>
      <c r="B25" s="909"/>
      <c r="C25" s="909"/>
      <c r="D25" s="909"/>
      <c r="E25" s="909"/>
      <c r="F25" s="909"/>
      <c r="G25" s="909"/>
      <c r="H25" s="909"/>
      <c r="I25" s="909"/>
      <c r="J25" s="909"/>
      <c r="K25" s="909"/>
      <c r="L25" s="909"/>
      <c r="M25" s="909"/>
      <c r="N25" s="909"/>
      <c r="O25" s="909"/>
      <c r="P25" s="909"/>
    </row>
    <row r="26" spans="1:16" x14ac:dyDescent="0.2">
      <c r="A26" s="458"/>
      <c r="B26" s="909"/>
      <c r="C26" s="909"/>
      <c r="D26" s="909"/>
      <c r="E26" s="909"/>
      <c r="F26" s="909"/>
      <c r="G26" s="909"/>
      <c r="H26" s="909"/>
      <c r="I26" s="909"/>
      <c r="J26" s="909"/>
      <c r="K26" s="909"/>
      <c r="L26" s="909"/>
      <c r="M26" s="909"/>
      <c r="N26" s="909"/>
      <c r="O26" s="909"/>
      <c r="P26" s="909"/>
    </row>
    <row r="27" spans="1:16" x14ac:dyDescent="0.2">
      <c r="A27" s="458"/>
      <c r="B27" s="909"/>
      <c r="C27" s="909"/>
      <c r="D27" s="909"/>
      <c r="E27" s="909"/>
      <c r="F27" s="909"/>
      <c r="G27" s="909"/>
      <c r="H27" s="909"/>
      <c r="I27" s="909"/>
      <c r="J27" s="909"/>
      <c r="K27" s="909"/>
      <c r="L27" s="909"/>
      <c r="M27" s="909"/>
      <c r="N27" s="909"/>
      <c r="O27" s="909"/>
      <c r="P27" s="909"/>
    </row>
    <row r="28" spans="1:16" x14ac:dyDescent="0.2">
      <c r="A28" s="458"/>
      <c r="B28" s="909"/>
      <c r="C28" s="909"/>
      <c r="D28" s="909"/>
      <c r="E28" s="909"/>
      <c r="F28" s="909"/>
      <c r="G28" s="909"/>
      <c r="H28" s="909"/>
      <c r="I28" s="909"/>
      <c r="J28" s="909"/>
      <c r="K28" s="909"/>
      <c r="L28" s="909"/>
      <c r="M28" s="909"/>
      <c r="N28" s="909"/>
      <c r="O28" s="909"/>
      <c r="P28" s="909"/>
    </row>
    <row r="29" spans="1:16" x14ac:dyDescent="0.2">
      <c r="A29" s="458"/>
      <c r="B29" s="909"/>
      <c r="C29" s="909"/>
      <c r="D29" s="909"/>
      <c r="E29" s="909"/>
      <c r="F29" s="909"/>
      <c r="G29" s="909"/>
      <c r="H29" s="909"/>
      <c r="I29" s="909"/>
      <c r="J29" s="909"/>
      <c r="K29" s="909"/>
      <c r="L29" s="909"/>
      <c r="M29" s="909"/>
      <c r="N29" s="909"/>
      <c r="O29" s="909"/>
      <c r="P29" s="909"/>
    </row>
    <row r="30" spans="1:16" x14ac:dyDescent="0.2">
      <c r="A30" s="457" t="s">
        <v>174</v>
      </c>
      <c r="B30" s="909"/>
      <c r="C30" s="909"/>
      <c r="D30" s="909"/>
      <c r="E30" s="909"/>
      <c r="F30" s="909"/>
      <c r="G30" s="909"/>
      <c r="H30" s="909"/>
      <c r="I30" s="909"/>
      <c r="J30" s="909"/>
      <c r="K30" s="909"/>
      <c r="L30" s="909"/>
      <c r="M30" s="909"/>
      <c r="N30" s="909"/>
      <c r="O30" s="909"/>
      <c r="P30" s="909"/>
    </row>
    <row r="31" spans="1:16" x14ac:dyDescent="0.2">
      <c r="B31" s="909"/>
      <c r="C31" s="909"/>
      <c r="D31" s="909"/>
      <c r="E31" s="909"/>
      <c r="F31" s="909"/>
      <c r="G31" s="909"/>
      <c r="H31" s="909"/>
      <c r="I31" s="909"/>
      <c r="J31" s="909"/>
      <c r="K31" s="909"/>
      <c r="L31" s="909"/>
      <c r="M31" s="909"/>
      <c r="N31" s="909"/>
      <c r="O31" s="909"/>
      <c r="P31" s="909"/>
    </row>
    <row r="32" spans="1:16" x14ac:dyDescent="0.2">
      <c r="B32" s="909"/>
      <c r="C32" s="909"/>
      <c r="D32" s="909"/>
      <c r="E32" s="909"/>
      <c r="F32" s="909"/>
      <c r="G32" s="909"/>
      <c r="H32" s="909"/>
      <c r="I32" s="909"/>
      <c r="J32" s="909"/>
      <c r="K32" s="909"/>
      <c r="L32" s="909"/>
      <c r="M32" s="909"/>
      <c r="N32" s="909"/>
      <c r="O32" s="909"/>
      <c r="P32" s="909"/>
    </row>
    <row r="33" spans="2:17" x14ac:dyDescent="0.2">
      <c r="C33" t="s">
        <v>136</v>
      </c>
    </row>
    <row r="34" spans="2:17" x14ac:dyDescent="0.2">
      <c r="B34" t="s">
        <v>142</v>
      </c>
    </row>
    <row r="35" spans="2:17" x14ac:dyDescent="0.2">
      <c r="C35" t="s">
        <v>137</v>
      </c>
      <c r="L35" s="631"/>
      <c r="M35" t="s">
        <v>138</v>
      </c>
    </row>
    <row r="37" spans="2:17" x14ac:dyDescent="0.2">
      <c r="D37" s="819"/>
      <c r="E37" s="1528">
        <v>44285</v>
      </c>
      <c r="F37" s="819"/>
      <c r="J37" s="63"/>
      <c r="K37" s="819"/>
      <c r="L37" s="819"/>
      <c r="M37" s="819"/>
      <c r="N37" s="819"/>
    </row>
    <row r="38" spans="2:17" ht="14.25" x14ac:dyDescent="0.2">
      <c r="D38" s="1691" t="s">
        <v>139</v>
      </c>
      <c r="E38" s="1691"/>
      <c r="F38" s="1691"/>
      <c r="K38" s="1691" t="s">
        <v>140</v>
      </c>
      <c r="L38" s="1691"/>
      <c r="M38" s="1691"/>
      <c r="N38" s="1691"/>
    </row>
    <row r="40" spans="2:17" ht="15.75" x14ac:dyDescent="0.25">
      <c r="B40" s="1617" t="s">
        <v>6245</v>
      </c>
      <c r="C40" s="1617"/>
      <c r="D40" s="1617"/>
      <c r="E40" s="1617"/>
      <c r="F40" s="1617"/>
      <c r="G40" s="1617"/>
      <c r="H40" s="1617"/>
      <c r="I40" s="1617"/>
      <c r="J40" s="1617"/>
      <c r="K40" s="1617"/>
      <c r="L40" s="1617"/>
      <c r="M40" s="1617"/>
      <c r="N40" s="1617"/>
      <c r="O40" s="1617"/>
      <c r="P40" s="1617"/>
      <c r="Q40" s="375"/>
    </row>
  </sheetData>
  <sheetProtection algorithmName="SHA-512" hashValue="zOKP2rpp6iT9Bbob+/g2hJ+XcmDi+Uuio9CXjbFiOIkXCZ8UnKEHOmItBoJEC7RyuwZw5c3r7Tl77clt10kgSw==" saltValue="7norWgO4wJ8CiPCIwvuxuQ==" spinCount="100000" sheet="1" objects="1" scenarios="1"/>
  <mergeCells count="7">
    <mergeCell ref="B3:P3"/>
    <mergeCell ref="B4:P4"/>
    <mergeCell ref="B40:P40"/>
    <mergeCell ref="F7:H7"/>
    <mergeCell ref="M7:O7"/>
    <mergeCell ref="K38:N38"/>
    <mergeCell ref="D38:F38"/>
  </mergeCells>
  <phoneticPr fontId="0" type="noConversion"/>
  <pageMargins left="0.25" right="0.3" top="0.25" bottom="0.75" header="0.25" footer="0.25"/>
  <pageSetup paperSize="5"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24" r:id="rId4" name="Check Box 4">
              <controlPr defaultSize="0" autoFill="0" autoLine="0" autoPict="0">
                <anchor moveWithCells="1">
                  <from>
                    <xdr:col>11</xdr:col>
                    <xdr:colOff>28575</xdr:colOff>
                    <xdr:row>33</xdr:row>
                    <xdr:rowOff>123825</xdr:rowOff>
                  </from>
                  <to>
                    <xdr:col>12</xdr:col>
                    <xdr:colOff>228600</xdr:colOff>
                    <xdr:row>35</xdr:row>
                    <xdr:rowOff>38100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dimension ref="B3:R43"/>
  <sheetViews>
    <sheetView zoomScaleNormal="100" workbookViewId="0"/>
  </sheetViews>
  <sheetFormatPr defaultRowHeight="12.75" x14ac:dyDescent="0.2"/>
  <cols>
    <col min="1" max="1" width="14.7109375" customWidth="1"/>
    <col min="8" max="8" width="3.42578125" customWidth="1"/>
    <col min="12" max="12" width="12.28515625" customWidth="1"/>
    <col min="13" max="13" width="14.7109375" customWidth="1"/>
  </cols>
  <sheetData>
    <row r="3" spans="2:18" ht="15" x14ac:dyDescent="0.25">
      <c r="B3" s="1683" t="s">
        <v>12</v>
      </c>
      <c r="C3" s="1683"/>
      <c r="D3" s="1683"/>
      <c r="E3" s="1683"/>
      <c r="F3" s="1683"/>
      <c r="G3" s="1683"/>
      <c r="H3" s="1683"/>
      <c r="I3" s="1683"/>
      <c r="J3" s="1683"/>
      <c r="K3" s="1683"/>
      <c r="L3" s="1683"/>
      <c r="M3" s="1683"/>
      <c r="N3" s="1683"/>
      <c r="O3" s="1683"/>
      <c r="P3" s="1683"/>
      <c r="Q3" s="1683"/>
    </row>
    <row r="6" spans="2:18" x14ac:dyDescent="0.2">
      <c r="B6" s="1647" t="s">
        <v>14</v>
      </c>
      <c r="C6" s="1647"/>
      <c r="D6" s="1647"/>
      <c r="E6" s="1647"/>
      <c r="F6" s="1647"/>
      <c r="G6" s="1647"/>
      <c r="H6" s="1647"/>
      <c r="I6" s="1647"/>
      <c r="J6" s="1647"/>
      <c r="K6" s="1647"/>
      <c r="L6" s="1647"/>
      <c r="M6" s="1647"/>
      <c r="N6" s="1647"/>
      <c r="O6" s="1647"/>
      <c r="P6" s="1647"/>
      <c r="Q6" s="1647"/>
    </row>
    <row r="9" spans="2:18" x14ac:dyDescent="0.2">
      <c r="F9" s="1607" t="str">
        <f>+'Key Inputs'!E8</f>
        <v>TOWNSHIP</v>
      </c>
      <c r="G9" s="1607"/>
      <c r="H9" s="235" t="s">
        <v>417</v>
      </c>
      <c r="I9" s="1607" t="str">
        <f>+'Key Inputs'!E7</f>
        <v>GREENWICH</v>
      </c>
      <c r="J9" s="1607"/>
      <c r="K9" s="1607"/>
      <c r="L9" s="217" t="s">
        <v>611</v>
      </c>
      <c r="M9" s="262" t="str">
        <f>+'Key Inputs'!E6</f>
        <v>CUMBERLAND</v>
      </c>
    </row>
    <row r="10" spans="2:18" ht="13.5" thickBot="1" x14ac:dyDescent="0.25"/>
    <row r="11" spans="2:18" x14ac:dyDescent="0.2">
      <c r="B11" s="822"/>
      <c r="C11" s="823"/>
      <c r="D11" s="823"/>
      <c r="E11" s="823"/>
      <c r="F11" s="823"/>
      <c r="G11" s="823"/>
      <c r="H11" s="823"/>
      <c r="I11" s="823"/>
      <c r="J11" s="823"/>
      <c r="K11" s="823"/>
      <c r="L11" s="823"/>
      <c r="M11" s="823"/>
      <c r="N11" s="823"/>
      <c r="O11" s="823"/>
      <c r="P11" s="823"/>
      <c r="Q11" s="824"/>
      <c r="R11" s="251"/>
    </row>
    <row r="12" spans="2:18" x14ac:dyDescent="0.2">
      <c r="B12" s="825"/>
      <c r="C12" s="791"/>
      <c r="D12" s="791"/>
      <c r="E12" s="791"/>
      <c r="F12" s="791"/>
      <c r="G12" s="791"/>
      <c r="H12" s="791"/>
      <c r="I12" s="791"/>
      <c r="J12" s="791"/>
      <c r="K12" s="791"/>
      <c r="L12" s="791"/>
      <c r="M12" s="791"/>
      <c r="N12" s="791"/>
      <c r="O12" s="791"/>
      <c r="P12" s="791"/>
      <c r="Q12" s="796"/>
      <c r="R12" s="251"/>
    </row>
    <row r="13" spans="2:18" x14ac:dyDescent="0.2">
      <c r="B13" s="825"/>
      <c r="C13" s="791"/>
      <c r="D13" s="791"/>
      <c r="E13" s="791"/>
      <c r="F13" s="791"/>
      <c r="G13" s="791"/>
      <c r="H13" s="791"/>
      <c r="I13" s="791"/>
      <c r="J13" s="791"/>
      <c r="K13" s="791"/>
      <c r="L13" s="791"/>
      <c r="M13" s="791"/>
      <c r="N13" s="791"/>
      <c r="O13" s="791"/>
      <c r="P13" s="791"/>
      <c r="Q13" s="796"/>
      <c r="R13" s="251"/>
    </row>
    <row r="14" spans="2:18" x14ac:dyDescent="0.2">
      <c r="B14" s="825"/>
      <c r="C14" s="791"/>
      <c r="D14" s="791"/>
      <c r="E14" s="791"/>
      <c r="F14" s="791"/>
      <c r="G14" s="791"/>
      <c r="H14" s="791"/>
      <c r="I14" s="791"/>
      <c r="J14" s="791"/>
      <c r="K14" s="791"/>
      <c r="L14" s="791"/>
      <c r="M14" s="791"/>
      <c r="N14" s="791"/>
      <c r="O14" s="791"/>
      <c r="P14" s="791"/>
      <c r="Q14" s="796"/>
      <c r="R14" s="251"/>
    </row>
    <row r="15" spans="2:18" x14ac:dyDescent="0.2">
      <c r="B15" s="825"/>
      <c r="C15" s="791"/>
      <c r="D15" s="791"/>
      <c r="E15" s="791"/>
      <c r="F15" s="791"/>
      <c r="G15" s="791"/>
      <c r="H15" s="791"/>
      <c r="I15" s="791"/>
      <c r="J15" s="791"/>
      <c r="K15" s="791"/>
      <c r="L15" s="791"/>
      <c r="M15" s="791"/>
      <c r="N15" s="791"/>
      <c r="O15" s="791"/>
      <c r="P15" s="791"/>
      <c r="Q15" s="796"/>
      <c r="R15" s="251"/>
    </row>
    <row r="16" spans="2:18" x14ac:dyDescent="0.2">
      <c r="B16" s="825"/>
      <c r="C16" s="791"/>
      <c r="D16" s="791"/>
      <c r="E16" s="791"/>
      <c r="F16" s="791"/>
      <c r="G16" s="791"/>
      <c r="H16" s="791"/>
      <c r="I16" s="791"/>
      <c r="J16" s="791"/>
      <c r="K16" s="791"/>
      <c r="L16" s="791"/>
      <c r="M16" s="791"/>
      <c r="N16" s="791"/>
      <c r="O16" s="791"/>
      <c r="P16" s="791"/>
      <c r="Q16" s="796"/>
      <c r="R16" s="251"/>
    </row>
    <row r="17" spans="2:18" x14ac:dyDescent="0.2">
      <c r="B17" s="825"/>
      <c r="C17" s="791"/>
      <c r="D17" s="791"/>
      <c r="E17" s="791"/>
      <c r="F17" s="791"/>
      <c r="G17" s="791"/>
      <c r="H17" s="791"/>
      <c r="I17" s="791"/>
      <c r="J17" s="791"/>
      <c r="K17" s="791"/>
      <c r="L17" s="791"/>
      <c r="M17" s="791"/>
      <c r="N17" s="791"/>
      <c r="O17" s="791"/>
      <c r="P17" s="791"/>
      <c r="Q17" s="796"/>
      <c r="R17" s="251"/>
    </row>
    <row r="18" spans="2:18" x14ac:dyDescent="0.2">
      <c r="B18" s="825"/>
      <c r="C18" s="791"/>
      <c r="D18" s="791"/>
      <c r="E18" s="791"/>
      <c r="F18" s="791"/>
      <c r="G18" s="791"/>
      <c r="H18" s="791"/>
      <c r="I18" s="791"/>
      <c r="J18" s="791"/>
      <c r="K18" s="791"/>
      <c r="L18" s="791"/>
      <c r="M18" s="791"/>
      <c r="N18" s="791"/>
      <c r="O18" s="791"/>
      <c r="P18" s="791"/>
      <c r="Q18" s="796"/>
      <c r="R18" s="251"/>
    </row>
    <row r="19" spans="2:18" x14ac:dyDescent="0.2">
      <c r="B19" s="825"/>
      <c r="C19" s="791"/>
      <c r="D19" s="791"/>
      <c r="E19" s="791"/>
      <c r="F19" s="791"/>
      <c r="G19" s="791"/>
      <c r="H19" s="791"/>
      <c r="I19" s="791"/>
      <c r="J19" s="791"/>
      <c r="K19" s="791"/>
      <c r="L19" s="791"/>
      <c r="M19" s="791"/>
      <c r="N19" s="791"/>
      <c r="O19" s="791"/>
      <c r="P19" s="791"/>
      <c r="Q19" s="796"/>
      <c r="R19" s="251"/>
    </row>
    <row r="20" spans="2:18" x14ac:dyDescent="0.2">
      <c r="B20" s="825"/>
      <c r="C20" s="791"/>
      <c r="D20" s="791"/>
      <c r="E20" s="791"/>
      <c r="F20" s="791"/>
      <c r="G20" s="791"/>
      <c r="H20" s="791"/>
      <c r="I20" s="791"/>
      <c r="J20" s="791"/>
      <c r="K20" s="791"/>
      <c r="L20" s="791"/>
      <c r="M20" s="791"/>
      <c r="N20" s="791"/>
      <c r="O20" s="791"/>
      <c r="P20" s="791"/>
      <c r="Q20" s="796"/>
      <c r="R20" s="251"/>
    </row>
    <row r="21" spans="2:18" x14ac:dyDescent="0.2">
      <c r="B21" s="825"/>
      <c r="C21" s="791"/>
      <c r="D21" s="791"/>
      <c r="E21" s="791"/>
      <c r="F21" s="791"/>
      <c r="G21" s="791"/>
      <c r="H21" s="791"/>
      <c r="I21" s="791"/>
      <c r="J21" s="791"/>
      <c r="K21" s="791"/>
      <c r="L21" s="791"/>
      <c r="M21" s="791"/>
      <c r="N21" s="791"/>
      <c r="O21" s="791"/>
      <c r="P21" s="791"/>
      <c r="Q21" s="796"/>
      <c r="R21" s="251"/>
    </row>
    <row r="22" spans="2:18" x14ac:dyDescent="0.2">
      <c r="B22" s="825"/>
      <c r="C22" s="791"/>
      <c r="D22" s="791"/>
      <c r="E22" s="791"/>
      <c r="F22" s="791"/>
      <c r="G22" s="791"/>
      <c r="H22" s="791"/>
      <c r="I22" s="791"/>
      <c r="J22" s="791"/>
      <c r="K22" s="791"/>
      <c r="L22" s="791"/>
      <c r="M22" s="791"/>
      <c r="N22" s="791"/>
      <c r="O22" s="791"/>
      <c r="P22" s="791"/>
      <c r="Q22" s="796"/>
      <c r="R22" s="251"/>
    </row>
    <row r="23" spans="2:18" x14ac:dyDescent="0.2">
      <c r="B23" s="825"/>
      <c r="C23" s="791"/>
      <c r="D23" s="791"/>
      <c r="E23" s="791"/>
      <c r="F23" s="791"/>
      <c r="G23" s="791"/>
      <c r="H23" s="791"/>
      <c r="I23" s="791"/>
      <c r="J23" s="791"/>
      <c r="K23" s="791"/>
      <c r="L23" s="791"/>
      <c r="M23" s="791"/>
      <c r="N23" s="791"/>
      <c r="O23" s="791"/>
      <c r="P23" s="791"/>
      <c r="Q23" s="796"/>
      <c r="R23" s="251"/>
    </row>
    <row r="24" spans="2:18" x14ac:dyDescent="0.2">
      <c r="B24" s="825"/>
      <c r="C24" s="791"/>
      <c r="D24" s="791"/>
      <c r="E24" s="791"/>
      <c r="F24" s="791"/>
      <c r="G24" s="791"/>
      <c r="H24" s="791"/>
      <c r="I24" s="791"/>
      <c r="J24" s="791"/>
      <c r="K24" s="791"/>
      <c r="L24" s="791"/>
      <c r="M24" s="791"/>
      <c r="N24" s="791"/>
      <c r="O24" s="791"/>
      <c r="P24" s="791"/>
      <c r="Q24" s="796"/>
      <c r="R24" s="251"/>
    </row>
    <row r="25" spans="2:18" x14ac:dyDescent="0.2">
      <c r="B25" s="825"/>
      <c r="C25" s="791"/>
      <c r="D25" s="791"/>
      <c r="E25" s="791"/>
      <c r="F25" s="791"/>
      <c r="G25" s="791"/>
      <c r="H25" s="791"/>
      <c r="I25" s="791"/>
      <c r="J25" s="791"/>
      <c r="K25" s="791"/>
      <c r="L25" s="791"/>
      <c r="M25" s="791"/>
      <c r="N25" s="791"/>
      <c r="O25" s="791"/>
      <c r="P25" s="791"/>
      <c r="Q25" s="796"/>
      <c r="R25" s="251"/>
    </row>
    <row r="26" spans="2:18" x14ac:dyDescent="0.2">
      <c r="B26" s="825"/>
      <c r="C26" s="791"/>
      <c r="D26" s="791"/>
      <c r="E26" s="791"/>
      <c r="F26" s="791"/>
      <c r="G26" s="791"/>
      <c r="H26" s="791"/>
      <c r="I26" s="791"/>
      <c r="J26" s="791"/>
      <c r="K26" s="791"/>
      <c r="L26" s="791"/>
      <c r="M26" s="791"/>
      <c r="N26" s="791"/>
      <c r="O26" s="791"/>
      <c r="P26" s="791"/>
      <c r="Q26" s="796"/>
      <c r="R26" s="251"/>
    </row>
    <row r="27" spans="2:18" x14ac:dyDescent="0.2">
      <c r="B27" s="825"/>
      <c r="C27" s="791"/>
      <c r="D27" s="791"/>
      <c r="E27" s="791"/>
      <c r="F27" s="791"/>
      <c r="G27" s="791"/>
      <c r="H27" s="791"/>
      <c r="I27" s="791"/>
      <c r="J27" s="791"/>
      <c r="K27" s="791"/>
      <c r="L27" s="791"/>
      <c r="M27" s="791"/>
      <c r="N27" s="791"/>
      <c r="O27" s="791"/>
      <c r="P27" s="791"/>
      <c r="Q27" s="796"/>
      <c r="R27" s="251"/>
    </row>
    <row r="28" spans="2:18" x14ac:dyDescent="0.2">
      <c r="B28" s="825"/>
      <c r="C28" s="791"/>
      <c r="D28" s="791"/>
      <c r="E28" s="791"/>
      <c r="F28" s="791"/>
      <c r="G28" s="791"/>
      <c r="H28" s="791"/>
      <c r="I28" s="791"/>
      <c r="J28" s="791"/>
      <c r="K28" s="791"/>
      <c r="L28" s="791"/>
      <c r="M28" s="791"/>
      <c r="N28" s="791"/>
      <c r="O28" s="791"/>
      <c r="P28" s="791"/>
      <c r="Q28" s="796"/>
      <c r="R28" s="251"/>
    </row>
    <row r="29" spans="2:18" x14ac:dyDescent="0.2">
      <c r="B29" s="825"/>
      <c r="C29" s="791"/>
      <c r="D29" s="791"/>
      <c r="E29" s="791"/>
      <c r="F29" s="791"/>
      <c r="G29" s="791"/>
      <c r="H29" s="791"/>
      <c r="I29" s="791"/>
      <c r="J29" s="791"/>
      <c r="K29" s="791"/>
      <c r="L29" s="791"/>
      <c r="M29" s="791"/>
      <c r="N29" s="791"/>
      <c r="O29" s="791"/>
      <c r="P29" s="791"/>
      <c r="Q29" s="796"/>
      <c r="R29" s="251"/>
    </row>
    <row r="30" spans="2:18" x14ac:dyDescent="0.2">
      <c r="B30" s="825"/>
      <c r="C30" s="791"/>
      <c r="D30" s="791"/>
      <c r="E30" s="791"/>
      <c r="F30" s="791"/>
      <c r="G30" s="791"/>
      <c r="H30" s="791"/>
      <c r="I30" s="791"/>
      <c r="J30" s="791"/>
      <c r="K30" s="791"/>
      <c r="L30" s="791"/>
      <c r="M30" s="791"/>
      <c r="N30" s="791"/>
      <c r="O30" s="791"/>
      <c r="P30" s="791"/>
      <c r="Q30" s="796"/>
      <c r="R30" s="251"/>
    </row>
    <row r="31" spans="2:18" x14ac:dyDescent="0.2">
      <c r="B31" s="825"/>
      <c r="C31" s="791"/>
      <c r="D31" s="791"/>
      <c r="E31" s="791"/>
      <c r="F31" s="791"/>
      <c r="G31" s="791"/>
      <c r="H31" s="791"/>
      <c r="I31" s="791"/>
      <c r="J31" s="791"/>
      <c r="K31" s="791"/>
      <c r="L31" s="791"/>
      <c r="M31" s="791"/>
      <c r="N31" s="791"/>
      <c r="O31" s="791"/>
      <c r="P31" s="791"/>
      <c r="Q31" s="796"/>
      <c r="R31" s="251"/>
    </row>
    <row r="32" spans="2:18" x14ac:dyDescent="0.2">
      <c r="B32" s="825"/>
      <c r="C32" s="791"/>
      <c r="D32" s="791"/>
      <c r="E32" s="791"/>
      <c r="F32" s="791"/>
      <c r="G32" s="791"/>
      <c r="H32" s="791"/>
      <c r="I32" s="791"/>
      <c r="J32" s="791"/>
      <c r="K32" s="791"/>
      <c r="L32" s="791"/>
      <c r="M32" s="791"/>
      <c r="N32" s="791"/>
      <c r="O32" s="791"/>
      <c r="P32" s="791"/>
      <c r="Q32" s="796"/>
      <c r="R32" s="251"/>
    </row>
    <row r="33" spans="2:18" x14ac:dyDescent="0.2">
      <c r="B33" s="825"/>
      <c r="C33" s="791"/>
      <c r="D33" s="791"/>
      <c r="E33" s="791"/>
      <c r="F33" s="791"/>
      <c r="G33" s="791"/>
      <c r="H33" s="791"/>
      <c r="I33" s="791"/>
      <c r="J33" s="791"/>
      <c r="K33" s="791"/>
      <c r="L33" s="791"/>
      <c r="M33" s="791"/>
      <c r="N33" s="791"/>
      <c r="O33" s="791"/>
      <c r="P33" s="791"/>
      <c r="Q33" s="796"/>
      <c r="R33" s="251"/>
    </row>
    <row r="34" spans="2:18" x14ac:dyDescent="0.2">
      <c r="B34" s="825"/>
      <c r="C34" s="791"/>
      <c r="D34" s="791"/>
      <c r="E34" s="791"/>
      <c r="F34" s="791"/>
      <c r="G34" s="791"/>
      <c r="H34" s="791"/>
      <c r="I34" s="791"/>
      <c r="J34" s="791"/>
      <c r="K34" s="791"/>
      <c r="L34" s="791"/>
      <c r="M34" s="791"/>
      <c r="N34" s="791"/>
      <c r="O34" s="791"/>
      <c r="P34" s="791"/>
      <c r="Q34" s="796"/>
      <c r="R34" s="251"/>
    </row>
    <row r="35" spans="2:18" x14ac:dyDescent="0.2">
      <c r="B35" s="825"/>
      <c r="C35" s="791"/>
      <c r="D35" s="791"/>
      <c r="E35" s="791"/>
      <c r="F35" s="791"/>
      <c r="G35" s="791"/>
      <c r="H35" s="791"/>
      <c r="I35" s="791"/>
      <c r="J35" s="791"/>
      <c r="K35" s="791"/>
      <c r="L35" s="791"/>
      <c r="M35" s="791"/>
      <c r="N35" s="791"/>
      <c r="O35" s="791"/>
      <c r="P35" s="791"/>
      <c r="Q35" s="796"/>
      <c r="R35" s="251"/>
    </row>
    <row r="36" spans="2:18" x14ac:dyDescent="0.2">
      <c r="B36" s="825"/>
      <c r="C36" s="791"/>
      <c r="D36" s="791"/>
      <c r="E36" s="791"/>
      <c r="F36" s="791"/>
      <c r="G36" s="791"/>
      <c r="H36" s="791"/>
      <c r="I36" s="791"/>
      <c r="J36" s="791"/>
      <c r="K36" s="791"/>
      <c r="L36" s="791"/>
      <c r="M36" s="791"/>
      <c r="N36" s="791"/>
      <c r="O36" s="791"/>
      <c r="P36" s="791"/>
      <c r="Q36" s="796"/>
      <c r="R36" s="251"/>
    </row>
    <row r="37" spans="2:18" x14ac:dyDescent="0.2">
      <c r="B37" s="825"/>
      <c r="C37" s="791"/>
      <c r="D37" s="791"/>
      <c r="E37" s="791"/>
      <c r="F37" s="791"/>
      <c r="G37" s="791"/>
      <c r="H37" s="791"/>
      <c r="I37" s="791"/>
      <c r="J37" s="791"/>
      <c r="K37" s="791"/>
      <c r="L37" s="791"/>
      <c r="M37" s="791"/>
      <c r="N37" s="791"/>
      <c r="O37" s="791"/>
      <c r="P37" s="791"/>
      <c r="Q37" s="796"/>
      <c r="R37" s="251"/>
    </row>
    <row r="38" spans="2:18" x14ac:dyDescent="0.2">
      <c r="B38" s="825"/>
      <c r="C38" s="791"/>
      <c r="D38" s="791"/>
      <c r="E38" s="791"/>
      <c r="F38" s="791"/>
      <c r="G38" s="791"/>
      <c r="H38" s="791"/>
      <c r="I38" s="791"/>
      <c r="J38" s="791"/>
      <c r="K38" s="791"/>
      <c r="L38" s="791"/>
      <c r="M38" s="791"/>
      <c r="N38" s="791"/>
      <c r="O38" s="791"/>
      <c r="P38" s="791"/>
      <c r="Q38" s="796"/>
      <c r="R38" s="251"/>
    </row>
    <row r="39" spans="2:18" x14ac:dyDescent="0.2">
      <c r="B39" s="825"/>
      <c r="C39" s="791"/>
      <c r="D39" s="791"/>
      <c r="E39" s="791"/>
      <c r="F39" s="791"/>
      <c r="G39" s="791"/>
      <c r="H39" s="791"/>
      <c r="I39" s="791"/>
      <c r="J39" s="791"/>
      <c r="K39" s="791"/>
      <c r="L39" s="791"/>
      <c r="M39" s="791"/>
      <c r="N39" s="791"/>
      <c r="O39" s="791"/>
      <c r="P39" s="791"/>
      <c r="Q39" s="796"/>
      <c r="R39" s="251"/>
    </row>
    <row r="40" spans="2:18" x14ac:dyDescent="0.2">
      <c r="B40" s="825"/>
      <c r="C40" s="791"/>
      <c r="D40" s="791"/>
      <c r="E40" s="791"/>
      <c r="F40" s="791"/>
      <c r="G40" s="791"/>
      <c r="H40" s="791"/>
      <c r="I40" s="791"/>
      <c r="J40" s="791"/>
      <c r="K40" s="791"/>
      <c r="L40" s="791"/>
      <c r="M40" s="791"/>
      <c r="N40" s="791"/>
      <c r="O40" s="791"/>
      <c r="P40" s="791"/>
      <c r="Q40" s="796"/>
      <c r="R40" s="251"/>
    </row>
    <row r="41" spans="2:18" ht="13.5" thickBot="1" x14ac:dyDescent="0.25">
      <c r="B41" s="826"/>
      <c r="C41" s="827"/>
      <c r="D41" s="827"/>
      <c r="E41" s="827"/>
      <c r="F41" s="827"/>
      <c r="G41" s="827"/>
      <c r="H41" s="827"/>
      <c r="I41" s="827"/>
      <c r="J41" s="827"/>
      <c r="K41" s="827"/>
      <c r="L41" s="827"/>
      <c r="M41" s="827"/>
      <c r="N41" s="827"/>
      <c r="O41" s="827"/>
      <c r="P41" s="827"/>
      <c r="Q41" s="828"/>
      <c r="R41" s="251"/>
    </row>
    <row r="43" spans="2:18" ht="15.75" x14ac:dyDescent="0.25">
      <c r="B43" s="1617" t="s">
        <v>15</v>
      </c>
      <c r="C43" s="1617"/>
      <c r="D43" s="1617"/>
      <c r="E43" s="1617"/>
      <c r="F43" s="1617"/>
      <c r="G43" s="1617"/>
      <c r="H43" s="1617"/>
      <c r="I43" s="1617"/>
      <c r="J43" s="1617"/>
      <c r="K43" s="1617"/>
      <c r="L43" s="1617"/>
      <c r="M43" s="1617"/>
      <c r="N43" s="1617"/>
      <c r="O43" s="1617"/>
      <c r="P43" s="1617"/>
      <c r="Q43" s="1617"/>
    </row>
  </sheetData>
  <sheetProtection password="CAF9" sheet="1" objects="1" scenarios="1"/>
  <mergeCells count="5">
    <mergeCell ref="B43:Q43"/>
    <mergeCell ref="B3:Q3"/>
    <mergeCell ref="B6:Q6"/>
    <mergeCell ref="F9:G9"/>
    <mergeCell ref="I9:K9"/>
  </mergeCells>
  <phoneticPr fontId="0" type="noConversion"/>
  <pageMargins left="0.25" right="0.3" top="0.25" bottom="0.75" header="0.25" footer="0.25"/>
  <pageSetup paperSize="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dimension ref="B2:U55"/>
  <sheetViews>
    <sheetView showZeros="0" topLeftCell="A20" zoomScaleNormal="100" workbookViewId="0">
      <selection activeCell="P46" sqref="P46"/>
    </sheetView>
  </sheetViews>
  <sheetFormatPr defaultRowHeight="12.75" x14ac:dyDescent="0.2"/>
  <cols>
    <col min="1" max="1" width="2.7109375" customWidth="1"/>
    <col min="2" max="2" width="3.7109375" customWidth="1"/>
    <col min="3" max="3" width="4.7109375" customWidth="1"/>
    <col min="5" max="5" width="5.5703125" customWidth="1"/>
    <col min="6" max="6" width="10.28515625" customWidth="1"/>
    <col min="10" max="10" width="4.7109375" customWidth="1"/>
    <col min="11" max="11" width="13.7109375" customWidth="1"/>
    <col min="13" max="13" width="4.7109375" customWidth="1"/>
    <col min="14" max="14" width="13.7109375" customWidth="1"/>
    <col min="15" max="15" width="4.7109375" customWidth="1"/>
    <col min="16" max="16" width="10.85546875" customWidth="1"/>
    <col min="18" max="18" width="11.7109375" customWidth="1"/>
    <col min="19" max="19" width="4.7109375" customWidth="1"/>
    <col min="20" max="20" width="14.7109375" customWidth="1"/>
    <col min="21" max="21" width="8" customWidth="1"/>
  </cols>
  <sheetData>
    <row r="2" spans="2:21" ht="18" x14ac:dyDescent="0.25">
      <c r="B2" s="1685" t="s">
        <v>831</v>
      </c>
      <c r="C2" s="1685"/>
      <c r="D2" s="1685"/>
      <c r="E2" s="1685"/>
      <c r="F2" s="1685"/>
      <c r="G2" s="1685"/>
      <c r="H2" s="1685"/>
      <c r="I2" s="1685"/>
      <c r="J2" s="1685"/>
      <c r="K2" s="1685"/>
      <c r="L2" s="1685"/>
      <c r="M2" s="1685"/>
      <c r="N2" s="1685"/>
      <c r="O2" s="1685"/>
      <c r="P2" s="1685"/>
      <c r="Q2" s="1685"/>
      <c r="R2" s="1685"/>
      <c r="S2" s="1685"/>
      <c r="T2" s="1685"/>
    </row>
    <row r="4" spans="2:21" ht="15.75" x14ac:dyDescent="0.25">
      <c r="B4" s="1" t="s">
        <v>832</v>
      </c>
      <c r="C4" s="1"/>
    </row>
    <row r="6" spans="2:21" ht="14.25" x14ac:dyDescent="0.2">
      <c r="B6" s="248"/>
      <c r="C6" s="248"/>
      <c r="D6" s="248" t="s">
        <v>869</v>
      </c>
      <c r="E6" s="248"/>
      <c r="F6" s="248"/>
      <c r="G6" s="1653" t="str">
        <f>+'Key Inputs'!E8</f>
        <v>TOWNSHIP</v>
      </c>
      <c r="H6" s="1653"/>
      <c r="I6" s="1653"/>
      <c r="J6" s="297" t="s">
        <v>417</v>
      </c>
      <c r="K6" s="1653" t="str">
        <f>+'Key Inputs'!E7</f>
        <v>GREENWICH</v>
      </c>
      <c r="L6" s="1653"/>
      <c r="M6" s="1653"/>
      <c r="N6" s="1653"/>
      <c r="O6" s="1653"/>
      <c r="P6" s="248" t="s">
        <v>447</v>
      </c>
      <c r="Q6" s="1653" t="str">
        <f>+'Key Inputs'!E6</f>
        <v>CUMBERLAND</v>
      </c>
      <c r="R6" s="1653"/>
      <c r="S6" s="1653"/>
      <c r="T6" s="248" t="str">
        <f>"for the Fiscal Year "&amp;'Key Inputs'!E34</f>
        <v>for the Fiscal Year 2021</v>
      </c>
    </row>
    <row r="7" spans="2:21" ht="12" customHeight="1" x14ac:dyDescent="0.2">
      <c r="B7" s="248"/>
      <c r="C7" s="248"/>
      <c r="D7" s="248"/>
      <c r="E7" s="248"/>
      <c r="F7" s="248"/>
      <c r="G7" s="248"/>
      <c r="H7" s="248"/>
      <c r="I7" s="248"/>
      <c r="J7" s="248"/>
      <c r="K7" s="248"/>
      <c r="L7" s="248"/>
      <c r="M7" s="248"/>
      <c r="N7" s="248"/>
      <c r="O7" s="248"/>
      <c r="P7" s="248"/>
      <c r="Q7" s="248"/>
      <c r="R7" s="248"/>
    </row>
    <row r="8" spans="2:21" ht="14.25" x14ac:dyDescent="0.2">
      <c r="B8" s="248"/>
      <c r="C8" s="248"/>
      <c r="D8" s="248" t="str">
        <f>"Be it Resolved, that the following statements of revenues and appropriations shall constitute the Municipal Budget for the year "&amp;'Key Inputs'!E34&amp;";"</f>
        <v>Be it Resolved, that the following statements of revenues and appropriations shall constitute the Municipal Budget for the year 2021;</v>
      </c>
      <c r="E8" s="248"/>
      <c r="F8" s="248"/>
      <c r="G8" s="248"/>
      <c r="H8" s="248"/>
      <c r="I8" s="248"/>
      <c r="J8" s="248"/>
      <c r="K8" s="248"/>
      <c r="L8" s="248"/>
      <c r="M8" s="248"/>
      <c r="N8" s="248"/>
      <c r="O8" s="248"/>
      <c r="P8" s="248"/>
      <c r="Q8" s="248"/>
      <c r="R8" s="248"/>
    </row>
    <row r="9" spans="2:21" ht="12" customHeight="1" x14ac:dyDescent="0.2">
      <c r="B9" s="248"/>
      <c r="C9" s="248"/>
      <c r="D9" s="248"/>
      <c r="E9" s="248"/>
      <c r="F9" s="248"/>
      <c r="G9" s="248"/>
      <c r="H9" s="248"/>
      <c r="I9" s="248"/>
      <c r="J9" s="248"/>
      <c r="K9" s="248"/>
      <c r="L9" s="248"/>
      <c r="M9" s="248"/>
      <c r="N9" s="248"/>
      <c r="O9" s="248"/>
      <c r="P9" s="248"/>
      <c r="Q9" s="248"/>
      <c r="R9" s="248"/>
    </row>
    <row r="10" spans="2:21" ht="14.25" x14ac:dyDescent="0.2">
      <c r="B10" s="248"/>
      <c r="C10" s="248"/>
      <c r="D10" s="248" t="s">
        <v>666</v>
      </c>
      <c r="E10" s="248"/>
      <c r="F10" s="248"/>
      <c r="G10" s="248"/>
      <c r="H10" s="248"/>
      <c r="I10" s="248"/>
      <c r="J10" s="248"/>
      <c r="K10" s="87"/>
      <c r="L10" s="1653" t="str">
        <f>+'Key Inputs'!E22</f>
        <v>THE NEWS OF SOUTH JERSEY</v>
      </c>
      <c r="M10" s="1653"/>
      <c r="N10" s="1653"/>
      <c r="O10" s="1653"/>
      <c r="P10" s="1653"/>
      <c r="Q10" s="87"/>
      <c r="R10" s="87"/>
      <c r="S10" s="4"/>
      <c r="T10" s="4"/>
      <c r="U10" s="4"/>
    </row>
    <row r="11" spans="2:21" ht="12" customHeight="1" x14ac:dyDescent="0.2">
      <c r="B11" s="248"/>
      <c r="C11" s="248"/>
      <c r="D11" s="248"/>
      <c r="E11" s="248"/>
      <c r="F11" s="248"/>
      <c r="G11" s="248"/>
      <c r="H11" s="248"/>
      <c r="I11" s="248"/>
      <c r="J11" s="248"/>
      <c r="K11" s="248"/>
      <c r="L11" s="248"/>
      <c r="M11" s="248"/>
      <c r="N11" s="248"/>
      <c r="O11" s="248"/>
      <c r="P11" s="248"/>
      <c r="Q11" s="248"/>
      <c r="R11" s="248"/>
    </row>
    <row r="12" spans="2:21" ht="14.25" x14ac:dyDescent="0.2">
      <c r="B12" s="248"/>
      <c r="C12" s="248"/>
      <c r="D12" s="248" t="s">
        <v>870</v>
      </c>
      <c r="E12" s="248"/>
      <c r="F12" s="1686" t="str">
        <f>+'Key Inputs'!F26&amp;"    "&amp;'Key Inputs'!E26</f>
        <v>APRIL    30TH</v>
      </c>
      <c r="G12" s="1686"/>
      <c r="H12" s="1686"/>
      <c r="I12" s="248" t="str">
        <f>", "&amp;'Key Inputs'!$E$34</f>
        <v>, 2021</v>
      </c>
      <c r="J12" s="248"/>
      <c r="K12" s="248"/>
      <c r="L12" s="248"/>
      <c r="M12" s="248"/>
      <c r="N12" s="248"/>
      <c r="O12" s="248"/>
      <c r="P12" s="248"/>
      <c r="Q12" s="248"/>
      <c r="R12" s="248"/>
    </row>
    <row r="13" spans="2:21" ht="12" customHeight="1" x14ac:dyDescent="0.2">
      <c r="B13" s="248"/>
      <c r="C13" s="248"/>
      <c r="D13" s="248"/>
      <c r="E13" s="248"/>
      <c r="F13" s="248"/>
      <c r="G13" s="248"/>
      <c r="H13" s="248"/>
      <c r="I13" s="248"/>
      <c r="J13" s="248"/>
      <c r="K13" s="248"/>
      <c r="L13" s="248"/>
      <c r="M13" s="248"/>
      <c r="N13" s="248"/>
      <c r="O13" s="248"/>
      <c r="P13" s="248"/>
      <c r="Q13" s="248"/>
      <c r="R13" s="248"/>
    </row>
    <row r="14" spans="2:21" ht="14.25" x14ac:dyDescent="0.2">
      <c r="B14" s="248"/>
      <c r="C14" s="248"/>
      <c r="D14" s="248" t="s">
        <v>864</v>
      </c>
      <c r="E14" s="248"/>
      <c r="F14" s="248"/>
      <c r="G14" s="1653" t="str">
        <f>+'Key Inputs'!E8</f>
        <v>TOWNSHIP</v>
      </c>
      <c r="H14" s="1653"/>
      <c r="I14" s="1653"/>
      <c r="J14" s="297" t="s">
        <v>417</v>
      </c>
      <c r="K14" s="1653" t="str">
        <f>+'Key Inputs'!E7</f>
        <v>GREENWICH</v>
      </c>
      <c r="L14" s="1653"/>
      <c r="M14" s="1653"/>
      <c r="N14" s="1653"/>
      <c r="O14" s="248" t="str">
        <f>"does hereby approve the following as the Budget for the year "&amp;'Key Inputs'!E34&amp;":"</f>
        <v>does hereby approve the following as the Budget for the year 2021:</v>
      </c>
      <c r="P14" s="248"/>
      <c r="Q14" s="248"/>
      <c r="R14" s="248"/>
    </row>
    <row r="15" spans="2:21" ht="14.25" x14ac:dyDescent="0.2">
      <c r="B15" s="248"/>
      <c r="C15" s="248"/>
      <c r="D15" s="248"/>
      <c r="E15" s="248"/>
      <c r="F15" s="248"/>
      <c r="G15" s="248"/>
      <c r="H15" s="248"/>
      <c r="I15" s="248"/>
      <c r="J15" s="248"/>
      <c r="K15" s="248"/>
      <c r="L15" s="248"/>
      <c r="M15" s="248"/>
      <c r="N15" s="248"/>
      <c r="O15" s="248"/>
      <c r="P15" s="248"/>
      <c r="Q15" s="248"/>
      <c r="R15" s="248"/>
    </row>
    <row r="16" spans="2:21" ht="15" thickBot="1" x14ac:dyDescent="0.25">
      <c r="B16" s="248"/>
      <c r="C16" s="248"/>
      <c r="D16" s="248"/>
      <c r="E16" s="248"/>
      <c r="F16" s="248"/>
      <c r="G16" s="248"/>
      <c r="H16" s="248"/>
      <c r="I16" s="248"/>
      <c r="J16" s="248"/>
      <c r="K16" s="248"/>
      <c r="L16" s="248"/>
      <c r="M16" s="248"/>
      <c r="N16" s="248"/>
      <c r="O16" s="248"/>
      <c r="P16" s="248"/>
      <c r="Q16" s="248"/>
      <c r="R16" s="248"/>
    </row>
    <row r="17" spans="2:20" ht="17.100000000000001" customHeight="1" x14ac:dyDescent="0.25">
      <c r="B17" s="248"/>
      <c r="C17" s="248"/>
      <c r="D17" s="248"/>
      <c r="E17" s="248"/>
      <c r="F17" s="248"/>
      <c r="G17" s="248"/>
      <c r="H17" s="248"/>
      <c r="I17" s="248"/>
      <c r="J17" s="829"/>
      <c r="K17" s="830"/>
      <c r="L17" s="248"/>
      <c r="M17" s="248"/>
      <c r="N17" s="248"/>
      <c r="O17" s="829"/>
      <c r="P17" s="830"/>
      <c r="Q17" s="248"/>
      <c r="R17" s="248"/>
      <c r="S17" s="829"/>
      <c r="T17" s="835"/>
    </row>
    <row r="18" spans="2:20" ht="17.100000000000001" customHeight="1" x14ac:dyDescent="0.25">
      <c r="B18" s="248"/>
      <c r="C18" s="248"/>
      <c r="D18" s="248"/>
      <c r="E18" s="1" t="s">
        <v>757</v>
      </c>
      <c r="F18" s="248"/>
      <c r="G18" s="248"/>
      <c r="H18" s="248"/>
      <c r="I18" s="248"/>
      <c r="J18" s="831"/>
      <c r="K18" s="832"/>
      <c r="L18" s="248"/>
      <c r="M18" s="248"/>
      <c r="N18" s="248"/>
      <c r="O18" s="831"/>
      <c r="P18" s="832"/>
      <c r="Q18" s="248"/>
      <c r="R18" s="343" t="s">
        <v>761</v>
      </c>
      <c r="S18" s="831"/>
      <c r="T18" s="836"/>
    </row>
    <row r="19" spans="2:20" ht="17.100000000000001" customHeight="1" x14ac:dyDescent="0.25">
      <c r="B19" s="248"/>
      <c r="C19" s="248"/>
      <c r="D19" s="248"/>
      <c r="E19" s="416" t="s">
        <v>758</v>
      </c>
      <c r="F19" s="248"/>
      <c r="G19" s="248"/>
      <c r="H19" s="248"/>
      <c r="I19" s="343"/>
      <c r="J19" s="831"/>
      <c r="K19" s="832"/>
      <c r="L19" s="248"/>
      <c r="M19" s="341"/>
      <c r="N19" s="343"/>
      <c r="O19" s="831"/>
      <c r="P19" s="832"/>
      <c r="Q19" s="248"/>
      <c r="R19" s="248"/>
      <c r="S19" s="831"/>
      <c r="T19" s="837"/>
    </row>
    <row r="20" spans="2:20" ht="17.100000000000001" customHeight="1" thickBot="1" x14ac:dyDescent="0.3">
      <c r="B20" s="248"/>
      <c r="C20" s="248"/>
      <c r="D20" s="248"/>
      <c r="E20" s="248"/>
      <c r="F20" s="248"/>
      <c r="G20" s="248"/>
      <c r="H20" s="248"/>
      <c r="I20" s="343"/>
      <c r="J20" s="831"/>
      <c r="K20" s="832" t="s">
        <v>6264</v>
      </c>
      <c r="L20" s="248"/>
      <c r="M20" s="248"/>
      <c r="N20" s="343"/>
      <c r="O20" s="831"/>
      <c r="P20" s="832"/>
      <c r="Q20" s="248"/>
      <c r="R20" s="776"/>
      <c r="S20" s="1015"/>
      <c r="T20" s="827"/>
    </row>
    <row r="21" spans="2:20" ht="17.100000000000001" customHeight="1" x14ac:dyDescent="0.25">
      <c r="B21" s="248"/>
      <c r="C21" s="248"/>
      <c r="D21" s="248"/>
      <c r="E21" s="248"/>
      <c r="F21" s="248"/>
      <c r="G21" s="248"/>
      <c r="H21" s="248"/>
      <c r="I21" s="343" t="s">
        <v>759</v>
      </c>
      <c r="J21" s="831"/>
      <c r="K21" s="832" t="s">
        <v>6265</v>
      </c>
      <c r="L21" s="248"/>
      <c r="M21" s="248"/>
      <c r="N21" s="343" t="s">
        <v>760</v>
      </c>
      <c r="O21" s="831"/>
      <c r="P21" s="832"/>
      <c r="Q21" s="248"/>
      <c r="R21" s="248"/>
    </row>
    <row r="22" spans="2:20" ht="17.100000000000001" customHeight="1" thickBot="1" x14ac:dyDescent="0.3">
      <c r="B22" s="248"/>
      <c r="C22" s="248"/>
      <c r="D22" s="248"/>
      <c r="E22" s="248"/>
      <c r="F22" s="248"/>
      <c r="G22" s="248"/>
      <c r="H22" s="248"/>
      <c r="I22" s="248"/>
      <c r="J22" s="831"/>
      <c r="K22" s="832" t="s">
        <v>6266</v>
      </c>
      <c r="L22" s="248"/>
      <c r="M22" s="248"/>
      <c r="N22" s="248"/>
      <c r="O22" s="831"/>
      <c r="P22" s="832"/>
      <c r="Q22" s="248"/>
      <c r="R22" s="248"/>
    </row>
    <row r="23" spans="2:20" ht="17.100000000000001" customHeight="1" x14ac:dyDescent="0.25">
      <c r="B23" s="248"/>
      <c r="C23" s="248"/>
      <c r="D23" s="248"/>
      <c r="E23" s="248"/>
      <c r="F23" s="248"/>
      <c r="G23" s="248"/>
      <c r="H23" s="248"/>
      <c r="I23" s="248"/>
      <c r="J23" s="831"/>
      <c r="K23" s="832"/>
      <c r="L23" s="248"/>
      <c r="M23" s="248"/>
      <c r="N23" s="248"/>
      <c r="O23" s="831"/>
      <c r="P23" s="832"/>
      <c r="Q23" s="248"/>
      <c r="R23" s="248"/>
      <c r="S23" s="829"/>
      <c r="T23" s="835"/>
    </row>
    <row r="24" spans="2:20" ht="17.100000000000001" customHeight="1" x14ac:dyDescent="0.25">
      <c r="B24" s="248"/>
      <c r="C24" s="248"/>
      <c r="D24" s="248"/>
      <c r="E24" s="248"/>
      <c r="F24" s="248"/>
      <c r="G24" s="248"/>
      <c r="H24" s="248"/>
      <c r="I24" s="248"/>
      <c r="J24" s="831"/>
      <c r="K24" s="832"/>
      <c r="L24" s="248"/>
      <c r="M24" s="248"/>
      <c r="N24" s="248"/>
      <c r="O24" s="831"/>
      <c r="P24" s="832"/>
      <c r="Q24" s="248"/>
      <c r="R24" s="343" t="s">
        <v>762</v>
      </c>
      <c r="S24" s="831"/>
      <c r="T24" s="836"/>
    </row>
    <row r="25" spans="2:20" ht="17.100000000000001" customHeight="1" x14ac:dyDescent="0.25">
      <c r="B25" s="248"/>
      <c r="C25" s="248"/>
      <c r="D25" s="248"/>
      <c r="E25" s="248"/>
      <c r="F25" s="248"/>
      <c r="G25" s="248"/>
      <c r="H25" s="248"/>
      <c r="I25" s="248"/>
      <c r="J25" s="831"/>
      <c r="K25" s="832"/>
      <c r="L25" s="248"/>
      <c r="M25" s="248"/>
      <c r="N25" s="248"/>
      <c r="O25" s="831"/>
      <c r="P25" s="832"/>
      <c r="Q25" s="248"/>
      <c r="R25" s="343"/>
      <c r="S25" s="831"/>
      <c r="T25" s="836"/>
    </row>
    <row r="26" spans="2:20" ht="17.100000000000001" customHeight="1" x14ac:dyDescent="0.25">
      <c r="B26" s="248"/>
      <c r="C26" s="248"/>
      <c r="D26" s="248"/>
      <c r="E26" s="248"/>
      <c r="F26" s="248"/>
      <c r="G26" s="248"/>
      <c r="H26" s="248"/>
      <c r="I26" s="248"/>
      <c r="J26" s="831"/>
      <c r="K26" s="1270"/>
      <c r="L26" s="248"/>
      <c r="M26" s="248"/>
      <c r="N26" s="248"/>
      <c r="O26" s="831"/>
      <c r="P26" s="832"/>
      <c r="Q26" s="248"/>
      <c r="R26" s="248"/>
      <c r="S26" s="831"/>
      <c r="T26" s="837"/>
    </row>
    <row r="27" spans="2:20" ht="15.75" thickBot="1" x14ac:dyDescent="0.3">
      <c r="B27" s="248"/>
      <c r="C27" s="248"/>
      <c r="D27" s="248"/>
      <c r="E27" s="248"/>
      <c r="F27" s="248"/>
      <c r="G27" s="248"/>
      <c r="H27" s="248"/>
      <c r="I27" s="248"/>
      <c r="J27" s="833"/>
      <c r="K27" s="834"/>
      <c r="L27" s="248"/>
      <c r="M27" s="248"/>
      <c r="N27" s="248"/>
      <c r="O27" s="833"/>
      <c r="P27" s="834"/>
      <c r="Q27" s="248"/>
      <c r="R27" s="248"/>
      <c r="S27" s="833"/>
      <c r="T27" s="838"/>
    </row>
    <row r="28" spans="2:20" ht="14.25" x14ac:dyDescent="0.2">
      <c r="B28" s="248"/>
      <c r="C28" s="248"/>
      <c r="D28" s="248"/>
      <c r="E28" s="248"/>
      <c r="F28" s="248"/>
      <c r="G28" s="248"/>
      <c r="H28" s="248"/>
      <c r="I28" s="248"/>
      <c r="J28" s="248"/>
      <c r="K28" s="248"/>
      <c r="L28" s="248"/>
      <c r="M28" s="248"/>
      <c r="N28" s="248"/>
      <c r="O28" s="248"/>
      <c r="P28" s="248"/>
      <c r="Q28" s="248"/>
      <c r="R28" s="248"/>
    </row>
    <row r="29" spans="2:20" ht="14.25" x14ac:dyDescent="0.2">
      <c r="B29" s="248"/>
      <c r="C29" s="248"/>
      <c r="D29" s="248" t="s">
        <v>865</v>
      </c>
      <c r="E29" s="248"/>
      <c r="F29" s="248"/>
      <c r="G29" s="248"/>
      <c r="H29" s="248"/>
      <c r="I29" s="248"/>
      <c r="J29" s="248"/>
      <c r="K29" s="248"/>
      <c r="L29" s="248"/>
      <c r="M29" s="1653" t="str">
        <f>+'Key Inputs'!E9</f>
        <v>COMMITTEEPERSONS</v>
      </c>
      <c r="N29" s="1653"/>
      <c r="O29" s="1653"/>
      <c r="P29" s="1653"/>
      <c r="Q29" s="297" t="s">
        <v>871</v>
      </c>
      <c r="R29" s="1653" t="str">
        <f>+'Key Inputs'!E8</f>
        <v>TOWNSHIP</v>
      </c>
      <c r="S29" s="1653"/>
      <c r="T29" s="1653"/>
    </row>
    <row r="30" spans="2:20" ht="8.25" customHeight="1" x14ac:dyDescent="0.2">
      <c r="B30" s="248"/>
      <c r="C30" s="248"/>
      <c r="D30" s="248"/>
      <c r="E30" s="248"/>
      <c r="F30" s="248"/>
      <c r="G30" s="248"/>
      <c r="H30" s="248"/>
      <c r="I30" s="248"/>
      <c r="J30" s="248"/>
      <c r="K30" s="248"/>
      <c r="L30" s="248"/>
      <c r="M30" s="248"/>
      <c r="N30" s="248"/>
      <c r="O30" s="248"/>
      <c r="P30" s="248"/>
      <c r="Q30" s="248"/>
      <c r="R30" s="248"/>
    </row>
    <row r="31" spans="2:20" ht="14.25" x14ac:dyDescent="0.2">
      <c r="B31" s="248" t="s">
        <v>417</v>
      </c>
      <c r="C31" s="1653" t="str">
        <f>+'Key Inputs'!E7</f>
        <v>GREENWICH</v>
      </c>
      <c r="D31" s="1653"/>
      <c r="E31" s="1653"/>
      <c r="F31" s="1653"/>
      <c r="G31" s="1653"/>
      <c r="H31" s="1653"/>
      <c r="I31" s="248" t="s">
        <v>872</v>
      </c>
      <c r="J31" s="248"/>
      <c r="K31" s="1653" t="str">
        <f>+'Key Inputs'!E6</f>
        <v>CUMBERLAND</v>
      </c>
      <c r="L31" s="1653"/>
      <c r="M31" s="248" t="s">
        <v>450</v>
      </c>
      <c r="N31" s="1653" t="str">
        <f>+'Key Inputs'!F25</f>
        <v>APRIL</v>
      </c>
      <c r="O31" s="1653"/>
      <c r="P31" s="342" t="str">
        <f>+'Key Inputs'!E25</f>
        <v>20th</v>
      </c>
      <c r="Q31" s="248" t="str">
        <f>", "&amp;'Key Inputs'!$E$34&amp;"."</f>
        <v>, 2021.</v>
      </c>
      <c r="R31" s="248"/>
    </row>
    <row r="32" spans="2:20" ht="8.25" customHeight="1" x14ac:dyDescent="0.2">
      <c r="B32" s="248"/>
      <c r="C32" s="248"/>
      <c r="D32" s="248"/>
      <c r="E32" s="248"/>
      <c r="F32" s="248"/>
      <c r="G32" s="248"/>
      <c r="H32" s="248"/>
      <c r="I32" s="248"/>
      <c r="J32" s="248"/>
      <c r="K32" s="248"/>
      <c r="L32" s="248"/>
      <c r="M32" s="248"/>
      <c r="N32" s="248"/>
      <c r="O32" s="248"/>
      <c r="P32" s="248"/>
      <c r="Q32" s="248"/>
      <c r="R32" s="248"/>
    </row>
    <row r="33" spans="2:20" ht="14.25" x14ac:dyDescent="0.2">
      <c r="B33" s="248"/>
      <c r="C33" s="248"/>
      <c r="D33" s="248" t="s">
        <v>866</v>
      </c>
      <c r="E33" s="248"/>
      <c r="F33" s="248"/>
      <c r="G33" s="248"/>
      <c r="H33" s="248"/>
      <c r="I33" s="248"/>
      <c r="J33" s="248"/>
      <c r="K33" s="1653" t="str">
        <f>+'Key Inputs'!E10</f>
        <v>EMERGENCY MANAGEMENT BUILDING</v>
      </c>
      <c r="L33" s="1653"/>
      <c r="M33" s="1653"/>
      <c r="N33" s="1653"/>
      <c r="O33" s="340" t="s">
        <v>450</v>
      </c>
      <c r="P33" s="1653" t="str">
        <f>+'Key Inputs'!F27</f>
        <v>MAY</v>
      </c>
      <c r="Q33" s="1653"/>
      <c r="R33" s="342" t="str">
        <f>+'Key Inputs'!E27</f>
        <v>18TH</v>
      </c>
      <c r="S33" s="248" t="str">
        <f>", "&amp;'Key Inputs'!$E$34&amp;" at"</f>
        <v>, 2021 at</v>
      </c>
    </row>
    <row r="34" spans="2:20" ht="8.25" customHeight="1" x14ac:dyDescent="0.2">
      <c r="B34" s="248"/>
      <c r="C34" s="248"/>
      <c r="D34" s="248"/>
      <c r="E34" s="248"/>
      <c r="F34" s="248"/>
      <c r="G34" s="248"/>
      <c r="H34" s="248"/>
      <c r="I34" s="248"/>
      <c r="J34" s="248"/>
      <c r="K34" s="248"/>
      <c r="L34" s="248"/>
      <c r="M34" s="248"/>
      <c r="N34" s="248"/>
      <c r="O34" s="248"/>
      <c r="P34" s="248"/>
      <c r="Q34" s="248"/>
      <c r="R34" s="248"/>
    </row>
    <row r="35" spans="2:20" ht="14.25" x14ac:dyDescent="0.2">
      <c r="B35" s="1684" t="str">
        <f>+'Key Inputs'!E29</f>
        <v>7:00 PM</v>
      </c>
      <c r="C35" s="1653"/>
      <c r="D35" s="248" t="str">
        <f>"o'clock"</f>
        <v>o'clock</v>
      </c>
      <c r="E35" s="817"/>
      <c r="F35" s="248" t="str">
        <f>"at which time and place objections to said Budget and Tax Resolution for the year "&amp;'Key Inputs'!E34&amp;" may be presented by taxpayers or other"</f>
        <v>at which time and place objections to said Budget and Tax Resolution for the year 2021 may be presented by taxpayers or other</v>
      </c>
      <c r="G35" s="248"/>
      <c r="H35" s="248"/>
      <c r="I35" s="248"/>
      <c r="J35" s="248"/>
      <c r="K35" s="248"/>
      <c r="L35" s="248"/>
      <c r="M35" s="248"/>
      <c r="N35" s="248"/>
      <c r="O35" s="248"/>
      <c r="P35" s="248"/>
      <c r="Q35" s="248"/>
      <c r="R35" s="248"/>
    </row>
    <row r="36" spans="2:20" ht="8.25" customHeight="1" x14ac:dyDescent="0.2">
      <c r="B36" s="248"/>
      <c r="C36" s="248"/>
      <c r="D36" s="248"/>
      <c r="E36" s="248"/>
      <c r="F36" s="248"/>
      <c r="G36" s="248"/>
      <c r="H36" s="248"/>
      <c r="I36" s="248"/>
      <c r="J36" s="248"/>
      <c r="K36" s="248"/>
      <c r="L36" s="248"/>
      <c r="M36" s="248"/>
      <c r="N36" s="248"/>
      <c r="O36" s="248"/>
      <c r="P36" s="248"/>
      <c r="Q36" s="248"/>
      <c r="R36" s="248"/>
    </row>
    <row r="37" spans="2:20" ht="14.25" x14ac:dyDescent="0.2">
      <c r="B37" s="248" t="s">
        <v>867</v>
      </c>
      <c r="C37" s="248"/>
      <c r="D37" s="248"/>
      <c r="E37" s="248"/>
      <c r="F37" s="248"/>
      <c r="G37" s="248"/>
      <c r="H37" s="248"/>
      <c r="I37" s="248"/>
      <c r="J37" s="248"/>
      <c r="K37" s="248"/>
      <c r="L37" s="248"/>
      <c r="M37" s="248"/>
      <c r="N37" s="248"/>
      <c r="O37" s="248"/>
      <c r="P37" s="248"/>
      <c r="Q37" s="248"/>
      <c r="R37" s="248"/>
    </row>
    <row r="38" spans="2:20" ht="14.25" x14ac:dyDescent="0.2">
      <c r="B38" s="248"/>
      <c r="C38" s="248"/>
      <c r="D38" s="248"/>
      <c r="E38" s="248"/>
      <c r="F38" s="248"/>
      <c r="G38" s="248"/>
      <c r="H38" s="248"/>
      <c r="I38" s="248"/>
      <c r="J38" s="248"/>
      <c r="K38" s="248"/>
      <c r="L38" s="248"/>
      <c r="M38" s="248"/>
      <c r="N38" s="248"/>
      <c r="O38" s="248"/>
      <c r="P38" s="248"/>
      <c r="Q38" s="248"/>
      <c r="R38" s="248"/>
    </row>
    <row r="39" spans="2:20" ht="15.75" x14ac:dyDescent="0.25">
      <c r="B39" s="1617" t="s">
        <v>868</v>
      </c>
      <c r="C39" s="1617"/>
      <c r="D39" s="1617"/>
      <c r="E39" s="1617"/>
      <c r="F39" s="1617"/>
      <c r="G39" s="1617"/>
      <c r="H39" s="1617"/>
      <c r="I39" s="1617"/>
      <c r="J39" s="1617"/>
      <c r="K39" s="1617"/>
      <c r="L39" s="1617"/>
      <c r="M39" s="1617"/>
      <c r="N39" s="1617"/>
      <c r="O39" s="1617"/>
      <c r="P39" s="1617"/>
      <c r="Q39" s="1617"/>
      <c r="R39" s="1617"/>
      <c r="S39" s="1617"/>
      <c r="T39" s="1617"/>
    </row>
    <row r="40" spans="2:20" ht="14.25" x14ac:dyDescent="0.2">
      <c r="B40" s="248"/>
      <c r="C40" s="248"/>
      <c r="D40" s="248"/>
      <c r="E40" s="248"/>
      <c r="F40" s="248"/>
      <c r="G40" s="248"/>
      <c r="H40" s="248"/>
      <c r="I40" s="248"/>
      <c r="J40" s="248"/>
      <c r="K40" s="248"/>
      <c r="L40" s="248"/>
      <c r="M40" s="248"/>
      <c r="N40" s="248"/>
      <c r="O40" s="248"/>
      <c r="P40" s="248"/>
      <c r="Q40" s="248"/>
      <c r="R40" s="248"/>
    </row>
    <row r="41" spans="2:20" ht="14.25" x14ac:dyDescent="0.2">
      <c r="B41" s="248"/>
      <c r="C41" s="248"/>
      <c r="D41" s="248"/>
      <c r="E41" s="248"/>
      <c r="F41" s="248"/>
      <c r="G41" s="248"/>
      <c r="H41" s="248"/>
      <c r="I41" s="248"/>
      <c r="J41" s="248"/>
      <c r="K41" s="248"/>
      <c r="L41" s="248"/>
      <c r="M41" s="248"/>
      <c r="N41" s="248"/>
      <c r="O41" s="248"/>
      <c r="P41" s="248"/>
      <c r="Q41" s="248"/>
      <c r="R41" s="248"/>
    </row>
    <row r="42" spans="2:20" ht="14.25" x14ac:dyDescent="0.2">
      <c r="B42" s="248"/>
      <c r="C42" s="248"/>
      <c r="D42" s="248"/>
      <c r="E42" s="248"/>
      <c r="F42" s="248"/>
      <c r="G42" s="248"/>
      <c r="H42" s="248"/>
      <c r="I42" s="248"/>
      <c r="J42" s="248"/>
      <c r="K42" s="248"/>
      <c r="L42" s="248"/>
      <c r="M42" s="248"/>
      <c r="N42" s="248"/>
      <c r="O42" s="248"/>
      <c r="P42" s="248"/>
      <c r="Q42" s="248"/>
      <c r="R42" s="248"/>
    </row>
    <row r="43" spans="2:20" ht="14.25" x14ac:dyDescent="0.2">
      <c r="B43" s="248"/>
      <c r="C43" s="248"/>
      <c r="D43" s="248"/>
      <c r="E43" s="248"/>
      <c r="F43" s="248"/>
      <c r="G43" s="248"/>
      <c r="H43" s="248"/>
      <c r="I43" s="248"/>
      <c r="J43" s="248"/>
      <c r="K43" s="248"/>
      <c r="L43" s="248"/>
      <c r="M43" s="248"/>
      <c r="N43" s="248"/>
      <c r="O43" s="248"/>
      <c r="P43" s="248"/>
      <c r="Q43" s="248"/>
      <c r="R43" s="248"/>
    </row>
    <row r="44" spans="2:20" ht="14.25" x14ac:dyDescent="0.2">
      <c r="B44" s="248"/>
      <c r="C44" s="248"/>
      <c r="D44" s="248"/>
      <c r="E44" s="248"/>
      <c r="F44" s="248"/>
      <c r="G44" s="248"/>
      <c r="H44" s="248"/>
      <c r="I44" s="248"/>
      <c r="J44" s="248"/>
      <c r="K44" s="248"/>
      <c r="L44" s="248"/>
      <c r="M44" s="248"/>
      <c r="N44" s="248"/>
      <c r="O44" s="248"/>
      <c r="P44" s="248"/>
      <c r="Q44" s="248"/>
      <c r="R44" s="248"/>
    </row>
    <row r="45" spans="2:20" ht="14.25" x14ac:dyDescent="0.2">
      <c r="B45" s="248"/>
      <c r="C45" s="248"/>
      <c r="D45" s="248"/>
      <c r="E45" s="248"/>
      <c r="F45" s="248"/>
      <c r="G45" s="248"/>
      <c r="H45" s="248"/>
      <c r="I45" s="248"/>
      <c r="J45" s="248"/>
      <c r="K45" s="248"/>
      <c r="L45" s="248"/>
      <c r="M45" s="248"/>
      <c r="N45" s="248"/>
      <c r="O45" s="248"/>
      <c r="P45" s="248"/>
      <c r="Q45" s="248"/>
      <c r="R45" s="248"/>
    </row>
    <row r="46" spans="2:20" ht="14.25" x14ac:dyDescent="0.2">
      <c r="B46" s="248"/>
      <c r="C46" s="248"/>
      <c r="D46" s="248"/>
      <c r="E46" s="248"/>
      <c r="F46" s="248"/>
      <c r="G46" s="248"/>
      <c r="H46" s="248"/>
      <c r="I46" s="248"/>
      <c r="J46" s="248"/>
      <c r="K46" s="248"/>
      <c r="L46" s="248"/>
      <c r="M46" s="248"/>
      <c r="N46" s="248"/>
      <c r="O46" s="248"/>
      <c r="P46" s="248"/>
      <c r="Q46" s="248"/>
      <c r="R46" s="248"/>
    </row>
    <row r="47" spans="2:20" ht="14.25" x14ac:dyDescent="0.2">
      <c r="B47" s="248"/>
      <c r="C47" s="248"/>
      <c r="D47" s="248"/>
      <c r="E47" s="248"/>
      <c r="F47" s="248"/>
      <c r="G47" s="248"/>
      <c r="H47" s="248"/>
      <c r="I47" s="248"/>
      <c r="J47" s="248"/>
      <c r="K47" s="248"/>
      <c r="L47" s="248"/>
      <c r="M47" s="248"/>
      <c r="N47" s="248"/>
      <c r="O47" s="248"/>
      <c r="P47" s="248"/>
      <c r="Q47" s="248"/>
      <c r="R47" s="248"/>
    </row>
    <row r="48" spans="2:20" ht="14.25" x14ac:dyDescent="0.2">
      <c r="B48" s="248"/>
      <c r="C48" s="248"/>
      <c r="D48" s="248"/>
      <c r="E48" s="248"/>
      <c r="F48" s="248"/>
      <c r="G48" s="248"/>
      <c r="H48" s="248"/>
      <c r="I48" s="248"/>
      <c r="J48" s="248"/>
      <c r="K48" s="248"/>
      <c r="L48" s="248"/>
      <c r="M48" s="248"/>
      <c r="N48" s="248"/>
      <c r="O48" s="248"/>
      <c r="P48" s="248"/>
      <c r="Q48" s="248"/>
      <c r="R48" s="248"/>
    </row>
    <row r="49" spans="2:18" ht="14.25" x14ac:dyDescent="0.2">
      <c r="B49" s="248"/>
      <c r="C49" s="248"/>
      <c r="D49" s="248"/>
      <c r="E49" s="248"/>
      <c r="F49" s="248"/>
      <c r="G49" s="248"/>
      <c r="H49" s="248"/>
      <c r="I49" s="248"/>
      <c r="J49" s="248"/>
      <c r="K49" s="248"/>
      <c r="L49" s="248"/>
      <c r="M49" s="248"/>
      <c r="N49" s="248"/>
      <c r="O49" s="248"/>
      <c r="P49" s="248"/>
      <c r="Q49" s="248"/>
      <c r="R49" s="248"/>
    </row>
    <row r="50" spans="2:18" ht="14.25" x14ac:dyDescent="0.2">
      <c r="B50" s="248"/>
      <c r="C50" s="248"/>
      <c r="D50" s="248"/>
      <c r="E50" s="248"/>
      <c r="F50" s="248"/>
      <c r="G50" s="248"/>
      <c r="H50" s="248"/>
      <c r="I50" s="248"/>
      <c r="J50" s="248"/>
      <c r="K50" s="248"/>
      <c r="L50" s="248"/>
      <c r="M50" s="248"/>
      <c r="N50" s="248"/>
      <c r="O50" s="248"/>
      <c r="P50" s="248"/>
      <c r="Q50" s="248"/>
      <c r="R50" s="248"/>
    </row>
    <row r="51" spans="2:18" ht="14.25" x14ac:dyDescent="0.2">
      <c r="B51" s="248"/>
      <c r="C51" s="248"/>
      <c r="D51" s="248"/>
      <c r="E51" s="248"/>
      <c r="F51" s="248"/>
      <c r="G51" s="248"/>
      <c r="H51" s="248"/>
      <c r="I51" s="248"/>
      <c r="J51" s="248"/>
      <c r="K51" s="248"/>
      <c r="L51" s="248"/>
      <c r="M51" s="248"/>
      <c r="N51" s="248"/>
      <c r="O51" s="248"/>
      <c r="P51" s="248"/>
      <c r="Q51" s="248"/>
      <c r="R51" s="248"/>
    </row>
    <row r="52" spans="2:18" ht="14.25" x14ac:dyDescent="0.2">
      <c r="B52" s="248"/>
      <c r="C52" s="248"/>
      <c r="D52" s="248"/>
      <c r="E52" s="248"/>
      <c r="F52" s="248"/>
      <c r="G52" s="248"/>
      <c r="H52" s="248"/>
      <c r="I52" s="248"/>
      <c r="J52" s="248"/>
      <c r="K52" s="248"/>
      <c r="L52" s="248"/>
      <c r="M52" s="248"/>
      <c r="N52" s="248"/>
      <c r="O52" s="248"/>
      <c r="P52" s="248"/>
      <c r="Q52" s="248"/>
      <c r="R52" s="248"/>
    </row>
    <row r="53" spans="2:18" ht="14.25" x14ac:dyDescent="0.2">
      <c r="B53" s="248"/>
      <c r="C53" s="248"/>
      <c r="D53" s="248"/>
      <c r="E53" s="248"/>
      <c r="F53" s="248"/>
      <c r="G53" s="248"/>
      <c r="H53" s="248"/>
      <c r="I53" s="248"/>
      <c r="J53" s="248"/>
      <c r="K53" s="248"/>
      <c r="L53" s="248"/>
      <c r="M53" s="248"/>
      <c r="N53" s="248"/>
      <c r="O53" s="248"/>
      <c r="P53" s="248"/>
      <c r="Q53" s="248"/>
      <c r="R53" s="248"/>
    </row>
    <row r="54" spans="2:18" ht="14.25" x14ac:dyDescent="0.2">
      <c r="B54" s="248"/>
      <c r="C54" s="248"/>
      <c r="D54" s="248"/>
      <c r="E54" s="248"/>
      <c r="F54" s="248"/>
      <c r="G54" s="248"/>
      <c r="H54" s="248"/>
      <c r="I54" s="248"/>
      <c r="J54" s="248"/>
      <c r="K54" s="248"/>
      <c r="L54" s="248"/>
      <c r="M54" s="248"/>
      <c r="N54" s="248"/>
      <c r="O54" s="248"/>
      <c r="P54" s="248"/>
      <c r="Q54" s="248"/>
      <c r="R54" s="248"/>
    </row>
    <row r="55" spans="2:18" ht="14.25" x14ac:dyDescent="0.2">
      <c r="B55" s="248"/>
      <c r="C55" s="248"/>
      <c r="D55" s="248"/>
      <c r="E55" s="248"/>
      <c r="F55" s="248"/>
      <c r="G55" s="248"/>
      <c r="H55" s="248"/>
      <c r="I55" s="248"/>
      <c r="J55" s="248"/>
      <c r="K55" s="248"/>
      <c r="L55" s="248"/>
      <c r="M55" s="248"/>
      <c r="N55" s="248"/>
      <c r="O55" s="248"/>
      <c r="P55" s="248"/>
      <c r="Q55" s="248"/>
      <c r="R55" s="248"/>
    </row>
  </sheetData>
  <sheetProtection password="CAF9" sheet="1" objects="1" scenarios="1"/>
  <mergeCells count="17">
    <mergeCell ref="B39:T39"/>
    <mergeCell ref="G6:I6"/>
    <mergeCell ref="L10:P10"/>
    <mergeCell ref="G14:I14"/>
    <mergeCell ref="K14:N14"/>
    <mergeCell ref="P33:Q33"/>
    <mergeCell ref="Q6:S6"/>
    <mergeCell ref="M29:P29"/>
    <mergeCell ref="R29:T29"/>
    <mergeCell ref="K33:N33"/>
    <mergeCell ref="K6:O6"/>
    <mergeCell ref="F12:H12"/>
    <mergeCell ref="N31:O31"/>
    <mergeCell ref="C31:H31"/>
    <mergeCell ref="K31:L31"/>
    <mergeCell ref="B35:C35"/>
    <mergeCell ref="B2:T2"/>
  </mergeCells>
  <phoneticPr fontId="0" type="noConversion"/>
  <pageMargins left="0.25" right="0.3" top="0.25" bottom="0.75" header="0.25" footer="0.25"/>
  <pageSetup paperSize="5" orientation="landscape"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B1:AH51"/>
  <sheetViews>
    <sheetView zoomScaleNormal="100" workbookViewId="0">
      <selection activeCell="F1" sqref="F1"/>
    </sheetView>
  </sheetViews>
  <sheetFormatPr defaultRowHeight="12.75" x14ac:dyDescent="0.2"/>
  <cols>
    <col min="1" max="2" width="3.85546875" customWidth="1"/>
    <col min="3" max="3" width="28.28515625" customWidth="1"/>
    <col min="4" max="4" width="2.85546875" customWidth="1"/>
    <col min="5" max="5" width="17.7109375" customWidth="1"/>
    <col min="6" max="6" width="20" customWidth="1"/>
    <col min="7" max="7" width="14" customWidth="1"/>
    <col min="8" max="8" width="20.5703125" customWidth="1"/>
  </cols>
  <sheetData>
    <row r="1" spans="2:34" ht="13.5" thickBot="1" x14ac:dyDescent="0.25"/>
    <row r="2" spans="2:34" x14ac:dyDescent="0.2">
      <c r="C2" s="621" t="s">
        <v>512</v>
      </c>
      <c r="D2" s="347"/>
      <c r="E2" s="1510" t="s">
        <v>6246</v>
      </c>
      <c r="F2" s="347"/>
      <c r="G2" s="347"/>
      <c r="H2" s="348"/>
    </row>
    <row r="3" spans="2:34" x14ac:dyDescent="0.2">
      <c r="C3" s="614" t="s">
        <v>513</v>
      </c>
      <c r="D3" s="63"/>
      <c r="E3" s="1535" t="s">
        <v>514</v>
      </c>
      <c r="F3" s="1535"/>
      <c r="G3" s="63"/>
      <c r="H3" s="345"/>
    </row>
    <row r="4" spans="2:34" ht="21" customHeight="1" x14ac:dyDescent="0.2">
      <c r="C4" s="292" t="s">
        <v>976</v>
      </c>
      <c r="D4" s="802"/>
      <c r="E4" s="801">
        <v>179</v>
      </c>
      <c r="F4" s="63"/>
      <c r="G4" s="63"/>
      <c r="H4" s="345"/>
      <c r="AG4" t="s">
        <v>5331</v>
      </c>
      <c r="AH4" s="1214">
        <v>43892</v>
      </c>
    </row>
    <row r="5" spans="2:34" x14ac:dyDescent="0.2">
      <c r="C5" s="292" t="s">
        <v>454</v>
      </c>
      <c r="D5" s="63"/>
      <c r="E5" s="510" t="str">
        <f>UPPER(VLOOKUP($E$4,Info!A1:K566,8,FALSE)&amp;" Of "&amp;VLOOKUP($E$4,Info!A1:K566,7,FALSE))</f>
        <v>TOWNSHIP OF GREENWICH</v>
      </c>
      <c r="F5" s="510"/>
      <c r="G5" s="510"/>
      <c r="H5" s="345"/>
    </row>
    <row r="6" spans="2:34" x14ac:dyDescent="0.2">
      <c r="B6" s="1213" t="s">
        <v>5330</v>
      </c>
      <c r="C6" s="292" t="s">
        <v>455</v>
      </c>
      <c r="D6" s="63"/>
      <c r="E6" s="510" t="str">
        <f>UPPER(VLOOKUP($E$4,Info!A1:K566,4,FALSE))</f>
        <v>CUMBERLAND</v>
      </c>
      <c r="F6" s="510"/>
      <c r="G6" s="510"/>
      <c r="H6" s="345"/>
      <c r="L6" s="1213" t="s">
        <v>5330</v>
      </c>
    </row>
    <row r="7" spans="2:34" x14ac:dyDescent="0.2">
      <c r="C7" s="292" t="s">
        <v>456</v>
      </c>
      <c r="D7" s="63"/>
      <c r="E7" s="510" t="str">
        <f>UPPER(VLOOKUP($E$4,Info!A1:K566,7,FALSE))</f>
        <v>GREENWICH</v>
      </c>
      <c r="F7" s="510"/>
      <c r="G7" s="510"/>
      <c r="H7" s="345"/>
    </row>
    <row r="8" spans="2:34" x14ac:dyDescent="0.2">
      <c r="C8" s="292" t="s">
        <v>457</v>
      </c>
      <c r="D8" s="63"/>
      <c r="E8" s="510" t="str">
        <f>UPPER(VLOOKUP($E$4,Info!A1:K566,8,FALSE))</f>
        <v>TOWNSHIP</v>
      </c>
      <c r="F8" s="510"/>
      <c r="G8" s="510"/>
      <c r="H8" s="345"/>
    </row>
    <row r="9" spans="2:34" x14ac:dyDescent="0.2">
      <c r="C9" s="292" t="s">
        <v>458</v>
      </c>
      <c r="D9" s="63"/>
      <c r="E9" s="510" t="str">
        <f>UPPER(VLOOKUP($E$4,Info!A1:K566,9,FALSE))</f>
        <v>COMMITTEEPERSONS</v>
      </c>
      <c r="F9" s="510"/>
      <c r="G9" s="510"/>
      <c r="H9" s="345"/>
    </row>
    <row r="10" spans="2:34" x14ac:dyDescent="0.2">
      <c r="C10" s="292" t="s">
        <v>462</v>
      </c>
      <c r="D10" s="63"/>
      <c r="E10" s="1013" t="s">
        <v>6247</v>
      </c>
      <c r="F10" s="791"/>
      <c r="G10" s="510"/>
      <c r="H10" s="345"/>
    </row>
    <row r="11" spans="2:34" x14ac:dyDescent="0.2">
      <c r="C11" s="292" t="s">
        <v>459</v>
      </c>
      <c r="D11" s="63"/>
      <c r="E11" s="1013" t="s">
        <v>6248</v>
      </c>
      <c r="F11" s="791"/>
      <c r="G11" s="510"/>
      <c r="H11" s="345"/>
    </row>
    <row r="12" spans="2:34" x14ac:dyDescent="0.2">
      <c r="C12" s="292" t="s">
        <v>459</v>
      </c>
      <c r="D12" s="63"/>
      <c r="E12" s="1013" t="s">
        <v>6249</v>
      </c>
      <c r="F12" s="791"/>
      <c r="G12" s="510"/>
      <c r="H12" s="345"/>
    </row>
    <row r="13" spans="2:34" x14ac:dyDescent="0.2">
      <c r="C13" s="292" t="s">
        <v>460</v>
      </c>
      <c r="D13" s="63"/>
      <c r="E13" s="1013" t="s">
        <v>6250</v>
      </c>
      <c r="F13" s="791"/>
      <c r="G13" s="510"/>
      <c r="H13" s="345"/>
    </row>
    <row r="14" spans="2:34" x14ac:dyDescent="0.2">
      <c r="C14" s="292" t="s">
        <v>461</v>
      </c>
      <c r="D14" s="63"/>
      <c r="E14" s="790"/>
      <c r="F14" s="791"/>
      <c r="G14" s="510"/>
      <c r="H14" s="345"/>
    </row>
    <row r="15" spans="2:34" ht="13.5" thickBot="1" x14ac:dyDescent="0.25">
      <c r="C15" s="292"/>
      <c r="D15" s="63"/>
      <c r="E15" s="510"/>
      <c r="F15" s="510"/>
      <c r="G15" s="605" t="s">
        <v>468</v>
      </c>
      <c r="H15" s="622" t="s">
        <v>3227</v>
      </c>
    </row>
    <row r="16" spans="2:34" x14ac:dyDescent="0.2">
      <c r="C16" s="292" t="s">
        <v>463</v>
      </c>
      <c r="D16" s="63"/>
      <c r="E16" s="1013" t="s">
        <v>6251</v>
      </c>
      <c r="F16" s="791"/>
      <c r="G16" s="1523" t="s">
        <v>6255</v>
      </c>
      <c r="H16" s="793">
        <v>41091</v>
      </c>
    </row>
    <row r="17" spans="3:8" x14ac:dyDescent="0.2">
      <c r="C17" s="292" t="s">
        <v>465</v>
      </c>
      <c r="D17" s="63"/>
      <c r="E17" s="1013" t="s">
        <v>6252</v>
      </c>
      <c r="F17" s="791"/>
      <c r="G17" s="1523" t="s">
        <v>6256</v>
      </c>
      <c r="H17" s="345"/>
    </row>
    <row r="18" spans="3:8" x14ac:dyDescent="0.2">
      <c r="C18" s="292" t="s">
        <v>464</v>
      </c>
      <c r="D18" s="63"/>
      <c r="E18" s="1013" t="s">
        <v>6253</v>
      </c>
      <c r="F18" s="791"/>
      <c r="G18" s="792"/>
      <c r="H18" s="345"/>
    </row>
    <row r="19" spans="3:8" x14ac:dyDescent="0.2">
      <c r="C19" s="292" t="s">
        <v>466</v>
      </c>
      <c r="D19" s="63"/>
      <c r="E19" s="1013" t="s">
        <v>6254</v>
      </c>
      <c r="F19" s="791"/>
      <c r="G19" s="1523" t="s">
        <v>6257</v>
      </c>
      <c r="H19" s="345"/>
    </row>
    <row r="20" spans="3:8" x14ac:dyDescent="0.2">
      <c r="C20" s="292" t="s">
        <v>467</v>
      </c>
      <c r="D20" s="63"/>
      <c r="E20" s="1013" t="s">
        <v>6345</v>
      </c>
      <c r="F20" s="791"/>
      <c r="G20" s="510"/>
      <c r="H20" s="345"/>
    </row>
    <row r="21" spans="3:8" x14ac:dyDescent="0.2">
      <c r="C21" s="292"/>
      <c r="D21" s="63"/>
      <c r="E21" s="510"/>
      <c r="F21" s="510"/>
      <c r="G21" s="510"/>
      <c r="H21" s="345"/>
    </row>
    <row r="22" spans="3:8" x14ac:dyDescent="0.2">
      <c r="C22" s="292" t="s">
        <v>469</v>
      </c>
      <c r="D22" s="63"/>
      <c r="E22" s="1013" t="s">
        <v>6346</v>
      </c>
      <c r="F22" s="791"/>
      <c r="G22" s="510"/>
      <c r="H22" s="345"/>
    </row>
    <row r="23" spans="3:8" x14ac:dyDescent="0.2">
      <c r="C23" s="292"/>
      <c r="D23" s="63"/>
      <c r="E23" s="510"/>
      <c r="F23" s="510"/>
      <c r="G23" s="510"/>
      <c r="H23" s="345"/>
    </row>
    <row r="24" spans="3:8" ht="13.5" thickBot="1" x14ac:dyDescent="0.25">
      <c r="C24" s="292"/>
      <c r="D24" s="63"/>
      <c r="E24" s="605" t="s">
        <v>474</v>
      </c>
      <c r="F24" s="605" t="s">
        <v>475</v>
      </c>
      <c r="G24" s="510"/>
      <c r="H24" s="345"/>
    </row>
    <row r="25" spans="3:8" x14ac:dyDescent="0.2">
      <c r="C25" s="292" t="s">
        <v>470</v>
      </c>
      <c r="D25" s="63"/>
      <c r="E25" s="1531" t="s">
        <v>6354</v>
      </c>
      <c r="F25" s="1013" t="s">
        <v>6355</v>
      </c>
      <c r="G25" s="510"/>
      <c r="H25" s="345"/>
    </row>
    <row r="26" spans="3:8" x14ac:dyDescent="0.2">
      <c r="C26" s="292" t="s">
        <v>471</v>
      </c>
      <c r="D26" s="63"/>
      <c r="E26" s="1531" t="s">
        <v>6356</v>
      </c>
      <c r="F26" s="1037" t="s">
        <v>6355</v>
      </c>
      <c r="G26" s="510"/>
      <c r="H26" s="345"/>
    </row>
    <row r="27" spans="3:8" x14ac:dyDescent="0.2">
      <c r="C27" s="623" t="s">
        <v>3237</v>
      </c>
      <c r="D27" s="63"/>
      <c r="E27" s="1531" t="s">
        <v>6357</v>
      </c>
      <c r="F27" s="1013" t="s">
        <v>6358</v>
      </c>
      <c r="G27" s="510"/>
      <c r="H27" s="345"/>
    </row>
    <row r="28" spans="3:8" x14ac:dyDescent="0.2">
      <c r="C28" s="292"/>
      <c r="D28" s="63"/>
      <c r="E28" s="510"/>
      <c r="F28" s="510"/>
      <c r="G28" s="510"/>
      <c r="H28" s="345"/>
    </row>
    <row r="29" spans="3:8" x14ac:dyDescent="0.2">
      <c r="C29" s="623" t="s">
        <v>3238</v>
      </c>
      <c r="D29" s="63"/>
      <c r="E29" s="1532" t="s">
        <v>6359</v>
      </c>
      <c r="F29" s="510"/>
      <c r="G29" s="510"/>
      <c r="H29" s="345"/>
    </row>
    <row r="30" spans="3:8" x14ac:dyDescent="0.2">
      <c r="C30" s="292"/>
      <c r="D30" s="63"/>
      <c r="E30" s="510"/>
      <c r="F30" s="510"/>
      <c r="G30" s="510"/>
      <c r="H30" s="345"/>
    </row>
    <row r="31" spans="3:8" x14ac:dyDescent="0.2">
      <c r="C31" s="292" t="s">
        <v>472</v>
      </c>
      <c r="D31" s="63"/>
      <c r="E31" s="510"/>
      <c r="F31" s="794">
        <v>75794063</v>
      </c>
      <c r="G31" s="510"/>
      <c r="H31" s="345"/>
    </row>
    <row r="32" spans="3:8" ht="13.5" thickBot="1" x14ac:dyDescent="0.25">
      <c r="C32" s="292" t="s">
        <v>473</v>
      </c>
      <c r="D32" s="63"/>
      <c r="E32" s="510"/>
      <c r="F32" s="795">
        <v>75758623</v>
      </c>
      <c r="G32" s="510"/>
      <c r="H32" s="345"/>
    </row>
    <row r="33" spans="3:9" x14ac:dyDescent="0.2">
      <c r="C33" s="292"/>
      <c r="D33" s="63"/>
      <c r="E33" s="510"/>
      <c r="F33" s="624">
        <f>+F31-F32</f>
        <v>35440</v>
      </c>
      <c r="G33" s="510"/>
      <c r="H33" s="345"/>
    </row>
    <row r="34" spans="3:9" x14ac:dyDescent="0.2">
      <c r="C34" s="623" t="s">
        <v>510</v>
      </c>
      <c r="D34" s="63"/>
      <c r="E34" s="1432" t="s">
        <v>3156</v>
      </c>
      <c r="F34" s="537"/>
      <c r="G34" s="510"/>
      <c r="H34" s="345"/>
    </row>
    <row r="35" spans="3:9" x14ac:dyDescent="0.2">
      <c r="C35" s="292"/>
      <c r="D35" s="63"/>
      <c r="E35" s="510"/>
      <c r="F35" s="537"/>
      <c r="G35" s="510"/>
      <c r="H35" s="345"/>
    </row>
    <row r="36" spans="3:9" ht="13.5" thickBot="1" x14ac:dyDescent="0.25">
      <c r="C36" s="625" t="s">
        <v>3217</v>
      </c>
      <c r="D36" s="215"/>
      <c r="E36" s="215" t="str">
        <f>VLOOKUP($E$4,Info!A1:K566,2,FALSE)</f>
        <v>0606</v>
      </c>
      <c r="F36" s="181"/>
      <c r="G36" s="215"/>
      <c r="H36" s="346"/>
    </row>
    <row r="37" spans="3:9" ht="13.5" thickBot="1" x14ac:dyDescent="0.25">
      <c r="F37" s="180"/>
    </row>
    <row r="38" spans="3:9" ht="13.5" thickBot="1" x14ac:dyDescent="0.25">
      <c r="C38" s="606" t="s">
        <v>3228</v>
      </c>
      <c r="D38" s="613"/>
      <c r="E38" s="607" t="s">
        <v>3229</v>
      </c>
      <c r="F38" s="180"/>
      <c r="G38" s="1536" t="s">
        <v>3319</v>
      </c>
      <c r="H38" s="1537"/>
      <c r="I38" s="510"/>
    </row>
    <row r="39" spans="3:9" x14ac:dyDescent="0.2">
      <c r="C39" s="608" t="s">
        <v>3230</v>
      </c>
      <c r="D39" s="609"/>
      <c r="E39" s="797"/>
      <c r="F39" s="180"/>
      <c r="G39" s="614" t="s">
        <v>3320</v>
      </c>
      <c r="H39" s="796">
        <v>3</v>
      </c>
    </row>
    <row r="40" spans="3:9" x14ac:dyDescent="0.2">
      <c r="C40" s="610" t="s">
        <v>3231</v>
      </c>
      <c r="D40" s="578"/>
      <c r="E40" s="798"/>
      <c r="F40" s="180"/>
      <c r="G40" s="614" t="s">
        <v>3321</v>
      </c>
      <c r="H40" s="633" t="str">
        <f>+E34</f>
        <v>2021</v>
      </c>
    </row>
    <row r="41" spans="3:9" ht="13.5" thickBot="1" x14ac:dyDescent="0.25">
      <c r="C41" s="610" t="s">
        <v>3232</v>
      </c>
      <c r="D41" s="578"/>
      <c r="E41" s="798"/>
      <c r="F41" s="180"/>
      <c r="G41" s="615" t="s">
        <v>3322</v>
      </c>
      <c r="H41" s="632">
        <f>+H40+H39-1</f>
        <v>2023</v>
      </c>
    </row>
    <row r="42" spans="3:9" x14ac:dyDescent="0.2">
      <c r="C42" s="610" t="s">
        <v>3233</v>
      </c>
      <c r="D42" s="578"/>
      <c r="E42" s="798"/>
      <c r="F42" s="180"/>
    </row>
    <row r="43" spans="3:9" x14ac:dyDescent="0.2">
      <c r="C43" s="610" t="s">
        <v>3234</v>
      </c>
      <c r="D43" s="578"/>
      <c r="E43" s="798"/>
      <c r="F43" s="180"/>
    </row>
    <row r="44" spans="3:9" x14ac:dyDescent="0.2">
      <c r="C44" s="610" t="s">
        <v>3235</v>
      </c>
      <c r="D44" s="578"/>
      <c r="E44" s="798"/>
      <c r="F44" s="180"/>
    </row>
    <row r="45" spans="3:9" x14ac:dyDescent="0.2">
      <c r="C45" s="292"/>
      <c r="D45" s="63"/>
      <c r="E45" s="345"/>
      <c r="F45" s="180"/>
    </row>
    <row r="46" spans="3:9" x14ac:dyDescent="0.2">
      <c r="C46" s="611" t="s">
        <v>3253</v>
      </c>
      <c r="D46" s="63"/>
      <c r="E46" s="799"/>
      <c r="F46" s="180"/>
    </row>
    <row r="47" spans="3:9" ht="13.5" thickBot="1" x14ac:dyDescent="0.25">
      <c r="C47" s="612" t="s">
        <v>3252</v>
      </c>
      <c r="D47" s="215"/>
      <c r="E47" s="800"/>
      <c r="F47" s="180"/>
    </row>
    <row r="48" spans="3:9" x14ac:dyDescent="0.2">
      <c r="F48" s="180"/>
    </row>
    <row r="49" spans="6:6" x14ac:dyDescent="0.2">
      <c r="F49" s="180"/>
    </row>
    <row r="50" spans="6:6" x14ac:dyDescent="0.2">
      <c r="F50" s="180"/>
    </row>
    <row r="51" spans="6:6" x14ac:dyDescent="0.2">
      <c r="F51" s="180"/>
    </row>
  </sheetData>
  <sheetProtection algorithmName="SHA-512" hashValue="yK2r4xNjCccNIErs3cX6f7I0WMz8l3qoEuAAXrPd/I6g+T931vj1bx6TJpYg48xvEQjMGM60hh9x1tz9HOS1Gg==" saltValue="4wJ6oA7JvKb98cID40TJWA==" spinCount="100000" sheet="1" objects="1" scenarios="1"/>
  <mergeCells count="2">
    <mergeCell ref="E3:F3"/>
    <mergeCell ref="G38:H38"/>
  </mergeCells>
  <phoneticPr fontId="0" type="noConversion"/>
  <pageMargins left="0.25" right="0.3" top="0.25" bottom="0.75" header="0.25" footer="0.25"/>
  <pageSetup paperSize="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26" r:id="rId4" name="Drop Down 2">
              <controlPr defaultSize="0" autoLine="0" autoPict="0">
                <anchor moveWithCells="1">
                  <from>
                    <xdr:col>4</xdr:col>
                    <xdr:colOff>9525</xdr:colOff>
                    <xdr:row>3</xdr:row>
                    <xdr:rowOff>9525</xdr:rowOff>
                  </from>
                  <to>
                    <xdr:col>7</xdr:col>
                    <xdr:colOff>333375</xdr:colOff>
                    <xdr:row>3</xdr:row>
                    <xdr:rowOff>257175</xdr:rowOff>
                  </to>
                </anchor>
              </controlPr>
            </control>
          </mc:Choice>
        </mc:AlternateContent>
        <mc:AlternateContent xmlns:mc="http://schemas.openxmlformats.org/markup-compatibility/2006">
          <mc:Choice Requires="x14">
            <control shapeId="1027" r:id="rId5" name="Button 3">
              <controlPr defaultSize="0" print="0" autoFill="0" autoPict="0" macro="[0]!Convert_to_Standard_Template">
                <anchor moveWithCells="1" sizeWithCells="1">
                  <from>
                    <xdr:col>9</xdr:col>
                    <xdr:colOff>9525</xdr:colOff>
                    <xdr:row>2</xdr:row>
                    <xdr:rowOff>152400</xdr:rowOff>
                  </from>
                  <to>
                    <xdr:col>13</xdr:col>
                    <xdr:colOff>600075</xdr:colOff>
                    <xdr:row>3</xdr:row>
                    <xdr:rowOff>247650</xdr:rowOff>
                  </to>
                </anchor>
              </controlPr>
            </control>
          </mc:Choice>
        </mc:AlternateContent>
        <mc:AlternateContent xmlns:mc="http://schemas.openxmlformats.org/markup-compatibility/2006">
          <mc:Choice Requires="x14">
            <control shapeId="1029" r:id="rId6" name="Button 5">
              <controlPr defaultSize="0" print="0" autoFill="0" autoPict="0" macro="[0]!Convert_to_Expanded_Template">
                <anchor moveWithCells="1" sizeWithCells="1">
                  <from>
                    <xdr:col>9</xdr:col>
                    <xdr:colOff>9525</xdr:colOff>
                    <xdr:row>4</xdr:row>
                    <xdr:rowOff>66675</xdr:rowOff>
                  </from>
                  <to>
                    <xdr:col>14</xdr:col>
                    <xdr:colOff>0</xdr:colOff>
                    <xdr:row>6</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dimension ref="B2:T27"/>
  <sheetViews>
    <sheetView zoomScaleNormal="100" workbookViewId="0">
      <selection activeCell="F25" sqref="F25"/>
    </sheetView>
  </sheetViews>
  <sheetFormatPr defaultRowHeight="12.75" x14ac:dyDescent="0.2"/>
  <cols>
    <col min="1" max="1" width="4.85546875" customWidth="1"/>
    <col min="2" max="3" width="7.7109375" customWidth="1"/>
    <col min="9" max="9" width="15.42578125" customWidth="1"/>
    <col min="10" max="10" width="10.5703125" customWidth="1"/>
    <col min="11" max="11" width="3.7109375" customWidth="1"/>
    <col min="14" max="14" width="3.7109375" customWidth="1"/>
    <col min="16" max="17" width="14.7109375" customWidth="1"/>
    <col min="18" max="18" width="16.7109375" customWidth="1"/>
    <col min="20" max="20" width="9.85546875" bestFit="1" customWidth="1"/>
  </cols>
  <sheetData>
    <row r="2" spans="2:20" ht="18" x14ac:dyDescent="0.25">
      <c r="B2" s="1685" t="s">
        <v>923</v>
      </c>
      <c r="C2" s="1685"/>
      <c r="D2" s="1685"/>
      <c r="E2" s="1685"/>
      <c r="F2" s="1685"/>
      <c r="G2" s="1685"/>
      <c r="H2" s="1685"/>
      <c r="I2" s="1685"/>
      <c r="J2" s="1685"/>
      <c r="K2" s="1685"/>
      <c r="L2" s="1685"/>
      <c r="M2" s="1685"/>
      <c r="N2" s="1685"/>
      <c r="O2" s="1685"/>
      <c r="P2" s="1685"/>
      <c r="Q2" s="1685"/>
      <c r="R2" s="1685"/>
    </row>
    <row r="4" spans="2:20" ht="16.5" thickBot="1" x14ac:dyDescent="0.3">
      <c r="B4" s="1687" t="s">
        <v>924</v>
      </c>
      <c r="C4" s="1687"/>
      <c r="D4" s="1687"/>
      <c r="E4" s="1687"/>
      <c r="F4" s="1687"/>
      <c r="G4" s="1687"/>
      <c r="H4" s="1687"/>
      <c r="I4" s="1687"/>
      <c r="J4" s="1687"/>
      <c r="K4" s="1687"/>
      <c r="L4" s="1687"/>
      <c r="M4" s="1687"/>
      <c r="N4" s="1687"/>
      <c r="O4" s="1687"/>
      <c r="P4" s="1687"/>
      <c r="Q4" s="1687"/>
      <c r="R4" s="1687"/>
    </row>
    <row r="5" spans="2:20" ht="21.75" customHeight="1" thickTop="1" thickBot="1" x14ac:dyDescent="0.3">
      <c r="B5" s="334"/>
      <c r="C5" s="269"/>
      <c r="D5" s="269"/>
      <c r="E5" s="269"/>
      <c r="F5" s="269"/>
      <c r="G5" s="269"/>
      <c r="H5" s="269"/>
      <c r="I5" s="269"/>
      <c r="J5" s="269"/>
      <c r="K5" s="269"/>
      <c r="L5" s="269"/>
      <c r="M5" s="269"/>
      <c r="N5" s="269"/>
      <c r="O5" s="269"/>
      <c r="P5" s="269"/>
      <c r="Q5" s="269"/>
      <c r="R5" s="335" t="str">
        <f>"YEAR  "&amp;'Key Inputs'!E34</f>
        <v>YEAR  2021</v>
      </c>
    </row>
    <row r="6" spans="2:20" ht="21.95" customHeight="1" thickTop="1" x14ac:dyDescent="0.25">
      <c r="B6" s="100" t="s">
        <v>0</v>
      </c>
      <c r="C6" s="100"/>
      <c r="D6" s="100"/>
      <c r="E6" s="100"/>
      <c r="F6" s="100"/>
      <c r="G6" s="100"/>
      <c r="H6" s="100"/>
      <c r="I6" s="100"/>
      <c r="J6" s="100"/>
      <c r="K6" s="100"/>
      <c r="L6" s="138"/>
      <c r="M6" s="138"/>
      <c r="N6" s="138"/>
      <c r="O6" s="138"/>
      <c r="P6" s="253"/>
      <c r="Q6" s="253"/>
      <c r="R6" s="337" t="s">
        <v>10</v>
      </c>
    </row>
    <row r="7" spans="2:20" ht="21.95" customHeight="1" x14ac:dyDescent="0.25">
      <c r="B7" s="43" t="s">
        <v>1</v>
      </c>
      <c r="C7" s="43"/>
      <c r="D7" s="43"/>
      <c r="E7" s="43"/>
      <c r="F7" s="43"/>
      <c r="G7" s="43"/>
      <c r="H7" s="43"/>
      <c r="I7" s="43"/>
      <c r="J7" s="43"/>
      <c r="K7" s="43"/>
      <c r="L7" s="106"/>
      <c r="M7" s="106"/>
      <c r="N7" s="106"/>
      <c r="O7" s="106"/>
      <c r="P7" s="5"/>
      <c r="Q7" s="5"/>
      <c r="R7" s="338" t="s">
        <v>10</v>
      </c>
    </row>
    <row r="8" spans="2:20" ht="21.95" customHeight="1" x14ac:dyDescent="0.25">
      <c r="B8" s="43"/>
      <c r="C8" s="43" t="s">
        <v>3357</v>
      </c>
      <c r="D8" s="43"/>
      <c r="E8" s="43"/>
      <c r="F8" s="43"/>
      <c r="G8" s="43"/>
      <c r="H8" s="43"/>
      <c r="I8" s="43"/>
      <c r="J8" s="43"/>
      <c r="K8" s="43"/>
      <c r="L8" s="106"/>
      <c r="M8" s="106"/>
      <c r="N8" s="106"/>
      <c r="O8" s="106"/>
      <c r="P8" s="5"/>
      <c r="Q8" s="5"/>
      <c r="R8" s="358">
        <f>+'19'!J25</f>
        <v>394670.05999999994</v>
      </c>
    </row>
    <row r="9" spans="2:20" ht="21.95" customHeight="1" x14ac:dyDescent="0.25">
      <c r="B9" s="43" t="s">
        <v>2</v>
      </c>
      <c r="C9" s="43"/>
      <c r="D9" s="43"/>
      <c r="E9" s="43"/>
      <c r="F9" s="43"/>
      <c r="G9" s="43"/>
      <c r="H9" s="43"/>
      <c r="I9" s="43"/>
      <c r="J9" s="43"/>
      <c r="K9" s="43"/>
      <c r="L9" s="106"/>
      <c r="M9" s="106"/>
      <c r="N9" s="106"/>
      <c r="O9" s="106"/>
      <c r="P9" s="5"/>
      <c r="Q9" s="5"/>
      <c r="R9" s="338" t="s">
        <v>10</v>
      </c>
    </row>
    <row r="10" spans="2:20" ht="21.95" customHeight="1" x14ac:dyDescent="0.25">
      <c r="B10" s="43"/>
      <c r="C10" s="43" t="s">
        <v>3358</v>
      </c>
      <c r="D10" s="43"/>
      <c r="E10" s="43"/>
      <c r="F10" s="43"/>
      <c r="G10" s="43"/>
      <c r="H10" s="43"/>
      <c r="I10" s="43"/>
      <c r="J10" s="43"/>
      <c r="K10" s="43"/>
      <c r="L10" s="106"/>
      <c r="M10" s="106"/>
      <c r="N10" s="106"/>
      <c r="O10" s="106"/>
      <c r="P10" s="5"/>
      <c r="Q10" s="5"/>
      <c r="R10" s="358">
        <f>+'28'!J25</f>
        <v>136069.84</v>
      </c>
    </row>
    <row r="11" spans="2:20" ht="21.95" customHeight="1" thickBot="1" x14ac:dyDescent="0.3">
      <c r="B11" s="43"/>
      <c r="C11" s="43" t="s">
        <v>3</v>
      </c>
      <c r="D11" s="43"/>
      <c r="E11" s="43"/>
      <c r="F11" s="43"/>
      <c r="G11" s="43"/>
      <c r="H11" s="43"/>
      <c r="I11" s="43"/>
      <c r="J11" s="43"/>
      <c r="K11" s="43"/>
      <c r="L11" s="106"/>
      <c r="M11" s="106"/>
      <c r="N11" s="106"/>
      <c r="O11" s="106"/>
      <c r="P11" s="5"/>
      <c r="Q11" s="5"/>
      <c r="R11" s="359">
        <f>+'29'!J20</f>
        <v>0</v>
      </c>
    </row>
    <row r="12" spans="2:20" ht="21.95" customHeight="1" thickBot="1" x14ac:dyDescent="0.3">
      <c r="B12" s="43"/>
      <c r="C12" s="43"/>
      <c r="D12" s="43" t="s">
        <v>4</v>
      </c>
      <c r="E12" s="43"/>
      <c r="F12" s="43"/>
      <c r="G12" s="43"/>
      <c r="H12" s="43"/>
      <c r="I12" s="43"/>
      <c r="J12" s="125"/>
      <c r="K12" s="43"/>
      <c r="L12" s="106"/>
      <c r="M12" s="106"/>
      <c r="N12" s="106"/>
      <c r="O12" s="106"/>
      <c r="P12" s="5"/>
      <c r="Q12" s="5"/>
      <c r="R12" s="360">
        <f>+R11+R10</f>
        <v>136069.84</v>
      </c>
    </row>
    <row r="13" spans="2:20" ht="21.95" customHeight="1" thickBot="1" x14ac:dyDescent="0.3">
      <c r="B13" s="43" t="s">
        <v>11</v>
      </c>
      <c r="C13" s="43"/>
      <c r="D13" s="43"/>
      <c r="E13" s="43"/>
      <c r="F13" s="43"/>
      <c r="G13" s="43"/>
      <c r="H13" s="43"/>
      <c r="I13" s="43"/>
      <c r="J13" s="419">
        <f>+'Reserve &amp; Tax Calculation'!D28</f>
        <v>0.89504126260000005</v>
      </c>
      <c r="K13" s="43" t="s">
        <v>667</v>
      </c>
      <c r="L13" s="106"/>
      <c r="M13" s="106"/>
      <c r="N13" s="106"/>
      <c r="O13" s="106"/>
      <c r="P13" s="5"/>
      <c r="Q13" s="5"/>
      <c r="R13" s="361">
        <f>+'29'!J24</f>
        <v>298014.59115825919</v>
      </c>
    </row>
    <row r="14" spans="2:20" ht="21.95" customHeight="1" x14ac:dyDescent="0.25">
      <c r="B14" s="417"/>
      <c r="C14" s="417"/>
      <c r="D14" s="417"/>
      <c r="E14" s="417"/>
      <c r="F14" s="417"/>
      <c r="G14" s="417"/>
      <c r="H14" s="417"/>
      <c r="I14" s="417"/>
      <c r="J14" s="417"/>
      <c r="K14" s="417"/>
      <c r="L14" s="418" t="s">
        <v>6</v>
      </c>
      <c r="M14" s="217"/>
      <c r="N14" s="217"/>
      <c r="O14" s="235" t="str">
        <f>'Key Inputs'!E34&amp;" - $"</f>
        <v>2021 - $</v>
      </c>
      <c r="P14" s="807"/>
      <c r="R14" s="316"/>
    </row>
    <row r="15" spans="2:20" ht="21.95" customHeight="1" x14ac:dyDescent="0.25">
      <c r="B15" s="777" t="s">
        <v>5</v>
      </c>
      <c r="C15" s="69"/>
      <c r="D15" s="69"/>
      <c r="E15" s="69"/>
      <c r="F15" s="69"/>
      <c r="G15" s="69"/>
      <c r="H15" s="69"/>
      <c r="I15" s="69"/>
      <c r="J15" s="69"/>
      <c r="K15" s="69"/>
      <c r="L15" s="200" t="s">
        <v>361</v>
      </c>
      <c r="M15" s="92"/>
      <c r="N15" s="92"/>
      <c r="O15" s="235" t="str">
        <f>'Key Inputs'!E34-1&amp;" - $"</f>
        <v>2020 - $</v>
      </c>
      <c r="P15" s="807"/>
      <c r="Q15" s="4"/>
      <c r="R15" s="361">
        <f>+'29'!J25</f>
        <v>828754.4911582591</v>
      </c>
      <c r="T15" s="29"/>
    </row>
    <row r="16" spans="2:20" ht="21.95" customHeight="1" x14ac:dyDescent="0.25">
      <c r="B16" s="43" t="s">
        <v>363</v>
      </c>
      <c r="C16" s="43"/>
      <c r="D16" s="43"/>
      <c r="E16" s="43"/>
      <c r="F16" s="43"/>
      <c r="G16" s="43"/>
      <c r="H16" s="43"/>
      <c r="I16" s="43"/>
      <c r="J16" s="43"/>
      <c r="K16" s="43"/>
      <c r="L16" s="106"/>
      <c r="M16" s="106"/>
      <c r="N16" s="106"/>
      <c r="O16" s="106"/>
      <c r="P16" s="5"/>
      <c r="Q16" s="5"/>
      <c r="R16" s="362">
        <f>+'11'!I20</f>
        <v>494501.83999999997</v>
      </c>
    </row>
    <row r="17" spans="2:20" ht="21.95" customHeight="1" x14ac:dyDescent="0.25">
      <c r="B17" s="43" t="s">
        <v>362</v>
      </c>
      <c r="C17" s="43"/>
      <c r="D17" s="43"/>
      <c r="E17" s="43"/>
      <c r="F17" s="43"/>
      <c r="G17" s="43"/>
      <c r="H17" s="43"/>
      <c r="I17" s="43"/>
      <c r="J17" s="43"/>
      <c r="K17" s="43"/>
      <c r="L17" s="106"/>
      <c r="M17" s="106"/>
      <c r="N17" s="106"/>
      <c r="O17" s="106"/>
      <c r="P17" s="5"/>
      <c r="Q17" s="5"/>
      <c r="R17" s="338" t="s">
        <v>10</v>
      </c>
    </row>
    <row r="18" spans="2:20" ht="21.95" customHeight="1" x14ac:dyDescent="0.25">
      <c r="B18" s="43"/>
      <c r="C18" s="43"/>
      <c r="D18" s="43" t="s">
        <v>7</v>
      </c>
      <c r="E18" s="43"/>
      <c r="F18" s="43"/>
      <c r="G18" s="43"/>
      <c r="H18" s="43"/>
      <c r="I18" s="43"/>
      <c r="J18" s="43"/>
      <c r="K18" s="43"/>
      <c r="L18" s="106"/>
      <c r="M18" s="106"/>
      <c r="N18" s="106"/>
      <c r="O18" s="106"/>
      <c r="P18" s="5"/>
      <c r="Q18" s="5"/>
      <c r="R18" s="358">
        <f>+'11'!I22</f>
        <v>334252.65115825913</v>
      </c>
      <c r="T18" s="29"/>
    </row>
    <row r="19" spans="2:20" ht="21.95" customHeight="1" x14ac:dyDescent="0.25">
      <c r="B19" s="43"/>
      <c r="C19" s="43"/>
      <c r="D19" s="43" t="s">
        <v>8</v>
      </c>
      <c r="E19" s="43"/>
      <c r="F19" s="43"/>
      <c r="G19" s="43"/>
      <c r="H19" s="43"/>
      <c r="I19" s="43"/>
      <c r="J19" s="43"/>
      <c r="K19" s="43"/>
      <c r="L19" s="106"/>
      <c r="M19" s="106"/>
      <c r="N19" s="106"/>
      <c r="O19" s="106"/>
      <c r="P19" s="5"/>
      <c r="Q19" s="5"/>
      <c r="R19" s="358">
        <f>+'11'!I23</f>
        <v>0</v>
      </c>
      <c r="T19" s="29"/>
    </row>
    <row r="20" spans="2:20" ht="21.95" customHeight="1" x14ac:dyDescent="0.25">
      <c r="B20" s="16"/>
      <c r="C20" s="16"/>
      <c r="D20" s="43" t="s">
        <v>3225</v>
      </c>
      <c r="E20" s="16"/>
      <c r="F20" s="16"/>
      <c r="G20" s="16"/>
      <c r="H20" s="16"/>
      <c r="I20" s="16"/>
      <c r="J20" s="16"/>
      <c r="K20" s="16"/>
      <c r="L20" s="5"/>
      <c r="M20" s="5"/>
      <c r="N20" s="5"/>
      <c r="O20" s="5"/>
      <c r="P20" s="5"/>
      <c r="Q20" s="5"/>
      <c r="R20" s="358">
        <f>+'11'!I24</f>
        <v>0</v>
      </c>
    </row>
    <row r="21" spans="2:20" ht="21.95" customHeight="1" x14ac:dyDescent="0.2">
      <c r="B21" s="16"/>
      <c r="C21" s="16"/>
      <c r="D21" s="16"/>
      <c r="E21" s="16"/>
      <c r="F21" s="16"/>
      <c r="G21" s="16"/>
      <c r="H21" s="16"/>
      <c r="I21" s="16"/>
      <c r="J21" s="16"/>
      <c r="K21" s="16"/>
      <c r="L21" s="5"/>
      <c r="M21" s="5"/>
      <c r="N21" s="5"/>
      <c r="O21" s="5"/>
      <c r="P21" s="5"/>
      <c r="Q21" s="5"/>
      <c r="R21" s="336"/>
    </row>
    <row r="22" spans="2:20" ht="21.95" customHeight="1" x14ac:dyDescent="0.2">
      <c r="B22" s="16"/>
      <c r="C22" s="16"/>
      <c r="D22" s="16"/>
      <c r="E22" s="16"/>
      <c r="F22" s="16"/>
      <c r="G22" s="16"/>
      <c r="H22" s="16"/>
      <c r="I22" s="16"/>
      <c r="J22" s="16"/>
      <c r="K22" s="16"/>
      <c r="L22" s="5"/>
      <c r="M22" s="5"/>
      <c r="N22" s="5"/>
      <c r="O22" s="5"/>
      <c r="P22" s="5"/>
      <c r="Q22" s="5"/>
      <c r="R22" s="336"/>
    </row>
    <row r="23" spans="2:20" ht="21.95" customHeight="1" x14ac:dyDescent="0.2">
      <c r="B23" s="16"/>
      <c r="C23" s="16"/>
      <c r="D23" s="16"/>
      <c r="E23" s="16"/>
      <c r="F23" s="16"/>
      <c r="G23" s="16"/>
      <c r="H23" s="16"/>
      <c r="I23" s="16"/>
      <c r="J23" s="16"/>
      <c r="K23" s="16"/>
      <c r="L23" s="5"/>
      <c r="M23" s="5"/>
      <c r="N23" s="5"/>
      <c r="O23" s="5"/>
      <c r="P23" s="5"/>
      <c r="Q23" s="5"/>
      <c r="R23" s="336"/>
    </row>
    <row r="24" spans="2:20" ht="21.95" customHeight="1" x14ac:dyDescent="0.2">
      <c r="B24" s="16"/>
      <c r="C24" s="16"/>
      <c r="D24" s="16"/>
      <c r="E24" s="16"/>
      <c r="F24" s="16"/>
      <c r="G24" s="16"/>
      <c r="H24" s="16"/>
      <c r="I24" s="16"/>
      <c r="J24" s="16"/>
      <c r="K24" s="16"/>
      <c r="L24" s="5"/>
      <c r="M24" s="5"/>
      <c r="N24" s="5"/>
      <c r="O24" s="5"/>
      <c r="P24" s="5"/>
      <c r="Q24" s="5"/>
      <c r="R24" s="336"/>
    </row>
    <row r="25" spans="2:20" ht="20.100000000000001" customHeight="1" x14ac:dyDescent="0.2">
      <c r="B25" s="126"/>
      <c r="C25" s="126"/>
      <c r="D25" s="126"/>
      <c r="E25" s="126"/>
      <c r="F25" s="126"/>
      <c r="G25" s="126"/>
      <c r="H25" s="126"/>
      <c r="I25" s="126"/>
      <c r="J25" s="126"/>
      <c r="K25" s="126"/>
      <c r="L25" s="63"/>
      <c r="M25" s="63"/>
      <c r="N25" s="63"/>
      <c r="O25" s="63"/>
      <c r="P25" s="63"/>
      <c r="Q25" s="63"/>
      <c r="R25" s="63"/>
    </row>
    <row r="26" spans="2:20" ht="20.100000000000001" customHeight="1" x14ac:dyDescent="0.2">
      <c r="B26" s="126"/>
      <c r="C26" s="126"/>
      <c r="D26" s="126"/>
      <c r="E26" s="126"/>
      <c r="F26" s="126"/>
      <c r="G26" s="126"/>
      <c r="H26" s="126"/>
      <c r="I26" s="126"/>
      <c r="J26" s="126"/>
      <c r="K26" s="126"/>
      <c r="L26" s="63"/>
      <c r="M26" s="63"/>
      <c r="N26" s="63"/>
      <c r="O26" s="63"/>
      <c r="P26" s="63"/>
      <c r="Q26" s="63"/>
      <c r="R26" s="63"/>
    </row>
    <row r="27" spans="2:20" ht="15.75" x14ac:dyDescent="0.25">
      <c r="B27" s="1617" t="s">
        <v>9</v>
      </c>
      <c r="C27" s="1617"/>
      <c r="D27" s="1617"/>
      <c r="E27" s="1617"/>
      <c r="F27" s="1617"/>
      <c r="G27" s="1617"/>
      <c r="H27" s="1617"/>
      <c r="I27" s="1617"/>
      <c r="J27" s="1617"/>
      <c r="K27" s="1617"/>
      <c r="L27" s="1617"/>
      <c r="M27" s="1617"/>
      <c r="N27" s="1617"/>
      <c r="O27" s="1617"/>
      <c r="P27" s="1617"/>
      <c r="Q27" s="1617"/>
      <c r="R27" s="1617"/>
    </row>
  </sheetData>
  <sheetProtection password="CAF9" sheet="1" objects="1" scenarios="1"/>
  <mergeCells count="3">
    <mergeCell ref="B2:R2"/>
    <mergeCell ref="B4:R4"/>
    <mergeCell ref="B27:R27"/>
  </mergeCells>
  <phoneticPr fontId="0" type="noConversion"/>
  <pageMargins left="0.25" right="0.3" top="0.25" bottom="0.75" header="0.25" footer="0.25"/>
  <pageSetup paperSize="5"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dimension ref="B2:T29"/>
  <sheetViews>
    <sheetView showZeros="0" zoomScaleNormal="100" workbookViewId="0">
      <selection activeCell="C25" sqref="C25:L25"/>
    </sheetView>
  </sheetViews>
  <sheetFormatPr defaultRowHeight="12.75" x14ac:dyDescent="0.2"/>
  <cols>
    <col min="1" max="1" width="4.7109375" customWidth="1"/>
    <col min="2" max="3" width="7.7109375" customWidth="1"/>
    <col min="4" max="4" width="5.7109375" customWidth="1"/>
    <col min="5" max="5" width="4.7109375" customWidth="1"/>
    <col min="7" max="7" width="13" customWidth="1"/>
    <col min="8" max="14" width="16.7109375" customWidth="1"/>
    <col min="15" max="15" width="6.7109375" customWidth="1"/>
    <col min="20" max="20" width="10.7109375" customWidth="1"/>
  </cols>
  <sheetData>
    <row r="2" spans="2:20" ht="19.5" customHeight="1" x14ac:dyDescent="0.25">
      <c r="B2" s="1617" t="s">
        <v>785</v>
      </c>
      <c r="C2" s="1617"/>
      <c r="D2" s="1617"/>
      <c r="E2" s="1617"/>
      <c r="F2" s="1617"/>
      <c r="G2" s="1617"/>
      <c r="H2" s="1617"/>
      <c r="I2" s="1617"/>
      <c r="J2" s="1617"/>
      <c r="K2" s="1617"/>
      <c r="L2" s="1617"/>
      <c r="M2" s="1617"/>
      <c r="N2" s="1617"/>
    </row>
    <row r="4" spans="2:20" ht="20.25" customHeight="1" x14ac:dyDescent="0.25">
      <c r="B4" s="1683" t="str">
        <f>"SUMMARY  OF  "&amp;'Key Inputs'!E34-1&amp;"  APPROPRIATIONS  EXPENDED  AND  CANCELED"</f>
        <v>SUMMARY  OF  2020  APPROPRIATIONS  EXPENDED  AND  CANCELED</v>
      </c>
      <c r="C4" s="1683"/>
      <c r="D4" s="1683"/>
      <c r="E4" s="1683"/>
      <c r="F4" s="1683"/>
      <c r="G4" s="1683"/>
      <c r="H4" s="1683"/>
      <c r="I4" s="1683"/>
      <c r="J4" s="1683"/>
      <c r="K4" s="1683"/>
      <c r="L4" s="1683"/>
      <c r="M4" s="1683"/>
      <c r="N4" s="1683"/>
    </row>
    <row r="5" spans="2:20" ht="18.75" customHeight="1" thickBot="1" x14ac:dyDescent="0.25"/>
    <row r="6" spans="2:20" ht="21" customHeight="1" thickTop="1" x14ac:dyDescent="0.25">
      <c r="B6" s="222"/>
      <c r="C6" s="222"/>
      <c r="D6" s="222"/>
      <c r="E6" s="222"/>
      <c r="F6" s="222"/>
      <c r="G6" s="222"/>
      <c r="H6" s="25" t="s">
        <v>442</v>
      </c>
      <c r="I6" s="25">
        <f>+'Key Inputs'!E39</f>
        <v>0</v>
      </c>
      <c r="J6" s="25">
        <f>+'Key Inputs'!E40</f>
        <v>0</v>
      </c>
      <c r="K6" s="25">
        <f>+'Key Inputs'!E41</f>
        <v>0</v>
      </c>
      <c r="L6" s="25">
        <f>+'Key Inputs'!E42</f>
        <v>0</v>
      </c>
      <c r="M6" s="25">
        <f>+'Key Inputs'!E43</f>
        <v>0</v>
      </c>
      <c r="N6" s="25">
        <f>+'Key Inputs'!E44</f>
        <v>0</v>
      </c>
    </row>
    <row r="7" spans="2:20" ht="21" customHeight="1" x14ac:dyDescent="0.25">
      <c r="B7" s="4"/>
      <c r="C7" s="4"/>
      <c r="D7" s="4"/>
      <c r="E7" s="4"/>
      <c r="F7" s="4"/>
      <c r="G7" s="4"/>
      <c r="H7" s="333" t="s">
        <v>828</v>
      </c>
      <c r="I7" s="333" t="s">
        <v>829</v>
      </c>
      <c r="J7" s="333" t="s">
        <v>829</v>
      </c>
      <c r="K7" s="333" t="s">
        <v>829</v>
      </c>
      <c r="L7" s="333" t="s">
        <v>829</v>
      </c>
      <c r="M7" s="333" t="s">
        <v>829</v>
      </c>
      <c r="N7" s="333" t="s">
        <v>829</v>
      </c>
      <c r="P7" s="561"/>
      <c r="Q7" s="561"/>
      <c r="R7" s="561"/>
      <c r="S7" s="561"/>
      <c r="T7" s="561"/>
    </row>
    <row r="8" spans="2:20" ht="21" customHeight="1" x14ac:dyDescent="0.2">
      <c r="B8" s="16" t="s">
        <v>820</v>
      </c>
      <c r="C8" s="16"/>
      <c r="D8" s="5"/>
      <c r="E8" s="5"/>
      <c r="F8" s="5"/>
      <c r="G8" s="5"/>
      <c r="H8" s="22">
        <f>+'29'!K25-'3a'!H9</f>
        <v>1050963.6299999999</v>
      </c>
      <c r="I8" s="22">
        <f>+'33-Utility1'!I25</f>
        <v>0</v>
      </c>
      <c r="J8" s="22">
        <f>+'33-Utility2'!I25</f>
        <v>0</v>
      </c>
      <c r="K8" s="22">
        <f>+'33-Utility3'!I25</f>
        <v>0</v>
      </c>
      <c r="L8" s="22">
        <f>+'33-Utility4'!I25</f>
        <v>0</v>
      </c>
      <c r="M8" s="22">
        <f>+'33-Utility5'!I25</f>
        <v>0</v>
      </c>
      <c r="N8" s="22">
        <f>+'33-Utility6'!I25</f>
        <v>0</v>
      </c>
      <c r="P8" s="570"/>
      <c r="Q8" s="570"/>
      <c r="R8" s="570"/>
      <c r="S8" s="570"/>
      <c r="T8" s="570"/>
    </row>
    <row r="9" spans="2:20" ht="21" customHeight="1" x14ac:dyDescent="0.2">
      <c r="B9" s="16" t="s">
        <v>3344</v>
      </c>
      <c r="C9" s="16"/>
      <c r="D9" s="5"/>
      <c r="E9" s="5"/>
      <c r="F9" s="5"/>
      <c r="G9" s="5"/>
      <c r="H9" s="743"/>
      <c r="I9" s="743"/>
      <c r="J9" s="743"/>
      <c r="K9" s="743"/>
      <c r="L9" s="743"/>
      <c r="M9" s="743"/>
      <c r="N9" s="743"/>
      <c r="P9" s="251"/>
      <c r="Q9" s="251"/>
      <c r="R9" s="251"/>
      <c r="S9" s="251"/>
      <c r="T9" s="251"/>
    </row>
    <row r="10" spans="2:20" ht="21" customHeight="1" x14ac:dyDescent="0.2">
      <c r="B10" s="16" t="s">
        <v>821</v>
      </c>
      <c r="C10" s="16"/>
      <c r="D10" s="5"/>
      <c r="E10" s="5"/>
      <c r="F10" s="5"/>
      <c r="G10" s="5"/>
      <c r="H10" s="22">
        <f>+'29'!L25</f>
        <v>0</v>
      </c>
      <c r="I10" s="22">
        <f>+'33-Utility1'!J25</f>
        <v>0</v>
      </c>
      <c r="J10" s="22">
        <f>+'33-Utility2'!J25</f>
        <v>0</v>
      </c>
      <c r="K10" s="22">
        <f>+'33-Utility3'!J25</f>
        <v>0</v>
      </c>
      <c r="L10" s="22">
        <f>+'33-Utility4'!J25</f>
        <v>0</v>
      </c>
      <c r="M10" s="22">
        <f>+'33-Utility5'!J25</f>
        <v>0</v>
      </c>
      <c r="N10" s="22">
        <f>+'33-Utility6'!J25</f>
        <v>0</v>
      </c>
      <c r="P10" s="571"/>
      <c r="Q10" s="571"/>
      <c r="R10" s="571"/>
      <c r="S10" s="571"/>
      <c r="T10" s="571"/>
    </row>
    <row r="11" spans="2:20" ht="21" customHeight="1" x14ac:dyDescent="0.2">
      <c r="B11" s="16"/>
      <c r="C11" s="16" t="s">
        <v>822</v>
      </c>
      <c r="D11" s="5"/>
      <c r="E11" s="5"/>
      <c r="F11" s="5"/>
      <c r="G11" s="5"/>
      <c r="H11" s="22">
        <f>SUM(H8:H10)</f>
        <v>1050963.6299999999</v>
      </c>
      <c r="I11" s="22">
        <f t="shared" ref="I11:N11" si="0">SUM(I8:I10)</f>
        <v>0</v>
      </c>
      <c r="J11" s="22">
        <f t="shared" si="0"/>
        <v>0</v>
      </c>
      <c r="K11" s="22">
        <f t="shared" si="0"/>
        <v>0</v>
      </c>
      <c r="L11" s="22">
        <f t="shared" si="0"/>
        <v>0</v>
      </c>
      <c r="M11" s="22">
        <f t="shared" si="0"/>
        <v>0</v>
      </c>
      <c r="N11" s="22">
        <f t="shared" si="0"/>
        <v>0</v>
      </c>
      <c r="P11" s="571"/>
      <c r="Q11" s="571"/>
      <c r="R11" s="571"/>
      <c r="S11" s="571"/>
      <c r="T11" s="571"/>
    </row>
    <row r="12" spans="2:20" ht="14.25" customHeight="1" x14ac:dyDescent="0.2">
      <c r="B12" s="331" t="s">
        <v>823</v>
      </c>
      <c r="C12" s="248"/>
      <c r="H12" s="65"/>
      <c r="I12" s="65"/>
      <c r="J12" s="65"/>
      <c r="K12" s="65"/>
      <c r="L12" s="65"/>
      <c r="M12" s="65"/>
      <c r="N12" s="65"/>
      <c r="P12" s="572"/>
      <c r="Q12" s="572"/>
      <c r="R12" s="572"/>
      <c r="S12" s="572"/>
      <c r="T12" s="572"/>
    </row>
    <row r="13" spans="2:20" ht="14.25" customHeight="1" x14ac:dyDescent="0.2">
      <c r="B13" s="248"/>
      <c r="C13" s="248" t="s">
        <v>824</v>
      </c>
      <c r="H13" s="65"/>
      <c r="I13" s="65"/>
      <c r="J13" s="65"/>
      <c r="K13" s="65"/>
      <c r="L13" s="65"/>
      <c r="M13" s="65"/>
      <c r="N13" s="65"/>
      <c r="P13" s="251"/>
      <c r="Q13" s="251"/>
      <c r="R13" s="251"/>
      <c r="S13" s="251"/>
      <c r="T13" s="251"/>
    </row>
    <row r="14" spans="2:20" ht="14.25" customHeight="1" x14ac:dyDescent="0.2">
      <c r="B14" s="87"/>
      <c r="C14" s="87"/>
      <c r="D14" s="4"/>
      <c r="E14" s="4"/>
      <c r="F14" s="87" t="s">
        <v>825</v>
      </c>
      <c r="G14" s="4"/>
      <c r="H14" s="30">
        <f>+'29'!N25</f>
        <v>708998.07000000007</v>
      </c>
      <c r="I14" s="30">
        <f>+'33-Utility1'!L25</f>
        <v>0</v>
      </c>
      <c r="J14" s="30">
        <f>+'33-Utility2'!L25</f>
        <v>0</v>
      </c>
      <c r="K14" s="30">
        <f>+'33-Utility3'!L25</f>
        <v>0</v>
      </c>
      <c r="L14" s="30">
        <f>+'33-Utility4'!L25</f>
        <v>0</v>
      </c>
      <c r="M14" s="30">
        <f>+'33-Utility5'!L25</f>
        <v>0</v>
      </c>
      <c r="N14" s="30">
        <f>+'33-Utility6'!L25</f>
        <v>0</v>
      </c>
      <c r="P14" s="571"/>
      <c r="Q14" s="571"/>
      <c r="R14" s="571"/>
      <c r="S14" s="571"/>
      <c r="T14" s="571"/>
    </row>
    <row r="15" spans="2:20" ht="21" customHeight="1" x14ac:dyDescent="0.2">
      <c r="B15" s="16"/>
      <c r="C15" s="16" t="s">
        <v>22</v>
      </c>
      <c r="D15" s="5"/>
      <c r="E15" s="5"/>
      <c r="F15" s="5"/>
      <c r="G15" s="5"/>
      <c r="H15" s="22">
        <f>+'29'!O25</f>
        <v>115415.56</v>
      </c>
      <c r="I15" s="22">
        <f>+'33-Utility1'!M25</f>
        <v>0</v>
      </c>
      <c r="J15" s="22">
        <f>+'33-Utility2'!M25</f>
        <v>0</v>
      </c>
      <c r="K15" s="22">
        <f>+'33-Utility3'!M25</f>
        <v>0</v>
      </c>
      <c r="L15" s="22">
        <f>+'33-Utility4'!M25</f>
        <v>0</v>
      </c>
      <c r="M15" s="22">
        <f>+'33-Utility5'!M25</f>
        <v>0</v>
      </c>
      <c r="N15" s="22">
        <f>+'33-Utility6'!M25</f>
        <v>0</v>
      </c>
      <c r="P15" s="571"/>
      <c r="Q15" s="571"/>
      <c r="R15" s="571"/>
      <c r="S15" s="571"/>
      <c r="T15" s="571"/>
    </row>
    <row r="16" spans="2:20" ht="21" customHeight="1" x14ac:dyDescent="0.2">
      <c r="B16" s="16" t="s">
        <v>612</v>
      </c>
      <c r="C16" s="16"/>
      <c r="D16" s="5"/>
      <c r="E16" s="5"/>
      <c r="F16" s="5"/>
      <c r="G16" s="5"/>
      <c r="H16" s="743">
        <f>+'29'!R25</f>
        <v>226549.99999999983</v>
      </c>
      <c r="I16" s="743">
        <f>+'33-Utility1'!O25</f>
        <v>0</v>
      </c>
      <c r="J16" s="743">
        <f>+'33-Utility2'!O25</f>
        <v>0</v>
      </c>
      <c r="K16" s="743">
        <f>+'33-Utility3'!O25</f>
        <v>0</v>
      </c>
      <c r="L16" s="743">
        <f>+'33-Utility4'!O25</f>
        <v>0</v>
      </c>
      <c r="M16" s="743">
        <f>+'33-Utility5'!O25</f>
        <v>0</v>
      </c>
      <c r="N16" s="743">
        <f>+'33-Utility6'!O25</f>
        <v>0</v>
      </c>
      <c r="P16" s="251"/>
      <c r="Q16" s="251"/>
      <c r="R16" s="251"/>
      <c r="S16" s="251"/>
      <c r="T16" s="251"/>
    </row>
    <row r="17" spans="2:20" ht="14.25" customHeight="1" x14ac:dyDescent="0.2">
      <c r="B17" s="248"/>
      <c r="C17" s="248" t="s">
        <v>826</v>
      </c>
      <c r="H17" s="65"/>
      <c r="I17" s="65"/>
      <c r="J17" s="65"/>
      <c r="K17" s="65"/>
      <c r="L17" s="65"/>
      <c r="M17" s="65"/>
      <c r="N17" s="65"/>
      <c r="P17" s="571"/>
      <c r="Q17" s="571"/>
      <c r="R17" s="571"/>
      <c r="S17" s="571"/>
      <c r="T17" s="571"/>
    </row>
    <row r="18" spans="2:20" ht="14.25" customHeight="1" x14ac:dyDescent="0.2">
      <c r="B18" s="87"/>
      <c r="C18" s="87" t="s">
        <v>613</v>
      </c>
      <c r="D18" s="4"/>
      <c r="E18" s="4"/>
      <c r="F18" s="4"/>
      <c r="G18" s="4"/>
      <c r="H18" s="30">
        <f>SUM(H12:H16)</f>
        <v>1050963.6299999999</v>
      </c>
      <c r="I18" s="30">
        <f t="shared" ref="I18:N18" si="1">SUM(I12:I16)</f>
        <v>0</v>
      </c>
      <c r="J18" s="30">
        <f t="shared" si="1"/>
        <v>0</v>
      </c>
      <c r="K18" s="30">
        <f t="shared" si="1"/>
        <v>0</v>
      </c>
      <c r="L18" s="30">
        <f t="shared" si="1"/>
        <v>0</v>
      </c>
      <c r="M18" s="30">
        <f t="shared" si="1"/>
        <v>0</v>
      </c>
      <c r="N18" s="30">
        <f t="shared" si="1"/>
        <v>0</v>
      </c>
      <c r="P18" s="571"/>
      <c r="Q18" s="571"/>
      <c r="R18" s="571"/>
      <c r="S18" s="571"/>
      <c r="T18" s="571"/>
    </row>
    <row r="19" spans="2:20" ht="21" customHeight="1" thickBot="1" x14ac:dyDescent="0.25">
      <c r="B19" s="332" t="s">
        <v>827</v>
      </c>
      <c r="C19" s="332"/>
      <c r="D19" s="2"/>
      <c r="E19" s="2"/>
      <c r="F19" s="2"/>
      <c r="G19" s="2"/>
      <c r="H19" s="31">
        <f>+H18-H11</f>
        <v>0</v>
      </c>
      <c r="I19" s="31">
        <f t="shared" ref="I19:N19" si="2">+I18-I11</f>
        <v>0</v>
      </c>
      <c r="J19" s="31">
        <f t="shared" si="2"/>
        <v>0</v>
      </c>
      <c r="K19" s="31">
        <f t="shared" si="2"/>
        <v>0</v>
      </c>
      <c r="L19" s="31">
        <f t="shared" si="2"/>
        <v>0</v>
      </c>
      <c r="M19" s="31">
        <f t="shared" si="2"/>
        <v>0</v>
      </c>
      <c r="N19" s="31">
        <f t="shared" si="2"/>
        <v>0</v>
      </c>
      <c r="P19" s="572"/>
      <c r="Q19" s="572"/>
      <c r="R19" s="572"/>
      <c r="S19" s="572"/>
      <c r="T19" s="572"/>
    </row>
    <row r="20" spans="2:20" ht="15" thickTop="1" x14ac:dyDescent="0.2">
      <c r="B20" s="248"/>
      <c r="C20" s="248"/>
      <c r="P20" s="251"/>
      <c r="Q20" s="251"/>
      <c r="R20" s="251"/>
      <c r="S20" s="251"/>
      <c r="T20" s="251"/>
    </row>
    <row r="21" spans="2:20" ht="14.25" x14ac:dyDescent="0.2">
      <c r="B21" s="248"/>
      <c r="C21" s="248"/>
      <c r="D21" s="418"/>
      <c r="P21" s="571"/>
      <c r="Q21" s="571"/>
      <c r="R21" s="571"/>
      <c r="S21" s="571"/>
      <c r="T21" s="571"/>
    </row>
    <row r="22" spans="2:20" ht="15" x14ac:dyDescent="0.25">
      <c r="B22" s="248"/>
      <c r="C22" s="12"/>
      <c r="D22" s="227"/>
      <c r="E22" s="227"/>
      <c r="F22" s="227"/>
      <c r="G22" s="227"/>
      <c r="H22" s="227"/>
      <c r="P22" s="571"/>
      <c r="Q22" s="571"/>
      <c r="R22" s="571"/>
      <c r="S22" s="571"/>
      <c r="T22" s="571"/>
    </row>
    <row r="23" spans="2:20" ht="14.25" x14ac:dyDescent="0.2">
      <c r="B23" s="248"/>
      <c r="C23" s="49"/>
      <c r="J23" s="29"/>
    </row>
    <row r="24" spans="2:20" ht="14.25" x14ac:dyDescent="0.2">
      <c r="B24" s="248"/>
      <c r="C24" s="49"/>
    </row>
    <row r="25" spans="2:20" ht="14.25" x14ac:dyDescent="0.2">
      <c r="B25" s="248"/>
      <c r="C25" s="1688"/>
      <c r="D25" s="1688"/>
      <c r="E25" s="1688"/>
      <c r="F25" s="1688"/>
      <c r="G25" s="1688"/>
      <c r="H25" s="1688"/>
      <c r="I25" s="1688"/>
      <c r="J25" s="1688"/>
      <c r="K25" s="1688"/>
      <c r="L25" s="1688"/>
    </row>
    <row r="26" spans="2:20" ht="14.25" x14ac:dyDescent="0.2">
      <c r="B26" s="248"/>
      <c r="C26" s="1688"/>
      <c r="D26" s="1688"/>
      <c r="E26" s="1688"/>
      <c r="F26" s="1688"/>
      <c r="G26" s="1688"/>
      <c r="H26" s="1688"/>
      <c r="I26" s="1688"/>
      <c r="J26" s="1688"/>
      <c r="K26" s="1688"/>
      <c r="L26" s="1688"/>
    </row>
    <row r="27" spans="2:20" ht="14.25" x14ac:dyDescent="0.2">
      <c r="B27" s="248"/>
      <c r="C27" s="248"/>
    </row>
    <row r="28" spans="2:20" ht="14.25" x14ac:dyDescent="0.2">
      <c r="B28" s="248"/>
      <c r="C28" s="248"/>
    </row>
    <row r="29" spans="2:20" ht="23.25" customHeight="1" x14ac:dyDescent="0.25">
      <c r="B29" s="637"/>
      <c r="C29" s="637"/>
      <c r="D29" s="637"/>
      <c r="E29" s="637"/>
      <c r="F29" s="637"/>
      <c r="G29" s="637"/>
      <c r="H29" s="637"/>
      <c r="I29" s="293" t="s">
        <v>3343</v>
      </c>
      <c r="J29" s="637"/>
      <c r="K29" s="637"/>
      <c r="L29" s="637"/>
      <c r="M29" s="637"/>
      <c r="N29" s="637"/>
      <c r="O29" s="637"/>
      <c r="P29" s="637"/>
      <c r="Q29" s="637"/>
      <c r="R29" s="637"/>
      <c r="S29" s="637"/>
      <c r="T29" s="637"/>
    </row>
  </sheetData>
  <sheetProtection password="CAF9" sheet="1" objects="1" scenarios="1"/>
  <mergeCells count="4">
    <mergeCell ref="C25:L25"/>
    <mergeCell ref="C26:L26"/>
    <mergeCell ref="B2:N2"/>
    <mergeCell ref="B4:N4"/>
  </mergeCells>
  <phoneticPr fontId="0" type="noConversion"/>
  <pageMargins left="0.25" right="0.3" top="0.25" bottom="0.75" header="0.25" footer="0.25"/>
  <pageSetup paperSize="5"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dimension ref="B2:Y48"/>
  <sheetViews>
    <sheetView zoomScaleNormal="100" workbookViewId="0">
      <selection activeCell="F25" sqref="F25"/>
    </sheetView>
  </sheetViews>
  <sheetFormatPr defaultRowHeight="12.75" x14ac:dyDescent="0.2"/>
  <cols>
    <col min="1" max="1" width="4.7109375" customWidth="1"/>
    <col min="2" max="2" width="6.7109375" customWidth="1"/>
    <col min="3" max="4" width="5.7109375" customWidth="1"/>
    <col min="5" max="7" width="9.7109375" customWidth="1"/>
    <col min="8" max="8" width="6.7109375" customWidth="1"/>
    <col min="9" max="9" width="16.7109375" customWidth="1"/>
    <col min="10" max="10" width="3.7109375" customWidth="1"/>
    <col min="11" max="11" width="8.7109375" customWidth="1"/>
    <col min="12" max="12" width="6.7109375" customWidth="1"/>
    <col min="13" max="13" width="5.85546875" customWidth="1"/>
    <col min="14" max="14" width="5.7109375" customWidth="1"/>
    <col min="15" max="16" width="9.7109375" customWidth="1"/>
    <col min="17" max="17" width="10.42578125" customWidth="1"/>
    <col min="18" max="18" width="5.7109375" customWidth="1"/>
    <col min="19" max="19" width="16.7109375" customWidth="1"/>
    <col min="20" max="20" width="3.7109375" customWidth="1"/>
    <col min="21" max="21" width="8.7109375" customWidth="1"/>
    <col min="24" max="24" width="14" bestFit="1" customWidth="1"/>
  </cols>
  <sheetData>
    <row r="2" spans="2:25" ht="15" x14ac:dyDescent="0.25">
      <c r="B2" s="286"/>
      <c r="C2" s="202"/>
      <c r="D2" s="202"/>
      <c r="E2" s="202"/>
      <c r="F2" s="56"/>
      <c r="G2" s="1690" t="s">
        <v>785</v>
      </c>
      <c r="H2" s="1691"/>
      <c r="I2" s="1691"/>
      <c r="J2" s="1691"/>
      <c r="K2" s="1691"/>
      <c r="L2" s="1691"/>
      <c r="M2" s="1691"/>
      <c r="N2" s="1691"/>
      <c r="O2" s="1691"/>
      <c r="P2" s="1691"/>
      <c r="Q2" s="313"/>
      <c r="R2" s="286"/>
      <c r="S2" s="202"/>
      <c r="T2" s="202"/>
      <c r="U2" s="56"/>
    </row>
    <row r="3" spans="2:25" x14ac:dyDescent="0.2">
      <c r="B3" s="282"/>
      <c r="C3" s="63"/>
      <c r="D3" s="63"/>
      <c r="E3" s="63"/>
      <c r="F3" s="287"/>
      <c r="G3" s="282"/>
      <c r="H3" s="63"/>
      <c r="I3" s="63"/>
      <c r="J3" s="63"/>
      <c r="K3" s="63"/>
      <c r="L3" s="63"/>
      <c r="M3" s="63"/>
      <c r="N3" s="63"/>
      <c r="O3" s="63"/>
      <c r="P3" s="63"/>
      <c r="Q3" s="287"/>
      <c r="R3" s="282"/>
      <c r="S3" s="63"/>
      <c r="T3" s="63"/>
      <c r="U3" s="287"/>
    </row>
    <row r="4" spans="2:25" ht="15" x14ac:dyDescent="0.25">
      <c r="B4" s="288"/>
      <c r="C4" s="4"/>
      <c r="D4" s="4"/>
      <c r="E4" s="4"/>
      <c r="F4" s="289"/>
      <c r="G4" s="1689" t="s">
        <v>786</v>
      </c>
      <c r="H4" s="1667"/>
      <c r="I4" s="1667"/>
      <c r="J4" s="1667"/>
      <c r="K4" s="1667"/>
      <c r="L4" s="1667"/>
      <c r="M4" s="1667"/>
      <c r="N4" s="1667"/>
      <c r="O4" s="1667"/>
      <c r="P4" s="1667"/>
      <c r="Q4" s="314"/>
      <c r="R4" s="288"/>
      <c r="S4" s="4"/>
      <c r="T4" s="4"/>
      <c r="U4" s="289"/>
    </row>
    <row r="5" spans="2:25" x14ac:dyDescent="0.2">
      <c r="B5" s="318"/>
      <c r="C5" s="319"/>
      <c r="D5" s="319"/>
      <c r="E5" s="319"/>
      <c r="F5" s="319"/>
      <c r="G5" s="319"/>
      <c r="H5" s="319"/>
      <c r="I5" s="319"/>
      <c r="J5" s="319"/>
      <c r="K5" s="320"/>
      <c r="L5" s="318"/>
      <c r="M5" s="319"/>
      <c r="N5" s="319"/>
      <c r="O5" s="319"/>
      <c r="P5" s="319"/>
      <c r="Q5" s="319"/>
      <c r="R5" s="319"/>
      <c r="S5" s="319"/>
      <c r="T5" s="319"/>
      <c r="U5" s="320"/>
    </row>
    <row r="6" spans="2:25" x14ac:dyDescent="0.2">
      <c r="B6" s="321"/>
      <c r="C6" s="1693" t="s">
        <v>793</v>
      </c>
      <c r="D6" s="1693"/>
      <c r="E6" s="1693"/>
      <c r="F6" s="1693"/>
      <c r="G6" s="1693"/>
      <c r="H6" s="1693"/>
      <c r="I6" s="1693"/>
      <c r="J6" s="322"/>
      <c r="K6" s="323"/>
      <c r="L6" s="321"/>
      <c r="M6" s="1693" t="s">
        <v>793</v>
      </c>
      <c r="N6" s="1693"/>
      <c r="O6" s="1693"/>
      <c r="P6" s="1693"/>
      <c r="Q6" s="1693"/>
      <c r="R6" s="1693"/>
      <c r="S6" s="1693"/>
      <c r="T6" s="322"/>
      <c r="U6" s="323"/>
    </row>
    <row r="7" spans="2:25" x14ac:dyDescent="0.2">
      <c r="B7" s="321"/>
      <c r="C7" s="322"/>
      <c r="D7" s="322"/>
      <c r="E7" s="322"/>
      <c r="F7" s="322"/>
      <c r="G7" s="322"/>
      <c r="H7" s="322"/>
      <c r="I7" s="322"/>
      <c r="J7" s="322"/>
      <c r="K7" s="323"/>
      <c r="L7" s="321"/>
      <c r="M7" s="322"/>
      <c r="N7" s="322"/>
      <c r="O7" s="322"/>
      <c r="P7" s="322"/>
      <c r="Q7" s="322"/>
      <c r="R7" s="322"/>
      <c r="S7" s="322"/>
      <c r="T7" s="322"/>
      <c r="U7" s="323"/>
    </row>
    <row r="8" spans="2:25" x14ac:dyDescent="0.2">
      <c r="B8" s="321"/>
      <c r="C8" s="322" t="str">
        <f>"Total General Appropriations for  "&amp;'Key Inputs'!E34-1</f>
        <v>Total General Appropriations for  2020</v>
      </c>
      <c r="D8" s="322"/>
      <c r="E8" s="322"/>
      <c r="F8" s="322"/>
      <c r="G8" s="322"/>
      <c r="H8" s="322"/>
      <c r="I8" s="839">
        <v>1050963.6299999999</v>
      </c>
      <c r="J8" s="322"/>
      <c r="K8" s="323"/>
      <c r="L8" s="321"/>
      <c r="M8" s="322" t="s">
        <v>814</v>
      </c>
      <c r="N8" s="322"/>
      <c r="O8" s="322"/>
      <c r="P8" s="322"/>
      <c r="Q8" s="322"/>
      <c r="R8" s="322"/>
      <c r="S8" s="322"/>
      <c r="T8" s="322"/>
      <c r="U8" s="323"/>
    </row>
    <row r="9" spans="2:25" x14ac:dyDescent="0.2">
      <c r="B9" s="321"/>
      <c r="C9" s="322" t="s">
        <v>13</v>
      </c>
      <c r="D9" s="322"/>
      <c r="E9" s="322"/>
      <c r="F9" s="322"/>
      <c r="G9" s="322"/>
      <c r="H9" s="322"/>
      <c r="I9" s="840"/>
      <c r="J9" s="322"/>
      <c r="K9" s="323"/>
      <c r="L9" s="321"/>
      <c r="M9" s="322"/>
      <c r="N9" s="322" t="s">
        <v>815</v>
      </c>
      <c r="O9" s="322"/>
      <c r="P9" s="322"/>
      <c r="Q9" s="322"/>
      <c r="R9" s="322"/>
      <c r="S9" s="329">
        <f>+I32</f>
        <v>387102.08389999991</v>
      </c>
      <c r="T9" s="322"/>
      <c r="U9" s="323"/>
    </row>
    <row r="10" spans="2:25" x14ac:dyDescent="0.2">
      <c r="B10" s="321"/>
      <c r="C10" s="322" t="s">
        <v>794</v>
      </c>
      <c r="D10" s="322"/>
      <c r="E10" s="322"/>
      <c r="F10" s="322"/>
      <c r="G10" s="322"/>
      <c r="H10" s="322"/>
      <c r="I10" s="324">
        <f>+I8+I9</f>
        <v>1050963.6299999999</v>
      </c>
      <c r="J10" s="322"/>
      <c r="K10" s="323"/>
      <c r="L10" s="321"/>
      <c r="M10" s="322"/>
      <c r="N10" s="322"/>
      <c r="O10" s="322"/>
      <c r="P10" s="322"/>
      <c r="Q10" s="322"/>
      <c r="R10" s="322"/>
      <c r="S10" s="322"/>
      <c r="T10" s="322"/>
      <c r="U10" s="323"/>
      <c r="X10" s="841">
        <v>29600</v>
      </c>
      <c r="Y10" t="s">
        <v>3221</v>
      </c>
    </row>
    <row r="11" spans="2:25" ht="8.25" customHeight="1" x14ac:dyDescent="0.2">
      <c r="B11" s="321"/>
      <c r="C11" s="322"/>
      <c r="D11" s="322"/>
      <c r="E11" s="322"/>
      <c r="F11" s="322"/>
      <c r="G11" s="322"/>
      <c r="H11" s="322"/>
      <c r="I11" s="324"/>
      <c r="J11" s="322"/>
      <c r="K11" s="323"/>
      <c r="L11" s="321"/>
      <c r="M11" s="322"/>
      <c r="N11" s="322"/>
      <c r="O11" s="322"/>
      <c r="P11" s="322"/>
      <c r="Q11" s="322"/>
      <c r="R11" s="322"/>
      <c r="S11" s="322"/>
      <c r="T11" s="322"/>
      <c r="U11" s="323"/>
    </row>
    <row r="12" spans="2:25" x14ac:dyDescent="0.2">
      <c r="B12" s="321"/>
      <c r="C12" s="322" t="s">
        <v>795</v>
      </c>
      <c r="D12" s="322"/>
      <c r="E12" s="322"/>
      <c r="F12" s="322"/>
      <c r="G12" s="322"/>
      <c r="H12" s="322"/>
      <c r="I12" s="324"/>
      <c r="J12" s="322"/>
      <c r="K12" s="323"/>
      <c r="L12" s="321"/>
      <c r="M12" s="322" t="s">
        <v>405</v>
      </c>
      <c r="N12" s="322"/>
      <c r="O12" s="322"/>
      <c r="P12" s="322"/>
      <c r="Q12" s="322"/>
      <c r="R12" s="322"/>
      <c r="S12" s="324"/>
      <c r="T12" s="322"/>
      <c r="U12" s="323"/>
      <c r="X12" s="180">
        <f>+X10/100</f>
        <v>296</v>
      </c>
      <c r="Y12" t="s">
        <v>3222</v>
      </c>
    </row>
    <row r="13" spans="2:25" x14ac:dyDescent="0.2">
      <c r="B13" s="321"/>
      <c r="C13" s="322"/>
      <c r="D13" s="322" t="s">
        <v>819</v>
      </c>
      <c r="E13" s="322"/>
      <c r="F13" s="322"/>
      <c r="G13" s="322"/>
      <c r="H13" s="322"/>
      <c r="I13" s="839"/>
      <c r="J13" s="322"/>
      <c r="K13" s="323"/>
      <c r="L13" s="321"/>
      <c r="M13" s="322"/>
      <c r="N13" s="322" t="s">
        <v>816</v>
      </c>
      <c r="O13" s="322"/>
      <c r="P13" s="322"/>
      <c r="Q13" s="322"/>
      <c r="R13" s="322"/>
      <c r="S13" s="324">
        <f>+X14</f>
        <v>129.05600000000001</v>
      </c>
      <c r="T13" s="322"/>
      <c r="U13" s="323"/>
      <c r="X13" s="842">
        <v>0.436</v>
      </c>
      <c r="Y13" t="s">
        <v>483</v>
      </c>
    </row>
    <row r="14" spans="2:25" x14ac:dyDescent="0.2">
      <c r="B14" s="321"/>
      <c r="C14" s="322"/>
      <c r="D14" s="322" t="s">
        <v>803</v>
      </c>
      <c r="E14" s="322"/>
      <c r="F14" s="322"/>
      <c r="G14" s="322"/>
      <c r="H14" s="322"/>
      <c r="I14" s="839"/>
      <c r="J14" s="322"/>
      <c r="K14" s="323"/>
      <c r="L14" s="321"/>
      <c r="M14" s="322"/>
      <c r="N14" s="322" t="str">
        <f>'Key Inputs'!E$34-2&amp;" Cap Bank"</f>
        <v>2019 Cap Bank</v>
      </c>
      <c r="O14" s="322"/>
      <c r="P14" s="322"/>
      <c r="Q14" s="322"/>
      <c r="R14" s="322"/>
      <c r="S14" s="839">
        <v>3541.69</v>
      </c>
      <c r="T14" s="322"/>
      <c r="U14" s="323"/>
      <c r="X14" s="180">
        <f>+X12*X13</f>
        <v>129.05600000000001</v>
      </c>
      <c r="Y14" t="s">
        <v>3223</v>
      </c>
    </row>
    <row r="15" spans="2:25" x14ac:dyDescent="0.2">
      <c r="B15" s="321"/>
      <c r="C15" s="322"/>
      <c r="D15" s="322" t="s">
        <v>804</v>
      </c>
      <c r="E15" s="322"/>
      <c r="F15" s="322"/>
      <c r="G15" s="322"/>
      <c r="H15" s="322"/>
      <c r="I15" s="839">
        <v>42786.73</v>
      </c>
      <c r="J15" s="322"/>
      <c r="K15" s="323"/>
      <c r="L15" s="321"/>
      <c r="M15" s="322"/>
      <c r="N15" s="322" t="str">
        <f>'Key Inputs'!E$34-1&amp;" Cap Bank"</f>
        <v>2020 Cap Bank</v>
      </c>
      <c r="O15" s="322"/>
      <c r="P15" s="322"/>
      <c r="Q15" s="322"/>
      <c r="R15" s="322"/>
      <c r="S15" s="839">
        <v>3701.01</v>
      </c>
      <c r="T15" s="322"/>
      <c r="U15" s="323"/>
      <c r="X15" s="180"/>
    </row>
    <row r="16" spans="2:25" x14ac:dyDescent="0.2">
      <c r="B16" s="321"/>
      <c r="C16" s="322"/>
      <c r="D16" s="322" t="s">
        <v>805</v>
      </c>
      <c r="E16" s="322"/>
      <c r="F16" s="322"/>
      <c r="G16" s="322"/>
      <c r="H16" s="322"/>
      <c r="I16" s="839"/>
      <c r="J16" s="322"/>
      <c r="K16" s="323"/>
      <c r="L16" s="321"/>
      <c r="M16" s="322"/>
      <c r="N16" s="322"/>
      <c r="O16" s="322"/>
      <c r="P16" s="322"/>
      <c r="Q16" s="322"/>
      <c r="R16" s="322"/>
      <c r="S16" s="324"/>
      <c r="T16" s="322"/>
      <c r="U16" s="323"/>
    </row>
    <row r="17" spans="2:24" x14ac:dyDescent="0.2">
      <c r="B17" s="321"/>
      <c r="C17" s="322"/>
      <c r="D17" s="322" t="s">
        <v>806</v>
      </c>
      <c r="E17" s="322"/>
      <c r="F17" s="322"/>
      <c r="G17" s="322"/>
      <c r="H17" s="322"/>
      <c r="I17" s="839">
        <v>286650</v>
      </c>
      <c r="J17" s="322"/>
      <c r="K17" s="323"/>
      <c r="L17" s="321"/>
      <c r="M17" s="322"/>
      <c r="N17" s="322"/>
      <c r="O17" s="508"/>
      <c r="P17" s="322"/>
      <c r="Q17" s="322"/>
      <c r="R17" s="322"/>
      <c r="S17" s="324"/>
      <c r="T17" s="322"/>
      <c r="U17" s="323"/>
      <c r="X17" s="311"/>
    </row>
    <row r="18" spans="2:24" x14ac:dyDescent="0.2">
      <c r="B18" s="321"/>
      <c r="C18" s="322"/>
      <c r="D18" s="322" t="s">
        <v>807</v>
      </c>
      <c r="E18" s="322"/>
      <c r="F18" s="322"/>
      <c r="G18" s="322"/>
      <c r="H18" s="322"/>
      <c r="I18" s="839"/>
      <c r="J18" s="322"/>
      <c r="K18" s="323"/>
      <c r="L18" s="321"/>
      <c r="M18" s="322"/>
      <c r="N18" s="322"/>
      <c r="O18" s="322"/>
      <c r="P18" s="322"/>
      <c r="Q18" s="322"/>
      <c r="R18" s="322"/>
      <c r="S18" s="325"/>
      <c r="T18" s="322"/>
      <c r="U18" s="323"/>
      <c r="X18" s="180"/>
    </row>
    <row r="19" spans="2:24" x14ac:dyDescent="0.2">
      <c r="B19" s="321"/>
      <c r="C19" s="322"/>
      <c r="D19" s="322" t="s">
        <v>415</v>
      </c>
      <c r="E19" s="322"/>
      <c r="F19" s="322"/>
      <c r="G19" s="322"/>
      <c r="H19" s="322"/>
      <c r="I19" s="839"/>
      <c r="J19" s="322"/>
      <c r="K19" s="323"/>
      <c r="L19" s="321"/>
      <c r="M19" s="322" t="s">
        <v>817</v>
      </c>
      <c r="N19" s="322"/>
      <c r="O19" s="322"/>
      <c r="P19" s="322"/>
      <c r="Q19" s="322"/>
      <c r="R19" s="322"/>
      <c r="S19" s="324">
        <f>SUM(S12:S18)</f>
        <v>7371.7560000000003</v>
      </c>
      <c r="T19" s="322"/>
      <c r="U19" s="323"/>
      <c r="X19" s="180"/>
    </row>
    <row r="20" spans="2:24" x14ac:dyDescent="0.2">
      <c r="B20" s="321"/>
      <c r="C20" s="322"/>
      <c r="D20" s="322" t="s">
        <v>808</v>
      </c>
      <c r="E20" s="322"/>
      <c r="F20" s="322"/>
      <c r="G20" s="322"/>
      <c r="H20" s="322"/>
      <c r="I20" s="839"/>
      <c r="J20" s="322"/>
      <c r="K20" s="323"/>
      <c r="L20" s="321"/>
      <c r="M20" s="322"/>
      <c r="N20" s="322"/>
      <c r="O20" s="322"/>
      <c r="P20" s="322"/>
      <c r="Q20" s="322"/>
      <c r="R20" s="322"/>
      <c r="S20" s="324"/>
      <c r="T20" s="322"/>
      <c r="U20" s="323"/>
      <c r="X20" s="180"/>
    </row>
    <row r="21" spans="2:24" ht="13.5" thickBot="1" x14ac:dyDescent="0.25">
      <c r="B21" s="321"/>
      <c r="C21" s="322"/>
      <c r="D21" s="322" t="s">
        <v>809</v>
      </c>
      <c r="E21" s="322"/>
      <c r="F21" s="322"/>
      <c r="G21" s="322"/>
      <c r="H21" s="322"/>
      <c r="I21" s="839">
        <v>20119.84</v>
      </c>
      <c r="J21" s="322"/>
      <c r="K21" s="323"/>
      <c r="L21" s="321"/>
      <c r="M21" s="203" t="s">
        <v>5232</v>
      </c>
      <c r="N21" s="322"/>
      <c r="O21" s="322"/>
      <c r="P21" s="322"/>
      <c r="Q21" s="322"/>
      <c r="R21" s="1195">
        <f>C29</f>
        <v>0.01</v>
      </c>
      <c r="S21" s="330">
        <f>+S19+S9</f>
        <v>394473.8398999999</v>
      </c>
      <c r="T21" s="322"/>
      <c r="U21" s="323"/>
      <c r="X21" s="180"/>
    </row>
    <row r="22" spans="2:24" ht="13.5" thickTop="1" x14ac:dyDescent="0.2">
      <c r="B22" s="321"/>
      <c r="C22" s="322"/>
      <c r="D22" s="322" t="s">
        <v>326</v>
      </c>
      <c r="E22" s="322"/>
      <c r="F22" s="322"/>
      <c r="G22" s="322"/>
      <c r="H22" s="322"/>
      <c r="I22" s="839"/>
      <c r="J22" s="322"/>
      <c r="K22" s="323"/>
      <c r="L22" s="321"/>
      <c r="M22" s="322"/>
      <c r="N22" s="322"/>
      <c r="O22" s="322"/>
      <c r="P22" s="322"/>
      <c r="Q22" s="322"/>
      <c r="R22" s="322"/>
      <c r="S22" s="324"/>
      <c r="T22" s="322"/>
      <c r="U22" s="323"/>
      <c r="X22" s="180"/>
    </row>
    <row r="23" spans="2:24" x14ac:dyDescent="0.2">
      <c r="B23" s="321"/>
      <c r="C23" s="322"/>
      <c r="D23" s="322" t="s">
        <v>810</v>
      </c>
      <c r="E23" s="322"/>
      <c r="F23" s="322"/>
      <c r="G23" s="322"/>
      <c r="H23" s="322"/>
      <c r="I23" s="839">
        <v>13000</v>
      </c>
      <c r="J23" s="322"/>
      <c r="K23" s="323"/>
      <c r="L23" s="321"/>
      <c r="M23" s="322"/>
      <c r="N23" s="322"/>
      <c r="O23" s="322"/>
      <c r="P23" s="322"/>
      <c r="Q23" s="322"/>
      <c r="R23" s="322"/>
      <c r="S23" s="324"/>
      <c r="T23" s="322"/>
      <c r="U23" s="323"/>
      <c r="X23" s="180"/>
    </row>
    <row r="24" spans="2:24" x14ac:dyDescent="0.2">
      <c r="B24" s="321"/>
      <c r="C24" s="322"/>
      <c r="D24" s="322" t="s">
        <v>413</v>
      </c>
      <c r="E24" s="322"/>
      <c r="F24" s="322"/>
      <c r="G24" s="322"/>
      <c r="H24" s="322"/>
      <c r="I24" s="839"/>
      <c r="J24" s="322"/>
      <c r="K24" s="323"/>
      <c r="L24" s="321"/>
      <c r="M24" t="s">
        <v>305</v>
      </c>
      <c r="Q24" s="1017">
        <v>3.5000000000000003E-2</v>
      </c>
      <c r="T24" s="322"/>
      <c r="U24" s="323"/>
      <c r="X24" s="180"/>
    </row>
    <row r="25" spans="2:24" ht="13.5" thickBot="1" x14ac:dyDescent="0.25">
      <c r="B25" s="321"/>
      <c r="C25" s="322"/>
      <c r="D25" s="322" t="s">
        <v>345</v>
      </c>
      <c r="E25" s="322"/>
      <c r="F25" s="322"/>
      <c r="G25" s="322"/>
      <c r="H25" s="322"/>
      <c r="I25" s="840">
        <v>305137.67</v>
      </c>
      <c r="J25" s="322"/>
      <c r="K25" s="323"/>
      <c r="L25" s="321"/>
      <c r="N25" t="s">
        <v>306</v>
      </c>
      <c r="Q25" s="1017">
        <v>2.5000000000000001E-2</v>
      </c>
      <c r="S25" s="330">
        <f>+I28*Q25</f>
        <v>9581.7347499999978</v>
      </c>
      <c r="T25" s="322"/>
      <c r="U25" s="323"/>
      <c r="X25" s="180"/>
    </row>
    <row r="26" spans="2:24" ht="13.5" thickTop="1" x14ac:dyDescent="0.2">
      <c r="B26" s="321"/>
      <c r="C26" s="322"/>
      <c r="D26" s="322" t="s">
        <v>811</v>
      </c>
      <c r="E26" s="322"/>
      <c r="F26" s="322"/>
      <c r="G26" s="322"/>
      <c r="H26" s="322"/>
      <c r="I26" s="324">
        <f>SUM(I12:I25)</f>
        <v>667694.24</v>
      </c>
      <c r="J26" s="322"/>
      <c r="K26" s="323"/>
      <c r="L26" s="321"/>
      <c r="T26" s="322"/>
      <c r="U26" s="323"/>
      <c r="X26" s="180"/>
    </row>
    <row r="27" spans="2:24" ht="8.25" customHeight="1" x14ac:dyDescent="0.2">
      <c r="B27" s="321"/>
      <c r="C27" s="322"/>
      <c r="D27" s="322"/>
      <c r="E27" s="322"/>
      <c r="F27" s="322"/>
      <c r="G27" s="322"/>
      <c r="H27" s="322"/>
      <c r="I27" s="324"/>
      <c r="J27" s="322"/>
      <c r="K27" s="323"/>
      <c r="L27" s="321"/>
      <c r="U27" s="323"/>
    </row>
    <row r="28" spans="2:24" x14ac:dyDescent="0.2">
      <c r="B28" s="321"/>
      <c r="C28" s="322" t="s">
        <v>812</v>
      </c>
      <c r="D28" s="322"/>
      <c r="E28" s="322"/>
      <c r="F28" s="322"/>
      <c r="G28" s="322"/>
      <c r="H28" s="322"/>
      <c r="I28" s="324">
        <f>+I10-I26</f>
        <v>383269.3899999999</v>
      </c>
      <c r="J28" s="322"/>
      <c r="K28" s="323"/>
      <c r="L28" s="321"/>
      <c r="U28" s="323"/>
      <c r="X28" s="29"/>
    </row>
    <row r="29" spans="2:24" ht="13.5" thickBot="1" x14ac:dyDescent="0.25">
      <c r="B29" s="321"/>
      <c r="C29" s="1016">
        <v>0.01</v>
      </c>
      <c r="D29" s="322" t="s">
        <v>813</v>
      </c>
      <c r="E29" s="322"/>
      <c r="F29" s="322"/>
      <c r="G29" s="322"/>
      <c r="H29" s="322"/>
      <c r="I29" s="325">
        <f>+I28*C29</f>
        <v>3832.6938999999988</v>
      </c>
      <c r="J29" s="322"/>
      <c r="K29" s="323"/>
      <c r="L29" s="321"/>
      <c r="M29" s="203" t="s">
        <v>5233</v>
      </c>
      <c r="R29" s="1196">
        <f>Q24</f>
        <v>3.5000000000000003E-2</v>
      </c>
      <c r="S29" s="330">
        <f>+S21+S25</f>
        <v>404055.57464999991</v>
      </c>
      <c r="U29" s="323"/>
    </row>
    <row r="30" spans="2:24" ht="13.5" thickTop="1" x14ac:dyDescent="0.2">
      <c r="B30" s="321"/>
      <c r="C30" s="322"/>
      <c r="D30" s="322"/>
      <c r="E30" s="322"/>
      <c r="F30" s="322"/>
      <c r="G30" s="322"/>
      <c r="H30" s="322"/>
      <c r="I30" s="324"/>
      <c r="J30" s="322"/>
      <c r="K30" s="323"/>
      <c r="L30" s="321"/>
      <c r="M30" s="322"/>
      <c r="N30" s="322"/>
      <c r="O30" s="322"/>
      <c r="P30" s="322"/>
      <c r="Q30" s="322"/>
      <c r="R30" s="322"/>
      <c r="S30" s="322"/>
      <c r="T30" s="322"/>
      <c r="U30" s="323"/>
    </row>
    <row r="31" spans="2:24" x14ac:dyDescent="0.2">
      <c r="B31" s="321"/>
      <c r="C31" s="322" t="s">
        <v>814</v>
      </c>
      <c r="D31" s="322"/>
      <c r="E31" s="322"/>
      <c r="F31" s="322"/>
      <c r="G31" s="322"/>
      <c r="H31" s="322"/>
      <c r="I31" s="324"/>
      <c r="J31" s="322"/>
      <c r="K31" s="323"/>
      <c r="L31" s="321"/>
      <c r="M31" s="322"/>
      <c r="N31" s="322"/>
      <c r="O31" s="322"/>
      <c r="P31" s="322"/>
      <c r="Q31" s="322"/>
      <c r="R31" s="322"/>
      <c r="S31" s="329"/>
      <c r="T31" s="322"/>
      <c r="U31" s="323"/>
    </row>
    <row r="32" spans="2:24" x14ac:dyDescent="0.2">
      <c r="B32" s="321"/>
      <c r="C32" s="322"/>
      <c r="D32" s="322" t="s">
        <v>815</v>
      </c>
      <c r="E32" s="322"/>
      <c r="F32" s="322"/>
      <c r="G32" s="322"/>
      <c r="H32" s="322"/>
      <c r="I32" s="324">
        <f>+I28+I29</f>
        <v>387102.08389999991</v>
      </c>
      <c r="J32" s="322"/>
      <c r="K32" s="323"/>
      <c r="L32" s="321"/>
      <c r="M32" s="322"/>
      <c r="N32" s="322"/>
      <c r="O32" s="322"/>
      <c r="P32" s="410"/>
      <c r="Q32" s="322"/>
      <c r="R32" s="322"/>
      <c r="S32" s="329"/>
      <c r="T32" s="322"/>
      <c r="U32" s="323"/>
    </row>
    <row r="33" spans="2:21" x14ac:dyDescent="0.2">
      <c r="B33" s="321"/>
      <c r="C33" s="322"/>
      <c r="D33" s="322"/>
      <c r="E33" s="322"/>
      <c r="F33" s="322"/>
      <c r="G33" s="322"/>
      <c r="H33" s="322"/>
      <c r="I33" s="324"/>
      <c r="J33" s="322"/>
      <c r="K33" s="323"/>
      <c r="L33" s="321"/>
      <c r="M33" s="322"/>
      <c r="N33" s="322"/>
      <c r="O33" s="322"/>
      <c r="P33" s="410"/>
      <c r="Q33" s="322"/>
      <c r="R33" s="322"/>
      <c r="S33" s="329"/>
      <c r="T33" s="322"/>
      <c r="U33" s="323"/>
    </row>
    <row r="34" spans="2:21" x14ac:dyDescent="0.2">
      <c r="B34" s="321"/>
      <c r="C34" s="322"/>
      <c r="D34" s="322"/>
      <c r="E34" s="322"/>
      <c r="F34" s="322"/>
      <c r="G34" s="322"/>
      <c r="H34" s="322"/>
      <c r="I34" s="324"/>
      <c r="J34" s="322"/>
      <c r="K34" s="323"/>
      <c r="L34" s="321"/>
      <c r="M34" s="322"/>
      <c r="N34" s="322"/>
      <c r="O34" s="322"/>
      <c r="P34" s="410"/>
      <c r="Q34" s="322"/>
      <c r="R34" s="322"/>
      <c r="S34" s="329"/>
      <c r="T34" s="322"/>
      <c r="U34" s="323"/>
    </row>
    <row r="35" spans="2:21" x14ac:dyDescent="0.2">
      <c r="B35" s="321"/>
      <c r="C35" s="322"/>
      <c r="D35" s="322"/>
      <c r="E35" s="322"/>
      <c r="F35" s="322"/>
      <c r="G35" s="322"/>
      <c r="H35" s="322"/>
      <c r="I35" s="324"/>
      <c r="J35" s="322"/>
      <c r="K35" s="323"/>
      <c r="L35" s="321"/>
      <c r="M35" s="322"/>
      <c r="N35" s="322"/>
      <c r="O35" s="322"/>
      <c r="P35" s="410"/>
      <c r="Q35" s="322"/>
      <c r="R35" s="322"/>
      <c r="S35" s="329"/>
      <c r="T35" s="322"/>
      <c r="U35" s="323"/>
    </row>
    <row r="36" spans="2:21" x14ac:dyDescent="0.2">
      <c r="B36" s="321"/>
      <c r="C36" s="322"/>
      <c r="D36" s="322"/>
      <c r="E36" s="322"/>
      <c r="F36" s="322"/>
      <c r="G36" s="322"/>
      <c r="H36" s="322"/>
      <c r="I36" s="324"/>
      <c r="J36" s="322"/>
      <c r="K36" s="323"/>
      <c r="L36" s="321"/>
      <c r="M36" s="322"/>
      <c r="N36" s="322"/>
      <c r="O36" s="322"/>
      <c r="P36" s="410"/>
      <c r="Q36" s="322"/>
      <c r="R36" s="322"/>
      <c r="S36" s="329"/>
      <c r="T36" s="322"/>
      <c r="U36" s="323"/>
    </row>
    <row r="37" spans="2:21" x14ac:dyDescent="0.2">
      <c r="B37" s="326"/>
      <c r="C37" s="327"/>
      <c r="D37" s="327"/>
      <c r="E37" s="327"/>
      <c r="F37" s="327"/>
      <c r="G37" s="327"/>
      <c r="H37" s="327"/>
      <c r="I37" s="327"/>
      <c r="J37" s="327"/>
      <c r="K37" s="328"/>
      <c r="L37" s="326"/>
      <c r="M37" s="327"/>
      <c r="N37" s="327"/>
      <c r="O37" s="327"/>
      <c r="P37" s="327"/>
      <c r="Q37" s="327"/>
      <c r="R37" s="327"/>
      <c r="S37" s="327"/>
      <c r="T37" s="327"/>
      <c r="U37" s="328"/>
    </row>
    <row r="38" spans="2:21" ht="15.75" x14ac:dyDescent="0.25">
      <c r="B38" s="217" t="s">
        <v>788</v>
      </c>
      <c r="K38" s="1692" t="s">
        <v>787</v>
      </c>
      <c r="L38" s="1692"/>
      <c r="M38" s="177"/>
    </row>
    <row r="39" spans="2:21" x14ac:dyDescent="0.2">
      <c r="C39" s="217" t="s">
        <v>364</v>
      </c>
      <c r="D39" s="217"/>
      <c r="E39" s="217"/>
    </row>
    <row r="40" spans="2:21" x14ac:dyDescent="0.2">
      <c r="C40" s="217"/>
      <c r="D40" s="217" t="s">
        <v>790</v>
      </c>
      <c r="E40" s="217"/>
      <c r="S40" s="29"/>
    </row>
    <row r="41" spans="2:21" x14ac:dyDescent="0.2">
      <c r="C41" s="217"/>
      <c r="D41" s="217" t="s">
        <v>818</v>
      </c>
      <c r="E41" s="217"/>
    </row>
    <row r="42" spans="2:21" x14ac:dyDescent="0.2">
      <c r="C42" s="217"/>
      <c r="D42" s="217"/>
      <c r="E42" s="217" t="s">
        <v>668</v>
      </c>
    </row>
    <row r="43" spans="2:21" x14ac:dyDescent="0.2">
      <c r="C43" s="217"/>
      <c r="D43" s="217"/>
      <c r="E43" s="217" t="s">
        <v>791</v>
      </c>
      <c r="S43" s="29"/>
    </row>
    <row r="47" spans="2:21" x14ac:dyDescent="0.2">
      <c r="S47" s="29">
        <f>+I29+S25</f>
        <v>13414.428649999996</v>
      </c>
    </row>
    <row r="48" spans="2:21" x14ac:dyDescent="0.2">
      <c r="I48" s="180"/>
    </row>
  </sheetData>
  <sheetProtection algorithmName="SHA-512" hashValue="Xe8SP+/yWwov/KE8rN/22MIBZHbVvPIcvUiF2cKQtRaKmyKcQHTx2ZtRsnL9YrSAeLsqz1MedlbCaCTGbDmvqQ==" saltValue="Ix608hWdKwxK/EMAfglE6Q==" spinCount="100000" sheet="1" objects="1" scenarios="1"/>
  <mergeCells count="5">
    <mergeCell ref="G4:P4"/>
    <mergeCell ref="G2:P2"/>
    <mergeCell ref="K38:L38"/>
    <mergeCell ref="C6:I6"/>
    <mergeCell ref="M6:S6"/>
  </mergeCells>
  <phoneticPr fontId="0" type="noConversion"/>
  <pageMargins left="0.25" right="0.3" top="0.25" bottom="0.75" header="0.25" footer="0.25"/>
  <pageSetup paperSize="5"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2"/>
  <dimension ref="B2:Y43"/>
  <sheetViews>
    <sheetView zoomScaleNormal="100" workbookViewId="0">
      <selection activeCell="F25" sqref="F25"/>
    </sheetView>
  </sheetViews>
  <sheetFormatPr defaultRowHeight="12.75" x14ac:dyDescent="0.2"/>
  <cols>
    <col min="1" max="1" width="4.7109375" customWidth="1"/>
    <col min="2" max="2" width="6.7109375" customWidth="1"/>
    <col min="3" max="4" width="5.7109375" customWidth="1"/>
    <col min="5" max="5" width="4.7109375" customWidth="1"/>
    <col min="6" max="6" width="13.5703125" customWidth="1"/>
    <col min="7" max="7" width="6.140625" customWidth="1"/>
    <col min="8" max="8" width="12.7109375" customWidth="1"/>
    <col min="9" max="9" width="14.7109375" customWidth="1"/>
    <col min="10" max="10" width="3.7109375" customWidth="1"/>
    <col min="17" max="17" width="9.7109375" customWidth="1"/>
    <col min="18" max="18" width="9.85546875" customWidth="1"/>
    <col min="19" max="20" width="5.7109375" customWidth="1"/>
    <col min="21" max="21" width="6.7109375" customWidth="1"/>
    <col min="25" max="25" width="12.85546875" bestFit="1" customWidth="1"/>
  </cols>
  <sheetData>
    <row r="2" spans="2:25" ht="15" x14ac:dyDescent="0.25">
      <c r="B2" s="286"/>
      <c r="C2" s="202"/>
      <c r="D2" s="202"/>
      <c r="E2" s="202"/>
      <c r="F2" s="56"/>
      <c r="G2" s="1690" t="s">
        <v>785</v>
      </c>
      <c r="H2" s="1691"/>
      <c r="I2" s="1691"/>
      <c r="J2" s="1691"/>
      <c r="K2" s="1691"/>
      <c r="L2" s="1691"/>
      <c r="M2" s="1691"/>
      <c r="N2" s="1691"/>
      <c r="O2" s="1691"/>
      <c r="P2" s="1694"/>
      <c r="Q2" s="312"/>
      <c r="R2" s="202"/>
      <c r="S2" s="202"/>
      <c r="T2" s="202"/>
      <c r="U2" s="56"/>
    </row>
    <row r="3" spans="2:25" x14ac:dyDescent="0.2">
      <c r="B3" s="282"/>
      <c r="C3" s="63"/>
      <c r="D3" s="63"/>
      <c r="E3" s="63"/>
      <c r="F3" s="287"/>
      <c r="G3" s="282"/>
      <c r="H3" s="63"/>
      <c r="I3" s="63"/>
      <c r="J3" s="63"/>
      <c r="K3" s="63"/>
      <c r="L3" s="63"/>
      <c r="M3" s="63"/>
      <c r="N3" s="63"/>
      <c r="O3" s="63"/>
      <c r="P3" s="287"/>
      <c r="Q3" s="63"/>
      <c r="R3" s="63"/>
      <c r="S3" s="63"/>
      <c r="T3" s="63"/>
      <c r="U3" s="287"/>
    </row>
    <row r="4" spans="2:25" ht="15" x14ac:dyDescent="0.25">
      <c r="B4" s="288"/>
      <c r="C4" s="4"/>
      <c r="D4" s="4"/>
      <c r="E4" s="4"/>
      <c r="F4" s="289"/>
      <c r="G4" s="1689" t="s">
        <v>786</v>
      </c>
      <c r="H4" s="1667"/>
      <c r="I4" s="1667"/>
      <c r="J4" s="1667"/>
      <c r="K4" s="1667"/>
      <c r="L4" s="1667"/>
      <c r="M4" s="1667"/>
      <c r="N4" s="1667"/>
      <c r="O4" s="1667"/>
      <c r="P4" s="1695"/>
      <c r="Q4" s="298"/>
      <c r="R4" s="4"/>
      <c r="S4" s="4"/>
      <c r="T4" s="4"/>
      <c r="U4" s="289"/>
    </row>
    <row r="5" spans="2:25" ht="14.25" x14ac:dyDescent="0.2">
      <c r="B5" s="315"/>
      <c r="C5" s="202"/>
      <c r="D5" s="202"/>
      <c r="E5" s="202"/>
      <c r="F5" s="202"/>
      <c r="G5" s="202"/>
      <c r="H5" s="202"/>
      <c r="I5" s="202"/>
      <c r="J5" s="202"/>
      <c r="K5" s="56"/>
      <c r="L5" s="975"/>
      <c r="M5" s="976"/>
      <c r="N5" s="976"/>
      <c r="O5" s="976"/>
      <c r="P5" s="976"/>
      <c r="Q5" s="976"/>
      <c r="R5" s="976"/>
      <c r="S5" s="976"/>
      <c r="T5" s="976"/>
      <c r="U5" s="977"/>
    </row>
    <row r="6" spans="2:25" ht="14.25" x14ac:dyDescent="0.2">
      <c r="B6" s="316"/>
      <c r="C6" s="63"/>
      <c r="D6" s="63"/>
      <c r="E6" s="63"/>
      <c r="F6" s="63"/>
      <c r="G6" s="63"/>
      <c r="H6" s="63"/>
      <c r="I6" s="63"/>
      <c r="J6" s="63"/>
      <c r="K6" s="287"/>
      <c r="L6" s="978"/>
      <c r="M6" s="791"/>
      <c r="N6" s="791"/>
      <c r="O6" s="791"/>
      <c r="P6" s="791"/>
      <c r="Q6" s="791"/>
      <c r="R6" s="791"/>
      <c r="S6" s="791"/>
      <c r="T6" s="791"/>
      <c r="U6" s="979"/>
    </row>
    <row r="7" spans="2:25" ht="14.25" x14ac:dyDescent="0.2">
      <c r="B7" s="316"/>
      <c r="C7" s="63"/>
      <c r="D7" s="63"/>
      <c r="E7" s="63"/>
      <c r="F7" s="63"/>
      <c r="G7" s="63"/>
      <c r="H7" s="63"/>
      <c r="I7" s="63"/>
      <c r="J7" s="63"/>
      <c r="K7" s="287"/>
      <c r="L7" s="978"/>
      <c r="M7" s="791"/>
      <c r="N7" s="791"/>
      <c r="O7" s="791"/>
      <c r="P7" s="791"/>
      <c r="Q7" s="791"/>
      <c r="R7" s="791"/>
      <c r="S7" s="791"/>
      <c r="T7" s="791"/>
      <c r="U7" s="979"/>
    </row>
    <row r="8" spans="2:25" ht="14.25" x14ac:dyDescent="0.2">
      <c r="B8" s="316"/>
      <c r="C8" s="322"/>
      <c r="D8" s="322"/>
      <c r="E8" s="322"/>
      <c r="F8" s="322"/>
      <c r="G8" s="322"/>
      <c r="H8" s="322"/>
      <c r="I8" s="322"/>
      <c r="J8" s="63"/>
      <c r="K8" s="287"/>
      <c r="L8" s="978"/>
      <c r="M8" s="791"/>
      <c r="N8" s="791"/>
      <c r="O8" s="791"/>
      <c r="P8" s="791"/>
      <c r="Q8" s="791"/>
      <c r="R8" s="791"/>
      <c r="S8" s="791"/>
      <c r="T8" s="791"/>
      <c r="U8" s="979"/>
    </row>
    <row r="9" spans="2:25" ht="14.25" x14ac:dyDescent="0.2">
      <c r="B9" s="316"/>
      <c r="C9" s="1693" t="s">
        <v>945</v>
      </c>
      <c r="D9" s="1693"/>
      <c r="E9" s="1693"/>
      <c r="F9" s="1693"/>
      <c r="G9" s="1693"/>
      <c r="H9" s="1693"/>
      <c r="I9" s="1693"/>
      <c r="J9" s="63"/>
      <c r="K9" s="287"/>
      <c r="L9" s="978"/>
      <c r="M9" s="791"/>
      <c r="N9" s="791"/>
      <c r="O9" s="791"/>
      <c r="P9" s="791"/>
      <c r="Q9" s="791"/>
      <c r="R9" s="791"/>
      <c r="S9" s="791"/>
      <c r="T9" s="791"/>
      <c r="U9" s="979"/>
    </row>
    <row r="10" spans="2:25" ht="14.25" x14ac:dyDescent="0.2">
      <c r="B10" s="316"/>
      <c r="C10" s="322"/>
      <c r="D10" s="322"/>
      <c r="E10" s="322"/>
      <c r="F10" s="322"/>
      <c r="G10" s="322"/>
      <c r="H10" s="322"/>
      <c r="I10" s="526"/>
      <c r="J10" s="63"/>
      <c r="K10" s="287"/>
      <c r="L10" s="978"/>
      <c r="M10" s="791"/>
      <c r="N10" s="791"/>
      <c r="O10" s="791"/>
      <c r="P10" s="791"/>
      <c r="Q10" s="791"/>
      <c r="R10" s="791"/>
      <c r="S10" s="791"/>
      <c r="T10" s="791"/>
      <c r="U10" s="979"/>
    </row>
    <row r="11" spans="2:25" ht="14.25" x14ac:dyDescent="0.2">
      <c r="B11" s="316"/>
      <c r="C11" s="322" t="s">
        <v>6183</v>
      </c>
      <c r="D11" s="322"/>
      <c r="E11" s="322"/>
      <c r="F11" s="322"/>
      <c r="G11" s="322"/>
      <c r="H11" s="322"/>
      <c r="I11" s="526"/>
      <c r="J11" s="63"/>
      <c r="K11" s="287"/>
      <c r="L11" s="978"/>
      <c r="M11" s="791"/>
      <c r="N11" s="791"/>
      <c r="O11" s="791"/>
      <c r="P11" s="791"/>
      <c r="Q11" s="791"/>
      <c r="R11" s="791"/>
      <c r="S11" s="791"/>
      <c r="T11" s="791"/>
      <c r="U11" s="979"/>
    </row>
    <row r="12" spans="2:25" ht="14.25" x14ac:dyDescent="0.2">
      <c r="B12" s="316"/>
      <c r="C12" s="322"/>
      <c r="D12" s="322"/>
      <c r="E12" s="322"/>
      <c r="F12" s="322"/>
      <c r="G12" s="322"/>
      <c r="H12" s="322"/>
      <c r="I12" s="526"/>
      <c r="J12" s="63"/>
      <c r="K12" s="287"/>
      <c r="L12" s="978"/>
      <c r="M12" s="791"/>
      <c r="N12" s="791"/>
      <c r="O12" s="791"/>
      <c r="P12" s="791"/>
      <c r="Q12" s="791"/>
      <c r="R12" s="791"/>
      <c r="S12" s="791"/>
      <c r="T12" s="791"/>
      <c r="U12" s="979"/>
    </row>
    <row r="13" spans="2:25" ht="14.25" x14ac:dyDescent="0.2">
      <c r="B13" s="316"/>
      <c r="C13" s="322" t="str">
        <f>"Estimated Group Insurance Costs - "&amp;'Key Inputs'!E34</f>
        <v>Estimated Group Insurance Costs - 2021</v>
      </c>
      <c r="D13" s="322"/>
      <c r="E13" s="322"/>
      <c r="F13" s="322"/>
      <c r="G13" s="322"/>
      <c r="H13" s="322"/>
      <c r="I13" s="1063"/>
      <c r="J13" s="63"/>
      <c r="K13" s="287"/>
      <c r="L13" s="978"/>
      <c r="M13" s="791"/>
      <c r="N13" s="791"/>
      <c r="O13" s="791"/>
      <c r="P13" s="791"/>
      <c r="Q13" s="791"/>
      <c r="R13" s="791"/>
      <c r="S13" s="791"/>
      <c r="T13" s="791"/>
      <c r="U13" s="979"/>
    </row>
    <row r="14" spans="2:25" ht="14.25" x14ac:dyDescent="0.2">
      <c r="B14" s="316"/>
      <c r="C14" s="322"/>
      <c r="D14" s="322"/>
      <c r="E14" s="322"/>
      <c r="F14" s="322"/>
      <c r="G14" s="322"/>
      <c r="H14" s="322"/>
      <c r="I14" s="526"/>
      <c r="J14" s="63"/>
      <c r="K14" s="287"/>
      <c r="L14" s="978"/>
      <c r="M14" s="791" t="s">
        <v>6347</v>
      </c>
      <c r="N14" s="791"/>
      <c r="O14" s="791"/>
      <c r="P14" s="791"/>
      <c r="Q14" s="791"/>
      <c r="R14" s="791"/>
      <c r="S14" s="791"/>
      <c r="T14" s="791"/>
      <c r="U14" s="979"/>
      <c r="Y14" s="29"/>
    </row>
    <row r="15" spans="2:25" ht="14.25" x14ac:dyDescent="0.2">
      <c r="B15" s="316"/>
      <c r="C15" s="322" t="s">
        <v>946</v>
      </c>
      <c r="D15" s="322"/>
      <c r="E15" s="322"/>
      <c r="F15" s="322"/>
      <c r="G15" s="322"/>
      <c r="H15" s="322"/>
      <c r="I15" s="526"/>
      <c r="J15" s="63"/>
      <c r="K15" s="287"/>
      <c r="L15" s="978"/>
      <c r="M15" s="791"/>
      <c r="N15" s="791"/>
      <c r="O15" s="791"/>
      <c r="P15" s="791"/>
      <c r="Q15" s="791"/>
      <c r="R15" s="791"/>
      <c r="S15" s="791"/>
      <c r="T15" s="791"/>
      <c r="U15" s="979"/>
    </row>
    <row r="16" spans="2:25" ht="14.25" x14ac:dyDescent="0.2">
      <c r="B16" s="316"/>
      <c r="C16" s="322"/>
      <c r="D16" s="322"/>
      <c r="E16" s="322"/>
      <c r="F16" s="322"/>
      <c r="G16" s="322"/>
      <c r="H16" s="527"/>
      <c r="I16" s="526"/>
      <c r="J16" s="63"/>
      <c r="K16" s="287"/>
      <c r="L16" s="978"/>
      <c r="M16" s="791"/>
      <c r="N16" s="791"/>
      <c r="O16" s="791"/>
      <c r="P16" s="791"/>
      <c r="Q16" s="791"/>
      <c r="R16" s="791"/>
      <c r="S16" s="791"/>
      <c r="T16" s="791"/>
      <c r="U16" s="979"/>
    </row>
    <row r="17" spans="2:21" ht="14.25" x14ac:dyDescent="0.2">
      <c r="B17" s="316"/>
      <c r="C17" s="322"/>
      <c r="D17" s="322" t="s">
        <v>948</v>
      </c>
      <c r="E17" s="322"/>
      <c r="F17" s="322"/>
      <c r="G17" s="322"/>
      <c r="H17" s="1018"/>
      <c r="I17" s="526"/>
      <c r="J17" s="63"/>
      <c r="K17" s="287"/>
      <c r="L17" s="978"/>
      <c r="M17" s="791"/>
      <c r="N17" s="791"/>
      <c r="O17" s="791"/>
      <c r="P17" s="791"/>
      <c r="Q17" s="791"/>
      <c r="R17" s="791"/>
      <c r="S17" s="791"/>
      <c r="T17" s="791"/>
      <c r="U17" s="979"/>
    </row>
    <row r="18" spans="2:21" ht="14.25" x14ac:dyDescent="0.2">
      <c r="B18" s="316"/>
      <c r="C18" s="322"/>
      <c r="D18" s="322"/>
      <c r="E18" s="322"/>
      <c r="F18" s="322"/>
      <c r="G18" s="322"/>
      <c r="H18" s="526"/>
      <c r="I18" s="526"/>
      <c r="J18" s="63"/>
      <c r="K18" s="287"/>
      <c r="L18" s="978"/>
      <c r="M18" s="791"/>
      <c r="N18" s="791"/>
      <c r="O18" s="791"/>
      <c r="P18" s="791"/>
      <c r="Q18" s="791"/>
      <c r="R18" s="791"/>
      <c r="S18" s="791"/>
      <c r="T18" s="791"/>
      <c r="U18" s="979"/>
    </row>
    <row r="19" spans="2:21" ht="14.25" x14ac:dyDescent="0.2">
      <c r="B19" s="316"/>
      <c r="C19" s="322"/>
      <c r="D19" s="322"/>
      <c r="E19" s="322"/>
      <c r="F19" s="322"/>
      <c r="G19" s="322"/>
      <c r="H19" s="526"/>
      <c r="I19" s="1018"/>
      <c r="J19" s="63"/>
      <c r="K19" s="287"/>
      <c r="L19" s="978"/>
      <c r="M19" s="791"/>
      <c r="N19" s="791"/>
      <c r="O19" s="791"/>
      <c r="P19" s="791"/>
      <c r="Q19" s="791"/>
      <c r="R19" s="791"/>
      <c r="S19" s="791"/>
      <c r="T19" s="791"/>
      <c r="U19" s="979"/>
    </row>
    <row r="20" spans="2:21" ht="14.25" x14ac:dyDescent="0.2">
      <c r="B20" s="316"/>
      <c r="C20" s="322"/>
      <c r="D20" s="322"/>
      <c r="E20" s="322"/>
      <c r="F20" s="322"/>
      <c r="G20" s="322"/>
      <c r="H20" s="322"/>
      <c r="I20" s="526"/>
      <c r="J20" s="63"/>
      <c r="K20" s="287"/>
      <c r="L20" s="978"/>
      <c r="M20" s="791"/>
      <c r="N20" s="791"/>
      <c r="O20" s="791"/>
      <c r="P20" s="791"/>
      <c r="Q20" s="791"/>
      <c r="R20" s="791"/>
      <c r="S20" s="791"/>
      <c r="T20" s="791"/>
      <c r="U20" s="979"/>
    </row>
    <row r="21" spans="2:21" ht="14.25" x14ac:dyDescent="0.2">
      <c r="B21" s="316"/>
      <c r="C21" s="322" t="s">
        <v>5262</v>
      </c>
      <c r="D21" s="322"/>
      <c r="E21" s="322"/>
      <c r="F21" s="322"/>
      <c r="G21" s="322"/>
      <c r="H21" s="322"/>
      <c r="I21" s="1018"/>
      <c r="J21" s="63"/>
      <c r="K21" s="287"/>
      <c r="L21" s="978"/>
      <c r="M21" s="791"/>
      <c r="N21" s="791"/>
      <c r="O21" s="791"/>
      <c r="P21" s="791"/>
      <c r="Q21" s="791"/>
      <c r="R21" s="791"/>
      <c r="S21" s="791"/>
      <c r="T21" s="791"/>
      <c r="U21" s="979"/>
    </row>
    <row r="22" spans="2:21" ht="14.25" x14ac:dyDescent="0.2">
      <c r="B22" s="316"/>
      <c r="C22" s="322" t="s">
        <v>5261</v>
      </c>
      <c r="D22" s="322"/>
      <c r="E22" s="322"/>
      <c r="F22" s="322"/>
      <c r="G22" s="322"/>
      <c r="H22" s="322"/>
      <c r="I22" s="1018"/>
      <c r="J22" s="63"/>
      <c r="K22" s="287"/>
      <c r="L22" s="978"/>
      <c r="M22" s="791"/>
      <c r="N22" s="791"/>
      <c r="O22" s="791"/>
      <c r="P22" s="791"/>
      <c r="Q22" s="791"/>
      <c r="R22" s="791"/>
      <c r="S22" s="791"/>
      <c r="T22" s="791"/>
      <c r="U22" s="979"/>
    </row>
    <row r="23" spans="2:21" ht="14.25" x14ac:dyDescent="0.2">
      <c r="B23" s="316"/>
      <c r="C23" s="322" t="s">
        <v>5263</v>
      </c>
      <c r="D23" s="322"/>
      <c r="E23" s="322"/>
      <c r="F23" s="322"/>
      <c r="G23" s="322"/>
      <c r="H23" s="322"/>
      <c r="I23" s="1018"/>
      <c r="J23" s="63"/>
      <c r="K23" s="287"/>
      <c r="L23" s="978"/>
      <c r="M23" s="791"/>
      <c r="N23" s="791"/>
      <c r="O23" s="791"/>
      <c r="P23" s="791"/>
      <c r="Q23" s="791"/>
      <c r="R23" s="791"/>
      <c r="S23" s="791"/>
      <c r="T23" s="791"/>
      <c r="U23" s="979"/>
    </row>
    <row r="24" spans="2:21" ht="15" thickBot="1" x14ac:dyDescent="0.25">
      <c r="B24" s="316"/>
      <c r="C24" s="1062" t="s">
        <v>509</v>
      </c>
      <c r="D24" s="63"/>
      <c r="E24" s="63"/>
      <c r="F24" s="63"/>
      <c r="G24" s="63"/>
      <c r="H24" s="63"/>
      <c r="I24" s="1064">
        <f>SUM(I21:I23)</f>
        <v>0</v>
      </c>
      <c r="J24" s="63"/>
      <c r="K24" s="287"/>
      <c r="L24" s="978"/>
      <c r="M24" s="791"/>
      <c r="N24" s="791"/>
      <c r="O24" s="791"/>
      <c r="P24" s="791"/>
      <c r="Q24" s="791"/>
      <c r="R24" s="791"/>
      <c r="S24" s="791"/>
      <c r="T24" s="791"/>
      <c r="U24" s="979"/>
    </row>
    <row r="25" spans="2:21" ht="15" thickTop="1" x14ac:dyDescent="0.2">
      <c r="B25" s="316"/>
      <c r="C25" s="322"/>
      <c r="D25" s="322"/>
      <c r="E25" s="322"/>
      <c r="F25" s="322"/>
      <c r="G25" s="322"/>
      <c r="H25" s="322"/>
      <c r="I25" s="526"/>
      <c r="J25" s="63"/>
      <c r="K25" s="287"/>
      <c r="L25" s="978"/>
      <c r="M25" s="791"/>
      <c r="N25" s="791"/>
      <c r="O25" s="791"/>
      <c r="P25" s="791"/>
      <c r="Q25" s="791"/>
      <c r="R25" s="791"/>
      <c r="S25" s="791"/>
      <c r="T25" s="791"/>
      <c r="U25" s="979"/>
    </row>
    <row r="26" spans="2:21" ht="14.25" x14ac:dyDescent="0.2">
      <c r="B26" s="316"/>
      <c r="C26" s="322" t="s">
        <v>5260</v>
      </c>
      <c r="D26" s="322"/>
      <c r="E26" s="322"/>
      <c r="F26" s="322"/>
      <c r="G26" s="1267"/>
      <c r="H26" s="322" t="s">
        <v>5347</v>
      </c>
      <c r="I26" s="526"/>
      <c r="J26" s="63"/>
      <c r="K26" s="287"/>
      <c r="L26" s="978"/>
      <c r="M26" s="791"/>
      <c r="N26" s="791"/>
      <c r="O26" s="791"/>
      <c r="P26" s="791"/>
      <c r="Q26" s="791"/>
      <c r="R26" s="791"/>
      <c r="S26" s="791"/>
      <c r="T26" s="791"/>
      <c r="U26" s="979"/>
    </row>
    <row r="27" spans="2:21" ht="14.25" x14ac:dyDescent="0.2">
      <c r="B27" s="316"/>
      <c r="C27" s="322" t="str">
        <f>"have elected an opt-out for "&amp;'Key Inputs'!E34&amp;".  This opt-out amount'"</f>
        <v>have elected an opt-out for 2021.  This opt-out amount'</v>
      </c>
      <c r="D27" s="322"/>
      <c r="E27" s="322"/>
      <c r="F27" s="322"/>
      <c r="G27" s="322"/>
      <c r="H27" s="322"/>
      <c r="I27" s="526"/>
      <c r="J27" s="63"/>
      <c r="K27" s="287"/>
      <c r="L27" s="978"/>
      <c r="M27" s="791"/>
      <c r="N27" s="791"/>
      <c r="O27" s="791"/>
      <c r="P27" s="791"/>
      <c r="Q27" s="791"/>
      <c r="R27" s="791"/>
      <c r="S27" s="791"/>
      <c r="T27" s="791"/>
      <c r="U27" s="979"/>
    </row>
    <row r="28" spans="2:21" ht="14.25" x14ac:dyDescent="0.2">
      <c r="B28" s="316"/>
      <c r="C28" s="322" t="s">
        <v>3345</v>
      </c>
      <c r="D28" s="322"/>
      <c r="E28" s="322"/>
      <c r="F28" s="322"/>
      <c r="G28" s="322"/>
      <c r="H28" s="322"/>
      <c r="I28" s="526"/>
      <c r="J28" s="63"/>
      <c r="K28" s="287"/>
      <c r="L28" s="978"/>
      <c r="M28" s="791"/>
      <c r="N28" s="791"/>
      <c r="O28" s="791"/>
      <c r="P28" s="791"/>
      <c r="Q28" s="791"/>
      <c r="R28" s="791"/>
      <c r="S28" s="791"/>
      <c r="T28" s="791"/>
      <c r="U28" s="979"/>
    </row>
    <row r="29" spans="2:21" ht="14.25" x14ac:dyDescent="0.2">
      <c r="B29" s="316"/>
      <c r="C29" s="322"/>
      <c r="D29" s="322"/>
      <c r="E29" s="322"/>
      <c r="F29" s="322"/>
      <c r="G29" s="322"/>
      <c r="H29" s="322"/>
      <c r="I29" s="526"/>
      <c r="J29" s="63"/>
      <c r="K29" s="287"/>
      <c r="L29" s="978"/>
      <c r="M29" s="791"/>
      <c r="N29" s="791"/>
      <c r="O29" s="791"/>
      <c r="P29" s="791"/>
      <c r="Q29" s="791"/>
      <c r="R29" s="791"/>
      <c r="S29" s="791"/>
      <c r="T29" s="791"/>
      <c r="U29" s="979"/>
    </row>
    <row r="30" spans="2:21" ht="14.25" x14ac:dyDescent="0.2">
      <c r="B30" s="316"/>
      <c r="C30" s="322"/>
      <c r="D30" s="322" t="s">
        <v>947</v>
      </c>
      <c r="E30" s="322"/>
      <c r="F30" s="322"/>
      <c r="G30" s="322"/>
      <c r="H30" s="322"/>
      <c r="I30" s="322"/>
      <c r="J30" s="63"/>
      <c r="K30" s="287"/>
      <c r="L30" s="978"/>
      <c r="M30" s="791"/>
      <c r="N30" s="791"/>
      <c r="O30" s="791"/>
      <c r="P30" s="791"/>
      <c r="Q30" s="791"/>
      <c r="R30" s="791"/>
      <c r="S30" s="791"/>
      <c r="T30" s="791"/>
      <c r="U30" s="979"/>
    </row>
    <row r="31" spans="2:21" ht="15" thickBot="1" x14ac:dyDescent="0.25">
      <c r="B31" s="316"/>
      <c r="C31" s="322"/>
      <c r="D31" s="322"/>
      <c r="E31" s="322" t="s">
        <v>478</v>
      </c>
      <c r="F31" s="322"/>
      <c r="G31" s="322"/>
      <c r="H31" s="322"/>
      <c r="I31" s="843"/>
      <c r="J31" s="63"/>
      <c r="K31" s="287"/>
      <c r="L31" s="978"/>
      <c r="M31" s="791"/>
      <c r="N31" s="791"/>
      <c r="O31" s="791"/>
      <c r="P31" s="791"/>
      <c r="Q31" s="791"/>
      <c r="R31" s="791"/>
      <c r="S31" s="791"/>
      <c r="T31" s="791"/>
      <c r="U31" s="979"/>
    </row>
    <row r="32" spans="2:21" ht="15" thickTop="1" x14ac:dyDescent="0.2">
      <c r="B32" s="316"/>
      <c r="C32" s="322"/>
      <c r="D32" s="322"/>
      <c r="E32" s="322"/>
      <c r="F32" s="322"/>
      <c r="G32" s="322"/>
      <c r="H32" s="322"/>
      <c r="I32" s="322"/>
      <c r="J32" s="63"/>
      <c r="K32" s="287"/>
      <c r="L32" s="978"/>
      <c r="M32" s="791"/>
      <c r="N32" s="791"/>
      <c r="O32" s="791"/>
      <c r="P32" s="791"/>
      <c r="Q32" s="791"/>
      <c r="R32" s="791"/>
      <c r="S32" s="791"/>
      <c r="T32" s="791"/>
      <c r="U32" s="979"/>
    </row>
    <row r="33" spans="2:21" ht="14.25" x14ac:dyDescent="0.2">
      <c r="B33" s="316"/>
      <c r="C33" s="322"/>
      <c r="D33" s="322"/>
      <c r="E33" s="322"/>
      <c r="F33" s="322"/>
      <c r="G33" s="322"/>
      <c r="H33" s="322"/>
      <c r="I33" s="322"/>
      <c r="J33" s="63"/>
      <c r="K33" s="287"/>
      <c r="L33" s="978"/>
      <c r="M33" s="791"/>
      <c r="N33" s="791"/>
      <c r="O33" s="791"/>
      <c r="P33" s="791"/>
      <c r="Q33" s="791"/>
      <c r="R33" s="791"/>
      <c r="S33" s="791"/>
      <c r="T33" s="791"/>
      <c r="U33" s="979"/>
    </row>
    <row r="34" spans="2:21" ht="14.25" x14ac:dyDescent="0.2">
      <c r="B34" s="316"/>
      <c r="C34" s="322"/>
      <c r="D34" s="322"/>
      <c r="E34" s="322"/>
      <c r="F34" s="322"/>
      <c r="G34" s="322"/>
      <c r="H34" s="322"/>
      <c r="I34" s="322"/>
      <c r="J34" s="63"/>
      <c r="K34" s="287"/>
      <c r="L34" s="978"/>
      <c r="M34" s="791"/>
      <c r="N34" s="791"/>
      <c r="O34" s="791"/>
      <c r="P34" s="791"/>
      <c r="Q34" s="791"/>
      <c r="R34" s="791"/>
      <c r="S34" s="791"/>
      <c r="T34" s="791"/>
      <c r="U34" s="979"/>
    </row>
    <row r="35" spans="2:21" ht="14.25" x14ac:dyDescent="0.2">
      <c r="B35" s="317"/>
      <c r="C35" s="4"/>
      <c r="D35" s="4"/>
      <c r="E35" s="4"/>
      <c r="F35" s="4"/>
      <c r="G35" s="4"/>
      <c r="H35" s="4"/>
      <c r="I35" s="4"/>
      <c r="J35" s="4"/>
      <c r="K35" s="289"/>
      <c r="L35" s="980"/>
      <c r="M35" s="819"/>
      <c r="N35" s="819"/>
      <c r="O35" s="819"/>
      <c r="P35" s="819"/>
      <c r="Q35" s="819"/>
      <c r="R35" s="819"/>
      <c r="S35" s="819"/>
      <c r="T35" s="819"/>
      <c r="U35" s="981"/>
    </row>
    <row r="36" spans="2:21" ht="15.75" x14ac:dyDescent="0.25">
      <c r="C36" s="322"/>
      <c r="D36" s="322"/>
      <c r="E36" s="322"/>
      <c r="F36" s="322"/>
      <c r="G36" s="322"/>
      <c r="H36" s="322"/>
      <c r="I36" s="526"/>
      <c r="K36" s="1692" t="s">
        <v>952</v>
      </c>
      <c r="L36" s="1692"/>
      <c r="M36" s="177"/>
    </row>
    <row r="37" spans="2:21" x14ac:dyDescent="0.2">
      <c r="C37" s="322"/>
      <c r="D37" s="322"/>
      <c r="E37" s="322"/>
      <c r="F37" s="322"/>
      <c r="G37" s="322"/>
      <c r="H37" s="322"/>
      <c r="I37" s="526"/>
    </row>
    <row r="42" spans="2:21" x14ac:dyDescent="0.2">
      <c r="I42" s="29">
        <f>+'14'!J18</f>
        <v>0</v>
      </c>
    </row>
    <row r="43" spans="2:21" x14ac:dyDescent="0.2">
      <c r="I43" s="29">
        <f>+'14'!J20</f>
        <v>0</v>
      </c>
    </row>
  </sheetData>
  <sheetProtection algorithmName="SHA-512" hashValue="92BVLu2xHg0TgKrji0R7BtUexi8AE+5DpepuSmBf0WFmadieGOiwTm9j/9Z3PNwsHfoCvbPDZ1hJu05xQYEl7g==" saltValue="jhmaFuf85fCsAg4xpR57HQ==" spinCount="100000" sheet="1" objects="1" scenarios="1"/>
  <mergeCells count="4">
    <mergeCell ref="G2:P2"/>
    <mergeCell ref="G4:P4"/>
    <mergeCell ref="C9:I9"/>
    <mergeCell ref="K36:L36"/>
  </mergeCells>
  <pageMargins left="0.25" right="0.3" top="0.25" bottom="0.75" header="0.25" footer="0.25"/>
  <pageSetup paperSize="5"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B2:U50"/>
  <sheetViews>
    <sheetView zoomScaleNormal="100" workbookViewId="0">
      <selection activeCell="S18" sqref="S18"/>
    </sheetView>
  </sheetViews>
  <sheetFormatPr defaultRowHeight="12.75" x14ac:dyDescent="0.2"/>
  <cols>
    <col min="1" max="2" width="2.7109375" customWidth="1"/>
    <col min="3" max="4" width="4.7109375" customWidth="1"/>
    <col min="5" max="6" width="9.7109375" customWidth="1"/>
    <col min="7" max="7" width="7.7109375" customWidth="1"/>
    <col min="8" max="8" width="12.7109375" customWidth="1"/>
    <col min="9" max="10" width="14.7109375" customWidth="1"/>
    <col min="11" max="11" width="3.7109375" customWidth="1"/>
    <col min="12" max="12" width="2.7109375" customWidth="1"/>
    <col min="13" max="14" width="4.7109375" customWidth="1"/>
    <col min="15" max="16" width="9.7109375" customWidth="1"/>
    <col min="17" max="17" width="7.7109375" customWidth="1"/>
    <col min="18" max="18" width="12.7109375" customWidth="1"/>
    <col min="19" max="20" width="14.7109375" customWidth="1"/>
    <col min="21" max="21" width="3.7109375" customWidth="1"/>
  </cols>
  <sheetData>
    <row r="2" spans="2:21" ht="14.25" x14ac:dyDescent="0.2">
      <c r="B2" s="286"/>
      <c r="C2" s="202"/>
      <c r="D2" s="202"/>
      <c r="E2" s="202"/>
      <c r="F2" s="56"/>
      <c r="G2" s="1690" t="s">
        <v>785</v>
      </c>
      <c r="H2" s="1691"/>
      <c r="I2" s="1691"/>
      <c r="J2" s="1691"/>
      <c r="K2" s="1691"/>
      <c r="L2" s="1691"/>
      <c r="M2" s="1691"/>
      <c r="N2" s="1691"/>
      <c r="O2" s="1691"/>
      <c r="P2" s="1691"/>
      <c r="Q2" s="1691"/>
      <c r="R2" s="1694"/>
      <c r="S2" s="202"/>
      <c r="T2" s="202"/>
      <c r="U2" s="56"/>
    </row>
    <row r="3" spans="2:21" x14ac:dyDescent="0.2">
      <c r="B3" s="282"/>
      <c r="C3" s="63"/>
      <c r="D3" s="63"/>
      <c r="E3" s="63"/>
      <c r="F3" s="287"/>
      <c r="G3" s="282"/>
      <c r="H3" s="63"/>
      <c r="I3" s="63"/>
      <c r="J3" s="63"/>
      <c r="K3" s="63"/>
      <c r="L3" s="63"/>
      <c r="M3" s="63"/>
      <c r="N3" s="63"/>
      <c r="O3" s="63"/>
      <c r="P3" s="63"/>
      <c r="Q3" s="63"/>
      <c r="R3" s="287"/>
      <c r="S3" s="63"/>
      <c r="T3" s="63"/>
      <c r="U3" s="287"/>
    </row>
    <row r="4" spans="2:21" ht="15" x14ac:dyDescent="0.25">
      <c r="B4" s="288"/>
      <c r="C4" s="4"/>
      <c r="D4" s="4"/>
      <c r="E4" s="4"/>
      <c r="F4" s="289"/>
      <c r="G4" s="1689" t="s">
        <v>786</v>
      </c>
      <c r="H4" s="1667"/>
      <c r="I4" s="1667"/>
      <c r="J4" s="1667"/>
      <c r="K4" s="1667"/>
      <c r="L4" s="1667"/>
      <c r="M4" s="1667"/>
      <c r="N4" s="1667"/>
      <c r="O4" s="1667"/>
      <c r="P4" s="1667"/>
      <c r="Q4" s="1667"/>
      <c r="R4" s="1695"/>
      <c r="S4" s="4"/>
      <c r="T4" s="4"/>
      <c r="U4" s="289"/>
    </row>
    <row r="5" spans="2:21" ht="14.25" x14ac:dyDescent="0.2">
      <c r="B5" s="315"/>
      <c r="C5" s="202"/>
      <c r="D5" s="202"/>
      <c r="E5" s="202"/>
      <c r="F5" s="202"/>
      <c r="G5" s="202"/>
      <c r="H5" s="202"/>
      <c r="I5" s="202"/>
      <c r="J5" s="202"/>
      <c r="K5" s="56"/>
      <c r="L5" s="286"/>
      <c r="M5" s="202"/>
      <c r="N5" s="202"/>
      <c r="O5" s="202"/>
      <c r="P5" s="202"/>
      <c r="Q5" s="202"/>
      <c r="R5" s="202"/>
      <c r="S5" s="202"/>
      <c r="T5" s="202"/>
      <c r="U5" s="56"/>
    </row>
    <row r="6" spans="2:21" ht="15.75" x14ac:dyDescent="0.25">
      <c r="B6" s="316"/>
      <c r="C6" s="1616" t="s">
        <v>956</v>
      </c>
      <c r="D6" s="1616"/>
      <c r="E6" s="1616"/>
      <c r="F6" s="1616"/>
      <c r="G6" s="1616"/>
      <c r="H6" s="1616"/>
      <c r="I6" s="1616"/>
      <c r="J6" s="1616"/>
      <c r="K6" s="287"/>
      <c r="L6" s="282"/>
      <c r="M6" s="63"/>
      <c r="N6" s="63"/>
      <c r="O6" s="63"/>
      <c r="P6" s="63"/>
      <c r="Q6" s="63"/>
      <c r="R6" s="63"/>
      <c r="S6" s="63"/>
      <c r="T6" s="63"/>
      <c r="U6" s="287"/>
    </row>
    <row r="7" spans="2:21" ht="14.25" x14ac:dyDescent="0.2">
      <c r="B7" s="316"/>
      <c r="C7" s="63"/>
      <c r="D7" s="63"/>
      <c r="E7" s="63"/>
      <c r="F7" s="63"/>
      <c r="G7" s="63"/>
      <c r="H7" s="63"/>
      <c r="I7" s="63"/>
      <c r="J7" s="63"/>
      <c r="K7" s="287"/>
      <c r="L7" s="282"/>
      <c r="M7" s="227" t="s">
        <v>143</v>
      </c>
      <c r="N7" s="63"/>
      <c r="O7" s="63"/>
      <c r="P7" s="63"/>
      <c r="Q7" s="63"/>
      <c r="R7" s="63"/>
      <c r="S7" s="519"/>
      <c r="T7" s="519">
        <f>+J36</f>
        <v>323250.0258</v>
      </c>
      <c r="U7" s="287"/>
    </row>
    <row r="8" spans="2:21" ht="14.25" x14ac:dyDescent="0.2">
      <c r="B8" s="316"/>
      <c r="C8" s="1696"/>
      <c r="D8" s="1696"/>
      <c r="E8" s="1696"/>
      <c r="F8" s="1696"/>
      <c r="G8" s="1696"/>
      <c r="H8" s="1696"/>
      <c r="I8" s="1696"/>
      <c r="J8" s="1696"/>
      <c r="K8" s="287"/>
      <c r="L8" s="282"/>
      <c r="M8" s="63"/>
      <c r="N8" s="63" t="s">
        <v>144</v>
      </c>
      <c r="O8" s="63"/>
      <c r="P8" s="63"/>
      <c r="Q8" s="63"/>
      <c r="R8" s="63"/>
      <c r="S8" s="519"/>
      <c r="T8" s="519"/>
      <c r="U8" s="287"/>
    </row>
    <row r="9" spans="2:21" ht="14.25" x14ac:dyDescent="0.2">
      <c r="B9" s="316"/>
      <c r="C9" s="1696"/>
      <c r="D9" s="1696"/>
      <c r="E9" s="1696"/>
      <c r="F9" s="1696"/>
      <c r="G9" s="1696"/>
      <c r="H9" s="1696"/>
      <c r="I9" s="1696"/>
      <c r="J9" s="1696"/>
      <c r="K9" s="287"/>
      <c r="L9" s="282"/>
      <c r="M9" s="63"/>
      <c r="N9" s="63"/>
      <c r="O9" s="63" t="s">
        <v>928</v>
      </c>
      <c r="P9" s="63"/>
      <c r="Q9" s="63"/>
      <c r="R9" s="63"/>
      <c r="S9" s="844">
        <v>457</v>
      </c>
      <c r="T9" s="519"/>
      <c r="U9" s="287"/>
    </row>
    <row r="10" spans="2:21" ht="14.25" x14ac:dyDescent="0.2">
      <c r="B10" s="316"/>
      <c r="C10" s="1696"/>
      <c r="D10" s="1696"/>
      <c r="E10" s="1696"/>
      <c r="F10" s="1696"/>
      <c r="G10" s="1696"/>
      <c r="H10" s="1696"/>
      <c r="I10" s="1696"/>
      <c r="J10" s="1696"/>
      <c r="K10" s="287"/>
      <c r="L10" s="282"/>
      <c r="M10" s="63"/>
      <c r="N10" s="63"/>
      <c r="O10" s="510" t="s">
        <v>929</v>
      </c>
      <c r="P10" s="63"/>
      <c r="Q10" s="63"/>
      <c r="R10" s="63"/>
      <c r="S10" s="844"/>
      <c r="T10" s="519"/>
      <c r="U10" s="287"/>
    </row>
    <row r="11" spans="2:21" ht="14.25" x14ac:dyDescent="0.2">
      <c r="B11" s="316"/>
      <c r="C11" s="1698"/>
      <c r="D11" s="1698"/>
      <c r="E11" s="1698"/>
      <c r="F11" s="1698"/>
      <c r="G11" s="1698"/>
      <c r="H11" s="1698"/>
      <c r="I11" s="1698"/>
      <c r="J11" s="1698"/>
      <c r="K11" s="287"/>
      <c r="L11" s="282"/>
      <c r="M11" s="63"/>
      <c r="N11" s="63"/>
      <c r="O11" s="63" t="s">
        <v>930</v>
      </c>
      <c r="P11" s="63"/>
      <c r="Q11" s="63"/>
      <c r="R11" s="63"/>
      <c r="S11" s="844"/>
      <c r="T11" s="519"/>
      <c r="U11" s="287"/>
    </row>
    <row r="12" spans="2:21" ht="14.25" x14ac:dyDescent="0.2">
      <c r="B12" s="316"/>
      <c r="C12" s="1698"/>
      <c r="D12" s="1698"/>
      <c r="E12" s="1698"/>
      <c r="F12" s="1698"/>
      <c r="G12" s="1698"/>
      <c r="H12" s="1698"/>
      <c r="I12" s="1698"/>
      <c r="J12" s="1698"/>
      <c r="K12" s="287"/>
      <c r="L12" s="282"/>
      <c r="M12" s="63"/>
      <c r="N12" s="63"/>
      <c r="O12" s="510" t="s">
        <v>931</v>
      </c>
      <c r="P12" s="63"/>
      <c r="Q12" s="63"/>
      <c r="R12" s="63"/>
      <c r="S12" s="844"/>
      <c r="T12" s="519"/>
      <c r="U12" s="287"/>
    </row>
    <row r="13" spans="2:21" ht="14.25" x14ac:dyDescent="0.2">
      <c r="B13" s="316"/>
      <c r="C13" s="1696" t="s">
        <v>951</v>
      </c>
      <c r="D13" s="1696"/>
      <c r="E13" s="1696"/>
      <c r="F13" s="1696"/>
      <c r="G13" s="1696"/>
      <c r="H13" s="1696"/>
      <c r="I13" s="1696"/>
      <c r="J13" s="1696"/>
      <c r="K13" s="287"/>
      <c r="L13" s="282"/>
      <c r="M13" s="63"/>
      <c r="N13" s="63"/>
      <c r="O13" s="510" t="s">
        <v>932</v>
      </c>
      <c r="P13" s="63"/>
      <c r="Q13" s="63"/>
      <c r="R13" s="63"/>
      <c r="S13" s="844"/>
      <c r="T13" s="519"/>
      <c r="U13" s="287"/>
    </row>
    <row r="14" spans="2:21" ht="14.25" x14ac:dyDescent="0.2">
      <c r="B14" s="316"/>
      <c r="C14" s="1699" t="s">
        <v>933</v>
      </c>
      <c r="D14" s="1699"/>
      <c r="E14" s="1699"/>
      <c r="F14" s="1699"/>
      <c r="G14" s="1699"/>
      <c r="H14" s="1699"/>
      <c r="I14" s="1699"/>
      <c r="J14" s="1699"/>
      <c r="K14" s="287"/>
      <c r="L14" s="282"/>
      <c r="M14" s="63"/>
      <c r="N14" s="63"/>
      <c r="O14" s="510" t="s">
        <v>934</v>
      </c>
      <c r="P14" s="63"/>
      <c r="Q14" s="63"/>
      <c r="R14" s="63"/>
      <c r="S14" s="844"/>
      <c r="T14" s="519"/>
      <c r="U14" s="287"/>
    </row>
    <row r="15" spans="2:21" ht="14.25" x14ac:dyDescent="0.2">
      <c r="B15" s="316"/>
      <c r="C15" s="1699" t="s">
        <v>935</v>
      </c>
      <c r="D15" s="1696"/>
      <c r="E15" s="1696"/>
      <c r="F15" s="1696"/>
      <c r="G15" s="1696"/>
      <c r="H15" s="1696"/>
      <c r="I15" s="1696"/>
      <c r="J15" s="1696"/>
      <c r="K15" s="287"/>
      <c r="L15" s="282"/>
      <c r="M15" s="63"/>
      <c r="N15" s="63"/>
      <c r="O15" s="510" t="s">
        <v>145</v>
      </c>
      <c r="P15" s="63"/>
      <c r="Q15" s="63"/>
      <c r="R15" s="63"/>
      <c r="S15" s="844"/>
      <c r="T15" s="519"/>
      <c r="U15" s="287"/>
    </row>
    <row r="16" spans="2:21" ht="14.25" x14ac:dyDescent="0.2">
      <c r="B16" s="316"/>
      <c r="C16" s="1699" t="s">
        <v>936</v>
      </c>
      <c r="D16" s="1699"/>
      <c r="E16" s="1699"/>
      <c r="F16" s="1699"/>
      <c r="G16" s="1699"/>
      <c r="H16" s="1699"/>
      <c r="I16" s="1699"/>
      <c r="J16" s="1699"/>
      <c r="K16" s="287"/>
      <c r="L16" s="282"/>
      <c r="M16" s="63"/>
      <c r="O16" s="510" t="s">
        <v>147</v>
      </c>
      <c r="P16" s="63"/>
      <c r="Q16" s="63"/>
      <c r="R16" s="63"/>
      <c r="S16" s="844"/>
      <c r="U16" s="287"/>
    </row>
    <row r="17" spans="2:21" ht="14.25" x14ac:dyDescent="0.2">
      <c r="B17" s="316"/>
      <c r="C17" s="63"/>
      <c r="D17" s="63"/>
      <c r="E17" s="63"/>
      <c r="F17" s="63"/>
      <c r="G17" s="63"/>
      <c r="H17" s="63"/>
      <c r="I17" s="63"/>
      <c r="J17" s="519"/>
      <c r="K17" s="287"/>
      <c r="L17" s="282"/>
      <c r="M17" s="63"/>
      <c r="O17" s="510" t="s">
        <v>937</v>
      </c>
      <c r="P17" s="63"/>
      <c r="Q17" s="63"/>
      <c r="R17" s="63"/>
      <c r="S17" s="844">
        <v>13000</v>
      </c>
      <c r="U17" s="287"/>
    </row>
    <row r="18" spans="2:21" ht="14.25" x14ac:dyDescent="0.2">
      <c r="B18" s="316"/>
      <c r="K18" s="287"/>
      <c r="L18" s="282"/>
      <c r="M18" s="63"/>
      <c r="N18" s="63" t="s">
        <v>148</v>
      </c>
      <c r="O18" s="63"/>
      <c r="P18" s="63"/>
      <c r="Q18" s="63"/>
      <c r="R18" s="63"/>
      <c r="S18" s="519"/>
      <c r="T18" s="520">
        <f>SUM(S9:S17)</f>
        <v>13457</v>
      </c>
      <c r="U18" s="287"/>
    </row>
    <row r="19" spans="2:21" ht="14.25" x14ac:dyDescent="0.2">
      <c r="B19" s="316"/>
      <c r="C19" s="227"/>
      <c r="D19" s="63"/>
      <c r="E19" s="63"/>
      <c r="F19" s="63"/>
      <c r="G19" s="63"/>
      <c r="H19" s="63"/>
      <c r="I19" s="63"/>
      <c r="J19" s="63"/>
      <c r="K19" s="287"/>
      <c r="L19" s="282"/>
      <c r="M19" s="63"/>
      <c r="N19" s="63" t="s">
        <v>149</v>
      </c>
      <c r="O19" s="63"/>
      <c r="P19" s="63"/>
      <c r="Q19" s="63"/>
      <c r="R19" s="63"/>
      <c r="S19" s="519"/>
      <c r="T19" s="844"/>
      <c r="U19" s="287"/>
    </row>
    <row r="20" spans="2:21" ht="14.25" x14ac:dyDescent="0.2">
      <c r="B20" s="316"/>
      <c r="F20" s="63"/>
      <c r="G20" s="63"/>
      <c r="H20" s="63"/>
      <c r="I20" s="63"/>
      <c r="J20" s="519"/>
      <c r="K20" s="287"/>
      <c r="L20" s="282"/>
      <c r="M20" s="63"/>
      <c r="N20" s="63" t="s">
        <v>151</v>
      </c>
      <c r="O20" s="63"/>
      <c r="P20" s="63"/>
      <c r="Q20" s="63"/>
      <c r="R20" s="63"/>
      <c r="S20" s="519"/>
      <c r="T20" s="844"/>
      <c r="U20" s="287"/>
    </row>
    <row r="21" spans="2:21" ht="15.75" x14ac:dyDescent="0.25">
      <c r="B21" s="316"/>
      <c r="C21" s="1697" t="s">
        <v>938</v>
      </c>
      <c r="D21" s="1697"/>
      <c r="E21" s="1697"/>
      <c r="F21" s="1697"/>
      <c r="G21" s="1697"/>
      <c r="H21" s="1697"/>
      <c r="I21" s="1697"/>
      <c r="J21" s="1697"/>
      <c r="K21" s="287"/>
      <c r="L21" s="282"/>
      <c r="N21" s="510"/>
      <c r="T21" s="521"/>
      <c r="U21" s="287"/>
    </row>
    <row r="22" spans="2:21" ht="14.25" x14ac:dyDescent="0.2">
      <c r="B22" s="316"/>
      <c r="F22" s="63"/>
      <c r="G22" s="63"/>
      <c r="H22" s="63"/>
      <c r="I22" s="63"/>
      <c r="J22" s="519"/>
      <c r="K22" s="287"/>
      <c r="L22" s="282"/>
      <c r="M22" s="227" t="s">
        <v>153</v>
      </c>
      <c r="N22" s="63"/>
      <c r="O22" s="63"/>
      <c r="P22" s="63"/>
      <c r="Q22" s="63"/>
      <c r="R22" s="63"/>
      <c r="S22" s="519"/>
      <c r="T22" s="520">
        <f>+T7+T18-T19-T20</f>
        <v>336707.0258</v>
      </c>
      <c r="U22" s="287"/>
    </row>
    <row r="23" spans="2:21" ht="14.25" x14ac:dyDescent="0.2">
      <c r="B23" s="316"/>
      <c r="C23" s="227" t="s">
        <v>146</v>
      </c>
      <c r="F23" s="63"/>
      <c r="G23" s="63"/>
      <c r="H23" s="63"/>
      <c r="I23" s="63"/>
      <c r="J23" s="519"/>
      <c r="K23" s="287"/>
      <c r="L23" s="282"/>
      <c r="M23" s="63"/>
      <c r="N23" s="510" t="s">
        <v>405</v>
      </c>
      <c r="O23" s="63"/>
      <c r="P23" s="63"/>
      <c r="Q23" s="63"/>
      <c r="R23" s="63"/>
      <c r="S23" s="519"/>
      <c r="T23" s="519"/>
      <c r="U23" s="287"/>
    </row>
    <row r="24" spans="2:21" ht="14.25" x14ac:dyDescent="0.2">
      <c r="B24" s="316"/>
      <c r="C24" s="227"/>
      <c r="D24" s="63"/>
      <c r="E24" s="63"/>
      <c r="F24" s="63"/>
      <c r="G24" s="63"/>
      <c r="H24" s="63"/>
      <c r="I24" s="63"/>
      <c r="J24" s="519"/>
      <c r="K24" s="287"/>
      <c r="L24" s="282"/>
      <c r="M24" s="63"/>
      <c r="N24" s="63"/>
      <c r="O24" s="63" t="s">
        <v>154</v>
      </c>
      <c r="P24" s="63"/>
      <c r="Q24" s="63"/>
      <c r="R24" s="63"/>
      <c r="S24" s="638">
        <f>+'App. CAP'!X10</f>
        <v>29600</v>
      </c>
      <c r="T24" s="519"/>
      <c r="U24" s="287"/>
    </row>
    <row r="25" spans="2:21" ht="14.25" x14ac:dyDescent="0.2">
      <c r="B25" s="316"/>
      <c r="C25" s="63" t="s">
        <v>150</v>
      </c>
      <c r="D25" s="63"/>
      <c r="E25" s="63"/>
      <c r="F25" s="63"/>
      <c r="G25" s="63"/>
      <c r="H25" s="63"/>
      <c r="I25" s="63"/>
      <c r="J25" s="519">
        <f>+'11'!J22</f>
        <v>329911.78999999998</v>
      </c>
      <c r="K25" s="287"/>
      <c r="L25" s="282"/>
      <c r="M25" s="63"/>
      <c r="N25" s="63"/>
      <c r="O25" s="249" t="s">
        <v>3339</v>
      </c>
      <c r="P25" s="63"/>
      <c r="Q25" s="63"/>
      <c r="R25" s="63"/>
      <c r="S25" s="639">
        <f>+'App. CAP'!X13</f>
        <v>0.436</v>
      </c>
      <c r="T25" s="519"/>
      <c r="U25" s="287"/>
    </row>
    <row r="26" spans="2:21" ht="14.25" x14ac:dyDescent="0.2">
      <c r="B26" s="316"/>
      <c r="C26" s="63"/>
      <c r="D26" s="552" t="s">
        <v>152</v>
      </c>
      <c r="E26" s="791"/>
      <c r="F26" s="791"/>
      <c r="G26" s="791"/>
      <c r="H26" s="791"/>
      <c r="I26" s="791"/>
      <c r="J26" s="844"/>
      <c r="K26" s="287"/>
      <c r="L26" s="282"/>
      <c r="M26" s="63"/>
      <c r="N26" s="63"/>
      <c r="O26" s="63" t="s">
        <v>155</v>
      </c>
      <c r="P26" s="63"/>
      <c r="Q26" s="63"/>
      <c r="R26" s="63"/>
      <c r="S26" s="519"/>
      <c r="T26" s="519">
        <f>+(+S24/100)*S25</f>
        <v>129.05600000000001</v>
      </c>
      <c r="U26" s="287"/>
    </row>
    <row r="27" spans="2:21" ht="14.25" x14ac:dyDescent="0.2">
      <c r="B27" s="316"/>
      <c r="C27" s="63"/>
      <c r="D27" s="63" t="s">
        <v>152</v>
      </c>
      <c r="E27" s="510" t="s">
        <v>939</v>
      </c>
      <c r="F27" s="63"/>
      <c r="G27" s="63"/>
      <c r="H27" s="63"/>
      <c r="I27" s="63"/>
      <c r="J27" s="844"/>
      <c r="K27" s="287"/>
      <c r="L27" s="282"/>
      <c r="M27" s="63"/>
      <c r="N27" s="63"/>
      <c r="O27" s="510" t="s">
        <v>156</v>
      </c>
      <c r="P27" s="63"/>
      <c r="Q27" s="63"/>
      <c r="R27" s="63"/>
      <c r="S27" s="519"/>
      <c r="T27" s="844"/>
      <c r="U27" s="287"/>
    </row>
    <row r="28" spans="2:21" ht="14.25" x14ac:dyDescent="0.2">
      <c r="B28" s="316"/>
      <c r="C28" s="63"/>
      <c r="D28" s="63" t="s">
        <v>152</v>
      </c>
      <c r="E28" s="63" t="s">
        <v>940</v>
      </c>
      <c r="F28" s="63"/>
      <c r="G28" s="63"/>
      <c r="H28" s="63"/>
      <c r="I28" s="63"/>
      <c r="J28" s="844">
        <v>13000</v>
      </c>
      <c r="K28" s="287"/>
      <c r="L28" s="282"/>
      <c r="M28" s="63"/>
      <c r="N28" s="63"/>
      <c r="O28" s="535" t="s">
        <v>972</v>
      </c>
      <c r="P28" s="63"/>
      <c r="Q28" s="63"/>
      <c r="R28" s="63"/>
      <c r="S28" s="519"/>
      <c r="T28" s="844"/>
      <c r="U28" s="287"/>
    </row>
    <row r="29" spans="2:21" ht="14.25" x14ac:dyDescent="0.2">
      <c r="B29" s="316"/>
      <c r="C29" s="63"/>
      <c r="D29" s="63" t="s">
        <v>152</v>
      </c>
      <c r="E29" s="510" t="s">
        <v>941</v>
      </c>
      <c r="F29" s="63"/>
      <c r="G29" s="63"/>
      <c r="H29" s="63"/>
      <c r="I29" s="63"/>
      <c r="J29" s="844"/>
      <c r="K29" s="287"/>
      <c r="L29" s="282"/>
      <c r="M29" s="63"/>
      <c r="N29" s="63"/>
      <c r="O29" s="791"/>
      <c r="P29" s="791"/>
      <c r="Q29" s="791"/>
      <c r="R29" s="791"/>
      <c r="S29" s="519"/>
      <c r="T29" s="844"/>
      <c r="U29" s="287"/>
    </row>
    <row r="30" spans="2:21" ht="15" thickBot="1" x14ac:dyDescent="0.25">
      <c r="B30" s="316"/>
      <c r="C30" s="63"/>
      <c r="D30" s="552" t="s">
        <v>152</v>
      </c>
      <c r="E30" s="791"/>
      <c r="F30" s="791"/>
      <c r="G30" s="791"/>
      <c r="H30" s="791"/>
      <c r="I30" s="791"/>
      <c r="J30" s="844"/>
      <c r="K30" s="287"/>
      <c r="L30" s="282"/>
      <c r="M30" s="227" t="s">
        <v>157</v>
      </c>
      <c r="N30" s="63"/>
      <c r="O30" s="63"/>
      <c r="P30" s="63"/>
      <c r="Q30" s="63"/>
      <c r="R30" s="63"/>
      <c r="S30" s="519"/>
      <c r="T30" s="522">
        <f>SUM(T22:T29)</f>
        <v>336836.08179999999</v>
      </c>
      <c r="U30" s="287"/>
    </row>
    <row r="31" spans="2:21" ht="15" thickTop="1" x14ac:dyDescent="0.2">
      <c r="B31" s="316"/>
      <c r="C31" s="63"/>
      <c r="D31" s="552" t="s">
        <v>152</v>
      </c>
      <c r="E31" s="791"/>
      <c r="F31" s="791"/>
      <c r="G31" s="791"/>
      <c r="H31" s="791"/>
      <c r="I31" s="791"/>
      <c r="J31" s="844"/>
      <c r="K31" s="287"/>
      <c r="L31" s="282"/>
      <c r="M31" s="63"/>
      <c r="N31" s="63"/>
      <c r="O31" s="63"/>
      <c r="P31" s="63"/>
      <c r="Q31" s="63"/>
      <c r="R31" s="63"/>
      <c r="S31" s="519"/>
      <c r="T31" s="519"/>
      <c r="U31" s="287"/>
    </row>
    <row r="32" spans="2:21" ht="15" thickBot="1" x14ac:dyDescent="0.25">
      <c r="B32" s="316"/>
      <c r="C32" s="63" t="s">
        <v>942</v>
      </c>
      <c r="D32" s="63"/>
      <c r="E32" s="63"/>
      <c r="F32" s="63"/>
      <c r="G32" s="63"/>
      <c r="H32" s="63"/>
      <c r="I32" s="63"/>
      <c r="J32" s="520">
        <f>J25-SUM(J26:J31)</f>
        <v>316911.78999999998</v>
      </c>
      <c r="K32" s="287"/>
      <c r="L32" s="282"/>
      <c r="M32" s="227" t="s">
        <v>943</v>
      </c>
      <c r="N32" s="63"/>
      <c r="O32" s="63"/>
      <c r="P32" s="63"/>
      <c r="Q32" s="63"/>
      <c r="R32" s="63"/>
      <c r="S32" s="519"/>
      <c r="T32" s="522">
        <f>+'11'!I22</f>
        <v>334252.65115825913</v>
      </c>
      <c r="U32" s="287"/>
    </row>
    <row r="33" spans="2:21" ht="15" thickTop="1" x14ac:dyDescent="0.2">
      <c r="B33" s="316"/>
      <c r="C33" s="63"/>
      <c r="D33" s="63" t="s">
        <v>925</v>
      </c>
      <c r="E33" s="63"/>
      <c r="F33" s="63"/>
      <c r="G33" s="63"/>
      <c r="H33" s="63"/>
      <c r="I33" s="63"/>
      <c r="J33" s="519">
        <f>+J32*0.02</f>
        <v>6338.2357999999995</v>
      </c>
      <c r="K33" s="287"/>
      <c r="L33" s="282"/>
      <c r="M33" s="63"/>
      <c r="N33" s="63"/>
      <c r="O33" s="63"/>
      <c r="P33" s="63"/>
      <c r="Q33" s="63"/>
      <c r="R33" s="63"/>
      <c r="S33" s="519"/>
      <c r="T33" s="519"/>
      <c r="U33" s="287"/>
    </row>
    <row r="34" spans="2:21" ht="15" thickBot="1" x14ac:dyDescent="0.25">
      <c r="B34" s="316"/>
      <c r="C34" s="227" t="s">
        <v>153</v>
      </c>
      <c r="D34" s="63"/>
      <c r="E34" s="63"/>
      <c r="F34" s="63"/>
      <c r="G34" s="63"/>
      <c r="H34" s="63"/>
      <c r="I34" s="63"/>
      <c r="J34" s="523">
        <f>+J33+J32</f>
        <v>323250.0258</v>
      </c>
      <c r="K34" s="287"/>
      <c r="L34" s="282"/>
      <c r="M34" s="63"/>
      <c r="N34" s="227" t="s">
        <v>927</v>
      </c>
      <c r="O34" s="63"/>
      <c r="P34" s="63"/>
      <c r="Q34" s="63"/>
      <c r="R34" s="63"/>
      <c r="S34" s="519"/>
      <c r="T34" s="522">
        <f>+T32-T30</f>
        <v>-2583.4306417408516</v>
      </c>
      <c r="U34" s="287"/>
    </row>
    <row r="35" spans="2:21" ht="15" thickTop="1" x14ac:dyDescent="0.2">
      <c r="B35" s="316"/>
      <c r="C35" s="63"/>
      <c r="D35" s="63" t="s">
        <v>944</v>
      </c>
      <c r="E35" s="63"/>
      <c r="F35" s="63"/>
      <c r="G35" s="63"/>
      <c r="H35" s="63"/>
      <c r="I35" s="63"/>
      <c r="J35" s="845"/>
      <c r="K35" s="287"/>
      <c r="L35" s="282"/>
      <c r="M35" s="63"/>
      <c r="N35" s="63"/>
      <c r="O35" s="63" t="s">
        <v>158</v>
      </c>
      <c r="P35" s="63"/>
      <c r="Q35" s="63"/>
      <c r="R35" s="63"/>
      <c r="S35" s="519"/>
      <c r="T35" s="519"/>
      <c r="U35" s="287"/>
    </row>
    <row r="36" spans="2:21" ht="14.25" x14ac:dyDescent="0.2">
      <c r="B36" s="316"/>
      <c r="C36" s="227" t="s">
        <v>143</v>
      </c>
      <c r="D36" s="63"/>
      <c r="E36" s="63"/>
      <c r="F36" s="63"/>
      <c r="G36" s="63"/>
      <c r="H36" s="63"/>
      <c r="I36" s="63"/>
      <c r="J36" s="520">
        <f>+J34+J35</f>
        <v>323250.0258</v>
      </c>
      <c r="K36" s="287"/>
      <c r="L36" s="282"/>
      <c r="M36" s="63"/>
      <c r="N36" s="63"/>
      <c r="O36" s="63"/>
      <c r="P36" s="63"/>
      <c r="Q36" s="63"/>
      <c r="R36" s="63"/>
      <c r="S36" s="519"/>
      <c r="T36" s="519"/>
      <c r="U36" s="287"/>
    </row>
    <row r="37" spans="2:21" ht="14.25" x14ac:dyDescent="0.2">
      <c r="B37" s="317"/>
      <c r="C37" s="4"/>
      <c r="D37" s="4"/>
      <c r="E37" s="4"/>
      <c r="F37" s="4"/>
      <c r="G37" s="4"/>
      <c r="H37" s="4"/>
      <c r="I37" s="4"/>
      <c r="J37" s="4"/>
      <c r="K37" s="289"/>
      <c r="L37" s="288"/>
      <c r="M37" s="4"/>
      <c r="N37" s="4"/>
      <c r="O37" s="4"/>
      <c r="P37" s="4"/>
      <c r="Q37" s="4"/>
      <c r="R37" s="4"/>
      <c r="S37" s="4"/>
      <c r="T37" s="4"/>
      <c r="U37" s="289"/>
    </row>
    <row r="38" spans="2:21" ht="15.75" x14ac:dyDescent="0.25">
      <c r="J38" s="1692" t="s">
        <v>159</v>
      </c>
      <c r="K38" s="1692"/>
      <c r="L38" s="1692"/>
      <c r="M38" s="1692"/>
      <c r="N38" s="1692"/>
    </row>
    <row r="39" spans="2:21" ht="6" customHeight="1" x14ac:dyDescent="0.2"/>
    <row r="50" spans="20:20" x14ac:dyDescent="0.2">
      <c r="T50" s="524"/>
    </row>
  </sheetData>
  <sheetProtection password="CAF9" sheet="1" objects="1" scenarios="1"/>
  <mergeCells count="14">
    <mergeCell ref="C21:J21"/>
    <mergeCell ref="J38:N38"/>
    <mergeCell ref="C11:J11"/>
    <mergeCell ref="C12:J12"/>
    <mergeCell ref="C13:J13"/>
    <mergeCell ref="C14:J14"/>
    <mergeCell ref="C15:J15"/>
    <mergeCell ref="C16:J16"/>
    <mergeCell ref="C10:J10"/>
    <mergeCell ref="G2:R2"/>
    <mergeCell ref="G4:R4"/>
    <mergeCell ref="C6:J6"/>
    <mergeCell ref="C8:J8"/>
    <mergeCell ref="C9:J9"/>
  </mergeCells>
  <pageMargins left="0.25" right="0.3" top="0.25" bottom="0.75" header="0.25" footer="0.25"/>
  <pageSetup paperSize="5"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4"/>
  <dimension ref="B2:U37"/>
  <sheetViews>
    <sheetView zoomScaleNormal="100" workbookViewId="0">
      <selection activeCell="J31" sqref="J31"/>
    </sheetView>
  </sheetViews>
  <sheetFormatPr defaultRowHeight="12.75" x14ac:dyDescent="0.2"/>
  <cols>
    <col min="1" max="3" width="4.7109375" customWidth="1"/>
    <col min="4" max="4" width="5.7109375" customWidth="1"/>
    <col min="5" max="6" width="9.7109375" customWidth="1"/>
    <col min="8" max="8" width="12.5703125" customWidth="1"/>
    <col min="9" max="9" width="3.140625" customWidth="1"/>
    <col min="10" max="10" width="14.7109375" customWidth="1"/>
    <col min="17" max="17" width="9.7109375" customWidth="1"/>
    <col min="18" max="18" width="9.85546875" customWidth="1"/>
    <col min="19" max="20" width="5.7109375" customWidth="1"/>
    <col min="21" max="21" width="6.7109375" customWidth="1"/>
  </cols>
  <sheetData>
    <row r="2" spans="2:21" ht="15" x14ac:dyDescent="0.25">
      <c r="B2" s="286"/>
      <c r="C2" s="202"/>
      <c r="D2" s="202"/>
      <c r="E2" s="202"/>
      <c r="F2" s="56"/>
      <c r="G2" s="1690" t="s">
        <v>785</v>
      </c>
      <c r="H2" s="1691"/>
      <c r="I2" s="1691"/>
      <c r="J2" s="1691"/>
      <c r="K2" s="1691"/>
      <c r="L2" s="1691"/>
      <c r="M2" s="1691"/>
      <c r="N2" s="1691"/>
      <c r="O2" s="1691"/>
      <c r="P2" s="1694"/>
      <c r="Q2" s="312"/>
      <c r="R2" s="202"/>
      <c r="S2" s="202"/>
      <c r="T2" s="202"/>
      <c r="U2" s="56"/>
    </row>
    <row r="3" spans="2:21" x14ac:dyDescent="0.2">
      <c r="B3" s="282"/>
      <c r="C3" s="63"/>
      <c r="D3" s="63"/>
      <c r="E3" s="63"/>
      <c r="F3" s="287"/>
      <c r="G3" s="282"/>
      <c r="H3" s="63"/>
      <c r="I3" s="63"/>
      <c r="J3" s="63"/>
      <c r="K3" s="63"/>
      <c r="L3" s="63"/>
      <c r="M3" s="63"/>
      <c r="N3" s="63"/>
      <c r="O3" s="63"/>
      <c r="P3" s="287"/>
      <c r="Q3" s="63"/>
      <c r="R3" s="63"/>
      <c r="S3" s="63"/>
      <c r="T3" s="63"/>
      <c r="U3" s="287"/>
    </row>
    <row r="4" spans="2:21" ht="15" x14ac:dyDescent="0.25">
      <c r="B4" s="288"/>
      <c r="C4" s="4"/>
      <c r="D4" s="4"/>
      <c r="E4" s="4"/>
      <c r="F4" s="289"/>
      <c r="G4" s="1689" t="s">
        <v>786</v>
      </c>
      <c r="H4" s="1667"/>
      <c r="I4" s="1667"/>
      <c r="J4" s="1667"/>
      <c r="K4" s="1667"/>
      <c r="L4" s="1667"/>
      <c r="M4" s="1667"/>
      <c r="N4" s="1667"/>
      <c r="O4" s="1667"/>
      <c r="P4" s="1695"/>
      <c r="Q4" s="298"/>
      <c r="R4" s="4"/>
      <c r="S4" s="4"/>
      <c r="T4" s="4"/>
      <c r="U4" s="289"/>
    </row>
    <row r="5" spans="2:21" ht="14.25" x14ac:dyDescent="0.2">
      <c r="B5" s="315"/>
      <c r="C5" s="202"/>
      <c r="D5" s="202"/>
      <c r="E5" s="202"/>
      <c r="F5" s="202"/>
      <c r="G5" s="202"/>
      <c r="H5" s="202"/>
      <c r="I5" s="202"/>
      <c r="J5" s="202"/>
      <c r="K5" s="56"/>
      <c r="L5" s="975"/>
      <c r="M5" s="976"/>
      <c r="N5" s="976"/>
      <c r="O5" s="976"/>
      <c r="P5" s="976"/>
      <c r="Q5" s="976"/>
      <c r="R5" s="976"/>
      <c r="S5" s="976"/>
      <c r="T5" s="976"/>
      <c r="U5" s="977"/>
    </row>
    <row r="6" spans="2:21" ht="14.25" x14ac:dyDescent="0.2">
      <c r="B6" s="316"/>
      <c r="C6" s="528" t="s">
        <v>953</v>
      </c>
      <c r="D6" s="63"/>
      <c r="E6" s="63"/>
      <c r="F6" s="63"/>
      <c r="G6" s="63"/>
      <c r="H6" s="63"/>
      <c r="I6" s="63"/>
      <c r="J6" s="63"/>
      <c r="K6" s="287"/>
      <c r="L6" s="978"/>
      <c r="M6" s="791"/>
      <c r="N6" s="791"/>
      <c r="O6" s="791"/>
      <c r="P6" s="791"/>
      <c r="Q6" s="791"/>
      <c r="R6" s="791"/>
      <c r="S6" s="791"/>
      <c r="T6" s="791"/>
      <c r="U6" s="979"/>
    </row>
    <row r="7" spans="2:21" ht="14.25" x14ac:dyDescent="0.2">
      <c r="B7" s="316"/>
      <c r="C7" s="63"/>
      <c r="D7" s="63"/>
      <c r="E7" s="63"/>
      <c r="F7" s="63"/>
      <c r="G7" s="63"/>
      <c r="H7" s="63"/>
      <c r="I7" s="63"/>
      <c r="J7" s="63"/>
      <c r="K7" s="287"/>
      <c r="L7" s="978"/>
      <c r="M7" s="791"/>
      <c r="N7" s="791"/>
      <c r="O7" s="791"/>
      <c r="P7" s="791"/>
      <c r="Q7" s="791"/>
      <c r="R7" s="791"/>
      <c r="S7" s="791"/>
      <c r="T7" s="791"/>
      <c r="U7" s="979"/>
    </row>
    <row r="8" spans="2:21" ht="14.25" x14ac:dyDescent="0.2">
      <c r="B8" s="316"/>
      <c r="C8" s="541">
        <f>'Key Inputs'!E$34-3</f>
        <v>2018</v>
      </c>
      <c r="D8" s="249"/>
      <c r="E8" s="63"/>
      <c r="F8" s="63"/>
      <c r="G8" s="63"/>
      <c r="H8" s="63"/>
      <c r="I8" s="63"/>
      <c r="J8" s="63"/>
      <c r="K8" s="287"/>
      <c r="L8" s="978"/>
      <c r="M8" s="791"/>
      <c r="N8" s="791"/>
      <c r="O8" s="791"/>
      <c r="P8" s="791"/>
      <c r="Q8" s="791"/>
      <c r="R8" s="791"/>
      <c r="S8" s="791"/>
      <c r="T8" s="791"/>
      <c r="U8" s="979"/>
    </row>
    <row r="9" spans="2:21" ht="14.25" x14ac:dyDescent="0.2">
      <c r="B9" s="316"/>
      <c r="C9" s="63"/>
      <c r="D9" s="249" t="s">
        <v>954</v>
      </c>
      <c r="E9" s="63"/>
      <c r="F9" s="63"/>
      <c r="G9" s="63"/>
      <c r="H9" s="63"/>
      <c r="I9" s="63"/>
      <c r="J9" s="856"/>
      <c r="K9" s="287"/>
      <c r="L9" s="978"/>
      <c r="M9" s="791"/>
      <c r="N9" s="791"/>
      <c r="O9" s="791"/>
      <c r="P9" s="791"/>
      <c r="Q9" s="791"/>
      <c r="R9" s="791"/>
      <c r="S9" s="791"/>
      <c r="T9" s="791"/>
      <c r="U9" s="979"/>
    </row>
    <row r="10" spans="2:21" ht="14.25" x14ac:dyDescent="0.2">
      <c r="B10" s="316"/>
      <c r="C10" s="63"/>
      <c r="D10" s="249" t="s">
        <v>955</v>
      </c>
      <c r="E10" s="63"/>
      <c r="F10" s="63"/>
      <c r="G10" s="63"/>
      <c r="H10" s="63"/>
      <c r="I10" s="63"/>
      <c r="J10" s="857"/>
      <c r="K10" s="287"/>
      <c r="L10" s="978"/>
      <c r="M10" s="791"/>
      <c r="N10" s="791"/>
      <c r="O10" s="791"/>
      <c r="P10" s="791"/>
      <c r="Q10" s="791"/>
      <c r="R10" s="791"/>
      <c r="S10" s="791"/>
      <c r="T10" s="791"/>
      <c r="U10" s="979"/>
    </row>
    <row r="11" spans="2:21" ht="14.25" x14ac:dyDescent="0.2">
      <c r="B11" s="316"/>
      <c r="C11" s="63"/>
      <c r="D11" s="249" t="str">
        <f>"Available for Banking (CY "&amp;'Key Inputs'!E$34&amp;")"</f>
        <v>Available for Banking (CY 2021)</v>
      </c>
      <c r="E11" s="63"/>
      <c r="F11" s="63"/>
      <c r="G11" s="63"/>
      <c r="H11" s="63"/>
      <c r="I11" s="63"/>
      <c r="J11" s="858">
        <v>6509</v>
      </c>
      <c r="K11" s="287"/>
      <c r="L11" s="978"/>
      <c r="M11" s="791"/>
      <c r="N11" s="791"/>
      <c r="O11" s="791"/>
      <c r="P11" s="791"/>
      <c r="Q11" s="791"/>
      <c r="R11" s="791"/>
      <c r="S11" s="791"/>
      <c r="T11" s="791"/>
      <c r="U11" s="979"/>
    </row>
    <row r="12" spans="2:21" ht="14.25" x14ac:dyDescent="0.2">
      <c r="B12" s="316"/>
      <c r="C12" s="63"/>
      <c r="D12" s="63"/>
      <c r="E12" s="249" t="str">
        <f>"Amount Used in "&amp;'Key Inputs'!E$34</f>
        <v>Amount Used in 2021</v>
      </c>
      <c r="F12" s="63"/>
      <c r="G12" s="63"/>
      <c r="H12" s="63"/>
      <c r="I12" s="63"/>
      <c r="J12" s="856"/>
      <c r="K12" s="287"/>
      <c r="L12" s="978"/>
      <c r="M12" s="791"/>
      <c r="N12" s="791"/>
      <c r="O12" s="791"/>
      <c r="P12" s="791"/>
      <c r="Q12" s="791"/>
      <c r="R12" s="791"/>
      <c r="S12" s="791"/>
      <c r="T12" s="791"/>
      <c r="U12" s="979"/>
    </row>
    <row r="13" spans="2:21" ht="15" thickBot="1" x14ac:dyDescent="0.25">
      <c r="B13" s="316"/>
      <c r="C13" s="63"/>
      <c r="D13" s="510" t="s">
        <v>973</v>
      </c>
      <c r="E13" s="249"/>
      <c r="F13" s="63"/>
      <c r="G13" s="63"/>
      <c r="H13" s="63"/>
      <c r="I13" s="63"/>
      <c r="J13" s="531">
        <f>+J11-J12</f>
        <v>6509</v>
      </c>
      <c r="K13" s="287"/>
      <c r="L13" s="978"/>
      <c r="M13" s="791"/>
      <c r="N13" s="791"/>
      <c r="O13" s="791"/>
      <c r="P13" s="791"/>
      <c r="Q13" s="791"/>
      <c r="R13" s="791"/>
      <c r="S13" s="791"/>
      <c r="T13" s="791"/>
      <c r="U13" s="979"/>
    </row>
    <row r="14" spans="2:21" ht="15" thickTop="1" x14ac:dyDescent="0.2">
      <c r="B14" s="316"/>
      <c r="C14" s="63"/>
      <c r="D14" s="63"/>
      <c r="E14" s="63"/>
      <c r="F14" s="63"/>
      <c r="G14" s="63"/>
      <c r="H14" s="63"/>
      <c r="I14" s="63"/>
      <c r="J14" s="63"/>
      <c r="K14" s="287"/>
      <c r="L14" s="978"/>
      <c r="M14" s="791"/>
      <c r="N14" s="791"/>
      <c r="O14" s="791"/>
      <c r="P14" s="791"/>
      <c r="Q14" s="791"/>
      <c r="R14" s="791"/>
      <c r="S14" s="791"/>
      <c r="T14" s="791"/>
      <c r="U14" s="979"/>
    </row>
    <row r="15" spans="2:21" ht="14.25" x14ac:dyDescent="0.2">
      <c r="B15" s="316"/>
      <c r="C15" s="541">
        <f>'Key Inputs'!E$34-2</f>
        <v>2019</v>
      </c>
      <c r="D15" s="249"/>
      <c r="E15" s="63"/>
      <c r="F15" s="63"/>
      <c r="G15" s="63"/>
      <c r="H15" s="63"/>
      <c r="I15" s="63"/>
      <c r="J15" s="63"/>
      <c r="K15" s="287"/>
      <c r="L15" s="978"/>
      <c r="M15" s="791"/>
      <c r="N15" s="791"/>
      <c r="O15" s="791"/>
      <c r="P15" s="791"/>
      <c r="Q15" s="791"/>
      <c r="R15" s="791"/>
      <c r="S15" s="791"/>
      <c r="T15" s="791"/>
      <c r="U15" s="979"/>
    </row>
    <row r="16" spans="2:21" ht="14.25" x14ac:dyDescent="0.2">
      <c r="B16" s="316"/>
      <c r="C16" s="63"/>
      <c r="D16" s="249" t="s">
        <v>954</v>
      </c>
      <c r="E16" s="63"/>
      <c r="F16" s="63"/>
      <c r="G16" s="63"/>
      <c r="H16" s="63"/>
      <c r="I16" s="63"/>
      <c r="J16" s="856"/>
      <c r="K16" s="287"/>
      <c r="L16" s="978"/>
      <c r="M16" s="791"/>
      <c r="N16" s="791"/>
      <c r="O16" s="791"/>
      <c r="P16" s="791"/>
      <c r="Q16" s="791"/>
      <c r="R16" s="791"/>
      <c r="S16" s="791"/>
      <c r="T16" s="791"/>
      <c r="U16" s="979"/>
    </row>
    <row r="17" spans="2:21" ht="14.25" x14ac:dyDescent="0.2">
      <c r="B17" s="316"/>
      <c r="C17" s="63"/>
      <c r="D17" s="249" t="s">
        <v>955</v>
      </c>
      <c r="E17" s="63"/>
      <c r="F17" s="63"/>
      <c r="G17" s="63"/>
      <c r="H17" s="63"/>
      <c r="I17" s="63"/>
      <c r="J17" s="857"/>
      <c r="K17" s="287"/>
      <c r="L17" s="978"/>
      <c r="M17" s="791"/>
      <c r="N17" s="791"/>
      <c r="O17" s="791"/>
      <c r="P17" s="791"/>
      <c r="Q17" s="791"/>
      <c r="R17" s="791"/>
      <c r="S17" s="791"/>
      <c r="T17" s="791"/>
      <c r="U17" s="979"/>
    </row>
    <row r="18" spans="2:21" ht="14.25" x14ac:dyDescent="0.2">
      <c r="B18" s="316"/>
      <c r="C18" s="63"/>
      <c r="D18" s="249" t="str">
        <f>"Available for Banking (CY "&amp;'Key Inputs'!E$34&amp;" - CY "&amp;'Key Inputs'!E$34+1&amp;")"</f>
        <v>Available for Banking (CY 2021 - CY 2022)</v>
      </c>
      <c r="E18" s="63"/>
      <c r="F18" s="63"/>
      <c r="G18" s="63"/>
      <c r="H18" s="63"/>
      <c r="I18" s="63"/>
      <c r="J18" s="858">
        <v>6627</v>
      </c>
      <c r="K18" s="287"/>
      <c r="L18" s="978"/>
      <c r="M18" s="791"/>
      <c r="N18" s="791"/>
      <c r="O18" s="791"/>
      <c r="P18" s="791"/>
      <c r="Q18" s="791"/>
      <c r="R18" s="791"/>
      <c r="S18" s="791"/>
      <c r="T18" s="791"/>
      <c r="U18" s="979"/>
    </row>
    <row r="19" spans="2:21" ht="14.25" x14ac:dyDescent="0.2">
      <c r="B19" s="316"/>
      <c r="C19" s="63"/>
      <c r="D19" s="63"/>
      <c r="E19" s="249" t="str">
        <f>"Amount Used in "&amp;'Key Inputs'!E$34</f>
        <v>Amount Used in 2021</v>
      </c>
      <c r="F19" s="63"/>
      <c r="G19" s="63"/>
      <c r="H19" s="63"/>
      <c r="I19" s="63"/>
      <c r="J19" s="856"/>
      <c r="K19" s="287"/>
      <c r="L19" s="978"/>
      <c r="M19" s="791"/>
      <c r="N19" s="791"/>
      <c r="O19" s="791"/>
      <c r="P19" s="791"/>
      <c r="Q19" s="791"/>
      <c r="R19" s="791"/>
      <c r="S19" s="791"/>
      <c r="T19" s="791"/>
      <c r="U19" s="979"/>
    </row>
    <row r="20" spans="2:21" ht="15" thickBot="1" x14ac:dyDescent="0.25">
      <c r="B20" s="316"/>
      <c r="C20" s="63"/>
      <c r="D20" s="510" t="str">
        <f>"Balance to Carry Forward (CY "&amp;'Key Inputs'!E$34+1&amp;")"</f>
        <v>Balance to Carry Forward (CY 2022)</v>
      </c>
      <c r="E20" s="249"/>
      <c r="F20" s="63"/>
      <c r="G20" s="63"/>
      <c r="H20" s="63"/>
      <c r="I20" s="63"/>
      <c r="J20" s="531">
        <f>+J18-J19</f>
        <v>6627</v>
      </c>
      <c r="K20" s="287"/>
      <c r="L20" s="978"/>
      <c r="M20" s="791"/>
      <c r="N20" s="791"/>
      <c r="O20" s="791"/>
      <c r="P20" s="791"/>
      <c r="Q20" s="791"/>
      <c r="R20" s="791"/>
      <c r="S20" s="791"/>
      <c r="T20" s="791"/>
      <c r="U20" s="979"/>
    </row>
    <row r="21" spans="2:21" ht="15" thickTop="1" x14ac:dyDescent="0.2">
      <c r="B21" s="316"/>
      <c r="C21" s="63"/>
      <c r="D21" s="63"/>
      <c r="E21" s="63"/>
      <c r="F21" s="63"/>
      <c r="G21" s="63"/>
      <c r="H21" s="63"/>
      <c r="I21" s="63"/>
      <c r="J21" s="63"/>
      <c r="K21" s="287"/>
      <c r="L21" s="978"/>
      <c r="M21" s="791"/>
      <c r="N21" s="791"/>
      <c r="O21" s="791"/>
      <c r="P21" s="791"/>
      <c r="Q21" s="791"/>
      <c r="R21" s="791"/>
      <c r="S21" s="791"/>
      <c r="T21" s="791"/>
      <c r="U21" s="979"/>
    </row>
    <row r="22" spans="2:21" ht="14.25" x14ac:dyDescent="0.2">
      <c r="B22" s="316"/>
      <c r="C22" s="541">
        <f>'Key Inputs'!E$34-1</f>
        <v>2020</v>
      </c>
      <c r="D22" s="249"/>
      <c r="E22" s="63"/>
      <c r="F22" s="63"/>
      <c r="G22" s="63"/>
      <c r="H22" s="63"/>
      <c r="I22" s="63"/>
      <c r="J22" s="63"/>
      <c r="K22" s="287"/>
      <c r="L22" s="978"/>
      <c r="M22" s="791"/>
      <c r="N22" s="791"/>
      <c r="O22" s="791"/>
      <c r="P22" s="791"/>
      <c r="Q22" s="791"/>
      <c r="R22" s="791"/>
      <c r="S22" s="791"/>
      <c r="T22" s="791"/>
      <c r="U22" s="979"/>
    </row>
    <row r="23" spans="2:21" ht="14.25" x14ac:dyDescent="0.2">
      <c r="B23" s="316"/>
      <c r="C23" s="63"/>
      <c r="D23" s="249" t="s">
        <v>954</v>
      </c>
      <c r="E23" s="63"/>
      <c r="F23" s="63"/>
      <c r="G23" s="63"/>
      <c r="H23" s="63"/>
      <c r="I23" s="63"/>
      <c r="J23" s="856">
        <v>329912</v>
      </c>
      <c r="K23" s="287"/>
      <c r="L23" s="978"/>
      <c r="M23" s="791"/>
      <c r="N23" s="791"/>
      <c r="O23" s="791"/>
      <c r="P23" s="791"/>
      <c r="Q23" s="791"/>
      <c r="R23" s="791"/>
      <c r="S23" s="791"/>
      <c r="T23" s="791"/>
      <c r="U23" s="979"/>
    </row>
    <row r="24" spans="2:21" ht="14.25" x14ac:dyDescent="0.2">
      <c r="B24" s="316"/>
      <c r="C24" s="63"/>
      <c r="D24" s="249" t="s">
        <v>955</v>
      </c>
      <c r="E24" s="63"/>
      <c r="F24" s="63"/>
      <c r="G24" s="63"/>
      <c r="H24" s="63"/>
      <c r="I24" s="63"/>
      <c r="J24" s="857">
        <v>329912</v>
      </c>
      <c r="K24" s="287"/>
      <c r="L24" s="978"/>
      <c r="M24" s="791"/>
      <c r="N24" s="791"/>
      <c r="O24" s="791"/>
      <c r="P24" s="791"/>
      <c r="Q24" s="791"/>
      <c r="R24" s="791"/>
      <c r="S24" s="791"/>
      <c r="T24" s="791"/>
      <c r="U24" s="979"/>
    </row>
    <row r="25" spans="2:21" ht="14.25" x14ac:dyDescent="0.2">
      <c r="B25" s="316"/>
      <c r="C25" s="63"/>
      <c r="D25" s="249" t="str">
        <f>"Available for Banking (CY "&amp;'Key Inputs'!E$34&amp;" - CY "&amp;'Key Inputs'!E$34+2&amp;")"</f>
        <v>Available for Banking (CY 2021 - CY 2023)</v>
      </c>
      <c r="E25" s="63"/>
      <c r="F25" s="63"/>
      <c r="G25" s="63"/>
      <c r="H25" s="63"/>
      <c r="I25" s="63"/>
      <c r="J25" s="231">
        <f>+J23-J24</f>
        <v>0</v>
      </c>
      <c r="K25" s="287"/>
      <c r="L25" s="978"/>
      <c r="M25" s="791"/>
      <c r="N25" s="791"/>
      <c r="O25" s="791"/>
      <c r="P25" s="791"/>
      <c r="Q25" s="791"/>
      <c r="R25" s="791"/>
      <c r="S25" s="791"/>
      <c r="T25" s="791"/>
      <c r="U25" s="979"/>
    </row>
    <row r="26" spans="2:21" ht="14.25" x14ac:dyDescent="0.2">
      <c r="B26" s="316"/>
      <c r="C26" s="63"/>
      <c r="D26" s="63"/>
      <c r="E26" s="249" t="str">
        <f>"Amount Used in "&amp;'Key Inputs'!E$34</f>
        <v>Amount Used in 2021</v>
      </c>
      <c r="F26" s="63"/>
      <c r="G26" s="63"/>
      <c r="H26" s="63"/>
      <c r="I26" s="63"/>
      <c r="J26" s="856"/>
      <c r="K26" s="287"/>
      <c r="L26" s="978"/>
      <c r="M26" s="791"/>
      <c r="N26" s="791"/>
      <c r="O26" s="791"/>
      <c r="P26" s="791"/>
      <c r="Q26" s="791"/>
      <c r="R26" s="791"/>
      <c r="S26" s="791"/>
      <c r="T26" s="791"/>
      <c r="U26" s="979"/>
    </row>
    <row r="27" spans="2:21" ht="15" thickBot="1" x14ac:dyDescent="0.25">
      <c r="B27" s="316"/>
      <c r="C27" s="63"/>
      <c r="D27" s="510" t="str">
        <f>"Balance to Carry Forward (CY "&amp;'Key Inputs'!E$34+1&amp;" - CY"&amp;'Key Inputs'!E$34+2&amp;")"</f>
        <v>Balance to Carry Forward (CY 2022 - CY2023)</v>
      </c>
      <c r="E27" s="249"/>
      <c r="F27" s="63"/>
      <c r="G27" s="63"/>
      <c r="H27" s="63"/>
      <c r="I27" s="63"/>
      <c r="J27" s="531">
        <f>+J25-J26</f>
        <v>0</v>
      </c>
      <c r="K27" s="287"/>
      <c r="L27" s="978"/>
      <c r="M27" s="791"/>
      <c r="N27" s="791"/>
      <c r="O27" s="791"/>
      <c r="P27" s="791"/>
      <c r="Q27" s="791"/>
      <c r="R27" s="791"/>
      <c r="S27" s="791"/>
      <c r="T27" s="791"/>
      <c r="U27" s="979"/>
    </row>
    <row r="28" spans="2:21" ht="15" thickTop="1" x14ac:dyDescent="0.2">
      <c r="B28" s="316"/>
      <c r="C28" s="63"/>
      <c r="D28" s="63"/>
      <c r="E28" s="63"/>
      <c r="F28" s="63"/>
      <c r="G28" s="63"/>
      <c r="H28" s="63"/>
      <c r="I28" s="63"/>
      <c r="J28" s="63"/>
      <c r="K28" s="287"/>
      <c r="L28" s="978"/>
      <c r="M28" s="791"/>
      <c r="N28" s="791"/>
      <c r="O28" s="791"/>
      <c r="P28" s="791"/>
      <c r="Q28" s="791"/>
      <c r="R28" s="791"/>
      <c r="S28" s="791"/>
      <c r="T28" s="791"/>
      <c r="U28" s="979"/>
    </row>
    <row r="29" spans="2:21" ht="14.25" x14ac:dyDescent="0.2">
      <c r="B29" s="316"/>
      <c r="C29" s="541" t="str">
        <f>'Key Inputs'!E34</f>
        <v>2021</v>
      </c>
      <c r="D29" s="249"/>
      <c r="E29" s="63"/>
      <c r="F29" s="63"/>
      <c r="G29" s="63"/>
      <c r="H29" s="63"/>
      <c r="I29" s="63"/>
      <c r="J29" s="63"/>
      <c r="K29" s="287"/>
      <c r="L29" s="978"/>
      <c r="M29" s="791"/>
      <c r="N29" s="791"/>
      <c r="O29" s="791"/>
      <c r="P29" s="791"/>
      <c r="Q29" s="791"/>
      <c r="R29" s="791"/>
      <c r="S29" s="791"/>
      <c r="T29" s="791"/>
      <c r="U29" s="979"/>
    </row>
    <row r="30" spans="2:21" ht="14.25" x14ac:dyDescent="0.2">
      <c r="B30" s="316"/>
      <c r="C30" s="63"/>
      <c r="D30" s="249" t="s">
        <v>954</v>
      </c>
      <c r="E30" s="63"/>
      <c r="F30" s="63"/>
      <c r="G30" s="63"/>
      <c r="H30" s="63"/>
      <c r="I30" s="63"/>
      <c r="J30" s="529">
        <f>+'2% Levy Cap'!T30</f>
        <v>336836.08179999999</v>
      </c>
      <c r="K30" s="287"/>
      <c r="L30" s="978"/>
      <c r="M30" s="791"/>
      <c r="N30" s="791"/>
      <c r="O30" s="791"/>
      <c r="P30" s="791"/>
      <c r="Q30" s="791"/>
      <c r="R30" s="791"/>
      <c r="S30" s="791"/>
      <c r="T30" s="791"/>
      <c r="U30" s="979"/>
    </row>
    <row r="31" spans="2:21" ht="14.25" x14ac:dyDescent="0.2">
      <c r="B31" s="316"/>
      <c r="C31" s="63"/>
      <c r="D31" s="249" t="s">
        <v>955</v>
      </c>
      <c r="E31" s="63"/>
      <c r="F31" s="63"/>
      <c r="G31" s="63"/>
      <c r="H31" s="63"/>
      <c r="I31" s="63"/>
      <c r="J31" s="530">
        <f>+'11'!I22</f>
        <v>334252.65115825913</v>
      </c>
      <c r="K31" s="287"/>
      <c r="L31" s="978"/>
      <c r="M31" s="791"/>
      <c r="N31" s="791"/>
      <c r="O31" s="791"/>
      <c r="P31" s="791"/>
      <c r="Q31" s="791"/>
      <c r="R31" s="791"/>
      <c r="S31" s="791"/>
      <c r="T31" s="791"/>
      <c r="U31" s="979"/>
    </row>
    <row r="32" spans="2:21" ht="14.25" x14ac:dyDescent="0.2">
      <c r="B32" s="316"/>
      <c r="C32" s="63"/>
      <c r="D32" s="249" t="str">
        <f>"Available for Banking (CY "&amp;'Key Inputs'!E$34+1&amp;" - CY "&amp;'Key Inputs'!E$34+3&amp;")"</f>
        <v>Available for Banking (CY 2022 - CY 2024)</v>
      </c>
      <c r="E32" s="63"/>
      <c r="F32" s="63"/>
      <c r="G32" s="63"/>
      <c r="H32" s="63"/>
      <c r="I32" s="63"/>
      <c r="J32" s="231">
        <f>+J30-J31</f>
        <v>2583.4306417408516</v>
      </c>
      <c r="K32" s="287"/>
      <c r="L32" s="978"/>
      <c r="M32" s="791"/>
      <c r="N32" s="791"/>
      <c r="O32" s="791"/>
      <c r="P32" s="791"/>
      <c r="Q32" s="791"/>
      <c r="R32" s="791"/>
      <c r="S32" s="791"/>
      <c r="T32" s="791"/>
      <c r="U32" s="979"/>
    </row>
    <row r="33" spans="2:21" ht="14.25" x14ac:dyDescent="0.2">
      <c r="B33" s="316"/>
      <c r="C33" s="63"/>
      <c r="D33" s="63"/>
      <c r="E33" s="63"/>
      <c r="F33" s="63"/>
      <c r="G33" s="63"/>
      <c r="H33" s="63"/>
      <c r="I33" s="63"/>
      <c r="J33" s="63"/>
      <c r="K33" s="287"/>
      <c r="L33" s="978"/>
      <c r="M33" s="791"/>
      <c r="N33" s="791"/>
      <c r="O33" s="791"/>
      <c r="P33" s="791"/>
      <c r="Q33" s="791"/>
      <c r="R33" s="791"/>
      <c r="S33" s="791"/>
      <c r="T33" s="791"/>
      <c r="U33" s="979"/>
    </row>
    <row r="34" spans="2:21" ht="14.25" x14ac:dyDescent="0.2">
      <c r="B34" s="316"/>
      <c r="C34" s="63"/>
      <c r="D34" s="63"/>
      <c r="E34" s="63"/>
      <c r="F34" s="63"/>
      <c r="G34" s="63"/>
      <c r="H34" s="63"/>
      <c r="I34" s="63"/>
      <c r="J34" s="63"/>
      <c r="K34" s="287"/>
      <c r="L34" s="978"/>
      <c r="M34" s="791"/>
      <c r="N34" s="791"/>
      <c r="O34" s="791"/>
      <c r="P34" s="791"/>
      <c r="Q34" s="791"/>
      <c r="R34" s="791"/>
      <c r="S34" s="791"/>
      <c r="T34" s="791"/>
      <c r="U34" s="979"/>
    </row>
    <row r="35" spans="2:21" ht="15" thickBot="1" x14ac:dyDescent="0.25">
      <c r="B35" s="316"/>
      <c r="C35" s="63" t="s">
        <v>957</v>
      </c>
      <c r="D35" s="63"/>
      <c r="E35" s="63"/>
      <c r="F35" s="63"/>
      <c r="G35" s="63"/>
      <c r="H35" s="63"/>
      <c r="I35" s="63"/>
      <c r="J35" s="532">
        <f>+J20+J27+J32</f>
        <v>9210.4306417408516</v>
      </c>
      <c r="K35" s="287"/>
      <c r="L35" s="978"/>
      <c r="M35" s="791"/>
      <c r="N35" s="791"/>
      <c r="O35" s="791"/>
      <c r="P35" s="791"/>
      <c r="Q35" s="791"/>
      <c r="R35" s="791"/>
      <c r="S35" s="791"/>
      <c r="T35" s="791"/>
      <c r="U35" s="979"/>
    </row>
    <row r="36" spans="2:21" ht="15" thickTop="1" x14ac:dyDescent="0.2">
      <c r="B36" s="317"/>
      <c r="C36" s="4"/>
      <c r="D36" s="4"/>
      <c r="E36" s="4"/>
      <c r="F36" s="4"/>
      <c r="G36" s="4"/>
      <c r="H36" s="4"/>
      <c r="I36" s="4"/>
      <c r="J36" s="4"/>
      <c r="K36" s="289"/>
      <c r="L36" s="980"/>
      <c r="M36" s="819"/>
      <c r="N36" s="819"/>
      <c r="O36" s="819"/>
      <c r="P36" s="819"/>
      <c r="Q36" s="819"/>
      <c r="R36" s="819"/>
      <c r="S36" s="819"/>
      <c r="T36" s="819"/>
      <c r="U36" s="981"/>
    </row>
    <row r="37" spans="2:21" ht="15.75" x14ac:dyDescent="0.25">
      <c r="K37" s="1692" t="s">
        <v>792</v>
      </c>
      <c r="L37" s="1692"/>
      <c r="M37" s="177"/>
    </row>
  </sheetData>
  <sheetProtection password="CAF9" sheet="1" objects="1" scenarios="1"/>
  <mergeCells count="3">
    <mergeCell ref="G2:P2"/>
    <mergeCell ref="G4:P4"/>
    <mergeCell ref="K37:L37"/>
  </mergeCells>
  <pageMargins left="0.25" right="0.3" top="0.25" bottom="0.75" header="0.25" footer="0.25"/>
  <pageSetup paperSize="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5"/>
  <dimension ref="B1:N26"/>
  <sheetViews>
    <sheetView topLeftCell="E1"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4" max="14" width="12" bestFit="1" customWidth="1"/>
  </cols>
  <sheetData>
    <row r="1" spans="2:11" ht="15" customHeight="1" x14ac:dyDescent="0.2"/>
    <row r="2" spans="2:11" ht="21" thickBot="1" x14ac:dyDescent="0.35">
      <c r="B2" s="1700" t="s">
        <v>26</v>
      </c>
      <c r="C2" s="1700"/>
      <c r="D2" s="1700"/>
      <c r="E2" s="1700"/>
      <c r="F2" s="1700"/>
      <c r="G2" s="1700"/>
      <c r="H2" s="1700"/>
      <c r="I2" s="1700"/>
      <c r="J2" s="1700"/>
      <c r="K2" s="1700"/>
    </row>
    <row r="3" spans="2:11" ht="21" customHeight="1" thickTop="1" x14ac:dyDescent="0.25">
      <c r="H3" s="37"/>
      <c r="I3" s="1702" t="s">
        <v>27</v>
      </c>
      <c r="J3" s="1703"/>
      <c r="K3" s="34" t="s">
        <v>28</v>
      </c>
    </row>
    <row r="4" spans="2:11" ht="21" customHeight="1" x14ac:dyDescent="0.25">
      <c r="B4" s="1685" t="s">
        <v>29</v>
      </c>
      <c r="C4" s="1685"/>
      <c r="D4" s="1685"/>
      <c r="E4" s="1685"/>
      <c r="F4" s="1685"/>
      <c r="G4" s="1685"/>
      <c r="H4" s="374" t="s">
        <v>605</v>
      </c>
      <c r="I4" s="36" t="str">
        <f>'Key Inputs'!E34</f>
        <v>2021</v>
      </c>
      <c r="J4" s="36">
        <f>I4-1</f>
        <v>2020</v>
      </c>
      <c r="K4" s="35" t="str">
        <f>"Cash in "&amp;J4</f>
        <v>Cash in 2020</v>
      </c>
    </row>
    <row r="5" spans="2:11" ht="21" customHeight="1" x14ac:dyDescent="0.25">
      <c r="C5" s="38" t="s">
        <v>30</v>
      </c>
      <c r="D5" s="39" t="s">
        <v>31</v>
      </c>
      <c r="E5" s="39"/>
      <c r="F5" s="39"/>
      <c r="G5" s="5"/>
      <c r="H5" s="44" t="s">
        <v>515</v>
      </c>
      <c r="I5" s="743">
        <v>302200</v>
      </c>
      <c r="J5" s="743">
        <v>302200</v>
      </c>
      <c r="K5" s="860">
        <v>302200</v>
      </c>
    </row>
    <row r="6" spans="2:11" ht="21" customHeight="1" thickBot="1" x14ac:dyDescent="0.3">
      <c r="C6" s="38" t="s">
        <v>32</v>
      </c>
      <c r="D6" s="39" t="s">
        <v>33</v>
      </c>
      <c r="E6" s="39"/>
      <c r="F6" s="39"/>
      <c r="G6" s="5"/>
      <c r="H6" s="44" t="s">
        <v>516</v>
      </c>
      <c r="I6" s="865"/>
      <c r="J6" s="865"/>
      <c r="K6" s="866"/>
    </row>
    <row r="7" spans="2:11" ht="21" customHeight="1" thickBot="1" x14ac:dyDescent="0.3">
      <c r="C7" s="40"/>
      <c r="D7" s="1"/>
      <c r="E7" s="39" t="s">
        <v>34</v>
      </c>
      <c r="F7" s="39"/>
      <c r="G7" s="5"/>
      <c r="H7" s="44" t="s">
        <v>517</v>
      </c>
      <c r="I7" s="79">
        <f>+I6+I5</f>
        <v>302200</v>
      </c>
      <c r="J7" s="79">
        <f>+J6+J5</f>
        <v>302200</v>
      </c>
      <c r="K7" s="80">
        <f>+K6+K5</f>
        <v>302200</v>
      </c>
    </row>
    <row r="8" spans="2:11" ht="21" customHeight="1" x14ac:dyDescent="0.25">
      <c r="C8" s="41" t="s">
        <v>35</v>
      </c>
      <c r="D8" s="42" t="s">
        <v>614</v>
      </c>
      <c r="E8" s="39"/>
      <c r="F8" s="39"/>
      <c r="G8" s="5"/>
      <c r="H8" s="173" t="s">
        <v>97</v>
      </c>
      <c r="I8" s="198" t="s">
        <v>98</v>
      </c>
      <c r="J8" s="198" t="s">
        <v>98</v>
      </c>
      <c r="K8" s="199" t="s">
        <v>98</v>
      </c>
    </row>
    <row r="9" spans="2:11" ht="21.95" customHeight="1" x14ac:dyDescent="0.2">
      <c r="E9" s="16" t="s">
        <v>36</v>
      </c>
      <c r="F9" s="16"/>
      <c r="G9" s="16"/>
      <c r="H9" s="173" t="s">
        <v>97</v>
      </c>
      <c r="I9" s="98" t="s">
        <v>98</v>
      </c>
      <c r="J9" s="98" t="s">
        <v>98</v>
      </c>
      <c r="K9" s="175" t="s">
        <v>98</v>
      </c>
    </row>
    <row r="10" spans="2:11" ht="21.95" customHeight="1" x14ac:dyDescent="0.2">
      <c r="E10" s="16"/>
      <c r="F10" s="16" t="s">
        <v>37</v>
      </c>
      <c r="G10" s="16"/>
      <c r="H10" s="44" t="s">
        <v>518</v>
      </c>
      <c r="I10" s="743"/>
      <c r="J10" s="743"/>
      <c r="K10" s="860"/>
    </row>
    <row r="11" spans="2:11" ht="21.95" customHeight="1" x14ac:dyDescent="0.2">
      <c r="E11" s="16"/>
      <c r="F11" s="16" t="s">
        <v>87</v>
      </c>
      <c r="G11" s="16"/>
      <c r="H11" s="44" t="s">
        <v>519</v>
      </c>
      <c r="I11" s="743"/>
      <c r="J11" s="743"/>
      <c r="K11" s="860"/>
    </row>
    <row r="12" spans="2:11" ht="21.95" customHeight="1" x14ac:dyDescent="0.2">
      <c r="E12" s="16" t="s">
        <v>88</v>
      </c>
      <c r="F12" s="16"/>
      <c r="G12" s="16"/>
      <c r="H12" s="44" t="s">
        <v>520</v>
      </c>
      <c r="I12" s="743">
        <v>725</v>
      </c>
      <c r="J12" s="743">
        <v>725</v>
      </c>
      <c r="K12" s="860">
        <v>915</v>
      </c>
    </row>
    <row r="13" spans="2:11" ht="21.95" customHeight="1" x14ac:dyDescent="0.2">
      <c r="E13" s="16" t="s">
        <v>89</v>
      </c>
      <c r="F13" s="16"/>
      <c r="G13" s="16"/>
      <c r="H13" s="173" t="s">
        <v>97</v>
      </c>
      <c r="I13" s="98" t="s">
        <v>98</v>
      </c>
      <c r="J13" s="98" t="s">
        <v>98</v>
      </c>
      <c r="K13" s="175" t="s">
        <v>98</v>
      </c>
    </row>
    <row r="14" spans="2:11" ht="21.95" customHeight="1" x14ac:dyDescent="0.2">
      <c r="E14" s="16"/>
      <c r="F14" s="16" t="s">
        <v>90</v>
      </c>
      <c r="G14" s="16"/>
      <c r="H14" s="44" t="s">
        <v>521</v>
      </c>
      <c r="I14" s="743">
        <v>500</v>
      </c>
      <c r="J14" s="743">
        <v>500</v>
      </c>
      <c r="K14" s="860">
        <v>747.56</v>
      </c>
    </row>
    <row r="15" spans="2:11" ht="21.95" customHeight="1" x14ac:dyDescent="0.2">
      <c r="E15" s="16"/>
      <c r="F15" s="16" t="s">
        <v>87</v>
      </c>
      <c r="G15" s="16"/>
      <c r="H15" s="44" t="s">
        <v>522</v>
      </c>
      <c r="I15" s="743"/>
      <c r="J15" s="743"/>
      <c r="K15" s="860"/>
    </row>
    <row r="16" spans="2:11" ht="21.95" customHeight="1" x14ac:dyDescent="0.2">
      <c r="E16" s="16" t="s">
        <v>91</v>
      </c>
      <c r="F16" s="16"/>
      <c r="G16" s="16"/>
      <c r="H16" s="44" t="s">
        <v>523</v>
      </c>
      <c r="I16" s="743">
        <v>12500</v>
      </c>
      <c r="J16" s="743">
        <v>12500</v>
      </c>
      <c r="K16" s="860">
        <v>27731.22</v>
      </c>
    </row>
    <row r="17" spans="2:14" ht="21.95" customHeight="1" x14ac:dyDescent="0.2">
      <c r="E17" s="16" t="s">
        <v>92</v>
      </c>
      <c r="F17" s="16"/>
      <c r="G17" s="16"/>
      <c r="H17" s="44" t="s">
        <v>524</v>
      </c>
      <c r="I17" s="743"/>
      <c r="J17" s="743"/>
      <c r="K17" s="860"/>
    </row>
    <row r="18" spans="2:14" ht="21.95" customHeight="1" x14ac:dyDescent="0.2">
      <c r="E18" s="16" t="s">
        <v>93</v>
      </c>
      <c r="F18" s="16"/>
      <c r="G18" s="16"/>
      <c r="H18" s="44" t="s">
        <v>525</v>
      </c>
      <c r="I18" s="743"/>
      <c r="J18" s="743"/>
      <c r="K18" s="860"/>
      <c r="N18" s="29"/>
    </row>
    <row r="19" spans="2:14" ht="21.95" customHeight="1" x14ac:dyDescent="0.2">
      <c r="E19" s="16" t="s">
        <v>95</v>
      </c>
      <c r="F19" s="16"/>
      <c r="G19" s="16"/>
      <c r="H19" s="44" t="s">
        <v>526</v>
      </c>
      <c r="I19" s="743"/>
      <c r="J19" s="743"/>
      <c r="K19" s="860"/>
    </row>
    <row r="20" spans="2:14" ht="21.95" customHeight="1" x14ac:dyDescent="0.2">
      <c r="E20" s="16" t="s">
        <v>96</v>
      </c>
      <c r="F20" s="16"/>
      <c r="G20" s="16"/>
      <c r="H20" s="44" t="s">
        <v>527</v>
      </c>
      <c r="I20" s="743"/>
      <c r="J20" s="743"/>
      <c r="K20" s="860"/>
    </row>
    <row r="21" spans="2:14" ht="21.95" customHeight="1" x14ac:dyDescent="0.2">
      <c r="E21" s="744"/>
      <c r="F21" s="744"/>
      <c r="G21" s="744"/>
      <c r="H21" s="859"/>
      <c r="I21" s="743"/>
      <c r="J21" s="743"/>
      <c r="K21" s="860"/>
    </row>
    <row r="22" spans="2:14" ht="21.95" customHeight="1" x14ac:dyDescent="0.2">
      <c r="E22" s="744"/>
      <c r="F22" s="744"/>
      <c r="G22" s="744"/>
      <c r="H22" s="859"/>
      <c r="I22" s="743"/>
      <c r="J22" s="743"/>
      <c r="K22" s="860"/>
    </row>
    <row r="23" spans="2:14" ht="21.95" customHeight="1" x14ac:dyDescent="0.2">
      <c r="E23" s="744"/>
      <c r="F23" s="744"/>
      <c r="G23" s="744"/>
      <c r="H23" s="859"/>
      <c r="I23" s="743"/>
      <c r="J23" s="743"/>
      <c r="K23" s="860"/>
    </row>
    <row r="24" spans="2:14" ht="21.95" customHeight="1" x14ac:dyDescent="0.2">
      <c r="E24" s="744"/>
      <c r="F24" s="744"/>
      <c r="G24" s="744"/>
      <c r="H24" s="859"/>
      <c r="I24" s="743"/>
      <c r="J24" s="743"/>
      <c r="K24" s="860"/>
    </row>
    <row r="25" spans="2:14" ht="21" customHeight="1" thickBot="1" x14ac:dyDescent="0.25">
      <c r="B25" s="2"/>
      <c r="C25" s="2"/>
      <c r="D25" s="2"/>
      <c r="E25" s="861"/>
      <c r="F25" s="861"/>
      <c r="G25" s="861"/>
      <c r="H25" s="862"/>
      <c r="I25" s="863"/>
      <c r="J25" s="863"/>
      <c r="K25" s="864"/>
    </row>
    <row r="26" spans="2:14" ht="21.75" customHeight="1" thickTop="1" x14ac:dyDescent="0.25">
      <c r="B26" s="1701" t="s">
        <v>118</v>
      </c>
      <c r="C26" s="1701"/>
      <c r="D26" s="1701"/>
      <c r="E26" s="1701"/>
      <c r="F26" s="1701"/>
      <c r="G26" s="1701"/>
      <c r="H26" s="1701"/>
      <c r="I26" s="1701"/>
      <c r="J26" s="1701"/>
      <c r="K26" s="1701"/>
    </row>
  </sheetData>
  <sheetProtection password="CAF9" sheet="1" objects="1" scenarios="1"/>
  <mergeCells count="4">
    <mergeCell ref="B2:K2"/>
    <mergeCell ref="B26:K26"/>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900-000000000000}">
          <x14:formula1>
            <xm:f>'Revenue Codes'!$A$2:$A$33</xm:f>
          </x14:formula1>
          <xm:sqref>H21:H25</xm:sqref>
        </x14:dataValidation>
      </x14:dataValidations>
    </ext>
  </extLs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6"/>
  <dimension ref="B2:Q36"/>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00" t="s">
        <v>109</v>
      </c>
      <c r="C2" s="1700"/>
      <c r="D2" s="1700"/>
      <c r="E2" s="1700"/>
      <c r="F2" s="1700"/>
      <c r="G2" s="1700"/>
      <c r="H2" s="1700"/>
      <c r="I2" s="1700"/>
      <c r="J2" s="1700"/>
      <c r="K2" s="1700"/>
    </row>
    <row r="3" spans="2:17" ht="20.45" customHeight="1" thickTop="1" x14ac:dyDescent="0.25">
      <c r="H3" s="37"/>
      <c r="I3" s="1702" t="s">
        <v>27</v>
      </c>
      <c r="J3" s="1703"/>
      <c r="K3" s="34" t="s">
        <v>28</v>
      </c>
    </row>
    <row r="4" spans="2:17" ht="20.45" customHeight="1" x14ac:dyDescent="0.25">
      <c r="B4" s="1704" t="s">
        <v>29</v>
      </c>
      <c r="C4" s="1704"/>
      <c r="D4" s="1704"/>
      <c r="E4" s="1704"/>
      <c r="F4" s="1704"/>
      <c r="G4" s="1704"/>
      <c r="H4" s="374" t="s">
        <v>605</v>
      </c>
      <c r="I4" s="36" t="str">
        <f>'Key Inputs'!E34</f>
        <v>2021</v>
      </c>
      <c r="J4" s="36">
        <f>I4-1</f>
        <v>2020</v>
      </c>
      <c r="K4" s="35" t="str">
        <f>"Cash in "&amp;J4</f>
        <v>Cash in 2020</v>
      </c>
    </row>
    <row r="5" spans="2:17" ht="20.45" customHeight="1" x14ac:dyDescent="0.25">
      <c r="C5" s="54" t="s">
        <v>35</v>
      </c>
      <c r="D5" s="55" t="s">
        <v>365</v>
      </c>
      <c r="E5" s="55"/>
      <c r="F5" s="55"/>
      <c r="G5" s="56"/>
      <c r="H5" s="57"/>
      <c r="I5" s="58"/>
      <c r="J5" s="58"/>
      <c r="K5" s="59"/>
    </row>
    <row r="6" spans="2:17" ht="20.45" customHeight="1" x14ac:dyDescent="0.2">
      <c r="D6" s="51"/>
      <c r="E6" s="817"/>
      <c r="F6" s="817"/>
      <c r="G6" s="817"/>
      <c r="H6" s="867"/>
      <c r="I6" s="868"/>
      <c r="J6" s="868"/>
      <c r="K6" s="869"/>
      <c r="M6" s="197"/>
      <c r="N6" s="197"/>
      <c r="O6" s="197"/>
      <c r="P6" s="197"/>
      <c r="Q6" s="197"/>
    </row>
    <row r="7" spans="2:17" ht="21" customHeight="1" x14ac:dyDescent="0.2">
      <c r="C7" s="46"/>
      <c r="D7" s="47"/>
      <c r="E7" s="744"/>
      <c r="F7" s="744"/>
      <c r="G7" s="744"/>
      <c r="H7" s="859"/>
      <c r="I7" s="743"/>
      <c r="J7" s="743"/>
      <c r="K7" s="860"/>
      <c r="M7" s="180"/>
      <c r="N7" s="180"/>
      <c r="O7" s="180"/>
      <c r="P7" s="180"/>
      <c r="Q7" s="180"/>
    </row>
    <row r="8" spans="2:17" ht="21" customHeight="1" x14ac:dyDescent="0.2">
      <c r="C8" s="51"/>
      <c r="D8" s="52"/>
      <c r="E8" s="744"/>
      <c r="F8" s="744"/>
      <c r="G8" s="744"/>
      <c r="H8" s="859"/>
      <c r="I8" s="743"/>
      <c r="J8" s="743"/>
      <c r="K8" s="860"/>
      <c r="M8" s="180"/>
      <c r="N8" s="180"/>
      <c r="O8" s="180"/>
      <c r="P8" s="537"/>
      <c r="Q8" s="537"/>
    </row>
    <row r="9" spans="2:17" ht="21" customHeight="1" x14ac:dyDescent="0.2">
      <c r="C9" s="49"/>
      <c r="D9" s="49"/>
      <c r="E9" s="744"/>
      <c r="F9" s="744"/>
      <c r="G9" s="744"/>
      <c r="H9" s="859"/>
      <c r="I9" s="743"/>
      <c r="J9" s="743"/>
      <c r="K9" s="860"/>
      <c r="M9" s="180"/>
      <c r="N9" s="180"/>
      <c r="O9" s="180"/>
      <c r="P9" s="180"/>
      <c r="Q9" s="180"/>
    </row>
    <row r="10" spans="2:17" ht="21" customHeight="1" x14ac:dyDescent="0.2">
      <c r="C10" s="49"/>
      <c r="D10" s="49"/>
      <c r="E10" s="744"/>
      <c r="F10" s="744"/>
      <c r="G10" s="744"/>
      <c r="H10" s="859"/>
      <c r="I10" s="743"/>
      <c r="J10" s="743"/>
      <c r="K10" s="860"/>
      <c r="M10" s="180"/>
      <c r="N10" s="180"/>
      <c r="O10" s="180"/>
    </row>
    <row r="11" spans="2:17" ht="21" customHeight="1" x14ac:dyDescent="0.2">
      <c r="C11" s="49"/>
      <c r="D11" s="49"/>
      <c r="E11" s="744"/>
      <c r="F11" s="744"/>
      <c r="G11" s="744"/>
      <c r="H11" s="859"/>
      <c r="I11" s="743"/>
      <c r="J11" s="743"/>
      <c r="K11" s="860"/>
      <c r="M11" s="180"/>
      <c r="N11" s="180"/>
      <c r="O11" s="180"/>
    </row>
    <row r="12" spans="2:17" ht="21" customHeight="1" x14ac:dyDescent="0.2">
      <c r="C12" s="49"/>
      <c r="D12" s="49"/>
      <c r="E12" s="744"/>
      <c r="F12" s="744"/>
      <c r="G12" s="744"/>
      <c r="H12" s="859"/>
      <c r="I12" s="743"/>
      <c r="J12" s="743"/>
      <c r="K12" s="860"/>
      <c r="M12" s="180"/>
      <c r="N12" s="180"/>
      <c r="O12" s="180"/>
    </row>
    <row r="13" spans="2:17" ht="21" customHeight="1" x14ac:dyDescent="0.2">
      <c r="C13" s="49"/>
      <c r="D13" s="49"/>
      <c r="E13" s="744"/>
      <c r="F13" s="744"/>
      <c r="G13" s="744"/>
      <c r="H13" s="859"/>
      <c r="I13" s="743"/>
      <c r="J13" s="743"/>
      <c r="K13" s="860"/>
    </row>
    <row r="14" spans="2:17" ht="21" customHeight="1" x14ac:dyDescent="0.2">
      <c r="C14" s="49"/>
      <c r="D14" s="49"/>
      <c r="E14" s="744"/>
      <c r="F14" s="744"/>
      <c r="G14" s="744"/>
      <c r="H14" s="859"/>
      <c r="I14" s="743"/>
      <c r="J14" s="743"/>
      <c r="K14" s="860"/>
    </row>
    <row r="15" spans="2:17" ht="21" customHeight="1" x14ac:dyDescent="0.2">
      <c r="C15" s="49"/>
      <c r="D15" s="49"/>
      <c r="E15" s="744"/>
      <c r="F15" s="744"/>
      <c r="G15" s="744"/>
      <c r="H15" s="859"/>
      <c r="I15" s="743"/>
      <c r="J15" s="743"/>
      <c r="K15" s="860"/>
    </row>
    <row r="16" spans="2:17"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1" customHeight="1" x14ac:dyDescent="0.2">
      <c r="E25" s="744"/>
      <c r="F25" s="744"/>
      <c r="G25" s="744"/>
      <c r="H25" s="859"/>
      <c r="I25" s="743"/>
      <c r="J25" s="743"/>
      <c r="K25" s="860"/>
    </row>
    <row r="26" spans="2:11" ht="20.45" customHeight="1" thickBot="1" x14ac:dyDescent="0.25">
      <c r="B26" s="2"/>
      <c r="C26" s="2"/>
      <c r="D26" s="2"/>
      <c r="E26" s="861"/>
      <c r="F26" s="861"/>
      <c r="G26" s="861"/>
      <c r="H26" s="870"/>
      <c r="I26" s="863"/>
      <c r="J26" s="863"/>
      <c r="K26" s="864"/>
    </row>
    <row r="27" spans="2:11" ht="16.5" thickTop="1" x14ac:dyDescent="0.25">
      <c r="B27" s="1701" t="s">
        <v>117</v>
      </c>
      <c r="C27" s="1701"/>
      <c r="D27" s="1701"/>
      <c r="E27" s="1701"/>
      <c r="F27" s="1701"/>
      <c r="G27" s="1701"/>
      <c r="H27" s="1701"/>
      <c r="I27" s="1701"/>
      <c r="J27" s="1701"/>
      <c r="K27" s="1701"/>
    </row>
    <row r="31" spans="2:11" x14ac:dyDescent="0.2">
      <c r="K31" s="180"/>
    </row>
    <row r="32" spans="2:11" x14ac:dyDescent="0.2">
      <c r="K32" s="180"/>
    </row>
    <row r="33" spans="11:11" x14ac:dyDescent="0.2">
      <c r="K33" s="180"/>
    </row>
    <row r="34" spans="11:11" x14ac:dyDescent="0.2">
      <c r="K34" s="180"/>
    </row>
    <row r="35" spans="11:11" x14ac:dyDescent="0.2">
      <c r="K35" s="180"/>
    </row>
    <row r="36" spans="11:11" x14ac:dyDescent="0.2">
      <c r="K36"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A00-000000000000}">
          <x14:formula1>
            <xm:f>'Revenue Codes'!$A$2:$A$33</xm:f>
          </x14:formula1>
          <xm:sqref>H6:H26</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7"/>
  <dimension ref="B2:Q36"/>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00" t="s">
        <v>109</v>
      </c>
      <c r="C2" s="1700"/>
      <c r="D2" s="1700"/>
      <c r="E2" s="1700"/>
      <c r="F2" s="1700"/>
      <c r="G2" s="1700"/>
      <c r="H2" s="1700"/>
      <c r="I2" s="1700"/>
      <c r="J2" s="1700"/>
      <c r="K2" s="1700"/>
    </row>
    <row r="3" spans="2:17" ht="20.45" customHeight="1" thickTop="1" x14ac:dyDescent="0.25">
      <c r="H3" s="37"/>
      <c r="I3" s="1702" t="s">
        <v>27</v>
      </c>
      <c r="J3" s="1703"/>
      <c r="K3" s="34" t="s">
        <v>28</v>
      </c>
    </row>
    <row r="4" spans="2:17" ht="20.45" customHeight="1" x14ac:dyDescent="0.25">
      <c r="B4" s="1704" t="s">
        <v>29</v>
      </c>
      <c r="C4" s="1704"/>
      <c r="D4" s="1704"/>
      <c r="E4" s="1704"/>
      <c r="F4" s="1704"/>
      <c r="G4" s="1704"/>
      <c r="H4" s="374" t="s">
        <v>605</v>
      </c>
      <c r="I4" s="36" t="str">
        <f>'Key Inputs'!E34</f>
        <v>2021</v>
      </c>
      <c r="J4" s="36">
        <f>I4-1</f>
        <v>2020</v>
      </c>
      <c r="K4" s="35" t="str">
        <f>"Cash in "&amp;J4</f>
        <v>Cash in 2020</v>
      </c>
    </row>
    <row r="5" spans="2:17" ht="20.45" customHeight="1" x14ac:dyDescent="0.25">
      <c r="C5" s="54" t="s">
        <v>35</v>
      </c>
      <c r="D5" s="55" t="s">
        <v>365</v>
      </c>
      <c r="E5" s="55"/>
      <c r="F5" s="55"/>
      <c r="G5" s="56"/>
      <c r="H5" s="57"/>
      <c r="I5" s="58"/>
      <c r="J5" s="58"/>
      <c r="K5" s="59"/>
    </row>
    <row r="6" spans="2:17" ht="20.45" customHeight="1" x14ac:dyDescent="0.2">
      <c r="D6" s="51"/>
      <c r="E6" s="817"/>
      <c r="F6" s="817"/>
      <c r="G6" s="817"/>
      <c r="H6" s="867"/>
      <c r="I6" s="868"/>
      <c r="J6" s="868"/>
      <c r="K6" s="869"/>
      <c r="M6" s="197"/>
      <c r="N6" s="197"/>
      <c r="O6" s="197"/>
      <c r="P6" s="197"/>
      <c r="Q6" s="197"/>
    </row>
    <row r="7" spans="2:17" ht="21" customHeight="1" x14ac:dyDescent="0.2">
      <c r="C7" s="46"/>
      <c r="D7" s="47"/>
      <c r="E7" s="744"/>
      <c r="F7" s="744"/>
      <c r="G7" s="744"/>
      <c r="H7" s="859"/>
      <c r="I7" s="743"/>
      <c r="J7" s="743"/>
      <c r="K7" s="860"/>
      <c r="M7" s="180"/>
      <c r="N7" s="180"/>
      <c r="O7" s="180"/>
      <c r="P7" s="180"/>
      <c r="Q7" s="180"/>
    </row>
    <row r="8" spans="2:17" ht="21" customHeight="1" x14ac:dyDescent="0.2">
      <c r="C8" s="51"/>
      <c r="D8" s="52"/>
      <c r="E8" s="744"/>
      <c r="F8" s="744"/>
      <c r="G8" s="744"/>
      <c r="H8" s="859"/>
      <c r="I8" s="743"/>
      <c r="J8" s="743"/>
      <c r="K8" s="860"/>
      <c r="M8" s="180"/>
      <c r="N8" s="180"/>
      <c r="O8" s="180"/>
      <c r="P8" s="537"/>
      <c r="Q8" s="537"/>
    </row>
    <row r="9" spans="2:17" ht="21" customHeight="1" x14ac:dyDescent="0.2">
      <c r="C9" s="49"/>
      <c r="D9" s="49"/>
      <c r="E9" s="744"/>
      <c r="F9" s="744"/>
      <c r="G9" s="744"/>
      <c r="H9" s="859"/>
      <c r="I9" s="743"/>
      <c r="J9" s="743"/>
      <c r="K9" s="860"/>
      <c r="M9" s="180"/>
      <c r="N9" s="180"/>
      <c r="O9" s="180"/>
      <c r="P9" s="180"/>
      <c r="Q9" s="180"/>
    </row>
    <row r="10" spans="2:17" ht="21" customHeight="1" x14ac:dyDescent="0.2">
      <c r="C10" s="49"/>
      <c r="D10" s="49"/>
      <c r="E10" s="744"/>
      <c r="F10" s="744"/>
      <c r="G10" s="744"/>
      <c r="H10" s="859"/>
      <c r="I10" s="743"/>
      <c r="J10" s="743"/>
      <c r="K10" s="860"/>
      <c r="M10" s="180"/>
      <c r="N10" s="180"/>
      <c r="O10" s="180"/>
    </row>
    <row r="11" spans="2:17" ht="21" customHeight="1" x14ac:dyDescent="0.2">
      <c r="C11" s="49"/>
      <c r="D11" s="49"/>
      <c r="E11" s="744"/>
      <c r="F11" s="744"/>
      <c r="G11" s="744"/>
      <c r="H11" s="859"/>
      <c r="I11" s="743"/>
      <c r="J11" s="743"/>
      <c r="K11" s="860"/>
      <c r="M11" s="180"/>
      <c r="N11" s="180"/>
      <c r="O11" s="180"/>
    </row>
    <row r="12" spans="2:17" ht="21" customHeight="1" x14ac:dyDescent="0.2">
      <c r="C12" s="49"/>
      <c r="D12" s="49"/>
      <c r="E12" s="744"/>
      <c r="F12" s="744"/>
      <c r="G12" s="744"/>
      <c r="H12" s="859"/>
      <c r="I12" s="743"/>
      <c r="J12" s="743"/>
      <c r="K12" s="860"/>
      <c r="M12" s="180"/>
      <c r="N12" s="180"/>
      <c r="O12" s="180"/>
    </row>
    <row r="13" spans="2:17" ht="21" customHeight="1" x14ac:dyDescent="0.2">
      <c r="C13" s="49"/>
      <c r="D13" s="49"/>
      <c r="E13" s="744"/>
      <c r="F13" s="744"/>
      <c r="G13" s="744"/>
      <c r="H13" s="859"/>
      <c r="I13" s="743"/>
      <c r="J13" s="743"/>
      <c r="K13" s="860"/>
    </row>
    <row r="14" spans="2:17" ht="21" customHeight="1" x14ac:dyDescent="0.2">
      <c r="C14" s="49"/>
      <c r="D14" s="49"/>
      <c r="E14" s="744"/>
      <c r="F14" s="744"/>
      <c r="G14" s="744"/>
      <c r="H14" s="859"/>
      <c r="I14" s="743"/>
      <c r="J14" s="743"/>
      <c r="K14" s="860"/>
    </row>
    <row r="15" spans="2:17" ht="21" customHeight="1" x14ac:dyDescent="0.2">
      <c r="C15" s="49"/>
      <c r="D15" s="49"/>
      <c r="E15" s="744"/>
      <c r="F15" s="744"/>
      <c r="G15" s="744"/>
      <c r="H15" s="859"/>
      <c r="I15" s="743"/>
      <c r="J15" s="743"/>
      <c r="K15" s="860"/>
    </row>
    <row r="16" spans="2:17"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1" customHeight="1" x14ac:dyDescent="0.2">
      <c r="E25" s="744"/>
      <c r="F25" s="744"/>
      <c r="G25" s="744"/>
      <c r="H25" s="859"/>
      <c r="I25" s="743"/>
      <c r="J25" s="743"/>
      <c r="K25" s="860"/>
    </row>
    <row r="26" spans="2:11" ht="20.45" customHeight="1" thickBot="1" x14ac:dyDescent="0.25">
      <c r="B26" s="2"/>
      <c r="C26" s="2"/>
      <c r="D26" s="2"/>
      <c r="E26" s="861"/>
      <c r="F26" s="861"/>
      <c r="G26" s="861"/>
      <c r="H26" s="870"/>
      <c r="I26" s="863"/>
      <c r="J26" s="863"/>
      <c r="K26" s="864"/>
    </row>
    <row r="27" spans="2:11" ht="16.5" thickTop="1" x14ac:dyDescent="0.25">
      <c r="B27" s="1701" t="s">
        <v>3239</v>
      </c>
      <c r="C27" s="1701"/>
      <c r="D27" s="1701"/>
      <c r="E27" s="1701"/>
      <c r="F27" s="1701"/>
      <c r="G27" s="1701"/>
      <c r="H27" s="1701"/>
      <c r="I27" s="1701"/>
      <c r="J27" s="1701"/>
      <c r="K27" s="1701"/>
    </row>
    <row r="31" spans="2:11" x14ac:dyDescent="0.2">
      <c r="K31" s="180"/>
    </row>
    <row r="32" spans="2:11" x14ac:dyDescent="0.2">
      <c r="K32" s="180"/>
    </row>
    <row r="33" spans="11:11" x14ac:dyDescent="0.2">
      <c r="K33" s="180"/>
    </row>
    <row r="34" spans="11:11" x14ac:dyDescent="0.2">
      <c r="K34" s="180"/>
    </row>
    <row r="35" spans="11:11" x14ac:dyDescent="0.2">
      <c r="K35" s="180"/>
    </row>
    <row r="36" spans="11:11" x14ac:dyDescent="0.2">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B00-000000000000}">
          <x14:formula1>
            <xm:f>'Revenue Codes'!$A$2:$A$33</xm:f>
          </x14:formula1>
          <xm:sqref>H6:H26</xm:sqref>
        </x14:dataValidation>
      </x14:dataValidations>
    </ext>
  </extLs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8"/>
  <dimension ref="B2:Q36"/>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 min="12" max="12" width="5.7109375" customWidth="1"/>
    <col min="13" max="17" width="14.7109375" customWidth="1"/>
  </cols>
  <sheetData>
    <row r="2" spans="2:17" ht="21" thickBot="1" x14ac:dyDescent="0.35">
      <c r="B2" s="1700" t="s">
        <v>109</v>
      </c>
      <c r="C2" s="1700"/>
      <c r="D2" s="1700"/>
      <c r="E2" s="1700"/>
      <c r="F2" s="1700"/>
      <c r="G2" s="1700"/>
      <c r="H2" s="1700"/>
      <c r="I2" s="1700"/>
      <c r="J2" s="1700"/>
      <c r="K2" s="1700"/>
    </row>
    <row r="3" spans="2:17" ht="20.45" customHeight="1" thickTop="1" x14ac:dyDescent="0.25">
      <c r="H3" s="37"/>
      <c r="I3" s="1702" t="s">
        <v>27</v>
      </c>
      <c r="J3" s="1703"/>
      <c r="K3" s="34" t="s">
        <v>28</v>
      </c>
    </row>
    <row r="4" spans="2:17" ht="20.45" customHeight="1" x14ac:dyDescent="0.25">
      <c r="B4" s="1704" t="s">
        <v>29</v>
      </c>
      <c r="C4" s="1704"/>
      <c r="D4" s="1704"/>
      <c r="E4" s="1704"/>
      <c r="F4" s="1704"/>
      <c r="G4" s="1704"/>
      <c r="H4" s="374" t="s">
        <v>605</v>
      </c>
      <c r="I4" s="36" t="str">
        <f>'Key Inputs'!E34</f>
        <v>2021</v>
      </c>
      <c r="J4" s="36">
        <f>I4-1</f>
        <v>2020</v>
      </c>
      <c r="K4" s="35" t="str">
        <f>"Cash in "&amp;J4</f>
        <v>Cash in 2020</v>
      </c>
    </row>
    <row r="5" spans="2:17" ht="20.45" customHeight="1" x14ac:dyDescent="0.25">
      <c r="C5" s="54" t="s">
        <v>35</v>
      </c>
      <c r="D5" s="55" t="s">
        <v>365</v>
      </c>
      <c r="E5" s="55"/>
      <c r="F5" s="55"/>
      <c r="G5" s="56"/>
      <c r="H5" s="57"/>
      <c r="I5" s="58"/>
      <c r="J5" s="58"/>
      <c r="K5" s="59"/>
    </row>
    <row r="6" spans="2:17" ht="20.45" customHeight="1" x14ac:dyDescent="0.2">
      <c r="D6" s="51"/>
      <c r="E6" s="817"/>
      <c r="F6" s="817"/>
      <c r="G6" s="817"/>
      <c r="H6" s="867"/>
      <c r="I6" s="868"/>
      <c r="J6" s="868"/>
      <c r="K6" s="869"/>
      <c r="M6" s="197"/>
      <c r="N6" s="197"/>
      <c r="O6" s="197"/>
      <c r="P6" s="197"/>
      <c r="Q6" s="197"/>
    </row>
    <row r="7" spans="2:17" ht="21" customHeight="1" x14ac:dyDescent="0.2">
      <c r="C7" s="46"/>
      <c r="D7" s="47"/>
      <c r="E7" s="744"/>
      <c r="F7" s="744"/>
      <c r="G7" s="744"/>
      <c r="H7" s="859"/>
      <c r="I7" s="743"/>
      <c r="J7" s="743"/>
      <c r="K7" s="860"/>
      <c r="M7" s="180"/>
      <c r="N7" s="180"/>
      <c r="O7" s="180"/>
      <c r="P7" s="180"/>
      <c r="Q7" s="180"/>
    </row>
    <row r="8" spans="2:17" ht="21" customHeight="1" x14ac:dyDescent="0.2">
      <c r="C8" s="51"/>
      <c r="D8" s="52"/>
      <c r="E8" s="744"/>
      <c r="F8" s="744"/>
      <c r="G8" s="744"/>
      <c r="H8" s="859"/>
      <c r="I8" s="743"/>
      <c r="J8" s="743"/>
      <c r="K8" s="860"/>
      <c r="M8" s="180"/>
      <c r="N8" s="180"/>
      <c r="O8" s="180"/>
      <c r="P8" s="537"/>
      <c r="Q8" s="537"/>
    </row>
    <row r="9" spans="2:17" ht="21" customHeight="1" x14ac:dyDescent="0.2">
      <c r="C9" s="49"/>
      <c r="D9" s="49"/>
      <c r="E9" s="744"/>
      <c r="F9" s="744"/>
      <c r="G9" s="744"/>
      <c r="H9" s="859"/>
      <c r="I9" s="743"/>
      <c r="J9" s="743"/>
      <c r="K9" s="860"/>
      <c r="M9" s="180"/>
      <c r="N9" s="180"/>
      <c r="O9" s="180"/>
      <c r="P9" s="180"/>
      <c r="Q9" s="180"/>
    </row>
    <row r="10" spans="2:17" ht="21" customHeight="1" x14ac:dyDescent="0.2">
      <c r="C10" s="49"/>
      <c r="D10" s="49"/>
      <c r="E10" s="744"/>
      <c r="F10" s="744"/>
      <c r="G10" s="744"/>
      <c r="H10" s="859"/>
      <c r="I10" s="743"/>
      <c r="J10" s="743"/>
      <c r="K10" s="860"/>
      <c r="M10" s="180"/>
      <c r="N10" s="180"/>
      <c r="O10" s="180"/>
    </row>
    <row r="11" spans="2:17" ht="21" customHeight="1" x14ac:dyDescent="0.2">
      <c r="C11" s="49"/>
      <c r="D11" s="49"/>
      <c r="E11" s="744"/>
      <c r="F11" s="744"/>
      <c r="G11" s="744"/>
      <c r="H11" s="859"/>
      <c r="I11" s="743"/>
      <c r="J11" s="743"/>
      <c r="K11" s="860"/>
      <c r="M11" s="180"/>
      <c r="N11" s="180"/>
      <c r="O11" s="180"/>
    </row>
    <row r="12" spans="2:17" ht="21" customHeight="1" x14ac:dyDescent="0.2">
      <c r="C12" s="49"/>
      <c r="D12" s="49"/>
      <c r="E12" s="744"/>
      <c r="F12" s="744"/>
      <c r="G12" s="744"/>
      <c r="H12" s="859"/>
      <c r="I12" s="743"/>
      <c r="J12" s="743"/>
      <c r="K12" s="860"/>
      <c r="M12" s="180"/>
      <c r="N12" s="180"/>
      <c r="O12" s="180"/>
    </row>
    <row r="13" spans="2:17" ht="21" customHeight="1" x14ac:dyDescent="0.2">
      <c r="C13" s="49"/>
      <c r="D13" s="49"/>
      <c r="E13" s="744"/>
      <c r="F13" s="744"/>
      <c r="G13" s="744"/>
      <c r="H13" s="859"/>
      <c r="I13" s="743"/>
      <c r="J13" s="743"/>
      <c r="K13" s="860"/>
    </row>
    <row r="14" spans="2:17" ht="21" customHeight="1" x14ac:dyDescent="0.2">
      <c r="C14" s="49"/>
      <c r="D14" s="49"/>
      <c r="E14" s="744"/>
      <c r="F14" s="744"/>
      <c r="G14" s="744"/>
      <c r="H14" s="859"/>
      <c r="I14" s="743"/>
      <c r="J14" s="743"/>
      <c r="K14" s="860"/>
    </row>
    <row r="15" spans="2:17" ht="21" customHeight="1" x14ac:dyDescent="0.2">
      <c r="C15" s="49"/>
      <c r="D15" s="49"/>
      <c r="E15" s="744"/>
      <c r="F15" s="744"/>
      <c r="G15" s="744"/>
      <c r="H15" s="859"/>
      <c r="I15" s="743"/>
      <c r="J15" s="743"/>
      <c r="K15" s="860"/>
    </row>
    <row r="16" spans="2:17"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1" customHeight="1" thickBot="1" x14ac:dyDescent="0.25">
      <c r="E25" s="744"/>
      <c r="F25" s="744"/>
      <c r="G25" s="744"/>
      <c r="H25" s="859"/>
      <c r="I25" s="871"/>
      <c r="J25" s="871"/>
      <c r="K25" s="872"/>
    </row>
    <row r="26" spans="2:11" ht="20.45" customHeight="1" thickBot="1" x14ac:dyDescent="0.3">
      <c r="B26" s="2"/>
      <c r="C26" s="2"/>
      <c r="D26" s="2"/>
      <c r="E26" s="53" t="s">
        <v>99</v>
      </c>
      <c r="F26" s="2"/>
      <c r="G26" s="2"/>
      <c r="H26" s="176" t="s">
        <v>366</v>
      </c>
      <c r="I26" s="31">
        <f>SUM('4a:4b'!I5:I26)+SUM('4'!I10:I25)+SUM(I5:I25)</f>
        <v>13725</v>
      </c>
      <c r="J26" s="31">
        <f>SUM('4a:4b'!J5:J26)+SUM('4'!J10:J25)+SUM(J5:J25)</f>
        <v>13725</v>
      </c>
      <c r="K26" s="705">
        <f>SUM('4a:4b'!K5:K26)+SUM('4'!K10:K25)+SUM(K5:K25)</f>
        <v>29393.780000000002</v>
      </c>
    </row>
    <row r="27" spans="2:11" ht="16.5" thickTop="1" x14ac:dyDescent="0.25">
      <c r="B27" s="1701" t="s">
        <v>3258</v>
      </c>
      <c r="C27" s="1701"/>
      <c r="D27" s="1701"/>
      <c r="E27" s="1701"/>
      <c r="F27" s="1701"/>
      <c r="G27" s="1701"/>
      <c r="H27" s="1701"/>
      <c r="I27" s="1701"/>
      <c r="J27" s="1701"/>
      <c r="K27" s="1701"/>
    </row>
    <row r="31" spans="2:11" x14ac:dyDescent="0.2">
      <c r="K31" s="180"/>
    </row>
    <row r="32" spans="2:11" x14ac:dyDescent="0.2">
      <c r="K32" s="180"/>
    </row>
    <row r="33" spans="11:11" x14ac:dyDescent="0.2">
      <c r="K33" s="180"/>
    </row>
    <row r="34" spans="11:11" x14ac:dyDescent="0.2">
      <c r="K34" s="180"/>
    </row>
    <row r="35" spans="11:11" x14ac:dyDescent="0.2">
      <c r="K35" s="180"/>
    </row>
    <row r="36" spans="11:11" x14ac:dyDescent="0.2">
      <c r="K36" s="29"/>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C00-000000000000}">
          <x14:formula1>
            <xm:f>'Revenue Codes'!$A$2:$A$33</xm:f>
          </x14:formula1>
          <xm:sqref>H6:H25</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566"/>
  <sheetViews>
    <sheetView topLeftCell="A321" workbookViewId="0">
      <selection activeCell="G338" sqref="G338"/>
    </sheetView>
  </sheetViews>
  <sheetFormatPr defaultRowHeight="12.75" x14ac:dyDescent="0.2"/>
  <cols>
    <col min="3" max="3" width="27" bestFit="1" customWidth="1"/>
    <col min="4" max="4" width="10.85546875" bestFit="1" customWidth="1"/>
    <col min="5" max="5" width="42.5703125" bestFit="1" customWidth="1"/>
    <col min="6" max="6" width="28.140625" bestFit="1" customWidth="1"/>
    <col min="7" max="7" width="18.42578125" bestFit="1" customWidth="1"/>
    <col min="8" max="8" width="19.7109375" bestFit="1" customWidth="1"/>
  </cols>
  <sheetData>
    <row r="1" spans="1:11" x14ac:dyDescent="0.2">
      <c r="B1" s="49" t="s">
        <v>977</v>
      </c>
      <c r="C1" s="217" t="s">
        <v>978</v>
      </c>
      <c r="D1" s="217" t="s">
        <v>979</v>
      </c>
      <c r="E1" s="217" t="s">
        <v>980</v>
      </c>
      <c r="F1" s="217" t="s">
        <v>456</v>
      </c>
      <c r="G1" s="217" t="s">
        <v>981</v>
      </c>
      <c r="H1" s="217" t="s">
        <v>982</v>
      </c>
      <c r="I1" s="217" t="s">
        <v>983</v>
      </c>
      <c r="J1" s="217" t="s">
        <v>458</v>
      </c>
      <c r="K1" s="217" t="s">
        <v>984</v>
      </c>
    </row>
    <row r="2" spans="1:11" ht="16.5" x14ac:dyDescent="0.3">
      <c r="A2">
        <v>1</v>
      </c>
      <c r="B2" s="546" t="s">
        <v>985</v>
      </c>
      <c r="C2" s="546" t="s">
        <v>986</v>
      </c>
      <c r="D2" s="547" t="s">
        <v>987</v>
      </c>
      <c r="E2" s="548" t="s">
        <v>988</v>
      </c>
      <c r="F2" s="548" t="s">
        <v>986</v>
      </c>
      <c r="G2" s="546" t="s">
        <v>989</v>
      </c>
      <c r="H2" s="49" t="s">
        <v>990</v>
      </c>
      <c r="I2" s="49" t="s">
        <v>991</v>
      </c>
      <c r="J2" t="s">
        <v>992</v>
      </c>
      <c r="K2" s="549">
        <v>18210</v>
      </c>
    </row>
    <row r="3" spans="1:11" ht="16.5" x14ac:dyDescent="0.3">
      <c r="A3">
        <f>A2+1</f>
        <v>2</v>
      </c>
      <c r="B3" s="546" t="s">
        <v>993</v>
      </c>
      <c r="C3" s="546" t="s">
        <v>994</v>
      </c>
      <c r="D3" s="547" t="s">
        <v>995</v>
      </c>
      <c r="E3" s="548" t="s">
        <v>996</v>
      </c>
      <c r="F3" s="548" t="s">
        <v>997</v>
      </c>
      <c r="G3" s="546" t="s">
        <v>997</v>
      </c>
      <c r="H3" s="49" t="s">
        <v>998</v>
      </c>
      <c r="I3" s="49" t="s">
        <v>991</v>
      </c>
      <c r="J3" t="s">
        <v>999</v>
      </c>
      <c r="K3" s="549">
        <v>8411</v>
      </c>
    </row>
    <row r="4" spans="1:11" ht="16.5" x14ac:dyDescent="0.3">
      <c r="A4">
        <f t="shared" ref="A4:A67" si="0">A3+1</f>
        <v>3</v>
      </c>
      <c r="B4" s="546" t="s">
        <v>1000</v>
      </c>
      <c r="C4" s="546" t="s">
        <v>1001</v>
      </c>
      <c r="D4" s="547" t="s">
        <v>1002</v>
      </c>
      <c r="E4" s="548" t="str">
        <f>C4&amp;", "&amp;D4&amp;" County"</f>
        <v>Alexandria Township, Hunterdon County</v>
      </c>
      <c r="F4" s="548" t="s">
        <v>1001</v>
      </c>
      <c r="G4" s="546" t="s">
        <v>1003</v>
      </c>
      <c r="H4" s="49" t="s">
        <v>990</v>
      </c>
      <c r="I4" s="49" t="s">
        <v>1004</v>
      </c>
      <c r="J4" t="s">
        <v>1005</v>
      </c>
      <c r="K4" s="549">
        <v>4938</v>
      </c>
    </row>
    <row r="5" spans="1:11" ht="16.5" x14ac:dyDescent="0.3">
      <c r="A5">
        <f t="shared" si="0"/>
        <v>4</v>
      </c>
      <c r="B5" s="546" t="s">
        <v>1006</v>
      </c>
      <c r="C5" s="546" t="s">
        <v>1007</v>
      </c>
      <c r="D5" s="547" t="s">
        <v>1008</v>
      </c>
      <c r="E5" s="548" t="str">
        <f>C5&amp;", "&amp;D5&amp;" County"</f>
        <v>Allamuchy Township, Warren County</v>
      </c>
      <c r="F5" s="548" t="s">
        <v>1007</v>
      </c>
      <c r="G5" s="546" t="s">
        <v>1009</v>
      </c>
      <c r="H5" s="49" t="s">
        <v>990</v>
      </c>
      <c r="I5" s="49" t="s">
        <v>991</v>
      </c>
      <c r="J5" t="s">
        <v>1010</v>
      </c>
      <c r="K5" s="549">
        <v>4323</v>
      </c>
    </row>
    <row r="6" spans="1:11" ht="16.5" x14ac:dyDescent="0.3">
      <c r="A6">
        <f t="shared" si="0"/>
        <v>5</v>
      </c>
      <c r="B6" s="546" t="s">
        <v>1011</v>
      </c>
      <c r="C6" s="546" t="s">
        <v>1012</v>
      </c>
      <c r="D6" s="547" t="s">
        <v>1013</v>
      </c>
      <c r="E6" s="548" t="s">
        <v>1014</v>
      </c>
      <c r="F6" s="548" t="s">
        <v>1015</v>
      </c>
      <c r="G6" s="546" t="s">
        <v>1015</v>
      </c>
      <c r="H6" s="49" t="s">
        <v>1016</v>
      </c>
      <c r="I6" s="49" t="s">
        <v>991</v>
      </c>
      <c r="J6" t="s">
        <v>992</v>
      </c>
      <c r="K6" s="549">
        <v>6505</v>
      </c>
    </row>
    <row r="7" spans="1:11" ht="16.5" x14ac:dyDescent="0.3">
      <c r="A7">
        <f t="shared" si="0"/>
        <v>6</v>
      </c>
      <c r="B7" s="546" t="s">
        <v>1017</v>
      </c>
      <c r="C7" s="546" t="s">
        <v>1018</v>
      </c>
      <c r="D7" s="547" t="s">
        <v>987</v>
      </c>
      <c r="E7" s="548" t="s">
        <v>1019</v>
      </c>
      <c r="F7" s="548" t="s">
        <v>1020</v>
      </c>
      <c r="G7" s="546" t="s">
        <v>1020</v>
      </c>
      <c r="H7" s="49" t="s">
        <v>1016</v>
      </c>
      <c r="I7" s="49" t="s">
        <v>1021</v>
      </c>
      <c r="J7" t="s">
        <v>1022</v>
      </c>
      <c r="K7" s="549">
        <v>496</v>
      </c>
    </row>
    <row r="8" spans="1:11" ht="16.5" x14ac:dyDescent="0.3">
      <c r="A8">
        <f t="shared" si="0"/>
        <v>7</v>
      </c>
      <c r="B8" s="546" t="s">
        <v>1023</v>
      </c>
      <c r="C8" s="546" t="s">
        <v>1024</v>
      </c>
      <c r="D8" s="547" t="s">
        <v>987</v>
      </c>
      <c r="E8" s="548" t="s">
        <v>1025</v>
      </c>
      <c r="F8" s="548" t="s">
        <v>1026</v>
      </c>
      <c r="G8" s="546" t="s">
        <v>1026</v>
      </c>
      <c r="H8" s="49" t="s">
        <v>1016</v>
      </c>
      <c r="I8" s="49" t="s">
        <v>991</v>
      </c>
      <c r="J8" t="s">
        <v>992</v>
      </c>
      <c r="K8" s="549">
        <v>1828</v>
      </c>
    </row>
    <row r="9" spans="1:11" ht="16.5" x14ac:dyDescent="0.3">
      <c r="A9">
        <f t="shared" si="0"/>
        <v>8</v>
      </c>
      <c r="B9" s="546" t="s">
        <v>1027</v>
      </c>
      <c r="C9" s="546" t="s">
        <v>1028</v>
      </c>
      <c r="D9" s="547" t="s">
        <v>1029</v>
      </c>
      <c r="E9" s="548" t="s">
        <v>1030</v>
      </c>
      <c r="F9" s="548" t="s">
        <v>1028</v>
      </c>
      <c r="G9" s="546" t="s">
        <v>1031</v>
      </c>
      <c r="H9" s="49" t="s">
        <v>990</v>
      </c>
      <c r="I9" s="49" t="s">
        <v>1004</v>
      </c>
      <c r="J9" t="s">
        <v>1005</v>
      </c>
      <c r="K9" s="549">
        <v>3467</v>
      </c>
    </row>
    <row r="10" spans="1:11" ht="16.5" x14ac:dyDescent="0.3">
      <c r="A10">
        <f t="shared" si="0"/>
        <v>9</v>
      </c>
      <c r="B10" s="546" t="s">
        <v>1032</v>
      </c>
      <c r="C10" s="546" t="s">
        <v>1033</v>
      </c>
      <c r="D10" s="547" t="s">
        <v>1008</v>
      </c>
      <c r="E10" s="548" t="s">
        <v>1034</v>
      </c>
      <c r="F10" s="548" t="s">
        <v>1035</v>
      </c>
      <c r="G10" s="546" t="s">
        <v>1035</v>
      </c>
      <c r="H10" s="49" t="s">
        <v>1016</v>
      </c>
      <c r="I10" s="49" t="s">
        <v>991</v>
      </c>
      <c r="J10" t="s">
        <v>992</v>
      </c>
      <c r="K10" s="549">
        <v>2369</v>
      </c>
    </row>
    <row r="11" spans="1:11" ht="16.5" x14ac:dyDescent="0.3">
      <c r="A11">
        <f t="shared" si="0"/>
        <v>10</v>
      </c>
      <c r="B11" s="546" t="s">
        <v>1036</v>
      </c>
      <c r="C11" s="546" t="s">
        <v>1037</v>
      </c>
      <c r="D11" s="547" t="s">
        <v>1013</v>
      </c>
      <c r="E11" s="548" t="s">
        <v>1038</v>
      </c>
      <c r="F11" s="548" t="s">
        <v>1039</v>
      </c>
      <c r="G11" s="546" t="s">
        <v>1039</v>
      </c>
      <c r="H11" s="49" t="s">
        <v>1016</v>
      </c>
      <c r="I11" s="49" t="s">
        <v>991</v>
      </c>
      <c r="J11" t="s">
        <v>992</v>
      </c>
      <c r="K11" s="549">
        <v>1849</v>
      </c>
    </row>
    <row r="12" spans="1:11" ht="16.5" x14ac:dyDescent="0.3">
      <c r="A12">
        <f t="shared" si="0"/>
        <v>11</v>
      </c>
      <c r="B12" s="546" t="s">
        <v>1040</v>
      </c>
      <c r="C12" s="546" t="s">
        <v>1041</v>
      </c>
      <c r="D12" s="547" t="s">
        <v>1042</v>
      </c>
      <c r="E12" s="548" t="s">
        <v>1043</v>
      </c>
      <c r="F12" s="548" t="s">
        <v>1044</v>
      </c>
      <c r="G12" s="546" t="s">
        <v>1044</v>
      </c>
      <c r="H12" s="49" t="s">
        <v>1016</v>
      </c>
      <c r="I12" s="49" t="s">
        <v>991</v>
      </c>
      <c r="J12" t="s">
        <v>992</v>
      </c>
      <c r="K12" s="549">
        <v>606</v>
      </c>
    </row>
    <row r="13" spans="1:11" ht="16.5" x14ac:dyDescent="0.3">
      <c r="A13">
        <f t="shared" si="0"/>
        <v>12</v>
      </c>
      <c r="B13" s="546" t="s">
        <v>1045</v>
      </c>
      <c r="C13" s="546" t="s">
        <v>1046</v>
      </c>
      <c r="D13" s="547" t="s">
        <v>1042</v>
      </c>
      <c r="E13" s="548" t="s">
        <v>1047</v>
      </c>
      <c r="F13" s="548" t="s">
        <v>1046</v>
      </c>
      <c r="G13" s="546" t="s">
        <v>1044</v>
      </c>
      <c r="H13" s="49" t="s">
        <v>990</v>
      </c>
      <c r="I13" s="49" t="s">
        <v>1004</v>
      </c>
      <c r="J13" t="s">
        <v>1048</v>
      </c>
      <c r="K13" s="549">
        <v>6319</v>
      </c>
    </row>
    <row r="14" spans="1:11" ht="16.5" x14ac:dyDescent="0.3">
      <c r="A14">
        <f t="shared" si="0"/>
        <v>13</v>
      </c>
      <c r="B14" s="546" t="s">
        <v>1049</v>
      </c>
      <c r="C14" s="546" t="s">
        <v>1050</v>
      </c>
      <c r="D14" s="547" t="s">
        <v>987</v>
      </c>
      <c r="E14" s="548" t="s">
        <v>1051</v>
      </c>
      <c r="F14" s="548" t="s">
        <v>1052</v>
      </c>
      <c r="G14" s="546" t="s">
        <v>1052</v>
      </c>
      <c r="H14" s="49" t="s">
        <v>998</v>
      </c>
      <c r="I14" s="49" t="s">
        <v>991</v>
      </c>
      <c r="J14" t="s">
        <v>1053</v>
      </c>
      <c r="K14" s="549">
        <v>16116</v>
      </c>
    </row>
    <row r="15" spans="1:11" ht="16.5" x14ac:dyDescent="0.3">
      <c r="A15">
        <f t="shared" si="0"/>
        <v>14</v>
      </c>
      <c r="B15" s="546" t="s">
        <v>1054</v>
      </c>
      <c r="C15" s="550" t="s">
        <v>1055</v>
      </c>
      <c r="D15" s="547" t="s">
        <v>995</v>
      </c>
      <c r="E15" s="548" t="s">
        <v>1056</v>
      </c>
      <c r="F15" s="548" t="s">
        <v>1057</v>
      </c>
      <c r="G15" s="550" t="s">
        <v>1057</v>
      </c>
      <c r="H15" s="49" t="s">
        <v>998</v>
      </c>
      <c r="I15" s="49" t="s">
        <v>991</v>
      </c>
      <c r="J15" t="s">
        <v>1058</v>
      </c>
      <c r="K15" s="549">
        <v>39558</v>
      </c>
    </row>
    <row r="16" spans="1:11" ht="16.5" x14ac:dyDescent="0.3">
      <c r="A16">
        <f t="shared" si="0"/>
        <v>15</v>
      </c>
      <c r="B16" s="546" t="s">
        <v>1059</v>
      </c>
      <c r="C16" s="546" t="s">
        <v>1060</v>
      </c>
      <c r="D16" s="547" t="s">
        <v>987</v>
      </c>
      <c r="E16" s="548" t="s">
        <v>1061</v>
      </c>
      <c r="F16" s="548" t="s">
        <v>1062</v>
      </c>
      <c r="G16" s="546" t="s">
        <v>1062</v>
      </c>
      <c r="H16" s="49" t="s">
        <v>1016</v>
      </c>
      <c r="I16" s="49" t="s">
        <v>991</v>
      </c>
      <c r="J16" t="s">
        <v>992</v>
      </c>
      <c r="K16" s="549">
        <v>4385</v>
      </c>
    </row>
    <row r="17" spans="1:11" ht="16.5" x14ac:dyDescent="0.3">
      <c r="A17">
        <f t="shared" si="0"/>
        <v>16</v>
      </c>
      <c r="B17" s="546" t="s">
        <v>1063</v>
      </c>
      <c r="C17" s="546" t="s">
        <v>1064</v>
      </c>
      <c r="D17" s="547" t="s">
        <v>1065</v>
      </c>
      <c r="E17" s="548" t="s">
        <v>1066</v>
      </c>
      <c r="F17" s="548" t="s">
        <v>1067</v>
      </c>
      <c r="G17" s="546" t="s">
        <v>1067</v>
      </c>
      <c r="H17" s="49" t="s">
        <v>1016</v>
      </c>
      <c r="I17" s="49" t="s">
        <v>1021</v>
      </c>
      <c r="J17" t="s">
        <v>1022</v>
      </c>
      <c r="K17" s="549">
        <v>8819</v>
      </c>
    </row>
    <row r="18" spans="1:11" ht="16.5" x14ac:dyDescent="0.3">
      <c r="A18">
        <f t="shared" si="0"/>
        <v>17</v>
      </c>
      <c r="B18" s="546" t="s">
        <v>1068</v>
      </c>
      <c r="C18" s="546" t="s">
        <v>1069</v>
      </c>
      <c r="D18" s="547" t="s">
        <v>1065</v>
      </c>
      <c r="E18" s="548" t="s">
        <v>1070</v>
      </c>
      <c r="F18" s="548" t="s">
        <v>1071</v>
      </c>
      <c r="G18" s="546" t="s">
        <v>1071</v>
      </c>
      <c r="H18" s="49" t="s">
        <v>1016</v>
      </c>
      <c r="I18" s="49" t="s">
        <v>991</v>
      </c>
      <c r="J18" t="s">
        <v>992</v>
      </c>
      <c r="K18" s="549">
        <v>1023</v>
      </c>
    </row>
    <row r="19" spans="1:11" ht="16.5" x14ac:dyDescent="0.3">
      <c r="A19">
        <f t="shared" si="0"/>
        <v>18</v>
      </c>
      <c r="B19" s="546" t="s">
        <v>1072</v>
      </c>
      <c r="C19" s="546" t="s">
        <v>1073</v>
      </c>
      <c r="D19" s="547" t="s">
        <v>1074</v>
      </c>
      <c r="E19" s="548" t="s">
        <v>1075</v>
      </c>
      <c r="F19" s="548" t="s">
        <v>1076</v>
      </c>
      <c r="G19" s="546" t="s">
        <v>1076</v>
      </c>
      <c r="H19" s="49" t="s">
        <v>1016</v>
      </c>
      <c r="I19" s="49" t="s">
        <v>991</v>
      </c>
      <c r="J19" t="s">
        <v>1077</v>
      </c>
      <c r="K19" s="549">
        <v>1334</v>
      </c>
    </row>
    <row r="20" spans="1:11" ht="16.5" x14ac:dyDescent="0.3">
      <c r="A20">
        <f t="shared" si="0"/>
        <v>19</v>
      </c>
      <c r="B20" s="546" t="s">
        <v>1078</v>
      </c>
      <c r="C20" s="546" t="s">
        <v>1079</v>
      </c>
      <c r="D20" s="547" t="s">
        <v>987</v>
      </c>
      <c r="E20" s="548" t="s">
        <v>1080</v>
      </c>
      <c r="F20" s="548" t="s">
        <v>1081</v>
      </c>
      <c r="G20" s="546" t="s">
        <v>1081</v>
      </c>
      <c r="H20" s="49" t="s">
        <v>1016</v>
      </c>
      <c r="I20" s="49" t="s">
        <v>1021</v>
      </c>
      <c r="J20" t="s">
        <v>1022</v>
      </c>
      <c r="K20" s="549">
        <v>1901</v>
      </c>
    </row>
    <row r="21" spans="1:11" ht="16.5" x14ac:dyDescent="0.3">
      <c r="A21">
        <f t="shared" si="0"/>
        <v>20</v>
      </c>
      <c r="B21" s="546" t="s">
        <v>1082</v>
      </c>
      <c r="C21" s="546" t="s">
        <v>1083</v>
      </c>
      <c r="D21" s="547" t="s">
        <v>1084</v>
      </c>
      <c r="E21" s="548" t="s">
        <v>1085</v>
      </c>
      <c r="F21" s="548" t="s">
        <v>1086</v>
      </c>
      <c r="G21" s="546" t="s">
        <v>1086</v>
      </c>
      <c r="H21" s="49" t="s">
        <v>1016</v>
      </c>
      <c r="I21" s="49" t="s">
        <v>991</v>
      </c>
      <c r="J21" t="s">
        <v>992</v>
      </c>
      <c r="K21" s="549">
        <v>574</v>
      </c>
    </row>
    <row r="22" spans="1:11" ht="16.5" x14ac:dyDescent="0.3">
      <c r="A22">
        <f t="shared" si="0"/>
        <v>21</v>
      </c>
      <c r="B22" s="546" t="s">
        <v>1087</v>
      </c>
      <c r="C22" s="546" t="s">
        <v>1088</v>
      </c>
      <c r="D22" s="547" t="s">
        <v>1084</v>
      </c>
      <c r="E22" s="548" t="s">
        <v>1089</v>
      </c>
      <c r="F22" s="548" t="s">
        <v>1088</v>
      </c>
      <c r="G22" s="546" t="s">
        <v>1090</v>
      </c>
      <c r="H22" s="49" t="s">
        <v>990</v>
      </c>
      <c r="I22" s="49" t="s">
        <v>1004</v>
      </c>
      <c r="J22" t="s">
        <v>1048</v>
      </c>
      <c r="K22" s="549">
        <v>20936</v>
      </c>
    </row>
    <row r="23" spans="1:11" ht="16.5" x14ac:dyDescent="0.3">
      <c r="A23">
        <f t="shared" si="0"/>
        <v>22</v>
      </c>
      <c r="B23" s="546" t="s">
        <v>1091</v>
      </c>
      <c r="C23" s="546" t="s">
        <v>1092</v>
      </c>
      <c r="D23" s="547" t="s">
        <v>1065</v>
      </c>
      <c r="E23" s="548" t="s">
        <v>1093</v>
      </c>
      <c r="F23" s="548" t="s">
        <v>1094</v>
      </c>
      <c r="G23" s="546" t="s">
        <v>1094</v>
      </c>
      <c r="H23" s="49" t="s">
        <v>1016</v>
      </c>
      <c r="I23" s="49" t="s">
        <v>991</v>
      </c>
      <c r="J23" t="s">
        <v>992</v>
      </c>
      <c r="K23" s="549">
        <v>6983</v>
      </c>
    </row>
    <row r="24" spans="1:11" ht="16.5" x14ac:dyDescent="0.3">
      <c r="A24">
        <f t="shared" si="0"/>
        <v>23</v>
      </c>
      <c r="B24" s="546" t="s">
        <v>1095</v>
      </c>
      <c r="C24" s="546" t="s">
        <v>1096</v>
      </c>
      <c r="D24" s="547" t="s">
        <v>1097</v>
      </c>
      <c r="E24" s="548" t="s">
        <v>1098</v>
      </c>
      <c r="F24" s="548" t="s">
        <v>1096</v>
      </c>
      <c r="G24" s="546" t="s">
        <v>1099</v>
      </c>
      <c r="H24" s="49" t="s">
        <v>990</v>
      </c>
      <c r="I24" s="49" t="s">
        <v>1021</v>
      </c>
      <c r="J24" t="s">
        <v>1022</v>
      </c>
      <c r="K24" s="549">
        <v>1443</v>
      </c>
    </row>
    <row r="25" spans="1:11" ht="16.5" x14ac:dyDescent="0.3">
      <c r="A25">
        <f t="shared" si="0"/>
        <v>24</v>
      </c>
      <c r="B25" s="546" t="s">
        <v>1100</v>
      </c>
      <c r="C25" s="546" t="s">
        <v>1101</v>
      </c>
      <c r="D25" s="547" t="s">
        <v>1084</v>
      </c>
      <c r="E25" s="548" t="s">
        <v>1102</v>
      </c>
      <c r="F25" s="548" t="s">
        <v>1103</v>
      </c>
      <c r="G25" s="546" t="s">
        <v>1103</v>
      </c>
      <c r="H25" s="49" t="s">
        <v>1016</v>
      </c>
      <c r="I25" s="49" t="s">
        <v>991</v>
      </c>
      <c r="J25" t="s">
        <v>992</v>
      </c>
      <c r="K25" s="549">
        <v>968</v>
      </c>
    </row>
    <row r="26" spans="1:11" ht="16.5" x14ac:dyDescent="0.3">
      <c r="A26">
        <f t="shared" si="0"/>
        <v>25</v>
      </c>
      <c r="B26" s="546" t="s">
        <v>1104</v>
      </c>
      <c r="C26" s="546" t="s">
        <v>1105</v>
      </c>
      <c r="D26" s="547" t="s">
        <v>1106</v>
      </c>
      <c r="E26" s="548" t="s">
        <v>1107</v>
      </c>
      <c r="F26" s="548" t="s">
        <v>1108</v>
      </c>
      <c r="G26" s="546" t="s">
        <v>1108</v>
      </c>
      <c r="H26" s="49" t="s">
        <v>998</v>
      </c>
      <c r="I26" s="49" t="s">
        <v>991</v>
      </c>
      <c r="J26" t="s">
        <v>1077</v>
      </c>
      <c r="K26" s="549">
        <v>63024</v>
      </c>
    </row>
    <row r="27" spans="1:11" ht="16.5" x14ac:dyDescent="0.3">
      <c r="A27">
        <f t="shared" si="0"/>
        <v>26</v>
      </c>
      <c r="B27" s="546" t="s">
        <v>1109</v>
      </c>
      <c r="C27" s="546" t="s">
        <v>1110</v>
      </c>
      <c r="D27" s="547" t="s">
        <v>1084</v>
      </c>
      <c r="E27" s="548" t="s">
        <v>1111</v>
      </c>
      <c r="F27" s="548" t="s">
        <v>1112</v>
      </c>
      <c r="G27" s="546" t="s">
        <v>1112</v>
      </c>
      <c r="H27" s="49" t="s">
        <v>1016</v>
      </c>
      <c r="I27" s="49" t="s">
        <v>991</v>
      </c>
      <c r="J27" t="s">
        <v>1053</v>
      </c>
      <c r="K27" s="549">
        <v>1170</v>
      </c>
    </row>
    <row r="28" spans="1:11" ht="16.5" x14ac:dyDescent="0.3">
      <c r="A28">
        <f t="shared" si="0"/>
        <v>27</v>
      </c>
      <c r="B28" s="546" t="s">
        <v>1113</v>
      </c>
      <c r="C28" s="546" t="s">
        <v>1114</v>
      </c>
      <c r="D28" s="547" t="s">
        <v>1084</v>
      </c>
      <c r="E28" s="548" t="s">
        <v>1115</v>
      </c>
      <c r="F28" s="548" t="s">
        <v>1116</v>
      </c>
      <c r="G28" s="546" t="s">
        <v>1116</v>
      </c>
      <c r="H28" s="49" t="s">
        <v>1016</v>
      </c>
      <c r="I28" s="49" t="s">
        <v>991</v>
      </c>
      <c r="J28" t="s">
        <v>992</v>
      </c>
      <c r="K28" s="549">
        <v>11045</v>
      </c>
    </row>
    <row r="29" spans="1:11" ht="16.5" x14ac:dyDescent="0.3">
      <c r="A29">
        <f t="shared" si="0"/>
        <v>28</v>
      </c>
      <c r="B29" s="546" t="s">
        <v>1117</v>
      </c>
      <c r="C29" s="546" t="s">
        <v>1118</v>
      </c>
      <c r="D29" s="547" t="s">
        <v>1119</v>
      </c>
      <c r="E29" s="548" t="s">
        <v>1120</v>
      </c>
      <c r="F29" s="548" t="s">
        <v>1118</v>
      </c>
      <c r="G29" s="546" t="s">
        <v>1121</v>
      </c>
      <c r="H29" s="49" t="s">
        <v>990</v>
      </c>
      <c r="I29" s="49" t="s">
        <v>1004</v>
      </c>
      <c r="J29" t="s">
        <v>1048</v>
      </c>
      <c r="K29" s="549">
        <v>8165</v>
      </c>
    </row>
    <row r="30" spans="1:11" ht="16.5" x14ac:dyDescent="0.3">
      <c r="A30">
        <f t="shared" si="0"/>
        <v>29</v>
      </c>
      <c r="B30" s="546" t="s">
        <v>1122</v>
      </c>
      <c r="C30" s="546" t="s">
        <v>1123</v>
      </c>
      <c r="D30" s="547" t="s">
        <v>1124</v>
      </c>
      <c r="E30" s="548" t="s">
        <v>1125</v>
      </c>
      <c r="F30" s="548" t="s">
        <v>1123</v>
      </c>
      <c r="G30" s="546" t="s">
        <v>1126</v>
      </c>
      <c r="H30" s="49" t="s">
        <v>990</v>
      </c>
      <c r="I30" s="49" t="s">
        <v>991</v>
      </c>
      <c r="J30" t="s">
        <v>1127</v>
      </c>
      <c r="K30" s="549">
        <v>35926</v>
      </c>
    </row>
    <row r="31" spans="1:11" ht="16.5" x14ac:dyDescent="0.3">
      <c r="A31">
        <f t="shared" si="0"/>
        <v>30</v>
      </c>
      <c r="B31" s="546" t="s">
        <v>1128</v>
      </c>
      <c r="C31" s="546" t="s">
        <v>1129</v>
      </c>
      <c r="D31" s="547" t="s">
        <v>1065</v>
      </c>
      <c r="E31" s="548" t="s">
        <v>1130</v>
      </c>
      <c r="F31" s="548" t="s">
        <v>1131</v>
      </c>
      <c r="G31" s="546" t="s">
        <v>1131</v>
      </c>
      <c r="H31" s="49" t="s">
        <v>1016</v>
      </c>
      <c r="I31" s="49" t="s">
        <v>991</v>
      </c>
      <c r="J31" t="s">
        <v>992</v>
      </c>
      <c r="K31" s="549">
        <v>11583</v>
      </c>
    </row>
    <row r="32" spans="1:11" ht="16.5" x14ac:dyDescent="0.3">
      <c r="A32">
        <f t="shared" si="0"/>
        <v>31</v>
      </c>
      <c r="B32" s="546" t="s">
        <v>1132</v>
      </c>
      <c r="C32" s="546" t="s">
        <v>1133</v>
      </c>
      <c r="D32" s="547" t="s">
        <v>987</v>
      </c>
      <c r="E32" s="548" t="s">
        <v>1134</v>
      </c>
      <c r="F32" s="548" t="s">
        <v>1135</v>
      </c>
      <c r="G32" s="546" t="s">
        <v>1135</v>
      </c>
      <c r="H32" s="49" t="s">
        <v>1016</v>
      </c>
      <c r="I32" s="49" t="s">
        <v>991</v>
      </c>
      <c r="J32" t="s">
        <v>1010</v>
      </c>
      <c r="K32" s="549">
        <v>5794</v>
      </c>
    </row>
    <row r="33" spans="1:11" ht="16.5" x14ac:dyDescent="0.3">
      <c r="A33">
        <f t="shared" si="0"/>
        <v>32</v>
      </c>
      <c r="B33" s="546" t="s">
        <v>1136</v>
      </c>
      <c r="C33" s="546" t="s">
        <v>1137</v>
      </c>
      <c r="D33" s="547" t="s">
        <v>1008</v>
      </c>
      <c r="E33" s="548" t="s">
        <v>1138</v>
      </c>
      <c r="F33" s="548" t="s">
        <v>1139</v>
      </c>
      <c r="G33" s="546" t="s">
        <v>1139</v>
      </c>
      <c r="H33" s="49" t="s">
        <v>978</v>
      </c>
      <c r="I33" s="49" t="s">
        <v>991</v>
      </c>
      <c r="J33" t="s">
        <v>992</v>
      </c>
      <c r="K33" s="549">
        <v>2681</v>
      </c>
    </row>
    <row r="34" spans="1:11" ht="16.5" x14ac:dyDescent="0.3">
      <c r="A34">
        <f t="shared" si="0"/>
        <v>33</v>
      </c>
      <c r="B34" s="546" t="s">
        <v>1140</v>
      </c>
      <c r="C34" s="546" t="s">
        <v>1141</v>
      </c>
      <c r="D34" s="547" t="s">
        <v>1013</v>
      </c>
      <c r="E34" s="548" t="s">
        <v>1142</v>
      </c>
      <c r="F34" s="548" t="s">
        <v>1143</v>
      </c>
      <c r="G34" s="546" t="s">
        <v>1143</v>
      </c>
      <c r="H34" s="49" t="s">
        <v>1016</v>
      </c>
      <c r="I34" s="49" t="s">
        <v>991</v>
      </c>
      <c r="J34" t="s">
        <v>992</v>
      </c>
      <c r="K34" s="549">
        <v>26764</v>
      </c>
    </row>
    <row r="35" spans="1:11" ht="16.5" x14ac:dyDescent="0.3">
      <c r="A35">
        <f t="shared" si="0"/>
        <v>34</v>
      </c>
      <c r="B35" s="546" t="s">
        <v>1144</v>
      </c>
      <c r="C35" s="546" t="s">
        <v>1145</v>
      </c>
      <c r="D35" s="547" t="s">
        <v>1146</v>
      </c>
      <c r="E35" s="548" t="s">
        <v>1147</v>
      </c>
      <c r="F35" s="548" t="s">
        <v>1145</v>
      </c>
      <c r="G35" s="546" t="s">
        <v>1148</v>
      </c>
      <c r="H35" s="49" t="s">
        <v>990</v>
      </c>
      <c r="I35" s="49" t="s">
        <v>991</v>
      </c>
      <c r="J35" t="s">
        <v>992</v>
      </c>
      <c r="K35" s="549">
        <v>13183</v>
      </c>
    </row>
    <row r="36" spans="1:11" ht="16.5" x14ac:dyDescent="0.3">
      <c r="A36">
        <f t="shared" si="0"/>
        <v>35</v>
      </c>
      <c r="B36" s="546" t="s">
        <v>1149</v>
      </c>
      <c r="C36" s="546" t="s">
        <v>1150</v>
      </c>
      <c r="D36" s="547" t="s">
        <v>1084</v>
      </c>
      <c r="E36" s="548" t="s">
        <v>1151</v>
      </c>
      <c r="F36" s="548" t="s">
        <v>1150</v>
      </c>
      <c r="G36" s="546" t="s">
        <v>1152</v>
      </c>
      <c r="H36" s="49" t="s">
        <v>990</v>
      </c>
      <c r="I36" s="49" t="s">
        <v>991</v>
      </c>
      <c r="J36" t="s">
        <v>999</v>
      </c>
      <c r="K36" s="549">
        <v>41255</v>
      </c>
    </row>
    <row r="37" spans="1:11" ht="16.5" x14ac:dyDescent="0.3">
      <c r="A37">
        <f t="shared" si="0"/>
        <v>36</v>
      </c>
      <c r="B37" s="546" t="s">
        <v>1153</v>
      </c>
      <c r="C37" s="546" t="s">
        <v>1154</v>
      </c>
      <c r="D37" s="547" t="s">
        <v>1065</v>
      </c>
      <c r="E37" s="548" t="s">
        <v>1155</v>
      </c>
      <c r="F37" s="548" t="s">
        <v>1156</v>
      </c>
      <c r="G37" s="546" t="s">
        <v>1156</v>
      </c>
      <c r="H37" s="49" t="s">
        <v>1016</v>
      </c>
      <c r="I37" s="49" t="s">
        <v>991</v>
      </c>
      <c r="J37" t="s">
        <v>992</v>
      </c>
      <c r="K37" s="549">
        <v>7588</v>
      </c>
    </row>
    <row r="38" spans="1:11" ht="16.5" x14ac:dyDescent="0.3">
      <c r="A38">
        <f t="shared" si="0"/>
        <v>37</v>
      </c>
      <c r="B38" s="546" t="s">
        <v>1157</v>
      </c>
      <c r="C38" s="546" t="s">
        <v>1158</v>
      </c>
      <c r="D38" s="547" t="s">
        <v>1065</v>
      </c>
      <c r="E38" s="548" t="s">
        <v>1159</v>
      </c>
      <c r="F38" s="548" t="s">
        <v>1158</v>
      </c>
      <c r="G38" s="546" t="s">
        <v>1156</v>
      </c>
      <c r="H38" s="49" t="s">
        <v>990</v>
      </c>
      <c r="I38" s="49" t="s">
        <v>991</v>
      </c>
      <c r="J38" t="s">
        <v>1010</v>
      </c>
      <c r="K38" s="549">
        <v>5357</v>
      </c>
    </row>
    <row r="39" spans="1:11" ht="16.5" x14ac:dyDescent="0.3">
      <c r="A39">
        <f t="shared" si="0"/>
        <v>38</v>
      </c>
      <c r="B39" s="546" t="s">
        <v>1160</v>
      </c>
      <c r="C39" s="546" t="s">
        <v>1161</v>
      </c>
      <c r="D39" s="547" t="s">
        <v>1119</v>
      </c>
      <c r="E39" s="548" t="s">
        <v>1162</v>
      </c>
      <c r="F39" s="548" t="s">
        <v>1161</v>
      </c>
      <c r="G39" s="546" t="s">
        <v>1163</v>
      </c>
      <c r="H39" s="49" t="s">
        <v>990</v>
      </c>
      <c r="I39" s="49" t="s">
        <v>1004</v>
      </c>
      <c r="J39" t="s">
        <v>1048</v>
      </c>
      <c r="K39" s="549">
        <v>26652</v>
      </c>
    </row>
    <row r="40" spans="1:11" ht="16.5" x14ac:dyDescent="0.3">
      <c r="A40">
        <f t="shared" si="0"/>
        <v>39</v>
      </c>
      <c r="B40" s="546" t="s">
        <v>1164</v>
      </c>
      <c r="C40" s="546" t="s">
        <v>1165</v>
      </c>
      <c r="D40" s="547" t="s">
        <v>1119</v>
      </c>
      <c r="E40" s="548" t="s">
        <v>1166</v>
      </c>
      <c r="F40" s="548" t="s">
        <v>1167</v>
      </c>
      <c r="G40" s="546" t="s">
        <v>1167</v>
      </c>
      <c r="H40" s="49" t="s">
        <v>1016</v>
      </c>
      <c r="I40" s="49" t="s">
        <v>991</v>
      </c>
      <c r="J40" t="s">
        <v>992</v>
      </c>
      <c r="K40" s="549">
        <v>7707</v>
      </c>
    </row>
    <row r="41" spans="1:11" ht="16.5" x14ac:dyDescent="0.3">
      <c r="A41">
        <f t="shared" si="0"/>
        <v>40</v>
      </c>
      <c r="B41" s="546" t="s">
        <v>1168</v>
      </c>
      <c r="C41" s="546" t="s">
        <v>1169</v>
      </c>
      <c r="D41" s="547" t="s">
        <v>1002</v>
      </c>
      <c r="E41" s="548" t="s">
        <v>1170</v>
      </c>
      <c r="F41" s="548" t="s">
        <v>1169</v>
      </c>
      <c r="G41" s="546" t="s">
        <v>1171</v>
      </c>
      <c r="H41" s="49" t="s">
        <v>990</v>
      </c>
      <c r="I41" s="49" t="s">
        <v>1004</v>
      </c>
      <c r="J41" t="s">
        <v>1048</v>
      </c>
      <c r="K41" s="549">
        <v>3979</v>
      </c>
    </row>
    <row r="42" spans="1:11" ht="16.5" x14ac:dyDescent="0.3">
      <c r="A42">
        <f t="shared" si="0"/>
        <v>41</v>
      </c>
      <c r="B42" s="546" t="s">
        <v>1172</v>
      </c>
      <c r="C42" s="546" t="s">
        <v>1173</v>
      </c>
      <c r="D42" s="547" t="s">
        <v>1097</v>
      </c>
      <c r="E42" s="548" t="s">
        <v>1174</v>
      </c>
      <c r="F42" s="548" t="s">
        <v>1175</v>
      </c>
      <c r="G42" s="546" t="s">
        <v>1175</v>
      </c>
      <c r="H42" s="49" t="s">
        <v>998</v>
      </c>
      <c r="I42" s="49" t="s">
        <v>991</v>
      </c>
      <c r="J42" t="s">
        <v>1058</v>
      </c>
      <c r="K42" s="549">
        <v>2577</v>
      </c>
    </row>
    <row r="43" spans="1:11" ht="16.5" x14ac:dyDescent="0.3">
      <c r="A43">
        <f t="shared" si="0"/>
        <v>42</v>
      </c>
      <c r="B43" s="546" t="s">
        <v>1176</v>
      </c>
      <c r="C43" s="546" t="s">
        <v>1177</v>
      </c>
      <c r="D43" s="547" t="s">
        <v>1008</v>
      </c>
      <c r="E43" s="548" t="s">
        <v>1178</v>
      </c>
      <c r="F43" s="548" t="s">
        <v>1177</v>
      </c>
      <c r="G43" s="546" t="s">
        <v>1179</v>
      </c>
      <c r="H43" s="49" t="s">
        <v>990</v>
      </c>
      <c r="I43" s="49" t="s">
        <v>1004</v>
      </c>
      <c r="J43" t="s">
        <v>1048</v>
      </c>
      <c r="K43" s="549">
        <v>5967</v>
      </c>
    </row>
    <row r="44" spans="1:11" ht="16.5" x14ac:dyDescent="0.3">
      <c r="A44">
        <f t="shared" si="0"/>
        <v>43</v>
      </c>
      <c r="B44" s="546" t="s">
        <v>1180</v>
      </c>
      <c r="C44" s="546" t="s">
        <v>1181</v>
      </c>
      <c r="D44" s="547" t="s">
        <v>1124</v>
      </c>
      <c r="E44" s="548" t="s">
        <v>1182</v>
      </c>
      <c r="F44" s="548" t="s">
        <v>1181</v>
      </c>
      <c r="G44" s="546" t="s">
        <v>1183</v>
      </c>
      <c r="H44" s="49" t="s">
        <v>990</v>
      </c>
      <c r="I44" s="49" t="s">
        <v>991</v>
      </c>
      <c r="J44" t="s">
        <v>992</v>
      </c>
      <c r="K44" s="549">
        <v>47315</v>
      </c>
    </row>
    <row r="45" spans="1:11" ht="16.5" x14ac:dyDescent="0.3">
      <c r="A45">
        <f t="shared" si="0"/>
        <v>44</v>
      </c>
      <c r="B45" s="546" t="s">
        <v>1184</v>
      </c>
      <c r="C45" s="546" t="s">
        <v>1185</v>
      </c>
      <c r="D45" s="547" t="s">
        <v>1186</v>
      </c>
      <c r="E45" s="548" t="s">
        <v>1187</v>
      </c>
      <c r="F45" s="548" t="s">
        <v>1188</v>
      </c>
      <c r="G45" s="546" t="s">
        <v>1188</v>
      </c>
      <c r="H45" s="49" t="s">
        <v>1016</v>
      </c>
      <c r="I45" s="49" t="s">
        <v>991</v>
      </c>
      <c r="J45" t="s">
        <v>992</v>
      </c>
      <c r="K45" s="549">
        <v>7656</v>
      </c>
    </row>
    <row r="46" spans="1:11" ht="16.5" x14ac:dyDescent="0.3">
      <c r="A46">
        <f t="shared" si="0"/>
        <v>45</v>
      </c>
      <c r="B46" s="546" t="s">
        <v>1189</v>
      </c>
      <c r="C46" s="546" t="s">
        <v>1190</v>
      </c>
      <c r="D46" s="547" t="s">
        <v>1002</v>
      </c>
      <c r="E46" s="548" t="s">
        <v>1191</v>
      </c>
      <c r="F46" s="548" t="s">
        <v>1192</v>
      </c>
      <c r="G46" s="546" t="s">
        <v>1192</v>
      </c>
      <c r="H46" s="49" t="s">
        <v>1016</v>
      </c>
      <c r="I46" s="49" t="s">
        <v>991</v>
      </c>
      <c r="J46" t="s">
        <v>992</v>
      </c>
      <c r="K46" s="549">
        <v>870</v>
      </c>
    </row>
    <row r="47" spans="1:11" ht="16.5" x14ac:dyDescent="0.3">
      <c r="A47">
        <f t="shared" si="0"/>
        <v>46</v>
      </c>
      <c r="B47" s="546" t="s">
        <v>1193</v>
      </c>
      <c r="C47" s="546" t="s">
        <v>1194</v>
      </c>
      <c r="D47" s="547" t="s">
        <v>1013</v>
      </c>
      <c r="E47" s="548" t="s">
        <v>1195</v>
      </c>
      <c r="F47" s="548" t="s">
        <v>1196</v>
      </c>
      <c r="G47" s="546" t="s">
        <v>1196</v>
      </c>
      <c r="H47" s="49" t="s">
        <v>1016</v>
      </c>
      <c r="I47" s="49" t="s">
        <v>991</v>
      </c>
      <c r="J47" t="s">
        <v>992</v>
      </c>
      <c r="K47" s="549">
        <v>8187</v>
      </c>
    </row>
    <row r="48" spans="1:11" ht="16.5" x14ac:dyDescent="0.3">
      <c r="A48">
        <f t="shared" si="0"/>
        <v>47</v>
      </c>
      <c r="B48" s="546" t="s">
        <v>1197</v>
      </c>
      <c r="C48" s="546" t="s">
        <v>1198</v>
      </c>
      <c r="D48" s="547" t="s">
        <v>1199</v>
      </c>
      <c r="E48" s="548" t="s">
        <v>1200</v>
      </c>
      <c r="F48" s="548" t="s">
        <v>1201</v>
      </c>
      <c r="G48" s="546" t="s">
        <v>1201</v>
      </c>
      <c r="H48" s="49" t="s">
        <v>978</v>
      </c>
      <c r="I48" s="49" t="s">
        <v>1202</v>
      </c>
      <c r="J48" t="s">
        <v>1203</v>
      </c>
      <c r="K48" s="549">
        <v>8347</v>
      </c>
    </row>
    <row r="49" spans="1:11" ht="16.5" x14ac:dyDescent="0.3">
      <c r="A49">
        <f t="shared" si="0"/>
        <v>48</v>
      </c>
      <c r="B49" s="546" t="s">
        <v>1204</v>
      </c>
      <c r="C49" s="546" t="s">
        <v>1205</v>
      </c>
      <c r="D49" s="547" t="s">
        <v>1199</v>
      </c>
      <c r="E49" s="548" t="s">
        <v>1206</v>
      </c>
      <c r="F49" s="548" t="s">
        <v>1205</v>
      </c>
      <c r="G49" s="546" t="s">
        <v>1201</v>
      </c>
      <c r="H49" s="49" t="s">
        <v>990</v>
      </c>
      <c r="I49" s="49" t="s">
        <v>1004</v>
      </c>
      <c r="J49" t="s">
        <v>1048</v>
      </c>
      <c r="K49" s="549">
        <v>4263</v>
      </c>
    </row>
    <row r="50" spans="1:11" ht="16.5" x14ac:dyDescent="0.3">
      <c r="A50">
        <f t="shared" si="0"/>
        <v>49</v>
      </c>
      <c r="B50" s="546" t="s">
        <v>1207</v>
      </c>
      <c r="C50" s="546" t="s">
        <v>1208</v>
      </c>
      <c r="D50" s="547" t="s">
        <v>1097</v>
      </c>
      <c r="E50" s="548" t="s">
        <v>1209</v>
      </c>
      <c r="F50" s="548" t="s">
        <v>1210</v>
      </c>
      <c r="G50" s="546" t="s">
        <v>1210</v>
      </c>
      <c r="H50" s="49" t="s">
        <v>998</v>
      </c>
      <c r="I50" s="49" t="s">
        <v>1021</v>
      </c>
      <c r="J50" t="s">
        <v>1022</v>
      </c>
      <c r="K50" s="549">
        <v>3924</v>
      </c>
    </row>
    <row r="51" spans="1:11" ht="16.5" x14ac:dyDescent="0.3">
      <c r="A51">
        <f t="shared" si="0"/>
        <v>50</v>
      </c>
      <c r="B51" s="546" t="s">
        <v>1211</v>
      </c>
      <c r="C51" s="546" t="s">
        <v>1212</v>
      </c>
      <c r="D51" s="547" t="s">
        <v>1097</v>
      </c>
      <c r="E51" s="548" t="s">
        <v>1213</v>
      </c>
      <c r="F51" s="548" t="s">
        <v>1212</v>
      </c>
      <c r="G51" s="546" t="s">
        <v>1210</v>
      </c>
      <c r="H51" s="49" t="s">
        <v>990</v>
      </c>
      <c r="I51" s="49" t="s">
        <v>1004</v>
      </c>
      <c r="J51" t="s">
        <v>1048</v>
      </c>
      <c r="K51" s="549">
        <v>11367</v>
      </c>
    </row>
    <row r="52" spans="1:11" ht="16.5" x14ac:dyDescent="0.3">
      <c r="A52">
        <f t="shared" si="0"/>
        <v>51</v>
      </c>
      <c r="B52" s="546" t="s">
        <v>1214</v>
      </c>
      <c r="C52" s="546" t="s">
        <v>1215</v>
      </c>
      <c r="D52" s="547" t="s">
        <v>1119</v>
      </c>
      <c r="E52" s="548" t="s">
        <v>1216</v>
      </c>
      <c r="F52" s="548" t="s">
        <v>1217</v>
      </c>
      <c r="G52" s="546" t="s">
        <v>1217</v>
      </c>
      <c r="H52" s="49" t="s">
        <v>1016</v>
      </c>
      <c r="I52" s="49" t="s">
        <v>991</v>
      </c>
      <c r="J52" t="s">
        <v>992</v>
      </c>
      <c r="K52" s="549">
        <v>10402</v>
      </c>
    </row>
    <row r="53" spans="1:11" ht="16.5" x14ac:dyDescent="0.3">
      <c r="A53">
        <f t="shared" si="0"/>
        <v>52</v>
      </c>
      <c r="B53" s="546" t="s">
        <v>1218</v>
      </c>
      <c r="C53" s="546" t="s">
        <v>1219</v>
      </c>
      <c r="D53" s="547" t="s">
        <v>987</v>
      </c>
      <c r="E53" s="548" t="s">
        <v>1220</v>
      </c>
      <c r="F53" s="548" t="s">
        <v>1221</v>
      </c>
      <c r="G53" s="546" t="s">
        <v>1221</v>
      </c>
      <c r="H53" s="49" t="s">
        <v>1016</v>
      </c>
      <c r="I53" s="49" t="s">
        <v>991</v>
      </c>
      <c r="J53" t="s">
        <v>1010</v>
      </c>
      <c r="K53" s="549">
        <v>4298</v>
      </c>
    </row>
    <row r="54" spans="1:11" ht="16.5" x14ac:dyDescent="0.3">
      <c r="A54">
        <f t="shared" si="0"/>
        <v>53</v>
      </c>
      <c r="B54" s="546" t="s">
        <v>1222</v>
      </c>
      <c r="C54" s="546" t="s">
        <v>1223</v>
      </c>
      <c r="D54" s="547" t="s">
        <v>1119</v>
      </c>
      <c r="E54" s="548" t="s">
        <v>1224</v>
      </c>
      <c r="F54" s="548" t="s">
        <v>1223</v>
      </c>
      <c r="G54" s="546" t="s">
        <v>1225</v>
      </c>
      <c r="H54" s="49" t="s">
        <v>990</v>
      </c>
      <c r="I54" s="49" t="s">
        <v>1004</v>
      </c>
      <c r="J54" t="s">
        <v>1048</v>
      </c>
      <c r="K54" s="549">
        <v>14459</v>
      </c>
    </row>
    <row r="55" spans="1:11" ht="16.5" x14ac:dyDescent="0.3">
      <c r="A55">
        <f t="shared" si="0"/>
        <v>54</v>
      </c>
      <c r="B55" s="546" t="s">
        <v>1226</v>
      </c>
      <c r="C55" s="546" t="s">
        <v>1227</v>
      </c>
      <c r="D55" s="547" t="s">
        <v>1042</v>
      </c>
      <c r="E55" s="548" t="s">
        <v>1228</v>
      </c>
      <c r="F55" s="548" t="s">
        <v>1229</v>
      </c>
      <c r="G55" s="546" t="s">
        <v>1229</v>
      </c>
      <c r="H55" s="49" t="s">
        <v>1016</v>
      </c>
      <c r="I55" s="49" t="s">
        <v>991</v>
      </c>
      <c r="J55" t="s">
        <v>992</v>
      </c>
      <c r="K55" s="549">
        <v>841</v>
      </c>
    </row>
    <row r="56" spans="1:11" ht="16.5" x14ac:dyDescent="0.3">
      <c r="A56">
        <f t="shared" si="0"/>
        <v>55</v>
      </c>
      <c r="B56" s="546" t="s">
        <v>1230</v>
      </c>
      <c r="C56" s="546" t="s">
        <v>1231</v>
      </c>
      <c r="D56" s="547" t="s">
        <v>1084</v>
      </c>
      <c r="E56" s="548" t="s">
        <v>1232</v>
      </c>
      <c r="F56" s="548" t="s">
        <v>1231</v>
      </c>
      <c r="G56" s="546" t="s">
        <v>1233</v>
      </c>
      <c r="H56" s="49" t="s">
        <v>990</v>
      </c>
      <c r="I56" s="49" t="s">
        <v>991</v>
      </c>
      <c r="J56" t="s">
        <v>999</v>
      </c>
      <c r="K56" s="549">
        <v>75072</v>
      </c>
    </row>
    <row r="57" spans="1:11" ht="16.5" x14ac:dyDescent="0.3">
      <c r="A57">
        <f t="shared" si="0"/>
        <v>56</v>
      </c>
      <c r="B57" s="546" t="s">
        <v>1234</v>
      </c>
      <c r="C57" s="546" t="s">
        <v>1235</v>
      </c>
      <c r="D57" s="547" t="s">
        <v>1236</v>
      </c>
      <c r="E57" s="548" t="s">
        <v>1237</v>
      </c>
      <c r="F57" s="548" t="s">
        <v>1238</v>
      </c>
      <c r="G57" s="546" t="s">
        <v>1238</v>
      </c>
      <c r="H57" s="49" t="s">
        <v>998</v>
      </c>
      <c r="I57" s="49" t="s">
        <v>991</v>
      </c>
      <c r="J57" t="s">
        <v>1077</v>
      </c>
      <c r="K57" s="549">
        <v>25349</v>
      </c>
    </row>
    <row r="58" spans="1:11" ht="16.5" x14ac:dyDescent="0.3">
      <c r="A58">
        <f t="shared" si="0"/>
        <v>57</v>
      </c>
      <c r="B58" s="546" t="s">
        <v>1239</v>
      </c>
      <c r="C58" s="546" t="s">
        <v>1240</v>
      </c>
      <c r="D58" s="547" t="s">
        <v>1119</v>
      </c>
      <c r="E58" s="548" t="s">
        <v>1241</v>
      </c>
      <c r="F58" s="548" t="s">
        <v>1240</v>
      </c>
      <c r="G58" s="546" t="s">
        <v>1242</v>
      </c>
      <c r="H58" s="49" t="s">
        <v>990</v>
      </c>
      <c r="I58" s="49" t="s">
        <v>991</v>
      </c>
      <c r="J58" t="s">
        <v>1077</v>
      </c>
      <c r="K58" s="549">
        <v>44464</v>
      </c>
    </row>
    <row r="59" spans="1:11" ht="16.5" x14ac:dyDescent="0.3">
      <c r="A59">
        <f t="shared" si="0"/>
        <v>58</v>
      </c>
      <c r="B59" s="546" t="s">
        <v>1243</v>
      </c>
      <c r="C59" s="546" t="s">
        <v>1244</v>
      </c>
      <c r="D59" s="547" t="s">
        <v>987</v>
      </c>
      <c r="E59" s="548" t="s">
        <v>1245</v>
      </c>
      <c r="F59" s="548" t="s">
        <v>1246</v>
      </c>
      <c r="G59" s="546" t="s">
        <v>1246</v>
      </c>
      <c r="H59" s="49" t="s">
        <v>1016</v>
      </c>
      <c r="I59" s="49" t="s">
        <v>991</v>
      </c>
      <c r="J59" t="s">
        <v>992</v>
      </c>
      <c r="K59" s="549">
        <v>4774</v>
      </c>
    </row>
    <row r="60" spans="1:11" ht="16.5" x14ac:dyDescent="0.3">
      <c r="A60">
        <f t="shared" si="0"/>
        <v>59</v>
      </c>
      <c r="B60" s="546" t="s">
        <v>1247</v>
      </c>
      <c r="C60" s="546" t="s">
        <v>1248</v>
      </c>
      <c r="D60" s="547" t="s">
        <v>995</v>
      </c>
      <c r="E60" s="548" t="s">
        <v>1249</v>
      </c>
      <c r="F60" s="548" t="s">
        <v>1250</v>
      </c>
      <c r="G60" s="546" t="s">
        <v>1250</v>
      </c>
      <c r="H60" s="49" t="s">
        <v>998</v>
      </c>
      <c r="I60" s="49" t="s">
        <v>991</v>
      </c>
      <c r="J60" t="s">
        <v>1127</v>
      </c>
      <c r="K60" s="549">
        <v>9450</v>
      </c>
    </row>
    <row r="61" spans="1:11" ht="16.5" x14ac:dyDescent="0.3">
      <c r="A61">
        <f t="shared" si="0"/>
        <v>60</v>
      </c>
      <c r="B61" s="546" t="s">
        <v>1251</v>
      </c>
      <c r="C61" s="546" t="s">
        <v>1252</v>
      </c>
      <c r="D61" s="547" t="s">
        <v>1065</v>
      </c>
      <c r="E61" s="548" t="s">
        <v>1253</v>
      </c>
      <c r="F61" s="548" t="s">
        <v>1254</v>
      </c>
      <c r="G61" s="546" t="s">
        <v>1254</v>
      </c>
      <c r="H61" s="49" t="s">
        <v>1016</v>
      </c>
      <c r="I61" s="49" t="s">
        <v>991</v>
      </c>
      <c r="J61" t="s">
        <v>992</v>
      </c>
      <c r="K61" s="549">
        <v>1955</v>
      </c>
    </row>
    <row r="62" spans="1:11" ht="16.5" x14ac:dyDescent="0.3">
      <c r="A62">
        <f t="shared" si="0"/>
        <v>61</v>
      </c>
      <c r="B62" s="546" t="s">
        <v>1255</v>
      </c>
      <c r="C62" s="546" t="s">
        <v>1256</v>
      </c>
      <c r="D62" s="547" t="s">
        <v>995</v>
      </c>
      <c r="E62" s="548" t="s">
        <v>1257</v>
      </c>
      <c r="F62" s="548" t="s">
        <v>1258</v>
      </c>
      <c r="G62" s="546" t="s">
        <v>1258</v>
      </c>
      <c r="H62" s="49" t="s">
        <v>1016</v>
      </c>
      <c r="I62" s="49" t="s">
        <v>991</v>
      </c>
      <c r="J62" t="s">
        <v>992</v>
      </c>
      <c r="K62" s="549">
        <v>4603</v>
      </c>
    </row>
    <row r="63" spans="1:11" ht="16.5" x14ac:dyDescent="0.3">
      <c r="A63">
        <f t="shared" si="0"/>
        <v>62</v>
      </c>
      <c r="B63" s="546" t="s">
        <v>1259</v>
      </c>
      <c r="C63" s="546" t="s">
        <v>1260</v>
      </c>
      <c r="D63" s="547" t="s">
        <v>995</v>
      </c>
      <c r="E63" s="548" t="s">
        <v>1261</v>
      </c>
      <c r="F63" s="548" t="s">
        <v>1260</v>
      </c>
      <c r="G63" s="546" t="s">
        <v>1262</v>
      </c>
      <c r="H63" s="49" t="s">
        <v>990</v>
      </c>
      <c r="I63" s="49" t="s">
        <v>1004</v>
      </c>
      <c r="J63" t="s">
        <v>1048</v>
      </c>
      <c r="K63" s="549">
        <v>7570</v>
      </c>
    </row>
    <row r="64" spans="1:11" ht="16.5" x14ac:dyDescent="0.3">
      <c r="A64">
        <f t="shared" si="0"/>
        <v>63</v>
      </c>
      <c r="B64" s="546" t="s">
        <v>1263</v>
      </c>
      <c r="C64" s="546" t="s">
        <v>1264</v>
      </c>
      <c r="D64" s="547" t="s">
        <v>1097</v>
      </c>
      <c r="E64" s="548" t="s">
        <v>1265</v>
      </c>
      <c r="F64" s="548" t="s">
        <v>1097</v>
      </c>
      <c r="G64" s="546" t="s">
        <v>1097</v>
      </c>
      <c r="H64" s="49" t="s">
        <v>998</v>
      </c>
      <c r="I64" s="49" t="s">
        <v>991</v>
      </c>
      <c r="J64" t="s">
        <v>999</v>
      </c>
      <c r="K64" s="549">
        <v>9920</v>
      </c>
    </row>
    <row r="65" spans="1:11" ht="16.5" x14ac:dyDescent="0.3">
      <c r="A65">
        <f t="shared" si="0"/>
        <v>64</v>
      </c>
      <c r="B65" s="546" t="s">
        <v>1266</v>
      </c>
      <c r="C65" s="546" t="s">
        <v>1267</v>
      </c>
      <c r="D65" s="547" t="s">
        <v>1097</v>
      </c>
      <c r="E65" s="548" t="s">
        <v>1268</v>
      </c>
      <c r="F65" s="548" t="s">
        <v>1267</v>
      </c>
      <c r="G65" s="546" t="s">
        <v>1097</v>
      </c>
      <c r="H65" s="49" t="s">
        <v>990</v>
      </c>
      <c r="I65" s="49" t="s">
        <v>991</v>
      </c>
      <c r="J65" t="s">
        <v>999</v>
      </c>
      <c r="K65" s="549">
        <v>22594</v>
      </c>
    </row>
    <row r="66" spans="1:11" ht="16.5" x14ac:dyDescent="0.3">
      <c r="A66">
        <f t="shared" si="0"/>
        <v>65</v>
      </c>
      <c r="B66" s="546" t="s">
        <v>1269</v>
      </c>
      <c r="C66" s="546" t="s">
        <v>1270</v>
      </c>
      <c r="D66" s="547" t="s">
        <v>1199</v>
      </c>
      <c r="E66" s="548" t="s">
        <v>1271</v>
      </c>
      <c r="F66" s="548" t="s">
        <v>1272</v>
      </c>
      <c r="G66" s="546" t="s">
        <v>1272</v>
      </c>
      <c r="H66" s="49" t="s">
        <v>1016</v>
      </c>
      <c r="I66" s="49" t="s">
        <v>991</v>
      </c>
      <c r="J66" t="s">
        <v>992</v>
      </c>
      <c r="K66" s="549">
        <v>7539</v>
      </c>
    </row>
    <row r="67" spans="1:11" ht="16.5" x14ac:dyDescent="0.3">
      <c r="A67">
        <f t="shared" si="0"/>
        <v>66</v>
      </c>
      <c r="B67" s="546" t="s">
        <v>1273</v>
      </c>
      <c r="C67" s="546" t="s">
        <v>1274</v>
      </c>
      <c r="D67" s="547" t="s">
        <v>1042</v>
      </c>
      <c r="E67" s="548" t="s">
        <v>1275</v>
      </c>
      <c r="F67" s="548" t="s">
        <v>1274</v>
      </c>
      <c r="G67" s="546" t="s">
        <v>1276</v>
      </c>
      <c r="H67" s="49" t="s">
        <v>990</v>
      </c>
      <c r="I67" s="49" t="s">
        <v>991</v>
      </c>
      <c r="J67" t="s">
        <v>1010</v>
      </c>
      <c r="K67" s="549">
        <v>8350</v>
      </c>
    </row>
    <row r="68" spans="1:11" ht="16.5" x14ac:dyDescent="0.3">
      <c r="A68">
        <f t="shared" ref="A68:A131" si="1">A67+1</f>
        <v>67</v>
      </c>
      <c r="B68" s="546" t="s">
        <v>1277</v>
      </c>
      <c r="C68" s="546" t="s">
        <v>1278</v>
      </c>
      <c r="D68" s="547" t="s">
        <v>1124</v>
      </c>
      <c r="E68" s="548" t="s">
        <v>1279</v>
      </c>
      <c r="F68" s="548" t="s">
        <v>1278</v>
      </c>
      <c r="G68" s="546" t="s">
        <v>1280</v>
      </c>
      <c r="H68" s="49" t="s">
        <v>990</v>
      </c>
      <c r="I68" s="49" t="s">
        <v>991</v>
      </c>
      <c r="J68" t="s">
        <v>992</v>
      </c>
      <c r="K68" s="549">
        <v>7822</v>
      </c>
    </row>
    <row r="69" spans="1:11" ht="16.5" x14ac:dyDescent="0.3">
      <c r="A69">
        <f t="shared" si="1"/>
        <v>68</v>
      </c>
      <c r="B69" s="546" t="s">
        <v>1281</v>
      </c>
      <c r="C69" s="546" t="s">
        <v>1282</v>
      </c>
      <c r="D69" s="547" t="s">
        <v>1002</v>
      </c>
      <c r="E69" s="548" t="s">
        <v>1283</v>
      </c>
      <c r="F69" s="548" t="s">
        <v>1284</v>
      </c>
      <c r="G69" s="546" t="s">
        <v>1284</v>
      </c>
      <c r="H69" s="49" t="s">
        <v>1016</v>
      </c>
      <c r="I69" s="49" t="s">
        <v>991</v>
      </c>
      <c r="J69" t="s">
        <v>992</v>
      </c>
      <c r="K69" s="549">
        <v>1076</v>
      </c>
    </row>
    <row r="70" spans="1:11" ht="16.5" x14ac:dyDescent="0.3">
      <c r="A70">
        <f t="shared" si="1"/>
        <v>69</v>
      </c>
      <c r="B70" s="546" t="s">
        <v>1285</v>
      </c>
      <c r="C70" s="546" t="s">
        <v>1286</v>
      </c>
      <c r="D70" s="547" t="s">
        <v>1065</v>
      </c>
      <c r="E70" s="548" t="s">
        <v>1287</v>
      </c>
      <c r="F70" s="548" t="s">
        <v>1065</v>
      </c>
      <c r="G70" s="546" t="s">
        <v>1065</v>
      </c>
      <c r="H70" s="49" t="s">
        <v>998</v>
      </c>
      <c r="I70" s="49" t="s">
        <v>991</v>
      </c>
      <c r="J70" t="s">
        <v>999</v>
      </c>
      <c r="K70" s="549">
        <v>77344</v>
      </c>
    </row>
    <row r="71" spans="1:11" ht="16.5" x14ac:dyDescent="0.3">
      <c r="A71">
        <f t="shared" si="1"/>
        <v>70</v>
      </c>
      <c r="B71" s="546" t="s">
        <v>1288</v>
      </c>
      <c r="C71" s="546" t="s">
        <v>1289</v>
      </c>
      <c r="D71" s="547" t="s">
        <v>1074</v>
      </c>
      <c r="E71" s="548" t="s">
        <v>1290</v>
      </c>
      <c r="F71" s="548" t="s">
        <v>1074</v>
      </c>
      <c r="G71" s="546" t="s">
        <v>1074</v>
      </c>
      <c r="H71" s="49" t="s">
        <v>998</v>
      </c>
      <c r="I71" s="49" t="s">
        <v>991</v>
      </c>
      <c r="J71" t="s">
        <v>1053</v>
      </c>
      <c r="K71" s="549">
        <v>3607</v>
      </c>
    </row>
    <row r="72" spans="1:11" ht="16.5" x14ac:dyDescent="0.3">
      <c r="A72">
        <f t="shared" si="1"/>
        <v>71</v>
      </c>
      <c r="B72" s="546" t="s">
        <v>1291</v>
      </c>
      <c r="C72" s="546" t="s">
        <v>1292</v>
      </c>
      <c r="D72" s="547" t="s">
        <v>1074</v>
      </c>
      <c r="E72" s="548" t="s">
        <v>1293</v>
      </c>
      <c r="F72" s="548" t="s">
        <v>1294</v>
      </c>
      <c r="G72" s="546" t="s">
        <v>1294</v>
      </c>
      <c r="H72" s="49" t="s">
        <v>1016</v>
      </c>
      <c r="I72" s="49" t="s">
        <v>1021</v>
      </c>
      <c r="J72" t="s">
        <v>1022</v>
      </c>
      <c r="K72" s="549">
        <v>291</v>
      </c>
    </row>
    <row r="73" spans="1:11" ht="16.5" x14ac:dyDescent="0.3">
      <c r="A73">
        <f t="shared" si="1"/>
        <v>72</v>
      </c>
      <c r="B73" s="546" t="s">
        <v>1295</v>
      </c>
      <c r="C73" s="546" t="s">
        <v>1296</v>
      </c>
      <c r="D73" s="547" t="s">
        <v>1013</v>
      </c>
      <c r="E73" s="548" t="s">
        <v>1297</v>
      </c>
      <c r="F73" s="548" t="s">
        <v>1298</v>
      </c>
      <c r="G73" s="546" t="s">
        <v>1298</v>
      </c>
      <c r="H73" s="49" t="s">
        <v>1016</v>
      </c>
      <c r="I73" s="49" t="s">
        <v>991</v>
      </c>
      <c r="J73" t="s">
        <v>992</v>
      </c>
      <c r="K73" s="549">
        <v>6127</v>
      </c>
    </row>
    <row r="74" spans="1:11" ht="16.5" x14ac:dyDescent="0.3">
      <c r="A74">
        <f t="shared" si="1"/>
        <v>73</v>
      </c>
      <c r="B74" s="546" t="s">
        <v>1299</v>
      </c>
      <c r="C74" s="546" t="s">
        <v>1300</v>
      </c>
      <c r="D74" s="547" t="s">
        <v>1029</v>
      </c>
      <c r="E74" s="548" t="s">
        <v>1301</v>
      </c>
      <c r="F74" s="548" t="s">
        <v>1300</v>
      </c>
      <c r="G74" s="546" t="s">
        <v>1302</v>
      </c>
      <c r="H74" s="49" t="s">
        <v>990</v>
      </c>
      <c r="I74" s="49" t="s">
        <v>1004</v>
      </c>
      <c r="J74" t="s">
        <v>1048</v>
      </c>
      <c r="K74" s="549">
        <v>8049</v>
      </c>
    </row>
    <row r="75" spans="1:11" ht="16.5" x14ac:dyDescent="0.3">
      <c r="A75">
        <f t="shared" si="1"/>
        <v>74</v>
      </c>
      <c r="B75" s="546" t="s">
        <v>1303</v>
      </c>
      <c r="C75" s="546" t="s">
        <v>1304</v>
      </c>
      <c r="D75" s="547" t="s">
        <v>1305</v>
      </c>
      <c r="E75" s="548" t="s">
        <v>1306</v>
      </c>
      <c r="F75" s="548" t="s">
        <v>1307</v>
      </c>
      <c r="G75" s="546" t="s">
        <v>1307</v>
      </c>
      <c r="H75" s="49" t="s">
        <v>1016</v>
      </c>
      <c r="I75" s="49" t="s">
        <v>991</v>
      </c>
      <c r="J75" t="s">
        <v>992</v>
      </c>
      <c r="K75" s="549">
        <v>22844</v>
      </c>
    </row>
    <row r="76" spans="1:11" ht="16.5" x14ac:dyDescent="0.3">
      <c r="A76">
        <f t="shared" si="1"/>
        <v>75</v>
      </c>
      <c r="B76" s="546" t="s">
        <v>1308</v>
      </c>
      <c r="C76" s="546" t="s">
        <v>1309</v>
      </c>
      <c r="D76" s="547" t="s">
        <v>1124</v>
      </c>
      <c r="E76" s="548" t="s">
        <v>1310</v>
      </c>
      <c r="F76" s="548" t="s">
        <v>1309</v>
      </c>
      <c r="G76" s="546" t="s">
        <v>1311</v>
      </c>
      <c r="H76" s="49" t="s">
        <v>990</v>
      </c>
      <c r="I76" s="49" t="s">
        <v>991</v>
      </c>
      <c r="J76" t="s">
        <v>1053</v>
      </c>
      <c r="K76" s="549">
        <v>12411</v>
      </c>
    </row>
    <row r="77" spans="1:11" ht="16.5" x14ac:dyDescent="0.3">
      <c r="A77">
        <f t="shared" si="1"/>
        <v>76</v>
      </c>
      <c r="B77" s="546" t="s">
        <v>1312</v>
      </c>
      <c r="C77" s="546" t="s">
        <v>1313</v>
      </c>
      <c r="D77" s="547" t="s">
        <v>1199</v>
      </c>
      <c r="E77" s="548" t="s">
        <v>1314</v>
      </c>
      <c r="F77" s="548" t="s">
        <v>1315</v>
      </c>
      <c r="G77" s="546" t="s">
        <v>1315</v>
      </c>
      <c r="H77" s="49" t="s">
        <v>1016</v>
      </c>
      <c r="I77" s="49" t="s">
        <v>991</v>
      </c>
      <c r="J77" t="s">
        <v>992</v>
      </c>
      <c r="K77" s="549">
        <v>8962</v>
      </c>
    </row>
    <row r="78" spans="1:11" ht="16.5" x14ac:dyDescent="0.3">
      <c r="A78">
        <f t="shared" si="1"/>
        <v>77</v>
      </c>
      <c r="B78" s="546" t="s">
        <v>1316</v>
      </c>
      <c r="C78" s="546" t="s">
        <v>1317</v>
      </c>
      <c r="D78" s="547" t="s">
        <v>1199</v>
      </c>
      <c r="E78" s="548" t="s">
        <v>1318</v>
      </c>
      <c r="F78" s="548" t="s">
        <v>1317</v>
      </c>
      <c r="G78" s="546" t="s">
        <v>1315</v>
      </c>
      <c r="H78" s="49" t="s">
        <v>990</v>
      </c>
      <c r="I78" s="49" t="s">
        <v>1004</v>
      </c>
      <c r="J78" t="s">
        <v>1048</v>
      </c>
      <c r="K78" s="549">
        <v>10452</v>
      </c>
    </row>
    <row r="79" spans="1:11" ht="16.5" x14ac:dyDescent="0.3">
      <c r="A79">
        <f t="shared" si="1"/>
        <v>78</v>
      </c>
      <c r="B79" s="546" t="s">
        <v>1319</v>
      </c>
      <c r="C79" s="546" t="s">
        <v>1320</v>
      </c>
      <c r="D79" s="547" t="s">
        <v>1065</v>
      </c>
      <c r="E79" s="548" t="s">
        <v>1321</v>
      </c>
      <c r="F79" s="548" t="s">
        <v>1320</v>
      </c>
      <c r="G79" s="546" t="s">
        <v>1322</v>
      </c>
      <c r="H79" s="49" t="s">
        <v>990</v>
      </c>
      <c r="I79" s="49" t="s">
        <v>991</v>
      </c>
      <c r="J79" t="s">
        <v>999</v>
      </c>
      <c r="K79" s="549">
        <v>71045</v>
      </c>
    </row>
    <row r="80" spans="1:11" ht="16.5" x14ac:dyDescent="0.3">
      <c r="A80">
        <f t="shared" si="1"/>
        <v>79</v>
      </c>
      <c r="B80" s="546" t="s">
        <v>1323</v>
      </c>
      <c r="C80" s="546" t="s">
        <v>1324</v>
      </c>
      <c r="D80" s="547" t="s">
        <v>1065</v>
      </c>
      <c r="E80" s="548" t="s">
        <v>1325</v>
      </c>
      <c r="F80" s="548" t="s">
        <v>1326</v>
      </c>
      <c r="G80" s="546" t="s">
        <v>1326</v>
      </c>
      <c r="H80" s="49" t="s">
        <v>1016</v>
      </c>
      <c r="I80" s="49" t="s">
        <v>991</v>
      </c>
      <c r="J80" t="s">
        <v>992</v>
      </c>
      <c r="K80" s="549">
        <v>1634</v>
      </c>
    </row>
    <row r="81" spans="1:11" ht="16.5" x14ac:dyDescent="0.3">
      <c r="A81">
        <f t="shared" si="1"/>
        <v>80</v>
      </c>
      <c r="B81" s="546" t="s">
        <v>1327</v>
      </c>
      <c r="C81" s="546" t="s">
        <v>1328</v>
      </c>
      <c r="D81" s="547" t="s">
        <v>1199</v>
      </c>
      <c r="E81" s="548" t="s">
        <v>1329</v>
      </c>
      <c r="F81" s="548" t="s">
        <v>1330</v>
      </c>
      <c r="G81" s="546" t="s">
        <v>1330</v>
      </c>
      <c r="H81" s="49" t="s">
        <v>1016</v>
      </c>
      <c r="I81" s="49" t="s">
        <v>991</v>
      </c>
      <c r="J81" t="s">
        <v>992</v>
      </c>
      <c r="K81" s="549">
        <v>1649</v>
      </c>
    </row>
    <row r="82" spans="1:11" ht="16.5" x14ac:dyDescent="0.3">
      <c r="A82">
        <f t="shared" si="1"/>
        <v>81</v>
      </c>
      <c r="B82" s="546" t="s">
        <v>1331</v>
      </c>
      <c r="C82" s="546" t="s">
        <v>1332</v>
      </c>
      <c r="D82" s="547" t="s">
        <v>1199</v>
      </c>
      <c r="E82" s="548" t="s">
        <v>1333</v>
      </c>
      <c r="F82" s="548" t="s">
        <v>1332</v>
      </c>
      <c r="G82" s="546" t="s">
        <v>1330</v>
      </c>
      <c r="H82" s="49" t="s">
        <v>990</v>
      </c>
      <c r="I82" s="49" t="s">
        <v>991</v>
      </c>
      <c r="J82" t="s">
        <v>1010</v>
      </c>
      <c r="K82" s="549">
        <v>7838</v>
      </c>
    </row>
    <row r="83" spans="1:11" ht="16.5" x14ac:dyDescent="0.3">
      <c r="A83">
        <f t="shared" si="1"/>
        <v>82</v>
      </c>
      <c r="B83" s="546" t="s">
        <v>1334</v>
      </c>
      <c r="C83" s="546" t="s">
        <v>1335</v>
      </c>
      <c r="D83" s="547" t="s">
        <v>1097</v>
      </c>
      <c r="E83" s="548" t="s">
        <v>1336</v>
      </c>
      <c r="F83" s="548" t="s">
        <v>1335</v>
      </c>
      <c r="G83" s="546" t="s">
        <v>1337</v>
      </c>
      <c r="H83" s="49" t="s">
        <v>990</v>
      </c>
      <c r="I83" s="49" t="s">
        <v>1004</v>
      </c>
      <c r="J83" t="s">
        <v>1005</v>
      </c>
      <c r="K83" s="549">
        <v>7699</v>
      </c>
    </row>
    <row r="84" spans="1:11" ht="16.5" x14ac:dyDescent="0.3">
      <c r="A84">
        <f t="shared" si="1"/>
        <v>83</v>
      </c>
      <c r="B84" s="546" t="s">
        <v>1338</v>
      </c>
      <c r="C84" s="546" t="s">
        <v>1339</v>
      </c>
      <c r="D84" s="547" t="s">
        <v>1097</v>
      </c>
      <c r="E84" s="548" t="s">
        <v>1340</v>
      </c>
      <c r="F84" s="548" t="s">
        <v>1339</v>
      </c>
      <c r="G84" s="546" t="s">
        <v>1341</v>
      </c>
      <c r="H84" s="49" t="s">
        <v>990</v>
      </c>
      <c r="I84" s="49" t="s">
        <v>1004</v>
      </c>
      <c r="J84" t="s">
        <v>1048</v>
      </c>
      <c r="K84" s="549">
        <v>15569</v>
      </c>
    </row>
    <row r="85" spans="1:11" ht="16.5" x14ac:dyDescent="0.3">
      <c r="A85">
        <f t="shared" si="1"/>
        <v>84</v>
      </c>
      <c r="B85" s="546" t="s">
        <v>1342</v>
      </c>
      <c r="C85" s="546" t="s">
        <v>1343</v>
      </c>
      <c r="D85" s="547" t="s">
        <v>1146</v>
      </c>
      <c r="E85" s="548" t="s">
        <v>1344</v>
      </c>
      <c r="F85" s="548" t="s">
        <v>1343</v>
      </c>
      <c r="G85" s="546" t="s">
        <v>1345</v>
      </c>
      <c r="H85" s="49" t="s">
        <v>990</v>
      </c>
      <c r="I85" s="49" t="s">
        <v>991</v>
      </c>
      <c r="J85" t="s">
        <v>992</v>
      </c>
      <c r="K85" s="549">
        <v>14756</v>
      </c>
    </row>
    <row r="86" spans="1:11" ht="16.5" x14ac:dyDescent="0.3">
      <c r="A86">
        <f t="shared" si="1"/>
        <v>85</v>
      </c>
      <c r="B86" s="546" t="s">
        <v>1346</v>
      </c>
      <c r="C86" s="546" t="s">
        <v>1347</v>
      </c>
      <c r="D86" s="547" t="s">
        <v>1348</v>
      </c>
      <c r="E86" s="548" t="s">
        <v>1349</v>
      </c>
      <c r="F86" s="548" t="s">
        <v>1350</v>
      </c>
      <c r="G86" s="546" t="s">
        <v>1350</v>
      </c>
      <c r="H86" s="49" t="s">
        <v>1016</v>
      </c>
      <c r="I86" s="49" t="s">
        <v>991</v>
      </c>
      <c r="J86" t="s">
        <v>992</v>
      </c>
      <c r="K86" s="549">
        <v>8179</v>
      </c>
    </row>
    <row r="87" spans="1:11" ht="16.5" x14ac:dyDescent="0.3">
      <c r="A87">
        <f t="shared" si="1"/>
        <v>86</v>
      </c>
      <c r="B87" s="546" t="s">
        <v>1351</v>
      </c>
      <c r="C87" s="546" t="s">
        <v>1352</v>
      </c>
      <c r="D87" s="547" t="s">
        <v>1065</v>
      </c>
      <c r="E87" s="548" t="s">
        <v>1353</v>
      </c>
      <c r="F87" s="548" t="s">
        <v>1354</v>
      </c>
      <c r="G87" s="546" t="s">
        <v>1354</v>
      </c>
      <c r="H87" s="49" t="s">
        <v>1016</v>
      </c>
      <c r="I87" s="49" t="s">
        <v>991</v>
      </c>
      <c r="J87" t="s">
        <v>992</v>
      </c>
      <c r="K87" s="549">
        <v>5000</v>
      </c>
    </row>
    <row r="88" spans="1:11" ht="16.5" x14ac:dyDescent="0.3">
      <c r="A88">
        <f t="shared" si="1"/>
        <v>87</v>
      </c>
      <c r="B88" s="546" t="s">
        <v>1355</v>
      </c>
      <c r="C88" s="546" t="s">
        <v>1356</v>
      </c>
      <c r="D88" s="547" t="s">
        <v>1013</v>
      </c>
      <c r="E88" s="548" t="s">
        <v>1357</v>
      </c>
      <c r="F88" s="548" t="s">
        <v>1358</v>
      </c>
      <c r="G88" s="546" t="s">
        <v>1358</v>
      </c>
      <c r="H88" s="49" t="s">
        <v>1016</v>
      </c>
      <c r="I88" s="49" t="s">
        <v>991</v>
      </c>
      <c r="J88" t="s">
        <v>992</v>
      </c>
      <c r="K88" s="549">
        <v>23594</v>
      </c>
    </row>
    <row r="89" spans="1:11" ht="16.5" x14ac:dyDescent="0.3">
      <c r="A89">
        <f t="shared" si="1"/>
        <v>88</v>
      </c>
      <c r="B89" s="546" t="s">
        <v>1359</v>
      </c>
      <c r="C89" s="546" t="s">
        <v>1360</v>
      </c>
      <c r="D89" s="547" t="s">
        <v>1186</v>
      </c>
      <c r="E89" s="548" t="s">
        <v>1361</v>
      </c>
      <c r="F89" s="548" t="s">
        <v>1362</v>
      </c>
      <c r="G89" s="546" t="s">
        <v>1362</v>
      </c>
      <c r="H89" s="49" t="s">
        <v>998</v>
      </c>
      <c r="I89" s="49" t="s">
        <v>991</v>
      </c>
      <c r="J89" t="s">
        <v>1127</v>
      </c>
      <c r="K89" s="549">
        <v>84136</v>
      </c>
    </row>
    <row r="90" spans="1:11" ht="16.5" x14ac:dyDescent="0.3">
      <c r="A90">
        <f t="shared" si="1"/>
        <v>89</v>
      </c>
      <c r="B90" s="546" t="s">
        <v>1363</v>
      </c>
      <c r="C90" s="546" t="s">
        <v>1364</v>
      </c>
      <c r="D90" s="547" t="s">
        <v>1002</v>
      </c>
      <c r="E90" s="548" t="s">
        <v>1365</v>
      </c>
      <c r="F90" s="548" t="s">
        <v>1366</v>
      </c>
      <c r="G90" s="546" t="s">
        <v>1366</v>
      </c>
      <c r="H90" s="49" t="s">
        <v>978</v>
      </c>
      <c r="I90" s="49" t="s">
        <v>991</v>
      </c>
      <c r="J90" t="s">
        <v>992</v>
      </c>
      <c r="K90" s="549">
        <v>2719</v>
      </c>
    </row>
    <row r="91" spans="1:11" ht="16.5" x14ac:dyDescent="0.3">
      <c r="A91">
        <f t="shared" si="1"/>
        <v>90</v>
      </c>
      <c r="B91" s="546" t="s">
        <v>1367</v>
      </c>
      <c r="C91" s="546" t="s">
        <v>1368</v>
      </c>
      <c r="D91" s="547" t="s">
        <v>1002</v>
      </c>
      <c r="E91" s="548" t="s">
        <v>1369</v>
      </c>
      <c r="F91" s="548" t="s">
        <v>1368</v>
      </c>
      <c r="G91" s="546" t="s">
        <v>1366</v>
      </c>
      <c r="H91" s="49" t="s">
        <v>990</v>
      </c>
      <c r="I91" s="49" t="s">
        <v>991</v>
      </c>
      <c r="J91" t="s">
        <v>1010</v>
      </c>
      <c r="K91" s="549">
        <v>13478</v>
      </c>
    </row>
    <row r="92" spans="1:11" ht="16.5" x14ac:dyDescent="0.3">
      <c r="A92">
        <f t="shared" si="1"/>
        <v>91</v>
      </c>
      <c r="B92" s="546" t="s">
        <v>1370</v>
      </c>
      <c r="C92" s="546" t="s">
        <v>1371</v>
      </c>
      <c r="D92" s="547" t="s">
        <v>1013</v>
      </c>
      <c r="E92" s="548" t="s">
        <v>1372</v>
      </c>
      <c r="F92" s="548" t="s">
        <v>1373</v>
      </c>
      <c r="G92" s="546" t="s">
        <v>1373</v>
      </c>
      <c r="H92" s="49" t="s">
        <v>1016</v>
      </c>
      <c r="I92" s="49" t="s">
        <v>991</v>
      </c>
      <c r="J92" t="s">
        <v>992</v>
      </c>
      <c r="K92" s="549">
        <v>8373</v>
      </c>
    </row>
    <row r="93" spans="1:11" ht="16.5" x14ac:dyDescent="0.3">
      <c r="A93">
        <f t="shared" si="1"/>
        <v>92</v>
      </c>
      <c r="B93" s="546" t="s">
        <v>1374</v>
      </c>
      <c r="C93" s="546" t="s">
        <v>1375</v>
      </c>
      <c r="D93" s="547" t="s">
        <v>1065</v>
      </c>
      <c r="E93" s="548" t="s">
        <v>1376</v>
      </c>
      <c r="F93" s="548" t="s">
        <v>1377</v>
      </c>
      <c r="G93" s="546" t="s">
        <v>1377</v>
      </c>
      <c r="H93" s="49" t="s">
        <v>1016</v>
      </c>
      <c r="I93" s="49" t="s">
        <v>1021</v>
      </c>
      <c r="J93" t="s">
        <v>1022</v>
      </c>
      <c r="K93" s="549">
        <v>13926</v>
      </c>
    </row>
    <row r="94" spans="1:11" ht="16.5" x14ac:dyDescent="0.3">
      <c r="A94">
        <f t="shared" si="1"/>
        <v>93</v>
      </c>
      <c r="B94" s="546" t="s">
        <v>1378</v>
      </c>
      <c r="C94" s="546" t="s">
        <v>1379</v>
      </c>
      <c r="D94" s="547" t="s">
        <v>987</v>
      </c>
      <c r="E94" s="548" t="s">
        <v>1380</v>
      </c>
      <c r="F94" s="548" t="s">
        <v>1379</v>
      </c>
      <c r="G94" s="546" t="s">
        <v>1381</v>
      </c>
      <c r="H94" s="49" t="s">
        <v>990</v>
      </c>
      <c r="I94" s="49" t="s">
        <v>1004</v>
      </c>
      <c r="J94" t="s">
        <v>1048</v>
      </c>
      <c r="K94" s="549">
        <v>10142</v>
      </c>
    </row>
    <row r="95" spans="1:11" ht="16.5" x14ac:dyDescent="0.3">
      <c r="A95">
        <f t="shared" si="1"/>
        <v>94</v>
      </c>
      <c r="B95" s="546" t="s">
        <v>1382</v>
      </c>
      <c r="C95" s="546" t="s">
        <v>1383</v>
      </c>
      <c r="D95" s="547" t="s">
        <v>1236</v>
      </c>
      <c r="E95" s="548" t="s">
        <v>1384</v>
      </c>
      <c r="F95" s="548" t="s">
        <v>1383</v>
      </c>
      <c r="G95" s="546" t="s">
        <v>1385</v>
      </c>
      <c r="H95" s="49" t="s">
        <v>990</v>
      </c>
      <c r="I95" s="49" t="s">
        <v>1004</v>
      </c>
      <c r="J95" t="s">
        <v>1005</v>
      </c>
      <c r="K95" s="549">
        <v>5178</v>
      </c>
    </row>
    <row r="96" spans="1:11" ht="16.5" x14ac:dyDescent="0.3">
      <c r="A96">
        <f t="shared" si="1"/>
        <v>95</v>
      </c>
      <c r="B96" s="546" t="s">
        <v>1386</v>
      </c>
      <c r="C96" s="546" t="s">
        <v>1387</v>
      </c>
      <c r="D96" s="547" t="s">
        <v>995</v>
      </c>
      <c r="E96" s="548" t="s">
        <v>1388</v>
      </c>
      <c r="F96" s="548" t="s">
        <v>1387</v>
      </c>
      <c r="G96" s="546" t="s">
        <v>1387</v>
      </c>
      <c r="H96" s="49" t="s">
        <v>998</v>
      </c>
      <c r="I96" s="49" t="s">
        <v>991</v>
      </c>
      <c r="J96" t="s">
        <v>1389</v>
      </c>
      <c r="K96" s="549">
        <v>492</v>
      </c>
    </row>
    <row r="97" spans="1:11" ht="16.5" x14ac:dyDescent="0.3">
      <c r="A97">
        <f t="shared" si="1"/>
        <v>96</v>
      </c>
      <c r="B97" s="546" t="s">
        <v>1390</v>
      </c>
      <c r="C97" s="546" t="s">
        <v>1391</v>
      </c>
      <c r="D97" s="547" t="s">
        <v>1305</v>
      </c>
      <c r="E97" s="548" t="s">
        <v>1392</v>
      </c>
      <c r="F97" s="548" t="s">
        <v>1391</v>
      </c>
      <c r="G97" s="546" t="s">
        <v>1393</v>
      </c>
      <c r="H97" s="49" t="s">
        <v>990</v>
      </c>
      <c r="I97" s="49" t="s">
        <v>1004</v>
      </c>
      <c r="J97" t="s">
        <v>1048</v>
      </c>
      <c r="K97" s="549">
        <v>3857</v>
      </c>
    </row>
    <row r="98" spans="1:11" ht="16.5" x14ac:dyDescent="0.3">
      <c r="A98">
        <f t="shared" si="1"/>
        <v>97</v>
      </c>
      <c r="B98" s="546" t="s">
        <v>1394</v>
      </c>
      <c r="C98" s="546" t="s">
        <v>1395</v>
      </c>
      <c r="D98" s="547" t="s">
        <v>1146</v>
      </c>
      <c r="E98" s="548" t="s">
        <v>1396</v>
      </c>
      <c r="F98" s="548" t="s">
        <v>1395</v>
      </c>
      <c r="G98" s="546" t="s">
        <v>1397</v>
      </c>
      <c r="H98" s="49" t="s">
        <v>990</v>
      </c>
      <c r="I98" s="49" t="s">
        <v>1004</v>
      </c>
      <c r="J98" t="s">
        <v>1048</v>
      </c>
      <c r="K98" s="549">
        <v>22625</v>
      </c>
    </row>
    <row r="99" spans="1:11" ht="16.5" x14ac:dyDescent="0.3">
      <c r="A99">
        <f t="shared" si="1"/>
        <v>98</v>
      </c>
      <c r="B99" s="546" t="s">
        <v>1398</v>
      </c>
      <c r="C99" s="546" t="s">
        <v>1399</v>
      </c>
      <c r="D99" s="547" t="s">
        <v>1013</v>
      </c>
      <c r="E99" s="548" t="s">
        <v>1400</v>
      </c>
      <c r="F99" s="548" t="s">
        <v>1401</v>
      </c>
      <c r="G99" s="546" t="s">
        <v>1401</v>
      </c>
      <c r="H99" s="49" t="s">
        <v>1016</v>
      </c>
      <c r="I99" s="49" t="s">
        <v>991</v>
      </c>
      <c r="J99" t="s">
        <v>992</v>
      </c>
      <c r="K99" s="549">
        <v>8573</v>
      </c>
    </row>
    <row r="100" spans="1:11" ht="16.5" x14ac:dyDescent="0.3">
      <c r="A100">
        <f t="shared" si="1"/>
        <v>99</v>
      </c>
      <c r="B100" s="546" t="s">
        <v>1402</v>
      </c>
      <c r="C100" s="546" t="s">
        <v>1403</v>
      </c>
      <c r="D100" s="547" t="s">
        <v>987</v>
      </c>
      <c r="E100" s="548" t="s">
        <v>1404</v>
      </c>
      <c r="F100" s="548" t="s">
        <v>1405</v>
      </c>
      <c r="G100" s="546" t="s">
        <v>1405</v>
      </c>
      <c r="H100" s="49" t="s">
        <v>1016</v>
      </c>
      <c r="I100" s="49" t="s">
        <v>1021</v>
      </c>
      <c r="J100" t="s">
        <v>1022</v>
      </c>
      <c r="K100" s="549">
        <v>750</v>
      </c>
    </row>
    <row r="101" spans="1:11" ht="16.5" x14ac:dyDescent="0.3">
      <c r="A101">
        <f t="shared" si="1"/>
        <v>100</v>
      </c>
      <c r="B101" s="546" t="s">
        <v>1406</v>
      </c>
      <c r="C101" s="546" t="s">
        <v>1407</v>
      </c>
      <c r="D101" s="547" t="s">
        <v>1236</v>
      </c>
      <c r="E101" s="548" t="s">
        <v>1408</v>
      </c>
      <c r="F101" s="548" t="s">
        <v>1407</v>
      </c>
      <c r="G101" s="546" t="s">
        <v>1409</v>
      </c>
      <c r="H101" s="49" t="s">
        <v>990</v>
      </c>
      <c r="I101" s="49" t="s">
        <v>1004</v>
      </c>
      <c r="J101" t="s">
        <v>1048</v>
      </c>
      <c r="K101" s="549">
        <v>3119</v>
      </c>
    </row>
    <row r="102" spans="1:11" ht="16.5" x14ac:dyDescent="0.3">
      <c r="A102">
        <f t="shared" si="1"/>
        <v>101</v>
      </c>
      <c r="B102" s="546" t="s">
        <v>1410</v>
      </c>
      <c r="C102" s="546" t="s">
        <v>1411</v>
      </c>
      <c r="D102" s="547" t="s">
        <v>1097</v>
      </c>
      <c r="E102" s="548" t="s">
        <v>1412</v>
      </c>
      <c r="F102" s="548" t="s">
        <v>1411</v>
      </c>
      <c r="G102" s="546" t="s">
        <v>1413</v>
      </c>
      <c r="H102" s="49" t="s">
        <v>990</v>
      </c>
      <c r="I102" s="49" t="s">
        <v>1004</v>
      </c>
      <c r="J102" t="s">
        <v>1048</v>
      </c>
      <c r="K102" s="549">
        <v>4283</v>
      </c>
    </row>
    <row r="103" spans="1:11" ht="16.5" x14ac:dyDescent="0.3">
      <c r="A103">
        <f t="shared" si="1"/>
        <v>102</v>
      </c>
      <c r="B103" s="546" t="s">
        <v>1414</v>
      </c>
      <c r="C103" s="546" t="s">
        <v>1415</v>
      </c>
      <c r="D103" s="547" t="s">
        <v>1002</v>
      </c>
      <c r="E103" s="548" t="s">
        <v>1416</v>
      </c>
      <c r="F103" s="548" t="s">
        <v>1415</v>
      </c>
      <c r="G103" s="546" t="s">
        <v>1417</v>
      </c>
      <c r="H103" s="49" t="s">
        <v>990</v>
      </c>
      <c r="I103" s="49" t="s">
        <v>1004</v>
      </c>
      <c r="J103" t="s">
        <v>1048</v>
      </c>
      <c r="K103" s="549">
        <v>4563</v>
      </c>
    </row>
    <row r="104" spans="1:11" ht="16.5" x14ac:dyDescent="0.3">
      <c r="A104">
        <f t="shared" si="1"/>
        <v>103</v>
      </c>
      <c r="B104" s="546" t="s">
        <v>1418</v>
      </c>
      <c r="C104" s="546" t="s">
        <v>1419</v>
      </c>
      <c r="D104" s="547" t="s">
        <v>1097</v>
      </c>
      <c r="E104" s="548" t="s">
        <v>1420</v>
      </c>
      <c r="F104" s="548" t="s">
        <v>1419</v>
      </c>
      <c r="G104" s="546" t="s">
        <v>1421</v>
      </c>
      <c r="H104" s="49" t="s">
        <v>990</v>
      </c>
      <c r="I104" s="49" t="s">
        <v>991</v>
      </c>
      <c r="J104" t="s">
        <v>1077</v>
      </c>
      <c r="K104" s="549">
        <v>16896</v>
      </c>
    </row>
    <row r="105" spans="1:11" ht="16.5" x14ac:dyDescent="0.3">
      <c r="A105">
        <f t="shared" si="1"/>
        <v>104</v>
      </c>
      <c r="B105" s="546" t="s">
        <v>1422</v>
      </c>
      <c r="C105" s="546" t="s">
        <v>1423</v>
      </c>
      <c r="D105" s="547" t="s">
        <v>1013</v>
      </c>
      <c r="E105" s="548" t="s">
        <v>1424</v>
      </c>
      <c r="F105" s="548" t="s">
        <v>1425</v>
      </c>
      <c r="G105" s="546" t="s">
        <v>1425</v>
      </c>
      <c r="H105" s="49" t="s">
        <v>1016</v>
      </c>
      <c r="I105" s="49" t="s">
        <v>991</v>
      </c>
      <c r="J105" t="s">
        <v>992</v>
      </c>
      <c r="K105" s="549">
        <v>4881</v>
      </c>
    </row>
    <row r="106" spans="1:11" ht="16.5" x14ac:dyDescent="0.3">
      <c r="A106">
        <f t="shared" si="1"/>
        <v>105</v>
      </c>
      <c r="B106" s="546" t="s">
        <v>1426</v>
      </c>
      <c r="C106" s="546" t="s">
        <v>1427</v>
      </c>
      <c r="D106" s="547" t="s">
        <v>1074</v>
      </c>
      <c r="E106" s="548" t="s">
        <v>1428</v>
      </c>
      <c r="F106" s="548" t="s">
        <v>1427</v>
      </c>
      <c r="G106" s="546" t="s">
        <v>1429</v>
      </c>
      <c r="H106" s="49" t="s">
        <v>990</v>
      </c>
      <c r="I106" s="49" t="s">
        <v>1004</v>
      </c>
      <c r="J106" t="s">
        <v>1048</v>
      </c>
      <c r="K106" s="549">
        <v>6467</v>
      </c>
    </row>
    <row r="107" spans="1:11" ht="16.5" x14ac:dyDescent="0.3">
      <c r="A107">
        <f t="shared" si="1"/>
        <v>106</v>
      </c>
      <c r="B107" s="546" t="s">
        <v>1430</v>
      </c>
      <c r="C107" s="546" t="s">
        <v>1431</v>
      </c>
      <c r="D107" s="547" t="s">
        <v>1199</v>
      </c>
      <c r="E107" s="548" t="s">
        <v>1432</v>
      </c>
      <c r="F107" s="548" t="s">
        <v>1431</v>
      </c>
      <c r="G107" s="546" t="s">
        <v>1433</v>
      </c>
      <c r="H107" s="49" t="s">
        <v>990</v>
      </c>
      <c r="I107" s="49" t="s">
        <v>991</v>
      </c>
      <c r="J107" t="s">
        <v>999</v>
      </c>
      <c r="K107" s="549">
        <v>16635</v>
      </c>
    </row>
    <row r="108" spans="1:11" ht="16.5" x14ac:dyDescent="0.3">
      <c r="A108">
        <f t="shared" si="1"/>
        <v>107</v>
      </c>
      <c r="B108" s="546" t="s">
        <v>1434</v>
      </c>
      <c r="C108" s="546" t="s">
        <v>1435</v>
      </c>
      <c r="D108" s="547" t="s">
        <v>1348</v>
      </c>
      <c r="E108" s="548" t="s">
        <v>1436</v>
      </c>
      <c r="F108" s="548" t="s">
        <v>1435</v>
      </c>
      <c r="G108" s="546" t="s">
        <v>1437</v>
      </c>
      <c r="H108" s="49" t="s">
        <v>990</v>
      </c>
      <c r="I108" s="49" t="s">
        <v>991</v>
      </c>
      <c r="J108" t="s">
        <v>1127</v>
      </c>
      <c r="K108" s="549">
        <v>30561</v>
      </c>
    </row>
    <row r="109" spans="1:11" ht="16.5" x14ac:dyDescent="0.3">
      <c r="A109">
        <f t="shared" si="1"/>
        <v>108</v>
      </c>
      <c r="B109" s="546" t="s">
        <v>1438</v>
      </c>
      <c r="C109" s="546" t="s">
        <v>1439</v>
      </c>
      <c r="D109" s="547" t="s">
        <v>1199</v>
      </c>
      <c r="E109" s="548" t="s">
        <v>1440</v>
      </c>
      <c r="F109" s="548" t="s">
        <v>1441</v>
      </c>
      <c r="G109" s="546" t="s">
        <v>1441</v>
      </c>
      <c r="H109" s="49" t="s">
        <v>978</v>
      </c>
      <c r="I109" s="49" t="s">
        <v>1202</v>
      </c>
      <c r="J109" t="s">
        <v>1203</v>
      </c>
      <c r="K109" s="549">
        <v>18157</v>
      </c>
    </row>
    <row r="110" spans="1:11" ht="16.5" x14ac:dyDescent="0.3">
      <c r="A110">
        <f t="shared" si="1"/>
        <v>109</v>
      </c>
      <c r="B110" s="546" t="s">
        <v>1442</v>
      </c>
      <c r="C110" s="546" t="s">
        <v>1443</v>
      </c>
      <c r="D110" s="547" t="s">
        <v>1236</v>
      </c>
      <c r="E110" s="548" t="s">
        <v>1444</v>
      </c>
      <c r="F110" s="548" t="s">
        <v>1443</v>
      </c>
      <c r="G110" s="546" t="s">
        <v>1445</v>
      </c>
      <c r="H110" s="49" t="s">
        <v>990</v>
      </c>
      <c r="I110" s="49" t="s">
        <v>1004</v>
      </c>
      <c r="J110" t="s">
        <v>1005</v>
      </c>
      <c r="K110" s="549">
        <v>1585</v>
      </c>
    </row>
    <row r="111" spans="1:11" ht="16.5" x14ac:dyDescent="0.3">
      <c r="A111">
        <f t="shared" si="1"/>
        <v>110</v>
      </c>
      <c r="B111" s="546" t="s">
        <v>1446</v>
      </c>
      <c r="C111" s="546" t="s">
        <v>1447</v>
      </c>
      <c r="D111" s="547" t="s">
        <v>1013</v>
      </c>
      <c r="E111" s="548" t="s">
        <v>1448</v>
      </c>
      <c r="F111" s="548" t="s">
        <v>1449</v>
      </c>
      <c r="G111" s="546" t="s">
        <v>1449</v>
      </c>
      <c r="H111" s="49" t="s">
        <v>1016</v>
      </c>
      <c r="I111" s="49" t="s">
        <v>991</v>
      </c>
      <c r="J111" t="s">
        <v>992</v>
      </c>
      <c r="K111" s="549">
        <v>17479</v>
      </c>
    </row>
    <row r="112" spans="1:11" ht="16.5" x14ac:dyDescent="0.3">
      <c r="A112">
        <f t="shared" si="1"/>
        <v>111</v>
      </c>
      <c r="B112" s="546" t="s">
        <v>1450</v>
      </c>
      <c r="C112" s="546" t="s">
        <v>1451</v>
      </c>
      <c r="D112" s="547" t="s">
        <v>1305</v>
      </c>
      <c r="E112" s="548" t="s">
        <v>1452</v>
      </c>
      <c r="F112" s="548" t="s">
        <v>1453</v>
      </c>
      <c r="G112" s="546" t="s">
        <v>1453</v>
      </c>
      <c r="H112" s="49" t="s">
        <v>1016</v>
      </c>
      <c r="I112" s="49" t="s">
        <v>991</v>
      </c>
      <c r="J112" t="s">
        <v>992</v>
      </c>
      <c r="K112" s="549">
        <v>7227</v>
      </c>
    </row>
    <row r="113" spans="1:11" ht="16.5" x14ac:dyDescent="0.3">
      <c r="A113">
        <f t="shared" si="1"/>
        <v>112</v>
      </c>
      <c r="B113" s="546" t="s">
        <v>1454</v>
      </c>
      <c r="C113" s="546" t="s">
        <v>1455</v>
      </c>
      <c r="D113" s="547" t="s">
        <v>1084</v>
      </c>
      <c r="E113" s="548" t="s">
        <v>1456</v>
      </c>
      <c r="F113" s="548" t="s">
        <v>1455</v>
      </c>
      <c r="G113" s="546" t="s">
        <v>1457</v>
      </c>
      <c r="H113" s="49" t="s">
        <v>990</v>
      </c>
      <c r="I113" s="49" t="s">
        <v>1004</v>
      </c>
      <c r="J113" t="s">
        <v>1005</v>
      </c>
      <c r="K113" s="549">
        <v>1603</v>
      </c>
    </row>
    <row r="114" spans="1:11" ht="16.5" x14ac:dyDescent="0.3">
      <c r="A114">
        <f t="shared" si="1"/>
        <v>113</v>
      </c>
      <c r="B114" s="546" t="s">
        <v>1458</v>
      </c>
      <c r="C114" s="546" t="s">
        <v>1459</v>
      </c>
      <c r="D114" s="547" t="s">
        <v>1002</v>
      </c>
      <c r="E114" s="548" t="s">
        <v>1460</v>
      </c>
      <c r="F114" s="548" t="s">
        <v>1459</v>
      </c>
      <c r="G114" s="546" t="s">
        <v>1461</v>
      </c>
      <c r="H114" s="49" t="s">
        <v>990</v>
      </c>
      <c r="I114" s="49" t="s">
        <v>1004</v>
      </c>
      <c r="J114" t="s">
        <v>1048</v>
      </c>
      <c r="K114" s="549">
        <v>4013</v>
      </c>
    </row>
    <row r="115" spans="1:11" ht="16.5" x14ac:dyDescent="0.3">
      <c r="A115">
        <f t="shared" si="1"/>
        <v>114</v>
      </c>
      <c r="B115" s="546" t="s">
        <v>1462</v>
      </c>
      <c r="C115" s="546" t="s">
        <v>1463</v>
      </c>
      <c r="D115" s="547" t="s">
        <v>1305</v>
      </c>
      <c r="E115" s="548" t="s">
        <v>1464</v>
      </c>
      <c r="F115" s="548" t="s">
        <v>1463</v>
      </c>
      <c r="G115" s="546" t="s">
        <v>1465</v>
      </c>
      <c r="H115" s="49" t="s">
        <v>990</v>
      </c>
      <c r="I115" s="49" t="s">
        <v>991</v>
      </c>
      <c r="J115" t="s">
        <v>1077</v>
      </c>
      <c r="K115" s="549">
        <v>47512</v>
      </c>
    </row>
    <row r="116" spans="1:11" ht="16.5" x14ac:dyDescent="0.3">
      <c r="A116">
        <f t="shared" si="1"/>
        <v>115</v>
      </c>
      <c r="B116" s="546" t="s">
        <v>1466</v>
      </c>
      <c r="C116" s="546" t="s">
        <v>1467</v>
      </c>
      <c r="D116" s="547" t="s">
        <v>1348</v>
      </c>
      <c r="E116" s="548" t="s">
        <v>1468</v>
      </c>
      <c r="F116" s="548" t="s">
        <v>1467</v>
      </c>
      <c r="G116" s="546" t="s">
        <v>1469</v>
      </c>
      <c r="H116" s="49" t="s">
        <v>990</v>
      </c>
      <c r="I116" s="49" t="s">
        <v>1004</v>
      </c>
      <c r="J116" t="s">
        <v>1048</v>
      </c>
      <c r="K116" s="549">
        <v>9555</v>
      </c>
    </row>
    <row r="117" spans="1:11" ht="16.5" x14ac:dyDescent="0.3">
      <c r="A117">
        <f t="shared" si="1"/>
        <v>116</v>
      </c>
      <c r="B117" s="546" t="s">
        <v>1470</v>
      </c>
      <c r="C117" s="546" t="s">
        <v>1471</v>
      </c>
      <c r="D117" s="547" t="s">
        <v>1199</v>
      </c>
      <c r="E117" s="548" t="s">
        <v>1472</v>
      </c>
      <c r="F117" s="548" t="s">
        <v>1471</v>
      </c>
      <c r="G117" s="546" t="s">
        <v>1473</v>
      </c>
      <c r="H117" s="49" t="s">
        <v>990</v>
      </c>
      <c r="I117" s="49" t="s">
        <v>991</v>
      </c>
      <c r="J117" t="s">
        <v>1010</v>
      </c>
      <c r="K117" s="549">
        <v>11157</v>
      </c>
    </row>
    <row r="118" spans="1:11" ht="16.5" x14ac:dyDescent="0.3">
      <c r="A118">
        <f t="shared" si="1"/>
        <v>117</v>
      </c>
      <c r="B118" s="546" t="s">
        <v>1474</v>
      </c>
      <c r="C118" s="546" t="s">
        <v>1475</v>
      </c>
      <c r="D118" s="547" t="s">
        <v>1106</v>
      </c>
      <c r="E118" s="548" t="s">
        <v>1476</v>
      </c>
      <c r="F118" s="548" t="s">
        <v>1477</v>
      </c>
      <c r="G118" s="546" t="s">
        <v>1477</v>
      </c>
      <c r="H118" s="49" t="s">
        <v>1016</v>
      </c>
      <c r="I118" s="49" t="s">
        <v>991</v>
      </c>
      <c r="J118" t="s">
        <v>992</v>
      </c>
      <c r="K118" s="549">
        <v>2406</v>
      </c>
    </row>
    <row r="119" spans="1:11" ht="16.5" x14ac:dyDescent="0.3">
      <c r="A119">
        <f t="shared" si="1"/>
        <v>118</v>
      </c>
      <c r="B119" s="546" t="s">
        <v>1478</v>
      </c>
      <c r="C119" s="546" t="s">
        <v>1479</v>
      </c>
      <c r="D119" s="547" t="s">
        <v>1124</v>
      </c>
      <c r="E119" s="548" t="s">
        <v>1480</v>
      </c>
      <c r="F119" s="548" t="s">
        <v>1481</v>
      </c>
      <c r="G119" s="546" t="s">
        <v>1481</v>
      </c>
      <c r="H119" s="49" t="s">
        <v>998</v>
      </c>
      <c r="I119" s="49" t="s">
        <v>991</v>
      </c>
      <c r="J119" t="s">
        <v>1482</v>
      </c>
      <c r="K119" s="549">
        <v>64270</v>
      </c>
    </row>
    <row r="120" spans="1:11" ht="16.5" x14ac:dyDescent="0.3">
      <c r="A120">
        <f t="shared" si="1"/>
        <v>119</v>
      </c>
      <c r="B120" s="546" t="s">
        <v>1483</v>
      </c>
      <c r="C120" s="546" t="s">
        <v>1484</v>
      </c>
      <c r="D120" s="547" t="s">
        <v>1013</v>
      </c>
      <c r="E120" s="548" t="s">
        <v>1485</v>
      </c>
      <c r="F120" s="548" t="s">
        <v>1486</v>
      </c>
      <c r="G120" s="546" t="s">
        <v>1486</v>
      </c>
      <c r="H120" s="49" t="s">
        <v>1016</v>
      </c>
      <c r="I120" s="49" t="s">
        <v>991</v>
      </c>
      <c r="J120" t="s">
        <v>992</v>
      </c>
      <c r="K120" s="549">
        <v>8913</v>
      </c>
    </row>
    <row r="121" spans="1:11" ht="16.5" x14ac:dyDescent="0.3">
      <c r="A121">
        <f t="shared" si="1"/>
        <v>120</v>
      </c>
      <c r="B121" s="546" t="s">
        <v>1487</v>
      </c>
      <c r="C121" s="546" t="s">
        <v>1488</v>
      </c>
      <c r="D121" s="547" t="s">
        <v>1489</v>
      </c>
      <c r="E121" s="548" t="s">
        <v>1490</v>
      </c>
      <c r="F121" s="548" t="s">
        <v>1488</v>
      </c>
      <c r="G121" s="546" t="s">
        <v>1491</v>
      </c>
      <c r="H121" s="49" t="s">
        <v>990</v>
      </c>
      <c r="I121" s="49" t="s">
        <v>991</v>
      </c>
      <c r="J121" t="s">
        <v>1127</v>
      </c>
      <c r="K121" s="549">
        <v>27190</v>
      </c>
    </row>
    <row r="122" spans="1:11" ht="16.5" x14ac:dyDescent="0.3">
      <c r="A122">
        <f t="shared" si="1"/>
        <v>121</v>
      </c>
      <c r="B122" s="546" t="s">
        <v>1492</v>
      </c>
      <c r="C122" s="546" t="s">
        <v>1493</v>
      </c>
      <c r="D122" s="547" t="s">
        <v>1097</v>
      </c>
      <c r="E122" s="548" t="s">
        <v>1494</v>
      </c>
      <c r="F122" s="548" t="s">
        <v>1493</v>
      </c>
      <c r="G122" s="546" t="s">
        <v>1495</v>
      </c>
      <c r="H122" s="49" t="s">
        <v>990</v>
      </c>
      <c r="I122" s="49" t="s">
        <v>991</v>
      </c>
      <c r="J122" t="s">
        <v>1053</v>
      </c>
      <c r="K122" s="549">
        <v>6069</v>
      </c>
    </row>
    <row r="123" spans="1:11" ht="16.5" x14ac:dyDescent="0.3">
      <c r="A123">
        <f t="shared" si="1"/>
        <v>122</v>
      </c>
      <c r="B123" s="546" t="s">
        <v>1496</v>
      </c>
      <c r="C123" s="546" t="s">
        <v>1497</v>
      </c>
      <c r="D123" s="547" t="s">
        <v>987</v>
      </c>
      <c r="E123" s="548" t="s">
        <v>1498</v>
      </c>
      <c r="F123" s="548" t="s">
        <v>1499</v>
      </c>
      <c r="G123" s="546" t="s">
        <v>1499</v>
      </c>
      <c r="H123" s="49" t="s">
        <v>1016</v>
      </c>
      <c r="I123" s="49" t="s">
        <v>991</v>
      </c>
      <c r="J123" t="s">
        <v>992</v>
      </c>
      <c r="K123" s="549">
        <v>12709</v>
      </c>
    </row>
    <row r="124" spans="1:11" ht="16.5" x14ac:dyDescent="0.3">
      <c r="A124">
        <f t="shared" si="1"/>
        <v>123</v>
      </c>
      <c r="B124" s="546" t="s">
        <v>1500</v>
      </c>
      <c r="C124" s="546" t="s">
        <v>1501</v>
      </c>
      <c r="D124" s="547" t="s">
        <v>1013</v>
      </c>
      <c r="E124" s="548" t="s">
        <v>1502</v>
      </c>
      <c r="F124" s="548" t="s">
        <v>1503</v>
      </c>
      <c r="G124" s="546" t="s">
        <v>1503</v>
      </c>
      <c r="H124" s="49" t="s">
        <v>1016</v>
      </c>
      <c r="I124" s="49" t="s">
        <v>991</v>
      </c>
      <c r="J124" t="s">
        <v>992</v>
      </c>
      <c r="K124" s="549">
        <v>11513</v>
      </c>
    </row>
    <row r="125" spans="1:11" ht="16.5" x14ac:dyDescent="0.3">
      <c r="A125">
        <f t="shared" si="1"/>
        <v>124</v>
      </c>
      <c r="B125" s="546" t="s">
        <v>1504</v>
      </c>
      <c r="C125" s="546" t="s">
        <v>1505</v>
      </c>
      <c r="D125" s="547" t="s">
        <v>1097</v>
      </c>
      <c r="E125" s="548" t="s">
        <v>1506</v>
      </c>
      <c r="F125" s="548" t="s">
        <v>1505</v>
      </c>
      <c r="G125" s="546" t="s">
        <v>1507</v>
      </c>
      <c r="H125" s="49" t="s">
        <v>990</v>
      </c>
      <c r="I125" s="49" t="s">
        <v>1004</v>
      </c>
      <c r="J125" t="s">
        <v>1048</v>
      </c>
      <c r="K125" s="549">
        <v>8881</v>
      </c>
    </row>
    <row r="126" spans="1:11" ht="16.5" x14ac:dyDescent="0.3">
      <c r="A126">
        <f t="shared" si="1"/>
        <v>125</v>
      </c>
      <c r="B126" s="546" t="s">
        <v>1508</v>
      </c>
      <c r="C126" s="546" t="s">
        <v>1509</v>
      </c>
      <c r="D126" s="547" t="s">
        <v>1305</v>
      </c>
      <c r="E126" s="548" t="s">
        <v>1510</v>
      </c>
      <c r="F126" s="548" t="s">
        <v>1509</v>
      </c>
      <c r="G126" s="546" t="s">
        <v>1511</v>
      </c>
      <c r="H126" s="49" t="s">
        <v>990</v>
      </c>
      <c r="I126" s="49" t="s">
        <v>991</v>
      </c>
      <c r="J126" t="s">
        <v>999</v>
      </c>
      <c r="K126" s="549">
        <v>99967</v>
      </c>
    </row>
    <row r="127" spans="1:11" ht="16.5" x14ac:dyDescent="0.3">
      <c r="A127">
        <f t="shared" si="1"/>
        <v>126</v>
      </c>
      <c r="B127" s="546" t="s">
        <v>1512</v>
      </c>
      <c r="C127" s="546" t="s">
        <v>1513</v>
      </c>
      <c r="D127" s="547" t="s">
        <v>995</v>
      </c>
      <c r="E127" s="548" t="s">
        <v>1514</v>
      </c>
      <c r="F127" s="548" t="s">
        <v>1513</v>
      </c>
      <c r="G127" s="546" t="s">
        <v>1513</v>
      </c>
      <c r="H127" s="49" t="s">
        <v>998</v>
      </c>
      <c r="I127" s="49" t="s">
        <v>991</v>
      </c>
      <c r="J127" t="s">
        <v>1058</v>
      </c>
      <c r="K127" s="549">
        <v>4243</v>
      </c>
    </row>
    <row r="128" spans="1:11" ht="16.5" x14ac:dyDescent="0.3">
      <c r="A128">
        <f t="shared" si="1"/>
        <v>127</v>
      </c>
      <c r="B128" s="546" t="s">
        <v>1515</v>
      </c>
      <c r="C128" s="546" t="s">
        <v>1516</v>
      </c>
      <c r="D128" s="547" t="s">
        <v>995</v>
      </c>
      <c r="E128" s="548" t="s">
        <v>1517</v>
      </c>
      <c r="F128" s="548" t="s">
        <v>1516</v>
      </c>
      <c r="G128" s="546" t="s">
        <v>1518</v>
      </c>
      <c r="H128" s="49" t="s">
        <v>990</v>
      </c>
      <c r="I128" s="49" t="s">
        <v>1004</v>
      </c>
      <c r="J128" t="s">
        <v>1048</v>
      </c>
      <c r="K128" s="549">
        <v>43323</v>
      </c>
    </row>
    <row r="129" spans="1:11" ht="16.5" x14ac:dyDescent="0.3">
      <c r="A129">
        <f t="shared" si="1"/>
        <v>128</v>
      </c>
      <c r="B129" s="546" t="s">
        <v>1519</v>
      </c>
      <c r="C129" s="546" t="s">
        <v>1520</v>
      </c>
      <c r="D129" s="547" t="s">
        <v>1146</v>
      </c>
      <c r="E129" s="548" t="s">
        <v>1521</v>
      </c>
      <c r="F129" s="548" t="s">
        <v>1522</v>
      </c>
      <c r="G129" s="546" t="s">
        <v>1522</v>
      </c>
      <c r="H129" s="49" t="s">
        <v>998</v>
      </c>
      <c r="I129" s="49" t="s">
        <v>991</v>
      </c>
      <c r="J129" t="s">
        <v>1058</v>
      </c>
      <c r="K129" s="549">
        <v>124969</v>
      </c>
    </row>
    <row r="130" spans="1:11" ht="16.5" x14ac:dyDescent="0.3">
      <c r="A130">
        <f t="shared" si="1"/>
        <v>129</v>
      </c>
      <c r="B130" s="546" t="s">
        <v>1523</v>
      </c>
      <c r="C130" s="546" t="s">
        <v>1524</v>
      </c>
      <c r="D130" s="547" t="s">
        <v>1348</v>
      </c>
      <c r="E130" s="548" t="s">
        <v>1525</v>
      </c>
      <c r="F130" s="548" t="s">
        <v>1524</v>
      </c>
      <c r="G130" s="546" t="s">
        <v>1526</v>
      </c>
      <c r="H130" s="49" t="s">
        <v>990</v>
      </c>
      <c r="I130" s="49" t="s">
        <v>1004</v>
      </c>
      <c r="J130" t="s">
        <v>1048</v>
      </c>
      <c r="K130" s="549">
        <v>4216</v>
      </c>
    </row>
    <row r="131" spans="1:11" ht="16.5" x14ac:dyDescent="0.3">
      <c r="A131">
        <f t="shared" si="1"/>
        <v>130</v>
      </c>
      <c r="B131" s="546" t="s">
        <v>1527</v>
      </c>
      <c r="C131" s="546" t="s">
        <v>1528</v>
      </c>
      <c r="D131" s="547" t="s">
        <v>1029</v>
      </c>
      <c r="E131" s="548" t="s">
        <v>1529</v>
      </c>
      <c r="F131" s="548" t="s">
        <v>1530</v>
      </c>
      <c r="G131" s="546" t="s">
        <v>1530</v>
      </c>
      <c r="H131" s="49" t="s">
        <v>1016</v>
      </c>
      <c r="I131" s="49" t="s">
        <v>991</v>
      </c>
      <c r="J131" t="s">
        <v>992</v>
      </c>
      <c r="K131" s="549">
        <v>1395</v>
      </c>
    </row>
    <row r="132" spans="1:11" ht="16.5" x14ac:dyDescent="0.3">
      <c r="A132">
        <f t="shared" ref="A132:A195" si="2">A131+1</f>
        <v>131</v>
      </c>
      <c r="B132" s="546" t="s">
        <v>1531</v>
      </c>
      <c r="C132" s="546" t="s">
        <v>1532</v>
      </c>
      <c r="D132" s="547" t="s">
        <v>1013</v>
      </c>
      <c r="E132" s="548" t="s">
        <v>1533</v>
      </c>
      <c r="F132" s="548" t="s">
        <v>1534</v>
      </c>
      <c r="G132" s="546" t="s">
        <v>1534</v>
      </c>
      <c r="H132" s="49" t="s">
        <v>1016</v>
      </c>
      <c r="I132" s="49" t="s">
        <v>991</v>
      </c>
      <c r="J132" t="s">
        <v>992</v>
      </c>
      <c r="K132" s="549">
        <v>19403</v>
      </c>
    </row>
    <row r="133" spans="1:11" ht="16.5" x14ac:dyDescent="0.3">
      <c r="A133">
        <f t="shared" si="2"/>
        <v>132</v>
      </c>
      <c r="B133" s="546" t="s">
        <v>1535</v>
      </c>
      <c r="C133" s="546" t="s">
        <v>1536</v>
      </c>
      <c r="D133" s="547" t="s">
        <v>1029</v>
      </c>
      <c r="E133" s="548" t="s">
        <v>1537</v>
      </c>
      <c r="F133" s="548" t="s">
        <v>1536</v>
      </c>
      <c r="G133" s="546" t="s">
        <v>1538</v>
      </c>
      <c r="H133" s="49" t="s">
        <v>990</v>
      </c>
      <c r="I133" s="49" t="s">
        <v>1004</v>
      </c>
      <c r="J133" t="s">
        <v>1005</v>
      </c>
      <c r="K133" s="549">
        <v>1036</v>
      </c>
    </row>
    <row r="134" spans="1:11" ht="16.5" x14ac:dyDescent="0.3">
      <c r="A134">
        <f t="shared" si="2"/>
        <v>133</v>
      </c>
      <c r="B134" s="546" t="s">
        <v>1539</v>
      </c>
      <c r="C134" s="546" t="s">
        <v>1540</v>
      </c>
      <c r="D134" s="547" t="s">
        <v>1013</v>
      </c>
      <c r="E134" s="548" t="s">
        <v>1541</v>
      </c>
      <c r="F134" s="548" t="s">
        <v>1542</v>
      </c>
      <c r="G134" s="546" t="s">
        <v>1542</v>
      </c>
      <c r="H134" s="49" t="s">
        <v>1016</v>
      </c>
      <c r="I134" s="49" t="s">
        <v>991</v>
      </c>
      <c r="J134" t="s">
        <v>992</v>
      </c>
      <c r="K134" s="549">
        <v>7401</v>
      </c>
    </row>
    <row r="135" spans="1:11" ht="16.5" x14ac:dyDescent="0.3">
      <c r="A135">
        <f t="shared" si="2"/>
        <v>134</v>
      </c>
      <c r="B135" s="546" t="s">
        <v>1543</v>
      </c>
      <c r="C135" s="546" t="s">
        <v>1544</v>
      </c>
      <c r="D135" s="547" t="s">
        <v>1013</v>
      </c>
      <c r="E135" s="548" t="s">
        <v>1545</v>
      </c>
      <c r="F135" s="548" t="s">
        <v>1546</v>
      </c>
      <c r="G135" s="546" t="s">
        <v>1546</v>
      </c>
      <c r="H135" s="49" t="s">
        <v>998</v>
      </c>
      <c r="I135" s="49" t="s">
        <v>991</v>
      </c>
      <c r="J135" t="s">
        <v>1077</v>
      </c>
      <c r="K135" s="549">
        <v>27147</v>
      </c>
    </row>
    <row r="136" spans="1:11" ht="16.5" x14ac:dyDescent="0.3">
      <c r="A136">
        <f t="shared" si="2"/>
        <v>135</v>
      </c>
      <c r="B136" s="546" t="s">
        <v>1547</v>
      </c>
      <c r="C136" s="546" t="s">
        <v>1548</v>
      </c>
      <c r="D136" s="547" t="s">
        <v>1013</v>
      </c>
      <c r="E136" s="548" t="s">
        <v>1549</v>
      </c>
      <c r="F136" s="548" t="s">
        <v>1550</v>
      </c>
      <c r="G136" s="546" t="s">
        <v>1550</v>
      </c>
      <c r="H136" s="49" t="s">
        <v>1016</v>
      </c>
      <c r="I136" s="49" t="s">
        <v>991</v>
      </c>
      <c r="J136" t="s">
        <v>992</v>
      </c>
      <c r="K136" s="549">
        <v>5281</v>
      </c>
    </row>
    <row r="137" spans="1:11" ht="16.5" x14ac:dyDescent="0.3">
      <c r="A137">
        <f t="shared" si="2"/>
        <v>136</v>
      </c>
      <c r="B137" s="546" t="s">
        <v>1551</v>
      </c>
      <c r="C137" s="546" t="s">
        <v>1552</v>
      </c>
      <c r="D137" s="547" t="s">
        <v>987</v>
      </c>
      <c r="E137" s="548" t="s">
        <v>1553</v>
      </c>
      <c r="F137" s="548" t="s">
        <v>1554</v>
      </c>
      <c r="G137" s="546" t="s">
        <v>1554</v>
      </c>
      <c r="H137" s="49" t="s">
        <v>1016</v>
      </c>
      <c r="I137" s="49" t="s">
        <v>991</v>
      </c>
      <c r="J137" t="s">
        <v>992</v>
      </c>
      <c r="K137" s="549">
        <v>1847</v>
      </c>
    </row>
    <row r="138" spans="1:11" ht="16.5" x14ac:dyDescent="0.3">
      <c r="A138">
        <f t="shared" si="2"/>
        <v>137</v>
      </c>
      <c r="B138" s="546" t="s">
        <v>1555</v>
      </c>
      <c r="C138" s="546" t="s">
        <v>1556</v>
      </c>
      <c r="D138" s="547" t="s">
        <v>1124</v>
      </c>
      <c r="E138" s="548" t="s">
        <v>1557</v>
      </c>
      <c r="F138" s="548" t="s">
        <v>1556</v>
      </c>
      <c r="G138" s="546" t="s">
        <v>1558</v>
      </c>
      <c r="H138" s="49" t="s">
        <v>990</v>
      </c>
      <c r="I138" s="49" t="s">
        <v>991</v>
      </c>
      <c r="J138" t="s">
        <v>992</v>
      </c>
      <c r="K138" s="549">
        <v>2113</v>
      </c>
    </row>
    <row r="139" spans="1:11" ht="16.5" x14ac:dyDescent="0.3">
      <c r="A139">
        <f t="shared" si="2"/>
        <v>138</v>
      </c>
      <c r="B139" s="546" t="s">
        <v>1559</v>
      </c>
      <c r="C139" s="546" t="s">
        <v>1560</v>
      </c>
      <c r="D139" s="547" t="s">
        <v>995</v>
      </c>
      <c r="E139" s="548" t="s">
        <v>1561</v>
      </c>
      <c r="F139" s="548" t="s">
        <v>1562</v>
      </c>
      <c r="G139" s="546" t="s">
        <v>1562</v>
      </c>
      <c r="H139" s="49" t="s">
        <v>998</v>
      </c>
      <c r="I139" s="49" t="s">
        <v>991</v>
      </c>
      <c r="J139" t="s">
        <v>1053</v>
      </c>
      <c r="K139" s="549">
        <v>1735</v>
      </c>
    </row>
    <row r="140" spans="1:11" ht="16.5" x14ac:dyDescent="0.3">
      <c r="A140">
        <f t="shared" si="2"/>
        <v>139</v>
      </c>
      <c r="B140" s="546" t="s">
        <v>1563</v>
      </c>
      <c r="C140" s="546" t="s">
        <v>1564</v>
      </c>
      <c r="D140" s="547" t="s">
        <v>1097</v>
      </c>
      <c r="E140" s="548" t="s">
        <v>1565</v>
      </c>
      <c r="F140" s="548" t="s">
        <v>1564</v>
      </c>
      <c r="G140" s="546" t="s">
        <v>1566</v>
      </c>
      <c r="H140" s="49" t="s">
        <v>990</v>
      </c>
      <c r="I140" s="49" t="s">
        <v>991</v>
      </c>
      <c r="J140" t="s">
        <v>1010</v>
      </c>
      <c r="K140" s="549">
        <v>45538</v>
      </c>
    </row>
    <row r="141" spans="1:11" ht="16.5" x14ac:dyDescent="0.3">
      <c r="A141">
        <f t="shared" si="2"/>
        <v>140</v>
      </c>
      <c r="B141" s="546" t="s">
        <v>1567</v>
      </c>
      <c r="C141" s="546" t="s">
        <v>1568</v>
      </c>
      <c r="D141" s="547" t="s">
        <v>1489</v>
      </c>
      <c r="E141" s="548" t="s">
        <v>1569</v>
      </c>
      <c r="F141" s="548" t="s">
        <v>1568</v>
      </c>
      <c r="G141" s="546" t="s">
        <v>1570</v>
      </c>
      <c r="H141" s="49" t="s">
        <v>990</v>
      </c>
      <c r="I141" s="49" t="s">
        <v>991</v>
      </c>
      <c r="J141" t="s">
        <v>1077</v>
      </c>
      <c r="K141" s="549">
        <v>35790</v>
      </c>
    </row>
    <row r="142" spans="1:11" ht="16.5" x14ac:dyDescent="0.3">
      <c r="A142">
        <f t="shared" si="2"/>
        <v>141</v>
      </c>
      <c r="B142" s="546" t="s">
        <v>1571</v>
      </c>
      <c r="C142" s="546" t="s">
        <v>1572</v>
      </c>
      <c r="D142" s="547" t="s">
        <v>987</v>
      </c>
      <c r="E142" s="548" t="s">
        <v>1573</v>
      </c>
      <c r="F142" s="548" t="s">
        <v>1574</v>
      </c>
      <c r="G142" s="546" t="s">
        <v>1574</v>
      </c>
      <c r="H142" s="49" t="s">
        <v>1016</v>
      </c>
      <c r="I142" s="49" t="s">
        <v>991</v>
      </c>
      <c r="J142" t="s">
        <v>992</v>
      </c>
      <c r="K142" s="549">
        <v>6121</v>
      </c>
    </row>
    <row r="143" spans="1:11" ht="16.5" x14ac:dyDescent="0.3">
      <c r="A143">
        <f t="shared" si="2"/>
        <v>142</v>
      </c>
      <c r="B143" s="546" t="s">
        <v>1575</v>
      </c>
      <c r="C143" s="546" t="s">
        <v>1576</v>
      </c>
      <c r="D143" s="547" t="s">
        <v>1013</v>
      </c>
      <c r="E143" s="548" t="s">
        <v>1577</v>
      </c>
      <c r="F143" s="548" t="s">
        <v>1578</v>
      </c>
      <c r="G143" s="546" t="s">
        <v>1578</v>
      </c>
      <c r="H143" s="49" t="s">
        <v>1016</v>
      </c>
      <c r="I143" s="49" t="s">
        <v>991</v>
      </c>
      <c r="J143" t="s">
        <v>1053</v>
      </c>
      <c r="K143" s="549">
        <v>32457</v>
      </c>
    </row>
    <row r="144" spans="1:11" ht="16.5" x14ac:dyDescent="0.3">
      <c r="A144">
        <f t="shared" si="2"/>
        <v>143</v>
      </c>
      <c r="B144" s="546" t="s">
        <v>1579</v>
      </c>
      <c r="C144" s="550" t="s">
        <v>1580</v>
      </c>
      <c r="D144" s="547" t="s">
        <v>1236</v>
      </c>
      <c r="E144" s="548" t="s">
        <v>1581</v>
      </c>
      <c r="F144" s="548" t="s">
        <v>1580</v>
      </c>
      <c r="G144" s="550" t="s">
        <v>1582</v>
      </c>
      <c r="H144" s="49" t="s">
        <v>990</v>
      </c>
      <c r="I144" s="49" t="s">
        <v>1004</v>
      </c>
      <c r="J144" t="s">
        <v>1048</v>
      </c>
      <c r="K144" s="549">
        <v>6295</v>
      </c>
    </row>
    <row r="145" spans="1:11" ht="16.5" x14ac:dyDescent="0.3">
      <c r="A145">
        <f t="shared" si="2"/>
        <v>144</v>
      </c>
      <c r="B145" s="546" t="s">
        <v>1583</v>
      </c>
      <c r="C145" s="550" t="s">
        <v>1580</v>
      </c>
      <c r="D145" s="547" t="s">
        <v>1124</v>
      </c>
      <c r="E145" s="548" t="s">
        <v>1584</v>
      </c>
      <c r="F145" s="548" t="s">
        <v>1580</v>
      </c>
      <c r="G145" s="550" t="s">
        <v>1582</v>
      </c>
      <c r="H145" s="49" t="s">
        <v>990</v>
      </c>
      <c r="I145" s="49" t="s">
        <v>991</v>
      </c>
      <c r="J145" t="s">
        <v>1010</v>
      </c>
      <c r="K145" s="549">
        <v>7466</v>
      </c>
    </row>
    <row r="146" spans="1:11" ht="16.5" x14ac:dyDescent="0.3">
      <c r="A146">
        <f t="shared" si="2"/>
        <v>145</v>
      </c>
      <c r="B146" s="546" t="s">
        <v>1585</v>
      </c>
      <c r="C146" s="546" t="s">
        <v>1586</v>
      </c>
      <c r="D146" s="547" t="s">
        <v>1013</v>
      </c>
      <c r="E146" s="548" t="s">
        <v>1587</v>
      </c>
      <c r="F146" s="548" t="s">
        <v>1588</v>
      </c>
      <c r="G146" s="546" t="s">
        <v>1588</v>
      </c>
      <c r="H146" s="49" t="s">
        <v>1016</v>
      </c>
      <c r="I146" s="49" t="s">
        <v>991</v>
      </c>
      <c r="J146" t="s">
        <v>992</v>
      </c>
      <c r="K146" s="549">
        <v>13835</v>
      </c>
    </row>
    <row r="147" spans="1:11" ht="16.5" x14ac:dyDescent="0.3">
      <c r="A147">
        <f t="shared" si="2"/>
        <v>146</v>
      </c>
      <c r="B147" s="546" t="s">
        <v>1589</v>
      </c>
      <c r="C147" s="546" t="s">
        <v>1590</v>
      </c>
      <c r="D147" s="547" t="s">
        <v>1146</v>
      </c>
      <c r="E147" s="548" t="s">
        <v>1591</v>
      </c>
      <c r="F147" s="548" t="s">
        <v>1592</v>
      </c>
      <c r="G147" s="546" t="s">
        <v>1592</v>
      </c>
      <c r="H147" s="49" t="s">
        <v>1016</v>
      </c>
      <c r="I147" s="49" t="s">
        <v>991</v>
      </c>
      <c r="J147" t="s">
        <v>992</v>
      </c>
      <c r="K147" s="549">
        <v>7318</v>
      </c>
    </row>
    <row r="148" spans="1:11" ht="16.5" x14ac:dyDescent="0.3">
      <c r="A148">
        <f t="shared" si="2"/>
        <v>147</v>
      </c>
      <c r="B148" s="546" t="s">
        <v>1593</v>
      </c>
      <c r="C148" s="546" t="s">
        <v>1594</v>
      </c>
      <c r="D148" s="547" t="s">
        <v>1119</v>
      </c>
      <c r="E148" s="548" t="s">
        <v>1595</v>
      </c>
      <c r="F148" s="548" t="s">
        <v>1596</v>
      </c>
      <c r="G148" s="546" t="s">
        <v>1596</v>
      </c>
      <c r="H148" s="49" t="s">
        <v>1016</v>
      </c>
      <c r="I148" s="49" t="s">
        <v>991</v>
      </c>
      <c r="J148" t="s">
        <v>992</v>
      </c>
      <c r="K148" s="549">
        <v>919</v>
      </c>
    </row>
    <row r="149" spans="1:11" ht="16.5" x14ac:dyDescent="0.3">
      <c r="A149">
        <f t="shared" si="2"/>
        <v>148</v>
      </c>
      <c r="B149" s="546" t="s">
        <v>1597</v>
      </c>
      <c r="C149" s="546" t="s">
        <v>1598</v>
      </c>
      <c r="D149" s="547" t="s">
        <v>987</v>
      </c>
      <c r="E149" s="548" t="s">
        <v>1599</v>
      </c>
      <c r="F149" s="548" t="s">
        <v>1600</v>
      </c>
      <c r="G149" s="546" t="s">
        <v>1600</v>
      </c>
      <c r="H149" s="49" t="s">
        <v>1016</v>
      </c>
      <c r="I149" s="49" t="s">
        <v>991</v>
      </c>
      <c r="J149" t="s">
        <v>992</v>
      </c>
      <c r="K149" s="549">
        <v>1329</v>
      </c>
    </row>
    <row r="150" spans="1:11" ht="16.5" x14ac:dyDescent="0.3">
      <c r="A150">
        <f t="shared" si="2"/>
        <v>149</v>
      </c>
      <c r="B150" s="546" t="s">
        <v>1601</v>
      </c>
      <c r="C150" s="546" t="s">
        <v>1602</v>
      </c>
      <c r="D150" s="547" t="s">
        <v>1097</v>
      </c>
      <c r="E150" s="548" t="s">
        <v>1603</v>
      </c>
      <c r="F150" s="548" t="s">
        <v>1604</v>
      </c>
      <c r="G150" s="546" t="s">
        <v>1604</v>
      </c>
      <c r="H150" s="49" t="s">
        <v>1016</v>
      </c>
      <c r="I150" s="49" t="s">
        <v>991</v>
      </c>
      <c r="J150" t="s">
        <v>992</v>
      </c>
      <c r="K150" s="549">
        <v>540</v>
      </c>
    </row>
    <row r="151" spans="1:11" ht="16.5" x14ac:dyDescent="0.3">
      <c r="A151">
        <f t="shared" si="2"/>
        <v>150</v>
      </c>
      <c r="B151" s="546" t="s">
        <v>1605</v>
      </c>
      <c r="C151" s="546" t="s">
        <v>1606</v>
      </c>
      <c r="D151" s="547" t="s">
        <v>1002</v>
      </c>
      <c r="E151" s="548" t="s">
        <v>1607</v>
      </c>
      <c r="F151" s="548" t="s">
        <v>1608</v>
      </c>
      <c r="G151" s="546" t="s">
        <v>1608</v>
      </c>
      <c r="H151" s="49" t="s">
        <v>1016</v>
      </c>
      <c r="I151" s="49" t="s">
        <v>991</v>
      </c>
      <c r="J151" t="s">
        <v>992</v>
      </c>
      <c r="K151" s="549">
        <v>4581</v>
      </c>
    </row>
    <row r="152" spans="1:11" ht="16.5" x14ac:dyDescent="0.3">
      <c r="A152">
        <f t="shared" si="2"/>
        <v>151</v>
      </c>
      <c r="B152" s="546" t="s">
        <v>1609</v>
      </c>
      <c r="C152" s="546" t="s">
        <v>1610</v>
      </c>
      <c r="D152" s="547" t="s">
        <v>1097</v>
      </c>
      <c r="E152" s="548" t="s">
        <v>1611</v>
      </c>
      <c r="F152" s="548" t="s">
        <v>1610</v>
      </c>
      <c r="G152" s="546" t="s">
        <v>1612</v>
      </c>
      <c r="H152" s="49" t="s">
        <v>990</v>
      </c>
      <c r="I152" s="49" t="s">
        <v>991</v>
      </c>
      <c r="J152" t="s">
        <v>1077</v>
      </c>
      <c r="K152" s="549">
        <v>12109</v>
      </c>
    </row>
    <row r="153" spans="1:11" ht="16.5" x14ac:dyDescent="0.3">
      <c r="A153">
        <f t="shared" si="2"/>
        <v>152</v>
      </c>
      <c r="B153" s="546" t="s">
        <v>1613</v>
      </c>
      <c r="C153" s="546" t="s">
        <v>1614</v>
      </c>
      <c r="D153" s="547" t="s">
        <v>1199</v>
      </c>
      <c r="E153" s="548" t="s">
        <v>1615</v>
      </c>
      <c r="F153" s="548" t="s">
        <v>1616</v>
      </c>
      <c r="G153" s="546" t="s">
        <v>1616</v>
      </c>
      <c r="H153" s="49" t="s">
        <v>1016</v>
      </c>
      <c r="I153" s="49" t="s">
        <v>991</v>
      </c>
      <c r="J153" t="s">
        <v>992</v>
      </c>
      <c r="K153" s="549">
        <v>11696</v>
      </c>
    </row>
    <row r="154" spans="1:11" ht="16.5" x14ac:dyDescent="0.3">
      <c r="A154">
        <f t="shared" si="2"/>
        <v>153</v>
      </c>
      <c r="B154" s="546" t="s">
        <v>1617</v>
      </c>
      <c r="C154" s="546" t="s">
        <v>1618</v>
      </c>
      <c r="D154" s="547" t="s">
        <v>995</v>
      </c>
      <c r="E154" s="548" t="s">
        <v>1619</v>
      </c>
      <c r="F154" s="548" t="s">
        <v>1620</v>
      </c>
      <c r="G154" s="546" t="s">
        <v>1620</v>
      </c>
      <c r="H154" s="49" t="s">
        <v>1016</v>
      </c>
      <c r="I154" s="49" t="s">
        <v>991</v>
      </c>
      <c r="J154" t="s">
        <v>992</v>
      </c>
      <c r="K154" s="549">
        <v>1885</v>
      </c>
    </row>
    <row r="155" spans="1:11" ht="16.5" x14ac:dyDescent="0.3">
      <c r="A155">
        <f t="shared" si="2"/>
        <v>154</v>
      </c>
      <c r="B155" s="546" t="s">
        <v>1621</v>
      </c>
      <c r="C155" s="546" t="s">
        <v>1622</v>
      </c>
      <c r="D155" s="547" t="s">
        <v>1013</v>
      </c>
      <c r="E155" s="548" t="s">
        <v>1623</v>
      </c>
      <c r="F155" s="548" t="s">
        <v>1624</v>
      </c>
      <c r="G155" s="546" t="s">
        <v>1624</v>
      </c>
      <c r="H155" s="49" t="s">
        <v>1016</v>
      </c>
      <c r="I155" s="49" t="s">
        <v>991</v>
      </c>
      <c r="J155" t="s">
        <v>992</v>
      </c>
      <c r="K155" s="549">
        <v>35345</v>
      </c>
    </row>
    <row r="156" spans="1:11" ht="16.5" x14ac:dyDescent="0.3">
      <c r="A156">
        <f t="shared" si="2"/>
        <v>155</v>
      </c>
      <c r="B156" s="546" t="s">
        <v>1625</v>
      </c>
      <c r="C156" s="546" t="s">
        <v>1626</v>
      </c>
      <c r="D156" s="547" t="s">
        <v>1042</v>
      </c>
      <c r="E156" s="548" t="s">
        <v>1627</v>
      </c>
      <c r="F156" s="548" t="s">
        <v>1626</v>
      </c>
      <c r="G156" s="546" t="s">
        <v>1628</v>
      </c>
      <c r="H156" s="49" t="s">
        <v>990</v>
      </c>
      <c r="I156" s="49" t="s">
        <v>1004</v>
      </c>
      <c r="J156" t="s">
        <v>1005</v>
      </c>
      <c r="K156" s="549">
        <v>5565</v>
      </c>
    </row>
    <row r="157" spans="1:11" ht="16.5" x14ac:dyDescent="0.3">
      <c r="A157">
        <f t="shared" si="2"/>
        <v>156</v>
      </c>
      <c r="B157" s="546" t="s">
        <v>1629</v>
      </c>
      <c r="C157" s="546" t="s">
        <v>1630</v>
      </c>
      <c r="D157" s="547" t="s">
        <v>1042</v>
      </c>
      <c r="E157" s="548" t="s">
        <v>1631</v>
      </c>
      <c r="F157" s="548" t="s">
        <v>1632</v>
      </c>
      <c r="G157" s="546" t="s">
        <v>1632</v>
      </c>
      <c r="H157" s="49" t="s">
        <v>1016</v>
      </c>
      <c r="I157" s="49" t="s">
        <v>991</v>
      </c>
      <c r="J157" t="s">
        <v>992</v>
      </c>
      <c r="K157" s="549">
        <v>5045</v>
      </c>
    </row>
    <row r="158" spans="1:11" ht="16.5" x14ac:dyDescent="0.3">
      <c r="A158">
        <f t="shared" si="2"/>
        <v>157</v>
      </c>
      <c r="B158" s="546" t="s">
        <v>1633</v>
      </c>
      <c r="C158" s="546" t="s">
        <v>1634</v>
      </c>
      <c r="D158" s="547" t="s">
        <v>1013</v>
      </c>
      <c r="E158" s="548" t="s">
        <v>1635</v>
      </c>
      <c r="F158" s="548" t="s">
        <v>1636</v>
      </c>
      <c r="G158" s="546" t="s">
        <v>1636</v>
      </c>
      <c r="H158" s="49" t="s">
        <v>1016</v>
      </c>
      <c r="I158" s="49" t="s">
        <v>991</v>
      </c>
      <c r="J158" t="s">
        <v>992</v>
      </c>
      <c r="K158" s="549">
        <v>10590</v>
      </c>
    </row>
    <row r="159" spans="1:11" ht="16.5" x14ac:dyDescent="0.3">
      <c r="A159">
        <f t="shared" si="2"/>
        <v>158</v>
      </c>
      <c r="B159" s="546" t="s">
        <v>1637</v>
      </c>
      <c r="C159" s="546" t="s">
        <v>1638</v>
      </c>
      <c r="D159" s="547" t="s">
        <v>1348</v>
      </c>
      <c r="E159" s="548" t="s">
        <v>1639</v>
      </c>
      <c r="F159" s="548" t="s">
        <v>1638</v>
      </c>
      <c r="G159" s="546" t="s">
        <v>1632</v>
      </c>
      <c r="H159" s="49" t="s">
        <v>990</v>
      </c>
      <c r="I159" s="49" t="s">
        <v>1004</v>
      </c>
      <c r="J159" t="s">
        <v>1048</v>
      </c>
      <c r="K159" s="549">
        <v>16820</v>
      </c>
    </row>
    <row r="160" spans="1:11" ht="16.5" x14ac:dyDescent="0.3">
      <c r="A160">
        <f t="shared" si="2"/>
        <v>159</v>
      </c>
      <c r="B160" s="546" t="s">
        <v>1640</v>
      </c>
      <c r="C160" s="546" t="s">
        <v>1638</v>
      </c>
      <c r="D160" s="547" t="s">
        <v>1002</v>
      </c>
      <c r="E160" s="548" t="s">
        <v>1641</v>
      </c>
      <c r="F160" s="548" t="s">
        <v>1638</v>
      </c>
      <c r="G160" s="546" t="s">
        <v>1632</v>
      </c>
      <c r="H160" s="49" t="s">
        <v>990</v>
      </c>
      <c r="I160" s="49" t="s">
        <v>1004</v>
      </c>
      <c r="J160" t="s">
        <v>1048</v>
      </c>
      <c r="K160" s="549">
        <v>3195</v>
      </c>
    </row>
    <row r="161" spans="1:11" ht="16.5" x14ac:dyDescent="0.3">
      <c r="A161">
        <f t="shared" si="2"/>
        <v>160</v>
      </c>
      <c r="B161" s="546" t="s">
        <v>1642</v>
      </c>
      <c r="C161" s="546" t="s">
        <v>1638</v>
      </c>
      <c r="D161" s="547" t="s">
        <v>1119</v>
      </c>
      <c r="E161" s="548" t="s">
        <v>1643</v>
      </c>
      <c r="F161" s="548" t="s">
        <v>1638</v>
      </c>
      <c r="G161" s="546" t="s">
        <v>1632</v>
      </c>
      <c r="H161" s="49" t="s">
        <v>990</v>
      </c>
      <c r="I161" s="49" t="s">
        <v>991</v>
      </c>
      <c r="J161" t="s">
        <v>1644</v>
      </c>
      <c r="K161" s="549">
        <v>62300</v>
      </c>
    </row>
    <row r="162" spans="1:11" ht="16.5" x14ac:dyDescent="0.3">
      <c r="A162">
        <f t="shared" si="2"/>
        <v>161</v>
      </c>
      <c r="B162" s="546" t="s">
        <v>1645</v>
      </c>
      <c r="C162" s="546" t="s">
        <v>1638</v>
      </c>
      <c r="D162" s="547" t="s">
        <v>1008</v>
      </c>
      <c r="E162" s="548" t="s">
        <v>1646</v>
      </c>
      <c r="F162" s="548" t="s">
        <v>1638</v>
      </c>
      <c r="G162" s="546" t="s">
        <v>1632</v>
      </c>
      <c r="H162" s="49" t="s">
        <v>990</v>
      </c>
      <c r="I162" s="49" t="s">
        <v>1004</v>
      </c>
      <c r="J162" t="s">
        <v>1048</v>
      </c>
      <c r="K162" s="549">
        <v>3176</v>
      </c>
    </row>
    <row r="163" spans="1:11" ht="16.5" x14ac:dyDescent="0.3">
      <c r="A163">
        <f t="shared" si="2"/>
        <v>162</v>
      </c>
      <c r="B163" s="546" t="s">
        <v>1647</v>
      </c>
      <c r="C163" s="546" t="s">
        <v>1648</v>
      </c>
      <c r="D163" s="547" t="s">
        <v>1042</v>
      </c>
      <c r="E163" s="548" t="s">
        <v>1649</v>
      </c>
      <c r="F163" s="548" t="s">
        <v>1648</v>
      </c>
      <c r="G163" s="546" t="s">
        <v>1650</v>
      </c>
      <c r="H163" s="49" t="s">
        <v>990</v>
      </c>
      <c r="I163" s="49" t="s">
        <v>1004</v>
      </c>
      <c r="J163" t="s">
        <v>1048</v>
      </c>
      <c r="K163" s="549">
        <v>3437</v>
      </c>
    </row>
    <row r="164" spans="1:11" ht="16.5" x14ac:dyDescent="0.3">
      <c r="A164">
        <f t="shared" si="2"/>
        <v>163</v>
      </c>
      <c r="B164" s="546" t="s">
        <v>1651</v>
      </c>
      <c r="C164" s="546" t="s">
        <v>1652</v>
      </c>
      <c r="D164" s="547" t="s">
        <v>987</v>
      </c>
      <c r="E164" s="548" t="s">
        <v>1653</v>
      </c>
      <c r="F164" s="548" t="s">
        <v>1654</v>
      </c>
      <c r="G164" s="546" t="s">
        <v>1654</v>
      </c>
      <c r="H164" s="49" t="s">
        <v>1016</v>
      </c>
      <c r="I164" s="49" t="s">
        <v>991</v>
      </c>
      <c r="J164" t="s">
        <v>992</v>
      </c>
      <c r="K164" s="549">
        <v>12052</v>
      </c>
    </row>
    <row r="165" spans="1:11" ht="16.5" x14ac:dyDescent="0.3">
      <c r="A165">
        <f t="shared" si="2"/>
        <v>164</v>
      </c>
      <c r="B165" s="546" t="s">
        <v>1655</v>
      </c>
      <c r="C165" s="546" t="s">
        <v>1656</v>
      </c>
      <c r="D165" s="547" t="s">
        <v>987</v>
      </c>
      <c r="E165" s="548" t="s">
        <v>1657</v>
      </c>
      <c r="F165" s="548" t="s">
        <v>1656</v>
      </c>
      <c r="G165" s="546" t="s">
        <v>1654</v>
      </c>
      <c r="H165" s="49" t="s">
        <v>990</v>
      </c>
      <c r="I165" s="49" t="s">
        <v>1004</v>
      </c>
      <c r="J165" t="s">
        <v>1048</v>
      </c>
      <c r="K165" s="549">
        <v>36184</v>
      </c>
    </row>
    <row r="166" spans="1:11" ht="16.5" x14ac:dyDescent="0.3">
      <c r="A166">
        <f t="shared" si="2"/>
        <v>165</v>
      </c>
      <c r="B166" s="546" t="s">
        <v>1658</v>
      </c>
      <c r="C166" s="546" t="s">
        <v>1659</v>
      </c>
      <c r="D166" s="547" t="s">
        <v>1008</v>
      </c>
      <c r="E166" s="548" t="s">
        <v>1660</v>
      </c>
      <c r="F166" s="548" t="s">
        <v>1659</v>
      </c>
      <c r="G166" s="546" t="s">
        <v>1661</v>
      </c>
      <c r="H166" s="49" t="s">
        <v>990</v>
      </c>
      <c r="I166" s="49" t="s">
        <v>1004</v>
      </c>
      <c r="J166" t="s">
        <v>1005</v>
      </c>
      <c r="K166" s="549">
        <v>2230</v>
      </c>
    </row>
    <row r="167" spans="1:11" ht="16.5" x14ac:dyDescent="0.3">
      <c r="A167">
        <f t="shared" si="2"/>
        <v>166</v>
      </c>
      <c r="B167" s="546" t="s">
        <v>1662</v>
      </c>
      <c r="C167" s="546" t="s">
        <v>1663</v>
      </c>
      <c r="D167" s="547" t="s">
        <v>1002</v>
      </c>
      <c r="E167" s="548" t="s">
        <v>1664</v>
      </c>
      <c r="F167" s="548" t="s">
        <v>1665</v>
      </c>
      <c r="G167" s="546" t="s">
        <v>1665</v>
      </c>
      <c r="H167" s="49" t="s">
        <v>1016</v>
      </c>
      <c r="I167" s="49" t="s">
        <v>991</v>
      </c>
      <c r="J167" t="s">
        <v>992</v>
      </c>
      <c r="K167" s="549">
        <v>1373</v>
      </c>
    </row>
    <row r="168" spans="1:11" ht="16.5" x14ac:dyDescent="0.3">
      <c r="A168">
        <f t="shared" si="2"/>
        <v>167</v>
      </c>
      <c r="B168" s="546" t="s">
        <v>1666</v>
      </c>
      <c r="C168" s="546" t="s">
        <v>1667</v>
      </c>
      <c r="D168" s="547" t="s">
        <v>995</v>
      </c>
      <c r="E168" s="548" t="s">
        <v>1668</v>
      </c>
      <c r="F168" s="548" t="s">
        <v>1667</v>
      </c>
      <c r="G168" s="546" t="s">
        <v>1669</v>
      </c>
      <c r="H168" s="49" t="s">
        <v>990</v>
      </c>
      <c r="I168" s="49" t="s">
        <v>991</v>
      </c>
      <c r="J168" t="s">
        <v>1127</v>
      </c>
      <c r="K168" s="549">
        <v>37349</v>
      </c>
    </row>
    <row r="169" spans="1:11" ht="16.5" x14ac:dyDescent="0.3">
      <c r="A169">
        <f t="shared" si="2"/>
        <v>168</v>
      </c>
      <c r="B169" s="546" t="s">
        <v>1670</v>
      </c>
      <c r="C169" s="546" t="s">
        <v>1671</v>
      </c>
      <c r="D169" s="547" t="s">
        <v>1013</v>
      </c>
      <c r="E169" s="548" t="s">
        <v>1672</v>
      </c>
      <c r="F169" s="548" t="s">
        <v>1673</v>
      </c>
      <c r="G169" s="546" t="s">
        <v>1673</v>
      </c>
      <c r="H169" s="49" t="s">
        <v>998</v>
      </c>
      <c r="I169" s="49" t="s">
        <v>991</v>
      </c>
      <c r="J169" t="s">
        <v>1053</v>
      </c>
      <c r="K169" s="549">
        <v>30487</v>
      </c>
    </row>
    <row r="170" spans="1:11" ht="16.5" x14ac:dyDescent="0.3">
      <c r="A170">
        <f t="shared" si="2"/>
        <v>169</v>
      </c>
      <c r="B170" s="546" t="s">
        <v>1674</v>
      </c>
      <c r="C170" s="546" t="s">
        <v>1675</v>
      </c>
      <c r="D170" s="547" t="s">
        <v>1146</v>
      </c>
      <c r="E170" s="548" t="s">
        <v>1676</v>
      </c>
      <c r="F170" s="548" t="s">
        <v>1677</v>
      </c>
      <c r="G170" s="546" t="s">
        <v>1677</v>
      </c>
      <c r="H170" s="49" t="s">
        <v>1016</v>
      </c>
      <c r="I170" s="49" t="s">
        <v>991</v>
      </c>
      <c r="J170" t="s">
        <v>992</v>
      </c>
      <c r="K170" s="549">
        <v>4226</v>
      </c>
    </row>
    <row r="171" spans="1:11" ht="16.5" x14ac:dyDescent="0.3">
      <c r="A171">
        <f t="shared" si="2"/>
        <v>170</v>
      </c>
      <c r="B171" s="546" t="s">
        <v>1678</v>
      </c>
      <c r="C171" s="546" t="s">
        <v>1679</v>
      </c>
      <c r="D171" s="547" t="s">
        <v>1065</v>
      </c>
      <c r="E171" s="548" t="s">
        <v>1680</v>
      </c>
      <c r="F171" s="548" t="s">
        <v>1681</v>
      </c>
      <c r="G171" s="546" t="s">
        <v>1681</v>
      </c>
      <c r="H171" s="49" t="s">
        <v>1016</v>
      </c>
      <c r="I171" s="49" t="s">
        <v>991</v>
      </c>
      <c r="J171" t="s">
        <v>992</v>
      </c>
      <c r="K171" s="549">
        <v>2274</v>
      </c>
    </row>
    <row r="172" spans="1:11" ht="16.5" x14ac:dyDescent="0.3">
      <c r="A172">
        <f t="shared" si="2"/>
        <v>171</v>
      </c>
      <c r="B172" s="546" t="s">
        <v>1682</v>
      </c>
      <c r="C172" s="546" t="s">
        <v>1683</v>
      </c>
      <c r="D172" s="547" t="s">
        <v>1348</v>
      </c>
      <c r="E172" s="548" t="s">
        <v>1684</v>
      </c>
      <c r="F172" s="548" t="s">
        <v>1685</v>
      </c>
      <c r="G172" s="546" t="s">
        <v>1685</v>
      </c>
      <c r="H172" s="49" t="s">
        <v>1016</v>
      </c>
      <c r="I172" s="49" t="s">
        <v>991</v>
      </c>
      <c r="J172" t="s">
        <v>992</v>
      </c>
      <c r="K172" s="549">
        <v>18579</v>
      </c>
    </row>
    <row r="173" spans="1:11" ht="16.5" x14ac:dyDescent="0.3">
      <c r="A173">
        <f t="shared" si="2"/>
        <v>172</v>
      </c>
      <c r="B173" s="546" t="s">
        <v>1686</v>
      </c>
      <c r="C173" s="546" t="s">
        <v>1687</v>
      </c>
      <c r="D173" s="547" t="s">
        <v>1002</v>
      </c>
      <c r="E173" s="548" t="s">
        <v>1688</v>
      </c>
      <c r="F173" s="548" t="s">
        <v>1689</v>
      </c>
      <c r="G173" s="546" t="s">
        <v>1689</v>
      </c>
      <c r="H173" s="49" t="s">
        <v>1016</v>
      </c>
      <c r="I173" s="49" t="s">
        <v>991</v>
      </c>
      <c r="J173" t="s">
        <v>992</v>
      </c>
      <c r="K173" s="549">
        <v>1704</v>
      </c>
    </row>
    <row r="174" spans="1:11" ht="16.5" x14ac:dyDescent="0.3">
      <c r="A174">
        <f t="shared" si="2"/>
        <v>173</v>
      </c>
      <c r="B174" s="546" t="s">
        <v>1690</v>
      </c>
      <c r="C174" s="546" t="s">
        <v>1691</v>
      </c>
      <c r="D174" s="547" t="s">
        <v>1124</v>
      </c>
      <c r="E174" s="548" t="s">
        <v>1692</v>
      </c>
      <c r="F174" s="548" t="s">
        <v>1693</v>
      </c>
      <c r="G174" s="546" t="s">
        <v>1693</v>
      </c>
      <c r="H174" s="49" t="s">
        <v>1016</v>
      </c>
      <c r="I174" s="49" t="s">
        <v>991</v>
      </c>
      <c r="J174" t="s">
        <v>992</v>
      </c>
      <c r="K174" s="549">
        <v>7527</v>
      </c>
    </row>
    <row r="175" spans="1:11" ht="16.5" x14ac:dyDescent="0.3">
      <c r="A175">
        <f t="shared" si="2"/>
        <v>174</v>
      </c>
      <c r="B175" s="546" t="s">
        <v>1694</v>
      </c>
      <c r="C175" s="546" t="s">
        <v>1695</v>
      </c>
      <c r="D175" s="547" t="s">
        <v>1013</v>
      </c>
      <c r="E175" s="548" t="s">
        <v>1696</v>
      </c>
      <c r="F175" s="548" t="s">
        <v>1697</v>
      </c>
      <c r="G175" s="546" t="s">
        <v>1697</v>
      </c>
      <c r="H175" s="49" t="s">
        <v>1016</v>
      </c>
      <c r="I175" s="49" t="s">
        <v>991</v>
      </c>
      <c r="J175" t="s">
        <v>992</v>
      </c>
      <c r="K175" s="549">
        <v>11601</v>
      </c>
    </row>
    <row r="176" spans="1:11" ht="16.5" x14ac:dyDescent="0.3">
      <c r="A176">
        <f t="shared" si="2"/>
        <v>175</v>
      </c>
      <c r="B176" s="546" t="s">
        <v>1698</v>
      </c>
      <c r="C176" s="546" t="s">
        <v>1699</v>
      </c>
      <c r="D176" s="547" t="s">
        <v>1065</v>
      </c>
      <c r="E176" s="548" t="s">
        <v>1700</v>
      </c>
      <c r="F176" s="548" t="s">
        <v>1701</v>
      </c>
      <c r="G176" s="546" t="s">
        <v>1701</v>
      </c>
      <c r="H176" s="49" t="s">
        <v>998</v>
      </c>
      <c r="I176" s="49" t="s">
        <v>991</v>
      </c>
      <c r="J176" t="s">
        <v>992</v>
      </c>
      <c r="K176" s="549">
        <v>11456</v>
      </c>
    </row>
    <row r="177" spans="1:11" ht="16.5" x14ac:dyDescent="0.3">
      <c r="A177">
        <f t="shared" si="2"/>
        <v>176</v>
      </c>
      <c r="B177" s="546" t="s">
        <v>1702</v>
      </c>
      <c r="C177" s="546" t="s">
        <v>1703</v>
      </c>
      <c r="D177" s="547" t="s">
        <v>1065</v>
      </c>
      <c r="E177" s="548" t="s">
        <v>1704</v>
      </c>
      <c r="F177" s="548" t="s">
        <v>1703</v>
      </c>
      <c r="G177" s="546" t="s">
        <v>1348</v>
      </c>
      <c r="H177" s="49" t="s">
        <v>990</v>
      </c>
      <c r="I177" s="49" t="s">
        <v>991</v>
      </c>
      <c r="J177" t="s">
        <v>999</v>
      </c>
      <c r="K177" s="549">
        <v>64634</v>
      </c>
    </row>
    <row r="178" spans="1:11" ht="16.5" x14ac:dyDescent="0.3">
      <c r="A178">
        <f t="shared" si="2"/>
        <v>177</v>
      </c>
      <c r="B178" s="546" t="s">
        <v>1705</v>
      </c>
      <c r="C178" s="546" t="s">
        <v>1706</v>
      </c>
      <c r="D178" s="547" t="s">
        <v>1119</v>
      </c>
      <c r="E178" s="548" t="s">
        <v>1707</v>
      </c>
      <c r="F178" s="548" t="s">
        <v>1706</v>
      </c>
      <c r="G178" s="546" t="s">
        <v>1708</v>
      </c>
      <c r="H178" s="49" t="s">
        <v>990</v>
      </c>
      <c r="I178" s="49" t="s">
        <v>1004</v>
      </c>
      <c r="J178" t="s">
        <v>1048</v>
      </c>
      <c r="K178" s="549">
        <v>7203</v>
      </c>
    </row>
    <row r="179" spans="1:11" ht="16.5" x14ac:dyDescent="0.3">
      <c r="A179">
        <f t="shared" si="2"/>
        <v>178</v>
      </c>
      <c r="B179" s="546" t="s">
        <v>1709</v>
      </c>
      <c r="C179" s="546" t="s">
        <v>1710</v>
      </c>
      <c r="D179" s="547" t="s">
        <v>1042</v>
      </c>
      <c r="E179" s="548" t="s">
        <v>1711</v>
      </c>
      <c r="F179" s="548" t="s">
        <v>1710</v>
      </c>
      <c r="G179" s="546" t="s">
        <v>1712</v>
      </c>
      <c r="H179" s="49" t="s">
        <v>990</v>
      </c>
      <c r="I179" s="49" t="s">
        <v>1004</v>
      </c>
      <c r="J179" t="s">
        <v>1048</v>
      </c>
      <c r="K179" s="549">
        <v>3601</v>
      </c>
    </row>
    <row r="180" spans="1:11" ht="16.5" x14ac:dyDescent="0.3">
      <c r="A180">
        <f t="shared" si="2"/>
        <v>179</v>
      </c>
      <c r="B180" s="546" t="s">
        <v>1713</v>
      </c>
      <c r="C180" s="546" t="s">
        <v>1714</v>
      </c>
      <c r="D180" s="547" t="s">
        <v>1236</v>
      </c>
      <c r="E180" s="548" t="s">
        <v>1715</v>
      </c>
      <c r="F180" s="548" t="s">
        <v>1714</v>
      </c>
      <c r="G180" s="546" t="s">
        <v>1716</v>
      </c>
      <c r="H180" s="49" t="s">
        <v>990</v>
      </c>
      <c r="I180" s="49" t="s">
        <v>1004</v>
      </c>
      <c r="J180" t="s">
        <v>1005</v>
      </c>
      <c r="K180" s="549">
        <v>804</v>
      </c>
    </row>
    <row r="181" spans="1:11" ht="16.5" x14ac:dyDescent="0.3">
      <c r="A181">
        <f t="shared" si="2"/>
        <v>180</v>
      </c>
      <c r="B181" s="546" t="s">
        <v>1717</v>
      </c>
      <c r="C181" s="546" t="s">
        <v>1714</v>
      </c>
      <c r="D181" s="547" t="s">
        <v>1348</v>
      </c>
      <c r="E181" s="548" t="s">
        <v>1718</v>
      </c>
      <c r="F181" s="548" t="s">
        <v>1714</v>
      </c>
      <c r="G181" s="546" t="s">
        <v>1716</v>
      </c>
      <c r="H181" s="49" t="s">
        <v>990</v>
      </c>
      <c r="I181" s="49" t="s">
        <v>991</v>
      </c>
      <c r="J181" t="s">
        <v>1010</v>
      </c>
      <c r="K181" s="549">
        <v>4899</v>
      </c>
    </row>
    <row r="182" spans="1:11" ht="16.5" x14ac:dyDescent="0.3">
      <c r="A182">
        <f t="shared" si="2"/>
        <v>181</v>
      </c>
      <c r="B182" s="546" t="s">
        <v>1719</v>
      </c>
      <c r="C182" s="546" t="s">
        <v>1714</v>
      </c>
      <c r="D182" s="547" t="s">
        <v>1008</v>
      </c>
      <c r="E182" s="548" t="s">
        <v>1720</v>
      </c>
      <c r="F182" s="548" t="s">
        <v>1714</v>
      </c>
      <c r="G182" s="546" t="s">
        <v>1716</v>
      </c>
      <c r="H182" s="49" t="s">
        <v>990</v>
      </c>
      <c r="I182" s="49" t="s">
        <v>1004</v>
      </c>
      <c r="J182" t="s">
        <v>1048</v>
      </c>
      <c r="K182" s="549">
        <v>5712</v>
      </c>
    </row>
    <row r="183" spans="1:11" ht="16.5" x14ac:dyDescent="0.3">
      <c r="A183">
        <f t="shared" si="2"/>
        <v>182</v>
      </c>
      <c r="B183" s="546" t="s">
        <v>1721</v>
      </c>
      <c r="C183" s="546" t="s">
        <v>1722</v>
      </c>
      <c r="D183" s="547" t="s">
        <v>1106</v>
      </c>
      <c r="E183" s="548" t="s">
        <v>1723</v>
      </c>
      <c r="F183" s="548" t="s">
        <v>1724</v>
      </c>
      <c r="G183" s="546" t="s">
        <v>1724</v>
      </c>
      <c r="H183" s="49" t="s">
        <v>978</v>
      </c>
      <c r="I183" s="49" t="s">
        <v>991</v>
      </c>
      <c r="J183" t="s">
        <v>1077</v>
      </c>
      <c r="K183" s="549">
        <v>11176</v>
      </c>
    </row>
    <row r="184" spans="1:11" ht="16.5" x14ac:dyDescent="0.3">
      <c r="A184">
        <f t="shared" si="2"/>
        <v>183</v>
      </c>
      <c r="B184" s="546" t="s">
        <v>1725</v>
      </c>
      <c r="C184" s="546" t="s">
        <v>1726</v>
      </c>
      <c r="D184" s="547" t="s">
        <v>1013</v>
      </c>
      <c r="E184" s="548" t="s">
        <v>1727</v>
      </c>
      <c r="F184" s="548" t="s">
        <v>1728</v>
      </c>
      <c r="G184" s="546" t="s">
        <v>1728</v>
      </c>
      <c r="H184" s="49" t="s">
        <v>998</v>
      </c>
      <c r="I184" s="49" t="s">
        <v>991</v>
      </c>
      <c r="J184" t="s">
        <v>1053</v>
      </c>
      <c r="K184" s="549">
        <v>43010</v>
      </c>
    </row>
    <row r="185" spans="1:11" ht="16.5" x14ac:dyDescent="0.3">
      <c r="A185">
        <f t="shared" si="2"/>
        <v>184</v>
      </c>
      <c r="B185" s="546" t="s">
        <v>1729</v>
      </c>
      <c r="C185" s="546" t="s">
        <v>1730</v>
      </c>
      <c r="D185" s="547" t="s">
        <v>1008</v>
      </c>
      <c r="E185" s="548" t="s">
        <v>1731</v>
      </c>
      <c r="F185" s="548" t="s">
        <v>1732</v>
      </c>
      <c r="G185" s="546" t="s">
        <v>1732</v>
      </c>
      <c r="H185" s="49" t="s">
        <v>978</v>
      </c>
      <c r="I185" s="49" t="s">
        <v>991</v>
      </c>
      <c r="J185" t="s">
        <v>992</v>
      </c>
      <c r="K185" s="549">
        <v>9724</v>
      </c>
    </row>
    <row r="186" spans="1:11" ht="16.5" x14ac:dyDescent="0.3">
      <c r="A186">
        <f t="shared" si="2"/>
        <v>185</v>
      </c>
      <c r="B186" s="546" t="s">
        <v>1733</v>
      </c>
      <c r="C186" s="546" t="s">
        <v>1734</v>
      </c>
      <c r="D186" s="547" t="s">
        <v>1065</v>
      </c>
      <c r="E186" s="548" t="s">
        <v>1735</v>
      </c>
      <c r="F186" s="548" t="s">
        <v>1736</v>
      </c>
      <c r="G186" s="546" t="s">
        <v>1736</v>
      </c>
      <c r="H186" s="49" t="s">
        <v>1016</v>
      </c>
      <c r="I186" s="49" t="s">
        <v>991</v>
      </c>
      <c r="J186" t="s">
        <v>992</v>
      </c>
      <c r="K186" s="549">
        <v>7473</v>
      </c>
    </row>
    <row r="187" spans="1:11" ht="16.5" x14ac:dyDescent="0.3">
      <c r="A187">
        <f t="shared" si="2"/>
        <v>186</v>
      </c>
      <c r="B187" s="546" t="s">
        <v>1737</v>
      </c>
      <c r="C187" s="546" t="s">
        <v>1738</v>
      </c>
      <c r="D187" s="547" t="s">
        <v>1065</v>
      </c>
      <c r="E187" s="548" t="s">
        <v>1739</v>
      </c>
      <c r="F187" s="548" t="s">
        <v>1738</v>
      </c>
      <c r="G187" s="546" t="s">
        <v>1740</v>
      </c>
      <c r="H187" s="49" t="s">
        <v>990</v>
      </c>
      <c r="I187" s="49" t="s">
        <v>1021</v>
      </c>
      <c r="J187" t="s">
        <v>1022</v>
      </c>
      <c r="K187" s="549">
        <v>14707</v>
      </c>
    </row>
    <row r="188" spans="1:11" ht="16.5" x14ac:dyDescent="0.3">
      <c r="A188">
        <f t="shared" si="2"/>
        <v>187</v>
      </c>
      <c r="B188" s="546" t="s">
        <v>1741</v>
      </c>
      <c r="C188" s="546" t="s">
        <v>1742</v>
      </c>
      <c r="D188" s="547" t="s">
        <v>1065</v>
      </c>
      <c r="E188" s="548" t="s">
        <v>1743</v>
      </c>
      <c r="F188" s="548" t="s">
        <v>1744</v>
      </c>
      <c r="G188" s="546" t="s">
        <v>1744</v>
      </c>
      <c r="H188" s="49" t="s">
        <v>1016</v>
      </c>
      <c r="I188" s="49" t="s">
        <v>1021</v>
      </c>
      <c r="J188" t="s">
        <v>1022</v>
      </c>
      <c r="K188" s="549">
        <v>11593</v>
      </c>
    </row>
    <row r="189" spans="1:11" ht="16.5" x14ac:dyDescent="0.3">
      <c r="A189">
        <f t="shared" si="2"/>
        <v>188</v>
      </c>
      <c r="B189" s="546" t="s">
        <v>1745</v>
      </c>
      <c r="C189" s="546" t="s">
        <v>1746</v>
      </c>
      <c r="D189" s="547" t="s">
        <v>1097</v>
      </c>
      <c r="E189" s="548" t="s">
        <v>1747</v>
      </c>
      <c r="F189" s="548" t="s">
        <v>1746</v>
      </c>
      <c r="G189" s="546" t="s">
        <v>1748</v>
      </c>
      <c r="H189" s="49" t="s">
        <v>990</v>
      </c>
      <c r="I189" s="49" t="s">
        <v>1004</v>
      </c>
      <c r="J189" t="s">
        <v>1048</v>
      </c>
      <c r="K189" s="549">
        <v>6110</v>
      </c>
    </row>
    <row r="190" spans="1:11" ht="16.5" x14ac:dyDescent="0.3">
      <c r="A190">
        <f t="shared" si="2"/>
        <v>189</v>
      </c>
      <c r="B190" s="546" t="s">
        <v>1749</v>
      </c>
      <c r="C190" s="546" t="s">
        <v>1750</v>
      </c>
      <c r="D190" s="547" t="s">
        <v>1186</v>
      </c>
      <c r="E190" s="548" t="s">
        <v>1751</v>
      </c>
      <c r="F190" s="548" t="s">
        <v>1752</v>
      </c>
      <c r="G190" s="546" t="s">
        <v>1752</v>
      </c>
      <c r="H190" s="49" t="s">
        <v>1016</v>
      </c>
      <c r="I190" s="49" t="s">
        <v>991</v>
      </c>
      <c r="J190" t="s">
        <v>992</v>
      </c>
      <c r="K190" s="549">
        <v>8318</v>
      </c>
    </row>
    <row r="191" spans="1:11" ht="16.5" x14ac:dyDescent="0.3">
      <c r="A191">
        <f t="shared" si="2"/>
        <v>190</v>
      </c>
      <c r="B191" s="546" t="s">
        <v>1753</v>
      </c>
      <c r="C191" s="546" t="s">
        <v>1754</v>
      </c>
      <c r="D191" s="547" t="s">
        <v>1042</v>
      </c>
      <c r="E191" s="548" t="s">
        <v>1755</v>
      </c>
      <c r="F191" s="548" t="s">
        <v>1756</v>
      </c>
      <c r="G191" s="546" t="s">
        <v>1756</v>
      </c>
      <c r="H191" s="49" t="s">
        <v>1016</v>
      </c>
      <c r="I191" s="49" t="s">
        <v>991</v>
      </c>
      <c r="J191" t="s">
        <v>992</v>
      </c>
      <c r="K191" s="549">
        <v>3277</v>
      </c>
    </row>
    <row r="192" spans="1:11" ht="16.5" x14ac:dyDescent="0.3">
      <c r="A192">
        <f t="shared" si="2"/>
        <v>191</v>
      </c>
      <c r="B192" s="546" t="s">
        <v>1757</v>
      </c>
      <c r="C192" s="546" t="s">
        <v>1758</v>
      </c>
      <c r="D192" s="547" t="s">
        <v>995</v>
      </c>
      <c r="E192" s="548" t="s">
        <v>1759</v>
      </c>
      <c r="F192" s="548" t="s">
        <v>1758</v>
      </c>
      <c r="G192" s="546" t="s">
        <v>1760</v>
      </c>
      <c r="H192" s="49" t="s">
        <v>990</v>
      </c>
      <c r="I192" s="49" t="s">
        <v>1004</v>
      </c>
      <c r="J192" t="s">
        <v>1048</v>
      </c>
      <c r="K192" s="549">
        <v>26503</v>
      </c>
    </row>
    <row r="193" spans="1:11" ht="16.5" x14ac:dyDescent="0.3">
      <c r="A193">
        <f t="shared" si="2"/>
        <v>192</v>
      </c>
      <c r="B193" s="546" t="s">
        <v>1761</v>
      </c>
      <c r="C193" s="546" t="s">
        <v>1758</v>
      </c>
      <c r="D193" s="547" t="s">
        <v>1489</v>
      </c>
      <c r="E193" s="548" t="s">
        <v>1762</v>
      </c>
      <c r="F193" s="548" t="s">
        <v>1758</v>
      </c>
      <c r="G193" s="546" t="s">
        <v>1760</v>
      </c>
      <c r="H193" s="49" t="s">
        <v>990</v>
      </c>
      <c r="I193" s="49" t="s">
        <v>991</v>
      </c>
      <c r="J193" t="s">
        <v>1077</v>
      </c>
      <c r="K193" s="549">
        <v>88464</v>
      </c>
    </row>
    <row r="194" spans="1:11" ht="16.5" x14ac:dyDescent="0.3">
      <c r="A194">
        <f t="shared" si="2"/>
        <v>193</v>
      </c>
      <c r="B194" s="546" t="s">
        <v>1763</v>
      </c>
      <c r="C194" s="546" t="s">
        <v>1764</v>
      </c>
      <c r="D194" s="547" t="s">
        <v>995</v>
      </c>
      <c r="E194" s="548" t="s">
        <v>1765</v>
      </c>
      <c r="F194" s="548" t="s">
        <v>1764</v>
      </c>
      <c r="G194" s="546" t="s">
        <v>1766</v>
      </c>
      <c r="H194" s="49" t="s">
        <v>990</v>
      </c>
      <c r="I194" s="49" t="s">
        <v>991</v>
      </c>
      <c r="J194" t="s">
        <v>992</v>
      </c>
      <c r="K194" s="549">
        <v>14791</v>
      </c>
    </row>
    <row r="195" spans="1:11" ht="16.5" x14ac:dyDescent="0.3">
      <c r="A195">
        <f t="shared" si="2"/>
        <v>194</v>
      </c>
      <c r="B195" s="546" t="s">
        <v>1767</v>
      </c>
      <c r="C195" s="546" t="s">
        <v>1768</v>
      </c>
      <c r="D195" s="547" t="s">
        <v>1002</v>
      </c>
      <c r="E195" s="548" t="s">
        <v>1769</v>
      </c>
      <c r="F195" s="548" t="s">
        <v>1770</v>
      </c>
      <c r="G195" s="546" t="s">
        <v>1770</v>
      </c>
      <c r="H195" s="49" t="s">
        <v>1016</v>
      </c>
      <c r="I195" s="49" t="s">
        <v>991</v>
      </c>
      <c r="J195" t="s">
        <v>992</v>
      </c>
      <c r="K195" s="549">
        <v>1401</v>
      </c>
    </row>
    <row r="196" spans="1:11" ht="16.5" x14ac:dyDescent="0.3">
      <c r="A196">
        <f t="shared" ref="A196:A259" si="3">A195+1</f>
        <v>195</v>
      </c>
      <c r="B196" s="546" t="s">
        <v>1771</v>
      </c>
      <c r="C196" s="546" t="s">
        <v>1772</v>
      </c>
      <c r="D196" s="547" t="s">
        <v>1042</v>
      </c>
      <c r="E196" s="548" t="s">
        <v>1773</v>
      </c>
      <c r="F196" s="548" t="s">
        <v>1772</v>
      </c>
      <c r="G196" s="546" t="s">
        <v>1770</v>
      </c>
      <c r="H196" s="49" t="s">
        <v>990</v>
      </c>
      <c r="I196" s="49" t="s">
        <v>1004</v>
      </c>
      <c r="J196" t="s">
        <v>1048</v>
      </c>
      <c r="K196" s="549">
        <v>5196</v>
      </c>
    </row>
    <row r="197" spans="1:11" ht="16.5" x14ac:dyDescent="0.3">
      <c r="A197">
        <f t="shared" si="3"/>
        <v>196</v>
      </c>
      <c r="B197" s="546" t="s">
        <v>1774</v>
      </c>
      <c r="C197" s="546" t="s">
        <v>1775</v>
      </c>
      <c r="D197" s="547" t="s">
        <v>1199</v>
      </c>
      <c r="E197" s="548" t="s">
        <v>1776</v>
      </c>
      <c r="F197" s="548" t="s">
        <v>1775</v>
      </c>
      <c r="G197" s="546" t="s">
        <v>1777</v>
      </c>
      <c r="H197" s="49" t="s">
        <v>990</v>
      </c>
      <c r="I197" s="49" t="s">
        <v>1004</v>
      </c>
      <c r="J197" t="s">
        <v>1048</v>
      </c>
      <c r="K197" s="549">
        <v>13712</v>
      </c>
    </row>
    <row r="198" spans="1:11" ht="16.5" x14ac:dyDescent="0.3">
      <c r="A198">
        <f t="shared" si="3"/>
        <v>197</v>
      </c>
      <c r="B198" s="546" t="s">
        <v>1778</v>
      </c>
      <c r="C198" s="546" t="s">
        <v>1779</v>
      </c>
      <c r="D198" s="547" t="s">
        <v>1199</v>
      </c>
      <c r="E198" s="548" t="s">
        <v>1780</v>
      </c>
      <c r="F198" s="548" t="s">
        <v>1779</v>
      </c>
      <c r="G198" s="546" t="s">
        <v>1781</v>
      </c>
      <c r="H198" s="49" t="s">
        <v>990</v>
      </c>
      <c r="I198" s="49" t="s">
        <v>1004</v>
      </c>
      <c r="J198" t="s">
        <v>1048</v>
      </c>
      <c r="K198" s="549">
        <v>3838</v>
      </c>
    </row>
    <row r="199" spans="1:11" ht="16.5" x14ac:dyDescent="0.3">
      <c r="A199">
        <f t="shared" si="3"/>
        <v>198</v>
      </c>
      <c r="B199" s="546" t="s">
        <v>1782</v>
      </c>
      <c r="C199" s="546" t="s">
        <v>1783</v>
      </c>
      <c r="D199" s="547" t="s">
        <v>1008</v>
      </c>
      <c r="E199" s="548" t="s">
        <v>1784</v>
      </c>
      <c r="F199" s="548" t="s">
        <v>1783</v>
      </c>
      <c r="G199" s="546" t="s">
        <v>1785</v>
      </c>
      <c r="H199" s="49" t="s">
        <v>990</v>
      </c>
      <c r="I199" s="49" t="s">
        <v>1004</v>
      </c>
      <c r="J199" t="s">
        <v>1005</v>
      </c>
      <c r="K199" s="549">
        <v>1696</v>
      </c>
    </row>
    <row r="200" spans="1:11" ht="16.5" x14ac:dyDescent="0.3">
      <c r="A200">
        <f t="shared" si="3"/>
        <v>199</v>
      </c>
      <c r="B200" s="546" t="s">
        <v>1786</v>
      </c>
      <c r="C200" s="546" t="s">
        <v>1787</v>
      </c>
      <c r="D200" s="547" t="s">
        <v>1042</v>
      </c>
      <c r="E200" s="548" t="s">
        <v>1788</v>
      </c>
      <c r="F200" s="548" t="s">
        <v>1787</v>
      </c>
      <c r="G200" s="546" t="s">
        <v>1789</v>
      </c>
      <c r="H200" s="49" t="s">
        <v>990</v>
      </c>
      <c r="I200" s="49" t="s">
        <v>991</v>
      </c>
      <c r="J200" t="s">
        <v>1053</v>
      </c>
      <c r="K200" s="549">
        <v>8213</v>
      </c>
    </row>
    <row r="201" spans="1:11" ht="16.5" x14ac:dyDescent="0.3">
      <c r="A201">
        <f t="shared" si="3"/>
        <v>200</v>
      </c>
      <c r="B201" s="546" t="s">
        <v>1790</v>
      </c>
      <c r="C201" s="546" t="s">
        <v>1791</v>
      </c>
      <c r="D201" s="547" t="s">
        <v>1008</v>
      </c>
      <c r="E201" s="548" t="s">
        <v>1792</v>
      </c>
      <c r="F201" s="548" t="s">
        <v>1791</v>
      </c>
      <c r="G201" s="546" t="s">
        <v>1793</v>
      </c>
      <c r="H201" s="49" t="s">
        <v>990</v>
      </c>
      <c r="I201" s="49" t="s">
        <v>1004</v>
      </c>
      <c r="J201" t="s">
        <v>1005</v>
      </c>
      <c r="K201" s="549">
        <v>2667</v>
      </c>
    </row>
    <row r="202" spans="1:11" ht="16.5" x14ac:dyDescent="0.3">
      <c r="A202">
        <f t="shared" si="3"/>
        <v>201</v>
      </c>
      <c r="B202" s="546" t="s">
        <v>1794</v>
      </c>
      <c r="C202" s="546" t="s">
        <v>1795</v>
      </c>
      <c r="D202" s="547" t="s">
        <v>1013</v>
      </c>
      <c r="E202" s="548" t="s">
        <v>1796</v>
      </c>
      <c r="F202" s="548" t="s">
        <v>1797</v>
      </c>
      <c r="G202" s="546" t="s">
        <v>1797</v>
      </c>
      <c r="H202" s="49" t="s">
        <v>1016</v>
      </c>
      <c r="I202" s="49" t="s">
        <v>991</v>
      </c>
      <c r="J202" t="s">
        <v>992</v>
      </c>
      <c r="K202" s="549">
        <v>4664</v>
      </c>
    </row>
    <row r="203" spans="1:11" ht="16.5" x14ac:dyDescent="0.3">
      <c r="A203">
        <f t="shared" si="3"/>
        <v>202</v>
      </c>
      <c r="B203" s="546" t="s">
        <v>1798</v>
      </c>
      <c r="C203" s="546" t="s">
        <v>1799</v>
      </c>
      <c r="D203" s="547" t="s">
        <v>1106</v>
      </c>
      <c r="E203" s="548" t="s">
        <v>1800</v>
      </c>
      <c r="F203" s="548" t="s">
        <v>1801</v>
      </c>
      <c r="G203" s="546" t="s">
        <v>1801</v>
      </c>
      <c r="H203" s="49" t="s">
        <v>978</v>
      </c>
      <c r="I203" s="49" t="s">
        <v>991</v>
      </c>
      <c r="J203" t="s">
        <v>1644</v>
      </c>
      <c r="K203" s="549">
        <v>13620</v>
      </c>
    </row>
    <row r="204" spans="1:11" ht="16.5" x14ac:dyDescent="0.3">
      <c r="A204">
        <f t="shared" si="3"/>
        <v>203</v>
      </c>
      <c r="B204" s="546" t="s">
        <v>1802</v>
      </c>
      <c r="C204" s="546" t="s">
        <v>1803</v>
      </c>
      <c r="D204" s="547" t="s">
        <v>1348</v>
      </c>
      <c r="E204" s="548" t="s">
        <v>1804</v>
      </c>
      <c r="F204" s="548" t="s">
        <v>1803</v>
      </c>
      <c r="G204" s="546" t="s">
        <v>1801</v>
      </c>
      <c r="H204" s="49" t="s">
        <v>990</v>
      </c>
      <c r="I204" s="49" t="s">
        <v>1004</v>
      </c>
      <c r="J204" t="s">
        <v>1048</v>
      </c>
      <c r="K204" s="549">
        <v>12417</v>
      </c>
    </row>
    <row r="205" spans="1:11" ht="16.5" x14ac:dyDescent="0.3">
      <c r="A205">
        <f t="shared" si="3"/>
        <v>204</v>
      </c>
      <c r="B205" s="546" t="s">
        <v>1805</v>
      </c>
      <c r="C205" s="546" t="s">
        <v>1806</v>
      </c>
      <c r="D205" s="547" t="s">
        <v>1084</v>
      </c>
      <c r="E205" s="548" t="s">
        <v>1807</v>
      </c>
      <c r="F205" s="548" t="s">
        <v>1808</v>
      </c>
      <c r="G205" s="546" t="s">
        <v>1808</v>
      </c>
      <c r="H205" s="49" t="s">
        <v>1016</v>
      </c>
      <c r="I205" s="49" t="s">
        <v>1021</v>
      </c>
      <c r="J205" t="s">
        <v>1022</v>
      </c>
      <c r="K205" s="549">
        <v>337</v>
      </c>
    </row>
    <row r="206" spans="1:11" ht="16.5" x14ac:dyDescent="0.3">
      <c r="A206">
        <f t="shared" si="3"/>
        <v>205</v>
      </c>
      <c r="B206" s="546" t="s">
        <v>1809</v>
      </c>
      <c r="C206" s="546" t="s">
        <v>1810</v>
      </c>
      <c r="D206" s="547" t="s">
        <v>1013</v>
      </c>
      <c r="E206" s="548" t="s">
        <v>1811</v>
      </c>
      <c r="F206" s="548" t="s">
        <v>1812</v>
      </c>
      <c r="G206" s="546" t="s">
        <v>1812</v>
      </c>
      <c r="H206" s="49" t="s">
        <v>1016</v>
      </c>
      <c r="I206" s="49" t="s">
        <v>991</v>
      </c>
      <c r="J206" t="s">
        <v>992</v>
      </c>
      <c r="K206" s="549">
        <v>11842</v>
      </c>
    </row>
    <row r="207" spans="1:11" ht="16.5" x14ac:dyDescent="0.3">
      <c r="A207">
        <f t="shared" si="3"/>
        <v>206</v>
      </c>
      <c r="B207" s="546" t="s">
        <v>1813</v>
      </c>
      <c r="C207" s="546" t="s">
        <v>1814</v>
      </c>
      <c r="D207" s="547" t="s">
        <v>1013</v>
      </c>
      <c r="E207" s="548" t="s">
        <v>1815</v>
      </c>
      <c r="F207" s="548" t="s">
        <v>1816</v>
      </c>
      <c r="G207" s="546" t="s">
        <v>1816</v>
      </c>
      <c r="H207" s="49" t="s">
        <v>1016</v>
      </c>
      <c r="I207" s="49" t="s">
        <v>991</v>
      </c>
      <c r="J207" t="s">
        <v>992</v>
      </c>
      <c r="K207" s="549">
        <v>3382</v>
      </c>
    </row>
    <row r="208" spans="1:11" ht="16.5" x14ac:dyDescent="0.3">
      <c r="A208">
        <f t="shared" si="3"/>
        <v>207</v>
      </c>
      <c r="B208" s="546" t="s">
        <v>1817</v>
      </c>
      <c r="C208" s="546" t="s">
        <v>1818</v>
      </c>
      <c r="D208" s="547" t="s">
        <v>1186</v>
      </c>
      <c r="E208" s="548" t="s">
        <v>1819</v>
      </c>
      <c r="F208" s="548" t="s">
        <v>1820</v>
      </c>
      <c r="G208" s="546" t="s">
        <v>1820</v>
      </c>
      <c r="H208" s="49" t="s">
        <v>1016</v>
      </c>
      <c r="I208" s="49" t="s">
        <v>991</v>
      </c>
      <c r="J208" t="s">
        <v>999</v>
      </c>
      <c r="K208" s="549">
        <v>18791</v>
      </c>
    </row>
    <row r="209" spans="1:11" ht="16.5" x14ac:dyDescent="0.3">
      <c r="A209">
        <f t="shared" si="3"/>
        <v>208</v>
      </c>
      <c r="B209" s="546" t="s">
        <v>1821</v>
      </c>
      <c r="C209" s="546" t="s">
        <v>1822</v>
      </c>
      <c r="D209" s="547" t="s">
        <v>987</v>
      </c>
      <c r="E209" s="548" t="s">
        <v>1823</v>
      </c>
      <c r="F209" s="548" t="s">
        <v>1822</v>
      </c>
      <c r="G209" s="546" t="s">
        <v>1824</v>
      </c>
      <c r="H209" s="49" t="s">
        <v>990</v>
      </c>
      <c r="I209" s="49" t="s">
        <v>1004</v>
      </c>
      <c r="J209" t="s">
        <v>1048</v>
      </c>
      <c r="K209" s="549">
        <v>20334</v>
      </c>
    </row>
    <row r="210" spans="1:11" ht="16.5" x14ac:dyDescent="0.3">
      <c r="A210">
        <f t="shared" si="3"/>
        <v>209</v>
      </c>
      <c r="B210" s="546" t="s">
        <v>1825</v>
      </c>
      <c r="C210" s="546" t="s">
        <v>1826</v>
      </c>
      <c r="D210" s="547" t="s">
        <v>1305</v>
      </c>
      <c r="E210" s="548" t="s">
        <v>1827</v>
      </c>
      <c r="F210" s="548" t="s">
        <v>1828</v>
      </c>
      <c r="G210" s="546" t="s">
        <v>1828</v>
      </c>
      <c r="H210" s="49" t="s">
        <v>1016</v>
      </c>
      <c r="I210" s="49" t="s">
        <v>991</v>
      </c>
      <c r="J210" t="s">
        <v>992</v>
      </c>
      <c r="K210" s="549">
        <v>2178</v>
      </c>
    </row>
    <row r="211" spans="1:11" ht="16.5" x14ac:dyDescent="0.3">
      <c r="A211">
        <f t="shared" si="3"/>
        <v>210</v>
      </c>
      <c r="B211" s="546" t="s">
        <v>1829</v>
      </c>
      <c r="C211" s="546" t="s">
        <v>1830</v>
      </c>
      <c r="D211" s="547" t="s">
        <v>1002</v>
      </c>
      <c r="E211" s="548" t="s">
        <v>1831</v>
      </c>
      <c r="F211" s="548" t="s">
        <v>1832</v>
      </c>
      <c r="G211" s="546" t="s">
        <v>1832</v>
      </c>
      <c r="H211" s="49" t="s">
        <v>1016</v>
      </c>
      <c r="I211" s="49" t="s">
        <v>991</v>
      </c>
      <c r="J211" t="s">
        <v>992</v>
      </c>
      <c r="K211" s="549">
        <v>3648</v>
      </c>
    </row>
    <row r="212" spans="1:11" ht="16.5" x14ac:dyDescent="0.3">
      <c r="A212">
        <f t="shared" si="3"/>
        <v>211</v>
      </c>
      <c r="B212" s="546" t="s">
        <v>1833</v>
      </c>
      <c r="C212" s="546" t="s">
        <v>1834</v>
      </c>
      <c r="D212" s="547" t="s">
        <v>1305</v>
      </c>
      <c r="E212" s="548" t="s">
        <v>1835</v>
      </c>
      <c r="F212" s="548" t="s">
        <v>1836</v>
      </c>
      <c r="G212" s="546" t="s">
        <v>1836</v>
      </c>
      <c r="H212" s="49" t="s">
        <v>1016</v>
      </c>
      <c r="I212" s="49" t="s">
        <v>991</v>
      </c>
      <c r="J212" t="s">
        <v>992</v>
      </c>
      <c r="K212" s="549">
        <v>13982</v>
      </c>
    </row>
    <row r="213" spans="1:11" ht="16.5" x14ac:dyDescent="0.3">
      <c r="A213">
        <f t="shared" si="3"/>
        <v>212</v>
      </c>
      <c r="B213" s="546" t="s">
        <v>1837</v>
      </c>
      <c r="C213" s="546" t="s">
        <v>1838</v>
      </c>
      <c r="D213" s="547" t="s">
        <v>987</v>
      </c>
      <c r="E213" s="548" t="s">
        <v>1839</v>
      </c>
      <c r="F213" s="548" t="s">
        <v>1840</v>
      </c>
      <c r="G213" s="546" t="s">
        <v>1840</v>
      </c>
      <c r="H213" s="49" t="s">
        <v>1016</v>
      </c>
      <c r="I213" s="49" t="s">
        <v>991</v>
      </c>
      <c r="J213" t="s">
        <v>1010</v>
      </c>
      <c r="K213" s="549">
        <v>5005</v>
      </c>
    </row>
    <row r="214" spans="1:11" ht="16.5" x14ac:dyDescent="0.3">
      <c r="A214">
        <f t="shared" si="3"/>
        <v>213</v>
      </c>
      <c r="B214" s="546" t="s">
        <v>1841</v>
      </c>
      <c r="C214" s="546" t="s">
        <v>1842</v>
      </c>
      <c r="D214" s="547" t="s">
        <v>1489</v>
      </c>
      <c r="E214" s="548" t="s">
        <v>1843</v>
      </c>
      <c r="F214" s="548" t="s">
        <v>1844</v>
      </c>
      <c r="G214" s="546" t="s">
        <v>1844</v>
      </c>
      <c r="H214" s="49" t="s">
        <v>1016</v>
      </c>
      <c r="I214" s="49" t="s">
        <v>991</v>
      </c>
      <c r="J214" t="s">
        <v>992</v>
      </c>
      <c r="K214" s="549">
        <v>5494</v>
      </c>
    </row>
    <row r="215" spans="1:11" ht="16.5" x14ac:dyDescent="0.3">
      <c r="A215">
        <f t="shared" si="3"/>
        <v>214</v>
      </c>
      <c r="B215" s="546" t="s">
        <v>1845</v>
      </c>
      <c r="C215" s="546" t="s">
        <v>1846</v>
      </c>
      <c r="D215" s="547" t="s">
        <v>1119</v>
      </c>
      <c r="E215" s="548" t="s">
        <v>1847</v>
      </c>
      <c r="F215" s="548" t="s">
        <v>1846</v>
      </c>
      <c r="G215" s="546" t="s">
        <v>1848</v>
      </c>
      <c r="H215" s="49" t="s">
        <v>990</v>
      </c>
      <c r="I215" s="49" t="s">
        <v>1004</v>
      </c>
      <c r="J215" t="s">
        <v>1048</v>
      </c>
      <c r="K215" s="549">
        <v>38303</v>
      </c>
    </row>
    <row r="216" spans="1:11" ht="16.5" x14ac:dyDescent="0.3">
      <c r="A216">
        <f t="shared" si="3"/>
        <v>215</v>
      </c>
      <c r="B216" s="546" t="s">
        <v>1849</v>
      </c>
      <c r="C216" s="546" t="s">
        <v>1850</v>
      </c>
      <c r="D216" s="547" t="s">
        <v>1013</v>
      </c>
      <c r="E216" s="548" t="s">
        <v>1851</v>
      </c>
      <c r="F216" s="548" t="s">
        <v>1852</v>
      </c>
      <c r="G216" s="546" t="s">
        <v>1852</v>
      </c>
      <c r="H216" s="49" t="s">
        <v>1016</v>
      </c>
      <c r="I216" s="49" t="s">
        <v>991</v>
      </c>
      <c r="J216" t="s">
        <v>992</v>
      </c>
      <c r="K216" s="549">
        <v>10219</v>
      </c>
    </row>
    <row r="217" spans="1:11" ht="16.5" x14ac:dyDescent="0.3">
      <c r="A217">
        <f t="shared" si="3"/>
        <v>216</v>
      </c>
      <c r="B217" s="546" t="s">
        <v>1853</v>
      </c>
      <c r="C217" s="546" t="s">
        <v>1854</v>
      </c>
      <c r="D217" s="547" t="s">
        <v>1146</v>
      </c>
      <c r="E217" s="548" t="s">
        <v>1855</v>
      </c>
      <c r="F217" s="548" t="s">
        <v>1854</v>
      </c>
      <c r="G217" s="546" t="s">
        <v>1856</v>
      </c>
      <c r="H217" s="49" t="s">
        <v>990</v>
      </c>
      <c r="I217" s="49" t="s">
        <v>991</v>
      </c>
      <c r="J217" t="s">
        <v>999</v>
      </c>
      <c r="K217" s="549">
        <v>21404</v>
      </c>
    </row>
    <row r="218" spans="1:11" ht="16.5" x14ac:dyDescent="0.3">
      <c r="A218">
        <f t="shared" si="3"/>
        <v>217</v>
      </c>
      <c r="B218" s="546" t="s">
        <v>1857</v>
      </c>
      <c r="C218" s="546" t="s">
        <v>1858</v>
      </c>
      <c r="D218" s="547" t="s">
        <v>1065</v>
      </c>
      <c r="E218" s="548" t="s">
        <v>1859</v>
      </c>
      <c r="F218" s="548" t="s">
        <v>1860</v>
      </c>
      <c r="G218" s="546" t="s">
        <v>1860</v>
      </c>
      <c r="H218" s="49" t="s">
        <v>1016</v>
      </c>
      <c r="I218" s="49" t="s">
        <v>991</v>
      </c>
      <c r="J218" t="s">
        <v>992</v>
      </c>
      <c r="K218" s="549">
        <v>870</v>
      </c>
    </row>
    <row r="219" spans="1:11" ht="16.5" x14ac:dyDescent="0.3">
      <c r="A219">
        <f t="shared" si="3"/>
        <v>218</v>
      </c>
      <c r="B219" s="546" t="s">
        <v>1861</v>
      </c>
      <c r="C219" s="546" t="s">
        <v>1862</v>
      </c>
      <c r="D219" s="547" t="s">
        <v>1106</v>
      </c>
      <c r="E219" s="548" t="s">
        <v>1863</v>
      </c>
      <c r="F219" s="548" t="s">
        <v>1864</v>
      </c>
      <c r="G219" s="546" t="s">
        <v>1864</v>
      </c>
      <c r="H219" s="49" t="s">
        <v>998</v>
      </c>
      <c r="I219" s="49" t="s">
        <v>991</v>
      </c>
      <c r="J219" t="s">
        <v>1058</v>
      </c>
      <c r="K219" s="549">
        <v>50005</v>
      </c>
    </row>
    <row r="220" spans="1:11" ht="16.5" x14ac:dyDescent="0.3">
      <c r="A220">
        <f t="shared" si="3"/>
        <v>219</v>
      </c>
      <c r="B220" s="546" t="s">
        <v>1865</v>
      </c>
      <c r="C220" s="546" t="s">
        <v>1866</v>
      </c>
      <c r="D220" s="547" t="s">
        <v>1013</v>
      </c>
      <c r="E220" s="548" t="s">
        <v>1867</v>
      </c>
      <c r="F220" s="548" t="s">
        <v>1868</v>
      </c>
      <c r="G220" s="546" t="s">
        <v>1868</v>
      </c>
      <c r="H220" s="49" t="s">
        <v>1016</v>
      </c>
      <c r="I220" s="49" t="s">
        <v>991</v>
      </c>
      <c r="J220" t="s">
        <v>992</v>
      </c>
      <c r="K220" s="549">
        <v>4078</v>
      </c>
    </row>
    <row r="221" spans="1:11" ht="16.5" x14ac:dyDescent="0.3">
      <c r="A221">
        <f t="shared" si="3"/>
        <v>220</v>
      </c>
      <c r="B221" s="546" t="s">
        <v>1869</v>
      </c>
      <c r="C221" s="546" t="s">
        <v>1870</v>
      </c>
      <c r="D221" s="547" t="s">
        <v>1002</v>
      </c>
      <c r="E221" s="548" t="s">
        <v>1871</v>
      </c>
      <c r="F221" s="548" t="s">
        <v>1870</v>
      </c>
      <c r="G221" s="546" t="s">
        <v>1872</v>
      </c>
      <c r="H221" s="49" t="s">
        <v>990</v>
      </c>
      <c r="I221" s="49" t="s">
        <v>1004</v>
      </c>
      <c r="J221" t="s">
        <v>1048</v>
      </c>
      <c r="K221" s="549">
        <v>5291</v>
      </c>
    </row>
    <row r="222" spans="1:11" ht="16.5" x14ac:dyDescent="0.3">
      <c r="A222">
        <f t="shared" si="3"/>
        <v>221</v>
      </c>
      <c r="B222" s="546" t="s">
        <v>1873</v>
      </c>
      <c r="C222" s="546" t="s">
        <v>1874</v>
      </c>
      <c r="D222" s="547" t="s">
        <v>987</v>
      </c>
      <c r="E222" s="548" t="s">
        <v>1875</v>
      </c>
      <c r="F222" s="548" t="s">
        <v>1874</v>
      </c>
      <c r="G222" s="546" t="s">
        <v>1876</v>
      </c>
      <c r="H222" s="49" t="s">
        <v>990</v>
      </c>
      <c r="I222" s="49" t="s">
        <v>1004</v>
      </c>
      <c r="J222" t="s">
        <v>1048</v>
      </c>
      <c r="K222" s="549">
        <v>16773</v>
      </c>
    </row>
    <row r="223" spans="1:11" ht="16.5" x14ac:dyDescent="0.3">
      <c r="A223">
        <f t="shared" si="3"/>
        <v>222</v>
      </c>
      <c r="B223" s="546" t="s">
        <v>1877</v>
      </c>
      <c r="C223" s="546" t="s">
        <v>1878</v>
      </c>
      <c r="D223" s="547" t="s">
        <v>1042</v>
      </c>
      <c r="E223" s="548" t="s">
        <v>1879</v>
      </c>
      <c r="F223" s="548" t="s">
        <v>1880</v>
      </c>
      <c r="G223" s="546" t="s">
        <v>1880</v>
      </c>
      <c r="H223" s="49" t="s">
        <v>1016</v>
      </c>
      <c r="I223" s="49" t="s">
        <v>991</v>
      </c>
      <c r="J223" t="s">
        <v>992</v>
      </c>
      <c r="K223" s="549">
        <v>15147</v>
      </c>
    </row>
    <row r="224" spans="1:11" ht="16.5" x14ac:dyDescent="0.3">
      <c r="A224">
        <f t="shared" si="3"/>
        <v>223</v>
      </c>
      <c r="B224" s="546" t="s">
        <v>1881</v>
      </c>
      <c r="C224" s="546" t="s">
        <v>1882</v>
      </c>
      <c r="D224" s="547" t="s">
        <v>1008</v>
      </c>
      <c r="E224" s="548" t="s">
        <v>1883</v>
      </c>
      <c r="F224" s="548" t="s">
        <v>1882</v>
      </c>
      <c r="G224" s="546" t="s">
        <v>1884</v>
      </c>
      <c r="H224" s="49" t="s">
        <v>990</v>
      </c>
      <c r="I224" s="49" t="s">
        <v>1004</v>
      </c>
      <c r="J224" t="s">
        <v>1005</v>
      </c>
      <c r="K224" s="549">
        <v>1952</v>
      </c>
    </row>
    <row r="225" spans="1:11" ht="16.5" x14ac:dyDescent="0.3">
      <c r="A225">
        <f t="shared" si="3"/>
        <v>224</v>
      </c>
      <c r="B225" s="546" t="s">
        <v>1885</v>
      </c>
      <c r="C225" s="546" t="s">
        <v>1886</v>
      </c>
      <c r="D225" s="547" t="s">
        <v>1489</v>
      </c>
      <c r="E225" s="548" t="s">
        <v>1887</v>
      </c>
      <c r="F225" s="548" t="s">
        <v>1888</v>
      </c>
      <c r="G225" s="546" t="s">
        <v>1888</v>
      </c>
      <c r="H225" s="49" t="s">
        <v>1016</v>
      </c>
      <c r="I225" s="49" t="s">
        <v>991</v>
      </c>
      <c r="J225" t="s">
        <v>992</v>
      </c>
      <c r="K225" s="549">
        <v>1922</v>
      </c>
    </row>
    <row r="226" spans="1:11" ht="16.5" x14ac:dyDescent="0.3">
      <c r="A226">
        <f t="shared" si="3"/>
        <v>225</v>
      </c>
      <c r="B226" s="546" t="s">
        <v>1889</v>
      </c>
      <c r="C226" s="546" t="s">
        <v>1890</v>
      </c>
      <c r="D226" s="547" t="s">
        <v>1236</v>
      </c>
      <c r="E226" s="548" t="s">
        <v>1891</v>
      </c>
      <c r="F226" s="548" t="s">
        <v>1890</v>
      </c>
      <c r="G226" s="546" t="s">
        <v>1888</v>
      </c>
      <c r="H226" s="49" t="s">
        <v>990</v>
      </c>
      <c r="I226" s="49" t="s">
        <v>1004</v>
      </c>
      <c r="J226" t="s">
        <v>1048</v>
      </c>
      <c r="K226" s="549">
        <v>4571</v>
      </c>
    </row>
    <row r="227" spans="1:11" ht="16.5" x14ac:dyDescent="0.3">
      <c r="A227">
        <f t="shared" si="3"/>
        <v>226</v>
      </c>
      <c r="B227" s="546" t="s">
        <v>1892</v>
      </c>
      <c r="C227" s="546" t="s">
        <v>1890</v>
      </c>
      <c r="D227" s="547" t="s">
        <v>1489</v>
      </c>
      <c r="E227" s="548" t="s">
        <v>1893</v>
      </c>
      <c r="F227" s="548" t="s">
        <v>1890</v>
      </c>
      <c r="G227" s="546" t="s">
        <v>1888</v>
      </c>
      <c r="H227" s="49" t="s">
        <v>990</v>
      </c>
      <c r="I227" s="49" t="s">
        <v>1004</v>
      </c>
      <c r="J227" t="s">
        <v>1048</v>
      </c>
      <c r="K227" s="549">
        <v>17304</v>
      </c>
    </row>
    <row r="228" spans="1:11" ht="16.5" x14ac:dyDescent="0.3">
      <c r="A228">
        <f t="shared" si="3"/>
        <v>227</v>
      </c>
      <c r="B228" s="546" t="s">
        <v>1894</v>
      </c>
      <c r="C228" s="546" t="s">
        <v>1895</v>
      </c>
      <c r="D228" s="547" t="s">
        <v>987</v>
      </c>
      <c r="E228" s="548" t="s">
        <v>1896</v>
      </c>
      <c r="F228" s="548" t="s">
        <v>1895</v>
      </c>
      <c r="G228" s="546" t="s">
        <v>1897</v>
      </c>
      <c r="H228" s="49" t="s">
        <v>990</v>
      </c>
      <c r="I228" s="49" t="s">
        <v>991</v>
      </c>
      <c r="J228" t="s">
        <v>1010</v>
      </c>
      <c r="K228" s="549">
        <v>51075</v>
      </c>
    </row>
    <row r="229" spans="1:11" ht="16.5" x14ac:dyDescent="0.3">
      <c r="A229">
        <f t="shared" si="3"/>
        <v>228</v>
      </c>
      <c r="B229" s="546" t="s">
        <v>1898</v>
      </c>
      <c r="C229" s="546" t="s">
        <v>1899</v>
      </c>
      <c r="D229" s="547" t="s">
        <v>1008</v>
      </c>
      <c r="E229" s="548" t="s">
        <v>1900</v>
      </c>
      <c r="F229" s="548" t="s">
        <v>1899</v>
      </c>
      <c r="G229" s="546" t="s">
        <v>1901</v>
      </c>
      <c r="H229" s="49" t="s">
        <v>990</v>
      </c>
      <c r="I229" s="49" t="s">
        <v>1004</v>
      </c>
      <c r="J229" t="s">
        <v>1048</v>
      </c>
      <c r="K229" s="549">
        <v>5662</v>
      </c>
    </row>
    <row r="230" spans="1:11" ht="16.5" x14ac:dyDescent="0.3">
      <c r="A230">
        <f t="shared" si="3"/>
        <v>229</v>
      </c>
      <c r="B230" s="546" t="s">
        <v>1902</v>
      </c>
      <c r="C230" s="546" t="s">
        <v>1903</v>
      </c>
      <c r="D230" s="547" t="s">
        <v>987</v>
      </c>
      <c r="E230" s="548" t="s">
        <v>1904</v>
      </c>
      <c r="F230" s="548" t="s">
        <v>1905</v>
      </c>
      <c r="G230" s="546" t="s">
        <v>1905</v>
      </c>
      <c r="H230" s="49" t="s">
        <v>1016</v>
      </c>
      <c r="I230" s="49" t="s">
        <v>991</v>
      </c>
      <c r="J230" t="s">
        <v>992</v>
      </c>
      <c r="K230" s="549">
        <v>820</v>
      </c>
    </row>
    <row r="231" spans="1:11" ht="16.5" x14ac:dyDescent="0.3">
      <c r="A231">
        <f t="shared" si="3"/>
        <v>230</v>
      </c>
      <c r="B231" s="546" t="s">
        <v>1906</v>
      </c>
      <c r="C231" s="546" t="s">
        <v>1907</v>
      </c>
      <c r="D231" s="547" t="s">
        <v>1124</v>
      </c>
      <c r="E231" s="548" t="s">
        <v>1908</v>
      </c>
      <c r="F231" s="548" t="s">
        <v>1907</v>
      </c>
      <c r="G231" s="546" t="s">
        <v>1909</v>
      </c>
      <c r="H231" s="49" t="s">
        <v>990</v>
      </c>
      <c r="I231" s="49" t="s">
        <v>991</v>
      </c>
      <c r="J231" t="s">
        <v>992</v>
      </c>
      <c r="K231" s="549">
        <v>53926</v>
      </c>
    </row>
    <row r="232" spans="1:11" ht="16.5" x14ac:dyDescent="0.3">
      <c r="A232">
        <f t="shared" si="3"/>
        <v>231</v>
      </c>
      <c r="B232" s="546" t="s">
        <v>1910</v>
      </c>
      <c r="C232" s="546" t="s">
        <v>1911</v>
      </c>
      <c r="D232" s="547" t="s">
        <v>1084</v>
      </c>
      <c r="E232" s="548" t="s">
        <v>1912</v>
      </c>
      <c r="F232" s="548" t="s">
        <v>1913</v>
      </c>
      <c r="G232" s="546" t="s">
        <v>1913</v>
      </c>
      <c r="H232" s="49" t="s">
        <v>1016</v>
      </c>
      <c r="I232" s="49" t="s">
        <v>991</v>
      </c>
      <c r="J232" t="s">
        <v>992</v>
      </c>
      <c r="K232" s="549">
        <v>1673</v>
      </c>
    </row>
    <row r="233" spans="1:11" ht="16.5" x14ac:dyDescent="0.3">
      <c r="A233">
        <f t="shared" si="3"/>
        <v>232</v>
      </c>
      <c r="B233" s="546" t="s">
        <v>1914</v>
      </c>
      <c r="C233" s="546" t="s">
        <v>1915</v>
      </c>
      <c r="D233" s="547" t="s">
        <v>1084</v>
      </c>
      <c r="E233" s="548" t="s">
        <v>1916</v>
      </c>
      <c r="F233" s="548" t="s">
        <v>1915</v>
      </c>
      <c r="G233" s="546" t="s">
        <v>1917</v>
      </c>
      <c r="H233" s="49" t="s">
        <v>990</v>
      </c>
      <c r="I233" s="49" t="s">
        <v>1004</v>
      </c>
      <c r="J233" t="s">
        <v>1048</v>
      </c>
      <c r="K233" s="549">
        <v>54856</v>
      </c>
    </row>
    <row r="234" spans="1:11" ht="16.5" x14ac:dyDescent="0.3">
      <c r="A234">
        <f t="shared" si="3"/>
        <v>233</v>
      </c>
      <c r="B234" s="546" t="s">
        <v>1918</v>
      </c>
      <c r="C234" s="546" t="s">
        <v>1919</v>
      </c>
      <c r="D234" s="547" t="s">
        <v>1305</v>
      </c>
      <c r="E234" s="548" t="s">
        <v>1920</v>
      </c>
      <c r="F234" s="548" t="s">
        <v>1921</v>
      </c>
      <c r="G234" s="546" t="s">
        <v>1921</v>
      </c>
      <c r="H234" s="49" t="s">
        <v>1016</v>
      </c>
      <c r="I234" s="49" t="s">
        <v>991</v>
      </c>
      <c r="J234" t="s">
        <v>992</v>
      </c>
      <c r="K234" s="549">
        <v>5915</v>
      </c>
    </row>
    <row r="235" spans="1:11" ht="16.5" x14ac:dyDescent="0.3">
      <c r="A235">
        <f t="shared" si="3"/>
        <v>234</v>
      </c>
      <c r="B235" s="546" t="s">
        <v>1922</v>
      </c>
      <c r="C235" s="546" t="s">
        <v>1923</v>
      </c>
      <c r="D235" s="547" t="s">
        <v>1199</v>
      </c>
      <c r="E235" s="548" t="s">
        <v>1924</v>
      </c>
      <c r="F235" s="548" t="s">
        <v>1923</v>
      </c>
      <c r="G235" s="546" t="s">
        <v>1925</v>
      </c>
      <c r="H235" s="49" t="s">
        <v>990</v>
      </c>
      <c r="I235" s="49" t="s">
        <v>991</v>
      </c>
      <c r="J235" t="s">
        <v>1077</v>
      </c>
      <c r="K235" s="549">
        <v>21314</v>
      </c>
    </row>
    <row r="236" spans="1:11" ht="16.5" x14ac:dyDescent="0.3">
      <c r="A236">
        <f t="shared" si="3"/>
        <v>235</v>
      </c>
      <c r="B236" s="546" t="s">
        <v>1926</v>
      </c>
      <c r="C236" s="546" t="s">
        <v>1927</v>
      </c>
      <c r="D236" s="547" t="s">
        <v>1106</v>
      </c>
      <c r="E236" s="548" t="s">
        <v>1928</v>
      </c>
      <c r="F236" s="548" t="s">
        <v>1929</v>
      </c>
      <c r="G236" s="546" t="s">
        <v>1929</v>
      </c>
      <c r="H236" s="49" t="s">
        <v>998</v>
      </c>
      <c r="I236" s="49" t="s">
        <v>991</v>
      </c>
      <c r="J236" t="s">
        <v>1058</v>
      </c>
      <c r="K236" s="549">
        <v>247597</v>
      </c>
    </row>
    <row r="237" spans="1:11" ht="16.5" x14ac:dyDescent="0.3">
      <c r="A237">
        <f t="shared" si="3"/>
        <v>236</v>
      </c>
      <c r="B237" s="546" t="s">
        <v>1930</v>
      </c>
      <c r="C237" s="546" t="s">
        <v>1931</v>
      </c>
      <c r="D237" s="547" t="s">
        <v>987</v>
      </c>
      <c r="E237" s="548" t="s">
        <v>1932</v>
      </c>
      <c r="F237" s="548" t="s">
        <v>1933</v>
      </c>
      <c r="G237" s="546" t="s">
        <v>1933</v>
      </c>
      <c r="H237" s="49" t="s">
        <v>1016</v>
      </c>
      <c r="I237" s="49" t="s">
        <v>991</v>
      </c>
      <c r="J237" t="s">
        <v>1053</v>
      </c>
      <c r="K237" s="549">
        <v>10105</v>
      </c>
    </row>
    <row r="238" spans="1:11" ht="16.5" x14ac:dyDescent="0.3">
      <c r="A238">
        <f t="shared" si="3"/>
        <v>237</v>
      </c>
      <c r="B238" s="546" t="s">
        <v>1934</v>
      </c>
      <c r="C238" s="546" t="s">
        <v>1935</v>
      </c>
      <c r="D238" s="547" t="s">
        <v>1106</v>
      </c>
      <c r="E238" s="548" t="s">
        <v>1936</v>
      </c>
      <c r="F238" s="548" t="s">
        <v>1937</v>
      </c>
      <c r="G238" s="546" t="s">
        <v>1937</v>
      </c>
      <c r="H238" s="49" t="s">
        <v>978</v>
      </c>
      <c r="I238" s="49" t="s">
        <v>991</v>
      </c>
      <c r="J238" t="s">
        <v>1644</v>
      </c>
      <c r="K238" s="549">
        <v>40684</v>
      </c>
    </row>
    <row r="239" spans="1:11" ht="16.5" x14ac:dyDescent="0.3">
      <c r="A239">
        <f t="shared" si="3"/>
        <v>238</v>
      </c>
      <c r="B239" s="546" t="s">
        <v>1938</v>
      </c>
      <c r="C239" s="546" t="s">
        <v>1939</v>
      </c>
      <c r="D239" s="547" t="s">
        <v>1146</v>
      </c>
      <c r="E239" s="548" t="s">
        <v>1940</v>
      </c>
      <c r="F239" s="548" t="s">
        <v>1941</v>
      </c>
      <c r="G239" s="546" t="s">
        <v>1941</v>
      </c>
      <c r="H239" s="49" t="s">
        <v>1016</v>
      </c>
      <c r="I239" s="49" t="s">
        <v>991</v>
      </c>
      <c r="J239" t="s">
        <v>992</v>
      </c>
      <c r="K239" s="549">
        <v>7914</v>
      </c>
    </row>
    <row r="240" spans="1:11" ht="16.5" x14ac:dyDescent="0.3">
      <c r="A240">
        <f t="shared" si="3"/>
        <v>239</v>
      </c>
      <c r="B240" s="546" t="s">
        <v>1942</v>
      </c>
      <c r="C240" s="546" t="s">
        <v>1943</v>
      </c>
      <c r="D240" s="547" t="s">
        <v>987</v>
      </c>
      <c r="E240" s="548" t="s">
        <v>1944</v>
      </c>
      <c r="F240" s="548" t="s">
        <v>1945</v>
      </c>
      <c r="G240" s="546" t="s">
        <v>1945</v>
      </c>
      <c r="H240" s="49" t="s">
        <v>1016</v>
      </c>
      <c r="I240" s="49" t="s">
        <v>991</v>
      </c>
      <c r="J240" t="s">
        <v>992</v>
      </c>
      <c r="K240" s="549">
        <v>7240</v>
      </c>
    </row>
    <row r="241" spans="1:11" ht="16.5" x14ac:dyDescent="0.3">
      <c r="A241">
        <f t="shared" si="3"/>
        <v>240</v>
      </c>
      <c r="B241" s="546" t="s">
        <v>1946</v>
      </c>
      <c r="C241" s="546" t="s">
        <v>1947</v>
      </c>
      <c r="D241" s="547" t="s">
        <v>1002</v>
      </c>
      <c r="E241" s="548" t="s">
        <v>1948</v>
      </c>
      <c r="F241" s="548" t="s">
        <v>1947</v>
      </c>
      <c r="G241" s="546" t="s">
        <v>1949</v>
      </c>
      <c r="H241" s="49" t="s">
        <v>990</v>
      </c>
      <c r="I241" s="49" t="s">
        <v>1004</v>
      </c>
      <c r="J241" t="s">
        <v>1005</v>
      </c>
      <c r="K241" s="549">
        <v>3845</v>
      </c>
    </row>
    <row r="242" spans="1:11" ht="16.5" x14ac:dyDescent="0.3">
      <c r="A242">
        <f t="shared" si="3"/>
        <v>241</v>
      </c>
      <c r="B242" s="546" t="s">
        <v>1950</v>
      </c>
      <c r="C242" s="546" t="s">
        <v>1951</v>
      </c>
      <c r="D242" s="547" t="s">
        <v>1199</v>
      </c>
      <c r="E242" s="548" t="s">
        <v>1952</v>
      </c>
      <c r="F242" s="548" t="s">
        <v>1953</v>
      </c>
      <c r="G242" s="546" t="s">
        <v>1953</v>
      </c>
      <c r="H242" s="49" t="s">
        <v>1016</v>
      </c>
      <c r="I242" s="49" t="s">
        <v>991</v>
      </c>
      <c r="J242" t="s">
        <v>992</v>
      </c>
      <c r="K242" s="549">
        <v>10248</v>
      </c>
    </row>
    <row r="243" spans="1:11" ht="16.5" x14ac:dyDescent="0.3">
      <c r="A243">
        <f t="shared" si="3"/>
        <v>242</v>
      </c>
      <c r="B243" s="546" t="s">
        <v>1954</v>
      </c>
      <c r="C243" s="546" t="s">
        <v>1955</v>
      </c>
      <c r="D243" s="547" t="s">
        <v>1008</v>
      </c>
      <c r="E243" s="548" t="s">
        <v>1956</v>
      </c>
      <c r="F243" s="548" t="s">
        <v>1955</v>
      </c>
      <c r="G243" s="546" t="s">
        <v>1957</v>
      </c>
      <c r="H243" s="49" t="s">
        <v>990</v>
      </c>
      <c r="I243" s="49" t="s">
        <v>1004</v>
      </c>
      <c r="J243" t="s">
        <v>1048</v>
      </c>
      <c r="K243" s="549">
        <v>3055</v>
      </c>
    </row>
    <row r="244" spans="1:11" ht="16.5" x14ac:dyDescent="0.3">
      <c r="A244">
        <f t="shared" si="3"/>
        <v>243</v>
      </c>
      <c r="B244" s="546" t="s">
        <v>1958</v>
      </c>
      <c r="C244" s="546" t="s">
        <v>1959</v>
      </c>
      <c r="D244" s="547" t="s">
        <v>1084</v>
      </c>
      <c r="E244" s="548" t="s">
        <v>1960</v>
      </c>
      <c r="F244" s="548" t="s">
        <v>1959</v>
      </c>
      <c r="G244" s="546" t="s">
        <v>1961</v>
      </c>
      <c r="H244" s="49" t="s">
        <v>990</v>
      </c>
      <c r="I244" s="49" t="s">
        <v>1004</v>
      </c>
      <c r="J244" t="s">
        <v>1048</v>
      </c>
      <c r="K244" s="549">
        <v>27644</v>
      </c>
    </row>
    <row r="245" spans="1:11" ht="16.5" x14ac:dyDescent="0.3">
      <c r="A245">
        <f t="shared" si="3"/>
        <v>244</v>
      </c>
      <c r="B245" s="546" t="s">
        <v>1962</v>
      </c>
      <c r="C245" s="546" t="s">
        <v>1963</v>
      </c>
      <c r="D245" s="547" t="s">
        <v>1042</v>
      </c>
      <c r="E245" s="548" t="s">
        <v>1964</v>
      </c>
      <c r="F245" s="548" t="s">
        <v>1963</v>
      </c>
      <c r="G245" s="546" t="s">
        <v>1965</v>
      </c>
      <c r="H245" s="49" t="s">
        <v>990</v>
      </c>
      <c r="I245" s="49" t="s">
        <v>1004</v>
      </c>
      <c r="J245" t="s">
        <v>1048</v>
      </c>
      <c r="K245" s="549">
        <v>2538</v>
      </c>
    </row>
    <row r="246" spans="1:11" ht="16.5" x14ac:dyDescent="0.3">
      <c r="A246">
        <f t="shared" si="3"/>
        <v>245</v>
      </c>
      <c r="B246" s="546" t="s">
        <v>1966</v>
      </c>
      <c r="C246" s="546" t="s">
        <v>1967</v>
      </c>
      <c r="D246" s="547" t="s">
        <v>987</v>
      </c>
      <c r="E246" s="548" t="s">
        <v>1968</v>
      </c>
      <c r="F246" s="548" t="s">
        <v>1969</v>
      </c>
      <c r="G246" s="546" t="s">
        <v>1969</v>
      </c>
      <c r="H246" s="49" t="s">
        <v>1016</v>
      </c>
      <c r="I246" s="49" t="s">
        <v>991</v>
      </c>
      <c r="J246" t="s">
        <v>992</v>
      </c>
      <c r="K246" s="549">
        <v>1759</v>
      </c>
    </row>
    <row r="247" spans="1:11" ht="16.5" x14ac:dyDescent="0.3">
      <c r="A247">
        <f t="shared" si="3"/>
        <v>246</v>
      </c>
      <c r="B247" s="546" t="s">
        <v>1970</v>
      </c>
      <c r="C247" s="546" t="s">
        <v>1971</v>
      </c>
      <c r="D247" s="547" t="s">
        <v>1084</v>
      </c>
      <c r="E247" s="548" t="s">
        <v>1972</v>
      </c>
      <c r="F247" s="548" t="s">
        <v>1973</v>
      </c>
      <c r="G247" s="546" t="s">
        <v>1973</v>
      </c>
      <c r="H247" s="49" t="s">
        <v>1016</v>
      </c>
      <c r="I247" s="49" t="s">
        <v>991</v>
      </c>
      <c r="J247" t="s">
        <v>992</v>
      </c>
      <c r="K247" s="549">
        <v>2654</v>
      </c>
    </row>
    <row r="248" spans="1:11" ht="16.5" x14ac:dyDescent="0.3">
      <c r="A248">
        <f t="shared" si="3"/>
        <v>247</v>
      </c>
      <c r="B248" s="546" t="s">
        <v>1974</v>
      </c>
      <c r="C248" s="546" t="s">
        <v>1975</v>
      </c>
      <c r="D248" s="547" t="s">
        <v>1084</v>
      </c>
      <c r="E248" s="548" t="s">
        <v>1976</v>
      </c>
      <c r="F248" s="548" t="s">
        <v>1975</v>
      </c>
      <c r="G248" s="546" t="s">
        <v>1977</v>
      </c>
      <c r="H248" s="49" t="s">
        <v>990</v>
      </c>
      <c r="I248" s="49" t="s">
        <v>1004</v>
      </c>
      <c r="J248" t="s">
        <v>1048</v>
      </c>
      <c r="K248" s="549">
        <v>92843</v>
      </c>
    </row>
    <row r="249" spans="1:11" ht="16.5" x14ac:dyDescent="0.3">
      <c r="A249">
        <f t="shared" si="3"/>
        <v>248</v>
      </c>
      <c r="B249" s="546" t="s">
        <v>1978</v>
      </c>
      <c r="C249" s="546" t="s">
        <v>1979</v>
      </c>
      <c r="D249" s="547" t="s">
        <v>1002</v>
      </c>
      <c r="E249" s="548" t="s">
        <v>1980</v>
      </c>
      <c r="F249" s="548" t="s">
        <v>1981</v>
      </c>
      <c r="G249" s="546" t="s">
        <v>1981</v>
      </c>
      <c r="H249" s="49" t="s">
        <v>998</v>
      </c>
      <c r="I249" s="49" t="s">
        <v>991</v>
      </c>
      <c r="J249" t="s">
        <v>1010</v>
      </c>
      <c r="K249" s="549">
        <v>3906</v>
      </c>
    </row>
    <row r="250" spans="1:11" ht="16.5" x14ac:dyDescent="0.3">
      <c r="A250">
        <f t="shared" si="3"/>
        <v>249</v>
      </c>
      <c r="B250" s="546" t="s">
        <v>1982</v>
      </c>
      <c r="C250" s="546" t="s">
        <v>1983</v>
      </c>
      <c r="D250" s="547" t="s">
        <v>1065</v>
      </c>
      <c r="E250" s="548" t="s">
        <v>1984</v>
      </c>
      <c r="F250" s="548" t="s">
        <v>1985</v>
      </c>
      <c r="G250" s="546" t="s">
        <v>1985</v>
      </c>
      <c r="H250" s="49" t="s">
        <v>1016</v>
      </c>
      <c r="I250" s="49" t="s">
        <v>991</v>
      </c>
      <c r="J250" t="s">
        <v>992</v>
      </c>
      <c r="K250" s="549">
        <v>1908</v>
      </c>
    </row>
    <row r="251" spans="1:11" ht="16.5" x14ac:dyDescent="0.3">
      <c r="A251">
        <f t="shared" si="3"/>
        <v>250</v>
      </c>
      <c r="B251" s="546" t="s">
        <v>1986</v>
      </c>
      <c r="C251" s="546" t="s">
        <v>1987</v>
      </c>
      <c r="D251" s="547" t="s">
        <v>1084</v>
      </c>
      <c r="E251" s="548" t="s">
        <v>1988</v>
      </c>
      <c r="F251" s="548" t="s">
        <v>1989</v>
      </c>
      <c r="G251" s="546" t="s">
        <v>1989</v>
      </c>
      <c r="H251" s="49" t="s">
        <v>1016</v>
      </c>
      <c r="I251" s="49" t="s">
        <v>991</v>
      </c>
      <c r="J251" t="s">
        <v>992</v>
      </c>
      <c r="K251" s="549">
        <v>1875</v>
      </c>
    </row>
    <row r="252" spans="1:11" ht="16.5" x14ac:dyDescent="0.3">
      <c r="A252">
        <f t="shared" si="3"/>
        <v>251</v>
      </c>
      <c r="B252" s="546" t="s">
        <v>1990</v>
      </c>
      <c r="C252" s="546" t="s">
        <v>1991</v>
      </c>
      <c r="D252" s="547" t="s">
        <v>1065</v>
      </c>
      <c r="E252" s="548" t="s">
        <v>1992</v>
      </c>
      <c r="F252" s="548" t="s">
        <v>1993</v>
      </c>
      <c r="G252" s="546" t="s">
        <v>1993</v>
      </c>
      <c r="H252" s="49" t="s">
        <v>1016</v>
      </c>
      <c r="I252" s="49" t="s">
        <v>991</v>
      </c>
      <c r="J252" t="s">
        <v>992</v>
      </c>
      <c r="K252" s="549">
        <v>2945</v>
      </c>
    </row>
    <row r="253" spans="1:11" ht="16.5" x14ac:dyDescent="0.3">
      <c r="A253">
        <f t="shared" si="3"/>
        <v>252</v>
      </c>
      <c r="B253" s="546" t="s">
        <v>1994</v>
      </c>
      <c r="C253" s="546" t="s">
        <v>1995</v>
      </c>
      <c r="D253" s="547" t="s">
        <v>1236</v>
      </c>
      <c r="E253" s="548" t="s">
        <v>1996</v>
      </c>
      <c r="F253" s="548" t="s">
        <v>1995</v>
      </c>
      <c r="G253" s="546" t="s">
        <v>1997</v>
      </c>
      <c r="H253" s="49" t="s">
        <v>990</v>
      </c>
      <c r="I253" s="49" t="s">
        <v>1004</v>
      </c>
      <c r="J253" t="s">
        <v>1005</v>
      </c>
      <c r="K253" s="549">
        <v>3290</v>
      </c>
    </row>
    <row r="254" spans="1:11" ht="16.5" x14ac:dyDescent="0.3">
      <c r="A254">
        <f t="shared" si="3"/>
        <v>253</v>
      </c>
      <c r="B254" s="546" t="s">
        <v>1998</v>
      </c>
      <c r="C254" s="546" t="s">
        <v>1995</v>
      </c>
      <c r="D254" s="547" t="s">
        <v>1489</v>
      </c>
      <c r="E254" s="548" t="s">
        <v>1999</v>
      </c>
      <c r="F254" s="548" t="s">
        <v>1995</v>
      </c>
      <c r="G254" s="546" t="s">
        <v>1997</v>
      </c>
      <c r="H254" s="49" t="s">
        <v>990</v>
      </c>
      <c r="I254" s="49" t="s">
        <v>991</v>
      </c>
      <c r="J254" t="s">
        <v>1053</v>
      </c>
      <c r="K254" s="549">
        <v>33472</v>
      </c>
    </row>
    <row r="255" spans="1:11" ht="16.5" x14ac:dyDescent="0.3">
      <c r="A255">
        <f t="shared" si="3"/>
        <v>254</v>
      </c>
      <c r="B255" s="546" t="s">
        <v>2000</v>
      </c>
      <c r="C255" s="546" t="s">
        <v>2001</v>
      </c>
      <c r="D255" s="547" t="s">
        <v>1002</v>
      </c>
      <c r="E255" s="548" t="s">
        <v>2002</v>
      </c>
      <c r="F255" s="548" t="s">
        <v>2003</v>
      </c>
      <c r="G255" s="546" t="s">
        <v>2003</v>
      </c>
      <c r="H255" s="49" t="s">
        <v>1016</v>
      </c>
      <c r="I255" s="49" t="s">
        <v>991</v>
      </c>
      <c r="J255" t="s">
        <v>992</v>
      </c>
      <c r="K255" s="549">
        <v>1358</v>
      </c>
    </row>
    <row r="256" spans="1:11" ht="16.5" x14ac:dyDescent="0.3">
      <c r="A256">
        <f t="shared" si="3"/>
        <v>255</v>
      </c>
      <c r="B256" s="546" t="s">
        <v>2004</v>
      </c>
      <c r="C256" s="546" t="s">
        <v>2005</v>
      </c>
      <c r="D256" s="547" t="s">
        <v>1002</v>
      </c>
      <c r="E256" s="548" t="s">
        <v>2006</v>
      </c>
      <c r="F256" s="548" t="s">
        <v>2005</v>
      </c>
      <c r="G256" s="546" t="s">
        <v>2003</v>
      </c>
      <c r="H256" s="49" t="s">
        <v>990</v>
      </c>
      <c r="I256" s="49" t="s">
        <v>1004</v>
      </c>
      <c r="J256" t="s">
        <v>1048</v>
      </c>
      <c r="K256" s="549">
        <v>6588</v>
      </c>
    </row>
    <row r="257" spans="1:11" ht="16.5" x14ac:dyDescent="0.3">
      <c r="A257">
        <f t="shared" si="3"/>
        <v>256</v>
      </c>
      <c r="B257" s="546" t="s">
        <v>2007</v>
      </c>
      <c r="C257" s="546" t="s">
        <v>2008</v>
      </c>
      <c r="D257" s="547" t="s">
        <v>1013</v>
      </c>
      <c r="E257" s="548" t="s">
        <v>2009</v>
      </c>
      <c r="F257" s="548" t="s">
        <v>2010</v>
      </c>
      <c r="G257" s="546" t="s">
        <v>2010</v>
      </c>
      <c r="H257" s="49" t="s">
        <v>1016</v>
      </c>
      <c r="I257" s="49" t="s">
        <v>991</v>
      </c>
      <c r="J257" t="s">
        <v>992</v>
      </c>
      <c r="K257" s="549">
        <v>8937</v>
      </c>
    </row>
    <row r="258" spans="1:11" ht="16.5" x14ac:dyDescent="0.3">
      <c r="A258">
        <f t="shared" si="3"/>
        <v>257</v>
      </c>
      <c r="B258" s="546" t="s">
        <v>2011</v>
      </c>
      <c r="C258" s="546" t="s">
        <v>2012</v>
      </c>
      <c r="D258" s="547" t="s">
        <v>1008</v>
      </c>
      <c r="E258" s="548" t="s">
        <v>2013</v>
      </c>
      <c r="F258" s="548" t="s">
        <v>2012</v>
      </c>
      <c r="G258" s="546" t="s">
        <v>2014</v>
      </c>
      <c r="H258" s="49" t="s">
        <v>990</v>
      </c>
      <c r="I258" s="49" t="s">
        <v>1004</v>
      </c>
      <c r="J258" t="s">
        <v>1048</v>
      </c>
      <c r="K258" s="549">
        <v>2942</v>
      </c>
    </row>
    <row r="259" spans="1:11" ht="16.5" x14ac:dyDescent="0.3">
      <c r="A259">
        <f t="shared" si="3"/>
        <v>258</v>
      </c>
      <c r="B259" s="546" t="s">
        <v>2015</v>
      </c>
      <c r="C259" s="546" t="s">
        <v>2016</v>
      </c>
      <c r="D259" s="547" t="s">
        <v>1199</v>
      </c>
      <c r="E259" s="548" t="s">
        <v>2017</v>
      </c>
      <c r="F259" s="548" t="s">
        <v>2018</v>
      </c>
      <c r="G259" s="546" t="s">
        <v>2018</v>
      </c>
      <c r="H259" s="49" t="s">
        <v>1016</v>
      </c>
      <c r="I259" s="49" t="s">
        <v>991</v>
      </c>
      <c r="J259" t="s">
        <v>999</v>
      </c>
      <c r="K259" s="549">
        <v>10521</v>
      </c>
    </row>
    <row r="260" spans="1:11" ht="16.5" x14ac:dyDescent="0.3">
      <c r="A260">
        <f t="shared" ref="A260:A323" si="4">A259+1</f>
        <v>259</v>
      </c>
      <c r="B260" s="546" t="s">
        <v>2019</v>
      </c>
      <c r="C260" s="546" t="s">
        <v>2020</v>
      </c>
      <c r="D260" s="547" t="s">
        <v>1146</v>
      </c>
      <c r="E260" s="548" t="s">
        <v>2021</v>
      </c>
      <c r="F260" s="548" t="s">
        <v>2022</v>
      </c>
      <c r="G260" s="546" t="s">
        <v>2022</v>
      </c>
      <c r="H260" s="49" t="s">
        <v>998</v>
      </c>
      <c r="I260" s="49" t="s">
        <v>991</v>
      </c>
      <c r="J260" t="s">
        <v>2023</v>
      </c>
      <c r="K260" s="549">
        <v>40499</v>
      </c>
    </row>
    <row r="261" spans="1:11" ht="16.5" x14ac:dyDescent="0.3">
      <c r="A261">
        <f t="shared" si="4"/>
        <v>260</v>
      </c>
      <c r="B261" s="546" t="s">
        <v>2024</v>
      </c>
      <c r="C261" s="546" t="s">
        <v>2025</v>
      </c>
      <c r="D261" s="547" t="s">
        <v>1065</v>
      </c>
      <c r="E261" s="548" t="s">
        <v>2026</v>
      </c>
      <c r="F261" s="548" t="s">
        <v>2027</v>
      </c>
      <c r="G261" s="546" t="s">
        <v>2027</v>
      </c>
      <c r="H261" s="49" t="s">
        <v>1016</v>
      </c>
      <c r="I261" s="49" t="s">
        <v>991</v>
      </c>
      <c r="J261" t="s">
        <v>992</v>
      </c>
      <c r="K261" s="549">
        <v>17613</v>
      </c>
    </row>
    <row r="262" spans="1:11" ht="16.5" x14ac:dyDescent="0.3">
      <c r="A262">
        <f t="shared" si="4"/>
        <v>261</v>
      </c>
      <c r="B262" s="546" t="s">
        <v>2028</v>
      </c>
      <c r="C262" s="546" t="s">
        <v>2029</v>
      </c>
      <c r="D262" s="547" t="s">
        <v>995</v>
      </c>
      <c r="E262" s="548" t="s">
        <v>2030</v>
      </c>
      <c r="F262" s="548" t="s">
        <v>2031</v>
      </c>
      <c r="G262" s="546" t="s">
        <v>2031</v>
      </c>
      <c r="H262" s="49" t="s">
        <v>998</v>
      </c>
      <c r="I262" s="49" t="s">
        <v>991</v>
      </c>
      <c r="J262" t="s">
        <v>999</v>
      </c>
      <c r="K262" s="549">
        <v>7092</v>
      </c>
    </row>
    <row r="263" spans="1:11" ht="16.5" x14ac:dyDescent="0.3">
      <c r="A263">
        <f t="shared" si="4"/>
        <v>262</v>
      </c>
      <c r="B263" s="546" t="s">
        <v>2032</v>
      </c>
      <c r="C263" s="546" t="s">
        <v>2033</v>
      </c>
      <c r="D263" s="547" t="s">
        <v>1084</v>
      </c>
      <c r="E263" s="548" t="s">
        <v>2034</v>
      </c>
      <c r="F263" s="548" t="s">
        <v>2033</v>
      </c>
      <c r="G263" s="546" t="s">
        <v>2035</v>
      </c>
      <c r="H263" s="49" t="s">
        <v>990</v>
      </c>
      <c r="I263" s="49" t="s">
        <v>1004</v>
      </c>
      <c r="J263" t="s">
        <v>1048</v>
      </c>
      <c r="K263" s="549">
        <v>20065</v>
      </c>
    </row>
    <row r="264" spans="1:11" ht="16.5" x14ac:dyDescent="0.3">
      <c r="A264">
        <f t="shared" si="4"/>
        <v>263</v>
      </c>
      <c r="B264" s="546" t="s">
        <v>2036</v>
      </c>
      <c r="C264" s="546" t="s">
        <v>2037</v>
      </c>
      <c r="D264" s="547" t="s">
        <v>1186</v>
      </c>
      <c r="E264" s="548" t="s">
        <v>2038</v>
      </c>
      <c r="F264" s="548" t="s">
        <v>2037</v>
      </c>
      <c r="G264" s="546" t="s">
        <v>2039</v>
      </c>
      <c r="H264" s="49" t="s">
        <v>990</v>
      </c>
      <c r="I264" s="49" t="s">
        <v>1004</v>
      </c>
      <c r="J264" t="s">
        <v>1048</v>
      </c>
      <c r="K264" s="549">
        <v>14432</v>
      </c>
    </row>
    <row r="265" spans="1:11" ht="16.5" x14ac:dyDescent="0.3">
      <c r="A265">
        <f t="shared" si="4"/>
        <v>264</v>
      </c>
      <c r="B265" s="546" t="s">
        <v>2040</v>
      </c>
      <c r="C265" s="546" t="s">
        <v>2041</v>
      </c>
      <c r="D265" s="547" t="s">
        <v>1013</v>
      </c>
      <c r="E265" s="548" t="s">
        <v>2042</v>
      </c>
      <c r="F265" s="548" t="s">
        <v>2043</v>
      </c>
      <c r="G265" s="546" t="s">
        <v>2043</v>
      </c>
      <c r="H265" s="49" t="s">
        <v>1016</v>
      </c>
      <c r="I265" s="49" t="s">
        <v>991</v>
      </c>
      <c r="J265" t="s">
        <v>992</v>
      </c>
      <c r="K265" s="549">
        <v>10626</v>
      </c>
    </row>
    <row r="266" spans="1:11" ht="16.5" x14ac:dyDescent="0.3">
      <c r="A266">
        <f t="shared" si="4"/>
        <v>265</v>
      </c>
      <c r="B266" s="546" t="s">
        <v>2044</v>
      </c>
      <c r="C266" s="546" t="s">
        <v>2045</v>
      </c>
      <c r="D266" s="547" t="s">
        <v>987</v>
      </c>
      <c r="E266" s="548" t="s">
        <v>2046</v>
      </c>
      <c r="F266" s="548" t="s">
        <v>2047</v>
      </c>
      <c r="G266" s="546" t="s">
        <v>2047</v>
      </c>
      <c r="H266" s="49" t="s">
        <v>1016</v>
      </c>
      <c r="I266" s="49" t="s">
        <v>991</v>
      </c>
      <c r="J266" t="s">
        <v>992</v>
      </c>
      <c r="K266" s="549">
        <v>5950</v>
      </c>
    </row>
    <row r="267" spans="1:11" ht="16.5" x14ac:dyDescent="0.3">
      <c r="A267">
        <f t="shared" si="4"/>
        <v>266</v>
      </c>
      <c r="B267" s="546" t="s">
        <v>2048</v>
      </c>
      <c r="C267" s="546" t="s">
        <v>2049</v>
      </c>
      <c r="D267" s="547" t="s">
        <v>1124</v>
      </c>
      <c r="E267" s="548" t="s">
        <v>2050</v>
      </c>
      <c r="F267" s="548" t="s">
        <v>2049</v>
      </c>
      <c r="G267" s="546" t="s">
        <v>2051</v>
      </c>
      <c r="H267" s="49" t="s">
        <v>990</v>
      </c>
      <c r="I267" s="49" t="s">
        <v>991</v>
      </c>
      <c r="J267" t="s">
        <v>1053</v>
      </c>
      <c r="K267" s="549">
        <v>29366</v>
      </c>
    </row>
    <row r="268" spans="1:11" ht="16.5" x14ac:dyDescent="0.3">
      <c r="A268">
        <f t="shared" si="4"/>
        <v>267</v>
      </c>
      <c r="B268" s="546" t="s">
        <v>2052</v>
      </c>
      <c r="C268" s="546" t="s">
        <v>2053</v>
      </c>
      <c r="D268" s="547" t="s">
        <v>987</v>
      </c>
      <c r="E268" s="548" t="s">
        <v>2054</v>
      </c>
      <c r="F268" s="548" t="s">
        <v>2053</v>
      </c>
      <c r="G268" s="546" t="s">
        <v>2055</v>
      </c>
      <c r="H268" s="49" t="s">
        <v>2056</v>
      </c>
      <c r="I268" s="49" t="s">
        <v>1021</v>
      </c>
      <c r="J268" t="s">
        <v>1022</v>
      </c>
      <c r="K268" s="549">
        <v>194</v>
      </c>
    </row>
    <row r="269" spans="1:11" ht="16.5" x14ac:dyDescent="0.3">
      <c r="A269">
        <f t="shared" si="4"/>
        <v>268</v>
      </c>
      <c r="B269" s="546" t="s">
        <v>2057</v>
      </c>
      <c r="C269" s="546" t="s">
        <v>2058</v>
      </c>
      <c r="D269" s="547" t="s">
        <v>1013</v>
      </c>
      <c r="E269" s="548" t="s">
        <v>2059</v>
      </c>
      <c r="F269" s="548" t="s">
        <v>2060</v>
      </c>
      <c r="G269" s="546" t="s">
        <v>2060</v>
      </c>
      <c r="H269" s="49" t="s">
        <v>1016</v>
      </c>
      <c r="I269" s="49" t="s">
        <v>991</v>
      </c>
      <c r="J269" t="s">
        <v>1053</v>
      </c>
      <c r="K269" s="549">
        <v>24136</v>
      </c>
    </row>
    <row r="270" spans="1:11" ht="16.5" x14ac:dyDescent="0.3">
      <c r="A270">
        <f t="shared" si="4"/>
        <v>269</v>
      </c>
      <c r="B270" s="546" t="s">
        <v>2061</v>
      </c>
      <c r="C270" s="546" t="s">
        <v>2062</v>
      </c>
      <c r="D270" s="547" t="s">
        <v>1348</v>
      </c>
      <c r="E270" s="548" t="s">
        <v>2063</v>
      </c>
      <c r="F270" s="548" t="s">
        <v>2062</v>
      </c>
      <c r="G270" s="546" t="s">
        <v>2064</v>
      </c>
      <c r="H270" s="49" t="s">
        <v>990</v>
      </c>
      <c r="I270" s="49" t="s">
        <v>991</v>
      </c>
      <c r="J270" t="s">
        <v>1010</v>
      </c>
      <c r="K270" s="549">
        <v>6042</v>
      </c>
    </row>
    <row r="271" spans="1:11" ht="16.5" x14ac:dyDescent="0.3">
      <c r="A271">
        <f t="shared" si="4"/>
        <v>270</v>
      </c>
      <c r="B271" s="546" t="s">
        <v>2065</v>
      </c>
      <c r="C271" s="546" t="s">
        <v>2066</v>
      </c>
      <c r="D271" s="547" t="s">
        <v>1084</v>
      </c>
      <c r="E271" s="548" t="s">
        <v>2067</v>
      </c>
      <c r="F271" s="548" t="s">
        <v>2066</v>
      </c>
      <c r="G271" s="546" t="s">
        <v>2068</v>
      </c>
      <c r="H271" s="49" t="s">
        <v>990</v>
      </c>
      <c r="I271" s="49" t="s">
        <v>1021</v>
      </c>
      <c r="J271" t="s">
        <v>1022</v>
      </c>
      <c r="K271" s="549">
        <v>3051</v>
      </c>
    </row>
    <row r="272" spans="1:11" ht="16.5" x14ac:dyDescent="0.3">
      <c r="A272">
        <f t="shared" si="4"/>
        <v>271</v>
      </c>
      <c r="B272" s="546" t="s">
        <v>2069</v>
      </c>
      <c r="C272" s="546" t="s">
        <v>2070</v>
      </c>
      <c r="D272" s="547" t="s">
        <v>987</v>
      </c>
      <c r="E272" s="548" t="s">
        <v>2071</v>
      </c>
      <c r="F272" s="548" t="s">
        <v>2072</v>
      </c>
      <c r="G272" s="546" t="s">
        <v>2072</v>
      </c>
      <c r="H272" s="49" t="s">
        <v>998</v>
      </c>
      <c r="I272" s="49" t="s">
        <v>991</v>
      </c>
      <c r="J272" t="s">
        <v>1077</v>
      </c>
      <c r="K272" s="549">
        <v>30719</v>
      </c>
    </row>
    <row r="273" spans="1:11" ht="16.5" x14ac:dyDescent="0.3">
      <c r="A273">
        <f t="shared" si="4"/>
        <v>272</v>
      </c>
      <c r="B273" s="546" t="s">
        <v>2073</v>
      </c>
      <c r="C273" s="546" t="s">
        <v>2074</v>
      </c>
      <c r="D273" s="547" t="s">
        <v>1199</v>
      </c>
      <c r="E273" s="548" t="s">
        <v>2075</v>
      </c>
      <c r="F273" s="548" t="s">
        <v>2074</v>
      </c>
      <c r="G273" s="546" t="s">
        <v>2076</v>
      </c>
      <c r="H273" s="49" t="s">
        <v>990</v>
      </c>
      <c r="I273" s="49" t="s">
        <v>1004</v>
      </c>
      <c r="J273" t="s">
        <v>1048</v>
      </c>
      <c r="K273" s="549">
        <v>8702</v>
      </c>
    </row>
    <row r="274" spans="1:11" ht="16.5" x14ac:dyDescent="0.3">
      <c r="A274">
        <f t="shared" si="4"/>
        <v>273</v>
      </c>
      <c r="B274" s="546" t="s">
        <v>2077</v>
      </c>
      <c r="C274" s="550" t="s">
        <v>2078</v>
      </c>
      <c r="D274" s="547" t="s">
        <v>995</v>
      </c>
      <c r="E274" s="548" t="s">
        <v>2079</v>
      </c>
      <c r="F274" s="548" t="s">
        <v>2080</v>
      </c>
      <c r="G274" s="550" t="s">
        <v>2080</v>
      </c>
      <c r="H274" s="49" t="s">
        <v>1016</v>
      </c>
      <c r="I274" s="49" t="s">
        <v>1021</v>
      </c>
      <c r="J274" t="s">
        <v>1022</v>
      </c>
      <c r="K274" s="549">
        <v>895</v>
      </c>
    </row>
    <row r="275" spans="1:11" ht="16.5" x14ac:dyDescent="0.3">
      <c r="A275">
        <f t="shared" si="4"/>
        <v>274</v>
      </c>
      <c r="B275" s="546" t="s">
        <v>2081</v>
      </c>
      <c r="C275" s="546" t="s">
        <v>2082</v>
      </c>
      <c r="D275" s="547" t="s">
        <v>1008</v>
      </c>
      <c r="E275" s="548" t="s">
        <v>2083</v>
      </c>
      <c r="F275" s="548" t="s">
        <v>2082</v>
      </c>
      <c r="G275" s="546" t="s">
        <v>2084</v>
      </c>
      <c r="H275" s="49" t="s">
        <v>990</v>
      </c>
      <c r="I275" s="49" t="s">
        <v>991</v>
      </c>
      <c r="J275" t="s">
        <v>1010</v>
      </c>
      <c r="K275" s="549">
        <v>8014</v>
      </c>
    </row>
    <row r="276" spans="1:11" ht="16.5" x14ac:dyDescent="0.3">
      <c r="A276">
        <f t="shared" si="4"/>
        <v>275</v>
      </c>
      <c r="B276" s="546" t="s">
        <v>2085</v>
      </c>
      <c r="C276" s="546" t="s">
        <v>2086</v>
      </c>
      <c r="D276" s="547" t="s">
        <v>1029</v>
      </c>
      <c r="E276" s="548" t="s">
        <v>2087</v>
      </c>
      <c r="F276" s="548" t="s">
        <v>2086</v>
      </c>
      <c r="G276" s="546" t="s">
        <v>2088</v>
      </c>
      <c r="H276" s="49" t="s">
        <v>990</v>
      </c>
      <c r="I276" s="49" t="s">
        <v>1004</v>
      </c>
      <c r="J276" t="s">
        <v>1048</v>
      </c>
      <c r="K276" s="549">
        <v>1770</v>
      </c>
    </row>
    <row r="277" spans="1:11" ht="16.5" x14ac:dyDescent="0.3">
      <c r="A277">
        <f t="shared" si="4"/>
        <v>276</v>
      </c>
      <c r="B277" s="546" t="s">
        <v>2089</v>
      </c>
      <c r="C277" s="546" t="s">
        <v>2090</v>
      </c>
      <c r="D277" s="547" t="s">
        <v>1074</v>
      </c>
      <c r="E277" s="548" t="s">
        <v>2091</v>
      </c>
      <c r="F277" s="548" t="s">
        <v>2090</v>
      </c>
      <c r="G277" s="546" t="s">
        <v>2092</v>
      </c>
      <c r="H277" s="49" t="s">
        <v>990</v>
      </c>
      <c r="I277" s="49" t="s">
        <v>991</v>
      </c>
      <c r="J277" t="s">
        <v>1010</v>
      </c>
      <c r="K277" s="549">
        <v>22866</v>
      </c>
    </row>
    <row r="278" spans="1:11" ht="16.5" x14ac:dyDescent="0.3">
      <c r="A278">
        <f t="shared" si="4"/>
        <v>277</v>
      </c>
      <c r="B278" s="546" t="s">
        <v>2093</v>
      </c>
      <c r="C278" s="546" t="s">
        <v>2094</v>
      </c>
      <c r="D278" s="547" t="s">
        <v>1097</v>
      </c>
      <c r="E278" s="548" t="s">
        <v>2095</v>
      </c>
      <c r="F278" s="548" t="s">
        <v>2094</v>
      </c>
      <c r="G278" s="546" t="s">
        <v>2096</v>
      </c>
      <c r="H278" s="49" t="s">
        <v>990</v>
      </c>
      <c r="I278" s="49" t="s">
        <v>1004</v>
      </c>
      <c r="J278" t="s">
        <v>1048</v>
      </c>
      <c r="K278" s="549">
        <v>12559</v>
      </c>
    </row>
    <row r="279" spans="1:11" ht="16.5" x14ac:dyDescent="0.3">
      <c r="A279">
        <f t="shared" si="4"/>
        <v>278</v>
      </c>
      <c r="B279" s="546" t="s">
        <v>2097</v>
      </c>
      <c r="C279" s="546" t="s">
        <v>2098</v>
      </c>
      <c r="D279" s="547" t="s">
        <v>1013</v>
      </c>
      <c r="E279" s="548" t="s">
        <v>2099</v>
      </c>
      <c r="F279" s="548" t="s">
        <v>2098</v>
      </c>
      <c r="G279" s="546" t="s">
        <v>2100</v>
      </c>
      <c r="H279" s="49" t="s">
        <v>990</v>
      </c>
      <c r="I279" s="49" t="s">
        <v>1021</v>
      </c>
      <c r="J279" t="s">
        <v>2101</v>
      </c>
      <c r="K279" s="549">
        <v>20554</v>
      </c>
    </row>
    <row r="280" spans="1:11" ht="16.5" x14ac:dyDescent="0.3">
      <c r="A280">
        <f t="shared" si="4"/>
        <v>279</v>
      </c>
      <c r="B280" s="546" t="s">
        <v>2102</v>
      </c>
      <c r="C280" s="546" t="s">
        <v>2103</v>
      </c>
      <c r="D280" s="547" t="s">
        <v>1199</v>
      </c>
      <c r="E280" s="548" t="s">
        <v>2104</v>
      </c>
      <c r="F280" s="548" t="s">
        <v>2105</v>
      </c>
      <c r="G280" s="546" t="s">
        <v>2105</v>
      </c>
      <c r="H280" s="49" t="s">
        <v>1016</v>
      </c>
      <c r="I280" s="49" t="s">
        <v>991</v>
      </c>
      <c r="J280" t="s">
        <v>992</v>
      </c>
      <c r="K280" s="549">
        <v>15845</v>
      </c>
    </row>
    <row r="281" spans="1:11" ht="16.5" x14ac:dyDescent="0.3">
      <c r="A281">
        <f t="shared" si="4"/>
        <v>280</v>
      </c>
      <c r="B281" s="546" t="s">
        <v>2106</v>
      </c>
      <c r="C281" s="546" t="s">
        <v>2107</v>
      </c>
      <c r="D281" s="547" t="s">
        <v>1065</v>
      </c>
      <c r="E281" s="548" t="s">
        <v>2108</v>
      </c>
      <c r="F281" s="548" t="s">
        <v>2109</v>
      </c>
      <c r="G281" s="546" t="s">
        <v>2109</v>
      </c>
      <c r="H281" s="49" t="s">
        <v>1016</v>
      </c>
      <c r="I281" s="49" t="s">
        <v>991</v>
      </c>
      <c r="J281" t="s">
        <v>992</v>
      </c>
      <c r="K281" s="549">
        <v>4341</v>
      </c>
    </row>
    <row r="282" spans="1:11" ht="16.5" x14ac:dyDescent="0.3">
      <c r="A282">
        <f t="shared" si="4"/>
        <v>281</v>
      </c>
      <c r="B282" s="546" t="s">
        <v>2110</v>
      </c>
      <c r="C282" s="546" t="s">
        <v>2111</v>
      </c>
      <c r="D282" s="547" t="s">
        <v>1013</v>
      </c>
      <c r="E282" s="548" t="s">
        <v>2112</v>
      </c>
      <c r="F282" s="548" t="s">
        <v>2111</v>
      </c>
      <c r="G282" s="546" t="s">
        <v>2113</v>
      </c>
      <c r="H282" s="49" t="s">
        <v>990</v>
      </c>
      <c r="I282" s="49" t="s">
        <v>991</v>
      </c>
      <c r="J282" t="s">
        <v>999</v>
      </c>
      <c r="K282" s="549">
        <v>25890</v>
      </c>
    </row>
    <row r="283" spans="1:11" ht="16.5" x14ac:dyDescent="0.3">
      <c r="A283">
        <f t="shared" si="4"/>
        <v>282</v>
      </c>
      <c r="B283" s="546" t="s">
        <v>2114</v>
      </c>
      <c r="C283" s="546" t="s">
        <v>2115</v>
      </c>
      <c r="D283" s="547" t="s">
        <v>987</v>
      </c>
      <c r="E283" s="548" t="s">
        <v>2116</v>
      </c>
      <c r="F283" s="548" t="s">
        <v>2115</v>
      </c>
      <c r="G283" s="546" t="s">
        <v>2117</v>
      </c>
      <c r="H283" s="49" t="s">
        <v>990</v>
      </c>
      <c r="I283" s="49" t="s">
        <v>1004</v>
      </c>
      <c r="J283" t="s">
        <v>1048</v>
      </c>
      <c r="K283" s="549">
        <v>38872</v>
      </c>
    </row>
    <row r="284" spans="1:11" ht="16.5" x14ac:dyDescent="0.3">
      <c r="A284">
        <f t="shared" si="4"/>
        <v>283</v>
      </c>
      <c r="B284" s="546" t="s">
        <v>2118</v>
      </c>
      <c r="C284" s="546" t="s">
        <v>2119</v>
      </c>
      <c r="D284" s="547" t="s">
        <v>987</v>
      </c>
      <c r="E284" s="548" t="s">
        <v>2120</v>
      </c>
      <c r="F284" s="548" t="s">
        <v>2121</v>
      </c>
      <c r="G284" s="546" t="s">
        <v>2121</v>
      </c>
      <c r="H284" s="49" t="s">
        <v>1016</v>
      </c>
      <c r="I284" s="49" t="s">
        <v>991</v>
      </c>
      <c r="J284" t="s">
        <v>992</v>
      </c>
      <c r="K284" s="549">
        <v>5897</v>
      </c>
    </row>
    <row r="285" spans="1:11" ht="16.5" x14ac:dyDescent="0.3">
      <c r="A285">
        <f t="shared" si="4"/>
        <v>284</v>
      </c>
      <c r="B285" s="546" t="s">
        <v>2122</v>
      </c>
      <c r="C285" s="546" t="s">
        <v>2123</v>
      </c>
      <c r="D285" s="547" t="s">
        <v>1084</v>
      </c>
      <c r="E285" s="548" t="s">
        <v>2124</v>
      </c>
      <c r="F285" s="548" t="s">
        <v>2123</v>
      </c>
      <c r="G285" s="546" t="s">
        <v>2125</v>
      </c>
      <c r="H285" s="49" t="s">
        <v>990</v>
      </c>
      <c r="I285" s="49" t="s">
        <v>991</v>
      </c>
      <c r="J285" t="s">
        <v>1077</v>
      </c>
      <c r="K285" s="549">
        <v>43070</v>
      </c>
    </row>
    <row r="286" spans="1:11" ht="16.5" x14ac:dyDescent="0.3">
      <c r="A286">
        <f t="shared" si="4"/>
        <v>285</v>
      </c>
      <c r="B286" s="546" t="s">
        <v>2126</v>
      </c>
      <c r="C286" s="546" t="s">
        <v>2127</v>
      </c>
      <c r="D286" s="547" t="s">
        <v>1029</v>
      </c>
      <c r="E286" s="548" t="s">
        <v>2128</v>
      </c>
      <c r="F286" s="548" t="s">
        <v>2127</v>
      </c>
      <c r="G286" s="546" t="s">
        <v>2129</v>
      </c>
      <c r="H286" s="49" t="s">
        <v>990</v>
      </c>
      <c r="I286" s="49" t="s">
        <v>1004</v>
      </c>
      <c r="J286" t="s">
        <v>1005</v>
      </c>
      <c r="K286" s="549">
        <v>1806</v>
      </c>
    </row>
    <row r="287" spans="1:11" ht="16.5" x14ac:dyDescent="0.3">
      <c r="A287">
        <f t="shared" si="4"/>
        <v>286</v>
      </c>
      <c r="B287" s="546" t="s">
        <v>2130</v>
      </c>
      <c r="C287" s="546" t="s">
        <v>2131</v>
      </c>
      <c r="D287" s="547" t="s">
        <v>1097</v>
      </c>
      <c r="E287" s="548" t="s">
        <v>2132</v>
      </c>
      <c r="F287" s="548" t="s">
        <v>2131</v>
      </c>
      <c r="G287" s="546" t="s">
        <v>2133</v>
      </c>
      <c r="H287" s="49" t="s">
        <v>990</v>
      </c>
      <c r="I287" s="49" t="s">
        <v>1004</v>
      </c>
      <c r="J287" t="s">
        <v>1048</v>
      </c>
      <c r="K287" s="549">
        <v>8544</v>
      </c>
    </row>
    <row r="288" spans="1:11" ht="16.5" x14ac:dyDescent="0.3">
      <c r="A288">
        <f t="shared" si="4"/>
        <v>287</v>
      </c>
      <c r="B288" s="546" t="s">
        <v>2134</v>
      </c>
      <c r="C288" s="546" t="s">
        <v>2131</v>
      </c>
      <c r="D288" s="547" t="s">
        <v>1008</v>
      </c>
      <c r="E288" s="548" t="s">
        <v>2135</v>
      </c>
      <c r="F288" s="548" t="s">
        <v>2131</v>
      </c>
      <c r="G288" s="546" t="s">
        <v>2133</v>
      </c>
      <c r="H288" s="49" t="s">
        <v>990</v>
      </c>
      <c r="I288" s="49" t="s">
        <v>1004</v>
      </c>
      <c r="J288" t="s">
        <v>1048</v>
      </c>
      <c r="K288" s="549">
        <v>7725</v>
      </c>
    </row>
    <row r="289" spans="1:11" ht="16.5" x14ac:dyDescent="0.3">
      <c r="A289">
        <f t="shared" si="4"/>
        <v>288</v>
      </c>
      <c r="B289" s="546" t="s">
        <v>2136</v>
      </c>
      <c r="C289" s="546" t="s">
        <v>2137</v>
      </c>
      <c r="D289" s="547" t="s">
        <v>1084</v>
      </c>
      <c r="E289" s="548" t="s">
        <v>2138</v>
      </c>
      <c r="F289" s="548" t="s">
        <v>2139</v>
      </c>
      <c r="G289" s="546" t="s">
        <v>2139</v>
      </c>
      <c r="H289" s="49" t="s">
        <v>1016</v>
      </c>
      <c r="I289" s="49" t="s">
        <v>991</v>
      </c>
      <c r="J289" t="s">
        <v>992</v>
      </c>
      <c r="K289" s="549">
        <v>296</v>
      </c>
    </row>
    <row r="290" spans="1:11" ht="16.5" x14ac:dyDescent="0.3">
      <c r="A290">
        <f t="shared" si="4"/>
        <v>289</v>
      </c>
      <c r="B290" s="546" t="s">
        <v>2140</v>
      </c>
      <c r="C290" s="546" t="s">
        <v>2141</v>
      </c>
      <c r="D290" s="547" t="s">
        <v>1348</v>
      </c>
      <c r="E290" s="548" t="s">
        <v>2142</v>
      </c>
      <c r="F290" s="548" t="s">
        <v>2141</v>
      </c>
      <c r="G290" s="546" t="s">
        <v>2143</v>
      </c>
      <c r="H290" s="49" t="s">
        <v>990</v>
      </c>
      <c r="I290" s="49" t="s">
        <v>1004</v>
      </c>
      <c r="J290" t="s">
        <v>1048</v>
      </c>
      <c r="K290" s="549">
        <v>15217</v>
      </c>
    </row>
    <row r="291" spans="1:11" ht="16.5" x14ac:dyDescent="0.3">
      <c r="A291">
        <f t="shared" si="4"/>
        <v>290</v>
      </c>
      <c r="B291" s="546" t="s">
        <v>2144</v>
      </c>
      <c r="C291" s="546" t="s">
        <v>2145</v>
      </c>
      <c r="D291" s="547" t="s">
        <v>1119</v>
      </c>
      <c r="E291" s="548" t="s">
        <v>2146</v>
      </c>
      <c r="F291" s="548" t="s">
        <v>2147</v>
      </c>
      <c r="G291" s="546" t="s">
        <v>2147</v>
      </c>
      <c r="H291" s="49" t="s">
        <v>1016</v>
      </c>
      <c r="I291" s="49" t="s">
        <v>991</v>
      </c>
      <c r="J291" t="s">
        <v>992</v>
      </c>
      <c r="K291" s="549">
        <v>10344</v>
      </c>
    </row>
    <row r="292" spans="1:11" ht="16.5" x14ac:dyDescent="0.3">
      <c r="A292">
        <f t="shared" si="4"/>
        <v>291</v>
      </c>
      <c r="B292" s="546" t="s">
        <v>2148</v>
      </c>
      <c r="C292" s="546" t="s">
        <v>2149</v>
      </c>
      <c r="D292" s="547" t="s">
        <v>1097</v>
      </c>
      <c r="E292" s="548" t="s">
        <v>2150</v>
      </c>
      <c r="F292" s="548" t="s">
        <v>2149</v>
      </c>
      <c r="G292" s="546" t="s">
        <v>2151</v>
      </c>
      <c r="H292" s="49" t="s">
        <v>990</v>
      </c>
      <c r="I292" s="49" t="s">
        <v>991</v>
      </c>
      <c r="J292" t="s">
        <v>1053</v>
      </c>
      <c r="K292" s="549">
        <v>19131</v>
      </c>
    </row>
    <row r="293" spans="1:11" ht="16.5" x14ac:dyDescent="0.3">
      <c r="A293">
        <f t="shared" si="4"/>
        <v>292</v>
      </c>
      <c r="B293" s="546" t="s">
        <v>2152</v>
      </c>
      <c r="C293" s="546" t="s">
        <v>2153</v>
      </c>
      <c r="D293" s="547" t="s">
        <v>1124</v>
      </c>
      <c r="E293" s="548" t="s">
        <v>2154</v>
      </c>
      <c r="F293" s="548" t="s">
        <v>2153</v>
      </c>
      <c r="G293" s="546" t="s">
        <v>2155</v>
      </c>
      <c r="H293" s="49" t="s">
        <v>990</v>
      </c>
      <c r="I293" s="49" t="s">
        <v>1004</v>
      </c>
      <c r="J293" t="s">
        <v>1048</v>
      </c>
      <c r="K293" s="549">
        <v>23867</v>
      </c>
    </row>
    <row r="294" spans="1:11" ht="16.5" x14ac:dyDescent="0.3">
      <c r="A294">
        <f t="shared" si="4"/>
        <v>293</v>
      </c>
      <c r="B294" s="546" t="s">
        <v>2156</v>
      </c>
      <c r="C294" s="550" t="s">
        <v>2157</v>
      </c>
      <c r="D294" s="547" t="s">
        <v>995</v>
      </c>
      <c r="E294" s="548" t="s">
        <v>2158</v>
      </c>
      <c r="F294" s="548" t="s">
        <v>2157</v>
      </c>
      <c r="G294" s="550" t="s">
        <v>2157</v>
      </c>
      <c r="H294" s="49" t="s">
        <v>998</v>
      </c>
      <c r="I294" s="49" t="s">
        <v>1021</v>
      </c>
      <c r="J294" t="s">
        <v>1022</v>
      </c>
      <c r="K294" s="549">
        <v>6354</v>
      </c>
    </row>
    <row r="295" spans="1:11" ht="16.5" x14ac:dyDescent="0.3">
      <c r="A295">
        <f t="shared" si="4"/>
        <v>294</v>
      </c>
      <c r="B295" s="546" t="s">
        <v>2159</v>
      </c>
      <c r="C295" s="546" t="s">
        <v>2160</v>
      </c>
      <c r="D295" s="547" t="s">
        <v>987</v>
      </c>
      <c r="E295" s="548" t="s">
        <v>2161</v>
      </c>
      <c r="F295" s="548" t="s">
        <v>2160</v>
      </c>
      <c r="G295" s="546" t="s">
        <v>2162</v>
      </c>
      <c r="H295" s="49" t="s">
        <v>990</v>
      </c>
      <c r="I295" s="49" t="s">
        <v>991</v>
      </c>
      <c r="J295" t="s">
        <v>1077</v>
      </c>
      <c r="K295" s="549">
        <v>40191</v>
      </c>
    </row>
    <row r="296" spans="1:11" ht="16.5" x14ac:dyDescent="0.3">
      <c r="A296">
        <f t="shared" si="4"/>
        <v>295</v>
      </c>
      <c r="B296" s="546" t="s">
        <v>2163</v>
      </c>
      <c r="C296" s="546" t="s">
        <v>2164</v>
      </c>
      <c r="D296" s="547" t="s">
        <v>987</v>
      </c>
      <c r="E296" s="548" t="s">
        <v>2165</v>
      </c>
      <c r="F296" s="548" t="s">
        <v>2166</v>
      </c>
      <c r="G296" s="546" t="s">
        <v>2166</v>
      </c>
      <c r="H296" s="49" t="s">
        <v>1016</v>
      </c>
      <c r="I296" s="49" t="s">
        <v>991</v>
      </c>
      <c r="J296" t="s">
        <v>992</v>
      </c>
      <c r="K296" s="549">
        <v>8810</v>
      </c>
    </row>
    <row r="297" spans="1:11" ht="16.5" x14ac:dyDescent="0.3">
      <c r="A297">
        <f t="shared" si="4"/>
        <v>296</v>
      </c>
      <c r="B297" s="546" t="s">
        <v>2167</v>
      </c>
      <c r="C297" s="546" t="s">
        <v>2168</v>
      </c>
      <c r="D297" s="547" t="s">
        <v>1236</v>
      </c>
      <c r="E297" s="548" t="s">
        <v>2169</v>
      </c>
      <c r="F297" s="548" t="s">
        <v>2168</v>
      </c>
      <c r="G297" s="546" t="s">
        <v>2170</v>
      </c>
      <c r="H297" s="49" t="s">
        <v>990</v>
      </c>
      <c r="I297" s="49" t="s">
        <v>1004</v>
      </c>
      <c r="J297" t="s">
        <v>1005</v>
      </c>
      <c r="K297" s="549">
        <v>7976</v>
      </c>
    </row>
    <row r="298" spans="1:11" ht="16.5" x14ac:dyDescent="0.3">
      <c r="A298">
        <f t="shared" si="4"/>
        <v>297</v>
      </c>
      <c r="B298" s="546" t="s">
        <v>2171</v>
      </c>
      <c r="C298" s="546" t="s">
        <v>2172</v>
      </c>
      <c r="D298" s="547" t="s">
        <v>1013</v>
      </c>
      <c r="E298" s="548" t="s">
        <v>2173</v>
      </c>
      <c r="F298" s="548" t="s">
        <v>2174</v>
      </c>
      <c r="G298" s="546" t="s">
        <v>2174</v>
      </c>
      <c r="H298" s="49" t="s">
        <v>1016</v>
      </c>
      <c r="I298" s="49" t="s">
        <v>991</v>
      </c>
      <c r="J298" t="s">
        <v>992</v>
      </c>
      <c r="K298" s="549">
        <v>9555</v>
      </c>
    </row>
    <row r="299" spans="1:11" ht="16.5" x14ac:dyDescent="0.3">
      <c r="A299">
        <f t="shared" si="4"/>
        <v>298</v>
      </c>
      <c r="B299" s="546" t="s">
        <v>2175</v>
      </c>
      <c r="C299" s="546" t="s">
        <v>2176</v>
      </c>
      <c r="D299" s="547" t="s">
        <v>1097</v>
      </c>
      <c r="E299" s="548" t="s">
        <v>2177</v>
      </c>
      <c r="F299" s="548" t="s">
        <v>2178</v>
      </c>
      <c r="G299" s="546" t="s">
        <v>2178</v>
      </c>
      <c r="H299" s="49" t="s">
        <v>1016</v>
      </c>
      <c r="I299" s="49" t="s">
        <v>991</v>
      </c>
      <c r="J299" t="s">
        <v>2179</v>
      </c>
      <c r="K299" s="549">
        <v>4146</v>
      </c>
    </row>
    <row r="300" spans="1:11" ht="16.5" x14ac:dyDescent="0.3">
      <c r="A300">
        <f t="shared" si="4"/>
        <v>299</v>
      </c>
      <c r="B300" s="546" t="s">
        <v>2180</v>
      </c>
      <c r="C300" s="546" t="s">
        <v>2181</v>
      </c>
      <c r="D300" s="547" t="s">
        <v>1097</v>
      </c>
      <c r="E300" s="548" t="s">
        <v>2182</v>
      </c>
      <c r="F300" s="548" t="s">
        <v>2181</v>
      </c>
      <c r="G300" s="546" t="s">
        <v>2183</v>
      </c>
      <c r="H300" s="49" t="s">
        <v>990</v>
      </c>
      <c r="I300" s="49" t="s">
        <v>991</v>
      </c>
      <c r="J300" t="s">
        <v>1053</v>
      </c>
      <c r="K300" s="549">
        <v>23033</v>
      </c>
    </row>
    <row r="301" spans="1:11" ht="16.5" x14ac:dyDescent="0.3">
      <c r="A301">
        <f t="shared" si="4"/>
        <v>300</v>
      </c>
      <c r="B301" s="546" t="s">
        <v>2184</v>
      </c>
      <c r="C301" s="546" t="s">
        <v>2185</v>
      </c>
      <c r="D301" s="547" t="s">
        <v>1199</v>
      </c>
      <c r="E301" s="548" t="s">
        <v>2186</v>
      </c>
      <c r="F301" s="548" t="s">
        <v>2187</v>
      </c>
      <c r="G301" s="546" t="s">
        <v>2187</v>
      </c>
      <c r="H301" s="49" t="s">
        <v>1016</v>
      </c>
      <c r="I301" s="49" t="s">
        <v>991</v>
      </c>
      <c r="J301" t="s">
        <v>992</v>
      </c>
      <c r="K301" s="549">
        <v>4981</v>
      </c>
    </row>
    <row r="302" spans="1:11" ht="16.5" x14ac:dyDescent="0.3">
      <c r="A302">
        <f t="shared" si="4"/>
        <v>301</v>
      </c>
      <c r="B302" s="546" t="s">
        <v>2188</v>
      </c>
      <c r="C302" s="546" t="s">
        <v>2189</v>
      </c>
      <c r="D302" s="547" t="s">
        <v>1199</v>
      </c>
      <c r="E302" s="548" t="s">
        <v>2190</v>
      </c>
      <c r="F302" s="548" t="s">
        <v>2189</v>
      </c>
      <c r="G302" s="546" t="s">
        <v>2187</v>
      </c>
      <c r="H302" s="49" t="s">
        <v>990</v>
      </c>
      <c r="I302" s="49" t="s">
        <v>1004</v>
      </c>
      <c r="J302" t="s">
        <v>1048</v>
      </c>
      <c r="K302" s="549">
        <v>5869</v>
      </c>
    </row>
    <row r="303" spans="1:11" ht="16.5" x14ac:dyDescent="0.3">
      <c r="A303">
        <f t="shared" si="4"/>
        <v>302</v>
      </c>
      <c r="B303" s="546" t="s">
        <v>2191</v>
      </c>
      <c r="C303" s="546" t="s">
        <v>2192</v>
      </c>
      <c r="D303" s="547" t="s">
        <v>1065</v>
      </c>
      <c r="E303" s="548" t="s">
        <v>2193</v>
      </c>
      <c r="F303" s="548" t="s">
        <v>2194</v>
      </c>
      <c r="G303" s="546" t="s">
        <v>2194</v>
      </c>
      <c r="H303" s="49" t="s">
        <v>1016</v>
      </c>
      <c r="I303" s="49" t="s">
        <v>991</v>
      </c>
      <c r="J303" t="s">
        <v>992</v>
      </c>
      <c r="K303" s="549">
        <v>3821</v>
      </c>
    </row>
    <row r="304" spans="1:11" ht="16.5" x14ac:dyDescent="0.3">
      <c r="A304">
        <f t="shared" si="4"/>
        <v>303</v>
      </c>
      <c r="B304" s="546" t="s">
        <v>2195</v>
      </c>
      <c r="C304" s="546" t="s">
        <v>2196</v>
      </c>
      <c r="D304" s="547" t="s">
        <v>1305</v>
      </c>
      <c r="E304" s="548" t="s">
        <v>2197</v>
      </c>
      <c r="F304" s="548" t="s">
        <v>2198</v>
      </c>
      <c r="G304" s="546" t="s">
        <v>2198</v>
      </c>
      <c r="H304" s="49" t="s">
        <v>1016</v>
      </c>
      <c r="I304" s="49" t="s">
        <v>991</v>
      </c>
      <c r="J304" t="s">
        <v>992</v>
      </c>
      <c r="K304" s="549">
        <v>13574</v>
      </c>
    </row>
    <row r="305" spans="1:11" ht="16.5" x14ac:dyDescent="0.3">
      <c r="A305">
        <f t="shared" si="4"/>
        <v>304</v>
      </c>
      <c r="B305" s="546" t="s">
        <v>2199</v>
      </c>
      <c r="C305" s="546" t="s">
        <v>2200</v>
      </c>
      <c r="D305" s="547" t="s">
        <v>1074</v>
      </c>
      <c r="E305" s="548" t="s">
        <v>2201</v>
      </c>
      <c r="F305" s="548" t="s">
        <v>2200</v>
      </c>
      <c r="G305" s="546" t="s">
        <v>2202</v>
      </c>
      <c r="H305" s="49" t="s">
        <v>990</v>
      </c>
      <c r="I305" s="49" t="s">
        <v>1004</v>
      </c>
      <c r="J305" t="s">
        <v>1005</v>
      </c>
      <c r="K305" s="549">
        <v>18911</v>
      </c>
    </row>
    <row r="306" spans="1:11" ht="16.5" x14ac:dyDescent="0.3">
      <c r="A306">
        <f t="shared" si="4"/>
        <v>305</v>
      </c>
      <c r="B306" s="546" t="s">
        <v>2203</v>
      </c>
      <c r="C306" s="546" t="s">
        <v>2204</v>
      </c>
      <c r="D306" s="547" t="s">
        <v>1305</v>
      </c>
      <c r="E306" s="548" t="s">
        <v>2205</v>
      </c>
      <c r="F306" s="548" t="s">
        <v>1305</v>
      </c>
      <c r="G306" s="546" t="s">
        <v>1305</v>
      </c>
      <c r="H306" s="49" t="s">
        <v>1016</v>
      </c>
      <c r="I306" s="49" t="s">
        <v>991</v>
      </c>
      <c r="J306" t="s">
        <v>992</v>
      </c>
      <c r="K306" s="549">
        <v>13635</v>
      </c>
    </row>
    <row r="307" spans="1:11" ht="16.5" x14ac:dyDescent="0.3">
      <c r="A307">
        <f t="shared" si="4"/>
        <v>306</v>
      </c>
      <c r="B307" s="546" t="s">
        <v>2206</v>
      </c>
      <c r="C307" s="546" t="s">
        <v>2207</v>
      </c>
      <c r="D307" s="547" t="s">
        <v>987</v>
      </c>
      <c r="E307" s="548" t="s">
        <v>2208</v>
      </c>
      <c r="F307" s="548" t="s">
        <v>2207</v>
      </c>
      <c r="G307" s="546" t="s">
        <v>2209</v>
      </c>
      <c r="H307" s="49" t="s">
        <v>990</v>
      </c>
      <c r="I307" s="49" t="s">
        <v>991</v>
      </c>
      <c r="J307" t="s">
        <v>1053</v>
      </c>
      <c r="K307" s="549">
        <v>66522</v>
      </c>
    </row>
    <row r="308" spans="1:11" ht="16.5" x14ac:dyDescent="0.3">
      <c r="A308">
        <f t="shared" si="4"/>
        <v>307</v>
      </c>
      <c r="B308" s="546" t="s">
        <v>2210</v>
      </c>
      <c r="C308" s="546" t="s">
        <v>2211</v>
      </c>
      <c r="D308" s="547" t="s">
        <v>1013</v>
      </c>
      <c r="E308" s="548" t="s">
        <v>2212</v>
      </c>
      <c r="F308" s="548" t="s">
        <v>2213</v>
      </c>
      <c r="G308" s="546" t="s">
        <v>2213</v>
      </c>
      <c r="H308" s="49" t="s">
        <v>1016</v>
      </c>
      <c r="I308" s="49" t="s">
        <v>991</v>
      </c>
      <c r="J308" t="s">
        <v>992</v>
      </c>
      <c r="K308" s="549">
        <v>7128</v>
      </c>
    </row>
    <row r="309" spans="1:11" ht="16.5" x14ac:dyDescent="0.3">
      <c r="A309">
        <f t="shared" si="4"/>
        <v>308</v>
      </c>
      <c r="B309" s="546" t="s">
        <v>2214</v>
      </c>
      <c r="C309" s="546" t="s">
        <v>2215</v>
      </c>
      <c r="D309" s="547" t="s">
        <v>1002</v>
      </c>
      <c r="E309" s="548" t="s">
        <v>2216</v>
      </c>
      <c r="F309" s="548" t="s">
        <v>2217</v>
      </c>
      <c r="G309" s="546" t="s">
        <v>2217</v>
      </c>
      <c r="H309" s="49" t="s">
        <v>1016</v>
      </c>
      <c r="I309" s="49" t="s">
        <v>991</v>
      </c>
      <c r="J309" t="s">
        <v>992</v>
      </c>
      <c r="K309" s="549">
        <v>1233</v>
      </c>
    </row>
    <row r="310" spans="1:11" ht="16.5" x14ac:dyDescent="0.3">
      <c r="A310">
        <f t="shared" si="4"/>
        <v>309</v>
      </c>
      <c r="B310" s="546" t="s">
        <v>2218</v>
      </c>
      <c r="C310" s="546" t="s">
        <v>2219</v>
      </c>
      <c r="D310" s="547" t="s">
        <v>1124</v>
      </c>
      <c r="E310" s="548" t="s">
        <v>2220</v>
      </c>
      <c r="F310" s="548" t="s">
        <v>2219</v>
      </c>
      <c r="G310" s="546" t="s">
        <v>2221</v>
      </c>
      <c r="H310" s="49" t="s">
        <v>990</v>
      </c>
      <c r="I310" s="49" t="s">
        <v>1004</v>
      </c>
      <c r="J310" t="s">
        <v>1048</v>
      </c>
      <c r="K310" s="549">
        <v>20149</v>
      </c>
    </row>
    <row r="311" spans="1:11" ht="16.5" x14ac:dyDescent="0.3">
      <c r="A311">
        <f t="shared" si="4"/>
        <v>310</v>
      </c>
      <c r="B311" s="546" t="s">
        <v>2222</v>
      </c>
      <c r="C311" s="546" t="s">
        <v>2223</v>
      </c>
      <c r="D311" s="547" t="s">
        <v>1119</v>
      </c>
      <c r="E311" s="548" t="s">
        <v>2224</v>
      </c>
      <c r="F311" s="548" t="s">
        <v>2225</v>
      </c>
      <c r="G311" s="546" t="s">
        <v>2225</v>
      </c>
      <c r="H311" s="49" t="s">
        <v>1016</v>
      </c>
      <c r="I311" s="49" t="s">
        <v>991</v>
      </c>
      <c r="J311" t="s">
        <v>992</v>
      </c>
      <c r="K311" s="549">
        <v>418</v>
      </c>
    </row>
    <row r="312" spans="1:11" ht="16.5" x14ac:dyDescent="0.3">
      <c r="A312">
        <f t="shared" si="4"/>
        <v>311</v>
      </c>
      <c r="B312" s="546" t="s">
        <v>2226</v>
      </c>
      <c r="C312" s="546" t="s">
        <v>2227</v>
      </c>
      <c r="D312" s="547" t="s">
        <v>987</v>
      </c>
      <c r="E312" s="548" t="s">
        <v>2228</v>
      </c>
      <c r="F312" s="548" t="s">
        <v>2227</v>
      </c>
      <c r="G312" s="546" t="s">
        <v>2225</v>
      </c>
      <c r="H312" s="49" t="s">
        <v>990</v>
      </c>
      <c r="I312" s="49" t="s">
        <v>1004</v>
      </c>
      <c r="J312" t="s">
        <v>1048</v>
      </c>
      <c r="K312" s="549">
        <v>10566</v>
      </c>
    </row>
    <row r="313" spans="1:11" ht="16.5" x14ac:dyDescent="0.3">
      <c r="A313">
        <f t="shared" si="4"/>
        <v>312</v>
      </c>
      <c r="B313" s="546" t="s">
        <v>2229</v>
      </c>
      <c r="C313" s="546" t="s">
        <v>2230</v>
      </c>
      <c r="D313" s="547" t="s">
        <v>1305</v>
      </c>
      <c r="E313" s="548" t="s">
        <v>2231</v>
      </c>
      <c r="F313" s="548" t="s">
        <v>2232</v>
      </c>
      <c r="G313" s="546" t="s">
        <v>2232</v>
      </c>
      <c r="H313" s="49" t="s">
        <v>1016</v>
      </c>
      <c r="I313" s="49" t="s">
        <v>991</v>
      </c>
      <c r="J313" t="s">
        <v>992</v>
      </c>
      <c r="K313" s="549">
        <v>6893</v>
      </c>
    </row>
    <row r="314" spans="1:11" ht="16.5" x14ac:dyDescent="0.3">
      <c r="A314">
        <f t="shared" si="4"/>
        <v>313</v>
      </c>
      <c r="B314" s="546" t="s">
        <v>2233</v>
      </c>
      <c r="C314" s="546" t="s">
        <v>2234</v>
      </c>
      <c r="D314" s="547" t="s">
        <v>1236</v>
      </c>
      <c r="E314" s="548" t="s">
        <v>2235</v>
      </c>
      <c r="F314" s="548" t="s">
        <v>2236</v>
      </c>
      <c r="G314" s="546" t="s">
        <v>2236</v>
      </c>
      <c r="H314" s="49" t="s">
        <v>998</v>
      </c>
      <c r="I314" s="49" t="s">
        <v>1021</v>
      </c>
      <c r="J314" t="s">
        <v>2101</v>
      </c>
      <c r="K314" s="549">
        <v>28400</v>
      </c>
    </row>
    <row r="315" spans="1:11" ht="16.5" x14ac:dyDescent="0.3">
      <c r="A315">
        <f t="shared" si="4"/>
        <v>314</v>
      </c>
      <c r="B315" s="546" t="s">
        <v>2237</v>
      </c>
      <c r="C315" s="546" t="s">
        <v>2238</v>
      </c>
      <c r="D315" s="547" t="s">
        <v>1199</v>
      </c>
      <c r="E315" s="548" t="s">
        <v>2239</v>
      </c>
      <c r="F315" s="548" t="s">
        <v>2238</v>
      </c>
      <c r="G315" s="546" t="s">
        <v>2240</v>
      </c>
      <c r="H315" s="49" t="s">
        <v>990</v>
      </c>
      <c r="I315" s="49" t="s">
        <v>991</v>
      </c>
      <c r="J315" t="s">
        <v>1077</v>
      </c>
      <c r="K315" s="549">
        <v>3651</v>
      </c>
    </row>
    <row r="316" spans="1:11" ht="16.5" x14ac:dyDescent="0.3">
      <c r="A316">
        <f t="shared" si="4"/>
        <v>315</v>
      </c>
      <c r="B316" s="546" t="s">
        <v>2241</v>
      </c>
      <c r="C316" s="546" t="s">
        <v>2242</v>
      </c>
      <c r="D316" s="547" t="s">
        <v>987</v>
      </c>
      <c r="E316" s="548" t="s">
        <v>2243</v>
      </c>
      <c r="F316" s="548" t="s">
        <v>2244</v>
      </c>
      <c r="G316" s="546" t="s">
        <v>2244</v>
      </c>
      <c r="H316" s="49" t="s">
        <v>1016</v>
      </c>
      <c r="I316" s="49" t="s">
        <v>1021</v>
      </c>
      <c r="J316" t="s">
        <v>1022</v>
      </c>
      <c r="K316" s="549">
        <v>3279</v>
      </c>
    </row>
    <row r="317" spans="1:11" ht="16.5" x14ac:dyDescent="0.3">
      <c r="A317">
        <f t="shared" si="4"/>
        <v>316</v>
      </c>
      <c r="B317" s="546" t="s">
        <v>2245</v>
      </c>
      <c r="C317" s="546" t="s">
        <v>2246</v>
      </c>
      <c r="D317" s="547" t="s">
        <v>1348</v>
      </c>
      <c r="E317" s="548" t="s">
        <v>2247</v>
      </c>
      <c r="F317" s="548" t="s">
        <v>2246</v>
      </c>
      <c r="G317" s="546" t="s">
        <v>2248</v>
      </c>
      <c r="H317" s="49" t="s">
        <v>990</v>
      </c>
      <c r="I317" s="49" t="s">
        <v>991</v>
      </c>
      <c r="J317" t="s">
        <v>999</v>
      </c>
      <c r="K317" s="549">
        <v>36129</v>
      </c>
    </row>
    <row r="318" spans="1:11" ht="16.5" x14ac:dyDescent="0.3">
      <c r="A318">
        <f t="shared" si="4"/>
        <v>317</v>
      </c>
      <c r="B318" s="546" t="s">
        <v>2249</v>
      </c>
      <c r="C318" s="546" t="s">
        <v>2246</v>
      </c>
      <c r="D318" s="547" t="s">
        <v>1305</v>
      </c>
      <c r="E318" s="548" t="s">
        <v>2250</v>
      </c>
      <c r="F318" s="548" t="s">
        <v>2246</v>
      </c>
      <c r="G318" s="546" t="s">
        <v>2248</v>
      </c>
      <c r="H318" s="49" t="s">
        <v>990</v>
      </c>
      <c r="I318" s="49" t="s">
        <v>991</v>
      </c>
      <c r="J318" t="s">
        <v>1077</v>
      </c>
      <c r="K318" s="549">
        <v>39132</v>
      </c>
    </row>
    <row r="319" spans="1:11" ht="16.5" x14ac:dyDescent="0.3">
      <c r="A319">
        <f t="shared" si="4"/>
        <v>318</v>
      </c>
      <c r="B319" s="546" t="s">
        <v>2251</v>
      </c>
      <c r="C319" s="546" t="s">
        <v>2252</v>
      </c>
      <c r="D319" s="547" t="s">
        <v>1042</v>
      </c>
      <c r="E319" s="548" t="s">
        <v>2253</v>
      </c>
      <c r="F319" s="548" t="s">
        <v>2252</v>
      </c>
      <c r="G319" s="546" t="s">
        <v>2254</v>
      </c>
      <c r="H319" s="49" t="s">
        <v>990</v>
      </c>
      <c r="I319" s="49" t="s">
        <v>1004</v>
      </c>
      <c r="J319" t="s">
        <v>1048</v>
      </c>
      <c r="K319" s="549">
        <v>3847</v>
      </c>
    </row>
    <row r="320" spans="1:11" ht="16.5" x14ac:dyDescent="0.3">
      <c r="A320">
        <f t="shared" si="4"/>
        <v>319</v>
      </c>
      <c r="B320" s="546" t="s">
        <v>2255</v>
      </c>
      <c r="C320" s="546" t="s">
        <v>2256</v>
      </c>
      <c r="D320" s="547" t="s">
        <v>1124</v>
      </c>
      <c r="E320" s="548" t="s">
        <v>2257</v>
      </c>
      <c r="F320" s="548" t="s">
        <v>2256</v>
      </c>
      <c r="G320" s="546" t="s">
        <v>2258</v>
      </c>
      <c r="H320" s="49" t="s">
        <v>990</v>
      </c>
      <c r="I320" s="49" t="s">
        <v>991</v>
      </c>
      <c r="J320" t="s">
        <v>992</v>
      </c>
      <c r="K320" s="549">
        <v>37669</v>
      </c>
    </row>
    <row r="321" spans="1:11" ht="16.5" x14ac:dyDescent="0.3">
      <c r="A321">
        <f t="shared" si="4"/>
        <v>320</v>
      </c>
      <c r="B321" s="546" t="s">
        <v>2259</v>
      </c>
      <c r="C321" s="546" t="s">
        <v>2260</v>
      </c>
      <c r="D321" s="547" t="s">
        <v>1119</v>
      </c>
      <c r="E321" s="548" t="s">
        <v>2261</v>
      </c>
      <c r="F321" s="548" t="s">
        <v>2260</v>
      </c>
      <c r="G321" s="546" t="s">
        <v>2262</v>
      </c>
      <c r="H321" s="49" t="s">
        <v>990</v>
      </c>
      <c r="I321" s="49" t="s">
        <v>1004</v>
      </c>
      <c r="J321" t="s">
        <v>1048</v>
      </c>
      <c r="K321" s="549">
        <v>22254</v>
      </c>
    </row>
    <row r="322" spans="1:11" ht="16.5" x14ac:dyDescent="0.3">
      <c r="A322">
        <f t="shared" si="4"/>
        <v>321</v>
      </c>
      <c r="B322" s="546" t="s">
        <v>2263</v>
      </c>
      <c r="C322" s="546" t="s">
        <v>2264</v>
      </c>
      <c r="D322" s="547" t="s">
        <v>1013</v>
      </c>
      <c r="E322" s="548" t="s">
        <v>2265</v>
      </c>
      <c r="F322" s="548" t="s">
        <v>2266</v>
      </c>
      <c r="G322" s="546" t="s">
        <v>2266</v>
      </c>
      <c r="H322" s="49" t="s">
        <v>1016</v>
      </c>
      <c r="I322" s="49" t="s">
        <v>991</v>
      </c>
      <c r="J322" t="s">
        <v>992</v>
      </c>
      <c r="K322" s="549">
        <v>7844</v>
      </c>
    </row>
    <row r="323" spans="1:11" ht="16.5" x14ac:dyDescent="0.3">
      <c r="A323">
        <f t="shared" si="4"/>
        <v>322</v>
      </c>
      <c r="B323" s="546" t="s">
        <v>2267</v>
      </c>
      <c r="C323" s="546" t="s">
        <v>2268</v>
      </c>
      <c r="D323" s="547" t="s">
        <v>1199</v>
      </c>
      <c r="E323" s="548" t="s">
        <v>2269</v>
      </c>
      <c r="F323" s="548" t="s">
        <v>2268</v>
      </c>
      <c r="G323" s="546" t="s">
        <v>2270</v>
      </c>
      <c r="H323" s="49" t="s">
        <v>990</v>
      </c>
      <c r="I323" s="49" t="s">
        <v>1004</v>
      </c>
      <c r="J323" t="s">
        <v>1048</v>
      </c>
      <c r="K323" s="549">
        <v>21528</v>
      </c>
    </row>
    <row r="324" spans="1:11" ht="16.5" x14ac:dyDescent="0.3">
      <c r="A324">
        <f t="shared" ref="A324:A387" si="5">A323+1</f>
        <v>323</v>
      </c>
      <c r="B324" s="546" t="s">
        <v>2271</v>
      </c>
      <c r="C324" s="546" t="s">
        <v>2272</v>
      </c>
      <c r="D324" s="547" t="s">
        <v>1013</v>
      </c>
      <c r="E324" s="548" t="s">
        <v>2273</v>
      </c>
      <c r="F324" s="548" t="s">
        <v>2274</v>
      </c>
      <c r="G324" s="546" t="s">
        <v>2274</v>
      </c>
      <c r="H324" s="49" t="s">
        <v>1016</v>
      </c>
      <c r="I324" s="49" t="s">
        <v>991</v>
      </c>
      <c r="J324" t="s">
        <v>992</v>
      </c>
      <c r="K324" s="549">
        <v>2708</v>
      </c>
    </row>
    <row r="325" spans="1:11" ht="16.5" x14ac:dyDescent="0.3">
      <c r="A325">
        <f t="shared" si="5"/>
        <v>324</v>
      </c>
      <c r="B325" s="546" t="s">
        <v>2275</v>
      </c>
      <c r="C325" s="546" t="s">
        <v>2276</v>
      </c>
      <c r="D325" s="547" t="s">
        <v>1097</v>
      </c>
      <c r="E325" s="548" t="s">
        <v>2277</v>
      </c>
      <c r="F325" s="548" t="s">
        <v>2276</v>
      </c>
      <c r="G325" s="546" t="s">
        <v>2278</v>
      </c>
      <c r="H325" s="49" t="s">
        <v>990</v>
      </c>
      <c r="I325" s="49" t="s">
        <v>991</v>
      </c>
      <c r="J325" t="s">
        <v>1053</v>
      </c>
      <c r="K325" s="549">
        <v>20726</v>
      </c>
    </row>
    <row r="326" spans="1:11" ht="16.5" x14ac:dyDescent="0.3">
      <c r="A326">
        <f t="shared" si="5"/>
        <v>325</v>
      </c>
      <c r="B326" s="546" t="s">
        <v>2279</v>
      </c>
      <c r="C326" s="546" t="s">
        <v>2280</v>
      </c>
      <c r="D326" s="547" t="s">
        <v>1199</v>
      </c>
      <c r="E326" s="548" t="s">
        <v>2281</v>
      </c>
      <c r="F326" s="548" t="s">
        <v>2282</v>
      </c>
      <c r="G326" s="546" t="s">
        <v>2282</v>
      </c>
      <c r="H326" s="49" t="s">
        <v>1016</v>
      </c>
      <c r="I326" s="49" t="s">
        <v>991</v>
      </c>
      <c r="J326" t="s">
        <v>992</v>
      </c>
      <c r="K326" s="549">
        <v>5532</v>
      </c>
    </row>
    <row r="327" spans="1:11" ht="16.5" x14ac:dyDescent="0.3">
      <c r="A327">
        <f t="shared" si="5"/>
        <v>326</v>
      </c>
      <c r="B327" s="546" t="s">
        <v>2283</v>
      </c>
      <c r="C327" s="546" t="s">
        <v>2284</v>
      </c>
      <c r="D327" s="547" t="s">
        <v>1199</v>
      </c>
      <c r="E327" s="548" t="s">
        <v>2285</v>
      </c>
      <c r="F327" s="548" t="s">
        <v>2284</v>
      </c>
      <c r="G327" s="546" t="s">
        <v>1199</v>
      </c>
      <c r="H327" s="49" t="s">
        <v>990</v>
      </c>
      <c r="I327" s="49" t="s">
        <v>1004</v>
      </c>
      <c r="J327" t="s">
        <v>1048</v>
      </c>
      <c r="K327" s="549">
        <v>22306</v>
      </c>
    </row>
    <row r="328" spans="1:11" ht="16.5" x14ac:dyDescent="0.3">
      <c r="A328">
        <f t="shared" si="5"/>
        <v>327</v>
      </c>
      <c r="B328" s="546" t="s">
        <v>2286</v>
      </c>
      <c r="C328" s="546" t="s">
        <v>2287</v>
      </c>
      <c r="D328" s="547" t="s">
        <v>1199</v>
      </c>
      <c r="E328" s="548" t="s">
        <v>2288</v>
      </c>
      <c r="F328" s="548" t="s">
        <v>2289</v>
      </c>
      <c r="G328" s="546" t="s">
        <v>2289</v>
      </c>
      <c r="H328" s="49" t="s">
        <v>978</v>
      </c>
      <c r="I328" s="49" t="s">
        <v>991</v>
      </c>
      <c r="J328" t="s">
        <v>999</v>
      </c>
      <c r="K328" s="549">
        <v>18411</v>
      </c>
    </row>
    <row r="329" spans="1:11" ht="16.5" x14ac:dyDescent="0.3">
      <c r="A329">
        <f t="shared" si="5"/>
        <v>328</v>
      </c>
      <c r="B329" s="546" t="s">
        <v>2290</v>
      </c>
      <c r="C329" s="546" t="s">
        <v>2291</v>
      </c>
      <c r="D329" s="547" t="s">
        <v>1199</v>
      </c>
      <c r="E329" s="548" t="s">
        <v>2292</v>
      </c>
      <c r="F329" s="548" t="s">
        <v>2293</v>
      </c>
      <c r="G329" s="546" t="s">
        <v>2293</v>
      </c>
      <c r="H329" s="49" t="s">
        <v>1016</v>
      </c>
      <c r="I329" s="49" t="s">
        <v>991</v>
      </c>
      <c r="J329" t="s">
        <v>1127</v>
      </c>
      <c r="K329" s="549">
        <v>5050</v>
      </c>
    </row>
    <row r="330" spans="1:11" ht="16.5" x14ac:dyDescent="0.3">
      <c r="A330">
        <f t="shared" si="5"/>
        <v>329</v>
      </c>
      <c r="B330" s="546" t="s">
        <v>2294</v>
      </c>
      <c r="C330" s="550" t="s">
        <v>2295</v>
      </c>
      <c r="D330" s="547" t="s">
        <v>1065</v>
      </c>
      <c r="E330" s="548" t="s">
        <v>2296</v>
      </c>
      <c r="F330" s="548" t="s">
        <v>2297</v>
      </c>
      <c r="G330" s="550" t="s">
        <v>2297</v>
      </c>
      <c r="H330" s="49" t="s">
        <v>1016</v>
      </c>
      <c r="I330" s="49" t="s">
        <v>1021</v>
      </c>
      <c r="J330" t="s">
        <v>1022</v>
      </c>
      <c r="K330" s="549">
        <v>4676</v>
      </c>
    </row>
    <row r="331" spans="1:11" ht="16.5" x14ac:dyDescent="0.3">
      <c r="A331">
        <f t="shared" si="5"/>
        <v>330</v>
      </c>
      <c r="B331" s="546" t="s">
        <v>2298</v>
      </c>
      <c r="C331" s="546" t="s">
        <v>2299</v>
      </c>
      <c r="D331" s="547" t="s">
        <v>1097</v>
      </c>
      <c r="E331" s="548" t="s">
        <v>2300</v>
      </c>
      <c r="F331" s="548" t="s">
        <v>2299</v>
      </c>
      <c r="G331" s="546" t="s">
        <v>2301</v>
      </c>
      <c r="H331" s="49" t="s">
        <v>990</v>
      </c>
      <c r="I331" s="49" t="s">
        <v>991</v>
      </c>
      <c r="J331" t="s">
        <v>1053</v>
      </c>
      <c r="K331" s="549">
        <v>9536</v>
      </c>
    </row>
    <row r="332" spans="1:11" ht="16.5" x14ac:dyDescent="0.3">
      <c r="A332">
        <f t="shared" si="5"/>
        <v>331</v>
      </c>
      <c r="B332" s="546" t="s">
        <v>2302</v>
      </c>
      <c r="C332" s="546" t="s">
        <v>2303</v>
      </c>
      <c r="D332" s="547" t="s">
        <v>1097</v>
      </c>
      <c r="E332" s="548" t="s">
        <v>2304</v>
      </c>
      <c r="F332" s="548" t="s">
        <v>2303</v>
      </c>
      <c r="G332" s="546" t="s">
        <v>2305</v>
      </c>
      <c r="H332" s="49" t="s">
        <v>990</v>
      </c>
      <c r="I332" s="49" t="s">
        <v>991</v>
      </c>
      <c r="J332" t="s">
        <v>1053</v>
      </c>
      <c r="K332" s="549">
        <v>41864</v>
      </c>
    </row>
    <row r="333" spans="1:11" ht="16.5" x14ac:dyDescent="0.3">
      <c r="A333">
        <f t="shared" si="5"/>
        <v>332</v>
      </c>
      <c r="B333" s="546" t="s">
        <v>2306</v>
      </c>
      <c r="C333" s="546" t="s">
        <v>2307</v>
      </c>
      <c r="D333" s="547" t="s">
        <v>1199</v>
      </c>
      <c r="E333" s="548" t="s">
        <v>2308</v>
      </c>
      <c r="F333" s="548" t="s">
        <v>2307</v>
      </c>
      <c r="G333" s="546" t="s">
        <v>2309</v>
      </c>
      <c r="H333" s="49" t="s">
        <v>990</v>
      </c>
      <c r="I333" s="49" t="s">
        <v>991</v>
      </c>
      <c r="J333" t="s">
        <v>992</v>
      </c>
      <c r="K333" s="549">
        <v>28117</v>
      </c>
    </row>
    <row r="334" spans="1:11" ht="16.5" x14ac:dyDescent="0.3">
      <c r="A334">
        <f t="shared" si="5"/>
        <v>333</v>
      </c>
      <c r="B334" s="546" t="s">
        <v>2310</v>
      </c>
      <c r="C334" s="546" t="s">
        <v>2311</v>
      </c>
      <c r="D334" s="547" t="s">
        <v>1199</v>
      </c>
      <c r="E334" s="548" t="s">
        <v>2312</v>
      </c>
      <c r="F334" s="548" t="s">
        <v>2313</v>
      </c>
      <c r="G334" s="546" t="s">
        <v>2313</v>
      </c>
      <c r="H334" s="49" t="s">
        <v>1016</v>
      </c>
      <c r="I334" s="49" t="s">
        <v>991</v>
      </c>
      <c r="J334" t="s">
        <v>999</v>
      </c>
      <c r="K334" s="549">
        <v>4160</v>
      </c>
    </row>
    <row r="335" spans="1:11" ht="16.5" x14ac:dyDescent="0.3">
      <c r="A335">
        <f t="shared" si="5"/>
        <v>334</v>
      </c>
      <c r="B335" s="546" t="s">
        <v>2314</v>
      </c>
      <c r="C335" s="546" t="s">
        <v>2315</v>
      </c>
      <c r="D335" s="547" t="s">
        <v>1146</v>
      </c>
      <c r="E335" s="548" t="s">
        <v>2316</v>
      </c>
      <c r="F335" s="548" t="s">
        <v>2317</v>
      </c>
      <c r="G335" s="546" t="s">
        <v>2317</v>
      </c>
      <c r="H335" s="49" t="s">
        <v>1016</v>
      </c>
      <c r="I335" s="49" t="s">
        <v>991</v>
      </c>
      <c r="J335" t="s">
        <v>992</v>
      </c>
      <c r="K335" s="549">
        <v>6685</v>
      </c>
    </row>
    <row r="336" spans="1:11" ht="16.5" x14ac:dyDescent="0.3">
      <c r="A336">
        <f t="shared" si="5"/>
        <v>335</v>
      </c>
      <c r="B336" s="546" t="s">
        <v>2318</v>
      </c>
      <c r="C336" s="550" t="s">
        <v>2319</v>
      </c>
      <c r="D336" s="547" t="s">
        <v>995</v>
      </c>
      <c r="E336" s="548" t="s">
        <v>2320</v>
      </c>
      <c r="F336" s="548" t="s">
        <v>2319</v>
      </c>
      <c r="G336" s="550" t="s">
        <v>2321</v>
      </c>
      <c r="H336" s="49" t="s">
        <v>990</v>
      </c>
      <c r="I336" s="49" t="s">
        <v>1004</v>
      </c>
      <c r="J336" t="s">
        <v>1048</v>
      </c>
      <c r="K336" s="549">
        <v>6147</v>
      </c>
    </row>
    <row r="337" spans="1:11" ht="16.5" x14ac:dyDescent="0.3">
      <c r="A337">
        <f t="shared" si="5"/>
        <v>336</v>
      </c>
      <c r="B337" s="546" t="s">
        <v>2322</v>
      </c>
      <c r="C337" s="546" t="s">
        <v>2323</v>
      </c>
      <c r="D337" s="547" t="s">
        <v>1348</v>
      </c>
      <c r="E337" s="548" t="s">
        <v>2324</v>
      </c>
      <c r="F337" s="548" t="s">
        <v>2325</v>
      </c>
      <c r="G337" s="546" t="s">
        <v>2325</v>
      </c>
      <c r="H337" s="49" t="s">
        <v>1016</v>
      </c>
      <c r="I337" s="49" t="s">
        <v>991</v>
      </c>
      <c r="J337" t="s">
        <v>992</v>
      </c>
      <c r="K337" s="549">
        <v>3036</v>
      </c>
    </row>
    <row r="338" spans="1:11" ht="16.5" x14ac:dyDescent="0.3">
      <c r="A338">
        <f t="shared" si="5"/>
        <v>337</v>
      </c>
      <c r="B338" s="546" t="s">
        <v>2326</v>
      </c>
      <c r="C338" s="546" t="s">
        <v>2327</v>
      </c>
      <c r="D338" s="547" t="s">
        <v>987</v>
      </c>
      <c r="E338" s="548" t="s">
        <v>2328</v>
      </c>
      <c r="F338" s="548" t="s">
        <v>2329</v>
      </c>
      <c r="G338" s="546" t="s">
        <v>2329</v>
      </c>
      <c r="H338" s="49" t="s">
        <v>1016</v>
      </c>
      <c r="I338" s="49" t="s">
        <v>991</v>
      </c>
      <c r="J338" t="s">
        <v>992</v>
      </c>
      <c r="K338" s="549">
        <v>4869</v>
      </c>
    </row>
    <row r="339" spans="1:11" ht="16.5" x14ac:dyDescent="0.3">
      <c r="A339">
        <f t="shared" si="5"/>
        <v>338</v>
      </c>
      <c r="B339" s="546" t="s">
        <v>2331</v>
      </c>
      <c r="C339" s="546" t="s">
        <v>2332</v>
      </c>
      <c r="D339" s="547" t="s">
        <v>987</v>
      </c>
      <c r="E339" s="548" t="s">
        <v>2333</v>
      </c>
      <c r="F339" s="548" t="s">
        <v>2332</v>
      </c>
      <c r="G339" s="546" t="s">
        <v>2330</v>
      </c>
      <c r="H339" s="49" t="s">
        <v>990</v>
      </c>
      <c r="I339" s="49" t="s">
        <v>1004</v>
      </c>
      <c r="J339" t="s">
        <v>1048</v>
      </c>
      <c r="K339" s="549">
        <v>27935</v>
      </c>
    </row>
    <row r="340" spans="1:11" ht="16.5" x14ac:dyDescent="0.3">
      <c r="A340">
        <f t="shared" si="5"/>
        <v>339</v>
      </c>
      <c r="B340" s="546" t="s">
        <v>2334</v>
      </c>
      <c r="C340" s="546" t="s">
        <v>2335</v>
      </c>
      <c r="D340" s="547" t="s">
        <v>1199</v>
      </c>
      <c r="E340" s="548" t="s">
        <v>2336</v>
      </c>
      <c r="F340" s="548" t="s">
        <v>2337</v>
      </c>
      <c r="G340" s="546" t="s">
        <v>2337</v>
      </c>
      <c r="H340" s="49" t="s">
        <v>1016</v>
      </c>
      <c r="I340" s="49" t="s">
        <v>991</v>
      </c>
      <c r="J340" t="s">
        <v>992</v>
      </c>
      <c r="K340" s="549">
        <v>3232</v>
      </c>
    </row>
    <row r="341" spans="1:11" ht="16.5" x14ac:dyDescent="0.3">
      <c r="A341">
        <f t="shared" si="5"/>
        <v>340</v>
      </c>
      <c r="B341" s="546" t="s">
        <v>2338</v>
      </c>
      <c r="C341" s="550" t="s">
        <v>2339</v>
      </c>
      <c r="D341" s="547" t="s">
        <v>1305</v>
      </c>
      <c r="E341" s="548" t="s">
        <v>2340</v>
      </c>
      <c r="F341" s="548" t="s">
        <v>2341</v>
      </c>
      <c r="G341" s="550" t="s">
        <v>2341</v>
      </c>
      <c r="H341" s="49" t="s">
        <v>998</v>
      </c>
      <c r="I341" s="49" t="s">
        <v>991</v>
      </c>
      <c r="J341" t="s">
        <v>1077</v>
      </c>
      <c r="K341" s="549">
        <v>55181</v>
      </c>
    </row>
    <row r="342" spans="1:11" ht="16.5" x14ac:dyDescent="0.3">
      <c r="A342">
        <f t="shared" si="5"/>
        <v>341</v>
      </c>
      <c r="B342" s="546" t="s">
        <v>2342</v>
      </c>
      <c r="C342" s="546" t="s">
        <v>2343</v>
      </c>
      <c r="D342" s="547" t="s">
        <v>1097</v>
      </c>
      <c r="E342" s="548" t="s">
        <v>2344</v>
      </c>
      <c r="F342" s="548" t="s">
        <v>2343</v>
      </c>
      <c r="G342" s="546" t="s">
        <v>2345</v>
      </c>
      <c r="H342" s="49" t="s">
        <v>990</v>
      </c>
      <c r="I342" s="49" t="s">
        <v>1004</v>
      </c>
      <c r="J342" t="s">
        <v>1048</v>
      </c>
      <c r="K342" s="549">
        <v>7385</v>
      </c>
    </row>
    <row r="343" spans="1:11" ht="16.5" x14ac:dyDescent="0.3">
      <c r="A343">
        <f t="shared" si="5"/>
        <v>342</v>
      </c>
      <c r="B343" s="546" t="s">
        <v>2346</v>
      </c>
      <c r="C343" s="546" t="s">
        <v>2347</v>
      </c>
      <c r="D343" s="547" t="s">
        <v>1013</v>
      </c>
      <c r="E343" s="548" t="s">
        <v>2348</v>
      </c>
      <c r="F343" s="548" t="s">
        <v>2349</v>
      </c>
      <c r="G343" s="546" t="s">
        <v>2349</v>
      </c>
      <c r="H343" s="49" t="s">
        <v>1016</v>
      </c>
      <c r="I343" s="49" t="s">
        <v>991</v>
      </c>
      <c r="J343" t="s">
        <v>992</v>
      </c>
      <c r="K343" s="549">
        <v>16341</v>
      </c>
    </row>
    <row r="344" spans="1:11" ht="16.5" x14ac:dyDescent="0.3">
      <c r="A344">
        <f t="shared" si="5"/>
        <v>343</v>
      </c>
      <c r="B344" s="546" t="s">
        <v>2350</v>
      </c>
      <c r="C344" s="546" t="s">
        <v>2351</v>
      </c>
      <c r="D344" s="547" t="s">
        <v>1146</v>
      </c>
      <c r="E344" s="548" t="s">
        <v>2352</v>
      </c>
      <c r="F344" s="548" t="s">
        <v>2353</v>
      </c>
      <c r="G344" s="546" t="s">
        <v>2353</v>
      </c>
      <c r="H344" s="49" t="s">
        <v>1016</v>
      </c>
      <c r="I344" s="49" t="s">
        <v>991</v>
      </c>
      <c r="J344" t="s">
        <v>992</v>
      </c>
      <c r="K344" s="549">
        <v>12171</v>
      </c>
    </row>
    <row r="345" spans="1:11" ht="16.5" x14ac:dyDescent="0.3">
      <c r="A345">
        <f t="shared" si="5"/>
        <v>344</v>
      </c>
      <c r="B345" s="546" t="s">
        <v>2354</v>
      </c>
      <c r="C345" s="546" t="s">
        <v>2355</v>
      </c>
      <c r="D345" s="547" t="s">
        <v>1124</v>
      </c>
      <c r="E345" s="548" t="s">
        <v>2356</v>
      </c>
      <c r="F345" s="548" t="s">
        <v>2357</v>
      </c>
      <c r="G345" s="546" t="s">
        <v>2357</v>
      </c>
      <c r="H345" s="49" t="s">
        <v>998</v>
      </c>
      <c r="I345" s="49" t="s">
        <v>991</v>
      </c>
      <c r="J345" t="s">
        <v>1058</v>
      </c>
      <c r="K345" s="549">
        <v>277140</v>
      </c>
    </row>
    <row r="346" spans="1:11" ht="16.5" x14ac:dyDescent="0.3">
      <c r="A346">
        <f t="shared" si="5"/>
        <v>345</v>
      </c>
      <c r="B346" s="546" t="s">
        <v>2358</v>
      </c>
      <c r="C346" s="546" t="s">
        <v>2359</v>
      </c>
      <c r="D346" s="547" t="s">
        <v>1348</v>
      </c>
      <c r="E346" s="548" t="s">
        <v>2360</v>
      </c>
      <c r="F346" s="548" t="s">
        <v>2361</v>
      </c>
      <c r="G346" s="546" t="s">
        <v>2361</v>
      </c>
      <c r="H346" s="49" t="s">
        <v>1016</v>
      </c>
      <c r="I346" s="49" t="s">
        <v>991</v>
      </c>
      <c r="J346" t="s">
        <v>992</v>
      </c>
      <c r="K346" s="549">
        <v>1553</v>
      </c>
    </row>
    <row r="347" spans="1:11" ht="16.5" x14ac:dyDescent="0.3">
      <c r="A347">
        <f t="shared" si="5"/>
        <v>346</v>
      </c>
      <c r="B347" s="546" t="s">
        <v>2362</v>
      </c>
      <c r="C347" s="546" t="s">
        <v>2363</v>
      </c>
      <c r="D347" s="547" t="s">
        <v>1042</v>
      </c>
      <c r="E347" s="548" t="s">
        <v>2364</v>
      </c>
      <c r="F347" s="548" t="s">
        <v>2365</v>
      </c>
      <c r="G347" s="546" t="s">
        <v>2365</v>
      </c>
      <c r="H347" s="49" t="s">
        <v>978</v>
      </c>
      <c r="I347" s="49" t="s">
        <v>991</v>
      </c>
      <c r="J347" t="s">
        <v>1053</v>
      </c>
      <c r="K347" s="549">
        <v>7997</v>
      </c>
    </row>
    <row r="348" spans="1:11" ht="16.5" x14ac:dyDescent="0.3">
      <c r="A348">
        <f t="shared" si="5"/>
        <v>347</v>
      </c>
      <c r="B348" s="546" t="s">
        <v>2366</v>
      </c>
      <c r="C348" s="546" t="s">
        <v>2367</v>
      </c>
      <c r="D348" s="547" t="s">
        <v>1013</v>
      </c>
      <c r="E348" s="548" t="s">
        <v>2368</v>
      </c>
      <c r="F348" s="548" t="s">
        <v>2369</v>
      </c>
      <c r="G348" s="546" t="s">
        <v>2369</v>
      </c>
      <c r="H348" s="49" t="s">
        <v>1016</v>
      </c>
      <c r="I348" s="49" t="s">
        <v>991</v>
      </c>
      <c r="J348" t="s">
        <v>992</v>
      </c>
      <c r="K348" s="549">
        <v>15392</v>
      </c>
    </row>
    <row r="349" spans="1:11" ht="16.5" x14ac:dyDescent="0.3">
      <c r="A349">
        <f t="shared" si="5"/>
        <v>348</v>
      </c>
      <c r="B349" s="546" t="s">
        <v>2370</v>
      </c>
      <c r="C349" s="546" t="s">
        <v>2371</v>
      </c>
      <c r="D349" s="547" t="s">
        <v>1106</v>
      </c>
      <c r="E349" s="548" t="s">
        <v>2372</v>
      </c>
      <c r="F349" s="548" t="s">
        <v>2371</v>
      </c>
      <c r="G349" s="546" t="s">
        <v>2373</v>
      </c>
      <c r="H349" s="49" t="s">
        <v>990</v>
      </c>
      <c r="I349" s="49" t="s">
        <v>1021</v>
      </c>
      <c r="J349" t="s">
        <v>2101</v>
      </c>
      <c r="K349" s="549">
        <v>60773</v>
      </c>
    </row>
    <row r="350" spans="1:11" ht="16.5" x14ac:dyDescent="0.3">
      <c r="A350">
        <f t="shared" si="5"/>
        <v>349</v>
      </c>
      <c r="B350" s="546" t="s">
        <v>2374</v>
      </c>
      <c r="C350" s="546" t="s">
        <v>2375</v>
      </c>
      <c r="D350" s="547" t="s">
        <v>1305</v>
      </c>
      <c r="E350" s="548" t="s">
        <v>2376</v>
      </c>
      <c r="F350" s="548" t="s">
        <v>2375</v>
      </c>
      <c r="G350" s="546" t="s">
        <v>2377</v>
      </c>
      <c r="H350" s="49" t="s">
        <v>990</v>
      </c>
      <c r="I350" s="49" t="s">
        <v>991</v>
      </c>
      <c r="J350" t="s">
        <v>992</v>
      </c>
      <c r="K350" s="549">
        <v>40742</v>
      </c>
    </row>
    <row r="351" spans="1:11" ht="16.5" x14ac:dyDescent="0.3">
      <c r="A351">
        <f t="shared" si="5"/>
        <v>350</v>
      </c>
      <c r="B351" s="546" t="s">
        <v>2378</v>
      </c>
      <c r="C351" s="546" t="s">
        <v>2379</v>
      </c>
      <c r="D351" s="547" t="s">
        <v>1124</v>
      </c>
      <c r="E351" s="548" t="s">
        <v>2380</v>
      </c>
      <c r="F351" s="548" t="s">
        <v>2381</v>
      </c>
      <c r="G351" s="546" t="s">
        <v>2381</v>
      </c>
      <c r="H351" s="49" t="s">
        <v>1016</v>
      </c>
      <c r="I351" s="49" t="s">
        <v>1021</v>
      </c>
      <c r="J351" t="s">
        <v>2101</v>
      </c>
      <c r="K351" s="549">
        <v>6183</v>
      </c>
    </row>
    <row r="352" spans="1:11" ht="16.5" x14ac:dyDescent="0.3">
      <c r="A352">
        <f t="shared" si="5"/>
        <v>351</v>
      </c>
      <c r="B352" s="546" t="s">
        <v>2382</v>
      </c>
      <c r="C352" s="546" t="s">
        <v>2383</v>
      </c>
      <c r="D352" s="547" t="s">
        <v>1186</v>
      </c>
      <c r="E352" s="548" t="s">
        <v>2384</v>
      </c>
      <c r="F352" s="548" t="s">
        <v>2385</v>
      </c>
      <c r="G352" s="546" t="s">
        <v>2385</v>
      </c>
      <c r="H352" s="49" t="s">
        <v>1016</v>
      </c>
      <c r="I352" s="49" t="s">
        <v>991</v>
      </c>
      <c r="J352" t="s">
        <v>992</v>
      </c>
      <c r="K352" s="549">
        <v>8417</v>
      </c>
    </row>
    <row r="353" spans="1:11" ht="16.5" x14ac:dyDescent="0.3">
      <c r="A353">
        <f t="shared" si="5"/>
        <v>352</v>
      </c>
      <c r="B353" s="546" t="s">
        <v>2386</v>
      </c>
      <c r="C353" s="546" t="s">
        <v>2387</v>
      </c>
      <c r="D353" s="547" t="s">
        <v>1097</v>
      </c>
      <c r="E353" s="548" t="s">
        <v>2388</v>
      </c>
      <c r="F353" s="548" t="s">
        <v>2387</v>
      </c>
      <c r="G353" s="546" t="s">
        <v>2389</v>
      </c>
      <c r="H353" s="49" t="s">
        <v>990</v>
      </c>
      <c r="I353" s="49" t="s">
        <v>1004</v>
      </c>
      <c r="J353" t="s">
        <v>1048</v>
      </c>
      <c r="K353" s="549">
        <v>7678</v>
      </c>
    </row>
    <row r="354" spans="1:11" ht="16.5" x14ac:dyDescent="0.3">
      <c r="A354">
        <f t="shared" si="5"/>
        <v>353</v>
      </c>
      <c r="B354" s="546" t="s">
        <v>2390</v>
      </c>
      <c r="C354" s="546" t="s">
        <v>2391</v>
      </c>
      <c r="D354" s="547" t="s">
        <v>1119</v>
      </c>
      <c r="E354" s="548" t="s">
        <v>2392</v>
      </c>
      <c r="F354" s="548" t="s">
        <v>2393</v>
      </c>
      <c r="G354" s="546" t="s">
        <v>2393</v>
      </c>
      <c r="H354" s="49" t="s">
        <v>1016</v>
      </c>
      <c r="I354" s="49" t="s">
        <v>991</v>
      </c>
      <c r="J354" t="s">
        <v>999</v>
      </c>
      <c r="K354" s="549">
        <v>21936</v>
      </c>
    </row>
    <row r="355" spans="1:11" ht="16.5" x14ac:dyDescent="0.3">
      <c r="A355">
        <f t="shared" si="5"/>
        <v>354</v>
      </c>
      <c r="B355" s="546" t="s">
        <v>2394</v>
      </c>
      <c r="C355" s="546" t="s">
        <v>2395</v>
      </c>
      <c r="D355" s="547" t="s">
        <v>1074</v>
      </c>
      <c r="E355" s="548" t="s">
        <v>2396</v>
      </c>
      <c r="F355" s="548" t="s">
        <v>2397</v>
      </c>
      <c r="G355" s="546" t="s">
        <v>2397</v>
      </c>
      <c r="H355" s="49" t="s">
        <v>998</v>
      </c>
      <c r="I355" s="49" t="s">
        <v>991</v>
      </c>
      <c r="J355" t="s">
        <v>999</v>
      </c>
      <c r="K355" s="549">
        <v>4041</v>
      </c>
    </row>
    <row r="356" spans="1:11" ht="16.5" x14ac:dyDescent="0.3">
      <c r="A356">
        <f t="shared" si="5"/>
        <v>355</v>
      </c>
      <c r="B356" s="546" t="s">
        <v>2398</v>
      </c>
      <c r="C356" s="546" t="s">
        <v>2399</v>
      </c>
      <c r="D356" s="547" t="s">
        <v>995</v>
      </c>
      <c r="E356" s="548" t="s">
        <v>2400</v>
      </c>
      <c r="F356" s="548" t="s">
        <v>2401</v>
      </c>
      <c r="G356" s="546" t="s">
        <v>2401</v>
      </c>
      <c r="H356" s="49" t="s">
        <v>998</v>
      </c>
      <c r="I356" s="49" t="s">
        <v>991</v>
      </c>
      <c r="J356" t="s">
        <v>999</v>
      </c>
      <c r="K356" s="549">
        <v>8624</v>
      </c>
    </row>
    <row r="357" spans="1:11" ht="16.5" x14ac:dyDescent="0.3">
      <c r="A357">
        <f t="shared" si="5"/>
        <v>356</v>
      </c>
      <c r="B357" s="546" t="s">
        <v>2402</v>
      </c>
      <c r="C357" s="546" t="s">
        <v>2403</v>
      </c>
      <c r="D357" s="547" t="s">
        <v>1013</v>
      </c>
      <c r="E357" s="548" t="s">
        <v>2404</v>
      </c>
      <c r="F357" s="548" t="s">
        <v>2405</v>
      </c>
      <c r="G357" s="546" t="s">
        <v>2405</v>
      </c>
      <c r="H357" s="49" t="s">
        <v>1016</v>
      </c>
      <c r="I357" s="49" t="s">
        <v>991</v>
      </c>
      <c r="J357" t="s">
        <v>992</v>
      </c>
      <c r="K357" s="549">
        <v>4640</v>
      </c>
    </row>
    <row r="358" spans="1:11" ht="16.5" x14ac:dyDescent="0.3">
      <c r="A358">
        <f t="shared" si="5"/>
        <v>357</v>
      </c>
      <c r="B358" s="546" t="s">
        <v>2406</v>
      </c>
      <c r="C358" s="546" t="s">
        <v>2407</v>
      </c>
      <c r="D358" s="547" t="s">
        <v>1013</v>
      </c>
      <c r="E358" s="548" t="s">
        <v>2408</v>
      </c>
      <c r="F358" s="548" t="s">
        <v>2409</v>
      </c>
      <c r="G358" s="546" t="s">
        <v>2409</v>
      </c>
      <c r="H358" s="49" t="s">
        <v>1016</v>
      </c>
      <c r="I358" s="49" t="s">
        <v>991</v>
      </c>
      <c r="J358" t="s">
        <v>992</v>
      </c>
      <c r="K358" s="549">
        <v>5711</v>
      </c>
    </row>
    <row r="359" spans="1:11" ht="16.5" x14ac:dyDescent="0.3">
      <c r="A359">
        <f t="shared" si="5"/>
        <v>358</v>
      </c>
      <c r="B359" s="546" t="s">
        <v>2410</v>
      </c>
      <c r="C359" s="546" t="s">
        <v>2411</v>
      </c>
      <c r="D359" s="547" t="s">
        <v>1124</v>
      </c>
      <c r="E359" s="548" t="s">
        <v>2412</v>
      </c>
      <c r="F359" s="548" t="s">
        <v>2411</v>
      </c>
      <c r="G359" s="546" t="s">
        <v>2413</v>
      </c>
      <c r="H359" s="49" t="s">
        <v>990</v>
      </c>
      <c r="I359" s="49" t="s">
        <v>991</v>
      </c>
      <c r="J359" t="s">
        <v>992</v>
      </c>
      <c r="K359" s="549">
        <v>28370</v>
      </c>
    </row>
    <row r="360" spans="1:11" ht="16.5" x14ac:dyDescent="0.3">
      <c r="A360">
        <f t="shared" si="5"/>
        <v>359</v>
      </c>
      <c r="B360" s="546" t="s">
        <v>2414</v>
      </c>
      <c r="C360" s="546" t="s">
        <v>2415</v>
      </c>
      <c r="D360" s="547" t="s">
        <v>1013</v>
      </c>
      <c r="E360" s="548" t="s">
        <v>2416</v>
      </c>
      <c r="F360" s="548" t="s">
        <v>2417</v>
      </c>
      <c r="G360" s="546" t="s">
        <v>2417</v>
      </c>
      <c r="H360" s="49" t="s">
        <v>1016</v>
      </c>
      <c r="I360" s="49" t="s">
        <v>991</v>
      </c>
      <c r="J360" t="s">
        <v>992</v>
      </c>
      <c r="K360" s="549">
        <v>12754</v>
      </c>
    </row>
    <row r="361" spans="1:11" ht="16.5" x14ac:dyDescent="0.3">
      <c r="A361">
        <f t="shared" si="5"/>
        <v>360</v>
      </c>
      <c r="B361" s="546" t="s">
        <v>2418</v>
      </c>
      <c r="C361" s="546" t="s">
        <v>2419</v>
      </c>
      <c r="D361" s="547" t="s">
        <v>1065</v>
      </c>
      <c r="E361" s="548" t="s">
        <v>2420</v>
      </c>
      <c r="F361" s="548" t="s">
        <v>2421</v>
      </c>
      <c r="G361" s="546" t="s">
        <v>2421</v>
      </c>
      <c r="H361" s="49" t="s">
        <v>1016</v>
      </c>
      <c r="I361" s="49" t="s">
        <v>991</v>
      </c>
      <c r="J361" t="s">
        <v>992</v>
      </c>
      <c r="K361" s="549">
        <v>4038</v>
      </c>
    </row>
    <row r="362" spans="1:11" ht="16.5" x14ac:dyDescent="0.3">
      <c r="A362">
        <f t="shared" si="5"/>
        <v>361</v>
      </c>
      <c r="B362" s="546" t="s">
        <v>2422</v>
      </c>
      <c r="C362" s="546" t="s">
        <v>2423</v>
      </c>
      <c r="D362" s="547" t="s">
        <v>1074</v>
      </c>
      <c r="E362" s="548" t="s">
        <v>2424</v>
      </c>
      <c r="F362" s="548" t="s">
        <v>2425</v>
      </c>
      <c r="G362" s="546" t="s">
        <v>2425</v>
      </c>
      <c r="H362" s="49" t="s">
        <v>998</v>
      </c>
      <c r="I362" s="49" t="s">
        <v>991</v>
      </c>
      <c r="J362" t="s">
        <v>999</v>
      </c>
      <c r="K362" s="549">
        <v>11701</v>
      </c>
    </row>
    <row r="363" spans="1:11" ht="16.5" x14ac:dyDescent="0.3">
      <c r="A363">
        <f t="shared" si="5"/>
        <v>362</v>
      </c>
      <c r="B363" s="546" t="s">
        <v>2426</v>
      </c>
      <c r="C363" s="546" t="s">
        <v>2427</v>
      </c>
      <c r="D363" s="547" t="s">
        <v>1084</v>
      </c>
      <c r="E363" s="548" t="s">
        <v>2428</v>
      </c>
      <c r="F363" s="548" t="s">
        <v>2429</v>
      </c>
      <c r="G363" s="546" t="s">
        <v>2429</v>
      </c>
      <c r="H363" s="49" t="s">
        <v>1016</v>
      </c>
      <c r="I363" s="49" t="s">
        <v>991</v>
      </c>
      <c r="J363" t="s">
        <v>992</v>
      </c>
      <c r="K363" s="549">
        <v>2011</v>
      </c>
    </row>
    <row r="364" spans="1:11" ht="16.5" x14ac:dyDescent="0.3">
      <c r="A364">
        <f t="shared" si="5"/>
        <v>363</v>
      </c>
      <c r="B364" s="546" t="s">
        <v>2430</v>
      </c>
      <c r="C364" s="546" t="s">
        <v>2431</v>
      </c>
      <c r="D364" s="547" t="s">
        <v>987</v>
      </c>
      <c r="E364" s="548" t="s">
        <v>2432</v>
      </c>
      <c r="F364" s="548" t="s">
        <v>2431</v>
      </c>
      <c r="G364" s="546" t="s">
        <v>1084</v>
      </c>
      <c r="H364" s="49" t="s">
        <v>990</v>
      </c>
      <c r="I364" s="49" t="s">
        <v>991</v>
      </c>
      <c r="J364" t="s">
        <v>992</v>
      </c>
      <c r="K364" s="549">
        <v>27291</v>
      </c>
    </row>
    <row r="365" spans="1:11" ht="16.5" x14ac:dyDescent="0.3">
      <c r="A365">
        <f t="shared" si="5"/>
        <v>364</v>
      </c>
      <c r="B365" s="546" t="s">
        <v>2433</v>
      </c>
      <c r="C365" s="546" t="s">
        <v>2431</v>
      </c>
      <c r="D365" s="547" t="s">
        <v>1084</v>
      </c>
      <c r="E365" s="548" t="s">
        <v>2434</v>
      </c>
      <c r="F365" s="548" t="s">
        <v>2431</v>
      </c>
      <c r="G365" s="546" t="s">
        <v>1084</v>
      </c>
      <c r="H365" s="49" t="s">
        <v>990</v>
      </c>
      <c r="I365" s="49" t="s">
        <v>1004</v>
      </c>
      <c r="J365" t="s">
        <v>1005</v>
      </c>
      <c r="K365" s="549">
        <v>8332</v>
      </c>
    </row>
    <row r="366" spans="1:11" ht="16.5" x14ac:dyDescent="0.3">
      <c r="A366">
        <f t="shared" si="5"/>
        <v>365</v>
      </c>
      <c r="B366" s="546" t="s">
        <v>2435</v>
      </c>
      <c r="C366" s="546" t="s">
        <v>2436</v>
      </c>
      <c r="D366" s="547" t="s">
        <v>987</v>
      </c>
      <c r="E366" s="548" t="s">
        <v>2437</v>
      </c>
      <c r="F366" s="548" t="s">
        <v>2438</v>
      </c>
      <c r="G366" s="546" t="s">
        <v>2438</v>
      </c>
      <c r="H366" s="49" t="s">
        <v>1016</v>
      </c>
      <c r="I366" s="49" t="s">
        <v>991</v>
      </c>
      <c r="J366" t="s">
        <v>1053</v>
      </c>
      <c r="K366" s="549">
        <v>5832</v>
      </c>
    </row>
    <row r="367" spans="1:11" ht="16.5" x14ac:dyDescent="0.3">
      <c r="A367">
        <f t="shared" si="5"/>
        <v>366</v>
      </c>
      <c r="B367" s="546" t="s">
        <v>2439</v>
      </c>
      <c r="C367" s="546" t="s">
        <v>2440</v>
      </c>
      <c r="D367" s="547" t="s">
        <v>1042</v>
      </c>
      <c r="E367" s="548" t="s">
        <v>2441</v>
      </c>
      <c r="F367" s="548" t="s">
        <v>2442</v>
      </c>
      <c r="G367" s="546" t="s">
        <v>2442</v>
      </c>
      <c r="H367" s="49" t="s">
        <v>1016</v>
      </c>
      <c r="I367" s="49" t="s">
        <v>991</v>
      </c>
      <c r="J367" t="s">
        <v>992</v>
      </c>
      <c r="K367" s="549">
        <v>2410</v>
      </c>
    </row>
    <row r="368" spans="1:11" ht="16.5" x14ac:dyDescent="0.3">
      <c r="A368">
        <f t="shared" si="5"/>
        <v>367</v>
      </c>
      <c r="B368" s="551" t="s">
        <v>2443</v>
      </c>
      <c r="C368" s="551" t="s">
        <v>2444</v>
      </c>
      <c r="D368" s="547" t="s">
        <v>1305</v>
      </c>
      <c r="E368" s="548" t="s">
        <v>2445</v>
      </c>
      <c r="F368" s="548" t="s">
        <v>2444</v>
      </c>
      <c r="G368" s="551" t="s">
        <v>2446</v>
      </c>
      <c r="H368" s="49" t="s">
        <v>990</v>
      </c>
      <c r="I368" s="49" t="s">
        <v>991</v>
      </c>
      <c r="J368" t="s">
        <v>1058</v>
      </c>
      <c r="K368" s="549">
        <v>65375</v>
      </c>
    </row>
    <row r="369" spans="1:11" ht="16.5" x14ac:dyDescent="0.3">
      <c r="A369">
        <f t="shared" si="5"/>
        <v>368</v>
      </c>
      <c r="B369" s="546" t="s">
        <v>2447</v>
      </c>
      <c r="C369" s="546" t="s">
        <v>2448</v>
      </c>
      <c r="D369" s="547" t="s">
        <v>1013</v>
      </c>
      <c r="E369" s="548" t="s">
        <v>2449</v>
      </c>
      <c r="F369" s="548" t="s">
        <v>2450</v>
      </c>
      <c r="G369" s="546" t="s">
        <v>2450</v>
      </c>
      <c r="H369" s="49" t="s">
        <v>1016</v>
      </c>
      <c r="I369" s="49" t="s">
        <v>991</v>
      </c>
      <c r="J369" t="s">
        <v>992</v>
      </c>
      <c r="K369" s="549">
        <v>5750</v>
      </c>
    </row>
    <row r="370" spans="1:11" ht="16.5" x14ac:dyDescent="0.3">
      <c r="A370">
        <f t="shared" si="5"/>
        <v>369</v>
      </c>
      <c r="B370" s="546" t="s">
        <v>2451</v>
      </c>
      <c r="C370" s="546" t="s">
        <v>2452</v>
      </c>
      <c r="D370" s="547" t="s">
        <v>1029</v>
      </c>
      <c r="E370" s="548" t="s">
        <v>2453</v>
      </c>
      <c r="F370" s="548" t="s">
        <v>2452</v>
      </c>
      <c r="G370" s="546" t="s">
        <v>2454</v>
      </c>
      <c r="H370" s="49" t="s">
        <v>990</v>
      </c>
      <c r="I370" s="49" t="s">
        <v>1004</v>
      </c>
      <c r="J370" t="s">
        <v>1005</v>
      </c>
      <c r="K370" s="549">
        <v>1773</v>
      </c>
    </row>
    <row r="371" spans="1:11" ht="16.5" x14ac:dyDescent="0.3">
      <c r="A371">
        <f t="shared" si="5"/>
        <v>370</v>
      </c>
      <c r="B371" s="546" t="s">
        <v>2455</v>
      </c>
      <c r="C371" s="546" t="s">
        <v>2456</v>
      </c>
      <c r="D371" s="547" t="s">
        <v>1013</v>
      </c>
      <c r="E371" s="548" t="s">
        <v>2457</v>
      </c>
      <c r="F371" s="548" t="s">
        <v>2458</v>
      </c>
      <c r="G371" s="546" t="s">
        <v>2458</v>
      </c>
      <c r="H371" s="49" t="s">
        <v>1016</v>
      </c>
      <c r="I371" s="49" t="s">
        <v>991</v>
      </c>
      <c r="J371" t="s">
        <v>992</v>
      </c>
      <c r="K371" s="549">
        <v>7978</v>
      </c>
    </row>
    <row r="372" spans="1:11" ht="16.5" x14ac:dyDescent="0.3">
      <c r="A372">
        <f t="shared" si="5"/>
        <v>371</v>
      </c>
      <c r="B372" s="546" t="s">
        <v>2459</v>
      </c>
      <c r="C372" s="546" t="s">
        <v>2460</v>
      </c>
      <c r="D372" s="547" t="s">
        <v>1124</v>
      </c>
      <c r="E372" s="548" t="s">
        <v>2461</v>
      </c>
      <c r="F372" s="548" t="s">
        <v>2462</v>
      </c>
      <c r="G372" s="546" t="s">
        <v>2463</v>
      </c>
      <c r="H372" s="49" t="s">
        <v>998</v>
      </c>
      <c r="I372" s="49" t="s">
        <v>991</v>
      </c>
      <c r="J372" t="s">
        <v>999</v>
      </c>
      <c r="K372" s="549">
        <v>30134</v>
      </c>
    </row>
    <row r="373" spans="1:11" ht="16.5" x14ac:dyDescent="0.3">
      <c r="A373">
        <f t="shared" si="5"/>
        <v>372</v>
      </c>
      <c r="B373" s="546" t="s">
        <v>2464</v>
      </c>
      <c r="C373" s="546" t="s">
        <v>2465</v>
      </c>
      <c r="D373" s="547" t="s">
        <v>1008</v>
      </c>
      <c r="E373" s="548" t="s">
        <v>2466</v>
      </c>
      <c r="F373" s="548" t="s">
        <v>2465</v>
      </c>
      <c r="G373" s="546" t="s">
        <v>2467</v>
      </c>
      <c r="H373" s="49" t="s">
        <v>990</v>
      </c>
      <c r="I373" s="49" t="s">
        <v>1004</v>
      </c>
      <c r="J373" t="s">
        <v>1005</v>
      </c>
      <c r="K373" s="549">
        <v>2514</v>
      </c>
    </row>
    <row r="374" spans="1:11" ht="16.5" x14ac:dyDescent="0.3">
      <c r="A374">
        <f t="shared" si="5"/>
        <v>373</v>
      </c>
      <c r="B374" s="546" t="s">
        <v>2468</v>
      </c>
      <c r="C374" s="546" t="s">
        <v>2469</v>
      </c>
      <c r="D374" s="547" t="s">
        <v>1013</v>
      </c>
      <c r="E374" s="548" t="s">
        <v>2470</v>
      </c>
      <c r="F374" s="548" t="s">
        <v>2471</v>
      </c>
      <c r="G374" s="546" t="s">
        <v>2471</v>
      </c>
      <c r="H374" s="49" t="s">
        <v>1016</v>
      </c>
      <c r="I374" s="49" t="s">
        <v>991</v>
      </c>
      <c r="J374" t="s">
        <v>992</v>
      </c>
      <c r="K374" s="549">
        <v>19622</v>
      </c>
    </row>
    <row r="375" spans="1:11" ht="16.5" x14ac:dyDescent="0.3">
      <c r="A375">
        <f t="shared" si="5"/>
        <v>374</v>
      </c>
      <c r="B375" s="546" t="s">
        <v>2472</v>
      </c>
      <c r="C375" s="546" t="s">
        <v>2473</v>
      </c>
      <c r="D375" s="547" t="s">
        <v>1097</v>
      </c>
      <c r="E375" s="548" t="s">
        <v>2474</v>
      </c>
      <c r="F375" s="548" t="s">
        <v>2475</v>
      </c>
      <c r="G375" s="546" t="s">
        <v>2475</v>
      </c>
      <c r="H375" s="49" t="s">
        <v>1016</v>
      </c>
      <c r="I375" s="49" t="s">
        <v>991</v>
      </c>
      <c r="J375" t="s">
        <v>992</v>
      </c>
      <c r="K375" s="549">
        <v>7398</v>
      </c>
    </row>
    <row r="376" spans="1:11" ht="16.5" x14ac:dyDescent="0.3">
      <c r="A376">
        <f t="shared" si="5"/>
        <v>375</v>
      </c>
      <c r="B376" s="546" t="s">
        <v>2476</v>
      </c>
      <c r="C376" s="546" t="s">
        <v>2477</v>
      </c>
      <c r="D376" s="547" t="s">
        <v>1013</v>
      </c>
      <c r="E376" s="548" t="s">
        <v>2478</v>
      </c>
      <c r="F376" s="548" t="s">
        <v>2479</v>
      </c>
      <c r="G376" s="546" t="s">
        <v>2479</v>
      </c>
      <c r="H376" s="49" t="s">
        <v>1016</v>
      </c>
      <c r="I376" s="49" t="s">
        <v>991</v>
      </c>
      <c r="J376" t="s">
        <v>992</v>
      </c>
      <c r="K376" s="549">
        <v>26342</v>
      </c>
    </row>
    <row r="377" spans="1:11" ht="16.5" x14ac:dyDescent="0.3">
      <c r="A377">
        <f t="shared" si="5"/>
        <v>376</v>
      </c>
      <c r="B377" s="546" t="s">
        <v>2480</v>
      </c>
      <c r="C377" s="546" t="s">
        <v>2481</v>
      </c>
      <c r="D377" s="547" t="s">
        <v>1013</v>
      </c>
      <c r="E377" s="548" t="s">
        <v>2482</v>
      </c>
      <c r="F377" s="548" t="s">
        <v>2483</v>
      </c>
      <c r="G377" s="546" t="s">
        <v>2483</v>
      </c>
      <c r="H377" s="49" t="s">
        <v>1016</v>
      </c>
      <c r="I377" s="49" t="s">
        <v>991</v>
      </c>
      <c r="J377" t="s">
        <v>992</v>
      </c>
      <c r="K377" s="549">
        <v>8645</v>
      </c>
    </row>
    <row r="378" spans="1:11" ht="16.5" x14ac:dyDescent="0.3">
      <c r="A378">
        <f t="shared" si="5"/>
        <v>377</v>
      </c>
      <c r="B378" s="546" t="s">
        <v>2484</v>
      </c>
      <c r="C378" s="546" t="s">
        <v>2485</v>
      </c>
      <c r="D378" s="547" t="s">
        <v>1199</v>
      </c>
      <c r="E378" s="548" t="s">
        <v>2486</v>
      </c>
      <c r="F378" s="548" t="s">
        <v>2485</v>
      </c>
      <c r="G378" s="546" t="s">
        <v>2487</v>
      </c>
      <c r="H378" s="49" t="s">
        <v>990</v>
      </c>
      <c r="I378" s="49" t="s">
        <v>991</v>
      </c>
      <c r="J378" t="s">
        <v>1077</v>
      </c>
      <c r="K378" s="549">
        <v>53238</v>
      </c>
    </row>
    <row r="379" spans="1:11" ht="16.5" x14ac:dyDescent="0.3">
      <c r="A379">
        <f t="shared" si="5"/>
        <v>378</v>
      </c>
      <c r="B379" s="546" t="s">
        <v>2488</v>
      </c>
      <c r="C379" s="546" t="s">
        <v>2489</v>
      </c>
      <c r="D379" s="547" t="s">
        <v>1186</v>
      </c>
      <c r="E379" s="548" t="s">
        <v>2490</v>
      </c>
      <c r="F379" s="548" t="s">
        <v>1186</v>
      </c>
      <c r="G379" s="546" t="s">
        <v>1186</v>
      </c>
      <c r="H379" s="49" t="s">
        <v>998</v>
      </c>
      <c r="I379" s="49" t="s">
        <v>991</v>
      </c>
      <c r="J379" t="s">
        <v>999</v>
      </c>
      <c r="K379" s="549">
        <v>69781</v>
      </c>
    </row>
    <row r="380" spans="1:11" ht="16.5" x14ac:dyDescent="0.3">
      <c r="A380">
        <f t="shared" si="5"/>
        <v>379</v>
      </c>
      <c r="B380" s="546" t="s">
        <v>2491</v>
      </c>
      <c r="C380" s="546" t="s">
        <v>2492</v>
      </c>
      <c r="D380" s="547" t="s">
        <v>1186</v>
      </c>
      <c r="E380" s="548" t="s">
        <v>2493</v>
      </c>
      <c r="F380" s="548" t="s">
        <v>2494</v>
      </c>
      <c r="G380" s="546" t="s">
        <v>2494</v>
      </c>
      <c r="H380" s="49" t="s">
        <v>998</v>
      </c>
      <c r="I380" s="49" t="s">
        <v>991</v>
      </c>
      <c r="J380" t="s">
        <v>1058</v>
      </c>
      <c r="K380" s="549">
        <v>146199</v>
      </c>
    </row>
    <row r="381" spans="1:11" ht="16.5" x14ac:dyDescent="0.3">
      <c r="A381">
        <f t="shared" si="5"/>
        <v>380</v>
      </c>
      <c r="B381" s="546" t="s">
        <v>2495</v>
      </c>
      <c r="C381" s="546" t="s">
        <v>2496</v>
      </c>
      <c r="D381" s="547" t="s">
        <v>1348</v>
      </c>
      <c r="E381" s="548" t="s">
        <v>2497</v>
      </c>
      <c r="F381" s="548" t="s">
        <v>2498</v>
      </c>
      <c r="G381" s="546" t="s">
        <v>2498</v>
      </c>
      <c r="H381" s="49" t="s">
        <v>1016</v>
      </c>
      <c r="I381" s="49" t="s">
        <v>991</v>
      </c>
      <c r="J381" t="s">
        <v>992</v>
      </c>
      <c r="K381" s="549">
        <v>6097</v>
      </c>
    </row>
    <row r="382" spans="1:11" ht="16.5" x14ac:dyDescent="0.3">
      <c r="A382">
        <f t="shared" si="5"/>
        <v>381</v>
      </c>
      <c r="B382" s="546" t="s">
        <v>2499</v>
      </c>
      <c r="C382" s="546" t="s">
        <v>2500</v>
      </c>
      <c r="D382" s="547" t="s">
        <v>1119</v>
      </c>
      <c r="E382" s="548" t="s">
        <v>2501</v>
      </c>
      <c r="F382" s="548" t="s">
        <v>2502</v>
      </c>
      <c r="G382" s="546" t="s">
        <v>2502</v>
      </c>
      <c r="H382" s="49" t="s">
        <v>1016</v>
      </c>
      <c r="I382" s="49" t="s">
        <v>991</v>
      </c>
      <c r="J382" t="s">
        <v>992</v>
      </c>
      <c r="K382" s="549">
        <v>2582</v>
      </c>
    </row>
    <row r="383" spans="1:11" ht="16.5" x14ac:dyDescent="0.3">
      <c r="A383">
        <f t="shared" si="5"/>
        <v>382</v>
      </c>
      <c r="B383" s="546" t="s">
        <v>2503</v>
      </c>
      <c r="C383" s="546" t="s">
        <v>2504</v>
      </c>
      <c r="D383" s="547" t="s">
        <v>1097</v>
      </c>
      <c r="E383" s="548" t="s">
        <v>2505</v>
      </c>
      <c r="F383" s="548" t="s">
        <v>2506</v>
      </c>
      <c r="G383" s="546" t="s">
        <v>2506</v>
      </c>
      <c r="H383" s="49" t="s">
        <v>1016</v>
      </c>
      <c r="I383" s="49" t="s">
        <v>991</v>
      </c>
      <c r="J383" t="s">
        <v>992</v>
      </c>
      <c r="K383" s="549">
        <v>1409</v>
      </c>
    </row>
    <row r="384" spans="1:11" ht="16.5" x14ac:dyDescent="0.3">
      <c r="A384">
        <f t="shared" si="5"/>
        <v>383</v>
      </c>
      <c r="B384" s="546" t="s">
        <v>2507</v>
      </c>
      <c r="C384" s="546" t="s">
        <v>2508</v>
      </c>
      <c r="D384" s="547" t="s">
        <v>1097</v>
      </c>
      <c r="E384" s="548" t="s">
        <v>2509</v>
      </c>
      <c r="F384" s="548" t="s">
        <v>2508</v>
      </c>
      <c r="G384" s="546" t="s">
        <v>2506</v>
      </c>
      <c r="H384" s="49" t="s">
        <v>990</v>
      </c>
      <c r="I384" s="49" t="s">
        <v>991</v>
      </c>
      <c r="J384" t="s">
        <v>1077</v>
      </c>
      <c r="K384" s="549">
        <v>27912</v>
      </c>
    </row>
    <row r="385" spans="1:11" ht="16.5" x14ac:dyDescent="0.3">
      <c r="A385">
        <f t="shared" si="5"/>
        <v>384</v>
      </c>
      <c r="B385" s="546" t="s">
        <v>2510</v>
      </c>
      <c r="C385" s="546" t="s">
        <v>2511</v>
      </c>
      <c r="D385" s="547" t="s">
        <v>1489</v>
      </c>
      <c r="E385" s="548" t="s">
        <v>2512</v>
      </c>
      <c r="F385" s="548" t="s">
        <v>2513</v>
      </c>
      <c r="G385" s="546" t="s">
        <v>2513</v>
      </c>
      <c r="H385" s="49" t="s">
        <v>1016</v>
      </c>
      <c r="I385" s="49" t="s">
        <v>991</v>
      </c>
      <c r="J385" t="s">
        <v>992</v>
      </c>
      <c r="K385" s="549">
        <v>2585</v>
      </c>
    </row>
    <row r="386" spans="1:11" ht="16.5" x14ac:dyDescent="0.3">
      <c r="A386">
        <f t="shared" si="5"/>
        <v>385</v>
      </c>
      <c r="B386" s="546" t="s">
        <v>2514</v>
      </c>
      <c r="C386" s="546" t="s">
        <v>2515</v>
      </c>
      <c r="D386" s="547" t="s">
        <v>1029</v>
      </c>
      <c r="E386" s="548" t="s">
        <v>2516</v>
      </c>
      <c r="F386" s="548" t="s">
        <v>2517</v>
      </c>
      <c r="G386" s="546" t="s">
        <v>2517</v>
      </c>
      <c r="H386" s="49" t="s">
        <v>1016</v>
      </c>
      <c r="I386" s="49" t="s">
        <v>991</v>
      </c>
      <c r="J386" t="s">
        <v>992</v>
      </c>
      <c r="K386" s="549">
        <v>5147</v>
      </c>
    </row>
    <row r="387" spans="1:11" ht="16.5" x14ac:dyDescent="0.3">
      <c r="A387">
        <f t="shared" si="5"/>
        <v>386</v>
      </c>
      <c r="B387" s="546" t="s">
        <v>2518</v>
      </c>
      <c r="C387" s="546" t="s">
        <v>2519</v>
      </c>
      <c r="D387" s="547" t="s">
        <v>1065</v>
      </c>
      <c r="E387" s="548" t="s">
        <v>2520</v>
      </c>
      <c r="F387" s="548" t="s">
        <v>2519</v>
      </c>
      <c r="G387" s="546" t="s">
        <v>2521</v>
      </c>
      <c r="H387" s="49" t="s">
        <v>990</v>
      </c>
      <c r="I387" s="49" t="s">
        <v>1004</v>
      </c>
      <c r="J387" t="s">
        <v>1048</v>
      </c>
      <c r="K387" s="549">
        <v>35885</v>
      </c>
    </row>
    <row r="388" spans="1:11" ht="16.5" x14ac:dyDescent="0.3">
      <c r="A388">
        <f t="shared" ref="A388:A451" si="6">A387+1</f>
        <v>387</v>
      </c>
      <c r="B388" s="546" t="s">
        <v>2522</v>
      </c>
      <c r="C388" s="546" t="s">
        <v>2523</v>
      </c>
      <c r="D388" s="547" t="s">
        <v>1029</v>
      </c>
      <c r="E388" s="548" t="s">
        <v>2524</v>
      </c>
      <c r="F388" s="548" t="s">
        <v>2523</v>
      </c>
      <c r="G388" s="546" t="s">
        <v>2525</v>
      </c>
      <c r="H388" s="49" t="s">
        <v>990</v>
      </c>
      <c r="I388" s="49" t="s">
        <v>1004</v>
      </c>
      <c r="J388" t="s">
        <v>1048</v>
      </c>
      <c r="K388" s="549">
        <v>13409</v>
      </c>
    </row>
    <row r="389" spans="1:11" ht="16.5" x14ac:dyDescent="0.3">
      <c r="A389">
        <f t="shared" si="6"/>
        <v>388</v>
      </c>
      <c r="B389" s="546" t="s">
        <v>2526</v>
      </c>
      <c r="C389" s="546" t="s">
        <v>2527</v>
      </c>
      <c r="D389" s="547" t="s">
        <v>1199</v>
      </c>
      <c r="E389" s="548" t="s">
        <v>2528</v>
      </c>
      <c r="F389" s="548" t="s">
        <v>2527</v>
      </c>
      <c r="G389" s="546" t="s">
        <v>2529</v>
      </c>
      <c r="H389" s="49" t="s">
        <v>990</v>
      </c>
      <c r="I389" s="49" t="s">
        <v>991</v>
      </c>
      <c r="J389" t="s">
        <v>1053</v>
      </c>
      <c r="K389" s="549">
        <v>15540</v>
      </c>
    </row>
    <row r="390" spans="1:11" ht="16.5" x14ac:dyDescent="0.3">
      <c r="A390">
        <f t="shared" si="6"/>
        <v>389</v>
      </c>
      <c r="B390" s="546" t="s">
        <v>2530</v>
      </c>
      <c r="C390" s="546" t="s">
        <v>2531</v>
      </c>
      <c r="D390" s="547" t="s">
        <v>1305</v>
      </c>
      <c r="E390" s="548" t="s">
        <v>2532</v>
      </c>
      <c r="F390" s="548" t="s">
        <v>2533</v>
      </c>
      <c r="G390" s="546" t="s">
        <v>2533</v>
      </c>
      <c r="H390" s="49" t="s">
        <v>998</v>
      </c>
      <c r="I390" s="49" t="s">
        <v>991</v>
      </c>
      <c r="J390" t="s">
        <v>1077</v>
      </c>
      <c r="K390" s="549">
        <v>50814</v>
      </c>
    </row>
    <row r="391" spans="1:11" ht="16.5" x14ac:dyDescent="0.3">
      <c r="A391">
        <f t="shared" si="6"/>
        <v>390</v>
      </c>
      <c r="B391" s="546" t="s">
        <v>2534</v>
      </c>
      <c r="C391" s="546" t="s">
        <v>2535</v>
      </c>
      <c r="D391" s="547" t="s">
        <v>1008</v>
      </c>
      <c r="E391" s="548" t="s">
        <v>2536</v>
      </c>
      <c r="F391" s="548" t="s">
        <v>2537</v>
      </c>
      <c r="G391" s="546" t="s">
        <v>2537</v>
      </c>
      <c r="H391" s="49" t="s">
        <v>978</v>
      </c>
      <c r="I391" s="49" t="s">
        <v>991</v>
      </c>
      <c r="J391" t="s">
        <v>1077</v>
      </c>
      <c r="K391" s="549">
        <v>14950</v>
      </c>
    </row>
    <row r="392" spans="1:11" ht="16.5" x14ac:dyDescent="0.3">
      <c r="A392">
        <f t="shared" si="6"/>
        <v>391</v>
      </c>
      <c r="B392" s="546" t="s">
        <v>2538</v>
      </c>
      <c r="C392" s="546" t="s">
        <v>2539</v>
      </c>
      <c r="D392" s="547" t="s">
        <v>1029</v>
      </c>
      <c r="E392" s="548" t="s">
        <v>2540</v>
      </c>
      <c r="F392" s="548" t="s">
        <v>2539</v>
      </c>
      <c r="G392" s="546" t="s">
        <v>2541</v>
      </c>
      <c r="H392" s="49" t="s">
        <v>990</v>
      </c>
      <c r="I392" s="49" t="s">
        <v>1004</v>
      </c>
      <c r="J392" t="s">
        <v>1005</v>
      </c>
      <c r="K392" s="549">
        <v>4016</v>
      </c>
    </row>
    <row r="393" spans="1:11" ht="16.5" x14ac:dyDescent="0.3">
      <c r="A393">
        <f t="shared" si="6"/>
        <v>392</v>
      </c>
      <c r="B393" s="546" t="s">
        <v>2542</v>
      </c>
      <c r="C393" s="546" t="s">
        <v>2543</v>
      </c>
      <c r="D393" s="547" t="s">
        <v>1084</v>
      </c>
      <c r="E393" s="548" t="s">
        <v>2544</v>
      </c>
      <c r="F393" s="548" t="s">
        <v>2545</v>
      </c>
      <c r="G393" s="546" t="s">
        <v>2545</v>
      </c>
      <c r="H393" s="49" t="s">
        <v>1016</v>
      </c>
      <c r="I393" s="49" t="s">
        <v>991</v>
      </c>
      <c r="J393" t="s">
        <v>992</v>
      </c>
      <c r="K393" s="549">
        <v>2127</v>
      </c>
    </row>
    <row r="394" spans="1:11" ht="16.5" x14ac:dyDescent="0.3">
      <c r="A394">
        <f t="shared" si="6"/>
        <v>393</v>
      </c>
      <c r="B394" s="546" t="s">
        <v>2546</v>
      </c>
      <c r="C394" s="546" t="s">
        <v>2547</v>
      </c>
      <c r="D394" s="547" t="s">
        <v>1065</v>
      </c>
      <c r="E394" s="548" t="s">
        <v>2548</v>
      </c>
      <c r="F394" s="548" t="s">
        <v>2549</v>
      </c>
      <c r="G394" s="546" t="s">
        <v>2549</v>
      </c>
      <c r="H394" s="49" t="s">
        <v>1016</v>
      </c>
      <c r="I394" s="49" t="s">
        <v>991</v>
      </c>
      <c r="J394" t="s">
        <v>992</v>
      </c>
      <c r="K394" s="549">
        <v>10233</v>
      </c>
    </row>
    <row r="395" spans="1:11" ht="16.5" x14ac:dyDescent="0.3">
      <c r="A395">
        <f t="shared" si="6"/>
        <v>394</v>
      </c>
      <c r="B395" s="546" t="s">
        <v>2550</v>
      </c>
      <c r="C395" s="546" t="s">
        <v>2551</v>
      </c>
      <c r="D395" s="547" t="s">
        <v>1065</v>
      </c>
      <c r="E395" s="548" t="s">
        <v>2552</v>
      </c>
      <c r="F395" s="548" t="s">
        <v>2553</v>
      </c>
      <c r="G395" s="546" t="s">
        <v>2553</v>
      </c>
      <c r="H395" s="49" t="s">
        <v>1016</v>
      </c>
      <c r="I395" s="49" t="s">
        <v>1021</v>
      </c>
      <c r="J395" t="s">
        <v>1022</v>
      </c>
      <c r="K395" s="549">
        <v>12</v>
      </c>
    </row>
    <row r="396" spans="1:11" ht="16.5" x14ac:dyDescent="0.3">
      <c r="A396">
        <f t="shared" si="6"/>
        <v>395</v>
      </c>
      <c r="B396" s="546" t="s">
        <v>2554</v>
      </c>
      <c r="C396" s="546" t="s">
        <v>2555</v>
      </c>
      <c r="D396" s="547" t="s">
        <v>1305</v>
      </c>
      <c r="E396" s="548" t="s">
        <v>2556</v>
      </c>
      <c r="F396" s="548" t="s">
        <v>2555</v>
      </c>
      <c r="G396" s="546" t="s">
        <v>2557</v>
      </c>
      <c r="H396" s="49" t="s">
        <v>990</v>
      </c>
      <c r="I396" s="49" t="s">
        <v>991</v>
      </c>
      <c r="J396" t="s">
        <v>999</v>
      </c>
      <c r="K396" s="549">
        <v>56044</v>
      </c>
    </row>
    <row r="397" spans="1:11" ht="16.5" x14ac:dyDescent="0.3">
      <c r="A397">
        <f t="shared" si="6"/>
        <v>396</v>
      </c>
      <c r="B397" s="546" t="s">
        <v>2558</v>
      </c>
      <c r="C397" s="546" t="s">
        <v>2559</v>
      </c>
      <c r="D397" s="547" t="s">
        <v>1348</v>
      </c>
      <c r="E397" s="548" t="s">
        <v>2560</v>
      </c>
      <c r="F397" s="548" t="s">
        <v>2561</v>
      </c>
      <c r="G397" s="546" t="s">
        <v>2561</v>
      </c>
      <c r="H397" s="49" t="s">
        <v>1016</v>
      </c>
      <c r="I397" s="49" t="s">
        <v>991</v>
      </c>
      <c r="J397" t="s">
        <v>992</v>
      </c>
      <c r="K397" s="549">
        <v>9011</v>
      </c>
    </row>
    <row r="398" spans="1:11" ht="16.5" x14ac:dyDescent="0.3">
      <c r="A398">
        <f t="shared" si="6"/>
        <v>397</v>
      </c>
      <c r="B398" s="546" t="s">
        <v>2562</v>
      </c>
      <c r="C398" s="546" t="s">
        <v>2563</v>
      </c>
      <c r="D398" s="547" t="s">
        <v>1029</v>
      </c>
      <c r="E398" s="548" t="s">
        <v>2564</v>
      </c>
      <c r="F398" s="548" t="s">
        <v>2563</v>
      </c>
      <c r="G398" s="546" t="s">
        <v>2565</v>
      </c>
      <c r="H398" s="49" t="s">
        <v>990</v>
      </c>
      <c r="I398" s="49" t="s">
        <v>1004</v>
      </c>
      <c r="J398" t="s">
        <v>1048</v>
      </c>
      <c r="K398" s="549">
        <v>9393</v>
      </c>
    </row>
    <row r="399" spans="1:11" ht="16.5" x14ac:dyDescent="0.3">
      <c r="A399">
        <f t="shared" si="6"/>
        <v>398</v>
      </c>
      <c r="B399" s="546" t="s">
        <v>2566</v>
      </c>
      <c r="C399" s="546" t="s">
        <v>2567</v>
      </c>
      <c r="D399" s="547" t="s">
        <v>1146</v>
      </c>
      <c r="E399" s="548" t="s">
        <v>2568</v>
      </c>
      <c r="F399" s="548" t="s">
        <v>2569</v>
      </c>
      <c r="G399" s="546" t="s">
        <v>2569</v>
      </c>
      <c r="H399" s="49" t="s">
        <v>998</v>
      </c>
      <c r="I399" s="49" t="s">
        <v>991</v>
      </c>
      <c r="J399" t="s">
        <v>999</v>
      </c>
      <c r="K399" s="549">
        <v>49808</v>
      </c>
    </row>
    <row r="400" spans="1:11" ht="16.5" x14ac:dyDescent="0.3">
      <c r="A400">
        <f t="shared" si="6"/>
        <v>399</v>
      </c>
      <c r="B400" s="546" t="s">
        <v>2570</v>
      </c>
      <c r="C400" s="546" t="s">
        <v>2571</v>
      </c>
      <c r="D400" s="547" t="s">
        <v>1305</v>
      </c>
      <c r="E400" s="548" t="s">
        <v>2572</v>
      </c>
      <c r="F400" s="548" t="s">
        <v>2571</v>
      </c>
      <c r="G400" s="546" t="s">
        <v>2573</v>
      </c>
      <c r="H400" s="49" t="s">
        <v>990</v>
      </c>
      <c r="I400" s="49" t="s">
        <v>1004</v>
      </c>
      <c r="J400" t="s">
        <v>1048</v>
      </c>
      <c r="K400" s="549">
        <v>22999</v>
      </c>
    </row>
    <row r="401" spans="1:11" ht="16.5" x14ac:dyDescent="0.3">
      <c r="A401">
        <f t="shared" si="6"/>
        <v>400</v>
      </c>
      <c r="B401" s="546" t="s">
        <v>2574</v>
      </c>
      <c r="C401" s="546" t="s">
        <v>2575</v>
      </c>
      <c r="D401" s="547" t="s">
        <v>995</v>
      </c>
      <c r="E401" s="548" t="s">
        <v>2576</v>
      </c>
      <c r="F401" s="548" t="s">
        <v>2577</v>
      </c>
      <c r="G401" s="546" t="s">
        <v>2577</v>
      </c>
      <c r="H401" s="49" t="s">
        <v>998</v>
      </c>
      <c r="I401" s="49" t="s">
        <v>991</v>
      </c>
      <c r="J401" t="s">
        <v>999</v>
      </c>
      <c r="K401" s="549">
        <v>20249</v>
      </c>
    </row>
    <row r="402" spans="1:11" ht="16.5" x14ac:dyDescent="0.3">
      <c r="A402">
        <f t="shared" si="6"/>
        <v>401</v>
      </c>
      <c r="B402" s="546" t="s">
        <v>2578</v>
      </c>
      <c r="C402" s="546" t="s">
        <v>2579</v>
      </c>
      <c r="D402" s="547" t="s">
        <v>1084</v>
      </c>
      <c r="E402" s="548" t="s">
        <v>2580</v>
      </c>
      <c r="F402" s="548" t="s">
        <v>2579</v>
      </c>
      <c r="G402" s="546" t="s">
        <v>2581</v>
      </c>
      <c r="H402" s="49" t="s">
        <v>990</v>
      </c>
      <c r="I402" s="49" t="s">
        <v>1004</v>
      </c>
      <c r="J402" t="s">
        <v>1048</v>
      </c>
      <c r="K402" s="549">
        <v>8421</v>
      </c>
    </row>
    <row r="403" spans="1:11" ht="16.5" x14ac:dyDescent="0.3">
      <c r="A403">
        <f t="shared" si="6"/>
        <v>402</v>
      </c>
      <c r="B403" s="546" t="s">
        <v>2582</v>
      </c>
      <c r="C403" s="546" t="s">
        <v>2583</v>
      </c>
      <c r="D403" s="547" t="s">
        <v>1008</v>
      </c>
      <c r="E403" s="548" t="s">
        <v>2584</v>
      </c>
      <c r="F403" s="548" t="s">
        <v>2583</v>
      </c>
      <c r="G403" s="546" t="s">
        <v>2585</v>
      </c>
      <c r="H403" s="49" t="s">
        <v>990</v>
      </c>
      <c r="I403" s="49" t="s">
        <v>991</v>
      </c>
      <c r="J403" t="s">
        <v>1010</v>
      </c>
      <c r="K403" s="549">
        <v>3339</v>
      </c>
    </row>
    <row r="404" spans="1:11" ht="16.5" x14ac:dyDescent="0.3">
      <c r="A404">
        <f t="shared" si="6"/>
        <v>403</v>
      </c>
      <c r="B404" s="546" t="s">
        <v>2586</v>
      </c>
      <c r="C404" s="546" t="s">
        <v>2587</v>
      </c>
      <c r="D404" s="547" t="s">
        <v>1084</v>
      </c>
      <c r="E404" s="548" t="s">
        <v>2588</v>
      </c>
      <c r="F404" s="548" t="s">
        <v>2589</v>
      </c>
      <c r="G404" s="546" t="s">
        <v>2589</v>
      </c>
      <c r="H404" s="49" t="s">
        <v>1016</v>
      </c>
      <c r="I404" s="49" t="s">
        <v>991</v>
      </c>
      <c r="J404" t="s">
        <v>992</v>
      </c>
      <c r="K404" s="549">
        <v>4665</v>
      </c>
    </row>
    <row r="405" spans="1:11" ht="16.5" x14ac:dyDescent="0.3">
      <c r="A405">
        <f t="shared" si="6"/>
        <v>404</v>
      </c>
      <c r="B405" s="546" t="s">
        <v>2590</v>
      </c>
      <c r="C405" s="546" t="s">
        <v>2591</v>
      </c>
      <c r="D405" s="547" t="s">
        <v>1084</v>
      </c>
      <c r="E405" s="548" t="s">
        <v>2592</v>
      </c>
      <c r="F405" s="548" t="s">
        <v>2593</v>
      </c>
      <c r="G405" s="546" t="s">
        <v>2593</v>
      </c>
      <c r="H405" s="49" t="s">
        <v>1016</v>
      </c>
      <c r="I405" s="49" t="s">
        <v>991</v>
      </c>
      <c r="J405" t="s">
        <v>992</v>
      </c>
      <c r="K405" s="549">
        <v>18392</v>
      </c>
    </row>
    <row r="406" spans="1:11" ht="16.5" x14ac:dyDescent="0.3">
      <c r="A406">
        <f t="shared" si="6"/>
        <v>405</v>
      </c>
      <c r="B406" s="546" t="s">
        <v>2594</v>
      </c>
      <c r="C406" s="546" t="s">
        <v>2595</v>
      </c>
      <c r="D406" s="547" t="s">
        <v>1186</v>
      </c>
      <c r="E406" s="548" t="s">
        <v>2596</v>
      </c>
      <c r="F406" s="548" t="s">
        <v>2597</v>
      </c>
      <c r="G406" s="546" t="s">
        <v>2597</v>
      </c>
      <c r="H406" s="49" t="s">
        <v>1016</v>
      </c>
      <c r="I406" s="49" t="s">
        <v>991</v>
      </c>
      <c r="J406" t="s">
        <v>992</v>
      </c>
      <c r="K406" s="549">
        <v>11097</v>
      </c>
    </row>
    <row r="407" spans="1:11" ht="16.5" x14ac:dyDescent="0.3">
      <c r="A407">
        <f t="shared" si="6"/>
        <v>406</v>
      </c>
      <c r="B407" s="546" t="s">
        <v>2598</v>
      </c>
      <c r="C407" s="546" t="s">
        <v>2599</v>
      </c>
      <c r="D407" s="547" t="s">
        <v>995</v>
      </c>
      <c r="E407" s="548" t="s">
        <v>2600</v>
      </c>
      <c r="F407" s="548" t="s">
        <v>2601</v>
      </c>
      <c r="G407" s="546" t="s">
        <v>2601</v>
      </c>
      <c r="H407" s="49" t="s">
        <v>998</v>
      </c>
      <c r="I407" s="49" t="s">
        <v>991</v>
      </c>
      <c r="J407" t="s">
        <v>999</v>
      </c>
      <c r="K407" s="549">
        <v>1115</v>
      </c>
    </row>
    <row r="408" spans="1:11" ht="16.5" x14ac:dyDescent="0.3">
      <c r="A408">
        <f t="shared" si="6"/>
        <v>407</v>
      </c>
      <c r="B408" s="550" t="s">
        <v>2602</v>
      </c>
      <c r="C408" s="546" t="s">
        <v>2603</v>
      </c>
      <c r="D408" s="547" t="s">
        <v>1489</v>
      </c>
      <c r="E408" s="548" t="s">
        <v>2604</v>
      </c>
      <c r="F408" s="548" t="s">
        <v>2603</v>
      </c>
      <c r="G408" s="546" t="s">
        <v>2603</v>
      </c>
      <c r="H408" s="49" t="s">
        <v>1016</v>
      </c>
      <c r="I408" s="49" t="s">
        <v>991</v>
      </c>
      <c r="J408" t="e">
        <v>#N/A</v>
      </c>
      <c r="K408" s="549">
        <v>12307</v>
      </c>
    </row>
    <row r="409" spans="1:11" ht="16.5" x14ac:dyDescent="0.3">
      <c r="A409">
        <f t="shared" si="6"/>
        <v>408</v>
      </c>
      <c r="B409" s="546" t="s">
        <v>2605</v>
      </c>
      <c r="C409" s="546" t="s">
        <v>2606</v>
      </c>
      <c r="D409" s="547" t="s">
        <v>1186</v>
      </c>
      <c r="E409" s="548" t="s">
        <v>2607</v>
      </c>
      <c r="F409" s="548" t="s">
        <v>2608</v>
      </c>
      <c r="G409" s="546" t="s">
        <v>2608</v>
      </c>
      <c r="H409" s="49" t="s">
        <v>1016</v>
      </c>
      <c r="I409" s="49" t="s">
        <v>991</v>
      </c>
      <c r="J409" t="s">
        <v>992</v>
      </c>
      <c r="K409" s="549">
        <v>5865</v>
      </c>
    </row>
    <row r="410" spans="1:11" ht="16.5" x14ac:dyDescent="0.3">
      <c r="A410">
        <f t="shared" si="6"/>
        <v>409</v>
      </c>
      <c r="B410" s="546" t="s">
        <v>2609</v>
      </c>
      <c r="C410" s="546" t="s">
        <v>2610</v>
      </c>
      <c r="D410" s="547" t="s">
        <v>1029</v>
      </c>
      <c r="E410" s="548" t="s">
        <v>2611</v>
      </c>
      <c r="F410" s="548" t="s">
        <v>2610</v>
      </c>
      <c r="G410" s="546" t="s">
        <v>2612</v>
      </c>
      <c r="H410" s="49" t="s">
        <v>990</v>
      </c>
      <c r="I410" s="49" t="s">
        <v>1004</v>
      </c>
      <c r="J410" t="s">
        <v>1005</v>
      </c>
      <c r="K410" s="549">
        <v>2666</v>
      </c>
    </row>
    <row r="411" spans="1:11" ht="16.5" x14ac:dyDescent="0.3">
      <c r="A411">
        <f t="shared" si="6"/>
        <v>410</v>
      </c>
      <c r="B411" s="546" t="s">
        <v>2613</v>
      </c>
      <c r="C411" s="546" t="s">
        <v>2614</v>
      </c>
      <c r="D411" s="547" t="s">
        <v>1146</v>
      </c>
      <c r="E411" s="548" t="s">
        <v>2615</v>
      </c>
      <c r="F411" s="548" t="s">
        <v>2616</v>
      </c>
      <c r="G411" s="546" t="s">
        <v>2616</v>
      </c>
      <c r="H411" s="49" t="s">
        <v>998</v>
      </c>
      <c r="I411" s="49" t="s">
        <v>991</v>
      </c>
      <c r="J411" t="s">
        <v>1058</v>
      </c>
      <c r="K411" s="549">
        <v>27346</v>
      </c>
    </row>
    <row r="412" spans="1:11" ht="16.5" x14ac:dyDescent="0.3">
      <c r="A412">
        <f t="shared" si="6"/>
        <v>411</v>
      </c>
      <c r="B412" s="546" t="s">
        <v>2617</v>
      </c>
      <c r="C412" s="546" t="s">
        <v>2618</v>
      </c>
      <c r="D412" s="547" t="s">
        <v>1013</v>
      </c>
      <c r="E412" s="548" t="s">
        <v>2619</v>
      </c>
      <c r="F412" s="548" t="s">
        <v>2620</v>
      </c>
      <c r="G412" s="546" t="s">
        <v>2620</v>
      </c>
      <c r="H412" s="49" t="s">
        <v>1016</v>
      </c>
      <c r="I412" s="49" t="s">
        <v>991</v>
      </c>
      <c r="J412" t="s">
        <v>992</v>
      </c>
      <c r="K412" s="549">
        <v>14473</v>
      </c>
    </row>
    <row r="413" spans="1:11" ht="16.5" x14ac:dyDescent="0.3">
      <c r="A413">
        <f t="shared" si="6"/>
        <v>412</v>
      </c>
      <c r="B413" s="546" t="s">
        <v>2621</v>
      </c>
      <c r="C413" s="546" t="s">
        <v>2622</v>
      </c>
      <c r="D413" s="547" t="s">
        <v>1199</v>
      </c>
      <c r="E413" s="548" t="s">
        <v>2623</v>
      </c>
      <c r="F413" s="548" t="s">
        <v>2622</v>
      </c>
      <c r="G413" s="546" t="s">
        <v>2624</v>
      </c>
      <c r="H413" s="49" t="s">
        <v>990</v>
      </c>
      <c r="I413" s="49" t="s">
        <v>991</v>
      </c>
      <c r="J413" t="s">
        <v>1127</v>
      </c>
      <c r="K413" s="549">
        <v>25734</v>
      </c>
    </row>
    <row r="414" spans="1:11" ht="16.5" x14ac:dyDescent="0.3">
      <c r="A414">
        <f t="shared" si="6"/>
        <v>413</v>
      </c>
      <c r="B414" s="546" t="s">
        <v>2625</v>
      </c>
      <c r="C414" s="546" t="s">
        <v>2626</v>
      </c>
      <c r="D414" s="547" t="s">
        <v>1119</v>
      </c>
      <c r="E414" s="548" t="s">
        <v>2627</v>
      </c>
      <c r="F414" s="548" t="s">
        <v>2628</v>
      </c>
      <c r="G414" s="546" t="s">
        <v>2628</v>
      </c>
      <c r="H414" s="49" t="s">
        <v>1016</v>
      </c>
      <c r="I414" s="49" t="s">
        <v>991</v>
      </c>
      <c r="J414" t="s">
        <v>992</v>
      </c>
      <c r="K414" s="549">
        <v>6881</v>
      </c>
    </row>
    <row r="415" spans="1:11" ht="16.5" x14ac:dyDescent="0.3">
      <c r="A415">
        <f t="shared" si="6"/>
        <v>414</v>
      </c>
      <c r="B415" s="546" t="s">
        <v>2629</v>
      </c>
      <c r="C415" s="546" t="s">
        <v>2630</v>
      </c>
      <c r="D415" s="547" t="s">
        <v>1002</v>
      </c>
      <c r="E415" s="548" t="s">
        <v>2631</v>
      </c>
      <c r="F415" s="548" t="s">
        <v>2630</v>
      </c>
      <c r="G415" s="546" t="s">
        <v>2628</v>
      </c>
      <c r="H415" s="49" t="s">
        <v>990</v>
      </c>
      <c r="I415" s="49" t="s">
        <v>1004</v>
      </c>
      <c r="J415" t="s">
        <v>1048</v>
      </c>
      <c r="K415" s="549">
        <v>22185</v>
      </c>
    </row>
    <row r="416" spans="1:11" ht="16.5" x14ac:dyDescent="0.3">
      <c r="A416">
        <f t="shared" si="6"/>
        <v>415</v>
      </c>
      <c r="B416" s="546" t="s">
        <v>2632</v>
      </c>
      <c r="C416" s="546" t="s">
        <v>2633</v>
      </c>
      <c r="D416" s="547" t="s">
        <v>1002</v>
      </c>
      <c r="E416" s="548" t="s">
        <v>2634</v>
      </c>
      <c r="F416" s="548" t="s">
        <v>2633</v>
      </c>
      <c r="G416" s="546" t="s">
        <v>2635</v>
      </c>
      <c r="H416" s="49" t="s">
        <v>990</v>
      </c>
      <c r="I416" s="49" t="s">
        <v>1004</v>
      </c>
      <c r="J416" t="s">
        <v>1048</v>
      </c>
      <c r="K416" s="549">
        <v>16126</v>
      </c>
    </row>
    <row r="417" spans="1:11" ht="16.5" x14ac:dyDescent="0.3">
      <c r="A417">
        <f t="shared" si="6"/>
        <v>416</v>
      </c>
      <c r="B417" s="546" t="s">
        <v>2636</v>
      </c>
      <c r="C417" s="546" t="s">
        <v>2637</v>
      </c>
      <c r="D417" s="547" t="s">
        <v>987</v>
      </c>
      <c r="E417" s="548" t="s">
        <v>2638</v>
      </c>
      <c r="F417" s="548" t="s">
        <v>2639</v>
      </c>
      <c r="G417" s="546" t="s">
        <v>2639</v>
      </c>
      <c r="H417" s="49" t="s">
        <v>1016</v>
      </c>
      <c r="I417" s="49" t="s">
        <v>991</v>
      </c>
      <c r="J417" t="s">
        <v>992</v>
      </c>
      <c r="K417" s="549">
        <v>12206</v>
      </c>
    </row>
    <row r="418" spans="1:11" ht="16.5" x14ac:dyDescent="0.3">
      <c r="A418">
        <f t="shared" si="6"/>
        <v>417</v>
      </c>
      <c r="B418" s="546" t="s">
        <v>2640</v>
      </c>
      <c r="C418" s="546" t="s">
        <v>2641</v>
      </c>
      <c r="D418" s="547" t="s">
        <v>1013</v>
      </c>
      <c r="E418" s="548" t="s">
        <v>2642</v>
      </c>
      <c r="F418" s="548" t="s">
        <v>2643</v>
      </c>
      <c r="G418" s="546" t="s">
        <v>2643</v>
      </c>
      <c r="H418" s="49" t="s">
        <v>1016</v>
      </c>
      <c r="I418" s="49" t="s">
        <v>991</v>
      </c>
      <c r="J418" t="s">
        <v>992</v>
      </c>
      <c r="K418" s="549">
        <v>11032</v>
      </c>
    </row>
    <row r="419" spans="1:11" ht="16.5" x14ac:dyDescent="0.3">
      <c r="A419">
        <f t="shared" si="6"/>
        <v>418</v>
      </c>
      <c r="B419" s="546" t="s">
        <v>2644</v>
      </c>
      <c r="C419" s="546" t="s">
        <v>2645</v>
      </c>
      <c r="D419" s="547" t="s">
        <v>1013</v>
      </c>
      <c r="E419" s="548" t="s">
        <v>2646</v>
      </c>
      <c r="F419" s="548" t="s">
        <v>2645</v>
      </c>
      <c r="G419" s="546" t="s">
        <v>2647</v>
      </c>
      <c r="H419" s="49" t="s">
        <v>2056</v>
      </c>
      <c r="I419" s="49" t="s">
        <v>1021</v>
      </c>
      <c r="J419" t="s">
        <v>2101</v>
      </c>
      <c r="K419" s="549">
        <v>12729</v>
      </c>
    </row>
    <row r="420" spans="1:11" ht="16.5" x14ac:dyDescent="0.3">
      <c r="A420">
        <f t="shared" si="6"/>
        <v>419</v>
      </c>
      <c r="B420" s="546" t="s">
        <v>2648</v>
      </c>
      <c r="C420" s="546" t="s">
        <v>2649</v>
      </c>
      <c r="D420" s="547" t="s">
        <v>1013</v>
      </c>
      <c r="E420" s="548" t="s">
        <v>2650</v>
      </c>
      <c r="F420" s="548" t="s">
        <v>2649</v>
      </c>
      <c r="G420" s="546" t="s">
        <v>2651</v>
      </c>
      <c r="H420" s="49" t="s">
        <v>2056</v>
      </c>
      <c r="I420" s="49" t="s">
        <v>991</v>
      </c>
      <c r="J420" t="s">
        <v>1053</v>
      </c>
      <c r="K420" s="549">
        <v>24958</v>
      </c>
    </row>
    <row r="421" spans="1:11" ht="16.5" x14ac:dyDescent="0.3">
      <c r="A421">
        <f t="shared" si="6"/>
        <v>420</v>
      </c>
      <c r="B421" s="546" t="s">
        <v>2652</v>
      </c>
      <c r="C421" s="546" t="s">
        <v>2653</v>
      </c>
      <c r="D421" s="547" t="s">
        <v>1186</v>
      </c>
      <c r="E421" s="548" t="s">
        <v>2654</v>
      </c>
      <c r="F421" s="548" t="s">
        <v>2655</v>
      </c>
      <c r="G421" s="546" t="s">
        <v>2655</v>
      </c>
      <c r="H421" s="49" t="s">
        <v>1016</v>
      </c>
      <c r="I421" s="49" t="s">
        <v>991</v>
      </c>
      <c r="J421" t="s">
        <v>1127</v>
      </c>
      <c r="K421" s="549">
        <v>12228</v>
      </c>
    </row>
    <row r="422" spans="1:11" ht="16.5" x14ac:dyDescent="0.3">
      <c r="A422">
        <f t="shared" si="6"/>
        <v>421</v>
      </c>
      <c r="B422" s="546" t="s">
        <v>2656</v>
      </c>
      <c r="C422" s="546" t="s">
        <v>2657</v>
      </c>
      <c r="D422" s="547" t="s">
        <v>1013</v>
      </c>
      <c r="E422" s="548" t="s">
        <v>2658</v>
      </c>
      <c r="F422" s="548" t="s">
        <v>2659</v>
      </c>
      <c r="G422" s="546" t="s">
        <v>2659</v>
      </c>
      <c r="H422" s="49" t="s">
        <v>1016</v>
      </c>
      <c r="I422" s="49" t="s">
        <v>991</v>
      </c>
      <c r="J422" t="s">
        <v>992</v>
      </c>
      <c r="K422" s="549">
        <v>11340</v>
      </c>
    </row>
    <row r="423" spans="1:11" ht="16.5" x14ac:dyDescent="0.3">
      <c r="A423">
        <f t="shared" si="6"/>
        <v>422</v>
      </c>
      <c r="B423" s="546" t="s">
        <v>2660</v>
      </c>
      <c r="C423" s="546" t="s">
        <v>2661</v>
      </c>
      <c r="D423" s="547" t="s">
        <v>1013</v>
      </c>
      <c r="E423" s="548" t="s">
        <v>2662</v>
      </c>
      <c r="F423" s="548" t="s">
        <v>2661</v>
      </c>
      <c r="G423" s="546" t="s">
        <v>2663</v>
      </c>
      <c r="H423" s="49" t="s">
        <v>990</v>
      </c>
      <c r="I423" s="49" t="s">
        <v>991</v>
      </c>
      <c r="J423" t="s">
        <v>1077</v>
      </c>
      <c r="K423" s="549">
        <v>9659</v>
      </c>
    </row>
    <row r="424" spans="1:11" ht="16.5" x14ac:dyDescent="0.3">
      <c r="A424">
        <f t="shared" si="6"/>
        <v>423</v>
      </c>
      <c r="B424" s="546" t="s">
        <v>2664</v>
      </c>
      <c r="C424" s="546" t="s">
        <v>2665</v>
      </c>
      <c r="D424" s="547" t="s">
        <v>1199</v>
      </c>
      <c r="E424" s="548" t="s">
        <v>2666</v>
      </c>
      <c r="F424" s="548" t="s">
        <v>2667</v>
      </c>
      <c r="G424" s="546" t="s">
        <v>2667</v>
      </c>
      <c r="H424" s="49" t="s">
        <v>1016</v>
      </c>
      <c r="I424" s="49" t="s">
        <v>991</v>
      </c>
      <c r="J424" t="s">
        <v>992</v>
      </c>
      <c r="K424" s="549">
        <v>3559</v>
      </c>
    </row>
    <row r="425" spans="1:11" ht="16.5" x14ac:dyDescent="0.3">
      <c r="A425">
        <f t="shared" si="6"/>
        <v>424</v>
      </c>
      <c r="B425" s="546" t="s">
        <v>2668</v>
      </c>
      <c r="C425" s="546" t="s">
        <v>2669</v>
      </c>
      <c r="D425" s="547" t="s">
        <v>1097</v>
      </c>
      <c r="E425" s="548" t="s">
        <v>2670</v>
      </c>
      <c r="F425" s="548" t="s">
        <v>2669</v>
      </c>
      <c r="G425" s="546" t="s">
        <v>2671</v>
      </c>
      <c r="H425" s="49" t="s">
        <v>990</v>
      </c>
      <c r="I425" s="49" t="s">
        <v>1004</v>
      </c>
      <c r="J425" t="s">
        <v>1048</v>
      </c>
      <c r="K425" s="549">
        <v>8079</v>
      </c>
    </row>
    <row r="426" spans="1:11" ht="16.5" x14ac:dyDescent="0.3">
      <c r="A426">
        <f t="shared" si="6"/>
        <v>425</v>
      </c>
      <c r="B426" s="546" t="s">
        <v>2672</v>
      </c>
      <c r="C426" s="546" t="s">
        <v>2673</v>
      </c>
      <c r="D426" s="547" t="s">
        <v>1097</v>
      </c>
      <c r="E426" s="548" t="s">
        <v>2674</v>
      </c>
      <c r="F426" s="548" t="s">
        <v>2675</v>
      </c>
      <c r="G426" s="546" t="s">
        <v>2675</v>
      </c>
      <c r="H426" s="49" t="s">
        <v>1016</v>
      </c>
      <c r="I426" s="49" t="s">
        <v>991</v>
      </c>
      <c r="J426" t="s">
        <v>992</v>
      </c>
      <c r="K426" s="549">
        <v>2779</v>
      </c>
    </row>
    <row r="427" spans="1:11" ht="16.5" x14ac:dyDescent="0.3">
      <c r="A427">
        <f t="shared" si="6"/>
        <v>426</v>
      </c>
      <c r="B427" s="546" t="s">
        <v>2676</v>
      </c>
      <c r="C427" s="546" t="s">
        <v>2677</v>
      </c>
      <c r="D427" s="547" t="s">
        <v>1489</v>
      </c>
      <c r="E427" s="548" t="s">
        <v>2678</v>
      </c>
      <c r="F427" s="548" t="s">
        <v>2677</v>
      </c>
      <c r="G427" s="546" t="s">
        <v>2679</v>
      </c>
      <c r="H427" s="49" t="s">
        <v>990</v>
      </c>
      <c r="I427" s="49" t="s">
        <v>991</v>
      </c>
      <c r="J427" t="s">
        <v>1077</v>
      </c>
      <c r="K427" s="549">
        <v>13642</v>
      </c>
    </row>
    <row r="428" spans="1:11" ht="16.5" x14ac:dyDescent="0.3">
      <c r="A428">
        <f t="shared" si="6"/>
        <v>427</v>
      </c>
      <c r="B428" s="546" t="s">
        <v>2680</v>
      </c>
      <c r="C428" s="546" t="s">
        <v>2681</v>
      </c>
      <c r="D428" s="547" t="s">
        <v>1013</v>
      </c>
      <c r="E428" s="548" t="s">
        <v>2682</v>
      </c>
      <c r="F428" s="548" t="s">
        <v>2681</v>
      </c>
      <c r="G428" s="546" t="s">
        <v>2683</v>
      </c>
      <c r="H428" s="49" t="s">
        <v>990</v>
      </c>
      <c r="I428" s="49" t="s">
        <v>1004</v>
      </c>
      <c r="J428" t="s">
        <v>1048</v>
      </c>
      <c r="K428" s="549">
        <v>5530</v>
      </c>
    </row>
    <row r="429" spans="1:11" ht="16.5" x14ac:dyDescent="0.3">
      <c r="A429">
        <f t="shared" si="6"/>
        <v>428</v>
      </c>
      <c r="B429" s="546" t="s">
        <v>2684</v>
      </c>
      <c r="C429" s="546" t="s">
        <v>2685</v>
      </c>
      <c r="D429" s="547" t="s">
        <v>1199</v>
      </c>
      <c r="E429" s="548" t="s">
        <v>2686</v>
      </c>
      <c r="F429" s="548" t="s">
        <v>2687</v>
      </c>
      <c r="G429" s="546" t="s">
        <v>2687</v>
      </c>
      <c r="H429" s="49" t="s">
        <v>1016</v>
      </c>
      <c r="I429" s="49" t="s">
        <v>991</v>
      </c>
      <c r="J429" t="s">
        <v>992</v>
      </c>
      <c r="K429" s="549">
        <v>6438</v>
      </c>
    </row>
    <row r="430" spans="1:11" ht="16.5" x14ac:dyDescent="0.3">
      <c r="A430">
        <f t="shared" si="6"/>
        <v>429</v>
      </c>
      <c r="B430" s="546" t="s">
        <v>2688</v>
      </c>
      <c r="C430" s="546" t="s">
        <v>2689</v>
      </c>
      <c r="D430" s="547" t="s">
        <v>1199</v>
      </c>
      <c r="E430" s="548" t="s">
        <v>2690</v>
      </c>
      <c r="F430" s="548" t="s">
        <v>2689</v>
      </c>
      <c r="G430" s="546" t="s">
        <v>2687</v>
      </c>
      <c r="H430" s="49" t="s">
        <v>990</v>
      </c>
      <c r="I430" s="49" t="s">
        <v>991</v>
      </c>
      <c r="J430" t="s">
        <v>1058</v>
      </c>
      <c r="K430" s="549">
        <v>24156</v>
      </c>
    </row>
    <row r="431" spans="1:11" ht="16.5" x14ac:dyDescent="0.3">
      <c r="A431">
        <f t="shared" si="6"/>
        <v>430</v>
      </c>
      <c r="B431" s="546" t="s">
        <v>2691</v>
      </c>
      <c r="C431" s="546" t="s">
        <v>2692</v>
      </c>
      <c r="D431" s="547" t="s">
        <v>1013</v>
      </c>
      <c r="E431" s="548" t="s">
        <v>2693</v>
      </c>
      <c r="F431" s="548" t="s">
        <v>2694</v>
      </c>
      <c r="G431" s="546" t="s">
        <v>2694</v>
      </c>
      <c r="H431" s="49" t="s">
        <v>1016</v>
      </c>
      <c r="I431" s="49" t="s">
        <v>991</v>
      </c>
      <c r="J431" t="s">
        <v>992</v>
      </c>
      <c r="K431" s="549">
        <v>531</v>
      </c>
    </row>
    <row r="432" spans="1:11" ht="16.5" x14ac:dyDescent="0.3">
      <c r="A432">
        <f t="shared" si="6"/>
        <v>431</v>
      </c>
      <c r="B432" s="546" t="s">
        <v>2695</v>
      </c>
      <c r="C432" s="546" t="s">
        <v>2696</v>
      </c>
      <c r="D432" s="547" t="s">
        <v>1119</v>
      </c>
      <c r="E432" s="548" t="s">
        <v>2697</v>
      </c>
      <c r="F432" s="548" t="s">
        <v>2698</v>
      </c>
      <c r="G432" s="546" t="s">
        <v>2698</v>
      </c>
      <c r="H432" s="49" t="s">
        <v>1016</v>
      </c>
      <c r="I432" s="49" t="s">
        <v>991</v>
      </c>
      <c r="J432" t="s">
        <v>992</v>
      </c>
      <c r="K432" s="549">
        <v>682</v>
      </c>
    </row>
    <row r="433" spans="1:11" ht="16.5" x14ac:dyDescent="0.3">
      <c r="A433">
        <f t="shared" si="6"/>
        <v>432</v>
      </c>
      <c r="B433" s="546" t="s">
        <v>2699</v>
      </c>
      <c r="C433" s="546" t="s">
        <v>2700</v>
      </c>
      <c r="D433" s="547" t="s">
        <v>987</v>
      </c>
      <c r="E433" s="548" t="s">
        <v>2701</v>
      </c>
      <c r="F433" s="548" t="s">
        <v>2702</v>
      </c>
      <c r="G433" s="546" t="s">
        <v>2702</v>
      </c>
      <c r="H433" s="49" t="s">
        <v>1016</v>
      </c>
      <c r="I433" s="49" t="s">
        <v>991</v>
      </c>
      <c r="J433" t="s">
        <v>992</v>
      </c>
      <c r="K433" s="549">
        <v>882</v>
      </c>
    </row>
    <row r="434" spans="1:11" ht="16.5" x14ac:dyDescent="0.3">
      <c r="A434">
        <f t="shared" si="6"/>
        <v>433</v>
      </c>
      <c r="B434" s="546" t="s">
        <v>2703</v>
      </c>
      <c r="C434" s="546" t="s">
        <v>2704</v>
      </c>
      <c r="D434" s="547" t="s">
        <v>1124</v>
      </c>
      <c r="E434" s="548" t="s">
        <v>2705</v>
      </c>
      <c r="F434" s="548" t="s">
        <v>2706</v>
      </c>
      <c r="G434" s="546" t="s">
        <v>2706</v>
      </c>
      <c r="H434" s="49" t="s">
        <v>1016</v>
      </c>
      <c r="I434" s="49" t="s">
        <v>991</v>
      </c>
      <c r="J434" t="s">
        <v>992</v>
      </c>
      <c r="K434" s="549">
        <v>5819</v>
      </c>
    </row>
    <row r="435" spans="1:11" ht="16.5" x14ac:dyDescent="0.3">
      <c r="A435">
        <f t="shared" si="6"/>
        <v>434</v>
      </c>
      <c r="B435" s="546" t="s">
        <v>2707</v>
      </c>
      <c r="C435" s="546" t="s">
        <v>2708</v>
      </c>
      <c r="D435" s="547" t="s">
        <v>1146</v>
      </c>
      <c r="E435" s="548" t="s">
        <v>2709</v>
      </c>
      <c r="F435" s="548" t="s">
        <v>2710</v>
      </c>
      <c r="G435" s="546" t="s">
        <v>2710</v>
      </c>
      <c r="H435" s="49" t="s">
        <v>1016</v>
      </c>
      <c r="I435" s="49" t="s">
        <v>991</v>
      </c>
      <c r="J435" t="s">
        <v>992</v>
      </c>
      <c r="K435" s="549">
        <v>21085</v>
      </c>
    </row>
    <row r="436" spans="1:11" ht="16.5" x14ac:dyDescent="0.3">
      <c r="A436">
        <f t="shared" si="6"/>
        <v>435</v>
      </c>
      <c r="B436" s="546" t="s">
        <v>2711</v>
      </c>
      <c r="C436" s="546" t="s">
        <v>2712</v>
      </c>
      <c r="D436" s="547" t="s">
        <v>1146</v>
      </c>
      <c r="E436" s="548" t="s">
        <v>2713</v>
      </c>
      <c r="F436" s="548" t="s">
        <v>2714</v>
      </c>
      <c r="G436" s="546" t="s">
        <v>2714</v>
      </c>
      <c r="H436" s="49" t="s">
        <v>1016</v>
      </c>
      <c r="I436" s="49" t="s">
        <v>991</v>
      </c>
      <c r="J436" t="s">
        <v>992</v>
      </c>
      <c r="K436" s="549">
        <v>13297</v>
      </c>
    </row>
    <row r="437" spans="1:11" ht="16.5" x14ac:dyDescent="0.3">
      <c r="A437">
        <f t="shared" si="6"/>
        <v>436</v>
      </c>
      <c r="B437" s="546" t="s">
        <v>2715</v>
      </c>
      <c r="C437" s="546" t="s">
        <v>2716</v>
      </c>
      <c r="D437" s="547" t="s">
        <v>1199</v>
      </c>
      <c r="E437" s="548" t="s">
        <v>2717</v>
      </c>
      <c r="F437" s="548" t="s">
        <v>2716</v>
      </c>
      <c r="G437" s="546" t="s">
        <v>2718</v>
      </c>
      <c r="H437" s="49" t="s">
        <v>990</v>
      </c>
      <c r="I437" s="49" t="s">
        <v>991</v>
      </c>
      <c r="J437" t="s">
        <v>1127</v>
      </c>
      <c r="K437" s="549">
        <v>23324</v>
      </c>
    </row>
    <row r="438" spans="1:11" ht="16.5" x14ac:dyDescent="0.3">
      <c r="A438">
        <f t="shared" si="6"/>
        <v>437</v>
      </c>
      <c r="B438" s="546" t="s">
        <v>2719</v>
      </c>
      <c r="C438" s="546" t="s">
        <v>2720</v>
      </c>
      <c r="D438" s="547" t="s">
        <v>987</v>
      </c>
      <c r="E438" s="548" t="s">
        <v>2721</v>
      </c>
      <c r="F438" s="548" t="s">
        <v>2722</v>
      </c>
      <c r="G438" s="546" t="s">
        <v>2722</v>
      </c>
      <c r="H438" s="49" t="s">
        <v>1016</v>
      </c>
      <c r="I438" s="49" t="s">
        <v>991</v>
      </c>
      <c r="J438" t="s">
        <v>992</v>
      </c>
      <c r="K438" s="549">
        <v>7122</v>
      </c>
    </row>
    <row r="439" spans="1:11" ht="16.5" x14ac:dyDescent="0.3">
      <c r="A439">
        <f t="shared" si="6"/>
        <v>438</v>
      </c>
      <c r="B439" s="546" t="s">
        <v>2723</v>
      </c>
      <c r="C439" s="546" t="s">
        <v>2724</v>
      </c>
      <c r="D439" s="547" t="s">
        <v>1065</v>
      </c>
      <c r="E439" s="548" t="s">
        <v>2725</v>
      </c>
      <c r="F439" s="548" t="s">
        <v>2726</v>
      </c>
      <c r="G439" s="546" t="s">
        <v>2726</v>
      </c>
      <c r="H439" s="49" t="s">
        <v>1016</v>
      </c>
      <c r="I439" s="49" t="s">
        <v>991</v>
      </c>
      <c r="J439" t="s">
        <v>992</v>
      </c>
      <c r="K439" s="549">
        <v>8468</v>
      </c>
    </row>
    <row r="440" spans="1:11" ht="16.5" x14ac:dyDescent="0.3">
      <c r="A440">
        <f t="shared" si="6"/>
        <v>439</v>
      </c>
      <c r="B440" s="546" t="s">
        <v>2727</v>
      </c>
      <c r="C440" s="546" t="s">
        <v>2728</v>
      </c>
      <c r="D440" s="547" t="s">
        <v>1013</v>
      </c>
      <c r="E440" s="548" t="s">
        <v>2729</v>
      </c>
      <c r="F440" s="548" t="s">
        <v>2730</v>
      </c>
      <c r="G440" s="546" t="s">
        <v>2730</v>
      </c>
      <c r="H440" s="49" t="s">
        <v>1016</v>
      </c>
      <c r="I440" s="49" t="s">
        <v>991</v>
      </c>
      <c r="J440" t="s">
        <v>992</v>
      </c>
      <c r="K440" s="549">
        <v>18061</v>
      </c>
    </row>
    <row r="441" spans="1:11" ht="16.5" x14ac:dyDescent="0.3">
      <c r="A441">
        <f t="shared" si="6"/>
        <v>440</v>
      </c>
      <c r="B441" s="546" t="s">
        <v>2731</v>
      </c>
      <c r="C441" s="546" t="s">
        <v>2732</v>
      </c>
      <c r="D441" s="547" t="s">
        <v>1013</v>
      </c>
      <c r="E441" s="548" t="s">
        <v>2733</v>
      </c>
      <c r="F441" s="548" t="s">
        <v>2732</v>
      </c>
      <c r="G441" s="546" t="s">
        <v>2734</v>
      </c>
      <c r="H441" s="49" t="s">
        <v>990</v>
      </c>
      <c r="I441" s="49" t="s">
        <v>991</v>
      </c>
      <c r="J441" t="s">
        <v>1077</v>
      </c>
      <c r="K441" s="549">
        <v>13659</v>
      </c>
    </row>
    <row r="442" spans="1:11" ht="16.5" x14ac:dyDescent="0.3">
      <c r="A442">
        <f t="shared" si="6"/>
        <v>441</v>
      </c>
      <c r="B442" s="546" t="s">
        <v>2735</v>
      </c>
      <c r="C442" s="546" t="s">
        <v>2736</v>
      </c>
      <c r="D442" s="547" t="s">
        <v>1013</v>
      </c>
      <c r="E442" s="548" t="s">
        <v>2737</v>
      </c>
      <c r="F442" s="548" t="s">
        <v>2738</v>
      </c>
      <c r="G442" s="546" t="s">
        <v>2738</v>
      </c>
      <c r="H442" s="49" t="s">
        <v>1016</v>
      </c>
      <c r="I442" s="49" t="s">
        <v>991</v>
      </c>
      <c r="J442" t="s">
        <v>992</v>
      </c>
      <c r="K442" s="549">
        <v>3152</v>
      </c>
    </row>
    <row r="443" spans="1:11" ht="16.5" x14ac:dyDescent="0.3">
      <c r="A443">
        <f t="shared" si="6"/>
        <v>442</v>
      </c>
      <c r="B443" s="546" t="s">
        <v>2739</v>
      </c>
      <c r="C443" s="546" t="s">
        <v>2740</v>
      </c>
      <c r="D443" s="547" t="s">
        <v>1029</v>
      </c>
      <c r="E443" s="548" t="s">
        <v>2741</v>
      </c>
      <c r="F443" s="548" t="s">
        <v>1029</v>
      </c>
      <c r="G443" s="546" t="s">
        <v>1029</v>
      </c>
      <c r="H443" s="49" t="s">
        <v>998</v>
      </c>
      <c r="I443" s="49" t="s">
        <v>991</v>
      </c>
      <c r="J443" t="s">
        <v>1644</v>
      </c>
      <c r="K443" s="549">
        <v>5146</v>
      </c>
    </row>
    <row r="444" spans="1:11" ht="16.5" x14ac:dyDescent="0.3">
      <c r="A444">
        <f t="shared" si="6"/>
        <v>443</v>
      </c>
      <c r="B444" s="546" t="s">
        <v>2742</v>
      </c>
      <c r="C444" s="546" t="s">
        <v>2743</v>
      </c>
      <c r="D444" s="547" t="s">
        <v>1042</v>
      </c>
      <c r="E444" s="548" t="s">
        <v>2744</v>
      </c>
      <c r="F444" s="548" t="s">
        <v>2743</v>
      </c>
      <c r="G444" s="546" t="s">
        <v>2745</v>
      </c>
      <c r="H444" s="49" t="s">
        <v>990</v>
      </c>
      <c r="I444" s="49" t="s">
        <v>1004</v>
      </c>
      <c r="J444" t="s">
        <v>1005</v>
      </c>
      <c r="K444" s="549">
        <v>1998</v>
      </c>
    </row>
    <row r="445" spans="1:11" ht="16.5" x14ac:dyDescent="0.3">
      <c r="A445">
        <f t="shared" si="6"/>
        <v>444</v>
      </c>
      <c r="B445" s="546" t="s">
        <v>2746</v>
      </c>
      <c r="C445" s="546" t="s">
        <v>2747</v>
      </c>
      <c r="D445" s="547" t="s">
        <v>1305</v>
      </c>
      <c r="E445" s="548" t="s">
        <v>2748</v>
      </c>
      <c r="F445" s="548" t="s">
        <v>2749</v>
      </c>
      <c r="G445" s="546" t="s">
        <v>2749</v>
      </c>
      <c r="H445" s="49" t="s">
        <v>1016</v>
      </c>
      <c r="I445" s="49" t="s">
        <v>991</v>
      </c>
      <c r="J445" t="s">
        <v>992</v>
      </c>
      <c r="K445" s="549">
        <v>42704</v>
      </c>
    </row>
    <row r="446" spans="1:11" ht="16.5" x14ac:dyDescent="0.3">
      <c r="A446">
        <f t="shared" si="6"/>
        <v>445</v>
      </c>
      <c r="B446" s="546" t="s">
        <v>2750</v>
      </c>
      <c r="C446" s="546" t="s">
        <v>2751</v>
      </c>
      <c r="D446" s="547" t="s">
        <v>1146</v>
      </c>
      <c r="E446" s="548" t="s">
        <v>2752</v>
      </c>
      <c r="F446" s="548" t="s">
        <v>2751</v>
      </c>
      <c r="G446" s="546" t="s">
        <v>2753</v>
      </c>
      <c r="H446" s="49" t="s">
        <v>990</v>
      </c>
      <c r="I446" s="49" t="s">
        <v>991</v>
      </c>
      <c r="J446" t="s">
        <v>1010</v>
      </c>
      <c r="K446" s="549">
        <v>23510</v>
      </c>
    </row>
    <row r="447" spans="1:11" ht="16.5" x14ac:dyDescent="0.3">
      <c r="A447">
        <f t="shared" si="6"/>
        <v>446</v>
      </c>
      <c r="B447" s="546" t="s">
        <v>2754</v>
      </c>
      <c r="C447" s="546" t="s">
        <v>2755</v>
      </c>
      <c r="D447" s="547" t="s">
        <v>987</v>
      </c>
      <c r="E447" s="548" t="s">
        <v>2756</v>
      </c>
      <c r="F447" s="548" t="s">
        <v>2757</v>
      </c>
      <c r="G447" s="546" t="s">
        <v>2757</v>
      </c>
      <c r="H447" s="49" t="s">
        <v>1016</v>
      </c>
      <c r="I447" s="49" t="s">
        <v>991</v>
      </c>
      <c r="J447" t="s">
        <v>992</v>
      </c>
      <c r="K447" s="549">
        <v>1412</v>
      </c>
    </row>
    <row r="448" spans="1:11" ht="16.5" x14ac:dyDescent="0.3">
      <c r="A448">
        <f t="shared" si="6"/>
        <v>447</v>
      </c>
      <c r="B448" s="546" t="s">
        <v>2758</v>
      </c>
      <c r="C448" s="546" t="s">
        <v>2759</v>
      </c>
      <c r="D448" s="547" t="s">
        <v>987</v>
      </c>
      <c r="E448" s="548" t="s">
        <v>2760</v>
      </c>
      <c r="F448" s="548" t="s">
        <v>2761</v>
      </c>
      <c r="G448" s="546" t="s">
        <v>2761</v>
      </c>
      <c r="H448" s="49" t="s">
        <v>1016</v>
      </c>
      <c r="I448" s="49" t="s">
        <v>991</v>
      </c>
      <c r="J448" t="s">
        <v>992</v>
      </c>
      <c r="K448" s="549">
        <v>1828</v>
      </c>
    </row>
    <row r="449" spans="1:11" ht="16.5" x14ac:dyDescent="0.3">
      <c r="A449">
        <f t="shared" si="6"/>
        <v>448</v>
      </c>
      <c r="B449" s="546" t="s">
        <v>2762</v>
      </c>
      <c r="C449" s="546" t="s">
        <v>2763</v>
      </c>
      <c r="D449" s="547" t="s">
        <v>1074</v>
      </c>
      <c r="E449" s="548" t="s">
        <v>2764</v>
      </c>
      <c r="F449" s="548" t="s">
        <v>2763</v>
      </c>
      <c r="G449" s="546" t="s">
        <v>2763</v>
      </c>
      <c r="H449" s="49" t="s">
        <v>998</v>
      </c>
      <c r="I449" s="49" t="s">
        <v>991</v>
      </c>
      <c r="J449" t="s">
        <v>1077</v>
      </c>
      <c r="K449" s="549">
        <v>2114</v>
      </c>
    </row>
    <row r="450" spans="1:11" ht="16.5" x14ac:dyDescent="0.3">
      <c r="A450">
        <f t="shared" si="6"/>
        <v>449</v>
      </c>
      <c r="B450" s="546" t="s">
        <v>2765</v>
      </c>
      <c r="C450" s="546" t="s">
        <v>2766</v>
      </c>
      <c r="D450" s="547" t="s">
        <v>1084</v>
      </c>
      <c r="E450" s="548" t="s">
        <v>2767</v>
      </c>
      <c r="F450" s="548" t="s">
        <v>2768</v>
      </c>
      <c r="G450" s="546" t="s">
        <v>2768</v>
      </c>
      <c r="H450" s="49" t="s">
        <v>1016</v>
      </c>
      <c r="I450" s="49" t="s">
        <v>991</v>
      </c>
      <c r="J450" t="s">
        <v>992</v>
      </c>
      <c r="K450" s="549">
        <v>2887</v>
      </c>
    </row>
    <row r="451" spans="1:11" ht="16.5" x14ac:dyDescent="0.3">
      <c r="A451">
        <f t="shared" si="6"/>
        <v>450</v>
      </c>
      <c r="B451" s="546" t="s">
        <v>2769</v>
      </c>
      <c r="C451" s="546" t="s">
        <v>2770</v>
      </c>
      <c r="D451" s="547" t="s">
        <v>1084</v>
      </c>
      <c r="E451" s="548" t="s">
        <v>2771</v>
      </c>
      <c r="F451" s="548" t="s">
        <v>2772</v>
      </c>
      <c r="G451" s="546" t="s">
        <v>2772</v>
      </c>
      <c r="H451" s="49" t="s">
        <v>1016</v>
      </c>
      <c r="I451" s="49" t="s">
        <v>991</v>
      </c>
      <c r="J451" t="s">
        <v>992</v>
      </c>
      <c r="K451" s="549">
        <v>1579</v>
      </c>
    </row>
    <row r="452" spans="1:11" ht="16.5" x14ac:dyDescent="0.3">
      <c r="A452">
        <f t="shared" ref="A452:A515" si="7">A451+1</f>
        <v>451</v>
      </c>
      <c r="B452" s="546" t="s">
        <v>2773</v>
      </c>
      <c r="C452" s="546" t="s">
        <v>2774</v>
      </c>
      <c r="D452" s="547" t="s">
        <v>1106</v>
      </c>
      <c r="E452" s="548" t="s">
        <v>2775</v>
      </c>
      <c r="F452" s="548" t="s">
        <v>2776</v>
      </c>
      <c r="G452" s="546" t="s">
        <v>2776</v>
      </c>
      <c r="H452" s="49" t="s">
        <v>978</v>
      </c>
      <c r="I452" s="49" t="s">
        <v>991</v>
      </c>
      <c r="J452" t="s">
        <v>992</v>
      </c>
      <c r="K452" s="549">
        <v>16264</v>
      </c>
    </row>
    <row r="453" spans="1:11" ht="16.5" x14ac:dyDescent="0.3">
      <c r="A453">
        <f t="shared" si="7"/>
        <v>452</v>
      </c>
      <c r="B453" s="546" t="s">
        <v>2777</v>
      </c>
      <c r="C453" s="546" t="s">
        <v>2778</v>
      </c>
      <c r="D453" s="547" t="s">
        <v>1097</v>
      </c>
      <c r="E453" s="548" t="s">
        <v>2779</v>
      </c>
      <c r="F453" s="548" t="s">
        <v>2778</v>
      </c>
      <c r="G453" s="546" t="s">
        <v>2780</v>
      </c>
      <c r="H453" s="49" t="s">
        <v>990</v>
      </c>
      <c r="I453" s="49" t="s">
        <v>1004</v>
      </c>
      <c r="J453" t="s">
        <v>1048</v>
      </c>
      <c r="K453" s="549">
        <v>6490</v>
      </c>
    </row>
    <row r="454" spans="1:11" ht="16.5" x14ac:dyDescent="0.3">
      <c r="A454">
        <f t="shared" si="7"/>
        <v>453</v>
      </c>
      <c r="B454" s="546" t="s">
        <v>2781</v>
      </c>
      <c r="C454" s="546" t="s">
        <v>2782</v>
      </c>
      <c r="D454" s="547" t="s">
        <v>1236</v>
      </c>
      <c r="E454" s="548" t="s">
        <v>2783</v>
      </c>
      <c r="F454" s="548" t="s">
        <v>2784</v>
      </c>
      <c r="G454" s="546" t="s">
        <v>2784</v>
      </c>
      <c r="H454" s="49" t="s">
        <v>1016</v>
      </c>
      <c r="I454" s="49" t="s">
        <v>991</v>
      </c>
      <c r="J454" t="s">
        <v>992</v>
      </c>
      <c r="K454" s="549">
        <v>516</v>
      </c>
    </row>
    <row r="455" spans="1:11" ht="16.5" x14ac:dyDescent="0.3">
      <c r="A455">
        <f t="shared" si="7"/>
        <v>454</v>
      </c>
      <c r="B455" s="546" t="s">
        <v>2785</v>
      </c>
      <c r="C455" s="546" t="s">
        <v>2786</v>
      </c>
      <c r="D455" s="547" t="s">
        <v>1084</v>
      </c>
      <c r="E455" s="548" t="s">
        <v>2787</v>
      </c>
      <c r="F455" s="548" t="s">
        <v>2788</v>
      </c>
      <c r="G455" s="546" t="s">
        <v>2788</v>
      </c>
      <c r="H455" s="49" t="s">
        <v>1016</v>
      </c>
      <c r="I455" s="49" t="s">
        <v>991</v>
      </c>
      <c r="J455" t="s">
        <v>992</v>
      </c>
      <c r="K455" s="549">
        <v>1156</v>
      </c>
    </row>
    <row r="456" spans="1:11" ht="16.5" x14ac:dyDescent="0.3">
      <c r="A456">
        <f t="shared" si="7"/>
        <v>455</v>
      </c>
      <c r="B456" s="546" t="s">
        <v>2789</v>
      </c>
      <c r="C456" s="546" t="s">
        <v>2790</v>
      </c>
      <c r="D456" s="547" t="s">
        <v>987</v>
      </c>
      <c r="E456" s="548" t="s">
        <v>2791</v>
      </c>
      <c r="F456" s="548" t="s">
        <v>2792</v>
      </c>
      <c r="G456" s="546" t="s">
        <v>2792</v>
      </c>
      <c r="H456" s="49" t="s">
        <v>1016</v>
      </c>
      <c r="I456" s="49" t="s">
        <v>991</v>
      </c>
      <c r="J456" t="s">
        <v>992</v>
      </c>
      <c r="K456" s="549">
        <v>3809</v>
      </c>
    </row>
    <row r="457" spans="1:11" ht="16.5" x14ac:dyDescent="0.3">
      <c r="A457">
        <f t="shared" si="7"/>
        <v>456</v>
      </c>
      <c r="B457" s="546" t="s">
        <v>2793</v>
      </c>
      <c r="C457" s="546" t="s">
        <v>2794</v>
      </c>
      <c r="D457" s="547" t="s">
        <v>987</v>
      </c>
      <c r="E457" s="548" t="s">
        <v>2795</v>
      </c>
      <c r="F457" s="548" t="s">
        <v>2794</v>
      </c>
      <c r="G457" s="546" t="s">
        <v>2792</v>
      </c>
      <c r="H457" s="49" t="s">
        <v>990</v>
      </c>
      <c r="I457" s="49" t="s">
        <v>1004</v>
      </c>
      <c r="J457" t="s">
        <v>1005</v>
      </c>
      <c r="K457" s="549">
        <v>1141</v>
      </c>
    </row>
    <row r="458" spans="1:11" ht="16.5" x14ac:dyDescent="0.3">
      <c r="A458">
        <f t="shared" si="7"/>
        <v>457</v>
      </c>
      <c r="B458" s="546" t="s">
        <v>2796</v>
      </c>
      <c r="C458" s="546" t="s">
        <v>2797</v>
      </c>
      <c r="D458" s="547" t="s">
        <v>1065</v>
      </c>
      <c r="E458" s="548" t="s">
        <v>2798</v>
      </c>
      <c r="F458" s="548" t="s">
        <v>2799</v>
      </c>
      <c r="G458" s="546" t="s">
        <v>2799</v>
      </c>
      <c r="H458" s="49" t="s">
        <v>1016</v>
      </c>
      <c r="I458" s="49" t="s">
        <v>991</v>
      </c>
      <c r="J458" t="s">
        <v>992</v>
      </c>
      <c r="K458" s="549">
        <v>5151</v>
      </c>
    </row>
    <row r="459" spans="1:11" ht="16.5" x14ac:dyDescent="0.3">
      <c r="A459">
        <f t="shared" si="7"/>
        <v>458</v>
      </c>
      <c r="B459" s="546" t="s">
        <v>2800</v>
      </c>
      <c r="C459" s="546" t="s">
        <v>2801</v>
      </c>
      <c r="D459" s="547" t="s">
        <v>995</v>
      </c>
      <c r="E459" s="548" t="s">
        <v>2802</v>
      </c>
      <c r="F459" s="548" t="s">
        <v>2803</v>
      </c>
      <c r="G459" s="546" t="s">
        <v>2803</v>
      </c>
      <c r="H459" s="49" t="s">
        <v>998</v>
      </c>
      <c r="I459" s="49" t="s">
        <v>991</v>
      </c>
      <c r="J459" t="s">
        <v>999</v>
      </c>
      <c r="K459" s="549">
        <v>10795</v>
      </c>
    </row>
    <row r="460" spans="1:11" ht="16.5" x14ac:dyDescent="0.3">
      <c r="A460">
        <f t="shared" si="7"/>
        <v>459</v>
      </c>
      <c r="B460" s="546" t="s">
        <v>2804</v>
      </c>
      <c r="C460" s="546" t="s">
        <v>2805</v>
      </c>
      <c r="D460" s="547" t="s">
        <v>1119</v>
      </c>
      <c r="E460" s="548" t="s">
        <v>2806</v>
      </c>
      <c r="F460" s="548" t="s">
        <v>2807</v>
      </c>
      <c r="G460" s="546" t="s">
        <v>2807</v>
      </c>
      <c r="H460" s="49" t="s">
        <v>1016</v>
      </c>
      <c r="I460" s="49" t="s">
        <v>991</v>
      </c>
      <c r="J460" t="s">
        <v>992</v>
      </c>
      <c r="K460" s="549">
        <v>12098</v>
      </c>
    </row>
    <row r="461" spans="1:11" ht="16.5" x14ac:dyDescent="0.3">
      <c r="A461">
        <f t="shared" si="7"/>
        <v>460</v>
      </c>
      <c r="B461" s="546" t="s">
        <v>2808</v>
      </c>
      <c r="C461" s="546" t="s">
        <v>2809</v>
      </c>
      <c r="D461" s="547" t="s">
        <v>1305</v>
      </c>
      <c r="E461" s="548" t="s">
        <v>2810</v>
      </c>
      <c r="F461" s="548" t="s">
        <v>2811</v>
      </c>
      <c r="G461" s="546" t="s">
        <v>2811</v>
      </c>
      <c r="H461" s="49" t="s">
        <v>998</v>
      </c>
      <c r="I461" s="49" t="s">
        <v>991</v>
      </c>
      <c r="J461" t="s">
        <v>1077</v>
      </c>
      <c r="K461" s="549">
        <v>8631</v>
      </c>
    </row>
    <row r="462" spans="1:11" ht="16.5" x14ac:dyDescent="0.3">
      <c r="A462">
        <f t="shared" si="7"/>
        <v>461</v>
      </c>
      <c r="B462" s="546" t="s">
        <v>2812</v>
      </c>
      <c r="C462" s="546" t="s">
        <v>2813</v>
      </c>
      <c r="D462" s="547" t="s">
        <v>1119</v>
      </c>
      <c r="E462" s="548" t="s">
        <v>2814</v>
      </c>
      <c r="F462" s="548" t="s">
        <v>2815</v>
      </c>
      <c r="G462" s="546" t="s">
        <v>2815</v>
      </c>
      <c r="H462" s="49" t="s">
        <v>1016</v>
      </c>
      <c r="I462" s="49" t="s">
        <v>991</v>
      </c>
      <c r="J462" t="s">
        <v>992</v>
      </c>
      <c r="K462" s="549">
        <v>4563</v>
      </c>
    </row>
    <row r="463" spans="1:11" ht="16.5" x14ac:dyDescent="0.3">
      <c r="A463">
        <f t="shared" si="7"/>
        <v>462</v>
      </c>
      <c r="B463" s="546" t="s">
        <v>2816</v>
      </c>
      <c r="C463" s="546" t="s">
        <v>2817</v>
      </c>
      <c r="D463" s="547" t="s">
        <v>1305</v>
      </c>
      <c r="E463" s="548" t="s">
        <v>2818</v>
      </c>
      <c r="F463" s="548" t="s">
        <v>2817</v>
      </c>
      <c r="G463" s="546" t="s">
        <v>2819</v>
      </c>
      <c r="H463" s="49" t="s">
        <v>990</v>
      </c>
      <c r="I463" s="49" t="s">
        <v>991</v>
      </c>
      <c r="J463" t="s">
        <v>1010</v>
      </c>
      <c r="K463" s="549">
        <v>43417</v>
      </c>
    </row>
    <row r="464" spans="1:11" ht="16.5" x14ac:dyDescent="0.3">
      <c r="A464">
        <f t="shared" si="7"/>
        <v>463</v>
      </c>
      <c r="B464" s="546" t="s">
        <v>2820</v>
      </c>
      <c r="C464" s="546" t="s">
        <v>2821</v>
      </c>
      <c r="D464" s="547" t="s">
        <v>1013</v>
      </c>
      <c r="E464" s="548" t="s">
        <v>2822</v>
      </c>
      <c r="F464" s="548" t="s">
        <v>2821</v>
      </c>
      <c r="G464" s="546" t="s">
        <v>2823</v>
      </c>
      <c r="H464" s="49" t="s">
        <v>990</v>
      </c>
      <c r="I464" s="49" t="s">
        <v>1004</v>
      </c>
      <c r="J464" t="s">
        <v>1048</v>
      </c>
      <c r="K464" s="549">
        <v>2378</v>
      </c>
    </row>
    <row r="465" spans="1:11" ht="16.5" x14ac:dyDescent="0.3">
      <c r="A465">
        <f t="shared" si="7"/>
        <v>464</v>
      </c>
      <c r="B465" s="546" t="s">
        <v>2824</v>
      </c>
      <c r="C465" s="546" t="s">
        <v>2825</v>
      </c>
      <c r="D465" s="547" t="s">
        <v>1348</v>
      </c>
      <c r="E465" s="548" t="s">
        <v>2826</v>
      </c>
      <c r="F465" s="548" t="s">
        <v>2825</v>
      </c>
      <c r="G465" s="546" t="s">
        <v>2827</v>
      </c>
      <c r="H465" s="49" t="s">
        <v>990</v>
      </c>
      <c r="I465" s="49" t="s">
        <v>1004</v>
      </c>
      <c r="J465" t="s">
        <v>1048</v>
      </c>
      <c r="K465" s="549">
        <v>3162</v>
      </c>
    </row>
    <row r="466" spans="1:11" ht="16.5" x14ac:dyDescent="0.3">
      <c r="A466">
        <f t="shared" si="7"/>
        <v>465</v>
      </c>
      <c r="B466" s="546" t="s">
        <v>2828</v>
      </c>
      <c r="C466" s="546" t="s">
        <v>2829</v>
      </c>
      <c r="D466" s="547" t="s">
        <v>1124</v>
      </c>
      <c r="E466" s="548" t="s">
        <v>2830</v>
      </c>
      <c r="F466" s="548" t="s">
        <v>2829</v>
      </c>
      <c r="G466" s="546" t="s">
        <v>2829</v>
      </c>
      <c r="H466" s="49" t="s">
        <v>990</v>
      </c>
      <c r="I466" s="49" t="s">
        <v>2831</v>
      </c>
      <c r="J466" t="s">
        <v>2832</v>
      </c>
      <c r="K466" s="549">
        <v>16198</v>
      </c>
    </row>
    <row r="467" spans="1:11" ht="16.5" x14ac:dyDescent="0.3">
      <c r="A467">
        <f t="shared" si="7"/>
        <v>466</v>
      </c>
      <c r="B467" s="546" t="s">
        <v>2833</v>
      </c>
      <c r="C467" s="546" t="s">
        <v>2834</v>
      </c>
      <c r="D467" s="547" t="s">
        <v>1305</v>
      </c>
      <c r="E467" s="548" t="s">
        <v>2835</v>
      </c>
      <c r="F467" s="548" t="s">
        <v>2836</v>
      </c>
      <c r="G467" s="546" t="s">
        <v>2836</v>
      </c>
      <c r="H467" s="49" t="s">
        <v>1016</v>
      </c>
      <c r="I467" s="49" t="s">
        <v>991</v>
      </c>
      <c r="J467" t="s">
        <v>992</v>
      </c>
      <c r="K467" s="549">
        <v>23385</v>
      </c>
    </row>
    <row r="468" spans="1:11" ht="16.5" x14ac:dyDescent="0.3">
      <c r="A468">
        <f t="shared" si="7"/>
        <v>467</v>
      </c>
      <c r="B468" s="546" t="s">
        <v>2837</v>
      </c>
      <c r="C468" s="546" t="s">
        <v>2838</v>
      </c>
      <c r="D468" s="547" t="s">
        <v>1305</v>
      </c>
      <c r="E468" s="548" t="s">
        <v>2839</v>
      </c>
      <c r="F468" s="548" t="s">
        <v>2840</v>
      </c>
      <c r="G468" s="546" t="s">
        <v>2840</v>
      </c>
      <c r="H468" s="49" t="s">
        <v>1016</v>
      </c>
      <c r="I468" s="49" t="s">
        <v>991</v>
      </c>
      <c r="J468" t="s">
        <v>992</v>
      </c>
      <c r="K468" s="549">
        <v>16008</v>
      </c>
    </row>
    <row r="469" spans="1:11" ht="16.5" x14ac:dyDescent="0.3">
      <c r="A469">
        <f t="shared" si="7"/>
        <v>468</v>
      </c>
      <c r="B469" s="546" t="s">
        <v>2841</v>
      </c>
      <c r="C469" s="546" t="s">
        <v>2842</v>
      </c>
      <c r="D469" s="547" t="s">
        <v>1084</v>
      </c>
      <c r="E469" s="548" t="s">
        <v>2843</v>
      </c>
      <c r="F469" s="548" t="s">
        <v>2844</v>
      </c>
      <c r="G469" s="546" t="s">
        <v>2844</v>
      </c>
      <c r="H469" s="49" t="s">
        <v>1016</v>
      </c>
      <c r="I469" s="49" t="s">
        <v>991</v>
      </c>
      <c r="J469" t="s">
        <v>992</v>
      </c>
      <c r="K469" s="549">
        <v>3684</v>
      </c>
    </row>
    <row r="470" spans="1:11" ht="16.5" x14ac:dyDescent="0.3">
      <c r="A470">
        <f t="shared" si="7"/>
        <v>469</v>
      </c>
      <c r="B470" s="546" t="s">
        <v>2845</v>
      </c>
      <c r="C470" s="546" t="s">
        <v>2846</v>
      </c>
      <c r="D470" s="547" t="s">
        <v>1097</v>
      </c>
      <c r="E470" s="548" t="s">
        <v>2847</v>
      </c>
      <c r="F470" s="548" t="s">
        <v>2846</v>
      </c>
      <c r="G470" s="546" t="s">
        <v>2848</v>
      </c>
      <c r="H470" s="49" t="s">
        <v>990</v>
      </c>
      <c r="I470" s="49" t="s">
        <v>1004</v>
      </c>
      <c r="J470" t="s">
        <v>1048</v>
      </c>
      <c r="K470" s="549">
        <v>10464</v>
      </c>
    </row>
    <row r="471" spans="1:11" ht="16.5" x14ac:dyDescent="0.3">
      <c r="A471">
        <f t="shared" si="7"/>
        <v>470</v>
      </c>
      <c r="B471" s="546" t="s">
        <v>2849</v>
      </c>
      <c r="C471" s="546" t="s">
        <v>2850</v>
      </c>
      <c r="D471" s="547" t="s">
        <v>1042</v>
      </c>
      <c r="E471" s="548" t="s">
        <v>2851</v>
      </c>
      <c r="F471" s="548" t="s">
        <v>2850</v>
      </c>
      <c r="G471" s="546" t="s">
        <v>2852</v>
      </c>
      <c r="H471" s="49" t="s">
        <v>990</v>
      </c>
      <c r="I471" s="49" t="s">
        <v>991</v>
      </c>
      <c r="J471" t="s">
        <v>1053</v>
      </c>
      <c r="K471" s="549">
        <v>19722</v>
      </c>
    </row>
    <row r="472" spans="1:11" ht="16.5" x14ac:dyDescent="0.3">
      <c r="A472">
        <f t="shared" si="7"/>
        <v>471</v>
      </c>
      <c r="B472" s="546" t="s">
        <v>2853</v>
      </c>
      <c r="C472" s="546" t="s">
        <v>2854</v>
      </c>
      <c r="D472" s="547" t="s">
        <v>1305</v>
      </c>
      <c r="E472" s="548" t="s">
        <v>2855</v>
      </c>
      <c r="F472" s="548" t="s">
        <v>2856</v>
      </c>
      <c r="G472" s="546" t="s">
        <v>2856</v>
      </c>
      <c r="H472" s="49" t="s">
        <v>1016</v>
      </c>
      <c r="I472" s="49" t="s">
        <v>991</v>
      </c>
      <c r="J472" t="s">
        <v>1077</v>
      </c>
      <c r="K472" s="549">
        <v>8257</v>
      </c>
    </row>
    <row r="473" spans="1:11" ht="16.5" x14ac:dyDescent="0.3">
      <c r="A473">
        <f t="shared" si="7"/>
        <v>472</v>
      </c>
      <c r="B473" s="546" t="s">
        <v>2857</v>
      </c>
      <c r="C473" s="546" t="s">
        <v>2858</v>
      </c>
      <c r="D473" s="547" t="s">
        <v>987</v>
      </c>
      <c r="E473" s="548" t="s">
        <v>2859</v>
      </c>
      <c r="F473" s="548" t="s">
        <v>2860</v>
      </c>
      <c r="G473" s="546" t="s">
        <v>2860</v>
      </c>
      <c r="H473" s="49" t="s">
        <v>1016</v>
      </c>
      <c r="I473" s="49" t="s">
        <v>991</v>
      </c>
      <c r="J473" t="s">
        <v>992</v>
      </c>
      <c r="K473" s="549">
        <v>2993</v>
      </c>
    </row>
    <row r="474" spans="1:11" ht="16.5" x14ac:dyDescent="0.3">
      <c r="A474">
        <f t="shared" si="7"/>
        <v>473</v>
      </c>
      <c r="B474" s="546" t="s">
        <v>2861</v>
      </c>
      <c r="C474" s="546" t="s">
        <v>2862</v>
      </c>
      <c r="D474" s="547" t="s">
        <v>987</v>
      </c>
      <c r="E474" s="548" t="s">
        <v>2863</v>
      </c>
      <c r="F474" s="548" t="s">
        <v>2864</v>
      </c>
      <c r="G474" s="546" t="s">
        <v>2864</v>
      </c>
      <c r="H474" s="49" t="s">
        <v>1016</v>
      </c>
      <c r="I474" s="49" t="s">
        <v>991</v>
      </c>
      <c r="J474" t="s">
        <v>992</v>
      </c>
      <c r="K474" s="549">
        <v>4713</v>
      </c>
    </row>
    <row r="475" spans="1:11" ht="16.5" x14ac:dyDescent="0.3">
      <c r="A475">
        <f t="shared" si="7"/>
        <v>474</v>
      </c>
      <c r="B475" s="546" t="s">
        <v>2865</v>
      </c>
      <c r="C475" s="546" t="s">
        <v>2866</v>
      </c>
      <c r="D475" s="547" t="s">
        <v>1097</v>
      </c>
      <c r="E475" s="548" t="s">
        <v>2867</v>
      </c>
      <c r="F475" s="548" t="s">
        <v>2866</v>
      </c>
      <c r="G475" s="546" t="s">
        <v>2868</v>
      </c>
      <c r="H475" s="49" t="s">
        <v>990</v>
      </c>
      <c r="I475" s="49" t="s">
        <v>991</v>
      </c>
      <c r="J475" t="s">
        <v>1053</v>
      </c>
      <c r="K475" s="549">
        <v>3414</v>
      </c>
    </row>
    <row r="476" spans="1:11" ht="16.5" x14ac:dyDescent="0.3">
      <c r="A476">
        <f t="shared" si="7"/>
        <v>475</v>
      </c>
      <c r="B476" s="546" t="s">
        <v>2869</v>
      </c>
      <c r="C476" s="546" t="s">
        <v>2866</v>
      </c>
      <c r="D476" s="547" t="s">
        <v>1146</v>
      </c>
      <c r="E476" s="548" t="s">
        <v>2870</v>
      </c>
      <c r="F476" s="548" t="s">
        <v>2866</v>
      </c>
      <c r="G476" s="546" t="s">
        <v>2868</v>
      </c>
      <c r="H476" s="49" t="s">
        <v>990</v>
      </c>
      <c r="I476" s="49" t="s">
        <v>1004</v>
      </c>
      <c r="J476" t="s">
        <v>1048</v>
      </c>
      <c r="K476" s="549">
        <v>15817</v>
      </c>
    </row>
    <row r="477" spans="1:11" ht="16.5" x14ac:dyDescent="0.3">
      <c r="A477">
        <f t="shared" si="7"/>
        <v>476</v>
      </c>
      <c r="B477" s="546" t="s">
        <v>2871</v>
      </c>
      <c r="C477" s="546" t="s">
        <v>2872</v>
      </c>
      <c r="D477" s="547" t="s">
        <v>1084</v>
      </c>
      <c r="E477" s="548" t="s">
        <v>2873</v>
      </c>
      <c r="F477" s="548" t="s">
        <v>2872</v>
      </c>
      <c r="G477" s="546" t="s">
        <v>2874</v>
      </c>
      <c r="H477" s="49" t="s">
        <v>990</v>
      </c>
      <c r="I477" s="49" t="s">
        <v>991</v>
      </c>
      <c r="J477" t="s">
        <v>992</v>
      </c>
      <c r="K477" s="549">
        <v>26535</v>
      </c>
    </row>
    <row r="478" spans="1:11" ht="16.5" x14ac:dyDescent="0.3">
      <c r="A478">
        <f t="shared" si="7"/>
        <v>477</v>
      </c>
      <c r="B478" s="546" t="s">
        <v>2875</v>
      </c>
      <c r="C478" s="546" t="s">
        <v>2876</v>
      </c>
      <c r="D478" s="547" t="s">
        <v>1042</v>
      </c>
      <c r="E478" s="548" t="s">
        <v>2877</v>
      </c>
      <c r="F478" s="548" t="s">
        <v>2878</v>
      </c>
      <c r="G478" s="546" t="s">
        <v>2878</v>
      </c>
      <c r="H478" s="49" t="s">
        <v>1016</v>
      </c>
      <c r="I478" s="49" t="s">
        <v>991</v>
      </c>
      <c r="J478" t="s">
        <v>992</v>
      </c>
      <c r="K478" s="549">
        <v>3610</v>
      </c>
    </row>
    <row r="479" spans="1:11" ht="16.5" x14ac:dyDescent="0.3">
      <c r="A479">
        <f t="shared" si="7"/>
        <v>478</v>
      </c>
      <c r="B479" s="546" t="s">
        <v>2879</v>
      </c>
      <c r="C479" s="546" t="s">
        <v>2880</v>
      </c>
      <c r="D479" s="547" t="s">
        <v>1042</v>
      </c>
      <c r="E479" s="548" t="s">
        <v>2881</v>
      </c>
      <c r="F479" s="548" t="s">
        <v>2880</v>
      </c>
      <c r="G479" s="546" t="s">
        <v>2882</v>
      </c>
      <c r="H479" s="49" t="s">
        <v>990</v>
      </c>
      <c r="I479" s="49" t="s">
        <v>1004</v>
      </c>
      <c r="J479" t="s">
        <v>1048</v>
      </c>
      <c r="K479" s="549">
        <v>4099</v>
      </c>
    </row>
    <row r="480" spans="1:11" ht="16.5" x14ac:dyDescent="0.3">
      <c r="A480">
        <f t="shared" si="7"/>
        <v>479</v>
      </c>
      <c r="B480" s="546" t="s">
        <v>2883</v>
      </c>
      <c r="C480" s="546" t="s">
        <v>2884</v>
      </c>
      <c r="D480" s="547" t="s">
        <v>1002</v>
      </c>
      <c r="E480" s="548" t="s">
        <v>2885</v>
      </c>
      <c r="F480" s="548" t="s">
        <v>2886</v>
      </c>
      <c r="G480" s="546" t="s">
        <v>2886</v>
      </c>
      <c r="H480" s="49" t="s">
        <v>1016</v>
      </c>
      <c r="I480" s="49" t="s">
        <v>991</v>
      </c>
      <c r="J480" t="s">
        <v>992</v>
      </c>
      <c r="K480" s="549">
        <v>538</v>
      </c>
    </row>
    <row r="481" spans="1:11" ht="16.5" x14ac:dyDescent="0.3">
      <c r="A481">
        <f t="shared" si="7"/>
        <v>480</v>
      </c>
      <c r="B481" s="546" t="s">
        <v>2887</v>
      </c>
      <c r="C481" s="546" t="s">
        <v>2888</v>
      </c>
      <c r="D481" s="547" t="s">
        <v>1074</v>
      </c>
      <c r="E481" s="548" t="s">
        <v>2889</v>
      </c>
      <c r="F481" s="548" t="s">
        <v>2890</v>
      </c>
      <c r="G481" s="546" t="s">
        <v>2890</v>
      </c>
      <c r="H481" s="49" t="s">
        <v>1016</v>
      </c>
      <c r="I481" s="49" t="s">
        <v>991</v>
      </c>
      <c r="J481" t="s">
        <v>992</v>
      </c>
      <c r="K481" s="549">
        <v>866</v>
      </c>
    </row>
    <row r="482" spans="1:11" ht="16.5" x14ac:dyDescent="0.3">
      <c r="A482">
        <f t="shared" si="7"/>
        <v>481</v>
      </c>
      <c r="B482" s="546" t="s">
        <v>2891</v>
      </c>
      <c r="C482" s="546" t="s">
        <v>2892</v>
      </c>
      <c r="D482" s="547" t="s">
        <v>1236</v>
      </c>
      <c r="E482" s="548" t="s">
        <v>2893</v>
      </c>
      <c r="F482" s="548" t="s">
        <v>2892</v>
      </c>
      <c r="G482" s="546" t="s">
        <v>2894</v>
      </c>
      <c r="H482" s="49" t="s">
        <v>990</v>
      </c>
      <c r="I482" s="49" t="s">
        <v>1004</v>
      </c>
      <c r="J482" t="s">
        <v>1005</v>
      </c>
      <c r="K482" s="549">
        <v>1431</v>
      </c>
    </row>
    <row r="483" spans="1:11" ht="16.5" x14ac:dyDescent="0.3">
      <c r="A483">
        <f t="shared" si="7"/>
        <v>482</v>
      </c>
      <c r="B483" s="546" t="s">
        <v>2895</v>
      </c>
      <c r="C483" s="546" t="s">
        <v>2896</v>
      </c>
      <c r="D483" s="547" t="s">
        <v>1065</v>
      </c>
      <c r="E483" s="548" t="s">
        <v>2897</v>
      </c>
      <c r="F483" s="548" t="s">
        <v>2898</v>
      </c>
      <c r="G483" s="546" t="s">
        <v>2898</v>
      </c>
      <c r="H483" s="49" t="s">
        <v>1016</v>
      </c>
      <c r="I483" s="49" t="s">
        <v>991</v>
      </c>
      <c r="J483" t="s">
        <v>992</v>
      </c>
      <c r="K483" s="549">
        <v>7040</v>
      </c>
    </row>
    <row r="484" spans="1:11" ht="16.5" x14ac:dyDescent="0.3">
      <c r="A484">
        <f t="shared" si="7"/>
        <v>483</v>
      </c>
      <c r="B484" s="546" t="s">
        <v>2899</v>
      </c>
      <c r="C484" s="546" t="s">
        <v>2900</v>
      </c>
      <c r="D484" s="547" t="s">
        <v>1146</v>
      </c>
      <c r="E484" s="548" t="s">
        <v>2901</v>
      </c>
      <c r="F484" s="548" t="s">
        <v>2902</v>
      </c>
      <c r="G484" s="546" t="s">
        <v>2902</v>
      </c>
      <c r="H484" s="49" t="s">
        <v>998</v>
      </c>
      <c r="I484" s="49" t="s">
        <v>991</v>
      </c>
      <c r="J484" t="s">
        <v>999</v>
      </c>
      <c r="K484" s="549">
        <v>21457</v>
      </c>
    </row>
    <row r="485" spans="1:11" ht="16.5" x14ac:dyDescent="0.3">
      <c r="A485">
        <f t="shared" si="7"/>
        <v>484</v>
      </c>
      <c r="B485" s="546" t="s">
        <v>2903</v>
      </c>
      <c r="C485" s="546" t="s">
        <v>2904</v>
      </c>
      <c r="D485" s="547" t="s">
        <v>1084</v>
      </c>
      <c r="E485" s="548" t="s">
        <v>2905</v>
      </c>
      <c r="F485" s="548" t="s">
        <v>2906</v>
      </c>
      <c r="G485" s="546" t="s">
        <v>2907</v>
      </c>
      <c r="H485" s="49" t="s">
        <v>1016</v>
      </c>
      <c r="I485" s="49" t="s">
        <v>991</v>
      </c>
      <c r="J485" t="s">
        <v>992</v>
      </c>
      <c r="K485" s="549">
        <v>1205</v>
      </c>
    </row>
    <row r="486" spans="1:11" ht="16.5" x14ac:dyDescent="0.3">
      <c r="A486">
        <f t="shared" si="7"/>
        <v>485</v>
      </c>
      <c r="B486" s="546" t="s">
        <v>2908</v>
      </c>
      <c r="C486" s="546" t="s">
        <v>2909</v>
      </c>
      <c r="D486" s="547" t="s">
        <v>1042</v>
      </c>
      <c r="E486" s="548" t="s">
        <v>2910</v>
      </c>
      <c r="F486" s="548" t="s">
        <v>1042</v>
      </c>
      <c r="G486" s="546" t="s">
        <v>1042</v>
      </c>
      <c r="H486" s="49" t="s">
        <v>1016</v>
      </c>
      <c r="I486" s="49" t="s">
        <v>991</v>
      </c>
      <c r="J486" t="s">
        <v>992</v>
      </c>
      <c r="K486" s="549">
        <v>2130</v>
      </c>
    </row>
    <row r="487" spans="1:11" ht="16.5" x14ac:dyDescent="0.3">
      <c r="A487">
        <f t="shared" si="7"/>
        <v>486</v>
      </c>
      <c r="B487" s="546" t="s">
        <v>2911</v>
      </c>
      <c r="C487" s="546" t="s">
        <v>2912</v>
      </c>
      <c r="D487" s="547" t="s">
        <v>1348</v>
      </c>
      <c r="E487" s="548" t="s">
        <v>2913</v>
      </c>
      <c r="F487" s="548" t="s">
        <v>2914</v>
      </c>
      <c r="G487" s="546" t="s">
        <v>2914</v>
      </c>
      <c r="H487" s="49" t="s">
        <v>1016</v>
      </c>
      <c r="I487" s="49" t="s">
        <v>991</v>
      </c>
      <c r="J487" t="s">
        <v>992</v>
      </c>
      <c r="K487" s="549">
        <v>2584</v>
      </c>
    </row>
    <row r="488" spans="1:11" ht="16.5" x14ac:dyDescent="0.3">
      <c r="A488">
        <f t="shared" si="7"/>
        <v>487</v>
      </c>
      <c r="B488" s="546" t="s">
        <v>2915</v>
      </c>
      <c r="C488" s="546" t="s">
        <v>2916</v>
      </c>
      <c r="D488" s="547" t="s">
        <v>1097</v>
      </c>
      <c r="E488" s="548" t="s">
        <v>2917</v>
      </c>
      <c r="F488" s="548" t="s">
        <v>2916</v>
      </c>
      <c r="G488" s="546" t="s">
        <v>2918</v>
      </c>
      <c r="H488" s="49" t="s">
        <v>990</v>
      </c>
      <c r="I488" s="49" t="s">
        <v>1004</v>
      </c>
      <c r="J488" t="s">
        <v>1048</v>
      </c>
      <c r="K488" s="549">
        <v>6949</v>
      </c>
    </row>
    <row r="489" spans="1:11" ht="16.5" x14ac:dyDescent="0.3">
      <c r="A489">
        <f t="shared" si="7"/>
        <v>488</v>
      </c>
      <c r="B489" s="546" t="s">
        <v>2919</v>
      </c>
      <c r="C489" s="546" t="s">
        <v>2920</v>
      </c>
      <c r="D489" s="547" t="s">
        <v>1065</v>
      </c>
      <c r="E489" s="548" t="s">
        <v>2921</v>
      </c>
      <c r="F489" s="548" t="s">
        <v>2922</v>
      </c>
      <c r="G489" s="546" t="s">
        <v>2922</v>
      </c>
      <c r="H489" s="49" t="s">
        <v>1016</v>
      </c>
      <c r="I489" s="49" t="s">
        <v>1021</v>
      </c>
      <c r="J489" t="s">
        <v>1022</v>
      </c>
      <c r="K489" s="549">
        <v>5</v>
      </c>
    </row>
    <row r="490" spans="1:11" ht="16.5" x14ac:dyDescent="0.3">
      <c r="A490">
        <f t="shared" si="7"/>
        <v>489</v>
      </c>
      <c r="B490" s="546" t="s">
        <v>2923</v>
      </c>
      <c r="C490" s="546" t="s">
        <v>2924</v>
      </c>
      <c r="D490" s="547" t="s">
        <v>1013</v>
      </c>
      <c r="E490" s="548" t="s">
        <v>2925</v>
      </c>
      <c r="F490" s="548" t="s">
        <v>2924</v>
      </c>
      <c r="G490" s="546" t="s">
        <v>2926</v>
      </c>
      <c r="H490" s="49" t="s">
        <v>990</v>
      </c>
      <c r="I490" s="49" t="s">
        <v>991</v>
      </c>
      <c r="J490" t="s">
        <v>1127</v>
      </c>
      <c r="K490" s="549">
        <v>39776</v>
      </c>
    </row>
    <row r="491" spans="1:11" ht="16.5" x14ac:dyDescent="0.3">
      <c r="A491">
        <f t="shared" si="7"/>
        <v>490</v>
      </c>
      <c r="B491" s="546" t="s">
        <v>2927</v>
      </c>
      <c r="C491" s="546" t="s">
        <v>2928</v>
      </c>
      <c r="D491" s="547" t="s">
        <v>1013</v>
      </c>
      <c r="E491" s="548" t="s">
        <v>2929</v>
      </c>
      <c r="F491" s="548" t="s">
        <v>2930</v>
      </c>
      <c r="G491" s="546" t="s">
        <v>2930</v>
      </c>
      <c r="H491" s="49" t="s">
        <v>1016</v>
      </c>
      <c r="I491" s="49" t="s">
        <v>991</v>
      </c>
      <c r="J491" t="s">
        <v>992</v>
      </c>
      <c r="K491" s="549">
        <v>14488</v>
      </c>
    </row>
    <row r="492" spans="1:11" ht="16.5" x14ac:dyDescent="0.3">
      <c r="A492">
        <f t="shared" si="7"/>
        <v>491</v>
      </c>
      <c r="B492" s="546" t="s">
        <v>2931</v>
      </c>
      <c r="C492" s="546" t="s">
        <v>2932</v>
      </c>
      <c r="D492" s="547" t="s">
        <v>1013</v>
      </c>
      <c r="E492" s="548" t="s">
        <v>2933</v>
      </c>
      <c r="F492" s="548" t="s">
        <v>2934</v>
      </c>
      <c r="G492" s="546" t="s">
        <v>2934</v>
      </c>
      <c r="H492" s="49" t="s">
        <v>1016</v>
      </c>
      <c r="I492" s="49" t="s">
        <v>991</v>
      </c>
      <c r="J492" t="s">
        <v>1053</v>
      </c>
      <c r="K492" s="549">
        <v>67</v>
      </c>
    </row>
    <row r="493" spans="1:11" ht="16.5" x14ac:dyDescent="0.3">
      <c r="A493">
        <f t="shared" si="7"/>
        <v>492</v>
      </c>
      <c r="B493" s="546" t="s">
        <v>2935</v>
      </c>
      <c r="C493" s="546" t="s">
        <v>2936</v>
      </c>
      <c r="D493" s="547" t="s">
        <v>1002</v>
      </c>
      <c r="E493" s="548" t="s">
        <v>2937</v>
      </c>
      <c r="F493" s="548" t="s">
        <v>2936</v>
      </c>
      <c r="G493" s="546" t="s">
        <v>2938</v>
      </c>
      <c r="H493" s="49" t="s">
        <v>990</v>
      </c>
      <c r="I493" s="49" t="s">
        <v>1004</v>
      </c>
      <c r="J493" t="s">
        <v>1048</v>
      </c>
      <c r="K493" s="549">
        <v>5993</v>
      </c>
    </row>
    <row r="494" spans="1:11" ht="16.5" x14ac:dyDescent="0.3">
      <c r="A494">
        <f t="shared" si="7"/>
        <v>493</v>
      </c>
      <c r="B494" s="546" t="s">
        <v>2939</v>
      </c>
      <c r="C494" s="546" t="s">
        <v>2940</v>
      </c>
      <c r="D494" s="547" t="s">
        <v>987</v>
      </c>
      <c r="E494" s="548" t="s">
        <v>2941</v>
      </c>
      <c r="F494" s="548" t="s">
        <v>2942</v>
      </c>
      <c r="G494" s="546" t="s">
        <v>2942</v>
      </c>
      <c r="H494" s="49" t="s">
        <v>1016</v>
      </c>
      <c r="I494" s="49" t="s">
        <v>991</v>
      </c>
      <c r="J494" t="s">
        <v>1077</v>
      </c>
      <c r="K494" s="549">
        <v>17892</v>
      </c>
    </row>
    <row r="495" spans="1:11" ht="16.5" x14ac:dyDescent="0.3">
      <c r="A495">
        <f t="shared" si="7"/>
        <v>494</v>
      </c>
      <c r="B495" s="546" t="s">
        <v>2943</v>
      </c>
      <c r="C495" s="546" t="s">
        <v>2944</v>
      </c>
      <c r="D495" s="547" t="s">
        <v>1084</v>
      </c>
      <c r="E495" s="548" t="s">
        <v>2945</v>
      </c>
      <c r="F495" s="548" t="s">
        <v>2944</v>
      </c>
      <c r="G495" s="546" t="s">
        <v>2946</v>
      </c>
      <c r="H495" s="49" t="s">
        <v>990</v>
      </c>
      <c r="I495" s="49" t="s">
        <v>991</v>
      </c>
      <c r="J495" t="s">
        <v>999</v>
      </c>
      <c r="K495" s="549">
        <v>91239</v>
      </c>
    </row>
    <row r="496" spans="1:11" ht="16.5" x14ac:dyDescent="0.3">
      <c r="A496">
        <f t="shared" si="7"/>
        <v>495</v>
      </c>
      <c r="B496" s="546" t="s">
        <v>2947</v>
      </c>
      <c r="C496" s="546" t="s">
        <v>2948</v>
      </c>
      <c r="D496" s="547" t="s">
        <v>1186</v>
      </c>
      <c r="E496" s="548" t="s">
        <v>2949</v>
      </c>
      <c r="F496" s="548" t="s">
        <v>2950</v>
      </c>
      <c r="G496" s="546" t="s">
        <v>2950</v>
      </c>
      <c r="H496" s="49" t="s">
        <v>1016</v>
      </c>
      <c r="I496" s="49" t="s">
        <v>991</v>
      </c>
      <c r="J496" t="s">
        <v>992</v>
      </c>
      <c r="K496" s="549">
        <v>10804</v>
      </c>
    </row>
    <row r="497" spans="1:11" ht="16.5" x14ac:dyDescent="0.3">
      <c r="A497">
        <f t="shared" si="7"/>
        <v>496</v>
      </c>
      <c r="B497" s="546" t="s">
        <v>2951</v>
      </c>
      <c r="C497" s="546" t="s">
        <v>2952</v>
      </c>
      <c r="D497" s="547" t="s">
        <v>1489</v>
      </c>
      <c r="E497" s="548" t="s">
        <v>2953</v>
      </c>
      <c r="F497" s="548" t="s">
        <v>2954</v>
      </c>
      <c r="G497" s="546" t="s">
        <v>2954</v>
      </c>
      <c r="H497" s="49" t="s">
        <v>998</v>
      </c>
      <c r="I497" s="49" t="s">
        <v>991</v>
      </c>
      <c r="J497" t="s">
        <v>999</v>
      </c>
      <c r="K497" s="549">
        <v>84913</v>
      </c>
    </row>
    <row r="498" spans="1:11" ht="16.5" x14ac:dyDescent="0.3">
      <c r="A498">
        <f t="shared" si="7"/>
        <v>497</v>
      </c>
      <c r="B498" s="546" t="s">
        <v>2955</v>
      </c>
      <c r="C498" s="546" t="s">
        <v>2956</v>
      </c>
      <c r="D498" s="547" t="s">
        <v>1084</v>
      </c>
      <c r="E498" s="548" t="s">
        <v>2957</v>
      </c>
      <c r="F498" s="548" t="s">
        <v>2958</v>
      </c>
      <c r="G498" s="546" t="s">
        <v>2958</v>
      </c>
      <c r="H498" s="49" t="s">
        <v>1016</v>
      </c>
      <c r="I498" s="49" t="s">
        <v>991</v>
      </c>
      <c r="J498" t="s">
        <v>992</v>
      </c>
      <c r="K498" s="549">
        <v>3347</v>
      </c>
    </row>
    <row r="499" spans="1:11" ht="16.5" x14ac:dyDescent="0.3">
      <c r="A499">
        <f t="shared" si="7"/>
        <v>498</v>
      </c>
      <c r="B499" s="546" t="s">
        <v>2959</v>
      </c>
      <c r="C499" s="546" t="s">
        <v>2960</v>
      </c>
      <c r="D499" s="547" t="s">
        <v>987</v>
      </c>
      <c r="E499" s="548" t="s">
        <v>2961</v>
      </c>
      <c r="F499" s="548" t="s">
        <v>2962</v>
      </c>
      <c r="G499" s="546" t="s">
        <v>2962</v>
      </c>
      <c r="H499" s="49" t="s">
        <v>1016</v>
      </c>
      <c r="I499" s="49" t="s">
        <v>991</v>
      </c>
      <c r="J499" t="s">
        <v>992</v>
      </c>
      <c r="K499" s="549">
        <v>6245</v>
      </c>
    </row>
    <row r="500" spans="1:11" ht="16.5" x14ac:dyDescent="0.3">
      <c r="A500">
        <f t="shared" si="7"/>
        <v>499</v>
      </c>
      <c r="B500" s="546" t="s">
        <v>2963</v>
      </c>
      <c r="C500" s="546" t="s">
        <v>2964</v>
      </c>
      <c r="D500" s="547" t="s">
        <v>1106</v>
      </c>
      <c r="E500" s="548" t="s">
        <v>2965</v>
      </c>
      <c r="F500" s="548" t="s">
        <v>2966</v>
      </c>
      <c r="G500" s="546" t="s">
        <v>2966</v>
      </c>
      <c r="H500" s="49" t="s">
        <v>998</v>
      </c>
      <c r="I500" s="49" t="s">
        <v>1021</v>
      </c>
      <c r="J500" t="s">
        <v>2101</v>
      </c>
      <c r="K500" s="549">
        <v>66455</v>
      </c>
    </row>
    <row r="501" spans="1:11" ht="16.5" x14ac:dyDescent="0.3">
      <c r="A501">
        <f t="shared" si="7"/>
        <v>500</v>
      </c>
      <c r="B501" s="546" t="s">
        <v>2967</v>
      </c>
      <c r="C501" s="546" t="s">
        <v>2968</v>
      </c>
      <c r="D501" s="547" t="s">
        <v>1002</v>
      </c>
      <c r="E501" s="548" t="s">
        <v>2969</v>
      </c>
      <c r="F501" s="548" t="s">
        <v>2968</v>
      </c>
      <c r="G501" s="546" t="s">
        <v>1146</v>
      </c>
      <c r="H501" s="49" t="s">
        <v>990</v>
      </c>
      <c r="I501" s="49" t="s">
        <v>1004</v>
      </c>
      <c r="J501" t="s">
        <v>1048</v>
      </c>
      <c r="K501" s="549">
        <v>5908</v>
      </c>
    </row>
    <row r="502" spans="1:11" ht="16.5" x14ac:dyDescent="0.3">
      <c r="A502">
        <f t="shared" si="7"/>
        <v>501</v>
      </c>
      <c r="B502" s="546" t="s">
        <v>2970</v>
      </c>
      <c r="C502" s="546" t="s">
        <v>2968</v>
      </c>
      <c r="D502" s="547" t="s">
        <v>1146</v>
      </c>
      <c r="E502" s="548" t="s">
        <v>2971</v>
      </c>
      <c r="F502" s="548" t="s">
        <v>2968</v>
      </c>
      <c r="G502" s="546" t="s">
        <v>1146</v>
      </c>
      <c r="H502" s="49" t="s">
        <v>990</v>
      </c>
      <c r="I502" s="49" t="s">
        <v>1004</v>
      </c>
      <c r="J502" t="s">
        <v>1048</v>
      </c>
      <c r="K502" s="549">
        <v>56642</v>
      </c>
    </row>
    <row r="503" spans="1:11" ht="16.5" x14ac:dyDescent="0.3">
      <c r="A503">
        <f t="shared" si="7"/>
        <v>502</v>
      </c>
      <c r="B503" s="546" t="s">
        <v>2972</v>
      </c>
      <c r="C503" s="546" t="s">
        <v>2973</v>
      </c>
      <c r="D503" s="547" t="s">
        <v>1236</v>
      </c>
      <c r="E503" s="548" t="s">
        <v>2974</v>
      </c>
      <c r="F503" s="548" t="s">
        <v>2973</v>
      </c>
      <c r="G503" s="546" t="s">
        <v>2975</v>
      </c>
      <c r="H503" s="49" t="s">
        <v>990</v>
      </c>
      <c r="I503" s="49" t="s">
        <v>1004</v>
      </c>
      <c r="J503" t="s">
        <v>1048</v>
      </c>
      <c r="K503" s="549">
        <v>7660</v>
      </c>
    </row>
    <row r="504" spans="1:11" ht="16.5" x14ac:dyDescent="0.3">
      <c r="A504">
        <f t="shared" si="7"/>
        <v>503</v>
      </c>
      <c r="B504" s="546" t="s">
        <v>2976</v>
      </c>
      <c r="C504" s="546" t="s">
        <v>2977</v>
      </c>
      <c r="D504" s="547" t="s">
        <v>987</v>
      </c>
      <c r="E504" s="548" t="s">
        <v>2978</v>
      </c>
      <c r="F504" s="548" t="s">
        <v>2977</v>
      </c>
      <c r="G504" s="546" t="s">
        <v>2979</v>
      </c>
      <c r="H504" s="49" t="s">
        <v>990</v>
      </c>
      <c r="I504" s="49" t="s">
        <v>1004</v>
      </c>
      <c r="J504" t="s">
        <v>1048</v>
      </c>
      <c r="K504" s="549">
        <v>6902</v>
      </c>
    </row>
    <row r="505" spans="1:11" ht="16.5" x14ac:dyDescent="0.3">
      <c r="A505">
        <f t="shared" si="7"/>
        <v>504</v>
      </c>
      <c r="B505" s="546" t="s">
        <v>2980</v>
      </c>
      <c r="C505" s="546" t="s">
        <v>2981</v>
      </c>
      <c r="D505" s="547" t="s">
        <v>1029</v>
      </c>
      <c r="E505" s="548" t="s">
        <v>2982</v>
      </c>
      <c r="F505" s="548" t="s">
        <v>2981</v>
      </c>
      <c r="G505" s="546" t="s">
        <v>2983</v>
      </c>
      <c r="H505" s="49" t="s">
        <v>990</v>
      </c>
      <c r="I505" s="49" t="s">
        <v>1004</v>
      </c>
      <c r="J505" t="s">
        <v>1048</v>
      </c>
      <c r="K505" s="549">
        <v>3505</v>
      </c>
    </row>
    <row r="506" spans="1:11" ht="16.5" x14ac:dyDescent="0.3">
      <c r="A506">
        <f t="shared" si="7"/>
        <v>505</v>
      </c>
      <c r="B506" s="546" t="s">
        <v>2984</v>
      </c>
      <c r="C506" s="546" t="s">
        <v>2985</v>
      </c>
      <c r="D506" s="547" t="s">
        <v>1013</v>
      </c>
      <c r="E506" s="548" t="s">
        <v>2986</v>
      </c>
      <c r="F506" s="548" t="s">
        <v>2987</v>
      </c>
      <c r="G506" s="546" t="s">
        <v>2987</v>
      </c>
      <c r="H506" s="49" t="s">
        <v>1016</v>
      </c>
      <c r="I506" s="49" t="s">
        <v>991</v>
      </c>
      <c r="J506" t="s">
        <v>992</v>
      </c>
      <c r="K506" s="549">
        <v>8208</v>
      </c>
    </row>
    <row r="507" spans="1:11" ht="16.5" x14ac:dyDescent="0.3">
      <c r="A507">
        <f t="shared" si="7"/>
        <v>506</v>
      </c>
      <c r="B507" s="546" t="s">
        <v>2988</v>
      </c>
      <c r="C507" s="546" t="s">
        <v>2989</v>
      </c>
      <c r="D507" s="547" t="s">
        <v>1074</v>
      </c>
      <c r="E507" s="548" t="s">
        <v>2990</v>
      </c>
      <c r="F507" s="548" t="s">
        <v>2989</v>
      </c>
      <c r="G507" s="546" t="s">
        <v>2991</v>
      </c>
      <c r="H507" s="49" t="s">
        <v>990</v>
      </c>
      <c r="I507" s="49" t="s">
        <v>1004</v>
      </c>
      <c r="J507" t="s">
        <v>1048</v>
      </c>
      <c r="K507" s="549">
        <v>12373</v>
      </c>
    </row>
    <row r="508" spans="1:11" ht="16.5" x14ac:dyDescent="0.3">
      <c r="A508">
        <f t="shared" si="7"/>
        <v>507</v>
      </c>
      <c r="B508" s="546" t="s">
        <v>2992</v>
      </c>
      <c r="C508" s="546" t="s">
        <v>2993</v>
      </c>
      <c r="D508" s="547" t="s">
        <v>995</v>
      </c>
      <c r="E508" s="548" t="s">
        <v>2994</v>
      </c>
      <c r="F508" s="548" t="s">
        <v>2993</v>
      </c>
      <c r="G508" s="546" t="s">
        <v>2993</v>
      </c>
      <c r="H508" s="49" t="s">
        <v>998</v>
      </c>
      <c r="I508" s="49" t="s">
        <v>1021</v>
      </c>
      <c r="J508" t="s">
        <v>1022</v>
      </c>
      <c r="K508" s="549">
        <v>10650</v>
      </c>
    </row>
    <row r="509" spans="1:11" ht="16.5" x14ac:dyDescent="0.3">
      <c r="A509">
        <f t="shared" si="7"/>
        <v>508</v>
      </c>
      <c r="B509" s="546" t="s">
        <v>2995</v>
      </c>
      <c r="C509" s="546" t="s">
        <v>2996</v>
      </c>
      <c r="D509" s="547" t="s">
        <v>1042</v>
      </c>
      <c r="E509" s="548" t="s">
        <v>2997</v>
      </c>
      <c r="F509" s="548" t="s">
        <v>2996</v>
      </c>
      <c r="G509" s="546" t="s">
        <v>2998</v>
      </c>
      <c r="H509" s="49" t="s">
        <v>990</v>
      </c>
      <c r="I509" s="49" t="s">
        <v>991</v>
      </c>
      <c r="J509" t="s">
        <v>1053</v>
      </c>
      <c r="K509" s="549">
        <v>23943</v>
      </c>
    </row>
    <row r="510" spans="1:11" ht="16.5" x14ac:dyDescent="0.3">
      <c r="A510">
        <f t="shared" si="7"/>
        <v>509</v>
      </c>
      <c r="B510" s="546" t="s">
        <v>2999</v>
      </c>
      <c r="C510" s="546" t="s">
        <v>3000</v>
      </c>
      <c r="D510" s="547" t="s">
        <v>1124</v>
      </c>
      <c r="E510" s="548" t="s">
        <v>3001</v>
      </c>
      <c r="F510" s="548" t="s">
        <v>3000</v>
      </c>
      <c r="G510" s="546" t="s">
        <v>3002</v>
      </c>
      <c r="H510" s="49" t="s">
        <v>990</v>
      </c>
      <c r="I510" s="49" t="s">
        <v>991</v>
      </c>
      <c r="J510" t="s">
        <v>1053</v>
      </c>
      <c r="K510" s="549">
        <v>13332</v>
      </c>
    </row>
    <row r="511" spans="1:11" ht="16.5" x14ac:dyDescent="0.3">
      <c r="A511">
        <f t="shared" si="7"/>
        <v>510</v>
      </c>
      <c r="B511" s="546" t="s">
        <v>3003</v>
      </c>
      <c r="C511" s="546" t="s">
        <v>3004</v>
      </c>
      <c r="D511" s="547" t="s">
        <v>1199</v>
      </c>
      <c r="E511" s="548" t="s">
        <v>3005</v>
      </c>
      <c r="F511" s="548" t="s">
        <v>3006</v>
      </c>
      <c r="G511" s="546" t="s">
        <v>3006</v>
      </c>
      <c r="H511" s="49" t="s">
        <v>1016</v>
      </c>
      <c r="I511" s="49" t="s">
        <v>991</v>
      </c>
      <c r="J511" t="s">
        <v>992</v>
      </c>
      <c r="K511" s="549">
        <v>1520</v>
      </c>
    </row>
    <row r="512" spans="1:11" ht="16.5" x14ac:dyDescent="0.3">
      <c r="A512">
        <f t="shared" si="7"/>
        <v>511</v>
      </c>
      <c r="B512" s="546" t="s">
        <v>3007</v>
      </c>
      <c r="C512" s="546" t="s">
        <v>3008</v>
      </c>
      <c r="D512" s="547" t="s">
        <v>1236</v>
      </c>
      <c r="E512" s="548" t="s">
        <v>3009</v>
      </c>
      <c r="F512" s="548" t="s">
        <v>3010</v>
      </c>
      <c r="G512" s="546" t="s">
        <v>3010</v>
      </c>
      <c r="H512" s="49" t="s">
        <v>998</v>
      </c>
      <c r="I512" s="49" t="s">
        <v>991</v>
      </c>
      <c r="J512" t="s">
        <v>1077</v>
      </c>
      <c r="K512" s="549">
        <v>60724</v>
      </c>
    </row>
    <row r="513" spans="1:11" ht="16.5" x14ac:dyDescent="0.3">
      <c r="A513">
        <f t="shared" si="7"/>
        <v>512</v>
      </c>
      <c r="B513" s="546" t="s">
        <v>3011</v>
      </c>
      <c r="C513" s="546" t="s">
        <v>3012</v>
      </c>
      <c r="D513" s="547" t="s">
        <v>1065</v>
      </c>
      <c r="E513" s="548" t="s">
        <v>3013</v>
      </c>
      <c r="F513" s="548" t="s">
        <v>3012</v>
      </c>
      <c r="G513" s="546" t="s">
        <v>3014</v>
      </c>
      <c r="H513" s="49" t="s">
        <v>990</v>
      </c>
      <c r="I513" s="49" t="s">
        <v>1004</v>
      </c>
      <c r="J513" t="s">
        <v>1048</v>
      </c>
      <c r="K513" s="549">
        <v>29131</v>
      </c>
    </row>
    <row r="514" spans="1:11" ht="16.5" x14ac:dyDescent="0.3">
      <c r="A514">
        <f t="shared" si="7"/>
        <v>513</v>
      </c>
      <c r="B514" s="546" t="s">
        <v>3015</v>
      </c>
      <c r="C514" s="546" t="s">
        <v>3016</v>
      </c>
      <c r="D514" s="547" t="s">
        <v>1013</v>
      </c>
      <c r="E514" s="548" t="s">
        <v>3017</v>
      </c>
      <c r="F514" s="548" t="s">
        <v>3018</v>
      </c>
      <c r="G514" s="546" t="s">
        <v>3018</v>
      </c>
      <c r="H514" s="49" t="s">
        <v>1016</v>
      </c>
      <c r="I514" s="49" t="s">
        <v>991</v>
      </c>
      <c r="J514" t="s">
        <v>992</v>
      </c>
      <c r="K514" s="549">
        <v>9625</v>
      </c>
    </row>
    <row r="515" spans="1:11" ht="16.5" x14ac:dyDescent="0.3">
      <c r="A515">
        <f t="shared" si="7"/>
        <v>514</v>
      </c>
      <c r="B515" s="546" t="s">
        <v>3019</v>
      </c>
      <c r="C515" s="546" t="s">
        <v>3020</v>
      </c>
      <c r="D515" s="547" t="s">
        <v>987</v>
      </c>
      <c r="E515" s="548" t="s">
        <v>3021</v>
      </c>
      <c r="F515" s="548" t="s">
        <v>3020</v>
      </c>
      <c r="G515" s="546" t="s">
        <v>3022</v>
      </c>
      <c r="H515" s="49" t="s">
        <v>990</v>
      </c>
      <c r="I515" s="49" t="s">
        <v>1004</v>
      </c>
      <c r="J515" t="s">
        <v>1048</v>
      </c>
      <c r="K515" s="549">
        <v>26164</v>
      </c>
    </row>
    <row r="516" spans="1:11" ht="16.5" x14ac:dyDescent="0.3">
      <c r="A516">
        <f t="shared" ref="A516:A566" si="8">A515+1</f>
        <v>515</v>
      </c>
      <c r="B516" s="546" t="s">
        <v>3023</v>
      </c>
      <c r="C516" s="546" t="s">
        <v>3024</v>
      </c>
      <c r="D516" s="547" t="s">
        <v>1013</v>
      </c>
      <c r="E516" s="548" t="s">
        <v>3025</v>
      </c>
      <c r="F516" s="548" t="s">
        <v>3026</v>
      </c>
      <c r="G516" s="546" t="s">
        <v>3026</v>
      </c>
      <c r="H516" s="49" t="s">
        <v>1016</v>
      </c>
      <c r="I516" s="49" t="s">
        <v>991</v>
      </c>
      <c r="J516" t="s">
        <v>992</v>
      </c>
      <c r="K516" s="549">
        <v>11335</v>
      </c>
    </row>
    <row r="517" spans="1:11" ht="16.5" x14ac:dyDescent="0.3">
      <c r="A517">
        <f t="shared" si="8"/>
        <v>516</v>
      </c>
      <c r="B517" s="546" t="s">
        <v>3027</v>
      </c>
      <c r="C517" s="546" t="s">
        <v>3028</v>
      </c>
      <c r="D517" s="547" t="s">
        <v>1042</v>
      </c>
      <c r="E517" s="548" t="s">
        <v>3029</v>
      </c>
      <c r="F517" s="548" t="s">
        <v>3028</v>
      </c>
      <c r="G517" s="546" t="s">
        <v>3030</v>
      </c>
      <c r="H517" s="49" t="s">
        <v>990</v>
      </c>
      <c r="I517" s="49" t="s">
        <v>1004</v>
      </c>
      <c r="J517" t="s">
        <v>1005</v>
      </c>
      <c r="K517" s="549">
        <v>16</v>
      </c>
    </row>
    <row r="518" spans="1:11" ht="16.5" x14ac:dyDescent="0.3">
      <c r="A518">
        <f t="shared" si="8"/>
        <v>517</v>
      </c>
      <c r="B518" s="546" t="s">
        <v>3031</v>
      </c>
      <c r="C518" s="546" t="s">
        <v>3032</v>
      </c>
      <c r="D518" s="547" t="s">
        <v>1186</v>
      </c>
      <c r="E518" s="548" t="s">
        <v>3033</v>
      </c>
      <c r="F518" s="548" t="s">
        <v>3034</v>
      </c>
      <c r="G518" s="546" t="s">
        <v>3034</v>
      </c>
      <c r="H518" s="49" t="s">
        <v>1016</v>
      </c>
      <c r="I518" s="49" t="s">
        <v>991</v>
      </c>
      <c r="J518" t="s">
        <v>992</v>
      </c>
      <c r="K518" s="549">
        <v>11116</v>
      </c>
    </row>
    <row r="519" spans="1:11" ht="16.5" x14ac:dyDescent="0.3">
      <c r="A519">
        <f t="shared" si="8"/>
        <v>518</v>
      </c>
      <c r="B519" s="546" t="s">
        <v>3035</v>
      </c>
      <c r="C519" s="546" t="s">
        <v>3036</v>
      </c>
      <c r="D519" s="547" t="s">
        <v>1042</v>
      </c>
      <c r="E519" s="548" t="s">
        <v>3037</v>
      </c>
      <c r="F519" s="548" t="s">
        <v>3036</v>
      </c>
      <c r="G519" s="546" t="s">
        <v>3038</v>
      </c>
      <c r="H519" s="49" t="s">
        <v>990</v>
      </c>
      <c r="I519" s="49" t="s">
        <v>1004</v>
      </c>
      <c r="J519" t="s">
        <v>1005</v>
      </c>
      <c r="K519" s="549">
        <v>11358</v>
      </c>
    </row>
    <row r="520" spans="1:11" ht="16.5" x14ac:dyDescent="0.3">
      <c r="A520">
        <f t="shared" si="8"/>
        <v>519</v>
      </c>
      <c r="B520" s="546" t="s">
        <v>3039</v>
      </c>
      <c r="C520" s="546" t="s">
        <v>3040</v>
      </c>
      <c r="D520" s="547" t="s">
        <v>1119</v>
      </c>
      <c r="E520" s="548" t="s">
        <v>3041</v>
      </c>
      <c r="F520" s="548" t="s">
        <v>3040</v>
      </c>
      <c r="G520" s="546" t="s">
        <v>1008</v>
      </c>
      <c r="H520" s="49" t="s">
        <v>990</v>
      </c>
      <c r="I520" s="49" t="s">
        <v>1004</v>
      </c>
      <c r="J520" t="s">
        <v>1048</v>
      </c>
      <c r="K520" s="549">
        <v>15311</v>
      </c>
    </row>
    <row r="521" spans="1:11" ht="16.5" x14ac:dyDescent="0.3">
      <c r="A521">
        <f t="shared" si="8"/>
        <v>520</v>
      </c>
      <c r="B521" s="546" t="s">
        <v>3042</v>
      </c>
      <c r="C521" s="546" t="s">
        <v>3043</v>
      </c>
      <c r="D521" s="547" t="s">
        <v>1008</v>
      </c>
      <c r="E521" s="548" t="s">
        <v>3044</v>
      </c>
      <c r="F521" s="548" t="s">
        <v>3045</v>
      </c>
      <c r="G521" s="546" t="s">
        <v>3045</v>
      </c>
      <c r="H521" s="49" t="s">
        <v>1016</v>
      </c>
      <c r="I521" s="49" t="s">
        <v>991</v>
      </c>
      <c r="J521" t="s">
        <v>992</v>
      </c>
      <c r="K521" s="549">
        <v>6461</v>
      </c>
    </row>
    <row r="522" spans="1:11" ht="16.5" x14ac:dyDescent="0.3">
      <c r="A522">
        <f t="shared" si="8"/>
        <v>521</v>
      </c>
      <c r="B522" s="546" t="s">
        <v>3046</v>
      </c>
      <c r="C522" s="546" t="s">
        <v>3047</v>
      </c>
      <c r="D522" s="547" t="s">
        <v>1013</v>
      </c>
      <c r="E522" s="548" t="s">
        <v>3048</v>
      </c>
      <c r="F522" s="548" t="s">
        <v>3047</v>
      </c>
      <c r="G522" s="546" t="s">
        <v>3045</v>
      </c>
      <c r="H522" s="49" t="s">
        <v>990</v>
      </c>
      <c r="I522" s="49" t="s">
        <v>991</v>
      </c>
      <c r="J522" t="s">
        <v>1077</v>
      </c>
      <c r="K522" s="549">
        <v>9102</v>
      </c>
    </row>
    <row r="523" spans="1:11" ht="16.5" x14ac:dyDescent="0.3">
      <c r="A523">
        <f t="shared" si="8"/>
        <v>522</v>
      </c>
      <c r="B523" s="546" t="s">
        <v>3049</v>
      </c>
      <c r="C523" s="546" t="s">
        <v>3047</v>
      </c>
      <c r="D523" s="547" t="s">
        <v>1097</v>
      </c>
      <c r="E523" s="548" t="s">
        <v>3050</v>
      </c>
      <c r="F523" s="548" t="s">
        <v>3047</v>
      </c>
      <c r="G523" s="546" t="s">
        <v>3045</v>
      </c>
      <c r="H523" s="49" t="s">
        <v>990</v>
      </c>
      <c r="I523" s="49" t="s">
        <v>1004</v>
      </c>
      <c r="J523" t="s">
        <v>1005</v>
      </c>
      <c r="K523" s="549">
        <v>687</v>
      </c>
    </row>
    <row r="524" spans="1:11" ht="16.5" x14ac:dyDescent="0.3">
      <c r="A524">
        <f t="shared" si="8"/>
        <v>523</v>
      </c>
      <c r="B524" s="546" t="s">
        <v>3051</v>
      </c>
      <c r="C524" s="546" t="s">
        <v>3047</v>
      </c>
      <c r="D524" s="547" t="s">
        <v>1348</v>
      </c>
      <c r="E524" s="548" t="s">
        <v>3052</v>
      </c>
      <c r="F524" s="548" t="s">
        <v>3047</v>
      </c>
      <c r="G524" s="546" t="s">
        <v>3045</v>
      </c>
      <c r="H524" s="49" t="s">
        <v>990</v>
      </c>
      <c r="I524" s="49" t="s">
        <v>991</v>
      </c>
      <c r="J524" t="s">
        <v>1077</v>
      </c>
      <c r="K524" s="549">
        <v>48559</v>
      </c>
    </row>
    <row r="525" spans="1:11" ht="16.5" x14ac:dyDescent="0.3">
      <c r="A525">
        <f t="shared" si="8"/>
        <v>524</v>
      </c>
      <c r="B525" s="546" t="s">
        <v>3053</v>
      </c>
      <c r="C525" s="546" t="s">
        <v>3047</v>
      </c>
      <c r="D525" s="547" t="s">
        <v>1199</v>
      </c>
      <c r="E525" s="548" t="s">
        <v>3054</v>
      </c>
      <c r="F525" s="548" t="s">
        <v>3047</v>
      </c>
      <c r="G525" s="546" t="s">
        <v>3045</v>
      </c>
      <c r="H525" s="49" t="s">
        <v>990</v>
      </c>
      <c r="I525" s="49" t="s">
        <v>1004</v>
      </c>
      <c r="J525" t="s">
        <v>1048</v>
      </c>
      <c r="K525" s="549">
        <v>18533</v>
      </c>
    </row>
    <row r="526" spans="1:11" ht="16.5" x14ac:dyDescent="0.3">
      <c r="A526">
        <f t="shared" si="8"/>
        <v>525</v>
      </c>
      <c r="B526" s="546" t="s">
        <v>3055</v>
      </c>
      <c r="C526" s="546" t="s">
        <v>3047</v>
      </c>
      <c r="D526" s="547" t="s">
        <v>1008</v>
      </c>
      <c r="E526" s="548" t="s">
        <v>3056</v>
      </c>
      <c r="F526" s="548" t="s">
        <v>3047</v>
      </c>
      <c r="G526" s="546" t="s">
        <v>3045</v>
      </c>
      <c r="H526" s="49" t="s">
        <v>990</v>
      </c>
      <c r="I526" s="49" t="s">
        <v>1004</v>
      </c>
      <c r="J526" t="s">
        <v>1048</v>
      </c>
      <c r="K526" s="549">
        <v>6651</v>
      </c>
    </row>
    <row r="527" spans="1:11" ht="16.5" x14ac:dyDescent="0.3">
      <c r="A527">
        <f t="shared" si="8"/>
        <v>526</v>
      </c>
      <c r="B527" s="546" t="s">
        <v>3057</v>
      </c>
      <c r="C527" s="546" t="s">
        <v>3058</v>
      </c>
      <c r="D527" s="547" t="s">
        <v>1119</v>
      </c>
      <c r="E527" s="548" t="s">
        <v>3059</v>
      </c>
      <c r="F527" s="548" t="s">
        <v>3060</v>
      </c>
      <c r="G527" s="546" t="s">
        <v>3060</v>
      </c>
      <c r="H527" s="49" t="s">
        <v>1016</v>
      </c>
      <c r="I527" s="49" t="s">
        <v>991</v>
      </c>
      <c r="J527" t="s">
        <v>992</v>
      </c>
      <c r="K527" s="549">
        <v>5801</v>
      </c>
    </row>
    <row r="528" spans="1:11" ht="16.5" x14ac:dyDescent="0.3">
      <c r="A528">
        <f t="shared" si="8"/>
        <v>527</v>
      </c>
      <c r="B528" s="546" t="s">
        <v>3061</v>
      </c>
      <c r="C528" s="546" t="s">
        <v>3062</v>
      </c>
      <c r="D528" s="547" t="s">
        <v>1065</v>
      </c>
      <c r="E528" s="548" t="s">
        <v>3063</v>
      </c>
      <c r="F528" s="548" t="s">
        <v>3062</v>
      </c>
      <c r="G528" s="546" t="s">
        <v>3064</v>
      </c>
      <c r="H528" s="49" t="s">
        <v>990</v>
      </c>
      <c r="I528" s="49" t="s">
        <v>1004</v>
      </c>
      <c r="J528" t="s">
        <v>1048</v>
      </c>
      <c r="K528" s="549">
        <v>10649</v>
      </c>
    </row>
    <row r="529" spans="1:11" ht="16.5" x14ac:dyDescent="0.3">
      <c r="A529">
        <f t="shared" si="8"/>
        <v>528</v>
      </c>
      <c r="B529" s="546" t="s">
        <v>3065</v>
      </c>
      <c r="C529" s="546" t="s">
        <v>3066</v>
      </c>
      <c r="D529" s="547" t="s">
        <v>1186</v>
      </c>
      <c r="E529" s="548" t="s">
        <v>3067</v>
      </c>
      <c r="F529" s="548" t="s">
        <v>3066</v>
      </c>
      <c r="G529" s="546" t="s">
        <v>3068</v>
      </c>
      <c r="H529" s="49" t="s">
        <v>990</v>
      </c>
      <c r="I529" s="49" t="s">
        <v>991</v>
      </c>
      <c r="J529" t="s">
        <v>1058</v>
      </c>
      <c r="K529" s="549">
        <v>54717</v>
      </c>
    </row>
    <row r="530" spans="1:11" ht="16.5" x14ac:dyDescent="0.3">
      <c r="A530">
        <f t="shared" si="8"/>
        <v>529</v>
      </c>
      <c r="B530" s="546" t="s">
        <v>3069</v>
      </c>
      <c r="C530" s="546" t="s">
        <v>3070</v>
      </c>
      <c r="D530" s="547" t="s">
        <v>1106</v>
      </c>
      <c r="E530" s="548" t="s">
        <v>3071</v>
      </c>
      <c r="F530" s="548" t="s">
        <v>3070</v>
      </c>
      <c r="G530" s="546" t="s">
        <v>3072</v>
      </c>
      <c r="H530" s="49" t="s">
        <v>990</v>
      </c>
      <c r="I530" s="49" t="s">
        <v>991</v>
      </c>
      <c r="J530" t="s">
        <v>1053</v>
      </c>
      <c r="K530" s="549">
        <v>12554</v>
      </c>
    </row>
    <row r="531" spans="1:11" ht="16.5" x14ac:dyDescent="0.3">
      <c r="A531">
        <f t="shared" si="8"/>
        <v>530</v>
      </c>
      <c r="B531" s="546" t="s">
        <v>3073</v>
      </c>
      <c r="C531" s="546" t="s">
        <v>3074</v>
      </c>
      <c r="D531" s="547" t="s">
        <v>1348</v>
      </c>
      <c r="E531" s="548" t="s">
        <v>3075</v>
      </c>
      <c r="F531" s="548" t="s">
        <v>3076</v>
      </c>
      <c r="G531" s="546" t="s">
        <v>3076</v>
      </c>
      <c r="H531" s="49" t="s">
        <v>1016</v>
      </c>
      <c r="I531" s="49" t="s">
        <v>991</v>
      </c>
      <c r="J531" t="s">
        <v>992</v>
      </c>
      <c r="K531" s="549">
        <v>2278</v>
      </c>
    </row>
    <row r="532" spans="1:11" ht="16.5" x14ac:dyDescent="0.3">
      <c r="A532">
        <f t="shared" si="8"/>
        <v>531</v>
      </c>
      <c r="B532" s="546" t="s">
        <v>3077</v>
      </c>
      <c r="C532" s="546" t="s">
        <v>3078</v>
      </c>
      <c r="D532" s="547" t="s">
        <v>1002</v>
      </c>
      <c r="E532" s="548" t="s">
        <v>3079</v>
      </c>
      <c r="F532" s="548" t="s">
        <v>3078</v>
      </c>
      <c r="G532" s="546" t="s">
        <v>3080</v>
      </c>
      <c r="H532" s="49" t="s">
        <v>990</v>
      </c>
      <c r="I532" s="49" t="s">
        <v>1004</v>
      </c>
      <c r="J532" t="s">
        <v>1005</v>
      </c>
      <c r="K532" s="549">
        <v>3840</v>
      </c>
    </row>
    <row r="533" spans="1:11" ht="16.5" x14ac:dyDescent="0.3">
      <c r="A533">
        <f t="shared" si="8"/>
        <v>532</v>
      </c>
      <c r="B533" s="546" t="s">
        <v>3081</v>
      </c>
      <c r="C533" s="546" t="s">
        <v>3082</v>
      </c>
      <c r="D533" s="547" t="s">
        <v>1124</v>
      </c>
      <c r="E533" s="548" t="s">
        <v>3083</v>
      </c>
      <c r="F533" s="548" t="s">
        <v>3082</v>
      </c>
      <c r="G533" s="546" t="s">
        <v>3084</v>
      </c>
      <c r="H533" s="49" t="s">
        <v>990</v>
      </c>
      <c r="I533" s="49" t="s">
        <v>991</v>
      </c>
      <c r="J533" t="s">
        <v>992</v>
      </c>
      <c r="K533" s="549">
        <v>10759</v>
      </c>
    </row>
    <row r="534" spans="1:11" ht="16.5" x14ac:dyDescent="0.3">
      <c r="A534">
        <f t="shared" si="8"/>
        <v>533</v>
      </c>
      <c r="B534" s="546" t="s">
        <v>3085</v>
      </c>
      <c r="C534" s="546" t="s">
        <v>3086</v>
      </c>
      <c r="D534" s="547" t="s">
        <v>1074</v>
      </c>
      <c r="E534" s="548" t="s">
        <v>3087</v>
      </c>
      <c r="F534" s="548" t="s">
        <v>3088</v>
      </c>
      <c r="G534" s="546" t="s">
        <v>3088</v>
      </c>
      <c r="H534" s="49" t="s">
        <v>1016</v>
      </c>
      <c r="I534" s="49" t="s">
        <v>1021</v>
      </c>
      <c r="J534" t="s">
        <v>1022</v>
      </c>
      <c r="K534" s="549">
        <v>1024</v>
      </c>
    </row>
    <row r="535" spans="1:11" ht="16.5" x14ac:dyDescent="0.3">
      <c r="A535">
        <f t="shared" si="8"/>
        <v>534</v>
      </c>
      <c r="B535" s="546" t="s">
        <v>3089</v>
      </c>
      <c r="C535" s="546" t="s">
        <v>3090</v>
      </c>
      <c r="D535" s="547" t="s">
        <v>1348</v>
      </c>
      <c r="E535" s="548" t="s">
        <v>3091</v>
      </c>
      <c r="F535" s="548" t="s">
        <v>3090</v>
      </c>
      <c r="G535" s="546" t="s">
        <v>3092</v>
      </c>
      <c r="H535" s="49" t="s">
        <v>990</v>
      </c>
      <c r="I535" s="49" t="s">
        <v>1004</v>
      </c>
      <c r="J535" t="s">
        <v>1048</v>
      </c>
      <c r="K535" s="549">
        <v>21677</v>
      </c>
    </row>
    <row r="536" spans="1:11" ht="16.5" x14ac:dyDescent="0.3">
      <c r="A536">
        <f t="shared" si="8"/>
        <v>535</v>
      </c>
      <c r="B536" s="546" t="s">
        <v>3093</v>
      </c>
      <c r="C536" s="546" t="s">
        <v>3094</v>
      </c>
      <c r="D536" s="547" t="s">
        <v>987</v>
      </c>
      <c r="E536" s="548" t="s">
        <v>3095</v>
      </c>
      <c r="F536" s="548" t="s">
        <v>3096</v>
      </c>
      <c r="G536" s="546" t="s">
        <v>3096</v>
      </c>
      <c r="H536" s="49" t="s">
        <v>1016</v>
      </c>
      <c r="I536" s="49" t="s">
        <v>991</v>
      </c>
      <c r="J536" t="s">
        <v>992</v>
      </c>
      <c r="K536" s="549">
        <v>8097</v>
      </c>
    </row>
    <row r="537" spans="1:11" ht="16.5" x14ac:dyDescent="0.3">
      <c r="A537">
        <f t="shared" si="8"/>
        <v>536</v>
      </c>
      <c r="B537" s="546" t="s">
        <v>3097</v>
      </c>
      <c r="C537" s="546" t="s">
        <v>3098</v>
      </c>
      <c r="D537" s="547" t="s">
        <v>1186</v>
      </c>
      <c r="E537" s="548" t="s">
        <v>3099</v>
      </c>
      <c r="F537" s="548" t="s">
        <v>3098</v>
      </c>
      <c r="G537" s="546" t="s">
        <v>3100</v>
      </c>
      <c r="H537" s="49" t="s">
        <v>990</v>
      </c>
      <c r="I537" s="49" t="s">
        <v>991</v>
      </c>
      <c r="J537" t="s">
        <v>992</v>
      </c>
      <c r="K537" s="549">
        <v>25850</v>
      </c>
    </row>
    <row r="538" spans="1:11" ht="16.5" x14ac:dyDescent="0.3">
      <c r="A538">
        <f t="shared" si="8"/>
        <v>537</v>
      </c>
      <c r="B538" s="546" t="s">
        <v>3101</v>
      </c>
      <c r="C538" s="546" t="s">
        <v>3102</v>
      </c>
      <c r="D538" s="547" t="s">
        <v>1106</v>
      </c>
      <c r="E538" s="548" t="s">
        <v>3103</v>
      </c>
      <c r="F538" s="548" t="s">
        <v>3104</v>
      </c>
      <c r="G538" s="546" t="s">
        <v>3104</v>
      </c>
      <c r="H538" s="49" t="s">
        <v>978</v>
      </c>
      <c r="I538" s="49" t="s">
        <v>1021</v>
      </c>
      <c r="J538" t="s">
        <v>2101</v>
      </c>
      <c r="K538" s="549">
        <v>49708</v>
      </c>
    </row>
    <row r="539" spans="1:11" ht="16.5" x14ac:dyDescent="0.3">
      <c r="A539">
        <f t="shared" si="8"/>
        <v>538</v>
      </c>
      <c r="B539" s="546" t="s">
        <v>3105</v>
      </c>
      <c r="C539" s="546" t="s">
        <v>3106</v>
      </c>
      <c r="D539" s="547" t="s">
        <v>1124</v>
      </c>
      <c r="E539" s="548" t="s">
        <v>3107</v>
      </c>
      <c r="F539" s="548" t="s">
        <v>3106</v>
      </c>
      <c r="G539" s="546" t="s">
        <v>3108</v>
      </c>
      <c r="H539" s="49" t="s">
        <v>990</v>
      </c>
      <c r="I539" s="49" t="s">
        <v>991</v>
      </c>
      <c r="J539" t="s">
        <v>1077</v>
      </c>
      <c r="K539" s="549">
        <v>46207</v>
      </c>
    </row>
    <row r="540" spans="1:11" ht="16.5" x14ac:dyDescent="0.3">
      <c r="A540">
        <f t="shared" si="8"/>
        <v>539</v>
      </c>
      <c r="B540" s="546" t="s">
        <v>3109</v>
      </c>
      <c r="C540" s="546" t="s">
        <v>3110</v>
      </c>
      <c r="D540" s="547" t="s">
        <v>1074</v>
      </c>
      <c r="E540" s="548" t="s">
        <v>3111</v>
      </c>
      <c r="F540" s="548" t="s">
        <v>3112</v>
      </c>
      <c r="G540" s="546" t="s">
        <v>3112</v>
      </c>
      <c r="H540" s="49" t="s">
        <v>1016</v>
      </c>
      <c r="I540" s="49" t="s">
        <v>1021</v>
      </c>
      <c r="J540" t="s">
        <v>1022</v>
      </c>
      <c r="K540" s="549">
        <v>603</v>
      </c>
    </row>
    <row r="541" spans="1:11" ht="16.5" x14ac:dyDescent="0.3">
      <c r="A541">
        <f t="shared" si="8"/>
        <v>540</v>
      </c>
      <c r="B541" s="546" t="s">
        <v>3113</v>
      </c>
      <c r="C541" s="546" t="s">
        <v>3114</v>
      </c>
      <c r="D541" s="547" t="s">
        <v>1489</v>
      </c>
      <c r="E541" s="548" t="s">
        <v>3115</v>
      </c>
      <c r="F541" s="548" t="s">
        <v>3114</v>
      </c>
      <c r="G541" s="546" t="s">
        <v>3116</v>
      </c>
      <c r="H541" s="49" t="s">
        <v>990</v>
      </c>
      <c r="I541" s="49" t="s">
        <v>991</v>
      </c>
      <c r="J541" t="s">
        <v>1077</v>
      </c>
      <c r="K541" s="549">
        <v>27165</v>
      </c>
    </row>
    <row r="542" spans="1:11" ht="16.5" x14ac:dyDescent="0.3">
      <c r="A542">
        <f t="shared" si="8"/>
        <v>541</v>
      </c>
      <c r="B542" s="546" t="s">
        <v>3117</v>
      </c>
      <c r="C542" s="546" t="s">
        <v>3118</v>
      </c>
      <c r="D542" s="547" t="s">
        <v>1097</v>
      </c>
      <c r="E542" s="548" t="s">
        <v>3119</v>
      </c>
      <c r="F542" s="548" t="s">
        <v>3118</v>
      </c>
      <c r="G542" s="546" t="s">
        <v>3120</v>
      </c>
      <c r="H542" s="49" t="s">
        <v>990</v>
      </c>
      <c r="I542" s="49" t="s">
        <v>1004</v>
      </c>
      <c r="J542" t="s">
        <v>1048</v>
      </c>
      <c r="K542" s="549">
        <v>8813</v>
      </c>
    </row>
    <row r="543" spans="1:11" ht="16.5" x14ac:dyDescent="0.3">
      <c r="A543">
        <f t="shared" si="8"/>
        <v>542</v>
      </c>
      <c r="B543" s="546" t="s">
        <v>975</v>
      </c>
      <c r="C543" s="546" t="s">
        <v>3121</v>
      </c>
      <c r="D543" s="547" t="s">
        <v>1146</v>
      </c>
      <c r="E543" s="548" t="s">
        <v>3122</v>
      </c>
      <c r="F543" s="548" t="s">
        <v>3123</v>
      </c>
      <c r="G543" s="546" t="s">
        <v>3123</v>
      </c>
      <c r="H543" s="49" t="s">
        <v>978</v>
      </c>
      <c r="I543" s="49" t="s">
        <v>991</v>
      </c>
      <c r="J543" t="s">
        <v>1644</v>
      </c>
      <c r="K543" s="549">
        <v>30316</v>
      </c>
    </row>
    <row r="544" spans="1:11" ht="16.5" x14ac:dyDescent="0.3">
      <c r="A544">
        <f t="shared" si="8"/>
        <v>543</v>
      </c>
      <c r="B544" s="546" t="s">
        <v>3124</v>
      </c>
      <c r="C544" s="546" t="s">
        <v>3125</v>
      </c>
      <c r="D544" s="547" t="s">
        <v>1348</v>
      </c>
      <c r="E544" s="548" t="s">
        <v>3126</v>
      </c>
      <c r="F544" s="548" t="s">
        <v>3127</v>
      </c>
      <c r="G544" s="546" t="s">
        <v>3127</v>
      </c>
      <c r="H544" s="49" t="s">
        <v>1016</v>
      </c>
      <c r="I544" s="49" t="s">
        <v>991</v>
      </c>
      <c r="J544" t="s">
        <v>992</v>
      </c>
      <c r="K544" s="549">
        <v>4288</v>
      </c>
    </row>
    <row r="545" spans="1:11" ht="16.5" x14ac:dyDescent="0.3">
      <c r="A545">
        <f t="shared" si="8"/>
        <v>544</v>
      </c>
      <c r="B545" s="546" t="s">
        <v>3128</v>
      </c>
      <c r="C545" s="546" t="s">
        <v>3129</v>
      </c>
      <c r="D545" s="547" t="s">
        <v>1013</v>
      </c>
      <c r="E545" s="548" t="s">
        <v>3130</v>
      </c>
      <c r="F545" s="548" t="s">
        <v>3131</v>
      </c>
      <c r="G545" s="546" t="s">
        <v>3131</v>
      </c>
      <c r="H545" s="49" t="s">
        <v>1016</v>
      </c>
      <c r="I545" s="49" t="s">
        <v>991</v>
      </c>
      <c r="J545" t="s">
        <v>992</v>
      </c>
      <c r="K545" s="549">
        <v>10908</v>
      </c>
    </row>
    <row r="546" spans="1:11" ht="16.5" x14ac:dyDescent="0.3">
      <c r="A546">
        <f t="shared" si="8"/>
        <v>545</v>
      </c>
      <c r="B546" s="546" t="s">
        <v>3132</v>
      </c>
      <c r="C546" s="546" t="s">
        <v>3133</v>
      </c>
      <c r="D546" s="547" t="s">
        <v>995</v>
      </c>
      <c r="E546" s="548" t="s">
        <v>3134</v>
      </c>
      <c r="F546" s="548" t="s">
        <v>3133</v>
      </c>
      <c r="G546" s="546" t="s">
        <v>3135</v>
      </c>
      <c r="H546" s="49" t="s">
        <v>990</v>
      </c>
      <c r="I546" s="49" t="s">
        <v>1004</v>
      </c>
      <c r="J546" t="s">
        <v>1005</v>
      </c>
      <c r="K546" s="549">
        <v>2715</v>
      </c>
    </row>
    <row r="547" spans="1:11" ht="16.5" x14ac:dyDescent="0.3">
      <c r="A547">
        <f t="shared" si="8"/>
        <v>546</v>
      </c>
      <c r="B547" s="546" t="s">
        <v>3136</v>
      </c>
      <c r="C547" s="546" t="s">
        <v>3137</v>
      </c>
      <c r="D547" s="547" t="s">
        <v>1199</v>
      </c>
      <c r="E547" s="548" t="s">
        <v>3138</v>
      </c>
      <c r="F547" s="548" t="s">
        <v>3139</v>
      </c>
      <c r="G547" s="546" t="s">
        <v>3139</v>
      </c>
      <c r="H547" s="49" t="s">
        <v>1016</v>
      </c>
      <c r="I547" s="49" t="s">
        <v>991</v>
      </c>
      <c r="J547" t="s">
        <v>992</v>
      </c>
      <c r="K547" s="549">
        <v>6522</v>
      </c>
    </row>
    <row r="548" spans="1:11" ht="16.5" x14ac:dyDescent="0.3">
      <c r="A548">
        <f t="shared" si="8"/>
        <v>547</v>
      </c>
      <c r="B548" s="546" t="s">
        <v>3140</v>
      </c>
      <c r="C548" s="546" t="s">
        <v>3141</v>
      </c>
      <c r="D548" s="547" t="s">
        <v>1008</v>
      </c>
      <c r="E548" s="548" t="s">
        <v>3142</v>
      </c>
      <c r="F548" s="548" t="s">
        <v>3141</v>
      </c>
      <c r="G548" s="546" t="s">
        <v>3143</v>
      </c>
      <c r="H548" s="49" t="s">
        <v>990</v>
      </c>
      <c r="I548" s="49" t="s">
        <v>1004</v>
      </c>
      <c r="J548" t="s">
        <v>1005</v>
      </c>
      <c r="K548" s="549">
        <v>4882</v>
      </c>
    </row>
    <row r="549" spans="1:11" ht="16.5" x14ac:dyDescent="0.3">
      <c r="A549">
        <f t="shared" si="8"/>
        <v>548</v>
      </c>
      <c r="B549" s="546" t="s">
        <v>3144</v>
      </c>
      <c r="C549" s="546" t="s">
        <v>3145</v>
      </c>
      <c r="D549" s="547" t="s">
        <v>1074</v>
      </c>
      <c r="E549" s="548" t="s">
        <v>3146</v>
      </c>
      <c r="F549" s="548" t="s">
        <v>3147</v>
      </c>
      <c r="G549" s="546" t="s">
        <v>3147</v>
      </c>
      <c r="H549" s="49" t="s">
        <v>998</v>
      </c>
      <c r="I549" s="49" t="s">
        <v>1021</v>
      </c>
      <c r="J549" t="s">
        <v>1022</v>
      </c>
      <c r="K549" s="549">
        <v>5325</v>
      </c>
    </row>
    <row r="550" spans="1:11" ht="16.5" x14ac:dyDescent="0.3">
      <c r="A550">
        <f t="shared" si="8"/>
        <v>549</v>
      </c>
      <c r="B550" s="546" t="s">
        <v>3148</v>
      </c>
      <c r="C550" s="546" t="s">
        <v>3149</v>
      </c>
      <c r="D550" s="547" t="s">
        <v>1074</v>
      </c>
      <c r="E550" s="548" t="s">
        <v>3150</v>
      </c>
      <c r="F550" s="548" t="s">
        <v>3151</v>
      </c>
      <c r="G550" s="546" t="s">
        <v>3151</v>
      </c>
      <c r="H550" s="49" t="s">
        <v>1016</v>
      </c>
      <c r="I550" s="49" t="s">
        <v>1021</v>
      </c>
      <c r="J550" t="s">
        <v>1022</v>
      </c>
      <c r="K550" s="549">
        <v>3270</v>
      </c>
    </row>
    <row r="551" spans="1:11" ht="16.5" x14ac:dyDescent="0.3">
      <c r="A551">
        <f t="shared" si="8"/>
        <v>550</v>
      </c>
      <c r="B551" s="546" t="s">
        <v>3152</v>
      </c>
      <c r="C551" s="546" t="s">
        <v>3153</v>
      </c>
      <c r="D551" s="547" t="s">
        <v>1097</v>
      </c>
      <c r="E551" s="548" t="s">
        <v>3154</v>
      </c>
      <c r="F551" s="548" t="s">
        <v>3153</v>
      </c>
      <c r="G551" s="546" t="s">
        <v>3155</v>
      </c>
      <c r="H551" s="49" t="s">
        <v>990</v>
      </c>
      <c r="I551" s="49" t="s">
        <v>991</v>
      </c>
      <c r="J551" t="s">
        <v>1053</v>
      </c>
      <c r="K551" s="549">
        <v>31629</v>
      </c>
    </row>
    <row r="552" spans="1:11" ht="16.5" x14ac:dyDescent="0.3">
      <c r="A552">
        <f t="shared" si="8"/>
        <v>551</v>
      </c>
      <c r="B552" s="546" t="s">
        <v>3156</v>
      </c>
      <c r="C552" s="546" t="s">
        <v>3157</v>
      </c>
      <c r="D552" s="547" t="s">
        <v>1146</v>
      </c>
      <c r="E552" s="548" t="s">
        <v>3158</v>
      </c>
      <c r="F552" s="548" t="s">
        <v>3157</v>
      </c>
      <c r="G552" s="546" t="s">
        <v>3159</v>
      </c>
      <c r="H552" s="49" t="s">
        <v>990</v>
      </c>
      <c r="I552" s="49" t="s">
        <v>1004</v>
      </c>
      <c r="J552" t="s">
        <v>1005</v>
      </c>
      <c r="K552" s="549">
        <v>1471</v>
      </c>
    </row>
    <row r="553" spans="1:11" ht="16.5" x14ac:dyDescent="0.3">
      <c r="A553">
        <f t="shared" si="8"/>
        <v>552</v>
      </c>
      <c r="B553" s="546" t="s">
        <v>3160</v>
      </c>
      <c r="C553" s="546" t="s">
        <v>3161</v>
      </c>
      <c r="D553" s="547" t="s">
        <v>1065</v>
      </c>
      <c r="E553" s="548" t="s">
        <v>3162</v>
      </c>
      <c r="F553" s="548" t="s">
        <v>3161</v>
      </c>
      <c r="G553" s="546" t="s">
        <v>3163</v>
      </c>
      <c r="H553" s="49" t="s">
        <v>990</v>
      </c>
      <c r="I553" s="49" t="s">
        <v>1004</v>
      </c>
      <c r="J553" t="s">
        <v>3164</v>
      </c>
      <c r="K553" s="549">
        <v>39499</v>
      </c>
    </row>
    <row r="554" spans="1:11" ht="16.5" x14ac:dyDescent="0.3">
      <c r="A554">
        <f t="shared" si="8"/>
        <v>553</v>
      </c>
      <c r="B554" s="546" t="s">
        <v>3165</v>
      </c>
      <c r="C554" s="546" t="s">
        <v>3166</v>
      </c>
      <c r="D554" s="547" t="s">
        <v>1074</v>
      </c>
      <c r="E554" s="548" t="s">
        <v>3167</v>
      </c>
      <c r="F554" s="548" t="s">
        <v>3168</v>
      </c>
      <c r="G554" s="546" t="s">
        <v>3168</v>
      </c>
      <c r="H554" s="49" t="s">
        <v>1016</v>
      </c>
      <c r="I554" s="49" t="s">
        <v>991</v>
      </c>
      <c r="J554" t="s">
        <v>992</v>
      </c>
      <c r="K554" s="549">
        <v>2472</v>
      </c>
    </row>
    <row r="555" spans="1:11" ht="16.5" x14ac:dyDescent="0.3">
      <c r="A555">
        <f t="shared" si="8"/>
        <v>554</v>
      </c>
      <c r="B555" s="546" t="s">
        <v>3169</v>
      </c>
      <c r="C555" s="546" t="s">
        <v>3170</v>
      </c>
      <c r="D555" s="547" t="s">
        <v>1305</v>
      </c>
      <c r="E555" s="548" t="s">
        <v>3171</v>
      </c>
      <c r="F555" s="548" t="s">
        <v>3170</v>
      </c>
      <c r="G555" s="546" t="s">
        <v>3172</v>
      </c>
      <c r="H555" s="49" t="s">
        <v>990</v>
      </c>
      <c r="I555" s="49" t="s">
        <v>991</v>
      </c>
      <c r="J555" t="s">
        <v>1058</v>
      </c>
      <c r="K555" s="549">
        <v>99585</v>
      </c>
    </row>
    <row r="556" spans="1:11" ht="16.5" x14ac:dyDescent="0.3">
      <c r="A556">
        <f t="shared" si="8"/>
        <v>555</v>
      </c>
      <c r="B556" s="546" t="s">
        <v>3173</v>
      </c>
      <c r="C556" s="546" t="s">
        <v>3174</v>
      </c>
      <c r="D556" s="547" t="s">
        <v>1348</v>
      </c>
      <c r="E556" s="548" t="s">
        <v>3175</v>
      </c>
      <c r="F556" s="548" t="s">
        <v>3176</v>
      </c>
      <c r="G556" s="546" t="s">
        <v>3176</v>
      </c>
      <c r="H556" s="49" t="s">
        <v>998</v>
      </c>
      <c r="I556" s="49" t="s">
        <v>991</v>
      </c>
      <c r="J556" t="s">
        <v>1058</v>
      </c>
      <c r="K556" s="549">
        <v>10174</v>
      </c>
    </row>
    <row r="557" spans="1:11" ht="16.5" x14ac:dyDescent="0.3">
      <c r="A557">
        <f t="shared" si="8"/>
        <v>556</v>
      </c>
      <c r="B557" s="546" t="s">
        <v>3177</v>
      </c>
      <c r="C557" s="546" t="s">
        <v>3178</v>
      </c>
      <c r="D557" s="547" t="s">
        <v>1348</v>
      </c>
      <c r="E557" s="548" t="s">
        <v>3179</v>
      </c>
      <c r="F557" s="548" t="s">
        <v>3180</v>
      </c>
      <c r="G557" s="546" t="s">
        <v>3180</v>
      </c>
      <c r="H557" s="49" t="s">
        <v>1016</v>
      </c>
      <c r="I557" s="49" t="s">
        <v>991</v>
      </c>
      <c r="J557" t="s">
        <v>992</v>
      </c>
      <c r="K557" s="549">
        <v>3055</v>
      </c>
    </row>
    <row r="558" spans="1:11" ht="16.5" x14ac:dyDescent="0.3">
      <c r="A558">
        <f t="shared" si="8"/>
        <v>557</v>
      </c>
      <c r="B558" s="546" t="s">
        <v>3181</v>
      </c>
      <c r="C558" s="546" t="s">
        <v>3182</v>
      </c>
      <c r="D558" s="547" t="s">
        <v>1013</v>
      </c>
      <c r="E558" s="548" t="s">
        <v>3183</v>
      </c>
      <c r="F558" s="548" t="s">
        <v>3184</v>
      </c>
      <c r="G558" s="546" t="s">
        <v>3184</v>
      </c>
      <c r="H558" s="49" t="s">
        <v>1016</v>
      </c>
      <c r="I558" s="49" t="s">
        <v>991</v>
      </c>
      <c r="J558" t="s">
        <v>992</v>
      </c>
      <c r="K558" s="549">
        <v>5730</v>
      </c>
    </row>
    <row r="559" spans="1:11" ht="16.5" x14ac:dyDescent="0.3">
      <c r="A559">
        <f t="shared" si="8"/>
        <v>558</v>
      </c>
      <c r="B559" s="546" t="s">
        <v>3185</v>
      </c>
      <c r="C559" s="546" t="s">
        <v>3186</v>
      </c>
      <c r="D559" s="547" t="s">
        <v>1186</v>
      </c>
      <c r="E559" s="548" t="s">
        <v>3187</v>
      </c>
      <c r="F559" s="548" t="s">
        <v>3188</v>
      </c>
      <c r="G559" s="546" t="s">
        <v>3188</v>
      </c>
      <c r="H559" s="49" t="s">
        <v>1016</v>
      </c>
      <c r="I559" s="49" t="s">
        <v>991</v>
      </c>
      <c r="J559" t="s">
        <v>992</v>
      </c>
      <c r="K559" s="549">
        <v>11819</v>
      </c>
    </row>
    <row r="560" spans="1:11" ht="16.5" x14ac:dyDescent="0.3">
      <c r="A560">
        <f t="shared" si="8"/>
        <v>559</v>
      </c>
      <c r="B560" s="546" t="s">
        <v>3189</v>
      </c>
      <c r="C560" s="546" t="s">
        <v>3190</v>
      </c>
      <c r="D560" s="547" t="s">
        <v>1097</v>
      </c>
      <c r="E560" s="548" t="s">
        <v>3191</v>
      </c>
      <c r="F560" s="548" t="s">
        <v>3190</v>
      </c>
      <c r="G560" s="546" t="s">
        <v>3192</v>
      </c>
      <c r="H560" s="49" t="s">
        <v>990</v>
      </c>
      <c r="I560" s="49" t="s">
        <v>1004</v>
      </c>
      <c r="J560" t="s">
        <v>1005</v>
      </c>
      <c r="K560" s="549">
        <v>1788</v>
      </c>
    </row>
    <row r="561" spans="1:11" ht="16.5" x14ac:dyDescent="0.3">
      <c r="A561">
        <f t="shared" si="8"/>
        <v>560</v>
      </c>
      <c r="B561" s="546" t="s">
        <v>3193</v>
      </c>
      <c r="C561" s="546" t="s">
        <v>3194</v>
      </c>
      <c r="D561" s="547" t="s">
        <v>1065</v>
      </c>
      <c r="E561" s="548" t="s">
        <v>3195</v>
      </c>
      <c r="F561" s="548" t="s">
        <v>3196</v>
      </c>
      <c r="G561" s="546" t="s">
        <v>3196</v>
      </c>
      <c r="H561" s="49" t="s">
        <v>1016</v>
      </c>
      <c r="I561" s="49" t="s">
        <v>991</v>
      </c>
      <c r="J561" t="s">
        <v>992</v>
      </c>
      <c r="K561" s="549">
        <v>2978</v>
      </c>
    </row>
    <row r="562" spans="1:11" ht="16.5" x14ac:dyDescent="0.3">
      <c r="A562">
        <f t="shared" si="8"/>
        <v>561</v>
      </c>
      <c r="B562" s="546" t="s">
        <v>3197</v>
      </c>
      <c r="C562" s="546" t="s">
        <v>3198</v>
      </c>
      <c r="D562" s="547" t="s">
        <v>1013</v>
      </c>
      <c r="E562" s="548" t="s">
        <v>3199</v>
      </c>
      <c r="F562" s="548" t="s">
        <v>3200</v>
      </c>
      <c r="G562" s="546" t="s">
        <v>3200</v>
      </c>
      <c r="H562" s="49" t="s">
        <v>1016</v>
      </c>
      <c r="I562" s="49" t="s">
        <v>991</v>
      </c>
      <c r="J562" t="s">
        <v>992</v>
      </c>
      <c r="K562" s="549">
        <v>7626</v>
      </c>
    </row>
    <row r="563" spans="1:11" ht="16.5" x14ac:dyDescent="0.3">
      <c r="A563">
        <f t="shared" si="8"/>
        <v>562</v>
      </c>
      <c r="B563" s="546" t="s">
        <v>3201</v>
      </c>
      <c r="C563" s="546" t="s">
        <v>3202</v>
      </c>
      <c r="D563" s="547" t="s">
        <v>1029</v>
      </c>
      <c r="E563" s="548" t="s">
        <v>3203</v>
      </c>
      <c r="F563" s="548" t="s">
        <v>3204</v>
      </c>
      <c r="G563" s="546" t="s">
        <v>3204</v>
      </c>
      <c r="H563" s="49" t="s">
        <v>1016</v>
      </c>
      <c r="I563" s="49" t="s">
        <v>991</v>
      </c>
      <c r="J563" t="s">
        <v>992</v>
      </c>
      <c r="K563" s="549">
        <v>3505</v>
      </c>
    </row>
    <row r="564" spans="1:11" ht="16.5" x14ac:dyDescent="0.3">
      <c r="A564">
        <f t="shared" si="8"/>
        <v>563</v>
      </c>
      <c r="B564" s="546" t="s">
        <v>3205</v>
      </c>
      <c r="C564" s="546" t="s">
        <v>3206</v>
      </c>
      <c r="D564" s="547" t="s">
        <v>1348</v>
      </c>
      <c r="E564" s="548" t="s">
        <v>3207</v>
      </c>
      <c r="F564" s="548" t="s">
        <v>3206</v>
      </c>
      <c r="G564" s="546" t="s">
        <v>3208</v>
      </c>
      <c r="H564" s="49" t="s">
        <v>990</v>
      </c>
      <c r="I564" s="49" t="s">
        <v>1004</v>
      </c>
      <c r="J564" t="s">
        <v>1048</v>
      </c>
      <c r="K564" s="549">
        <v>10200</v>
      </c>
    </row>
    <row r="565" spans="1:11" ht="16.5" x14ac:dyDescent="0.3">
      <c r="A565">
        <f t="shared" si="8"/>
        <v>564</v>
      </c>
      <c r="B565" s="546" t="s">
        <v>3209</v>
      </c>
      <c r="C565" s="546" t="s">
        <v>3210</v>
      </c>
      <c r="D565" s="547" t="s">
        <v>1097</v>
      </c>
      <c r="E565" s="548" t="s">
        <v>3211</v>
      </c>
      <c r="F565" s="548" t="s">
        <v>3212</v>
      </c>
      <c r="G565" s="546" t="s">
        <v>3212</v>
      </c>
      <c r="H565" s="49" t="s">
        <v>1016</v>
      </c>
      <c r="I565" s="49" t="s">
        <v>991</v>
      </c>
      <c r="J565" t="s">
        <v>992</v>
      </c>
      <c r="K565" s="549">
        <v>802</v>
      </c>
    </row>
    <row r="566" spans="1:11" ht="16.5" x14ac:dyDescent="0.3">
      <c r="A566">
        <f t="shared" si="8"/>
        <v>565</v>
      </c>
      <c r="B566" s="546" t="s">
        <v>3213</v>
      </c>
      <c r="C566" s="546" t="s">
        <v>3214</v>
      </c>
      <c r="D566" s="547" t="s">
        <v>1013</v>
      </c>
      <c r="E566" s="548" t="s">
        <v>3215</v>
      </c>
      <c r="F566" s="548" t="s">
        <v>3214</v>
      </c>
      <c r="G566" s="546" t="s">
        <v>3216</v>
      </c>
      <c r="H566" s="49" t="s">
        <v>990</v>
      </c>
      <c r="I566" s="49" t="s">
        <v>1004</v>
      </c>
      <c r="J566" t="s">
        <v>1048</v>
      </c>
      <c r="K566" s="549">
        <v>16696</v>
      </c>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9"/>
  <dimension ref="B2:K31"/>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6.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100</v>
      </c>
      <c r="E5" s="55"/>
      <c r="F5" s="55"/>
      <c r="G5" s="56"/>
      <c r="H5" s="57"/>
      <c r="I5" s="58"/>
      <c r="J5" s="58"/>
      <c r="K5" s="59"/>
    </row>
    <row r="6" spans="2:11" ht="20.45" customHeight="1" x14ac:dyDescent="0.2">
      <c r="D6" s="51"/>
      <c r="E6" s="817"/>
      <c r="F6" s="817"/>
      <c r="G6" s="817"/>
      <c r="H6" s="867"/>
      <c r="I6" s="868"/>
      <c r="J6" s="868"/>
      <c r="K6" s="869"/>
    </row>
    <row r="7" spans="2:11" ht="21" customHeight="1" x14ac:dyDescent="0.2">
      <c r="C7" s="46"/>
      <c r="D7" s="47"/>
      <c r="E7" s="744"/>
      <c r="F7" s="744"/>
      <c r="G7" s="744"/>
      <c r="H7" s="859"/>
      <c r="I7" s="743"/>
      <c r="J7" s="743"/>
      <c r="K7" s="860"/>
    </row>
    <row r="8" spans="2:11" ht="21" customHeight="1" x14ac:dyDescent="0.2">
      <c r="C8" s="51"/>
      <c r="D8" s="52"/>
      <c r="E8" s="16" t="s">
        <v>949</v>
      </c>
      <c r="F8" s="16"/>
      <c r="G8" s="16"/>
      <c r="H8" s="44" t="s">
        <v>950</v>
      </c>
      <c r="I8" s="743"/>
      <c r="J8" s="743"/>
      <c r="K8" s="860"/>
    </row>
    <row r="9" spans="2:11" ht="21" customHeight="1" x14ac:dyDescent="0.2">
      <c r="C9" s="49"/>
      <c r="D9" s="49"/>
      <c r="E9" s="16" t="s">
        <v>101</v>
      </c>
      <c r="F9" s="16"/>
      <c r="G9" s="16"/>
      <c r="H9" s="44" t="s">
        <v>528</v>
      </c>
      <c r="I9" s="743">
        <v>190</v>
      </c>
      <c r="J9" s="743">
        <v>190</v>
      </c>
      <c r="K9" s="860">
        <v>190</v>
      </c>
    </row>
    <row r="10" spans="2:11" ht="21" customHeight="1" x14ac:dyDescent="0.2">
      <c r="C10" s="49"/>
      <c r="D10" s="49"/>
      <c r="E10" s="16" t="s">
        <v>615</v>
      </c>
      <c r="F10" s="16"/>
      <c r="G10" s="16"/>
      <c r="H10" s="44" t="s">
        <v>529</v>
      </c>
      <c r="I10" s="743">
        <v>83267</v>
      </c>
      <c r="J10" s="743">
        <v>83267</v>
      </c>
      <c r="K10" s="860">
        <v>83267</v>
      </c>
    </row>
    <row r="11" spans="2:11" ht="21" customHeight="1" x14ac:dyDescent="0.2">
      <c r="C11" s="49"/>
      <c r="D11" s="49"/>
      <c r="E11" s="744"/>
      <c r="F11" s="744"/>
      <c r="G11" s="744"/>
      <c r="H11" s="859"/>
      <c r="I11" s="743"/>
      <c r="J11" s="743"/>
      <c r="K11" s="860"/>
    </row>
    <row r="12" spans="2:11" ht="21" customHeight="1" x14ac:dyDescent="0.2">
      <c r="C12" s="49"/>
      <c r="D12" s="49"/>
      <c r="E12" s="744"/>
      <c r="F12" s="744"/>
      <c r="G12" s="744"/>
      <c r="H12" s="859"/>
      <c r="I12" s="743"/>
      <c r="J12" s="743"/>
      <c r="K12" s="860"/>
    </row>
    <row r="13" spans="2:11" ht="21" customHeight="1" x14ac:dyDescent="0.2">
      <c r="C13" s="49"/>
      <c r="D13" s="49"/>
      <c r="E13" s="744"/>
      <c r="F13" s="744"/>
      <c r="G13" s="744"/>
      <c r="H13" s="859"/>
      <c r="I13" s="743"/>
      <c r="J13" s="743"/>
      <c r="K13" s="860"/>
    </row>
    <row r="14" spans="2:11" ht="21" customHeight="1" x14ac:dyDescent="0.2">
      <c r="C14" s="49"/>
      <c r="D14" s="49"/>
      <c r="E14" s="744"/>
      <c r="F14" s="744"/>
      <c r="G14" s="744"/>
      <c r="H14" s="859"/>
      <c r="I14" s="743"/>
      <c r="J14" s="743"/>
      <c r="K14" s="860"/>
    </row>
    <row r="15" spans="2:11" ht="21" customHeight="1" x14ac:dyDescent="0.2">
      <c r="C15" s="49"/>
      <c r="D15" s="49"/>
      <c r="E15" s="744"/>
      <c r="F15" s="744"/>
      <c r="G15" s="744"/>
      <c r="H15" s="859"/>
      <c r="I15" s="743"/>
      <c r="J15" s="743"/>
      <c r="K15" s="860"/>
    </row>
    <row r="16" spans="2:11"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0.45" customHeight="1" thickBot="1" x14ac:dyDescent="0.25">
      <c r="E25" s="744"/>
      <c r="F25" s="744"/>
      <c r="G25" s="744"/>
      <c r="H25" s="859"/>
      <c r="I25" s="871"/>
      <c r="J25" s="871"/>
      <c r="K25" s="872"/>
    </row>
    <row r="26" spans="2:11" ht="20.45" customHeight="1" thickBot="1" x14ac:dyDescent="0.3">
      <c r="B26" s="2"/>
      <c r="C26" s="2"/>
      <c r="D26" s="2"/>
      <c r="E26" s="53" t="s">
        <v>368</v>
      </c>
      <c r="F26" s="2"/>
      <c r="G26" s="2"/>
      <c r="H26" s="176" t="s">
        <v>367</v>
      </c>
      <c r="I26" s="31">
        <f>SUM(I6:I25)</f>
        <v>83457</v>
      </c>
      <c r="J26" s="31">
        <f>SUM(J6:J25)</f>
        <v>83457</v>
      </c>
      <c r="K26" s="33">
        <f>SUM(K6:K25)</f>
        <v>83457</v>
      </c>
    </row>
    <row r="27" spans="2:11" ht="16.5" thickTop="1" x14ac:dyDescent="0.25">
      <c r="B27" s="1701" t="s">
        <v>116</v>
      </c>
      <c r="C27" s="1701"/>
      <c r="D27" s="1701"/>
      <c r="E27" s="1701"/>
      <c r="F27" s="1701"/>
      <c r="G27" s="1701"/>
      <c r="H27" s="1701"/>
      <c r="I27" s="1701"/>
      <c r="J27" s="1701"/>
      <c r="K27" s="1701"/>
    </row>
    <row r="31" spans="2:11" x14ac:dyDescent="0.2">
      <c r="I31"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D00-000000000000}">
          <x14:formula1>
            <xm:f>'Revenue Codes'!$B$2:$B$12</xm:f>
          </x14:formula1>
          <xm:sqref>H6:H7 H11:H25</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0"/>
  <dimension ref="B2:K29"/>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2.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102</v>
      </c>
      <c r="E5" s="55"/>
      <c r="F5" s="55"/>
      <c r="G5" s="56"/>
      <c r="H5" s="57"/>
      <c r="I5" s="58"/>
      <c r="J5" s="58"/>
      <c r="K5" s="59"/>
    </row>
    <row r="6" spans="2:11" ht="20.45" customHeight="1" x14ac:dyDescent="0.25">
      <c r="C6" s="420"/>
      <c r="D6" s="67"/>
      <c r="E6" s="67" t="s">
        <v>3359</v>
      </c>
      <c r="F6" s="67"/>
      <c r="G6" s="63"/>
      <c r="H6" s="64"/>
      <c r="I6" s="65"/>
      <c r="J6" s="65"/>
      <c r="K6" s="66"/>
    </row>
    <row r="7" spans="2:11" ht="20.45" customHeight="1" x14ac:dyDescent="0.25">
      <c r="D7" s="51"/>
      <c r="E7" s="42"/>
      <c r="F7" s="48"/>
      <c r="G7" s="4"/>
      <c r="H7" s="174" t="s">
        <v>97</v>
      </c>
      <c r="I7" s="198" t="s">
        <v>98</v>
      </c>
      <c r="J7" s="198" t="s">
        <v>98</v>
      </c>
      <c r="K7" s="199" t="s">
        <v>98</v>
      </c>
    </row>
    <row r="8" spans="2:11" ht="21" customHeight="1" x14ac:dyDescent="0.2">
      <c r="C8" s="46"/>
      <c r="D8" s="47"/>
      <c r="E8" s="45" t="s">
        <v>103</v>
      </c>
      <c r="F8" s="45"/>
      <c r="G8" s="5"/>
      <c r="H8" s="44" t="s">
        <v>530</v>
      </c>
      <c r="I8" s="743"/>
      <c r="J8" s="743"/>
      <c r="K8" s="860"/>
    </row>
    <row r="9" spans="2:11" ht="21" customHeight="1" x14ac:dyDescent="0.2">
      <c r="C9" s="51"/>
      <c r="D9" s="52"/>
      <c r="E9" s="744"/>
      <c r="F9" s="744"/>
      <c r="G9" s="744"/>
      <c r="H9" s="859"/>
      <c r="I9" s="743"/>
      <c r="J9" s="743"/>
      <c r="K9" s="860"/>
    </row>
    <row r="10" spans="2:11" ht="21" customHeight="1" x14ac:dyDescent="0.2">
      <c r="C10" s="49"/>
      <c r="D10" s="49"/>
      <c r="E10" s="744"/>
      <c r="F10" s="744"/>
      <c r="G10" s="744"/>
      <c r="H10" s="859"/>
      <c r="I10" s="743"/>
      <c r="J10" s="743"/>
      <c r="K10" s="860"/>
    </row>
    <row r="11" spans="2:11" ht="21" customHeight="1" x14ac:dyDescent="0.2">
      <c r="C11" s="49"/>
      <c r="D11" s="49"/>
      <c r="E11" s="744"/>
      <c r="F11" s="744"/>
      <c r="G11" s="744"/>
      <c r="H11" s="859"/>
      <c r="I11" s="743"/>
      <c r="J11" s="743"/>
      <c r="K11" s="860"/>
    </row>
    <row r="12" spans="2:11" ht="21" customHeight="1" x14ac:dyDescent="0.2">
      <c r="C12" s="49"/>
      <c r="D12" s="49"/>
      <c r="E12" s="744"/>
      <c r="F12" s="744"/>
      <c r="G12" s="744"/>
      <c r="H12" s="859"/>
      <c r="I12" s="743"/>
      <c r="J12" s="743"/>
      <c r="K12" s="860"/>
    </row>
    <row r="13" spans="2:11" ht="21" customHeight="1" x14ac:dyDescent="0.2">
      <c r="C13" s="49"/>
      <c r="D13" s="49"/>
      <c r="E13" s="744"/>
      <c r="F13" s="744"/>
      <c r="G13" s="744"/>
      <c r="H13" s="859"/>
      <c r="I13" s="743"/>
      <c r="J13" s="743"/>
      <c r="K13" s="860"/>
    </row>
    <row r="14" spans="2:11" ht="21" customHeight="1" x14ac:dyDescent="0.2">
      <c r="C14" s="49"/>
      <c r="D14" s="49"/>
      <c r="E14" s="744"/>
      <c r="F14" s="744"/>
      <c r="G14" s="744"/>
      <c r="H14" s="859"/>
      <c r="I14" s="743"/>
      <c r="J14" s="743"/>
      <c r="K14" s="860"/>
    </row>
    <row r="15" spans="2:11" ht="21" customHeight="1" x14ac:dyDescent="0.2">
      <c r="C15" s="49"/>
      <c r="D15" s="49"/>
      <c r="E15" s="744"/>
      <c r="F15" s="744"/>
      <c r="G15" s="744"/>
      <c r="H15" s="859"/>
      <c r="I15" s="743"/>
      <c r="J15" s="743"/>
      <c r="K15" s="860"/>
    </row>
    <row r="16" spans="2:11" ht="11.45" customHeight="1" x14ac:dyDescent="0.2">
      <c r="C16" s="49"/>
      <c r="D16" s="49"/>
      <c r="E16" s="201" t="s">
        <v>105</v>
      </c>
      <c r="F16" s="104"/>
      <c r="G16" s="202"/>
      <c r="H16" s="57"/>
      <c r="I16" s="58"/>
      <c r="J16" s="58"/>
      <c r="K16" s="59"/>
    </row>
    <row r="17" spans="2:11" ht="11.45" customHeight="1" x14ac:dyDescent="0.2">
      <c r="C17" s="49"/>
      <c r="D17" s="49"/>
      <c r="E17" s="200" t="s">
        <v>104</v>
      </c>
      <c r="F17" s="87"/>
      <c r="G17" s="4"/>
      <c r="H17" s="174" t="s">
        <v>97</v>
      </c>
      <c r="I17" s="198" t="s">
        <v>98</v>
      </c>
      <c r="J17" s="198" t="s">
        <v>98</v>
      </c>
      <c r="K17" s="199" t="s">
        <v>98</v>
      </c>
    </row>
    <row r="18" spans="2:11" ht="11.45" customHeight="1" x14ac:dyDescent="0.2">
      <c r="C18" s="49"/>
      <c r="D18" s="49"/>
      <c r="E18" s="62" t="s">
        <v>106</v>
      </c>
      <c r="F18" s="104"/>
      <c r="G18" s="202"/>
      <c r="H18" s="57"/>
      <c r="I18" s="58"/>
      <c r="J18" s="58"/>
      <c r="K18" s="59"/>
    </row>
    <row r="19" spans="2:11" ht="11.45" customHeight="1" x14ac:dyDescent="0.2">
      <c r="C19" s="49"/>
      <c r="D19" s="49"/>
      <c r="E19" s="203" t="s">
        <v>3360</v>
      </c>
      <c r="F19" s="87"/>
      <c r="G19" s="4"/>
      <c r="H19" s="174" t="s">
        <v>97</v>
      </c>
      <c r="I19" s="198" t="s">
        <v>98</v>
      </c>
      <c r="J19" s="198" t="s">
        <v>98</v>
      </c>
      <c r="K19" s="199" t="s">
        <v>98</v>
      </c>
    </row>
    <row r="20" spans="2:11" ht="21" customHeight="1" x14ac:dyDescent="0.2">
      <c r="C20" s="49"/>
      <c r="D20" s="49"/>
      <c r="E20" s="45" t="s">
        <v>103</v>
      </c>
      <c r="F20" s="45"/>
      <c r="G20" s="5"/>
      <c r="H20" s="44" t="s">
        <v>530</v>
      </c>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C24" s="49"/>
      <c r="D24" s="49"/>
      <c r="E24" s="744"/>
      <c r="F24" s="744"/>
      <c r="G24" s="744"/>
      <c r="H24" s="859"/>
      <c r="I24" s="743"/>
      <c r="J24" s="743"/>
      <c r="K24" s="860"/>
    </row>
    <row r="25" spans="2:11" ht="21" customHeight="1" x14ac:dyDescent="0.2">
      <c r="C25" s="49"/>
      <c r="D25" s="49"/>
      <c r="E25" s="744"/>
      <c r="F25" s="744"/>
      <c r="G25" s="744"/>
      <c r="H25" s="859"/>
      <c r="I25" s="743"/>
      <c r="J25" s="743"/>
      <c r="K25" s="860"/>
    </row>
    <row r="26" spans="2:11" ht="21" customHeight="1" x14ac:dyDescent="0.2">
      <c r="E26" s="744"/>
      <c r="F26" s="744"/>
      <c r="G26" s="744"/>
      <c r="H26" s="859"/>
      <c r="I26" s="743"/>
      <c r="J26" s="743"/>
      <c r="K26" s="860"/>
    </row>
    <row r="27" spans="2:11" ht="21" customHeight="1" thickBot="1" x14ac:dyDescent="0.25">
      <c r="E27" s="744"/>
      <c r="F27" s="744"/>
      <c r="G27" s="744"/>
      <c r="H27" s="859"/>
      <c r="I27" s="871"/>
      <c r="J27" s="871"/>
      <c r="K27" s="872"/>
    </row>
    <row r="28" spans="2:11" ht="20.45" customHeight="1" thickBot="1" x14ac:dyDescent="0.3">
      <c r="B28" s="2"/>
      <c r="C28" s="2"/>
      <c r="D28" s="2"/>
      <c r="E28" s="53" t="s">
        <v>107</v>
      </c>
      <c r="F28" s="2"/>
      <c r="G28" s="2"/>
      <c r="H28" s="176" t="s">
        <v>369</v>
      </c>
      <c r="I28" s="31">
        <f>SUM(I5:I27)</f>
        <v>0</v>
      </c>
      <c r="J28" s="31">
        <f>SUM(J5:J27)</f>
        <v>0</v>
      </c>
      <c r="K28" s="33">
        <f>SUM(K5:K27)</f>
        <v>0</v>
      </c>
    </row>
    <row r="29" spans="2:11" ht="16.5" thickTop="1" x14ac:dyDescent="0.25">
      <c r="B29" s="1701" t="s">
        <v>115</v>
      </c>
      <c r="C29" s="1701"/>
      <c r="D29" s="1701"/>
      <c r="E29" s="1701"/>
      <c r="F29" s="1701"/>
      <c r="G29" s="1701"/>
      <c r="H29" s="1701"/>
      <c r="I29" s="1701"/>
      <c r="J29" s="1701"/>
      <c r="K29" s="1701"/>
    </row>
  </sheetData>
  <sheetProtection password="CAF9" sheet="1" objects="1" scenarios="1"/>
  <mergeCells count="4">
    <mergeCell ref="B2:K2"/>
    <mergeCell ref="B29:K29"/>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E00-000000000000}">
          <x14:formula1>
            <xm:f>'Revenue Codes'!$C$2:$C$4</xm:f>
          </x14:formula1>
          <xm:sqref>H9:H15 H21:H27</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1"/>
  <dimension ref="B2:K35"/>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108</v>
      </c>
      <c r="E5" s="55"/>
      <c r="F5" s="55"/>
      <c r="G5" s="56"/>
      <c r="H5" s="57"/>
      <c r="I5" s="58"/>
      <c r="J5" s="58"/>
      <c r="K5" s="59"/>
    </row>
    <row r="6" spans="2:11" ht="20.45" customHeight="1" x14ac:dyDescent="0.25">
      <c r="D6" s="51"/>
      <c r="E6" s="67" t="s">
        <v>5225</v>
      </c>
      <c r="F6" s="52"/>
      <c r="G6" s="63"/>
      <c r="H6" s="64"/>
      <c r="I6" s="65"/>
      <c r="J6" s="65"/>
      <c r="K6" s="66"/>
    </row>
    <row r="7" spans="2:11" ht="20.45" customHeight="1" x14ac:dyDescent="0.25">
      <c r="C7" s="46"/>
      <c r="D7" s="47"/>
      <c r="E7" s="42" t="s">
        <v>5226</v>
      </c>
      <c r="F7" s="48"/>
      <c r="G7" s="4"/>
      <c r="H7" s="174" t="s">
        <v>97</v>
      </c>
      <c r="I7" s="198" t="s">
        <v>98</v>
      </c>
      <c r="J7" s="198" t="s">
        <v>98</v>
      </c>
      <c r="K7" s="199" t="s">
        <v>98</v>
      </c>
    </row>
    <row r="8" spans="2:11" ht="20.45" customHeight="1" x14ac:dyDescent="0.2">
      <c r="C8" s="51"/>
      <c r="D8" s="52"/>
      <c r="E8" s="744"/>
      <c r="F8" s="744"/>
      <c r="G8" s="744"/>
      <c r="H8" s="859"/>
      <c r="I8" s="743"/>
      <c r="J8" s="743"/>
      <c r="K8" s="860"/>
    </row>
    <row r="9" spans="2:11" ht="21" customHeight="1" x14ac:dyDescent="0.2">
      <c r="C9" s="49"/>
      <c r="D9" s="49"/>
      <c r="E9" s="744"/>
      <c r="F9" s="744"/>
      <c r="G9" s="744"/>
      <c r="H9" s="859"/>
      <c r="I9" s="743"/>
      <c r="J9" s="743"/>
      <c r="K9" s="860"/>
    </row>
    <row r="10" spans="2:11" ht="21" customHeight="1" x14ac:dyDescent="0.2">
      <c r="C10" s="49"/>
      <c r="D10" s="49"/>
      <c r="E10" s="744"/>
      <c r="F10" s="744"/>
      <c r="G10" s="744"/>
      <c r="H10" s="859"/>
      <c r="I10" s="743"/>
      <c r="J10" s="743"/>
      <c r="K10" s="860"/>
    </row>
    <row r="11" spans="2:11" ht="21" customHeight="1" x14ac:dyDescent="0.2">
      <c r="C11" s="49"/>
      <c r="D11" s="49"/>
      <c r="E11" s="744"/>
      <c r="F11" s="744"/>
      <c r="G11" s="744"/>
      <c r="H11" s="859"/>
      <c r="I11" s="743"/>
      <c r="J11" s="743"/>
      <c r="K11" s="860"/>
    </row>
    <row r="12" spans="2:11" ht="21" customHeight="1" x14ac:dyDescent="0.2">
      <c r="C12" s="49"/>
      <c r="D12" s="49"/>
      <c r="E12" s="744"/>
      <c r="F12" s="744"/>
      <c r="G12" s="744"/>
      <c r="H12" s="859"/>
      <c r="I12" s="743"/>
      <c r="J12" s="743"/>
      <c r="K12" s="860"/>
    </row>
    <row r="13" spans="2:11" ht="21" customHeight="1" x14ac:dyDescent="0.2">
      <c r="C13" s="49"/>
      <c r="D13" s="49"/>
      <c r="E13" s="744"/>
      <c r="F13" s="744"/>
      <c r="G13" s="744"/>
      <c r="H13" s="859"/>
      <c r="I13" s="743"/>
      <c r="J13" s="743"/>
      <c r="K13" s="860"/>
    </row>
    <row r="14" spans="2:11" ht="21" customHeight="1" x14ac:dyDescent="0.2">
      <c r="C14" s="49"/>
      <c r="D14" s="49"/>
      <c r="E14" s="744"/>
      <c r="F14" s="744"/>
      <c r="G14" s="744"/>
      <c r="H14" s="859"/>
      <c r="I14" s="743"/>
      <c r="J14" s="743"/>
      <c r="K14" s="860"/>
    </row>
    <row r="15" spans="2:11" ht="21" customHeight="1" x14ac:dyDescent="0.2">
      <c r="C15" s="49"/>
      <c r="D15" s="49"/>
      <c r="E15" s="744"/>
      <c r="F15" s="744"/>
      <c r="G15" s="744"/>
      <c r="H15" s="859"/>
      <c r="I15" s="743"/>
      <c r="J15" s="743"/>
      <c r="K15" s="860"/>
    </row>
    <row r="16" spans="2:11"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1" customHeight="1" x14ac:dyDescent="0.2">
      <c r="E25" s="744"/>
      <c r="F25" s="744"/>
      <c r="G25" s="744"/>
      <c r="H25" s="859"/>
      <c r="I25" s="743"/>
      <c r="J25" s="743"/>
      <c r="K25" s="860"/>
    </row>
    <row r="26" spans="2:11" ht="20.45" customHeight="1" thickBot="1" x14ac:dyDescent="0.25">
      <c r="B26" s="2"/>
      <c r="C26" s="2"/>
      <c r="D26" s="2"/>
      <c r="E26" s="861"/>
      <c r="F26" s="861"/>
      <c r="G26" s="861"/>
      <c r="H26" s="870"/>
      <c r="I26" s="863"/>
      <c r="J26" s="863"/>
      <c r="K26" s="864"/>
    </row>
    <row r="27" spans="2:11" ht="16.5" thickTop="1" x14ac:dyDescent="0.25">
      <c r="B27" s="1701" t="s">
        <v>114</v>
      </c>
      <c r="C27" s="1701"/>
      <c r="D27" s="1701"/>
      <c r="E27" s="1701"/>
      <c r="F27" s="1701"/>
      <c r="G27" s="1701"/>
      <c r="H27" s="1701"/>
      <c r="I27" s="1701"/>
      <c r="J27" s="1701"/>
      <c r="K27" s="1701"/>
    </row>
    <row r="33" spans="9:9" x14ac:dyDescent="0.2">
      <c r="I33" s="29"/>
    </row>
    <row r="34" spans="9:9" x14ac:dyDescent="0.2">
      <c r="I34" s="29"/>
    </row>
    <row r="35" spans="9:9" x14ac:dyDescent="0.2">
      <c r="I35" s="533"/>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1F00-000000000000}">
          <x14:formula1>
            <xm:f>'Revenue Codes'!$D$2:$D$25</xm:f>
          </x14:formula1>
          <xm:sqref>H8:H26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2"/>
  <dimension ref="B2:K35"/>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108</v>
      </c>
      <c r="E5" s="55"/>
      <c r="F5" s="55"/>
      <c r="G5" s="56"/>
      <c r="H5" s="57"/>
      <c r="I5" s="58"/>
      <c r="J5" s="58"/>
      <c r="K5" s="59"/>
    </row>
    <row r="6" spans="2:11" ht="20.45" customHeight="1" x14ac:dyDescent="0.25">
      <c r="D6" s="51"/>
      <c r="E6" s="67" t="s">
        <v>5227</v>
      </c>
      <c r="F6" s="52"/>
      <c r="G6" s="63"/>
      <c r="H6" s="64"/>
      <c r="I6" s="65"/>
      <c r="J6" s="65"/>
      <c r="K6" s="66"/>
    </row>
    <row r="7" spans="2:11" ht="20.45" customHeight="1" x14ac:dyDescent="0.25">
      <c r="C7" s="46"/>
      <c r="D7" s="47"/>
      <c r="E7" s="42" t="s">
        <v>5226</v>
      </c>
      <c r="F7" s="48"/>
      <c r="G7" s="4"/>
      <c r="H7" s="174" t="s">
        <v>97</v>
      </c>
      <c r="I7" s="198" t="s">
        <v>98</v>
      </c>
      <c r="J7" s="198" t="s">
        <v>98</v>
      </c>
      <c r="K7" s="199" t="s">
        <v>98</v>
      </c>
    </row>
    <row r="8" spans="2:11" ht="20.45" customHeight="1" x14ac:dyDescent="0.2">
      <c r="C8" s="51"/>
      <c r="D8" s="52"/>
      <c r="E8" s="744"/>
      <c r="F8" s="744"/>
      <c r="G8" s="744"/>
      <c r="H8" s="859"/>
      <c r="I8" s="743"/>
      <c r="J8" s="743"/>
      <c r="K8" s="860"/>
    </row>
    <row r="9" spans="2:11" ht="21" customHeight="1" x14ac:dyDescent="0.2">
      <c r="C9" s="49"/>
      <c r="D9" s="49"/>
      <c r="E9" s="744"/>
      <c r="F9" s="744"/>
      <c r="G9" s="744"/>
      <c r="H9" s="859"/>
      <c r="I9" s="743"/>
      <c r="J9" s="743"/>
      <c r="K9" s="860"/>
    </row>
    <row r="10" spans="2:11" ht="21" customHeight="1" x14ac:dyDescent="0.2">
      <c r="C10" s="49"/>
      <c r="D10" s="49"/>
      <c r="E10" s="744"/>
      <c r="F10" s="744"/>
      <c r="G10" s="744"/>
      <c r="H10" s="859"/>
      <c r="I10" s="743"/>
      <c r="J10" s="743"/>
      <c r="K10" s="860"/>
    </row>
    <row r="11" spans="2:11" ht="21" customHeight="1" x14ac:dyDescent="0.2">
      <c r="C11" s="49"/>
      <c r="D11" s="49"/>
      <c r="E11" s="744"/>
      <c r="F11" s="744"/>
      <c r="G11" s="744"/>
      <c r="H11" s="859"/>
      <c r="I11" s="743"/>
      <c r="J11" s="743"/>
      <c r="K11" s="860"/>
    </row>
    <row r="12" spans="2:11" ht="21" customHeight="1" x14ac:dyDescent="0.2">
      <c r="C12" s="49"/>
      <c r="D12" s="49"/>
      <c r="E12" s="744"/>
      <c r="F12" s="744"/>
      <c r="G12" s="744"/>
      <c r="H12" s="859"/>
      <c r="I12" s="743"/>
      <c r="J12" s="743"/>
      <c r="K12" s="860"/>
    </row>
    <row r="13" spans="2:11" ht="21" customHeight="1" x14ac:dyDescent="0.2">
      <c r="C13" s="49"/>
      <c r="D13" s="49"/>
      <c r="E13" s="744"/>
      <c r="F13" s="744"/>
      <c r="G13" s="744"/>
      <c r="H13" s="859"/>
      <c r="I13" s="743"/>
      <c r="J13" s="743"/>
      <c r="K13" s="860"/>
    </row>
    <row r="14" spans="2:11" ht="21" customHeight="1" x14ac:dyDescent="0.2">
      <c r="C14" s="49"/>
      <c r="D14" s="49"/>
      <c r="E14" s="744"/>
      <c r="F14" s="744"/>
      <c r="G14" s="744"/>
      <c r="H14" s="859"/>
      <c r="I14" s="743"/>
      <c r="J14" s="743"/>
      <c r="K14" s="860"/>
    </row>
    <row r="15" spans="2:11" ht="21" customHeight="1" x14ac:dyDescent="0.2">
      <c r="C15" s="49"/>
      <c r="D15" s="49"/>
      <c r="E15" s="744"/>
      <c r="F15" s="744"/>
      <c r="G15" s="744"/>
      <c r="H15" s="859"/>
      <c r="I15" s="743"/>
      <c r="J15" s="743"/>
      <c r="K15" s="860"/>
    </row>
    <row r="16" spans="2:11"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1" customHeight="1" x14ac:dyDescent="0.2">
      <c r="E25" s="744"/>
      <c r="F25" s="744"/>
      <c r="G25" s="744"/>
      <c r="H25" s="859"/>
      <c r="I25" s="743"/>
      <c r="J25" s="743"/>
      <c r="K25" s="860"/>
    </row>
    <row r="26" spans="2:11" ht="20.45" customHeight="1" thickBot="1" x14ac:dyDescent="0.25">
      <c r="B26" s="2"/>
      <c r="C26" s="2"/>
      <c r="D26" s="2"/>
      <c r="E26" s="861"/>
      <c r="F26" s="861"/>
      <c r="G26" s="861"/>
      <c r="H26" s="870"/>
      <c r="I26" s="863"/>
      <c r="J26" s="863"/>
      <c r="K26" s="864"/>
    </row>
    <row r="27" spans="2:11" ht="16.5" thickTop="1" x14ac:dyDescent="0.25">
      <c r="B27" s="1701" t="s">
        <v>3371</v>
      </c>
      <c r="C27" s="1701"/>
      <c r="D27" s="1701"/>
      <c r="E27" s="1701"/>
      <c r="F27" s="1701"/>
      <c r="G27" s="1701"/>
      <c r="H27" s="1701"/>
      <c r="I27" s="1701"/>
      <c r="J27" s="1701"/>
      <c r="K27" s="1701"/>
    </row>
    <row r="33" spans="9:9" x14ac:dyDescent="0.2">
      <c r="I33" s="29"/>
    </row>
    <row r="34" spans="9:9" x14ac:dyDescent="0.2">
      <c r="I34" s="29"/>
    </row>
    <row r="35" spans="9:9" x14ac:dyDescent="0.2">
      <c r="I35" s="533"/>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000-000000000000}">
          <x14:formula1>
            <xm:f>'Revenue Codes'!$D$2:$D$25</xm:f>
          </x14:formula1>
          <xm:sqref>H8:H26</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dimension ref="B2:K35"/>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2.2851562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108</v>
      </c>
      <c r="E5" s="55"/>
      <c r="F5" s="55"/>
      <c r="G5" s="56"/>
      <c r="H5" s="57"/>
      <c r="I5" s="58"/>
      <c r="J5" s="58"/>
      <c r="K5" s="59"/>
    </row>
    <row r="6" spans="2:11" ht="20.45" customHeight="1" x14ac:dyDescent="0.25">
      <c r="D6" s="51"/>
      <c r="E6" s="67" t="s">
        <v>5227</v>
      </c>
      <c r="F6" s="52"/>
      <c r="G6" s="63"/>
      <c r="H6" s="64"/>
      <c r="I6" s="65"/>
      <c r="J6" s="65"/>
      <c r="K6" s="66"/>
    </row>
    <row r="7" spans="2:11" ht="20.45" customHeight="1" x14ac:dyDescent="0.25">
      <c r="C7" s="46"/>
      <c r="D7" s="47"/>
      <c r="E7" s="42" t="s">
        <v>5226</v>
      </c>
      <c r="F7" s="48"/>
      <c r="G7" s="4"/>
      <c r="H7" s="174" t="s">
        <v>97</v>
      </c>
      <c r="I7" s="198" t="s">
        <v>98</v>
      </c>
      <c r="J7" s="198" t="s">
        <v>98</v>
      </c>
      <c r="K7" s="199" t="s">
        <v>98</v>
      </c>
    </row>
    <row r="8" spans="2:11" ht="20.45"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thickBot="1" x14ac:dyDescent="0.25">
      <c r="E25" s="875"/>
      <c r="F25" s="875"/>
      <c r="G25" s="875"/>
      <c r="H25" s="859"/>
      <c r="I25" s="871"/>
      <c r="J25" s="871"/>
      <c r="K25" s="872"/>
    </row>
    <row r="26" spans="2:11" ht="20.45" customHeight="1" thickBot="1" x14ac:dyDescent="0.3">
      <c r="B26" s="2"/>
      <c r="C26" s="2"/>
      <c r="D26" s="2"/>
      <c r="E26" s="53" t="s">
        <v>5316</v>
      </c>
      <c r="F26" s="2"/>
      <c r="G26" s="2"/>
      <c r="H26" s="176" t="s">
        <v>370</v>
      </c>
      <c r="I26" s="31">
        <f>SUM(I5:I25)+SUM('7:7a'!I8:I26)</f>
        <v>0</v>
      </c>
      <c r="J26" s="31">
        <f>SUM(J5:J25)+SUM('7:7a'!J8:J26)</f>
        <v>0</v>
      </c>
      <c r="K26" s="31">
        <f>SUM(K5:K25)+SUM('7:7a'!K8:K26)</f>
        <v>0</v>
      </c>
    </row>
    <row r="27" spans="2:11" ht="16.5" thickTop="1" x14ac:dyDescent="0.25">
      <c r="B27" s="1701" t="s">
        <v>3372</v>
      </c>
      <c r="C27" s="1701"/>
      <c r="D27" s="1701"/>
      <c r="E27" s="1701"/>
      <c r="F27" s="1701"/>
      <c r="G27" s="1701"/>
      <c r="H27" s="1701"/>
      <c r="I27" s="1701"/>
      <c r="J27" s="1701"/>
      <c r="K27" s="1701"/>
    </row>
    <row r="33" spans="9:9" x14ac:dyDescent="0.2">
      <c r="I33" s="29"/>
    </row>
    <row r="34" spans="9:9" x14ac:dyDescent="0.2">
      <c r="I34" s="29"/>
    </row>
    <row r="35" spans="9:9" x14ac:dyDescent="0.2">
      <c r="I35" s="533"/>
    </row>
  </sheetData>
  <sheetProtection algorithmName="SHA-512" hashValue="5Qg+UCReLk1LJKB6bRB5eQLTgZhmu+9qz154qB1SPtkYKPMg1oPFGHLZCaIu5Ck4rrDcCY57R8b2zRLDJLyvsA==" saltValue="QyhJDc9Dd5o/1u55oSBLuA=="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100-000000000000}">
          <x14:formula1>
            <xm:f>'Revenue Codes'!$D$2:$D$25</xm:f>
          </x14:formula1>
          <xm:sqref>H8:H25</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dimension ref="B2:K27"/>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122</v>
      </c>
      <c r="E5" s="55"/>
      <c r="F5" s="55"/>
      <c r="G5" s="56"/>
      <c r="H5" s="57"/>
      <c r="I5" s="58"/>
      <c r="J5" s="58"/>
      <c r="K5" s="59"/>
    </row>
    <row r="6" spans="2:11" ht="20.45" customHeight="1" x14ac:dyDescent="0.25">
      <c r="D6" s="51"/>
      <c r="E6" s="67" t="s">
        <v>110</v>
      </c>
      <c r="F6" s="52"/>
      <c r="G6" s="63"/>
      <c r="H6" s="64"/>
      <c r="I6" s="65"/>
      <c r="J6" s="65"/>
      <c r="K6" s="66"/>
    </row>
    <row r="7" spans="2:11" ht="20.45" customHeight="1" x14ac:dyDescent="0.25">
      <c r="C7" s="46"/>
      <c r="D7" s="47"/>
      <c r="E7" s="42" t="s">
        <v>3361</v>
      </c>
      <c r="F7" s="48"/>
      <c r="G7" s="4"/>
      <c r="H7" s="174" t="s">
        <v>97</v>
      </c>
      <c r="I7" s="198" t="s">
        <v>98</v>
      </c>
      <c r="J7" s="198" t="s">
        <v>98</v>
      </c>
      <c r="K7" s="199" t="s">
        <v>98</v>
      </c>
    </row>
    <row r="8" spans="2:11" ht="20.45" customHeight="1" x14ac:dyDescent="0.2">
      <c r="C8" s="51"/>
      <c r="D8" s="52"/>
      <c r="E8" s="744"/>
      <c r="F8" s="744"/>
      <c r="G8" s="744"/>
      <c r="H8" s="859"/>
      <c r="I8" s="743"/>
      <c r="J8" s="743"/>
      <c r="K8" s="860"/>
    </row>
    <row r="9" spans="2:11" ht="21" customHeight="1" x14ac:dyDescent="0.2">
      <c r="C9" s="49"/>
      <c r="D9" s="49"/>
      <c r="E9" s="744"/>
      <c r="F9" s="744"/>
      <c r="G9" s="744"/>
      <c r="H9" s="859"/>
      <c r="I9" s="743"/>
      <c r="J9" s="743"/>
      <c r="K9" s="860"/>
    </row>
    <row r="10" spans="2:11" ht="21" customHeight="1" x14ac:dyDescent="0.2">
      <c r="C10" s="49"/>
      <c r="D10" s="49"/>
      <c r="E10" s="744"/>
      <c r="F10" s="744"/>
      <c r="G10" s="744"/>
      <c r="H10" s="859"/>
      <c r="I10" s="743"/>
      <c r="J10" s="743"/>
      <c r="K10" s="860"/>
    </row>
    <row r="11" spans="2:11" ht="21" customHeight="1" x14ac:dyDescent="0.2">
      <c r="C11" s="49"/>
      <c r="D11" s="49"/>
      <c r="E11" s="744"/>
      <c r="F11" s="744"/>
      <c r="G11" s="744"/>
      <c r="H11" s="859"/>
      <c r="I11" s="743"/>
      <c r="J11" s="743"/>
      <c r="K11" s="860"/>
    </row>
    <row r="12" spans="2:11" ht="21" customHeight="1" x14ac:dyDescent="0.2">
      <c r="C12" s="49"/>
      <c r="D12" s="49"/>
      <c r="E12" s="744"/>
      <c r="F12" s="744"/>
      <c r="G12" s="744"/>
      <c r="H12" s="859"/>
      <c r="I12" s="743"/>
      <c r="J12" s="743"/>
      <c r="K12" s="860"/>
    </row>
    <row r="13" spans="2:11" ht="21" customHeight="1" x14ac:dyDescent="0.2">
      <c r="C13" s="49"/>
      <c r="D13" s="49"/>
      <c r="E13" s="744"/>
      <c r="F13" s="744"/>
      <c r="G13" s="744"/>
      <c r="H13" s="859"/>
      <c r="I13" s="743"/>
      <c r="J13" s="743"/>
      <c r="K13" s="860"/>
    </row>
    <row r="14" spans="2:11" ht="21" customHeight="1" x14ac:dyDescent="0.2">
      <c r="C14" s="49"/>
      <c r="D14" s="49"/>
      <c r="E14" s="744"/>
      <c r="F14" s="744"/>
      <c r="G14" s="744"/>
      <c r="H14" s="859"/>
      <c r="I14" s="743"/>
      <c r="J14" s="743"/>
      <c r="K14" s="860"/>
    </row>
    <row r="15" spans="2:11" ht="21" customHeight="1" x14ac:dyDescent="0.2">
      <c r="C15" s="49"/>
      <c r="D15" s="49"/>
      <c r="E15" s="744"/>
      <c r="F15" s="744"/>
      <c r="G15" s="744"/>
      <c r="H15" s="859"/>
      <c r="I15" s="743"/>
      <c r="J15" s="743"/>
      <c r="K15" s="860"/>
    </row>
    <row r="16" spans="2:11" ht="21" customHeight="1" x14ac:dyDescent="0.2">
      <c r="C16" s="49"/>
      <c r="D16" s="49"/>
      <c r="E16" s="744"/>
      <c r="F16" s="744"/>
      <c r="G16" s="744"/>
      <c r="H16" s="859"/>
      <c r="I16" s="743"/>
      <c r="J16" s="743"/>
      <c r="K16" s="860"/>
    </row>
    <row r="17" spans="2:11" ht="21" customHeight="1" x14ac:dyDescent="0.2">
      <c r="C17" s="49"/>
      <c r="D17" s="49"/>
      <c r="E17" s="744"/>
      <c r="F17" s="744"/>
      <c r="G17" s="744"/>
      <c r="H17" s="859"/>
      <c r="I17" s="743"/>
      <c r="J17" s="743"/>
      <c r="K17" s="860"/>
    </row>
    <row r="18" spans="2:11" ht="21" customHeight="1" x14ac:dyDescent="0.2">
      <c r="C18" s="49"/>
      <c r="D18" s="49"/>
      <c r="E18" s="744"/>
      <c r="F18" s="744"/>
      <c r="G18" s="744"/>
      <c r="H18" s="859"/>
      <c r="I18" s="743"/>
      <c r="J18" s="743"/>
      <c r="K18" s="860"/>
    </row>
    <row r="19" spans="2:11" ht="21" customHeight="1" x14ac:dyDescent="0.2">
      <c r="C19" s="49"/>
      <c r="D19" s="49"/>
      <c r="E19" s="744"/>
      <c r="F19" s="744"/>
      <c r="G19" s="744"/>
      <c r="H19" s="859"/>
      <c r="I19" s="743"/>
      <c r="J19" s="743"/>
      <c r="K19" s="860"/>
    </row>
    <row r="20" spans="2:11" ht="21" customHeight="1" x14ac:dyDescent="0.2">
      <c r="C20" s="49"/>
      <c r="D20" s="49"/>
      <c r="E20" s="744"/>
      <c r="F20" s="744"/>
      <c r="G20" s="744"/>
      <c r="H20" s="859"/>
      <c r="I20" s="743"/>
      <c r="J20" s="743"/>
      <c r="K20" s="860"/>
    </row>
    <row r="21" spans="2:11" ht="21" customHeight="1" x14ac:dyDescent="0.2">
      <c r="C21" s="49"/>
      <c r="D21" s="49"/>
      <c r="E21" s="744"/>
      <c r="F21" s="744"/>
      <c r="G21" s="744"/>
      <c r="H21" s="859"/>
      <c r="I21" s="743"/>
      <c r="J21" s="743"/>
      <c r="K21" s="860"/>
    </row>
    <row r="22" spans="2:11" ht="21" customHeight="1" x14ac:dyDescent="0.2">
      <c r="C22" s="49"/>
      <c r="D22" s="49"/>
      <c r="E22" s="744"/>
      <c r="F22" s="744"/>
      <c r="G22" s="744"/>
      <c r="H22" s="859"/>
      <c r="I22" s="743"/>
      <c r="J22" s="743"/>
      <c r="K22" s="860"/>
    </row>
    <row r="23" spans="2:11" ht="21" customHeight="1" x14ac:dyDescent="0.2">
      <c r="C23" s="49"/>
      <c r="D23" s="49"/>
      <c r="E23" s="744"/>
      <c r="F23" s="744"/>
      <c r="G23" s="744"/>
      <c r="H23" s="859"/>
      <c r="I23" s="743"/>
      <c r="J23" s="743"/>
      <c r="K23" s="860"/>
    </row>
    <row r="24" spans="2:11" ht="21" customHeight="1" x14ac:dyDescent="0.2">
      <c r="E24" s="744"/>
      <c r="F24" s="744"/>
      <c r="G24" s="744"/>
      <c r="H24" s="859"/>
      <c r="I24" s="743"/>
      <c r="J24" s="743"/>
      <c r="K24" s="860"/>
    </row>
    <row r="25" spans="2:11" ht="20.45" customHeight="1" thickBot="1" x14ac:dyDescent="0.3">
      <c r="E25" s="39" t="s">
        <v>111</v>
      </c>
      <c r="F25" s="5"/>
      <c r="G25" s="5"/>
      <c r="H25" s="173" t="s">
        <v>97</v>
      </c>
      <c r="I25" s="204" t="s">
        <v>98</v>
      </c>
      <c r="J25" s="204" t="s">
        <v>98</v>
      </c>
      <c r="K25" s="205" t="s">
        <v>98</v>
      </c>
    </row>
    <row r="26" spans="2:11" ht="20.45" customHeight="1" thickBot="1" x14ac:dyDescent="0.3">
      <c r="B26" s="2"/>
      <c r="C26" s="2"/>
      <c r="D26" s="2"/>
      <c r="E26" s="53"/>
      <c r="F26" s="53" t="s">
        <v>669</v>
      </c>
      <c r="G26" s="2"/>
      <c r="H26" s="176" t="s">
        <v>371</v>
      </c>
      <c r="I26" s="31">
        <f>SUM(I5:I25)</f>
        <v>0</v>
      </c>
      <c r="J26" s="31">
        <f>SUM(J5:J25)</f>
        <v>0</v>
      </c>
      <c r="K26" s="33">
        <f>SUM(K5:K25)</f>
        <v>0</v>
      </c>
    </row>
    <row r="27" spans="2:11" ht="16.5" thickTop="1" x14ac:dyDescent="0.25">
      <c r="B27" s="1701" t="s">
        <v>113</v>
      </c>
      <c r="C27" s="1701"/>
      <c r="D27" s="1701"/>
      <c r="E27" s="1701"/>
      <c r="F27" s="1701"/>
      <c r="G27" s="1701"/>
      <c r="H27" s="1701"/>
      <c r="I27" s="1701"/>
      <c r="J27" s="1701"/>
      <c r="K27" s="1701"/>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200-000000000000}">
          <x14:formula1>
            <xm:f>'Revenue Codes'!$E$2:$E$46</xm:f>
          </x14:formula1>
          <xm:sqref>H8:H24</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5"/>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t="s">
        <v>6267</v>
      </c>
      <c r="F9" s="744"/>
      <c r="G9" s="744"/>
      <c r="H9" s="859" t="s">
        <v>4198</v>
      </c>
      <c r="I9" s="743"/>
      <c r="J9" s="743">
        <v>226550</v>
      </c>
      <c r="K9" s="860"/>
    </row>
    <row r="10" spans="2:11" ht="21" customHeight="1" x14ac:dyDescent="0.2">
      <c r="C10" s="49"/>
      <c r="D10" s="49"/>
      <c r="E10" s="744"/>
      <c r="F10" s="744"/>
      <c r="G10" s="744"/>
      <c r="H10" s="859"/>
      <c r="I10" s="743"/>
      <c r="J10" s="743"/>
      <c r="K10" s="860">
        <f t="shared" si="0"/>
        <v>0</v>
      </c>
    </row>
    <row r="11" spans="2:11" ht="21" customHeight="1" x14ac:dyDescent="0.2">
      <c r="C11" s="49"/>
      <c r="D11" s="49"/>
      <c r="E11" s="744" t="s">
        <v>6268</v>
      </c>
      <c r="F11" s="744"/>
      <c r="G11" s="744"/>
      <c r="H11" s="859" t="s">
        <v>4008</v>
      </c>
      <c r="I11" s="743">
        <v>4000</v>
      </c>
      <c r="J11" s="743">
        <v>4000</v>
      </c>
      <c r="K11" s="860">
        <f t="shared" si="0"/>
        <v>4000</v>
      </c>
    </row>
    <row r="12" spans="2:11" ht="21" customHeight="1" x14ac:dyDescent="0.2">
      <c r="C12" s="49"/>
      <c r="D12" s="49"/>
      <c r="E12" s="744"/>
      <c r="F12" s="744"/>
      <c r="G12" s="744"/>
      <c r="H12" s="859"/>
      <c r="I12" s="743"/>
      <c r="J12" s="743"/>
      <c r="K12" s="860">
        <f t="shared" si="0"/>
        <v>0</v>
      </c>
    </row>
    <row r="13" spans="2:11" ht="21" customHeight="1" x14ac:dyDescent="0.2">
      <c r="C13" s="49"/>
      <c r="D13" s="49"/>
      <c r="E13" s="744" t="s">
        <v>6269</v>
      </c>
      <c r="F13" s="744"/>
      <c r="G13" s="744"/>
      <c r="H13" s="859" t="s">
        <v>3870</v>
      </c>
      <c r="I13" s="743">
        <v>1119.8399999999999</v>
      </c>
      <c r="J13" s="743">
        <v>1119.8399999999999</v>
      </c>
      <c r="K13" s="860">
        <f t="shared" si="0"/>
        <v>1119.8399999999999</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3">
      <c r="B26" s="2"/>
      <c r="C26" s="2"/>
      <c r="D26" s="2"/>
      <c r="E26" s="873"/>
      <c r="F26" s="861"/>
      <c r="G26" s="861"/>
      <c r="H26" s="870"/>
      <c r="I26" s="863"/>
      <c r="J26" s="863"/>
      <c r="K26" s="877">
        <f t="shared" si="0"/>
        <v>0</v>
      </c>
    </row>
    <row r="27" spans="2:11" ht="16.5" thickTop="1" x14ac:dyDescent="0.25">
      <c r="B27" s="1701" t="s">
        <v>112</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300-000000000000}">
          <x14:formula1>
            <xm:f>'Other Codes'!$B$2:$B$781</xm:f>
          </x14:formula1>
          <xm:sqref>H8:H26</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6"/>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70"/>
      <c r="I26" s="863"/>
      <c r="J26" s="863"/>
      <c r="K26" s="877">
        <f t="shared" si="0"/>
        <v>0</v>
      </c>
    </row>
    <row r="27" spans="2:11" ht="16.5" thickTop="1" x14ac:dyDescent="0.25">
      <c r="B27" s="1701" t="s">
        <v>120</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400-000000000000}">
          <x14:formula1>
            <xm:f>'Other Codes'!$B$2:$B$781</xm:f>
          </x14:formula1>
          <xm:sqref>H8:H26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3242</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500-000000000000}">
          <x14:formula1>
            <xm:f>'Other Codes'!$B$2:$B$781</xm:f>
          </x14:formula1>
          <xm:sqref>H8:H26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8"/>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3241</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600-000000000000}">
          <x14:formula1>
            <xm:f>'Other Codes'!$B$2:$B$781</xm:f>
          </x14:formula1>
          <xm:sqref>H8:H26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0"/>
  <dimension ref="A1:F47"/>
  <sheetViews>
    <sheetView workbookViewId="0">
      <selection activeCell="E2" sqref="E2"/>
    </sheetView>
  </sheetViews>
  <sheetFormatPr defaultRowHeight="12.75" x14ac:dyDescent="0.2"/>
  <cols>
    <col min="1" max="1" width="15.5703125" customWidth="1"/>
    <col min="2" max="2" width="7.5703125" customWidth="1"/>
    <col min="3" max="3" width="7.85546875" customWidth="1"/>
    <col min="4" max="4" width="11.7109375" bestFit="1" customWidth="1"/>
    <col min="5" max="5" width="15.5703125" customWidth="1"/>
    <col min="6" max="6" width="19.140625" customWidth="1"/>
  </cols>
  <sheetData>
    <row r="1" spans="1:6" ht="15" x14ac:dyDescent="0.25">
      <c r="A1" s="710" t="s">
        <v>3379</v>
      </c>
      <c r="B1" s="712" t="s">
        <v>3381</v>
      </c>
      <c r="C1" s="713" t="s">
        <v>3382</v>
      </c>
      <c r="D1" s="714" t="s">
        <v>5265</v>
      </c>
      <c r="E1" s="711" t="s">
        <v>3380</v>
      </c>
      <c r="F1" s="716" t="s">
        <v>3383</v>
      </c>
    </row>
    <row r="2" spans="1:6" x14ac:dyDescent="0.2">
      <c r="A2" t="s">
        <v>518</v>
      </c>
      <c r="B2" t="s">
        <v>3384</v>
      </c>
      <c r="C2" t="s">
        <v>530</v>
      </c>
      <c r="D2" t="s">
        <v>3385</v>
      </c>
      <c r="E2" t="s">
        <v>517</v>
      </c>
      <c r="F2" t="s">
        <v>517</v>
      </c>
    </row>
    <row r="3" spans="1:6" x14ac:dyDescent="0.2">
      <c r="A3" t="s">
        <v>519</v>
      </c>
      <c r="B3" t="s">
        <v>3387</v>
      </c>
      <c r="C3" t="s">
        <v>3388</v>
      </c>
      <c r="D3" t="s">
        <v>3389</v>
      </c>
      <c r="E3" t="s">
        <v>518</v>
      </c>
      <c r="F3" t="s">
        <v>518</v>
      </c>
    </row>
    <row r="4" spans="1:6" x14ac:dyDescent="0.2">
      <c r="A4" t="s">
        <v>520</v>
      </c>
      <c r="B4" t="s">
        <v>3391</v>
      </c>
      <c r="C4" t="s">
        <v>5266</v>
      </c>
      <c r="D4" t="s">
        <v>3392</v>
      </c>
      <c r="E4" t="s">
        <v>519</v>
      </c>
      <c r="F4" t="s">
        <v>519</v>
      </c>
    </row>
    <row r="5" spans="1:6" x14ac:dyDescent="0.2">
      <c r="A5" t="s">
        <v>3386</v>
      </c>
      <c r="B5" t="s">
        <v>3395</v>
      </c>
      <c r="D5" t="s">
        <v>3396</v>
      </c>
      <c r="E5" t="s">
        <v>520</v>
      </c>
      <c r="F5" t="s">
        <v>520</v>
      </c>
    </row>
    <row r="6" spans="1:6" x14ac:dyDescent="0.2">
      <c r="A6" t="s">
        <v>3390</v>
      </c>
      <c r="B6" t="s">
        <v>3399</v>
      </c>
      <c r="D6" t="s">
        <v>3400</v>
      </c>
      <c r="E6" t="s">
        <v>5264</v>
      </c>
      <c r="F6" t="s">
        <v>5264</v>
      </c>
    </row>
    <row r="7" spans="1:6" x14ac:dyDescent="0.2">
      <c r="A7" t="s">
        <v>522</v>
      </c>
      <c r="B7" t="s">
        <v>3402</v>
      </c>
      <c r="D7" t="s">
        <v>3403</v>
      </c>
      <c r="E7" t="s">
        <v>3386</v>
      </c>
      <c r="F7" t="s">
        <v>3386</v>
      </c>
    </row>
    <row r="8" spans="1:6" x14ac:dyDescent="0.2">
      <c r="A8" t="s">
        <v>521</v>
      </c>
      <c r="B8" t="s">
        <v>3405</v>
      </c>
      <c r="D8" t="s">
        <v>3406</v>
      </c>
      <c r="E8" t="s">
        <v>3390</v>
      </c>
      <c r="F8" t="s">
        <v>3386</v>
      </c>
    </row>
    <row r="9" spans="1:6" x14ac:dyDescent="0.2">
      <c r="A9" t="s">
        <v>525</v>
      </c>
      <c r="B9" t="s">
        <v>3409</v>
      </c>
      <c r="D9" t="s">
        <v>3410</v>
      </c>
      <c r="E9" t="s">
        <v>522</v>
      </c>
      <c r="F9" t="s">
        <v>3390</v>
      </c>
    </row>
    <row r="10" spans="1:6" x14ac:dyDescent="0.2">
      <c r="A10" t="s">
        <v>523</v>
      </c>
      <c r="B10" t="s">
        <v>3412</v>
      </c>
      <c r="D10" t="s">
        <v>3413</v>
      </c>
      <c r="E10" t="s">
        <v>521</v>
      </c>
      <c r="F10" t="s">
        <v>522</v>
      </c>
    </row>
    <row r="11" spans="1:6" x14ac:dyDescent="0.2">
      <c r="A11" t="s">
        <v>526</v>
      </c>
      <c r="B11" t="s">
        <v>3416</v>
      </c>
      <c r="D11" t="s">
        <v>3417</v>
      </c>
      <c r="E11" t="s">
        <v>525</v>
      </c>
      <c r="F11" t="s">
        <v>521</v>
      </c>
    </row>
    <row r="12" spans="1:6" x14ac:dyDescent="0.2">
      <c r="A12" t="s">
        <v>527</v>
      </c>
      <c r="B12" t="s">
        <v>3419</v>
      </c>
      <c r="D12" t="s">
        <v>3420</v>
      </c>
      <c r="E12" t="s">
        <v>523</v>
      </c>
      <c r="F12" t="s">
        <v>525</v>
      </c>
    </row>
    <row r="13" spans="1:6" x14ac:dyDescent="0.2">
      <c r="A13" t="s">
        <v>524</v>
      </c>
      <c r="D13" t="s">
        <v>3423</v>
      </c>
      <c r="E13" t="s">
        <v>526</v>
      </c>
      <c r="F13" t="s">
        <v>523</v>
      </c>
    </row>
    <row r="14" spans="1:6" x14ac:dyDescent="0.2">
      <c r="A14" t="s">
        <v>3393</v>
      </c>
      <c r="D14" t="s">
        <v>3424</v>
      </c>
      <c r="E14" t="s">
        <v>527</v>
      </c>
      <c r="F14" t="s">
        <v>526</v>
      </c>
    </row>
    <row r="15" spans="1:6" x14ac:dyDescent="0.2">
      <c r="A15" t="s">
        <v>3397</v>
      </c>
      <c r="D15" t="s">
        <v>3426</v>
      </c>
      <c r="E15" t="s">
        <v>524</v>
      </c>
      <c r="F15" t="s">
        <v>527</v>
      </c>
    </row>
    <row r="16" spans="1:6" x14ac:dyDescent="0.2">
      <c r="A16" t="s">
        <v>3401</v>
      </c>
      <c r="D16" t="s">
        <v>3428</v>
      </c>
      <c r="E16" t="s">
        <v>3394</v>
      </c>
      <c r="F16" t="s">
        <v>524</v>
      </c>
    </row>
    <row r="17" spans="1:6" x14ac:dyDescent="0.2">
      <c r="A17" t="s">
        <v>3404</v>
      </c>
      <c r="D17" t="s">
        <v>3430</v>
      </c>
      <c r="E17" t="s">
        <v>3398</v>
      </c>
      <c r="F17" t="s">
        <v>3394</v>
      </c>
    </row>
    <row r="18" spans="1:6" x14ac:dyDescent="0.2">
      <c r="A18" t="s">
        <v>3407</v>
      </c>
      <c r="D18" t="s">
        <v>3431</v>
      </c>
      <c r="E18" t="s">
        <v>3393</v>
      </c>
      <c r="F18" t="s">
        <v>3398</v>
      </c>
    </row>
    <row r="19" spans="1:6" x14ac:dyDescent="0.2">
      <c r="A19" t="s">
        <v>3411</v>
      </c>
      <c r="D19" t="s">
        <v>3432</v>
      </c>
      <c r="E19" t="s">
        <v>3397</v>
      </c>
      <c r="F19" t="s">
        <v>3393</v>
      </c>
    </row>
    <row r="20" spans="1:6" x14ac:dyDescent="0.2">
      <c r="A20" t="s">
        <v>3414</v>
      </c>
      <c r="D20" t="s">
        <v>3433</v>
      </c>
      <c r="E20" t="s">
        <v>3408</v>
      </c>
      <c r="F20" t="s">
        <v>3397</v>
      </c>
    </row>
    <row r="21" spans="1:6" x14ac:dyDescent="0.2">
      <c r="A21" t="s">
        <v>3418</v>
      </c>
      <c r="D21" t="s">
        <v>3434</v>
      </c>
      <c r="E21" t="s">
        <v>3401</v>
      </c>
      <c r="F21" t="s">
        <v>3408</v>
      </c>
    </row>
    <row r="22" spans="1:6" x14ac:dyDescent="0.2">
      <c r="A22" t="s">
        <v>3421</v>
      </c>
      <c r="D22" t="s">
        <v>3436</v>
      </c>
      <c r="E22" t="s">
        <v>3415</v>
      </c>
      <c r="F22" t="s">
        <v>3401</v>
      </c>
    </row>
    <row r="23" spans="1:6" x14ac:dyDescent="0.2">
      <c r="A23" t="s">
        <v>3441</v>
      </c>
      <c r="D23" t="s">
        <v>3438</v>
      </c>
      <c r="E23" t="s">
        <v>3404</v>
      </c>
      <c r="F23" t="s">
        <v>3415</v>
      </c>
    </row>
    <row r="24" spans="1:6" x14ac:dyDescent="0.2">
      <c r="A24" t="s">
        <v>3444</v>
      </c>
      <c r="D24" t="s">
        <v>3440</v>
      </c>
      <c r="E24" t="s">
        <v>3422</v>
      </c>
      <c r="F24" t="s">
        <v>3404</v>
      </c>
    </row>
    <row r="25" spans="1:6" x14ac:dyDescent="0.2">
      <c r="A25" t="s">
        <v>3446</v>
      </c>
      <c r="D25" t="s">
        <v>3442</v>
      </c>
      <c r="E25" t="s">
        <v>3407</v>
      </c>
      <c r="F25" t="s">
        <v>3422</v>
      </c>
    </row>
    <row r="26" spans="1:6" x14ac:dyDescent="0.2">
      <c r="A26" t="s">
        <v>3448</v>
      </c>
      <c r="E26" t="s">
        <v>3425</v>
      </c>
      <c r="F26" t="s">
        <v>3407</v>
      </c>
    </row>
    <row r="27" spans="1:6" x14ac:dyDescent="0.2">
      <c r="A27" t="s">
        <v>3450</v>
      </c>
      <c r="E27" t="s">
        <v>3427</v>
      </c>
      <c r="F27" t="s">
        <v>3425</v>
      </c>
    </row>
    <row r="28" spans="1:6" x14ac:dyDescent="0.2">
      <c r="A28" t="s">
        <v>3452</v>
      </c>
      <c r="E28" t="s">
        <v>3429</v>
      </c>
      <c r="F28" t="s">
        <v>3427</v>
      </c>
    </row>
    <row r="29" spans="1:6" x14ac:dyDescent="0.2">
      <c r="A29" t="s">
        <v>3454</v>
      </c>
      <c r="E29" t="s">
        <v>3411</v>
      </c>
      <c r="F29" t="s">
        <v>3429</v>
      </c>
    </row>
    <row r="30" spans="1:6" x14ac:dyDescent="0.2">
      <c r="A30" t="s">
        <v>3456</v>
      </c>
      <c r="E30" t="s">
        <v>3414</v>
      </c>
      <c r="F30" t="s">
        <v>3411</v>
      </c>
    </row>
    <row r="31" spans="1:6" x14ac:dyDescent="0.2">
      <c r="A31" t="s">
        <v>3458</v>
      </c>
      <c r="E31" t="s">
        <v>3418</v>
      </c>
      <c r="F31" t="s">
        <v>3414</v>
      </c>
    </row>
    <row r="32" spans="1:6" x14ac:dyDescent="0.2">
      <c r="A32" t="s">
        <v>3460</v>
      </c>
      <c r="E32" t="s">
        <v>3421</v>
      </c>
      <c r="F32" t="s">
        <v>3418</v>
      </c>
    </row>
    <row r="33" spans="1:6" x14ac:dyDescent="0.2">
      <c r="A33" t="s">
        <v>3462</v>
      </c>
      <c r="E33" t="s">
        <v>3435</v>
      </c>
      <c r="F33" t="s">
        <v>3421</v>
      </c>
    </row>
    <row r="34" spans="1:6" x14ac:dyDescent="0.2">
      <c r="E34" t="s">
        <v>3437</v>
      </c>
      <c r="F34" t="s">
        <v>3435</v>
      </c>
    </row>
    <row r="35" spans="1:6" x14ac:dyDescent="0.2">
      <c r="E35" t="s">
        <v>3439</v>
      </c>
      <c r="F35" t="s">
        <v>3437</v>
      </c>
    </row>
    <row r="36" spans="1:6" x14ac:dyDescent="0.2">
      <c r="E36" t="s">
        <v>3443</v>
      </c>
      <c r="F36" t="s">
        <v>3439</v>
      </c>
    </row>
    <row r="37" spans="1:6" x14ac:dyDescent="0.2">
      <c r="E37" t="s">
        <v>3445</v>
      </c>
      <c r="F37" t="s">
        <v>3443</v>
      </c>
    </row>
    <row r="38" spans="1:6" x14ac:dyDescent="0.2">
      <c r="E38" t="s">
        <v>3447</v>
      </c>
      <c r="F38" t="s">
        <v>3445</v>
      </c>
    </row>
    <row r="39" spans="1:6" x14ac:dyDescent="0.2">
      <c r="E39" t="s">
        <v>3449</v>
      </c>
      <c r="F39" t="s">
        <v>3447</v>
      </c>
    </row>
    <row r="40" spans="1:6" x14ac:dyDescent="0.2">
      <c r="E40" t="s">
        <v>3451</v>
      </c>
      <c r="F40" t="s">
        <v>3449</v>
      </c>
    </row>
    <row r="41" spans="1:6" x14ac:dyDescent="0.2">
      <c r="E41" t="s">
        <v>3453</v>
      </c>
      <c r="F41" t="s">
        <v>3451</v>
      </c>
    </row>
    <row r="42" spans="1:6" x14ac:dyDescent="0.2">
      <c r="E42" t="s">
        <v>3455</v>
      </c>
      <c r="F42" t="s">
        <v>3453</v>
      </c>
    </row>
    <row r="43" spans="1:6" x14ac:dyDescent="0.2">
      <c r="E43" t="s">
        <v>3457</v>
      </c>
      <c r="F43" t="s">
        <v>3455</v>
      </c>
    </row>
    <row r="44" spans="1:6" x14ac:dyDescent="0.2">
      <c r="E44" t="s">
        <v>3459</v>
      </c>
      <c r="F44" t="s">
        <v>3457</v>
      </c>
    </row>
    <row r="45" spans="1:6" x14ac:dyDescent="0.2">
      <c r="E45" t="s">
        <v>3461</v>
      </c>
      <c r="F45" t="s">
        <v>3459</v>
      </c>
    </row>
    <row r="46" spans="1:6" x14ac:dyDescent="0.2">
      <c r="E46" t="s">
        <v>3463</v>
      </c>
      <c r="F46" t="s">
        <v>3461</v>
      </c>
    </row>
    <row r="47" spans="1:6" x14ac:dyDescent="0.2">
      <c r="F47" t="s">
        <v>3463</v>
      </c>
    </row>
  </sheetData>
  <sortState xmlns:xlrd2="http://schemas.microsoft.com/office/spreadsheetml/2017/richdata2" ref="A2:F48">
    <sortCondition ref="A1"/>
  </sortState>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9"/>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3240</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700-000000000000}">
          <x14:formula1>
            <xm:f>'Other Codes'!$B$2:$B$781</xm:f>
          </x14:formula1>
          <xm:sqref>H8:H26</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0"/>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3259</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800-000000000000}">
          <x14:formula1>
            <xm:f>'Other Codes'!$B$2:$B$781</xm:f>
          </x14:formula1>
          <xm:sqref>H8:H26</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31"/>
  <dimension ref="B2:K43"/>
  <sheetViews>
    <sheetView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3260</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900-000000000000}">
          <x14:formula1>
            <xm:f>'Other Codes'!$B$2:$B$781</xm:f>
          </x14:formula1>
          <xm:sqref>H8:H26</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2"/>
  <dimension ref="B2:K43"/>
  <sheetViews>
    <sheetView topLeftCell="A7"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3261</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A00-000000000000}">
          <x14:formula1>
            <xm:f>'Other Codes'!$B$2:$B$781</xm:f>
          </x14:formula1>
          <xm:sqref>H8:H26</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33"/>
  <dimension ref="B2:K43"/>
  <sheetViews>
    <sheetView topLeftCell="A10" zoomScale="92" zoomScaleNormal="8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855468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372</v>
      </c>
      <c r="F6" s="52"/>
      <c r="G6" s="63"/>
      <c r="H6" s="64"/>
      <c r="I6" s="65"/>
      <c r="J6" s="65"/>
      <c r="K6" s="66"/>
    </row>
    <row r="7" spans="2:11" ht="20.45" customHeight="1" x14ac:dyDescent="0.25">
      <c r="C7" s="46"/>
      <c r="D7" s="47"/>
      <c r="E7" s="42" t="s">
        <v>670</v>
      </c>
      <c r="F7" s="48"/>
      <c r="G7" s="4"/>
      <c r="H7" s="174" t="s">
        <v>97</v>
      </c>
      <c r="I7" s="198" t="s">
        <v>98</v>
      </c>
      <c r="J7" s="198" t="s">
        <v>98</v>
      </c>
      <c r="K7" s="199" t="s">
        <v>98</v>
      </c>
    </row>
    <row r="8" spans="2:11" ht="21" customHeight="1" x14ac:dyDescent="0.2">
      <c r="C8" s="51"/>
      <c r="D8" s="52"/>
      <c r="E8" s="744"/>
      <c r="F8" s="744"/>
      <c r="G8" s="744"/>
      <c r="H8" s="859"/>
      <c r="I8" s="743"/>
      <c r="J8" s="743"/>
      <c r="K8" s="860">
        <f t="shared" ref="K8:K26" si="0">+J8</f>
        <v>0</v>
      </c>
    </row>
    <row r="9" spans="2:11" ht="21" customHeight="1" x14ac:dyDescent="0.2">
      <c r="C9" s="49"/>
      <c r="D9" s="49"/>
      <c r="E9" s="744"/>
      <c r="F9" s="744"/>
      <c r="G9" s="744"/>
      <c r="H9" s="859"/>
      <c r="I9" s="743"/>
      <c r="J9" s="743"/>
      <c r="K9" s="860">
        <f t="shared" si="0"/>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si="0"/>
        <v>0</v>
      </c>
    </row>
    <row r="18" spans="2:11" ht="21" customHeight="1" x14ac:dyDescent="0.2">
      <c r="C18" s="49"/>
      <c r="D18" s="49"/>
      <c r="E18" s="744"/>
      <c r="F18" s="744"/>
      <c r="G18" s="744"/>
      <c r="H18" s="859"/>
      <c r="I18" s="743"/>
      <c r="J18" s="743"/>
      <c r="K18" s="860">
        <f t="shared" si="0"/>
        <v>0</v>
      </c>
    </row>
    <row r="19" spans="2:11" ht="21" customHeight="1" x14ac:dyDescent="0.2">
      <c r="C19" s="49"/>
      <c r="D19" s="49"/>
      <c r="E19" s="744"/>
      <c r="F19" s="744"/>
      <c r="G19" s="744"/>
      <c r="H19" s="859"/>
      <c r="I19" s="743"/>
      <c r="J19" s="743"/>
      <c r="K19" s="860">
        <f t="shared" si="0"/>
        <v>0</v>
      </c>
    </row>
    <row r="20" spans="2:11" ht="21" customHeight="1" x14ac:dyDescent="0.2">
      <c r="C20" s="49"/>
      <c r="D20" s="49"/>
      <c r="E20" s="744"/>
      <c r="F20" s="744"/>
      <c r="G20" s="744"/>
      <c r="H20" s="859"/>
      <c r="I20" s="743"/>
      <c r="J20" s="743"/>
      <c r="K20" s="860">
        <f t="shared" si="0"/>
        <v>0</v>
      </c>
    </row>
    <row r="21" spans="2:11" ht="21" customHeight="1" x14ac:dyDescent="0.2">
      <c r="C21" s="49"/>
      <c r="D21" s="49"/>
      <c r="E21" s="744"/>
      <c r="F21" s="744"/>
      <c r="G21" s="744"/>
      <c r="H21" s="859"/>
      <c r="I21" s="743"/>
      <c r="J21" s="743"/>
      <c r="K21" s="860">
        <f t="shared" si="0"/>
        <v>0</v>
      </c>
    </row>
    <row r="22" spans="2:11" ht="21" customHeight="1" x14ac:dyDescent="0.2">
      <c r="C22" s="49"/>
      <c r="D22" s="49"/>
      <c r="E22" s="744"/>
      <c r="F22" s="744"/>
      <c r="G22" s="744"/>
      <c r="H22" s="859"/>
      <c r="I22" s="743"/>
      <c r="J22" s="743"/>
      <c r="K22" s="860">
        <f t="shared" si="0"/>
        <v>0</v>
      </c>
    </row>
    <row r="23" spans="2:11" ht="21" customHeight="1" x14ac:dyDescent="0.2">
      <c r="C23" s="49"/>
      <c r="D23" s="49"/>
      <c r="E23" s="744"/>
      <c r="F23" s="744"/>
      <c r="G23" s="744"/>
      <c r="H23" s="859"/>
      <c r="I23" s="743"/>
      <c r="J23" s="743"/>
      <c r="K23" s="860">
        <f t="shared" si="0"/>
        <v>0</v>
      </c>
    </row>
    <row r="24" spans="2:11" ht="21" customHeight="1" x14ac:dyDescent="0.2">
      <c r="E24" s="744"/>
      <c r="F24" s="744"/>
      <c r="G24" s="744"/>
      <c r="H24" s="859"/>
      <c r="I24" s="743"/>
      <c r="J24" s="743"/>
      <c r="K24" s="860">
        <f t="shared" si="0"/>
        <v>0</v>
      </c>
    </row>
    <row r="25" spans="2:11" ht="21" customHeight="1" x14ac:dyDescent="0.2">
      <c r="E25" s="744"/>
      <c r="F25" s="744"/>
      <c r="G25" s="744"/>
      <c r="H25" s="859"/>
      <c r="I25" s="743"/>
      <c r="J25" s="743"/>
      <c r="K25" s="860">
        <f t="shared" si="0"/>
        <v>0</v>
      </c>
    </row>
    <row r="26" spans="2:11" ht="20.45" customHeight="1" thickBot="1" x14ac:dyDescent="0.25">
      <c r="B26" s="2"/>
      <c r="C26" s="2"/>
      <c r="D26" s="2"/>
      <c r="E26" s="861"/>
      <c r="F26" s="861"/>
      <c r="G26" s="861"/>
      <c r="H26" s="881"/>
      <c r="I26" s="863"/>
      <c r="J26" s="863"/>
      <c r="K26" s="877">
        <f t="shared" si="0"/>
        <v>0</v>
      </c>
    </row>
    <row r="27" spans="2:11" ht="16.5" thickTop="1" x14ac:dyDescent="0.25">
      <c r="B27" s="1701" t="s">
        <v>3262</v>
      </c>
      <c r="C27" s="1701"/>
      <c r="D27" s="1701"/>
      <c r="E27" s="1701"/>
      <c r="F27" s="1701"/>
      <c r="G27" s="1701"/>
      <c r="H27" s="1701"/>
      <c r="I27" s="1701"/>
      <c r="J27" s="1701"/>
      <c r="K27" s="1701"/>
    </row>
    <row r="31" spans="2:11" x14ac:dyDescent="0.2">
      <c r="J31" s="29"/>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row r="42" spans="10:10" x14ac:dyDescent="0.2">
      <c r="J42" s="180"/>
    </row>
    <row r="43" spans="10:10" x14ac:dyDescent="0.2">
      <c r="J43" s="180"/>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B00-000000000000}">
          <x14:formula1>
            <xm:f>'Other Codes'!$B$2:$B$781</xm:f>
          </x14:formula1>
          <xm:sqref>H8:H26</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34"/>
  <dimension ref="B2:K35"/>
  <sheetViews>
    <sheetView zoomScale="92" workbookViewId="0">
      <selection activeCell="F25" sqref="F25"/>
    </sheetView>
  </sheetViews>
  <sheetFormatPr defaultRowHeight="12.75" x14ac:dyDescent="0.2"/>
  <cols>
    <col min="1" max="1" width="2.42578125" customWidth="1"/>
    <col min="2" max="3" width="3.7109375" customWidth="1"/>
    <col min="4" max="4" width="4.7109375" customWidth="1"/>
    <col min="5" max="5" width="4.140625" customWidth="1"/>
    <col min="6" max="6" width="16.7109375" customWidth="1"/>
    <col min="7" max="7" width="75.4257812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119</v>
      </c>
      <c r="E5" s="55"/>
      <c r="F5" s="55"/>
      <c r="G5" s="56"/>
      <c r="H5" s="57"/>
      <c r="I5" s="58"/>
      <c r="J5" s="58"/>
      <c r="K5" s="59"/>
    </row>
    <row r="6" spans="2:11" ht="20.45" customHeight="1" x14ac:dyDescent="0.25">
      <c r="D6" s="51"/>
      <c r="E6" s="67" t="s">
        <v>373</v>
      </c>
      <c r="F6" s="52"/>
      <c r="G6" s="63"/>
      <c r="H6" s="64"/>
      <c r="I6" s="65"/>
      <c r="J6" s="65"/>
      <c r="K6" s="66"/>
    </row>
    <row r="7" spans="2:11" ht="20.45" customHeight="1" x14ac:dyDescent="0.25">
      <c r="C7" s="46"/>
      <c r="D7" s="47"/>
      <c r="E7" s="42" t="s">
        <v>671</v>
      </c>
      <c r="F7" s="48"/>
      <c r="G7" s="4"/>
      <c r="H7" s="174" t="s">
        <v>97</v>
      </c>
      <c r="I7" s="198" t="s">
        <v>98</v>
      </c>
      <c r="J7" s="198" t="s">
        <v>98</v>
      </c>
      <c r="K7" s="199" t="s">
        <v>98</v>
      </c>
    </row>
    <row r="8" spans="2:11" ht="20.45" customHeight="1" x14ac:dyDescent="0.2">
      <c r="C8" s="51"/>
      <c r="D8" s="52"/>
      <c r="E8" s="744"/>
      <c r="F8" s="744"/>
      <c r="G8" s="744"/>
      <c r="H8" s="859"/>
      <c r="I8" s="743"/>
      <c r="J8" s="743"/>
      <c r="K8" s="860">
        <f>+J8</f>
        <v>0</v>
      </c>
    </row>
    <row r="9" spans="2:11" ht="21" customHeight="1" x14ac:dyDescent="0.2">
      <c r="C9" s="49"/>
      <c r="D9" s="49"/>
      <c r="E9" s="744"/>
      <c r="F9" s="744"/>
      <c r="G9" s="744"/>
      <c r="H9" s="859"/>
      <c r="I9" s="743"/>
      <c r="J9" s="743"/>
      <c r="K9" s="860">
        <f t="shared" ref="K9:K16" si="0">+J9</f>
        <v>0</v>
      </c>
    </row>
    <row r="10" spans="2:11" ht="21" customHeight="1" x14ac:dyDescent="0.2">
      <c r="C10" s="49"/>
      <c r="D10" s="49"/>
      <c r="E10" s="744"/>
      <c r="F10" s="744"/>
      <c r="G10" s="744"/>
      <c r="H10" s="859"/>
      <c r="I10" s="743"/>
      <c r="J10" s="743"/>
      <c r="K10" s="860">
        <f t="shared" si="0"/>
        <v>0</v>
      </c>
    </row>
    <row r="11" spans="2:11" ht="21" customHeight="1" x14ac:dyDescent="0.2">
      <c r="C11" s="49"/>
      <c r="D11" s="49"/>
      <c r="E11" s="744"/>
      <c r="F11" s="744"/>
      <c r="G11" s="744"/>
      <c r="H11" s="859"/>
      <c r="I11" s="743"/>
      <c r="J11" s="743"/>
      <c r="K11" s="860">
        <f t="shared" si="0"/>
        <v>0</v>
      </c>
    </row>
    <row r="12" spans="2:11" ht="21" customHeight="1" x14ac:dyDescent="0.2">
      <c r="C12" s="49"/>
      <c r="D12" s="49"/>
      <c r="E12" s="744"/>
      <c r="F12" s="744"/>
      <c r="G12" s="744"/>
      <c r="H12" s="859"/>
      <c r="I12" s="743"/>
      <c r="J12" s="743"/>
      <c r="K12" s="860">
        <f t="shared" si="0"/>
        <v>0</v>
      </c>
    </row>
    <row r="13" spans="2:11" ht="21" customHeight="1" x14ac:dyDescent="0.2">
      <c r="C13" s="49"/>
      <c r="D13" s="49"/>
      <c r="E13" s="744"/>
      <c r="F13" s="744"/>
      <c r="G13" s="744"/>
      <c r="H13" s="859"/>
      <c r="I13" s="743"/>
      <c r="J13" s="743"/>
      <c r="K13" s="860">
        <f t="shared" si="0"/>
        <v>0</v>
      </c>
    </row>
    <row r="14" spans="2:11" ht="21" customHeight="1" x14ac:dyDescent="0.2">
      <c r="C14" s="49"/>
      <c r="D14" s="49"/>
      <c r="E14" s="744"/>
      <c r="F14" s="744"/>
      <c r="G14" s="744"/>
      <c r="H14" s="859"/>
      <c r="I14" s="743"/>
      <c r="J14" s="743"/>
      <c r="K14" s="860">
        <f t="shared" si="0"/>
        <v>0</v>
      </c>
    </row>
    <row r="15" spans="2:11" ht="21" customHeight="1" x14ac:dyDescent="0.2">
      <c r="C15" s="49"/>
      <c r="D15" s="49"/>
      <c r="E15" s="744"/>
      <c r="F15" s="744"/>
      <c r="G15" s="744"/>
      <c r="H15" s="859"/>
      <c r="I15" s="743"/>
      <c r="J15" s="743"/>
      <c r="K15" s="860">
        <f t="shared" si="0"/>
        <v>0</v>
      </c>
    </row>
    <row r="16" spans="2:11" ht="21" customHeight="1" x14ac:dyDescent="0.2">
      <c r="C16" s="49"/>
      <c r="D16" s="49"/>
      <c r="E16" s="744"/>
      <c r="F16" s="744"/>
      <c r="G16" s="744"/>
      <c r="H16" s="859"/>
      <c r="I16" s="743"/>
      <c r="J16" s="743"/>
      <c r="K16" s="860">
        <f t="shared" si="0"/>
        <v>0</v>
      </c>
    </row>
    <row r="17" spans="2:11" ht="21" customHeight="1" x14ac:dyDescent="0.2">
      <c r="C17" s="49"/>
      <c r="D17" s="49"/>
      <c r="E17" s="744"/>
      <c r="F17" s="744"/>
      <c r="G17" s="744"/>
      <c r="H17" s="859"/>
      <c r="I17" s="743"/>
      <c r="J17" s="743"/>
      <c r="K17" s="860">
        <f t="shared" ref="K17:K24" si="1">+J17</f>
        <v>0</v>
      </c>
    </row>
    <row r="18" spans="2:11" ht="21" customHeight="1" x14ac:dyDescent="0.2">
      <c r="C18" s="49"/>
      <c r="D18" s="49"/>
      <c r="E18" s="744"/>
      <c r="F18" s="744"/>
      <c r="G18" s="744"/>
      <c r="H18" s="859"/>
      <c r="I18" s="743"/>
      <c r="J18" s="743"/>
      <c r="K18" s="860">
        <f t="shared" si="1"/>
        <v>0</v>
      </c>
    </row>
    <row r="19" spans="2:11" ht="21" customHeight="1" x14ac:dyDescent="0.2">
      <c r="C19" s="49"/>
      <c r="D19" s="49"/>
      <c r="E19" s="744"/>
      <c r="F19" s="744"/>
      <c r="G19" s="744"/>
      <c r="H19" s="859"/>
      <c r="I19" s="743"/>
      <c r="J19" s="743"/>
      <c r="K19" s="860">
        <f t="shared" si="1"/>
        <v>0</v>
      </c>
    </row>
    <row r="20" spans="2:11" ht="21" customHeight="1" x14ac:dyDescent="0.2">
      <c r="C20" s="49"/>
      <c r="D20" s="49"/>
      <c r="E20" s="744"/>
      <c r="F20" s="744"/>
      <c r="G20" s="744"/>
      <c r="H20" s="859"/>
      <c r="I20" s="743"/>
      <c r="J20" s="743"/>
      <c r="K20" s="860">
        <f t="shared" si="1"/>
        <v>0</v>
      </c>
    </row>
    <row r="21" spans="2:11" ht="21" customHeight="1" x14ac:dyDescent="0.2">
      <c r="C21" s="49"/>
      <c r="D21" s="49"/>
      <c r="E21" s="744"/>
      <c r="F21" s="744"/>
      <c r="G21" s="744"/>
      <c r="H21" s="859"/>
      <c r="I21" s="743"/>
      <c r="J21" s="743"/>
      <c r="K21" s="860">
        <f t="shared" si="1"/>
        <v>0</v>
      </c>
    </row>
    <row r="22" spans="2:11" ht="21" customHeight="1" x14ac:dyDescent="0.2">
      <c r="C22" s="49"/>
      <c r="D22" s="49"/>
      <c r="E22" s="744"/>
      <c r="F22" s="744"/>
      <c r="G22" s="744"/>
      <c r="H22" s="859"/>
      <c r="I22" s="743"/>
      <c r="J22" s="743"/>
      <c r="K22" s="860">
        <f t="shared" si="1"/>
        <v>0</v>
      </c>
    </row>
    <row r="23" spans="2:11" ht="21" customHeight="1" x14ac:dyDescent="0.2">
      <c r="C23" s="49"/>
      <c r="D23" s="49"/>
      <c r="E23" s="744"/>
      <c r="F23" s="744"/>
      <c r="G23" s="744"/>
      <c r="H23" s="859"/>
      <c r="I23" s="743"/>
      <c r="J23" s="743"/>
      <c r="K23" s="860">
        <f t="shared" si="1"/>
        <v>0</v>
      </c>
    </row>
    <row r="24" spans="2:11" ht="21" customHeight="1" x14ac:dyDescent="0.2">
      <c r="E24" s="744"/>
      <c r="F24" s="744"/>
      <c r="G24" s="744"/>
      <c r="H24" s="859"/>
      <c r="I24" s="743"/>
      <c r="J24" s="743"/>
      <c r="K24" s="860">
        <f t="shared" si="1"/>
        <v>0</v>
      </c>
    </row>
    <row r="25" spans="2:11" ht="20.45" customHeight="1" thickBot="1" x14ac:dyDescent="0.3">
      <c r="E25" s="39" t="s">
        <v>121</v>
      </c>
      <c r="F25" s="5"/>
      <c r="G25" s="5"/>
      <c r="H25" s="173" t="s">
        <v>97</v>
      </c>
      <c r="I25" s="204" t="s">
        <v>98</v>
      </c>
      <c r="J25" s="204" t="s">
        <v>98</v>
      </c>
      <c r="K25" s="205" t="s">
        <v>98</v>
      </c>
    </row>
    <row r="26" spans="2:11" ht="20.45" customHeight="1" thickBot="1" x14ac:dyDescent="0.3">
      <c r="B26" s="2"/>
      <c r="C26" s="2"/>
      <c r="D26" s="2"/>
      <c r="E26" s="53"/>
      <c r="F26" s="53" t="s">
        <v>672</v>
      </c>
      <c r="G26" s="2"/>
      <c r="H26" s="176" t="s">
        <v>374</v>
      </c>
      <c r="I26" s="31">
        <f>+SUM('9:9h'!I8:I26)+SUM('9 TOTAL'!I8:I24)</f>
        <v>5119.84</v>
      </c>
      <c r="J26" s="31">
        <f>+SUM('9:9h'!J8:J26)+SUM('9 TOTAL'!J8:J24)</f>
        <v>231669.84</v>
      </c>
      <c r="K26" s="31">
        <f>+SUM('9:9h'!K8:K26)+SUM('9 TOTAL'!K8:K24)</f>
        <v>5119.84</v>
      </c>
    </row>
    <row r="27" spans="2:11" ht="16.5" thickTop="1" x14ac:dyDescent="0.25">
      <c r="B27" s="1701" t="s">
        <v>3263</v>
      </c>
      <c r="C27" s="1701"/>
      <c r="D27" s="1701"/>
      <c r="E27" s="1701"/>
      <c r="F27" s="1701"/>
      <c r="G27" s="1701"/>
      <c r="H27" s="1701"/>
      <c r="I27" s="1701"/>
      <c r="J27" s="1701"/>
      <c r="K27" s="1701"/>
    </row>
    <row r="33" spans="9:10" x14ac:dyDescent="0.2">
      <c r="I33" s="29"/>
      <c r="J33" s="29"/>
    </row>
    <row r="34" spans="9:10" x14ac:dyDescent="0.2">
      <c r="J34" s="29"/>
    </row>
    <row r="35" spans="9:10" x14ac:dyDescent="0.2">
      <c r="J35" s="29"/>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C00-000000000000}">
          <x14:formula1>
            <xm:f>'Other Codes'!$B$2:$B$781</xm:f>
          </x14:formula1>
          <xm:sqref>H8:H24</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5"/>
  <dimension ref="B2:T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20" ht="21" thickBot="1" x14ac:dyDescent="0.35">
      <c r="B2" s="1700" t="s">
        <v>109</v>
      </c>
      <c r="C2" s="1700"/>
      <c r="D2" s="1700"/>
      <c r="E2" s="1700"/>
      <c r="F2" s="1700"/>
      <c r="G2" s="1700"/>
      <c r="H2" s="1700"/>
      <c r="I2" s="1700"/>
      <c r="J2" s="1700"/>
      <c r="K2" s="1700"/>
    </row>
    <row r="3" spans="2:20" ht="20.45" customHeight="1" thickTop="1" x14ac:dyDescent="0.25">
      <c r="H3" s="37"/>
      <c r="I3" s="1702" t="s">
        <v>27</v>
      </c>
      <c r="J3" s="1703"/>
      <c r="K3" s="34" t="s">
        <v>28</v>
      </c>
    </row>
    <row r="4" spans="2:20" ht="20.45" customHeight="1" x14ac:dyDescent="0.25">
      <c r="B4" s="1685" t="s">
        <v>29</v>
      </c>
      <c r="C4" s="1685"/>
      <c r="D4" s="1685"/>
      <c r="E4" s="1685"/>
      <c r="F4" s="1685"/>
      <c r="G4" s="1685"/>
      <c r="H4" s="374" t="s">
        <v>605</v>
      </c>
      <c r="I4" s="36" t="str">
        <f>'Key Inputs'!E34</f>
        <v>2021</v>
      </c>
      <c r="J4" s="36">
        <f>I4-1</f>
        <v>2020</v>
      </c>
      <c r="K4" s="35" t="str">
        <f>"Cash in "&amp;J4</f>
        <v>Cash in 2020</v>
      </c>
    </row>
    <row r="5" spans="2:20" ht="20.45" customHeight="1" x14ac:dyDescent="0.25">
      <c r="C5" s="54" t="s">
        <v>35</v>
      </c>
      <c r="D5" s="55" t="s">
        <v>123</v>
      </c>
      <c r="E5" s="55"/>
      <c r="F5" s="55"/>
      <c r="G5" s="56"/>
      <c r="H5" s="57"/>
      <c r="I5" s="58"/>
      <c r="J5" s="58"/>
      <c r="K5" s="59"/>
    </row>
    <row r="6" spans="2:20" ht="20.45" customHeight="1" x14ac:dyDescent="0.25">
      <c r="D6" s="51"/>
      <c r="E6" s="67" t="s">
        <v>375</v>
      </c>
      <c r="F6" s="52"/>
      <c r="G6" s="63"/>
      <c r="H6" s="64"/>
      <c r="I6" s="65"/>
      <c r="J6" s="65"/>
      <c r="K6" s="66"/>
    </row>
    <row r="7" spans="2:20" ht="20.45" customHeight="1" x14ac:dyDescent="0.25">
      <c r="C7" s="46"/>
      <c r="D7" s="47"/>
      <c r="E7" s="42" t="s">
        <v>673</v>
      </c>
      <c r="F7" s="48"/>
      <c r="G7" s="4"/>
      <c r="H7" s="174" t="s">
        <v>97</v>
      </c>
      <c r="I7" s="198" t="s">
        <v>98</v>
      </c>
      <c r="J7" s="198" t="s">
        <v>98</v>
      </c>
      <c r="K7" s="199" t="s">
        <v>98</v>
      </c>
    </row>
    <row r="8" spans="2:20" ht="21" customHeight="1" x14ac:dyDescent="0.2">
      <c r="C8" s="51"/>
      <c r="D8" s="52"/>
      <c r="E8" s="1020" t="s">
        <v>5228</v>
      </c>
      <c r="F8" s="1021"/>
      <c r="G8" s="1022"/>
      <c r="H8" s="1023" t="s">
        <v>3394</v>
      </c>
      <c r="I8" s="743"/>
      <c r="J8" s="743"/>
      <c r="K8" s="860"/>
    </row>
    <row r="9" spans="2:20" ht="21" customHeight="1" x14ac:dyDescent="0.2">
      <c r="C9" s="49"/>
      <c r="D9" s="49"/>
      <c r="E9" s="744"/>
      <c r="F9" s="744"/>
      <c r="G9" s="875"/>
      <c r="H9" s="859"/>
      <c r="I9" s="743"/>
      <c r="J9" s="743"/>
      <c r="K9" s="860"/>
    </row>
    <row r="10" spans="2:20" ht="21" customHeight="1" x14ac:dyDescent="0.2">
      <c r="C10" s="49"/>
      <c r="D10" s="49"/>
      <c r="E10" s="744"/>
      <c r="F10" s="744"/>
      <c r="G10" s="875"/>
      <c r="H10" s="859"/>
      <c r="I10" s="743"/>
      <c r="J10" s="743"/>
      <c r="K10" s="860"/>
    </row>
    <row r="11" spans="2:20" ht="21" customHeight="1" x14ac:dyDescent="0.2">
      <c r="C11" s="49"/>
      <c r="D11" s="49"/>
      <c r="E11" s="744"/>
      <c r="F11" s="744"/>
      <c r="G11" s="875"/>
      <c r="H11" s="859"/>
      <c r="I11" s="743"/>
      <c r="J11" s="743"/>
      <c r="K11" s="860"/>
    </row>
    <row r="12" spans="2:20" ht="21" customHeight="1" x14ac:dyDescent="0.25">
      <c r="C12" s="49"/>
      <c r="D12" s="49"/>
      <c r="E12" s="744"/>
      <c r="F12" s="882"/>
      <c r="G12" s="875"/>
      <c r="H12" s="859"/>
      <c r="I12" s="743"/>
      <c r="J12" s="743"/>
      <c r="K12" s="860"/>
      <c r="P12" s="63"/>
      <c r="Q12" s="63"/>
      <c r="R12" s="63"/>
      <c r="S12" s="63"/>
      <c r="T12" s="63"/>
    </row>
    <row r="13" spans="2:20" ht="21" customHeight="1" x14ac:dyDescent="0.2">
      <c r="C13" s="49"/>
      <c r="D13" s="49"/>
      <c r="E13" s="744"/>
      <c r="F13" s="744"/>
      <c r="G13" s="875"/>
      <c r="H13" s="859"/>
      <c r="I13" s="743"/>
      <c r="J13" s="743"/>
      <c r="K13" s="860"/>
      <c r="P13" s="509"/>
      <c r="Q13" s="63"/>
      <c r="R13" s="63"/>
      <c r="S13" s="63"/>
      <c r="T13" s="63"/>
    </row>
    <row r="14" spans="2:20" ht="21" customHeight="1" x14ac:dyDescent="0.2">
      <c r="C14" s="49"/>
      <c r="D14" s="49"/>
      <c r="E14" s="744"/>
      <c r="F14" s="744"/>
      <c r="G14" s="875"/>
      <c r="H14" s="859"/>
      <c r="I14" s="743"/>
      <c r="J14" s="743"/>
      <c r="K14" s="860"/>
      <c r="P14" s="63"/>
      <c r="Q14" s="63"/>
      <c r="R14" s="63"/>
      <c r="S14" s="63"/>
      <c r="T14" s="63"/>
    </row>
    <row r="15" spans="2:20" ht="21" customHeight="1" x14ac:dyDescent="0.2">
      <c r="C15" s="49"/>
      <c r="D15" s="49"/>
      <c r="E15" s="744"/>
      <c r="F15" s="744"/>
      <c r="G15" s="875"/>
      <c r="H15" s="859"/>
      <c r="I15" s="743"/>
      <c r="J15" s="743"/>
      <c r="K15" s="860"/>
    </row>
    <row r="16" spans="2:20"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125</v>
      </c>
      <c r="C27" s="1701"/>
      <c r="D27" s="1701"/>
      <c r="E27" s="1701"/>
      <c r="F27" s="1701"/>
      <c r="G27" s="1701"/>
      <c r="H27" s="1701"/>
      <c r="I27" s="1701"/>
      <c r="J27" s="1701"/>
      <c r="K27" s="1701"/>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D00-000000000000}">
          <x14:formula1>
            <xm:f>'Revenue Codes'!$F$2:$F$47</xm:f>
          </x14:formula1>
          <xm:sqref>H9:H26</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6"/>
  <dimension ref="B2:K27"/>
  <sheetViews>
    <sheetView topLeftCell="A10"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127</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E00-000000000000}">
          <x14:formula1>
            <xm:f>'Revenue Codes'!$F$2:$F$47</xm:f>
          </x14:formula1>
          <xm:sqref>H8:H26</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7"/>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3243</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2F00-000000000000}">
          <x14:formula1>
            <xm:f>'Revenue Codes'!$F$2:$F$47</xm:f>
          </x14:formula1>
          <xm:sqref>H8:H26</xm:sqref>
        </x14:dataValidation>
      </x14:dataValidations>
    </ext>
  </extLs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8"/>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3244</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000-000000000000}">
          <x14:formula1>
            <xm:f>'Revenue Codes'!$F$2:$F$47</xm:f>
          </x14:formula1>
          <xm:sqref>H8:H26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2"/>
  <dimension ref="A1:L102"/>
  <sheetViews>
    <sheetView workbookViewId="0">
      <selection activeCell="E2" sqref="E2"/>
    </sheetView>
  </sheetViews>
  <sheetFormatPr defaultRowHeight="12.75" x14ac:dyDescent="0.2"/>
  <cols>
    <col min="1" max="1" width="19.42578125" style="785" bestFit="1" customWidth="1"/>
    <col min="2" max="2" width="12.140625" bestFit="1" customWidth="1"/>
    <col min="3" max="4" width="15.7109375" style="785" bestFit="1" customWidth="1"/>
    <col min="5" max="5" width="7" style="785" bestFit="1" customWidth="1"/>
    <col min="6" max="6" width="15.7109375" style="785" bestFit="1" customWidth="1"/>
    <col min="7" max="7" width="7" style="785" bestFit="1" customWidth="1"/>
    <col min="8" max="8" width="16.5703125" style="785" bestFit="1" customWidth="1"/>
    <col min="9" max="9" width="13.28515625" customWidth="1"/>
    <col min="10" max="11" width="15.7109375" style="785" bestFit="1" customWidth="1"/>
    <col min="12" max="12" width="7" style="785" bestFit="1" customWidth="1"/>
    <col min="13" max="16384" width="9.140625" style="785"/>
  </cols>
  <sheetData>
    <row r="1" spans="1:12" ht="15" x14ac:dyDescent="0.25">
      <c r="A1" s="710" t="s">
        <v>5055</v>
      </c>
      <c r="B1" s="1066" t="s">
        <v>5289</v>
      </c>
      <c r="C1" s="712" t="s">
        <v>5064</v>
      </c>
      <c r="D1" s="713" t="s">
        <v>5058</v>
      </c>
      <c r="E1" s="714" t="s">
        <v>5063</v>
      </c>
      <c r="F1" s="711" t="s">
        <v>5056</v>
      </c>
      <c r="G1" s="716" t="s">
        <v>5057</v>
      </c>
      <c r="H1" s="786" t="s">
        <v>5062</v>
      </c>
      <c r="I1" s="1065" t="s">
        <v>5267</v>
      </c>
      <c r="J1" s="787" t="s">
        <v>5060</v>
      </c>
      <c r="K1" s="788" t="s">
        <v>5061</v>
      </c>
      <c r="L1" s="789" t="s">
        <v>5059</v>
      </c>
    </row>
    <row r="2" spans="1:12" x14ac:dyDescent="0.2">
      <c r="A2" s="785" t="s">
        <v>5065</v>
      </c>
      <c r="B2" t="s">
        <v>5268</v>
      </c>
      <c r="C2" s="785" t="s">
        <v>5285</v>
      </c>
      <c r="D2" s="785" t="s">
        <v>5068</v>
      </c>
      <c r="E2" s="785" t="s">
        <v>5072</v>
      </c>
      <c r="F2" s="785" t="s">
        <v>5066</v>
      </c>
      <c r="G2" s="785" t="s">
        <v>5067</v>
      </c>
      <c r="H2" s="785" t="s">
        <v>5071</v>
      </c>
      <c r="I2" t="s">
        <v>5065</v>
      </c>
      <c r="J2" s="785" t="s">
        <v>5069</v>
      </c>
      <c r="K2" s="785" t="s">
        <v>5070</v>
      </c>
      <c r="L2" s="785" t="s">
        <v>540</v>
      </c>
    </row>
    <row r="3" spans="1:12" x14ac:dyDescent="0.2">
      <c r="A3" s="785" t="s">
        <v>5074</v>
      </c>
      <c r="B3" t="s">
        <v>5269</v>
      </c>
      <c r="C3" s="785" t="s">
        <v>5286</v>
      </c>
      <c r="D3" s="785" t="s">
        <v>540</v>
      </c>
      <c r="E3" s="785" t="s">
        <v>5079</v>
      </c>
      <c r="F3" s="785" t="s">
        <v>5075</v>
      </c>
      <c r="H3" s="785" t="s">
        <v>5078</v>
      </c>
      <c r="I3" t="s">
        <v>5074</v>
      </c>
      <c r="J3" s="785" t="s">
        <v>5076</v>
      </c>
      <c r="K3" s="785" t="s">
        <v>5077</v>
      </c>
      <c r="L3" s="785" t="s">
        <v>535</v>
      </c>
    </row>
    <row r="4" spans="1:12" x14ac:dyDescent="0.2">
      <c r="A4" s="785" t="s">
        <v>5081</v>
      </c>
      <c r="B4" t="s">
        <v>5270</v>
      </c>
      <c r="C4" s="785" t="s">
        <v>5287</v>
      </c>
      <c r="D4" s="785" t="s">
        <v>5083</v>
      </c>
      <c r="F4" s="785" t="s">
        <v>5082</v>
      </c>
      <c r="H4" s="785" t="s">
        <v>5086</v>
      </c>
      <c r="I4" t="s">
        <v>5081</v>
      </c>
      <c r="J4" s="785" t="s">
        <v>5084</v>
      </c>
      <c r="K4" s="785" t="s">
        <v>5085</v>
      </c>
      <c r="L4" s="785" t="s">
        <v>548</v>
      </c>
    </row>
    <row r="5" spans="1:12" x14ac:dyDescent="0.2">
      <c r="A5" s="785" t="s">
        <v>5088</v>
      </c>
      <c r="B5" t="s">
        <v>5271</v>
      </c>
      <c r="C5" s="785" t="s">
        <v>5288</v>
      </c>
      <c r="D5" s="785" t="s">
        <v>5290</v>
      </c>
      <c r="F5" s="785" t="s">
        <v>5089</v>
      </c>
      <c r="H5" s="785" t="s">
        <v>5092</v>
      </c>
      <c r="I5" t="s">
        <v>5088</v>
      </c>
      <c r="K5" s="785" t="s">
        <v>5091</v>
      </c>
      <c r="L5" s="785" t="s">
        <v>5090</v>
      </c>
    </row>
    <row r="6" spans="1:12" x14ac:dyDescent="0.2">
      <c r="A6" s="785" t="s">
        <v>5094</v>
      </c>
      <c r="B6" t="s">
        <v>5272</v>
      </c>
      <c r="C6" s="785" t="s">
        <v>5073</v>
      </c>
      <c r="D6" s="785" t="s">
        <v>5291</v>
      </c>
      <c r="F6" s="785" t="s">
        <v>5095</v>
      </c>
      <c r="H6" s="785" t="s">
        <v>5099</v>
      </c>
      <c r="I6" t="s">
        <v>5094</v>
      </c>
      <c r="K6" s="785" t="s">
        <v>5098</v>
      </c>
      <c r="L6" s="785" t="s">
        <v>5097</v>
      </c>
    </row>
    <row r="7" spans="1:12" x14ac:dyDescent="0.2">
      <c r="A7" s="785" t="s">
        <v>5100</v>
      </c>
      <c r="B7" t="s">
        <v>5273</v>
      </c>
      <c r="C7" s="785" t="s">
        <v>5080</v>
      </c>
      <c r="D7" s="785" t="s">
        <v>5292</v>
      </c>
      <c r="F7" s="785" t="s">
        <v>5101</v>
      </c>
      <c r="H7" s="785" t="s">
        <v>5104</v>
      </c>
      <c r="I7" t="s">
        <v>5100</v>
      </c>
      <c r="L7" s="785" t="s">
        <v>5103</v>
      </c>
    </row>
    <row r="8" spans="1:12" x14ac:dyDescent="0.2">
      <c r="A8" s="785" t="s">
        <v>5105</v>
      </c>
      <c r="B8" t="s">
        <v>5274</v>
      </c>
      <c r="C8" s="785" t="s">
        <v>5087</v>
      </c>
      <c r="D8" s="785" t="s">
        <v>5293</v>
      </c>
      <c r="F8" s="785" t="s">
        <v>5106</v>
      </c>
      <c r="H8" s="785" t="s">
        <v>5107</v>
      </c>
      <c r="I8" t="s">
        <v>5105</v>
      </c>
    </row>
    <row r="9" spans="1:12" x14ac:dyDescent="0.2">
      <c r="A9" s="785" t="s">
        <v>5108</v>
      </c>
      <c r="B9" t="s">
        <v>5275</v>
      </c>
      <c r="C9" s="785" t="s">
        <v>5093</v>
      </c>
      <c r="D9" s="785" t="s">
        <v>5290</v>
      </c>
      <c r="F9" s="785" t="s">
        <v>5196</v>
      </c>
      <c r="H9" s="785" t="s">
        <v>5110</v>
      </c>
      <c r="I9" t="s">
        <v>5108</v>
      </c>
    </row>
    <row r="10" spans="1:12" x14ac:dyDescent="0.2">
      <c r="A10" s="785" t="s">
        <v>5111</v>
      </c>
      <c r="B10" t="s">
        <v>5276</v>
      </c>
      <c r="C10" s="785" t="s">
        <v>5198</v>
      </c>
      <c r="D10" s="785" t="s">
        <v>5096</v>
      </c>
      <c r="F10" s="785" t="s">
        <v>5284</v>
      </c>
      <c r="H10" s="785" t="s">
        <v>5113</v>
      </c>
      <c r="I10" t="s">
        <v>5111</v>
      </c>
    </row>
    <row r="11" spans="1:12" x14ac:dyDescent="0.2">
      <c r="A11" s="785" t="s">
        <v>5114</v>
      </c>
      <c r="B11" t="s">
        <v>5277</v>
      </c>
      <c r="C11" s="785" t="s">
        <v>5199</v>
      </c>
      <c r="D11" s="785" t="s">
        <v>5102</v>
      </c>
      <c r="F11" s="785" t="s">
        <v>5109</v>
      </c>
      <c r="H11" s="785" t="s">
        <v>5116</v>
      </c>
      <c r="I11" t="s">
        <v>5114</v>
      </c>
    </row>
    <row r="12" spans="1:12" x14ac:dyDescent="0.2">
      <c r="A12" s="785" t="s">
        <v>5117</v>
      </c>
      <c r="B12" t="s">
        <v>5278</v>
      </c>
      <c r="C12" s="785" t="s">
        <v>5200</v>
      </c>
      <c r="F12" s="785" t="s">
        <v>5112</v>
      </c>
      <c r="H12" s="785" t="s">
        <v>5119</v>
      </c>
      <c r="I12" t="s">
        <v>5117</v>
      </c>
    </row>
    <row r="13" spans="1:12" x14ac:dyDescent="0.2">
      <c r="A13" s="785" t="s">
        <v>5120</v>
      </c>
      <c r="B13" t="s">
        <v>5279</v>
      </c>
      <c r="C13" s="785" t="s">
        <v>5201</v>
      </c>
      <c r="F13" s="785" t="s">
        <v>5115</v>
      </c>
      <c r="H13" s="785" t="s">
        <v>5122</v>
      </c>
      <c r="I13" t="s">
        <v>5120</v>
      </c>
    </row>
    <row r="14" spans="1:12" x14ac:dyDescent="0.2">
      <c r="A14" s="785" t="s">
        <v>5066</v>
      </c>
      <c r="B14" t="s">
        <v>5280</v>
      </c>
      <c r="C14" s="785" t="s">
        <v>5282</v>
      </c>
      <c r="F14" s="785" t="s">
        <v>5118</v>
      </c>
      <c r="H14" s="785" t="s">
        <v>5124</v>
      </c>
      <c r="I14" t="s">
        <v>5066</v>
      </c>
    </row>
    <row r="15" spans="1:12" x14ac:dyDescent="0.2">
      <c r="A15" s="785" t="s">
        <v>5125</v>
      </c>
      <c r="B15" t="s">
        <v>5281</v>
      </c>
      <c r="C15" s="785" t="s">
        <v>5202</v>
      </c>
      <c r="F15" s="785" t="s">
        <v>5121</v>
      </c>
      <c r="H15" s="785" t="s">
        <v>5127</v>
      </c>
      <c r="I15" t="s">
        <v>5125</v>
      </c>
    </row>
    <row r="16" spans="1:12" x14ac:dyDescent="0.2">
      <c r="A16" s="785" t="s">
        <v>5128</v>
      </c>
      <c r="B16" t="s">
        <v>5198</v>
      </c>
      <c r="C16" s="785" t="s">
        <v>5283</v>
      </c>
      <c r="F16" s="785" t="s">
        <v>5123</v>
      </c>
      <c r="H16" s="785" t="s">
        <v>5129</v>
      </c>
      <c r="I16" t="s">
        <v>5128</v>
      </c>
    </row>
    <row r="17" spans="1:9" x14ac:dyDescent="0.2">
      <c r="A17" s="785" t="s">
        <v>5130</v>
      </c>
      <c r="B17" t="s">
        <v>5199</v>
      </c>
      <c r="C17" s="785" t="s">
        <v>5203</v>
      </c>
      <c r="F17" s="785" t="s">
        <v>5126</v>
      </c>
      <c r="H17" s="785" t="s">
        <v>5131</v>
      </c>
      <c r="I17" t="s">
        <v>5130</v>
      </c>
    </row>
    <row r="18" spans="1:9" x14ac:dyDescent="0.2">
      <c r="A18" s="785" t="s">
        <v>5132</v>
      </c>
      <c r="B18" t="s">
        <v>5200</v>
      </c>
      <c r="C18" s="785" t="s">
        <v>5204</v>
      </c>
      <c r="H18" s="785" t="s">
        <v>5133</v>
      </c>
      <c r="I18" t="s">
        <v>5132</v>
      </c>
    </row>
    <row r="19" spans="1:9" x14ac:dyDescent="0.2">
      <c r="A19" s="785" t="s">
        <v>5134</v>
      </c>
      <c r="B19" t="s">
        <v>5201</v>
      </c>
      <c r="C19" s="785" t="s">
        <v>5123</v>
      </c>
      <c r="H19" s="785" t="s">
        <v>5135</v>
      </c>
      <c r="I19" t="s">
        <v>5134</v>
      </c>
    </row>
    <row r="20" spans="1:9" x14ac:dyDescent="0.2">
      <c r="A20" s="785" t="s">
        <v>5136</v>
      </c>
      <c r="B20" t="s">
        <v>5282</v>
      </c>
      <c r="H20" s="785" t="s">
        <v>5137</v>
      </c>
      <c r="I20" t="s">
        <v>5136</v>
      </c>
    </row>
    <row r="21" spans="1:9" x14ac:dyDescent="0.2">
      <c r="A21" s="785" t="s">
        <v>5138</v>
      </c>
      <c r="B21" t="s">
        <v>5202</v>
      </c>
      <c r="H21" s="785" t="s">
        <v>5139</v>
      </c>
      <c r="I21" t="s">
        <v>5138</v>
      </c>
    </row>
    <row r="22" spans="1:9" x14ac:dyDescent="0.2">
      <c r="A22" s="785" t="s">
        <v>5140</v>
      </c>
      <c r="B22" t="s">
        <v>5283</v>
      </c>
      <c r="H22" s="785" t="s">
        <v>5141</v>
      </c>
      <c r="I22" t="s">
        <v>5140</v>
      </c>
    </row>
    <row r="23" spans="1:9" x14ac:dyDescent="0.2">
      <c r="A23" s="785" t="s">
        <v>5142</v>
      </c>
      <c r="B23" t="s">
        <v>5203</v>
      </c>
      <c r="H23" s="785" t="s">
        <v>5143</v>
      </c>
      <c r="I23" t="s">
        <v>5142</v>
      </c>
    </row>
    <row r="24" spans="1:9" x14ac:dyDescent="0.2">
      <c r="A24" s="785" t="s">
        <v>5144</v>
      </c>
      <c r="B24" t="s">
        <v>5204</v>
      </c>
      <c r="H24" s="785" t="s">
        <v>5145</v>
      </c>
      <c r="I24" t="s">
        <v>5144</v>
      </c>
    </row>
    <row r="25" spans="1:9" x14ac:dyDescent="0.2">
      <c r="A25" s="785" t="s">
        <v>5146</v>
      </c>
      <c r="B25" t="s">
        <v>5123</v>
      </c>
      <c r="H25" s="785" t="s">
        <v>5147</v>
      </c>
      <c r="I25" t="s">
        <v>5146</v>
      </c>
    </row>
    <row r="26" spans="1:9" x14ac:dyDescent="0.2">
      <c r="A26" s="785" t="s">
        <v>5148</v>
      </c>
      <c r="I26" t="s">
        <v>5148</v>
      </c>
    </row>
    <row r="27" spans="1:9" x14ac:dyDescent="0.2">
      <c r="A27" s="785" t="s">
        <v>5149</v>
      </c>
      <c r="I27" t="s">
        <v>5149</v>
      </c>
    </row>
    <row r="28" spans="1:9" x14ac:dyDescent="0.2">
      <c r="A28" s="785" t="s">
        <v>5150</v>
      </c>
      <c r="I28" t="s">
        <v>5150</v>
      </c>
    </row>
    <row r="29" spans="1:9" x14ac:dyDescent="0.2">
      <c r="A29" s="785" t="s">
        <v>5151</v>
      </c>
      <c r="I29" t="s">
        <v>5151</v>
      </c>
    </row>
    <row r="30" spans="1:9" x14ac:dyDescent="0.2">
      <c r="A30" s="785" t="s">
        <v>5152</v>
      </c>
      <c r="I30" t="s">
        <v>5152</v>
      </c>
    </row>
    <row r="31" spans="1:9" x14ac:dyDescent="0.2">
      <c r="A31" s="785" t="s">
        <v>5153</v>
      </c>
      <c r="I31" t="s">
        <v>5153</v>
      </c>
    </row>
    <row r="32" spans="1:9" x14ac:dyDescent="0.2">
      <c r="A32" s="785" t="s">
        <v>124</v>
      </c>
      <c r="I32" t="s">
        <v>124</v>
      </c>
    </row>
    <row r="33" spans="1:9" x14ac:dyDescent="0.2">
      <c r="A33" s="785" t="s">
        <v>5154</v>
      </c>
      <c r="I33" t="s">
        <v>5154</v>
      </c>
    </row>
    <row r="34" spans="1:9" x14ac:dyDescent="0.2">
      <c r="A34" s="785" t="s">
        <v>5155</v>
      </c>
      <c r="I34" t="s">
        <v>5155</v>
      </c>
    </row>
    <row r="35" spans="1:9" x14ac:dyDescent="0.2">
      <c r="A35" s="785" t="s">
        <v>5156</v>
      </c>
      <c r="I35" t="s">
        <v>5156</v>
      </c>
    </row>
    <row r="36" spans="1:9" x14ac:dyDescent="0.2">
      <c r="A36" s="785" t="s">
        <v>5157</v>
      </c>
      <c r="I36" t="s">
        <v>5157</v>
      </c>
    </row>
    <row r="37" spans="1:9" x14ac:dyDescent="0.2">
      <c r="A37" s="785" t="s">
        <v>5158</v>
      </c>
      <c r="I37" t="s">
        <v>5158</v>
      </c>
    </row>
    <row r="38" spans="1:9" x14ac:dyDescent="0.2">
      <c r="A38" s="785" t="s">
        <v>5159</v>
      </c>
      <c r="I38" t="s">
        <v>5159</v>
      </c>
    </row>
    <row r="39" spans="1:9" x14ac:dyDescent="0.2">
      <c r="A39" s="785" t="s">
        <v>5160</v>
      </c>
      <c r="I39" t="s">
        <v>5160</v>
      </c>
    </row>
    <row r="40" spans="1:9" x14ac:dyDescent="0.2">
      <c r="A40" s="785" t="s">
        <v>5161</v>
      </c>
      <c r="I40" t="s">
        <v>5161</v>
      </c>
    </row>
    <row r="41" spans="1:9" x14ac:dyDescent="0.2">
      <c r="A41" s="785" t="s">
        <v>5162</v>
      </c>
      <c r="I41" t="s">
        <v>5162</v>
      </c>
    </row>
    <row r="42" spans="1:9" x14ac:dyDescent="0.2">
      <c r="A42" s="785" t="s">
        <v>5163</v>
      </c>
      <c r="I42" t="s">
        <v>5163</v>
      </c>
    </row>
    <row r="43" spans="1:9" x14ac:dyDescent="0.2">
      <c r="A43" s="785" t="s">
        <v>5164</v>
      </c>
      <c r="I43" t="s">
        <v>5164</v>
      </c>
    </row>
    <row r="44" spans="1:9" x14ac:dyDescent="0.2">
      <c r="A44" s="785" t="s">
        <v>5165</v>
      </c>
      <c r="I44" t="s">
        <v>5165</v>
      </c>
    </row>
    <row r="45" spans="1:9" x14ac:dyDescent="0.2">
      <c r="A45" s="785" t="s">
        <v>5166</v>
      </c>
      <c r="I45" t="s">
        <v>5166</v>
      </c>
    </row>
    <row r="46" spans="1:9" x14ac:dyDescent="0.2">
      <c r="A46" s="785" t="s">
        <v>5167</v>
      </c>
      <c r="I46" t="s">
        <v>5167</v>
      </c>
    </row>
    <row r="47" spans="1:9" x14ac:dyDescent="0.2">
      <c r="A47" s="785" t="s">
        <v>5167</v>
      </c>
      <c r="I47" t="s">
        <v>5167</v>
      </c>
    </row>
    <row r="48" spans="1:9" x14ac:dyDescent="0.2">
      <c r="A48" s="785" t="s">
        <v>5168</v>
      </c>
      <c r="I48" t="s">
        <v>5168</v>
      </c>
    </row>
    <row r="49" spans="1:9" x14ac:dyDescent="0.2">
      <c r="A49" s="785" t="s">
        <v>5169</v>
      </c>
      <c r="I49" t="s">
        <v>5169</v>
      </c>
    </row>
    <row r="50" spans="1:9" x14ac:dyDescent="0.2">
      <c r="A50" s="785" t="s">
        <v>5170</v>
      </c>
      <c r="I50" t="s">
        <v>5170</v>
      </c>
    </row>
    <row r="51" spans="1:9" x14ac:dyDescent="0.2">
      <c r="A51" s="785" t="s">
        <v>5171</v>
      </c>
      <c r="I51" t="s">
        <v>5171</v>
      </c>
    </row>
    <row r="52" spans="1:9" x14ac:dyDescent="0.2">
      <c r="A52" s="785" t="s">
        <v>5172</v>
      </c>
      <c r="I52" t="s">
        <v>5172</v>
      </c>
    </row>
    <row r="53" spans="1:9" x14ac:dyDescent="0.2">
      <c r="A53" s="785" t="s">
        <v>5173</v>
      </c>
      <c r="I53" t="s">
        <v>5173</v>
      </c>
    </row>
    <row r="54" spans="1:9" x14ac:dyDescent="0.2">
      <c r="A54" s="785" t="s">
        <v>5174</v>
      </c>
      <c r="I54" t="s">
        <v>5174</v>
      </c>
    </row>
    <row r="55" spans="1:9" x14ac:dyDescent="0.2">
      <c r="A55" s="785" t="s">
        <v>5175</v>
      </c>
      <c r="I55" t="s">
        <v>5175</v>
      </c>
    </row>
    <row r="56" spans="1:9" x14ac:dyDescent="0.2">
      <c r="A56" s="785" t="s">
        <v>5176</v>
      </c>
      <c r="I56" t="s">
        <v>5176</v>
      </c>
    </row>
    <row r="57" spans="1:9" x14ac:dyDescent="0.2">
      <c r="A57" s="785" t="s">
        <v>5177</v>
      </c>
      <c r="I57" t="s">
        <v>5177</v>
      </c>
    </row>
    <row r="58" spans="1:9" x14ac:dyDescent="0.2">
      <c r="A58" s="785" t="s">
        <v>5178</v>
      </c>
      <c r="I58" t="s">
        <v>5178</v>
      </c>
    </row>
    <row r="59" spans="1:9" x14ac:dyDescent="0.2">
      <c r="A59" s="785" t="s">
        <v>5179</v>
      </c>
      <c r="I59" t="s">
        <v>5179</v>
      </c>
    </row>
    <row r="60" spans="1:9" x14ac:dyDescent="0.2">
      <c r="A60" s="785" t="s">
        <v>5180</v>
      </c>
      <c r="I60" t="s">
        <v>5180</v>
      </c>
    </row>
    <row r="61" spans="1:9" x14ac:dyDescent="0.2">
      <c r="A61" s="785" t="s">
        <v>5181</v>
      </c>
      <c r="I61" t="s">
        <v>5181</v>
      </c>
    </row>
    <row r="62" spans="1:9" x14ac:dyDescent="0.2">
      <c r="A62" s="785" t="s">
        <v>5182</v>
      </c>
      <c r="I62" t="s">
        <v>5182</v>
      </c>
    </row>
    <row r="63" spans="1:9" x14ac:dyDescent="0.2">
      <c r="A63" s="785" t="s">
        <v>5183</v>
      </c>
      <c r="I63" t="s">
        <v>5183</v>
      </c>
    </row>
    <row r="64" spans="1:9" x14ac:dyDescent="0.2">
      <c r="A64" s="785" t="s">
        <v>5184</v>
      </c>
      <c r="I64" t="s">
        <v>5184</v>
      </c>
    </row>
    <row r="65" spans="1:9" x14ac:dyDescent="0.2">
      <c r="A65" s="785" t="s">
        <v>5185</v>
      </c>
      <c r="I65" t="s">
        <v>5185</v>
      </c>
    </row>
    <row r="66" spans="1:9" x14ac:dyDescent="0.2">
      <c r="A66" s="785" t="s">
        <v>5186</v>
      </c>
      <c r="I66" t="s">
        <v>5186</v>
      </c>
    </row>
    <row r="67" spans="1:9" x14ac:dyDescent="0.2">
      <c r="A67" s="785" t="s">
        <v>5187</v>
      </c>
      <c r="I67" t="s">
        <v>5187</v>
      </c>
    </row>
    <row r="68" spans="1:9" x14ac:dyDescent="0.2">
      <c r="A68" s="785" t="s">
        <v>5188</v>
      </c>
      <c r="I68" t="s">
        <v>5188</v>
      </c>
    </row>
    <row r="69" spans="1:9" x14ac:dyDescent="0.2">
      <c r="A69" s="785" t="s">
        <v>5189</v>
      </c>
      <c r="I69" t="s">
        <v>5189</v>
      </c>
    </row>
    <row r="70" spans="1:9" x14ac:dyDescent="0.2">
      <c r="A70" s="785" t="s">
        <v>5190</v>
      </c>
      <c r="I70" t="s">
        <v>5190</v>
      </c>
    </row>
    <row r="71" spans="1:9" x14ac:dyDescent="0.2">
      <c r="A71" s="785" t="s">
        <v>5191</v>
      </c>
      <c r="I71" t="s">
        <v>5191</v>
      </c>
    </row>
    <row r="72" spans="1:9" x14ac:dyDescent="0.2">
      <c r="A72" s="785" t="s">
        <v>5192</v>
      </c>
      <c r="I72" t="s">
        <v>5192</v>
      </c>
    </row>
    <row r="73" spans="1:9" x14ac:dyDescent="0.2">
      <c r="A73" s="785" t="s">
        <v>5193</v>
      </c>
      <c r="I73" t="s">
        <v>5193</v>
      </c>
    </row>
    <row r="74" spans="1:9" x14ac:dyDescent="0.2">
      <c r="A74" s="785" t="s">
        <v>5194</v>
      </c>
      <c r="I74" t="s">
        <v>5194</v>
      </c>
    </row>
    <row r="75" spans="1:9" x14ac:dyDescent="0.2">
      <c r="A75" s="785" t="s">
        <v>5195</v>
      </c>
      <c r="I75" t="s">
        <v>5195</v>
      </c>
    </row>
    <row r="76" spans="1:9" x14ac:dyDescent="0.2">
      <c r="A76" s="785" t="s">
        <v>5197</v>
      </c>
      <c r="I76" t="s">
        <v>5197</v>
      </c>
    </row>
    <row r="77" spans="1:9" x14ac:dyDescent="0.2">
      <c r="A77" s="785" t="s">
        <v>5126</v>
      </c>
      <c r="I77" t="s">
        <v>5126</v>
      </c>
    </row>
    <row r="78" spans="1:9" x14ac:dyDescent="0.2">
      <c r="A78" s="785" t="s">
        <v>5205</v>
      </c>
      <c r="I78" t="s">
        <v>5205</v>
      </c>
    </row>
    <row r="79" spans="1:9" x14ac:dyDescent="0.2">
      <c r="A79" s="785" t="s">
        <v>5268</v>
      </c>
      <c r="I79" t="s">
        <v>5268</v>
      </c>
    </row>
    <row r="80" spans="1:9" x14ac:dyDescent="0.2">
      <c r="A80" s="785" t="s">
        <v>5269</v>
      </c>
      <c r="I80" t="s">
        <v>5269</v>
      </c>
    </row>
    <row r="81" spans="1:9" x14ac:dyDescent="0.2">
      <c r="A81" s="785" t="s">
        <v>5270</v>
      </c>
      <c r="I81" t="s">
        <v>5270</v>
      </c>
    </row>
    <row r="82" spans="1:9" x14ac:dyDescent="0.2">
      <c r="A82" s="785" t="s">
        <v>5271</v>
      </c>
      <c r="I82" t="s">
        <v>5271</v>
      </c>
    </row>
    <row r="83" spans="1:9" x14ac:dyDescent="0.2">
      <c r="A83" s="785" t="s">
        <v>5272</v>
      </c>
      <c r="I83" t="s">
        <v>5272</v>
      </c>
    </row>
    <row r="84" spans="1:9" x14ac:dyDescent="0.2">
      <c r="A84" s="785" t="s">
        <v>5273</v>
      </c>
      <c r="I84" t="s">
        <v>5273</v>
      </c>
    </row>
    <row r="85" spans="1:9" x14ac:dyDescent="0.2">
      <c r="A85" s="785" t="s">
        <v>5274</v>
      </c>
      <c r="I85" t="s">
        <v>5274</v>
      </c>
    </row>
    <row r="86" spans="1:9" x14ac:dyDescent="0.2">
      <c r="A86" s="785" t="s">
        <v>5275</v>
      </c>
      <c r="I86" t="s">
        <v>5275</v>
      </c>
    </row>
    <row r="87" spans="1:9" x14ac:dyDescent="0.2">
      <c r="A87" s="785" t="s">
        <v>5276</v>
      </c>
      <c r="I87" t="s">
        <v>5276</v>
      </c>
    </row>
    <row r="88" spans="1:9" x14ac:dyDescent="0.2">
      <c r="A88" s="785" t="s">
        <v>5277</v>
      </c>
      <c r="I88" t="s">
        <v>5277</v>
      </c>
    </row>
    <row r="89" spans="1:9" x14ac:dyDescent="0.2">
      <c r="A89" s="785" t="s">
        <v>5278</v>
      </c>
      <c r="I89" t="s">
        <v>5278</v>
      </c>
    </row>
    <row r="90" spans="1:9" x14ac:dyDescent="0.2">
      <c r="A90" s="785" t="s">
        <v>5279</v>
      </c>
      <c r="I90" t="s">
        <v>5279</v>
      </c>
    </row>
    <row r="91" spans="1:9" x14ac:dyDescent="0.2">
      <c r="A91" s="785" t="s">
        <v>5280</v>
      </c>
      <c r="I91" t="s">
        <v>5280</v>
      </c>
    </row>
    <row r="92" spans="1:9" x14ac:dyDescent="0.2">
      <c r="A92" s="785" t="s">
        <v>5281</v>
      </c>
      <c r="I92" t="s">
        <v>5281</v>
      </c>
    </row>
    <row r="93" spans="1:9" x14ac:dyDescent="0.2">
      <c r="A93" s="785" t="s">
        <v>5198</v>
      </c>
      <c r="I93" t="s">
        <v>5198</v>
      </c>
    </row>
    <row r="94" spans="1:9" x14ac:dyDescent="0.2">
      <c r="A94" s="785" t="s">
        <v>5199</v>
      </c>
      <c r="I94" t="s">
        <v>5199</v>
      </c>
    </row>
    <row r="95" spans="1:9" x14ac:dyDescent="0.2">
      <c r="A95" s="785" t="s">
        <v>5200</v>
      </c>
      <c r="I95" t="s">
        <v>5200</v>
      </c>
    </row>
    <row r="96" spans="1:9" x14ac:dyDescent="0.2">
      <c r="A96" s="785" t="s">
        <v>5201</v>
      </c>
      <c r="I96" t="s">
        <v>5201</v>
      </c>
    </row>
    <row r="97" spans="1:9" x14ac:dyDescent="0.2">
      <c r="A97" s="785" t="s">
        <v>5282</v>
      </c>
      <c r="I97" t="s">
        <v>5282</v>
      </c>
    </row>
    <row r="98" spans="1:9" x14ac:dyDescent="0.2">
      <c r="A98" s="785" t="s">
        <v>5202</v>
      </c>
      <c r="I98" t="s">
        <v>5202</v>
      </c>
    </row>
    <row r="99" spans="1:9" x14ac:dyDescent="0.2">
      <c r="A99" s="785" t="s">
        <v>5283</v>
      </c>
      <c r="I99" t="s">
        <v>5283</v>
      </c>
    </row>
    <row r="100" spans="1:9" x14ac:dyDescent="0.2">
      <c r="A100" s="785" t="s">
        <v>5203</v>
      </c>
      <c r="I100" t="s">
        <v>5203</v>
      </c>
    </row>
    <row r="101" spans="1:9" x14ac:dyDescent="0.2">
      <c r="A101" s="785" t="s">
        <v>5204</v>
      </c>
      <c r="I101" t="s">
        <v>5204</v>
      </c>
    </row>
    <row r="102" spans="1:9" x14ac:dyDescent="0.2">
      <c r="A102" s="785" t="s">
        <v>5123</v>
      </c>
      <c r="I102" t="s">
        <v>5123</v>
      </c>
    </row>
  </sheetData>
  <pageMargins left="0.7" right="0.7" top="0.75" bottom="0.75" header="0.3" footer="0.3"/>
  <pageSetup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9"/>
  <dimension ref="B2:K27"/>
  <sheetViews>
    <sheetView topLeftCell="A10"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3245</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100-000000000000}">
          <x14:formula1>
            <xm:f>'Revenue Codes'!$F$2:$F$47</xm:f>
          </x14:formula1>
          <xm:sqref>H8:H26</xm:sqref>
        </x14:dataValidation>
      </x14:dataValidations>
    </ext>
  </extLs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0"/>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3246</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200-000000000000}">
          <x14:formula1>
            <xm:f>'Revenue Codes'!$F$2:$F$47</xm:f>
          </x14:formula1>
          <xm:sqref>H8:H26</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1"/>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3247</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300-000000000000}">
          <x14:formula1>
            <xm:f>'Revenue Codes'!$F$2:$F$47</xm:f>
          </x14:formula1>
          <xm:sqref>H8:H26</xm:sqref>
        </x14:dataValidation>
      </x14:dataValidations>
    </ext>
  </extLs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2"/>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3248</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400-000000000000}">
          <x14:formula1>
            <xm:f>'Revenue Codes'!$F$2:$F$47</xm:f>
          </x14:formula1>
          <xm:sqref>H8:H26</xm:sqref>
        </x14:dataValidation>
      </x14:dataValidations>
    </ext>
  </extLs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3"/>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3249</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500-000000000000}">
          <x14:formula1>
            <xm:f>'Revenue Codes'!$F$2:$F$47</xm:f>
          </x14:formula1>
          <xm:sqref>H8:H26</xm:sqref>
        </x14:dataValidation>
      </x14:dataValidations>
    </ext>
  </extLs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4"/>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3250</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600-000000000000}">
          <x14:formula1>
            <xm:f>'Revenue Codes'!$F$2:$F$47</xm:f>
          </x14:formula1>
          <xm:sqref>H8:H26</xm:sqref>
        </x14:dataValidation>
      </x14:dataValidations>
    </ext>
  </extLs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5"/>
  <dimension ref="B2:T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20" ht="21" thickBot="1" x14ac:dyDescent="0.35">
      <c r="B2" s="1700" t="s">
        <v>109</v>
      </c>
      <c r="C2" s="1700"/>
      <c r="D2" s="1700"/>
      <c r="E2" s="1700"/>
      <c r="F2" s="1700"/>
      <c r="G2" s="1700"/>
      <c r="H2" s="1700"/>
      <c r="I2" s="1700"/>
      <c r="J2" s="1700"/>
      <c r="K2" s="1700"/>
    </row>
    <row r="3" spans="2:20" ht="20.45" customHeight="1" thickTop="1" x14ac:dyDescent="0.25">
      <c r="H3" s="37"/>
      <c r="I3" s="1702" t="s">
        <v>27</v>
      </c>
      <c r="J3" s="1703"/>
      <c r="K3" s="34" t="s">
        <v>28</v>
      </c>
    </row>
    <row r="4" spans="2:20" ht="20.45" customHeight="1" x14ac:dyDescent="0.25">
      <c r="B4" s="1685" t="s">
        <v>29</v>
      </c>
      <c r="C4" s="1685"/>
      <c r="D4" s="1685"/>
      <c r="E4" s="1685"/>
      <c r="F4" s="1685"/>
      <c r="G4" s="1685"/>
      <c r="H4" s="374" t="s">
        <v>605</v>
      </c>
      <c r="I4" s="36" t="str">
        <f>'Key Inputs'!E34</f>
        <v>2021</v>
      </c>
      <c r="J4" s="36">
        <f>I4-1</f>
        <v>2020</v>
      </c>
      <c r="K4" s="35" t="str">
        <f>"Cash in "&amp;J4</f>
        <v>Cash in 2020</v>
      </c>
    </row>
    <row r="5" spans="2:20" ht="20.45" customHeight="1" x14ac:dyDescent="0.25">
      <c r="C5" s="54" t="s">
        <v>35</v>
      </c>
      <c r="D5" s="55" t="s">
        <v>123</v>
      </c>
      <c r="E5" s="55"/>
      <c r="F5" s="55"/>
      <c r="G5" s="56"/>
      <c r="H5" s="57"/>
      <c r="I5" s="58"/>
      <c r="J5" s="58"/>
      <c r="K5" s="59"/>
    </row>
    <row r="6" spans="2:20" ht="20.45" customHeight="1" x14ac:dyDescent="0.25">
      <c r="D6" s="51"/>
      <c r="E6" s="67" t="s">
        <v>375</v>
      </c>
      <c r="F6" s="52"/>
      <c r="G6" s="63"/>
      <c r="H6" s="64"/>
      <c r="I6" s="65"/>
      <c r="J6" s="65"/>
      <c r="K6" s="66"/>
    </row>
    <row r="7" spans="2:20" ht="20.45" customHeight="1" x14ac:dyDescent="0.25">
      <c r="C7" s="46"/>
      <c r="D7" s="47"/>
      <c r="E7" s="42" t="s">
        <v>673</v>
      </c>
      <c r="F7" s="48"/>
      <c r="G7" s="4"/>
      <c r="H7" s="174" t="s">
        <v>97</v>
      </c>
      <c r="I7" s="198" t="s">
        <v>98</v>
      </c>
      <c r="J7" s="198" t="s">
        <v>98</v>
      </c>
      <c r="K7" s="199" t="s">
        <v>98</v>
      </c>
    </row>
    <row r="8" spans="2:20" ht="21" customHeight="1" x14ac:dyDescent="0.2">
      <c r="C8" s="51"/>
      <c r="D8" s="52"/>
      <c r="E8" s="744"/>
      <c r="F8" s="874"/>
      <c r="G8" s="875"/>
      <c r="H8" s="859"/>
      <c r="I8" s="743"/>
      <c r="J8" s="743"/>
      <c r="K8" s="860"/>
    </row>
    <row r="9" spans="2:20" ht="21" customHeight="1" x14ac:dyDescent="0.2">
      <c r="C9" s="49"/>
      <c r="D9" s="49"/>
      <c r="E9" s="744"/>
      <c r="F9" s="744"/>
      <c r="G9" s="875"/>
      <c r="H9" s="859"/>
      <c r="I9" s="743"/>
      <c r="J9" s="743"/>
      <c r="K9" s="860"/>
    </row>
    <row r="10" spans="2:20" ht="21" customHeight="1" x14ac:dyDescent="0.2">
      <c r="C10" s="49"/>
      <c r="D10" s="49"/>
      <c r="E10" s="744"/>
      <c r="F10" s="744"/>
      <c r="G10" s="875"/>
      <c r="H10" s="859"/>
      <c r="I10" s="743"/>
      <c r="J10" s="743"/>
      <c r="K10" s="860"/>
    </row>
    <row r="11" spans="2:20" ht="21" customHeight="1" x14ac:dyDescent="0.2">
      <c r="C11" s="49"/>
      <c r="D11" s="49"/>
      <c r="E11" s="744"/>
      <c r="F11" s="744"/>
      <c r="G11" s="875"/>
      <c r="H11" s="859"/>
      <c r="I11" s="743"/>
      <c r="J11" s="743"/>
      <c r="K11" s="860"/>
    </row>
    <row r="12" spans="2:20" ht="21" customHeight="1" x14ac:dyDescent="0.2">
      <c r="C12" s="49"/>
      <c r="D12" s="49"/>
      <c r="E12" s="744"/>
      <c r="F12" s="744"/>
      <c r="G12" s="875"/>
      <c r="H12" s="859"/>
      <c r="I12" s="743"/>
      <c r="J12" s="743"/>
      <c r="K12" s="860"/>
    </row>
    <row r="13" spans="2:20" ht="21" customHeight="1" x14ac:dyDescent="0.2">
      <c r="C13" s="49"/>
      <c r="D13" s="49"/>
      <c r="E13" s="744"/>
      <c r="F13" s="744"/>
      <c r="G13" s="875"/>
      <c r="H13" s="859"/>
      <c r="I13" s="743"/>
      <c r="J13" s="743"/>
      <c r="K13" s="860"/>
    </row>
    <row r="14" spans="2:20" ht="21" customHeight="1" x14ac:dyDescent="0.2">
      <c r="C14" s="49"/>
      <c r="D14" s="49"/>
      <c r="E14" s="744"/>
      <c r="F14" s="744"/>
      <c r="G14" s="875"/>
      <c r="H14" s="859"/>
      <c r="I14" s="743"/>
      <c r="J14" s="743"/>
      <c r="K14" s="860"/>
      <c r="Q14" s="63"/>
      <c r="S14" s="63"/>
      <c r="T14" s="63"/>
    </row>
    <row r="15" spans="2:20" ht="21" customHeight="1" x14ac:dyDescent="0.2">
      <c r="C15" s="49"/>
      <c r="D15" s="49"/>
      <c r="E15" s="744"/>
      <c r="F15" s="744"/>
      <c r="G15" s="875"/>
      <c r="H15" s="859"/>
      <c r="I15" s="743"/>
      <c r="J15" s="743"/>
      <c r="K15" s="860"/>
      <c r="S15" s="63"/>
      <c r="T15" s="63"/>
    </row>
    <row r="16" spans="2:20" ht="21" customHeight="1" x14ac:dyDescent="0.2">
      <c r="C16" s="49"/>
      <c r="D16" s="49"/>
      <c r="E16" s="744"/>
      <c r="F16" s="744"/>
      <c r="G16" s="875"/>
      <c r="H16" s="859"/>
      <c r="I16" s="743"/>
      <c r="J16" s="743"/>
      <c r="K16" s="860"/>
      <c r="S16" s="509"/>
      <c r="T16" s="63"/>
    </row>
    <row r="17" spans="2:20" ht="21" customHeight="1" x14ac:dyDescent="0.2">
      <c r="C17" s="49"/>
      <c r="D17" s="49"/>
      <c r="E17" s="744"/>
      <c r="F17" s="744"/>
      <c r="G17" s="875"/>
      <c r="H17" s="859"/>
      <c r="I17" s="743"/>
      <c r="J17" s="743"/>
      <c r="K17" s="860"/>
      <c r="S17" s="63"/>
      <c r="T17" s="63"/>
    </row>
    <row r="18" spans="2:20" ht="21" customHeight="1" x14ac:dyDescent="0.2">
      <c r="C18" s="49"/>
      <c r="D18" s="49"/>
      <c r="E18" s="744"/>
      <c r="F18" s="744"/>
      <c r="G18" s="875"/>
      <c r="H18" s="859"/>
      <c r="I18" s="743"/>
      <c r="J18" s="743"/>
      <c r="K18" s="860"/>
      <c r="S18" s="63"/>
      <c r="T18" s="63"/>
    </row>
    <row r="19" spans="2:20" ht="21" customHeight="1" x14ac:dyDescent="0.2">
      <c r="C19" s="49"/>
      <c r="D19" s="49"/>
      <c r="E19" s="744"/>
      <c r="F19" s="744"/>
      <c r="G19" s="875"/>
      <c r="H19" s="859"/>
      <c r="I19" s="743"/>
      <c r="J19" s="743"/>
      <c r="K19" s="860"/>
      <c r="Q19" s="63"/>
    </row>
    <row r="20" spans="2:20" ht="21" customHeight="1" x14ac:dyDescent="0.2">
      <c r="C20" s="49"/>
      <c r="D20" s="49"/>
      <c r="E20" s="744"/>
      <c r="F20" s="744"/>
      <c r="G20" s="875"/>
      <c r="H20" s="859"/>
      <c r="I20" s="743"/>
      <c r="J20" s="743"/>
      <c r="K20" s="860"/>
    </row>
    <row r="21" spans="2:20" ht="21" customHeight="1" x14ac:dyDescent="0.2">
      <c r="C21" s="49"/>
      <c r="D21" s="49"/>
      <c r="E21" s="744"/>
      <c r="F21" s="744"/>
      <c r="G21" s="875"/>
      <c r="H21" s="859"/>
      <c r="I21" s="743"/>
      <c r="J21" s="743"/>
      <c r="K21" s="860"/>
      <c r="N21" s="63"/>
    </row>
    <row r="22" spans="2:20" ht="21" customHeight="1" x14ac:dyDescent="0.2">
      <c r="C22" s="49"/>
      <c r="D22" s="49"/>
      <c r="E22" s="744"/>
      <c r="F22" s="744"/>
      <c r="G22" s="875"/>
      <c r="H22" s="859"/>
      <c r="I22" s="743"/>
      <c r="J22" s="743"/>
      <c r="K22" s="860"/>
    </row>
    <row r="23" spans="2:20" ht="21" customHeight="1" x14ac:dyDescent="0.2">
      <c r="C23" s="49"/>
      <c r="D23" s="49"/>
      <c r="E23" s="876"/>
      <c r="F23" s="876"/>
      <c r="G23" s="875"/>
      <c r="H23" s="859"/>
      <c r="I23" s="743"/>
      <c r="J23" s="743"/>
      <c r="K23" s="860"/>
    </row>
    <row r="24" spans="2:20" ht="21" customHeight="1" x14ac:dyDescent="0.2">
      <c r="E24" s="875"/>
      <c r="F24" s="875"/>
      <c r="G24" s="875"/>
      <c r="H24" s="859"/>
      <c r="I24" s="743"/>
      <c r="J24" s="743"/>
      <c r="K24" s="860"/>
    </row>
    <row r="25" spans="2:20" ht="21" customHeight="1" x14ac:dyDescent="0.2">
      <c r="E25" s="874"/>
      <c r="F25" s="875"/>
      <c r="G25" s="875"/>
      <c r="H25" s="859"/>
      <c r="I25" s="743"/>
      <c r="J25" s="743"/>
      <c r="K25" s="860"/>
    </row>
    <row r="26" spans="2:20" ht="20.45" customHeight="1" thickBot="1" x14ac:dyDescent="0.3">
      <c r="B26" s="2"/>
      <c r="C26" s="2"/>
      <c r="D26" s="2"/>
      <c r="E26" s="878"/>
      <c r="F26" s="879"/>
      <c r="G26" s="880"/>
      <c r="H26" s="881"/>
      <c r="I26" s="863"/>
      <c r="J26" s="863"/>
      <c r="K26" s="877"/>
    </row>
    <row r="27" spans="2:20" ht="16.5" thickTop="1" x14ac:dyDescent="0.25">
      <c r="B27" s="1701" t="s">
        <v>3251</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700-000000000000}">
          <x14:formula1>
            <xm:f>'Revenue Codes'!$F$2:$F$47</xm:f>
          </x14:formula1>
          <xm:sqref>H8:H26</xm:sqref>
        </x14:dataValidation>
      </x14:dataValidations>
    </ext>
  </extLs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6"/>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3249</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800-000000000000}">
          <x14:formula1>
            <xm:f>'Revenue Codes'!$F$2:$F$47</xm:f>
          </x14:formula1>
          <xm:sqref>H8:H26</xm:sqref>
        </x14:dataValidation>
      </x14:dataValidations>
    </ext>
  </extLs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7"/>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3265</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900-000000000000}">
          <x14:formula1>
            <xm:f>'Revenue Codes'!$F$2:$F$47</xm:f>
          </x14:formula1>
          <xm:sqref>H8:H26</xm:sqref>
        </x14:dataValidation>
      </x14:dataValidations>
    </ext>
  </extLs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8"/>
  <dimension ref="B2:K27"/>
  <sheetViews>
    <sheetView topLeftCell="A10"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1" customHeight="1" x14ac:dyDescent="0.2">
      <c r="C8" s="51"/>
      <c r="D8" s="52"/>
      <c r="E8" s="74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1" customHeight="1" x14ac:dyDescent="0.2">
      <c r="E25" s="874"/>
      <c r="F25" s="875"/>
      <c r="G25" s="875"/>
      <c r="H25" s="859"/>
      <c r="I25" s="743"/>
      <c r="J25" s="743"/>
      <c r="K25" s="860"/>
    </row>
    <row r="26" spans="2:11" ht="20.45" customHeight="1" thickBot="1" x14ac:dyDescent="0.3">
      <c r="B26" s="2"/>
      <c r="C26" s="2"/>
      <c r="D26" s="2"/>
      <c r="E26" s="878"/>
      <c r="F26" s="879"/>
      <c r="G26" s="880"/>
      <c r="H26" s="881"/>
      <c r="I26" s="863"/>
      <c r="J26" s="863"/>
      <c r="K26" s="877"/>
    </row>
    <row r="27" spans="2:11" ht="16.5" thickTop="1" x14ac:dyDescent="0.25">
      <c r="B27" s="1701" t="s">
        <v>3266</v>
      </c>
      <c r="C27" s="1701"/>
      <c r="D27" s="1701"/>
      <c r="E27" s="1701"/>
      <c r="F27" s="1701"/>
      <c r="G27" s="1701"/>
      <c r="H27" s="1701"/>
      <c r="I27" s="1701"/>
      <c r="J27" s="1701"/>
      <c r="K27" s="1701"/>
    </row>
  </sheetData>
  <sheetProtection password="CAF9" sheet="1" objects="1" scenarios="1"/>
  <mergeCells count="4">
    <mergeCell ref="B2:K2"/>
    <mergeCell ref="I3:J3"/>
    <mergeCell ref="B4:G4"/>
    <mergeCell ref="B27:K2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A00-000000000000}">
          <x14:formula1>
            <xm:f>'Revenue Codes'!$F$2:$F$47</xm:f>
          </x14:formula1>
          <xm:sqref>H8:H26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1"/>
  <dimension ref="A1:Q782"/>
  <sheetViews>
    <sheetView workbookViewId="0">
      <selection activeCell="P2" sqref="P2:Q21"/>
    </sheetView>
  </sheetViews>
  <sheetFormatPr defaultRowHeight="12.75" x14ac:dyDescent="0.2"/>
  <cols>
    <col min="5" max="5" width="9.85546875" bestFit="1" customWidth="1"/>
    <col min="6" max="7" width="9.85546875" customWidth="1"/>
    <col min="8" max="8" width="14.42578125" bestFit="1" customWidth="1"/>
    <col min="12" max="12" width="12.140625" bestFit="1" customWidth="1"/>
  </cols>
  <sheetData>
    <row r="1" spans="1:17" s="1038" customFormat="1" ht="15" x14ac:dyDescent="0.25">
      <c r="A1" s="1038" t="s">
        <v>968</v>
      </c>
      <c r="B1" s="710" t="s">
        <v>3468</v>
      </c>
      <c r="C1" s="711" t="s">
        <v>3469</v>
      </c>
      <c r="D1" s="781" t="s">
        <v>829</v>
      </c>
      <c r="E1" s="781" t="s">
        <v>5031</v>
      </c>
      <c r="F1" s="712">
        <v>31</v>
      </c>
      <c r="G1" s="713" t="s">
        <v>5032</v>
      </c>
      <c r="H1" s="782" t="s">
        <v>709</v>
      </c>
      <c r="I1" s="715" t="s">
        <v>5029</v>
      </c>
      <c r="J1" s="716" t="s">
        <v>5030</v>
      </c>
      <c r="K1" s="783">
        <v>33</v>
      </c>
      <c r="L1" s="1038" t="s">
        <v>5206</v>
      </c>
      <c r="M1" s="1039" t="s">
        <v>5207</v>
      </c>
      <c r="N1" s="1040" t="s">
        <v>5208</v>
      </c>
      <c r="O1" s="1038" t="s">
        <v>6200</v>
      </c>
      <c r="P1" s="1508">
        <v>44</v>
      </c>
      <c r="Q1" s="1509">
        <v>44</v>
      </c>
    </row>
    <row r="2" spans="1:17" x14ac:dyDescent="0.2">
      <c r="B2" t="s">
        <v>3470</v>
      </c>
      <c r="C2" t="s">
        <v>4250</v>
      </c>
      <c r="F2" t="s">
        <v>5033</v>
      </c>
      <c r="G2" t="s">
        <v>5042</v>
      </c>
      <c r="I2" t="s">
        <v>566</v>
      </c>
      <c r="J2" t="s">
        <v>566</v>
      </c>
      <c r="K2" t="s">
        <v>5051</v>
      </c>
      <c r="M2" t="s">
        <v>5209</v>
      </c>
      <c r="N2" t="s">
        <v>5213</v>
      </c>
      <c r="P2" s="784" t="s">
        <v>6201</v>
      </c>
      <c r="Q2" s="784" t="s">
        <v>6212</v>
      </c>
    </row>
    <row r="3" spans="1:17" x14ac:dyDescent="0.2">
      <c r="B3" t="s">
        <v>3472</v>
      </c>
      <c r="C3" t="s">
        <v>4252</v>
      </c>
      <c r="F3" t="s">
        <v>5034</v>
      </c>
      <c r="I3" t="s">
        <v>567</v>
      </c>
      <c r="J3" t="s">
        <v>567</v>
      </c>
      <c r="K3" t="s">
        <v>5052</v>
      </c>
      <c r="M3" t="s">
        <v>5210</v>
      </c>
      <c r="N3" t="s">
        <v>5214</v>
      </c>
      <c r="P3" s="784" t="s">
        <v>6202</v>
      </c>
      <c r="Q3" s="784" t="s">
        <v>6213</v>
      </c>
    </row>
    <row r="4" spans="1:17" x14ac:dyDescent="0.2">
      <c r="B4" t="s">
        <v>3474</v>
      </c>
      <c r="C4" t="s">
        <v>4254</v>
      </c>
      <c r="F4" t="s">
        <v>5035</v>
      </c>
      <c r="I4" t="s">
        <v>5043</v>
      </c>
      <c r="J4" t="s">
        <v>5043</v>
      </c>
      <c r="K4" t="s">
        <v>5053</v>
      </c>
      <c r="M4" t="s">
        <v>5211</v>
      </c>
      <c r="P4" s="784" t="s">
        <v>6203</v>
      </c>
      <c r="Q4" s="784" t="s">
        <v>6214</v>
      </c>
    </row>
    <row r="5" spans="1:17" x14ac:dyDescent="0.2">
      <c r="B5" t="s">
        <v>3476</v>
      </c>
      <c r="C5" t="s">
        <v>4256</v>
      </c>
      <c r="F5" t="s">
        <v>5036</v>
      </c>
      <c r="I5" t="s">
        <v>5044</v>
      </c>
      <c r="J5" t="s">
        <v>5044</v>
      </c>
      <c r="M5" t="s">
        <v>5212</v>
      </c>
      <c r="P5" s="784" t="s">
        <v>6204</v>
      </c>
      <c r="Q5" s="784" t="s">
        <v>6215</v>
      </c>
    </row>
    <row r="6" spans="1:17" x14ac:dyDescent="0.2">
      <c r="B6" t="s">
        <v>3478</v>
      </c>
      <c r="C6" t="s">
        <v>4258</v>
      </c>
      <c r="F6" t="s">
        <v>5037</v>
      </c>
      <c r="I6" t="s">
        <v>5045</v>
      </c>
      <c r="J6" t="s">
        <v>5045</v>
      </c>
      <c r="P6" s="784" t="s">
        <v>6205</v>
      </c>
      <c r="Q6" s="784" t="s">
        <v>6216</v>
      </c>
    </row>
    <row r="7" spans="1:17" x14ac:dyDescent="0.2">
      <c r="B7" t="s">
        <v>3480</v>
      </c>
      <c r="C7" t="s">
        <v>4260</v>
      </c>
      <c r="F7" t="s">
        <v>5038</v>
      </c>
      <c r="J7" t="s">
        <v>5046</v>
      </c>
      <c r="P7" s="784" t="s">
        <v>6206</v>
      </c>
      <c r="Q7" s="784" t="s">
        <v>6217</v>
      </c>
    </row>
    <row r="8" spans="1:17" x14ac:dyDescent="0.2">
      <c r="B8" t="s">
        <v>3482</v>
      </c>
      <c r="C8" t="s">
        <v>4262</v>
      </c>
      <c r="F8" t="s">
        <v>5039</v>
      </c>
      <c r="J8" t="s">
        <v>5047</v>
      </c>
      <c r="P8" s="784" t="s">
        <v>6207</v>
      </c>
      <c r="Q8" s="784" t="s">
        <v>6218</v>
      </c>
    </row>
    <row r="9" spans="1:17" x14ac:dyDescent="0.2">
      <c r="B9" t="s">
        <v>3484</v>
      </c>
      <c r="C9" t="s">
        <v>4264</v>
      </c>
      <c r="F9" s="784" t="s">
        <v>5054</v>
      </c>
      <c r="J9" t="s">
        <v>5048</v>
      </c>
      <c r="P9" s="784" t="s">
        <v>6208</v>
      </c>
      <c r="Q9" s="784" t="s">
        <v>6219</v>
      </c>
    </row>
    <row r="10" spans="1:17" x14ac:dyDescent="0.2">
      <c r="B10" t="s">
        <v>3486</v>
      </c>
      <c r="C10" t="s">
        <v>4266</v>
      </c>
      <c r="F10" t="s">
        <v>5040</v>
      </c>
      <c r="J10" t="s">
        <v>5049</v>
      </c>
      <c r="P10" s="784" t="s">
        <v>6209</v>
      </c>
      <c r="Q10" s="784" t="s">
        <v>6220</v>
      </c>
    </row>
    <row r="11" spans="1:17" x14ac:dyDescent="0.2">
      <c r="B11" t="s">
        <v>3488</v>
      </c>
      <c r="C11" t="s">
        <v>4268</v>
      </c>
      <c r="F11" t="s">
        <v>5041</v>
      </c>
      <c r="J11" t="s">
        <v>5050</v>
      </c>
      <c r="P11" s="784" t="s">
        <v>6210</v>
      </c>
      <c r="Q11" s="784" t="s">
        <v>6221</v>
      </c>
    </row>
    <row r="12" spans="1:17" x14ac:dyDescent="0.2">
      <c r="B12" t="s">
        <v>3490</v>
      </c>
      <c r="C12" t="s">
        <v>4270</v>
      </c>
      <c r="P12" s="784" t="s">
        <v>6211</v>
      </c>
      <c r="Q12" s="784" t="s">
        <v>6222</v>
      </c>
    </row>
    <row r="13" spans="1:17" x14ac:dyDescent="0.2">
      <c r="B13" t="s">
        <v>3492</v>
      </c>
      <c r="C13" t="s">
        <v>4272</v>
      </c>
      <c r="Q13" s="784" t="s">
        <v>6223</v>
      </c>
    </row>
    <row r="14" spans="1:17" x14ac:dyDescent="0.2">
      <c r="B14" t="s">
        <v>3494</v>
      </c>
      <c r="C14" t="s">
        <v>4274</v>
      </c>
      <c r="Q14" s="784" t="s">
        <v>6224</v>
      </c>
    </row>
    <row r="15" spans="1:17" x14ac:dyDescent="0.2">
      <c r="B15" t="s">
        <v>3496</v>
      </c>
      <c r="C15" t="s">
        <v>4276</v>
      </c>
      <c r="Q15" s="784" t="s">
        <v>6225</v>
      </c>
    </row>
    <row r="16" spans="1:17" x14ac:dyDescent="0.2">
      <c r="B16" t="s">
        <v>3498</v>
      </c>
      <c r="C16" t="s">
        <v>4278</v>
      </c>
      <c r="Q16" s="784" t="s">
        <v>6226</v>
      </c>
    </row>
    <row r="17" spans="2:17" x14ac:dyDescent="0.2">
      <c r="B17" t="s">
        <v>3500</v>
      </c>
      <c r="C17" t="s">
        <v>4280</v>
      </c>
      <c r="Q17" s="784" t="s">
        <v>6227</v>
      </c>
    </row>
    <row r="18" spans="2:17" x14ac:dyDescent="0.2">
      <c r="B18" t="s">
        <v>3502</v>
      </c>
      <c r="C18" t="s">
        <v>4282</v>
      </c>
      <c r="Q18" s="784" t="s">
        <v>6228</v>
      </c>
    </row>
    <row r="19" spans="2:17" x14ac:dyDescent="0.2">
      <c r="B19" t="s">
        <v>3504</v>
      </c>
      <c r="C19" t="s">
        <v>4284</v>
      </c>
      <c r="Q19" s="784" t="s">
        <v>6229</v>
      </c>
    </row>
    <row r="20" spans="2:17" x14ac:dyDescent="0.2">
      <c r="B20" t="s">
        <v>3506</v>
      </c>
      <c r="C20" t="s">
        <v>4286</v>
      </c>
      <c r="Q20" s="784" t="s">
        <v>6230</v>
      </c>
    </row>
    <row r="21" spans="2:17" x14ac:dyDescent="0.2">
      <c r="B21" t="s">
        <v>3508</v>
      </c>
      <c r="C21" t="s">
        <v>4288</v>
      </c>
      <c r="Q21" s="784" t="s">
        <v>6231</v>
      </c>
    </row>
    <row r="22" spans="2:17" x14ac:dyDescent="0.2">
      <c r="B22" t="s">
        <v>3510</v>
      </c>
      <c r="C22" t="s">
        <v>4290</v>
      </c>
    </row>
    <row r="23" spans="2:17" x14ac:dyDescent="0.2">
      <c r="B23" t="s">
        <v>3512</v>
      </c>
      <c r="C23" t="s">
        <v>4292</v>
      </c>
    </row>
    <row r="24" spans="2:17" x14ac:dyDescent="0.2">
      <c r="B24" t="s">
        <v>3514</v>
      </c>
      <c r="C24" t="s">
        <v>4294</v>
      </c>
    </row>
    <row r="25" spans="2:17" x14ac:dyDescent="0.2">
      <c r="B25" t="s">
        <v>3516</v>
      </c>
      <c r="C25" t="s">
        <v>4296</v>
      </c>
    </row>
    <row r="26" spans="2:17" x14ac:dyDescent="0.2">
      <c r="B26" t="s">
        <v>3518</v>
      </c>
      <c r="C26" t="s">
        <v>4298</v>
      </c>
    </row>
    <row r="27" spans="2:17" x14ac:dyDescent="0.2">
      <c r="B27" t="s">
        <v>3520</v>
      </c>
      <c r="C27" t="s">
        <v>4300</v>
      </c>
    </row>
    <row r="28" spans="2:17" x14ac:dyDescent="0.2">
      <c r="B28" t="s">
        <v>3522</v>
      </c>
      <c r="C28" t="s">
        <v>4302</v>
      </c>
    </row>
    <row r="29" spans="2:17" x14ac:dyDescent="0.2">
      <c r="B29" t="s">
        <v>3524</v>
      </c>
      <c r="C29" t="s">
        <v>4304</v>
      </c>
    </row>
    <row r="30" spans="2:17" x14ac:dyDescent="0.2">
      <c r="B30" t="s">
        <v>3526</v>
      </c>
      <c r="C30" t="s">
        <v>4306</v>
      </c>
    </row>
    <row r="31" spans="2:17" x14ac:dyDescent="0.2">
      <c r="B31" t="s">
        <v>3528</v>
      </c>
      <c r="C31" t="s">
        <v>4308</v>
      </c>
    </row>
    <row r="32" spans="2:17" x14ac:dyDescent="0.2">
      <c r="B32" t="s">
        <v>3530</v>
      </c>
      <c r="C32" t="s">
        <v>4310</v>
      </c>
    </row>
    <row r="33" spans="2:3" x14ac:dyDescent="0.2">
      <c r="B33" t="s">
        <v>3532</v>
      </c>
      <c r="C33" t="s">
        <v>4312</v>
      </c>
    </row>
    <row r="34" spans="2:3" x14ac:dyDescent="0.2">
      <c r="B34" t="s">
        <v>3534</v>
      </c>
      <c r="C34" t="s">
        <v>4314</v>
      </c>
    </row>
    <row r="35" spans="2:3" x14ac:dyDescent="0.2">
      <c r="B35" t="s">
        <v>3536</v>
      </c>
      <c r="C35" t="s">
        <v>4316</v>
      </c>
    </row>
    <row r="36" spans="2:3" x14ac:dyDescent="0.2">
      <c r="B36" t="s">
        <v>3538</v>
      </c>
      <c r="C36" t="s">
        <v>4318</v>
      </c>
    </row>
    <row r="37" spans="2:3" x14ac:dyDescent="0.2">
      <c r="B37" t="s">
        <v>3540</v>
      </c>
      <c r="C37" t="s">
        <v>4320</v>
      </c>
    </row>
    <row r="38" spans="2:3" x14ac:dyDescent="0.2">
      <c r="B38" t="s">
        <v>3542</v>
      </c>
      <c r="C38" t="s">
        <v>4322</v>
      </c>
    </row>
    <row r="39" spans="2:3" x14ac:dyDescent="0.2">
      <c r="B39" t="s">
        <v>3544</v>
      </c>
      <c r="C39" t="s">
        <v>4324</v>
      </c>
    </row>
    <row r="40" spans="2:3" x14ac:dyDescent="0.2">
      <c r="B40" t="s">
        <v>3546</v>
      </c>
      <c r="C40" t="s">
        <v>4326</v>
      </c>
    </row>
    <row r="41" spans="2:3" x14ac:dyDescent="0.2">
      <c r="B41" t="s">
        <v>3548</v>
      </c>
      <c r="C41" t="s">
        <v>4328</v>
      </c>
    </row>
    <row r="42" spans="2:3" x14ac:dyDescent="0.2">
      <c r="B42" t="s">
        <v>3550</v>
      </c>
      <c r="C42" t="s">
        <v>4330</v>
      </c>
    </row>
    <row r="43" spans="2:3" x14ac:dyDescent="0.2">
      <c r="B43" t="s">
        <v>3552</v>
      </c>
      <c r="C43" t="s">
        <v>4332</v>
      </c>
    </row>
    <row r="44" spans="2:3" x14ac:dyDescent="0.2">
      <c r="B44" t="s">
        <v>3554</v>
      </c>
      <c r="C44" t="s">
        <v>4334</v>
      </c>
    </row>
    <row r="45" spans="2:3" x14ac:dyDescent="0.2">
      <c r="B45" t="s">
        <v>3556</v>
      </c>
      <c r="C45" t="s">
        <v>4336</v>
      </c>
    </row>
    <row r="46" spans="2:3" x14ac:dyDescent="0.2">
      <c r="B46" t="s">
        <v>3558</v>
      </c>
      <c r="C46" t="s">
        <v>4338</v>
      </c>
    </row>
    <row r="47" spans="2:3" x14ac:dyDescent="0.2">
      <c r="B47" t="s">
        <v>3560</v>
      </c>
      <c r="C47" t="s">
        <v>4340</v>
      </c>
    </row>
    <row r="48" spans="2:3" x14ac:dyDescent="0.2">
      <c r="B48" t="s">
        <v>3562</v>
      </c>
      <c r="C48" t="s">
        <v>4342</v>
      </c>
    </row>
    <row r="49" spans="2:3" x14ac:dyDescent="0.2">
      <c r="B49" t="s">
        <v>3564</v>
      </c>
      <c r="C49" t="s">
        <v>4344</v>
      </c>
    </row>
    <row r="50" spans="2:3" x14ac:dyDescent="0.2">
      <c r="B50" t="s">
        <v>3566</v>
      </c>
      <c r="C50" t="s">
        <v>4346</v>
      </c>
    </row>
    <row r="51" spans="2:3" x14ac:dyDescent="0.2">
      <c r="B51" t="s">
        <v>3568</v>
      </c>
      <c r="C51" t="s">
        <v>4348</v>
      </c>
    </row>
    <row r="52" spans="2:3" x14ac:dyDescent="0.2">
      <c r="B52" t="s">
        <v>3570</v>
      </c>
      <c r="C52" t="s">
        <v>4350</v>
      </c>
    </row>
    <row r="53" spans="2:3" x14ac:dyDescent="0.2">
      <c r="B53" t="s">
        <v>3572</v>
      </c>
      <c r="C53" t="s">
        <v>4352</v>
      </c>
    </row>
    <row r="54" spans="2:3" x14ac:dyDescent="0.2">
      <c r="B54" t="s">
        <v>3574</v>
      </c>
      <c r="C54" t="s">
        <v>4354</v>
      </c>
    </row>
    <row r="55" spans="2:3" x14ac:dyDescent="0.2">
      <c r="B55" t="s">
        <v>3576</v>
      </c>
      <c r="C55" t="s">
        <v>4356</v>
      </c>
    </row>
    <row r="56" spans="2:3" x14ac:dyDescent="0.2">
      <c r="B56" t="s">
        <v>3578</v>
      </c>
      <c r="C56" t="s">
        <v>4358</v>
      </c>
    </row>
    <row r="57" spans="2:3" x14ac:dyDescent="0.2">
      <c r="B57" t="s">
        <v>3580</v>
      </c>
      <c r="C57" t="s">
        <v>4360</v>
      </c>
    </row>
    <row r="58" spans="2:3" x14ac:dyDescent="0.2">
      <c r="B58" t="s">
        <v>3582</v>
      </c>
      <c r="C58" t="s">
        <v>4362</v>
      </c>
    </row>
    <row r="59" spans="2:3" x14ac:dyDescent="0.2">
      <c r="B59" t="s">
        <v>3584</v>
      </c>
      <c r="C59" t="s">
        <v>4364</v>
      </c>
    </row>
    <row r="60" spans="2:3" x14ac:dyDescent="0.2">
      <c r="B60" t="s">
        <v>3586</v>
      </c>
      <c r="C60" t="s">
        <v>4366</v>
      </c>
    </row>
    <row r="61" spans="2:3" x14ac:dyDescent="0.2">
      <c r="B61" t="s">
        <v>3588</v>
      </c>
      <c r="C61" t="s">
        <v>4368</v>
      </c>
    </row>
    <row r="62" spans="2:3" x14ac:dyDescent="0.2">
      <c r="B62" t="s">
        <v>3590</v>
      </c>
      <c r="C62" t="s">
        <v>4370</v>
      </c>
    </row>
    <row r="63" spans="2:3" x14ac:dyDescent="0.2">
      <c r="B63" t="s">
        <v>3592</v>
      </c>
      <c r="C63" t="s">
        <v>4372</v>
      </c>
    </row>
    <row r="64" spans="2:3" x14ac:dyDescent="0.2">
      <c r="B64" t="s">
        <v>3594</v>
      </c>
      <c r="C64" t="s">
        <v>4374</v>
      </c>
    </row>
    <row r="65" spans="2:3" x14ac:dyDescent="0.2">
      <c r="B65" t="s">
        <v>3596</v>
      </c>
      <c r="C65" t="s">
        <v>4376</v>
      </c>
    </row>
    <row r="66" spans="2:3" x14ac:dyDescent="0.2">
      <c r="B66" t="s">
        <v>3598</v>
      </c>
      <c r="C66" t="s">
        <v>4378</v>
      </c>
    </row>
    <row r="67" spans="2:3" x14ac:dyDescent="0.2">
      <c r="B67" t="s">
        <v>3600</v>
      </c>
      <c r="C67" t="s">
        <v>4380</v>
      </c>
    </row>
    <row r="68" spans="2:3" x14ac:dyDescent="0.2">
      <c r="B68" t="s">
        <v>3602</v>
      </c>
      <c r="C68" t="s">
        <v>4382</v>
      </c>
    </row>
    <row r="69" spans="2:3" x14ac:dyDescent="0.2">
      <c r="B69" t="s">
        <v>3604</v>
      </c>
      <c r="C69" t="s">
        <v>4384</v>
      </c>
    </row>
    <row r="70" spans="2:3" x14ac:dyDescent="0.2">
      <c r="B70" t="s">
        <v>3606</v>
      </c>
      <c r="C70" t="s">
        <v>4386</v>
      </c>
    </row>
    <row r="71" spans="2:3" x14ac:dyDescent="0.2">
      <c r="B71" t="s">
        <v>3608</v>
      </c>
      <c r="C71" t="s">
        <v>4388</v>
      </c>
    </row>
    <row r="72" spans="2:3" x14ac:dyDescent="0.2">
      <c r="B72" t="s">
        <v>3610</v>
      </c>
      <c r="C72" t="s">
        <v>4390</v>
      </c>
    </row>
    <row r="73" spans="2:3" x14ac:dyDescent="0.2">
      <c r="B73" t="s">
        <v>3612</v>
      </c>
      <c r="C73" t="s">
        <v>4392</v>
      </c>
    </row>
    <row r="74" spans="2:3" x14ac:dyDescent="0.2">
      <c r="B74" t="s">
        <v>3614</v>
      </c>
      <c r="C74" t="s">
        <v>4394</v>
      </c>
    </row>
    <row r="75" spans="2:3" x14ac:dyDescent="0.2">
      <c r="B75" t="s">
        <v>3616</v>
      </c>
      <c r="C75" t="s">
        <v>4396</v>
      </c>
    </row>
    <row r="76" spans="2:3" x14ac:dyDescent="0.2">
      <c r="B76" t="s">
        <v>3618</v>
      </c>
      <c r="C76" t="s">
        <v>4398</v>
      </c>
    </row>
    <row r="77" spans="2:3" x14ac:dyDescent="0.2">
      <c r="B77" t="s">
        <v>3620</v>
      </c>
      <c r="C77" t="s">
        <v>4400</v>
      </c>
    </row>
    <row r="78" spans="2:3" x14ac:dyDescent="0.2">
      <c r="B78" t="s">
        <v>3622</v>
      </c>
      <c r="C78" t="s">
        <v>4402</v>
      </c>
    </row>
    <row r="79" spans="2:3" x14ac:dyDescent="0.2">
      <c r="B79" t="s">
        <v>3624</v>
      </c>
      <c r="C79" t="s">
        <v>4404</v>
      </c>
    </row>
    <row r="80" spans="2:3" x14ac:dyDescent="0.2">
      <c r="B80" t="s">
        <v>3626</v>
      </c>
      <c r="C80" t="s">
        <v>4406</v>
      </c>
    </row>
    <row r="81" spans="2:3" x14ac:dyDescent="0.2">
      <c r="B81" t="s">
        <v>3628</v>
      </c>
      <c r="C81" t="s">
        <v>4408</v>
      </c>
    </row>
    <row r="82" spans="2:3" x14ac:dyDescent="0.2">
      <c r="B82" t="s">
        <v>3630</v>
      </c>
      <c r="C82" t="s">
        <v>4410</v>
      </c>
    </row>
    <row r="83" spans="2:3" x14ac:dyDescent="0.2">
      <c r="B83" t="s">
        <v>3632</v>
      </c>
      <c r="C83" t="s">
        <v>4412</v>
      </c>
    </row>
    <row r="84" spans="2:3" x14ac:dyDescent="0.2">
      <c r="B84" t="s">
        <v>3634</v>
      </c>
      <c r="C84" t="s">
        <v>4414</v>
      </c>
    </row>
    <row r="85" spans="2:3" x14ac:dyDescent="0.2">
      <c r="B85" t="s">
        <v>3636</v>
      </c>
      <c r="C85" t="s">
        <v>4416</v>
      </c>
    </row>
    <row r="86" spans="2:3" x14ac:dyDescent="0.2">
      <c r="B86" t="s">
        <v>3638</v>
      </c>
      <c r="C86" t="s">
        <v>4418</v>
      </c>
    </row>
    <row r="87" spans="2:3" x14ac:dyDescent="0.2">
      <c r="B87" t="s">
        <v>3640</v>
      </c>
      <c r="C87" t="s">
        <v>4420</v>
      </c>
    </row>
    <row r="88" spans="2:3" x14ac:dyDescent="0.2">
      <c r="B88" t="s">
        <v>3642</v>
      </c>
      <c r="C88" t="s">
        <v>4422</v>
      </c>
    </row>
    <row r="89" spans="2:3" x14ac:dyDescent="0.2">
      <c r="B89" t="s">
        <v>3644</v>
      </c>
      <c r="C89" t="s">
        <v>4424</v>
      </c>
    </row>
    <row r="90" spans="2:3" x14ac:dyDescent="0.2">
      <c r="B90" t="s">
        <v>3646</v>
      </c>
      <c r="C90" t="s">
        <v>4426</v>
      </c>
    </row>
    <row r="91" spans="2:3" x14ac:dyDescent="0.2">
      <c r="B91" t="s">
        <v>3648</v>
      </c>
      <c r="C91" t="s">
        <v>4428</v>
      </c>
    </row>
    <row r="92" spans="2:3" x14ac:dyDescent="0.2">
      <c r="B92" t="s">
        <v>3650</v>
      </c>
      <c r="C92" t="s">
        <v>4430</v>
      </c>
    </row>
    <row r="93" spans="2:3" x14ac:dyDescent="0.2">
      <c r="B93" t="s">
        <v>3652</v>
      </c>
      <c r="C93" t="s">
        <v>4432</v>
      </c>
    </row>
    <row r="94" spans="2:3" x14ac:dyDescent="0.2">
      <c r="B94" t="s">
        <v>3654</v>
      </c>
      <c r="C94" t="s">
        <v>4434</v>
      </c>
    </row>
    <row r="95" spans="2:3" x14ac:dyDescent="0.2">
      <c r="B95" t="s">
        <v>3656</v>
      </c>
      <c r="C95" t="s">
        <v>4436</v>
      </c>
    </row>
    <row r="96" spans="2:3" x14ac:dyDescent="0.2">
      <c r="B96" t="s">
        <v>3658</v>
      </c>
      <c r="C96" t="s">
        <v>4438</v>
      </c>
    </row>
    <row r="97" spans="2:3" x14ac:dyDescent="0.2">
      <c r="B97" t="s">
        <v>3660</v>
      </c>
      <c r="C97" t="s">
        <v>4440</v>
      </c>
    </row>
    <row r="98" spans="2:3" x14ac:dyDescent="0.2">
      <c r="B98" t="s">
        <v>3662</v>
      </c>
      <c r="C98" t="s">
        <v>4442</v>
      </c>
    </row>
    <row r="99" spans="2:3" x14ac:dyDescent="0.2">
      <c r="B99" t="s">
        <v>3664</v>
      </c>
      <c r="C99" t="s">
        <v>4444</v>
      </c>
    </row>
    <row r="100" spans="2:3" x14ac:dyDescent="0.2">
      <c r="B100" t="s">
        <v>3666</v>
      </c>
      <c r="C100" t="s">
        <v>4446</v>
      </c>
    </row>
    <row r="101" spans="2:3" x14ac:dyDescent="0.2">
      <c r="B101" t="s">
        <v>3668</v>
      </c>
      <c r="C101" t="s">
        <v>4448</v>
      </c>
    </row>
    <row r="102" spans="2:3" x14ac:dyDescent="0.2">
      <c r="B102" t="s">
        <v>3670</v>
      </c>
      <c r="C102" t="s">
        <v>4450</v>
      </c>
    </row>
    <row r="103" spans="2:3" x14ac:dyDescent="0.2">
      <c r="B103" t="s">
        <v>3672</v>
      </c>
      <c r="C103" t="s">
        <v>4452</v>
      </c>
    </row>
    <row r="104" spans="2:3" x14ac:dyDescent="0.2">
      <c r="B104" t="s">
        <v>3674</v>
      </c>
      <c r="C104" t="s">
        <v>4454</v>
      </c>
    </row>
    <row r="105" spans="2:3" x14ac:dyDescent="0.2">
      <c r="B105" t="s">
        <v>3676</v>
      </c>
      <c r="C105" t="s">
        <v>4456</v>
      </c>
    </row>
    <row r="106" spans="2:3" x14ac:dyDescent="0.2">
      <c r="B106" t="s">
        <v>3678</v>
      </c>
      <c r="C106" t="s">
        <v>4458</v>
      </c>
    </row>
    <row r="107" spans="2:3" x14ac:dyDescent="0.2">
      <c r="B107" t="s">
        <v>3680</v>
      </c>
      <c r="C107" t="s">
        <v>4460</v>
      </c>
    </row>
    <row r="108" spans="2:3" x14ac:dyDescent="0.2">
      <c r="B108" t="s">
        <v>3682</v>
      </c>
      <c r="C108" t="s">
        <v>4462</v>
      </c>
    </row>
    <row r="109" spans="2:3" x14ac:dyDescent="0.2">
      <c r="B109" t="s">
        <v>3684</v>
      </c>
      <c r="C109" t="s">
        <v>4464</v>
      </c>
    </row>
    <row r="110" spans="2:3" x14ac:dyDescent="0.2">
      <c r="B110" t="s">
        <v>3686</v>
      </c>
      <c r="C110" t="s">
        <v>4466</v>
      </c>
    </row>
    <row r="111" spans="2:3" x14ac:dyDescent="0.2">
      <c r="B111" t="s">
        <v>3688</v>
      </c>
      <c r="C111" t="s">
        <v>4468</v>
      </c>
    </row>
    <row r="112" spans="2:3" x14ac:dyDescent="0.2">
      <c r="B112" t="s">
        <v>3690</v>
      </c>
      <c r="C112" t="s">
        <v>4470</v>
      </c>
    </row>
    <row r="113" spans="2:3" x14ac:dyDescent="0.2">
      <c r="B113" t="s">
        <v>3692</v>
      </c>
      <c r="C113" t="s">
        <v>4472</v>
      </c>
    </row>
    <row r="114" spans="2:3" x14ac:dyDescent="0.2">
      <c r="B114" t="s">
        <v>3694</v>
      </c>
      <c r="C114" t="s">
        <v>4474</v>
      </c>
    </row>
    <row r="115" spans="2:3" x14ac:dyDescent="0.2">
      <c r="B115" t="s">
        <v>3696</v>
      </c>
      <c r="C115" t="s">
        <v>4476</v>
      </c>
    </row>
    <row r="116" spans="2:3" x14ac:dyDescent="0.2">
      <c r="B116" t="s">
        <v>3698</v>
      </c>
      <c r="C116" t="s">
        <v>4478</v>
      </c>
    </row>
    <row r="117" spans="2:3" x14ac:dyDescent="0.2">
      <c r="B117" t="s">
        <v>3700</v>
      </c>
      <c r="C117" t="s">
        <v>4480</v>
      </c>
    </row>
    <row r="118" spans="2:3" x14ac:dyDescent="0.2">
      <c r="B118" t="s">
        <v>3702</v>
      </c>
      <c r="C118" t="s">
        <v>4482</v>
      </c>
    </row>
    <row r="119" spans="2:3" x14ac:dyDescent="0.2">
      <c r="B119" t="s">
        <v>3704</v>
      </c>
      <c r="C119" t="s">
        <v>4484</v>
      </c>
    </row>
    <row r="120" spans="2:3" x14ac:dyDescent="0.2">
      <c r="B120" t="s">
        <v>3706</v>
      </c>
      <c r="C120" t="s">
        <v>4486</v>
      </c>
    </row>
    <row r="121" spans="2:3" x14ac:dyDescent="0.2">
      <c r="B121" t="s">
        <v>3708</v>
      </c>
      <c r="C121" t="s">
        <v>4488</v>
      </c>
    </row>
    <row r="122" spans="2:3" x14ac:dyDescent="0.2">
      <c r="B122" t="s">
        <v>3710</v>
      </c>
      <c r="C122" t="s">
        <v>4490</v>
      </c>
    </row>
    <row r="123" spans="2:3" x14ac:dyDescent="0.2">
      <c r="B123" t="s">
        <v>3712</v>
      </c>
      <c r="C123" t="s">
        <v>4492</v>
      </c>
    </row>
    <row r="124" spans="2:3" x14ac:dyDescent="0.2">
      <c r="B124" t="s">
        <v>3714</v>
      </c>
      <c r="C124" t="s">
        <v>4494</v>
      </c>
    </row>
    <row r="125" spans="2:3" x14ac:dyDescent="0.2">
      <c r="B125" t="s">
        <v>3716</v>
      </c>
      <c r="C125" t="s">
        <v>4496</v>
      </c>
    </row>
    <row r="126" spans="2:3" x14ac:dyDescent="0.2">
      <c r="B126" t="s">
        <v>3718</v>
      </c>
      <c r="C126" t="s">
        <v>4498</v>
      </c>
    </row>
    <row r="127" spans="2:3" x14ac:dyDescent="0.2">
      <c r="B127" t="s">
        <v>3720</v>
      </c>
      <c r="C127" t="s">
        <v>4500</v>
      </c>
    </row>
    <row r="128" spans="2:3" x14ac:dyDescent="0.2">
      <c r="B128" t="s">
        <v>3722</v>
      </c>
      <c r="C128" t="s">
        <v>4502</v>
      </c>
    </row>
    <row r="129" spans="2:3" x14ac:dyDescent="0.2">
      <c r="B129" t="s">
        <v>3724</v>
      </c>
      <c r="C129" t="s">
        <v>4504</v>
      </c>
    </row>
    <row r="130" spans="2:3" x14ac:dyDescent="0.2">
      <c r="B130" t="s">
        <v>3726</v>
      </c>
      <c r="C130" t="s">
        <v>4506</v>
      </c>
    </row>
    <row r="131" spans="2:3" x14ac:dyDescent="0.2">
      <c r="B131" t="s">
        <v>3728</v>
      </c>
      <c r="C131" t="s">
        <v>4508</v>
      </c>
    </row>
    <row r="132" spans="2:3" x14ac:dyDescent="0.2">
      <c r="B132" t="s">
        <v>3730</v>
      </c>
      <c r="C132" t="s">
        <v>4510</v>
      </c>
    </row>
    <row r="133" spans="2:3" x14ac:dyDescent="0.2">
      <c r="B133" t="s">
        <v>3732</v>
      </c>
      <c r="C133" t="s">
        <v>4512</v>
      </c>
    </row>
    <row r="134" spans="2:3" x14ac:dyDescent="0.2">
      <c r="B134" t="s">
        <v>3734</v>
      </c>
      <c r="C134" t="s">
        <v>4514</v>
      </c>
    </row>
    <row r="135" spans="2:3" x14ac:dyDescent="0.2">
      <c r="B135" t="s">
        <v>3736</v>
      </c>
      <c r="C135" t="s">
        <v>4516</v>
      </c>
    </row>
    <row r="136" spans="2:3" x14ac:dyDescent="0.2">
      <c r="B136" t="s">
        <v>3738</v>
      </c>
      <c r="C136" t="s">
        <v>4518</v>
      </c>
    </row>
    <row r="137" spans="2:3" x14ac:dyDescent="0.2">
      <c r="B137" t="s">
        <v>3740</v>
      </c>
      <c r="C137" t="s">
        <v>4520</v>
      </c>
    </row>
    <row r="138" spans="2:3" x14ac:dyDescent="0.2">
      <c r="B138" t="s">
        <v>3742</v>
      </c>
      <c r="C138" t="s">
        <v>4522</v>
      </c>
    </row>
    <row r="139" spans="2:3" x14ac:dyDescent="0.2">
      <c r="B139" t="s">
        <v>3744</v>
      </c>
      <c r="C139" t="s">
        <v>4524</v>
      </c>
    </row>
    <row r="140" spans="2:3" x14ac:dyDescent="0.2">
      <c r="B140" t="s">
        <v>3746</v>
      </c>
      <c r="C140" t="s">
        <v>4526</v>
      </c>
    </row>
    <row r="141" spans="2:3" x14ac:dyDescent="0.2">
      <c r="B141" t="s">
        <v>3748</v>
      </c>
      <c r="C141" t="s">
        <v>4528</v>
      </c>
    </row>
    <row r="142" spans="2:3" x14ac:dyDescent="0.2">
      <c r="B142" t="s">
        <v>3750</v>
      </c>
      <c r="C142" t="s">
        <v>4530</v>
      </c>
    </row>
    <row r="143" spans="2:3" x14ac:dyDescent="0.2">
      <c r="B143" t="s">
        <v>3752</v>
      </c>
      <c r="C143" t="s">
        <v>4532</v>
      </c>
    </row>
    <row r="144" spans="2:3" x14ac:dyDescent="0.2">
      <c r="B144" t="s">
        <v>3754</v>
      </c>
      <c r="C144" t="s">
        <v>4534</v>
      </c>
    </row>
    <row r="145" spans="2:3" x14ac:dyDescent="0.2">
      <c r="B145" t="s">
        <v>3756</v>
      </c>
      <c r="C145" t="s">
        <v>4536</v>
      </c>
    </row>
    <row r="146" spans="2:3" x14ac:dyDescent="0.2">
      <c r="B146" t="s">
        <v>3758</v>
      </c>
      <c r="C146" t="s">
        <v>4538</v>
      </c>
    </row>
    <row r="147" spans="2:3" x14ac:dyDescent="0.2">
      <c r="B147" t="s">
        <v>3760</v>
      </c>
      <c r="C147" t="s">
        <v>4540</v>
      </c>
    </row>
    <row r="148" spans="2:3" x14ac:dyDescent="0.2">
      <c r="B148" t="s">
        <v>3762</v>
      </c>
      <c r="C148" t="s">
        <v>4542</v>
      </c>
    </row>
    <row r="149" spans="2:3" x14ac:dyDescent="0.2">
      <c r="B149" t="s">
        <v>3764</v>
      </c>
      <c r="C149" t="s">
        <v>4544</v>
      </c>
    </row>
    <row r="150" spans="2:3" x14ac:dyDescent="0.2">
      <c r="B150" t="s">
        <v>3766</v>
      </c>
      <c r="C150" t="s">
        <v>4546</v>
      </c>
    </row>
    <row r="151" spans="2:3" x14ac:dyDescent="0.2">
      <c r="B151" t="s">
        <v>3768</v>
      </c>
      <c r="C151" t="s">
        <v>4548</v>
      </c>
    </row>
    <row r="152" spans="2:3" x14ac:dyDescent="0.2">
      <c r="B152" t="s">
        <v>3770</v>
      </c>
      <c r="C152" t="s">
        <v>4550</v>
      </c>
    </row>
    <row r="153" spans="2:3" x14ac:dyDescent="0.2">
      <c r="B153" t="s">
        <v>3772</v>
      </c>
      <c r="C153" t="s">
        <v>4552</v>
      </c>
    </row>
    <row r="154" spans="2:3" x14ac:dyDescent="0.2">
      <c r="B154" t="s">
        <v>3774</v>
      </c>
      <c r="C154" t="s">
        <v>4554</v>
      </c>
    </row>
    <row r="155" spans="2:3" x14ac:dyDescent="0.2">
      <c r="B155" t="s">
        <v>3776</v>
      </c>
      <c r="C155" t="s">
        <v>4556</v>
      </c>
    </row>
    <row r="156" spans="2:3" x14ac:dyDescent="0.2">
      <c r="B156" t="s">
        <v>3778</v>
      </c>
      <c r="C156" t="s">
        <v>4558</v>
      </c>
    </row>
    <row r="157" spans="2:3" x14ac:dyDescent="0.2">
      <c r="B157" t="s">
        <v>3780</v>
      </c>
      <c r="C157" t="s">
        <v>4560</v>
      </c>
    </row>
    <row r="158" spans="2:3" x14ac:dyDescent="0.2">
      <c r="B158" t="s">
        <v>3782</v>
      </c>
      <c r="C158" t="s">
        <v>4562</v>
      </c>
    </row>
    <row r="159" spans="2:3" x14ac:dyDescent="0.2">
      <c r="B159" t="s">
        <v>3784</v>
      </c>
      <c r="C159" t="s">
        <v>4564</v>
      </c>
    </row>
    <row r="160" spans="2:3" x14ac:dyDescent="0.2">
      <c r="B160" t="s">
        <v>3786</v>
      </c>
      <c r="C160" t="s">
        <v>4566</v>
      </c>
    </row>
    <row r="161" spans="2:3" x14ac:dyDescent="0.2">
      <c r="B161" t="s">
        <v>3788</v>
      </c>
      <c r="C161" t="s">
        <v>4568</v>
      </c>
    </row>
    <row r="162" spans="2:3" x14ac:dyDescent="0.2">
      <c r="B162" t="s">
        <v>3790</v>
      </c>
      <c r="C162" t="s">
        <v>4570</v>
      </c>
    </row>
    <row r="163" spans="2:3" x14ac:dyDescent="0.2">
      <c r="B163" t="s">
        <v>3792</v>
      </c>
      <c r="C163" t="s">
        <v>4572</v>
      </c>
    </row>
    <row r="164" spans="2:3" x14ac:dyDescent="0.2">
      <c r="B164" t="s">
        <v>3794</v>
      </c>
      <c r="C164" t="s">
        <v>4574</v>
      </c>
    </row>
    <row r="165" spans="2:3" x14ac:dyDescent="0.2">
      <c r="B165" t="s">
        <v>3796</v>
      </c>
      <c r="C165" t="s">
        <v>4576</v>
      </c>
    </row>
    <row r="166" spans="2:3" x14ac:dyDescent="0.2">
      <c r="B166" t="s">
        <v>3798</v>
      </c>
      <c r="C166" t="s">
        <v>4578</v>
      </c>
    </row>
    <row r="167" spans="2:3" x14ac:dyDescent="0.2">
      <c r="B167" t="s">
        <v>3800</v>
      </c>
      <c r="C167" t="s">
        <v>4580</v>
      </c>
    </row>
    <row r="168" spans="2:3" x14ac:dyDescent="0.2">
      <c r="B168" t="s">
        <v>3802</v>
      </c>
      <c r="C168" t="s">
        <v>4582</v>
      </c>
    </row>
    <row r="169" spans="2:3" x14ac:dyDescent="0.2">
      <c r="B169" t="s">
        <v>3804</v>
      </c>
      <c r="C169" t="s">
        <v>4584</v>
      </c>
    </row>
    <row r="170" spans="2:3" x14ac:dyDescent="0.2">
      <c r="B170" t="s">
        <v>3806</v>
      </c>
      <c r="C170" t="s">
        <v>4586</v>
      </c>
    </row>
    <row r="171" spans="2:3" x14ac:dyDescent="0.2">
      <c r="B171" t="s">
        <v>3808</v>
      </c>
      <c r="C171" t="s">
        <v>4588</v>
      </c>
    </row>
    <row r="172" spans="2:3" x14ac:dyDescent="0.2">
      <c r="B172" t="s">
        <v>3810</v>
      </c>
      <c r="C172" t="s">
        <v>4590</v>
      </c>
    </row>
    <row r="173" spans="2:3" x14ac:dyDescent="0.2">
      <c r="B173" t="s">
        <v>3812</v>
      </c>
      <c r="C173" t="s">
        <v>4592</v>
      </c>
    </row>
    <row r="174" spans="2:3" x14ac:dyDescent="0.2">
      <c r="B174" t="s">
        <v>3814</v>
      </c>
      <c r="C174" t="s">
        <v>4594</v>
      </c>
    </row>
    <row r="175" spans="2:3" x14ac:dyDescent="0.2">
      <c r="B175" t="s">
        <v>3816</v>
      </c>
      <c r="C175" t="s">
        <v>4596</v>
      </c>
    </row>
    <row r="176" spans="2:3" x14ac:dyDescent="0.2">
      <c r="B176" t="s">
        <v>3818</v>
      </c>
      <c r="C176" t="s">
        <v>4598</v>
      </c>
    </row>
    <row r="177" spans="2:3" x14ac:dyDescent="0.2">
      <c r="B177" t="s">
        <v>3820</v>
      </c>
      <c r="C177" t="s">
        <v>4600</v>
      </c>
    </row>
    <row r="178" spans="2:3" x14ac:dyDescent="0.2">
      <c r="B178" t="s">
        <v>3822</v>
      </c>
      <c r="C178" t="s">
        <v>4602</v>
      </c>
    </row>
    <row r="179" spans="2:3" x14ac:dyDescent="0.2">
      <c r="B179" t="s">
        <v>3824</v>
      </c>
      <c r="C179" t="s">
        <v>4604</v>
      </c>
    </row>
    <row r="180" spans="2:3" x14ac:dyDescent="0.2">
      <c r="B180" t="s">
        <v>3826</v>
      </c>
      <c r="C180" t="s">
        <v>4606</v>
      </c>
    </row>
    <row r="181" spans="2:3" x14ac:dyDescent="0.2">
      <c r="B181" t="s">
        <v>3828</v>
      </c>
      <c r="C181" t="s">
        <v>4608</v>
      </c>
    </row>
    <row r="182" spans="2:3" x14ac:dyDescent="0.2">
      <c r="B182" t="s">
        <v>3830</v>
      </c>
      <c r="C182" t="s">
        <v>4610</v>
      </c>
    </row>
    <row r="183" spans="2:3" x14ac:dyDescent="0.2">
      <c r="B183" t="s">
        <v>3832</v>
      </c>
      <c r="C183" t="s">
        <v>4612</v>
      </c>
    </row>
    <row r="184" spans="2:3" x14ac:dyDescent="0.2">
      <c r="B184" t="s">
        <v>3834</v>
      </c>
      <c r="C184" t="s">
        <v>4614</v>
      </c>
    </row>
    <row r="185" spans="2:3" x14ac:dyDescent="0.2">
      <c r="B185" t="s">
        <v>3836</v>
      </c>
      <c r="C185" t="s">
        <v>4616</v>
      </c>
    </row>
    <row r="186" spans="2:3" x14ac:dyDescent="0.2">
      <c r="B186" t="s">
        <v>3838</v>
      </c>
      <c r="C186" t="s">
        <v>4618</v>
      </c>
    </row>
    <row r="187" spans="2:3" x14ac:dyDescent="0.2">
      <c r="B187" t="s">
        <v>3840</v>
      </c>
      <c r="C187" t="s">
        <v>4620</v>
      </c>
    </row>
    <row r="188" spans="2:3" x14ac:dyDescent="0.2">
      <c r="B188" t="s">
        <v>3842</v>
      </c>
      <c r="C188" t="s">
        <v>4622</v>
      </c>
    </row>
    <row r="189" spans="2:3" x14ac:dyDescent="0.2">
      <c r="B189" t="s">
        <v>3844</v>
      </c>
      <c r="C189" t="s">
        <v>4624</v>
      </c>
    </row>
    <row r="190" spans="2:3" x14ac:dyDescent="0.2">
      <c r="B190" t="s">
        <v>3846</v>
      </c>
      <c r="C190" t="s">
        <v>4626</v>
      </c>
    </row>
    <row r="191" spans="2:3" x14ac:dyDescent="0.2">
      <c r="B191" t="s">
        <v>3848</v>
      </c>
      <c r="C191" t="s">
        <v>4628</v>
      </c>
    </row>
    <row r="192" spans="2:3" x14ac:dyDescent="0.2">
      <c r="B192" t="s">
        <v>3850</v>
      </c>
      <c r="C192" t="s">
        <v>4630</v>
      </c>
    </row>
    <row r="193" spans="2:3" x14ac:dyDescent="0.2">
      <c r="B193" t="s">
        <v>3852</v>
      </c>
      <c r="C193" t="s">
        <v>4632</v>
      </c>
    </row>
    <row r="194" spans="2:3" x14ac:dyDescent="0.2">
      <c r="B194" t="s">
        <v>3854</v>
      </c>
      <c r="C194" t="s">
        <v>4634</v>
      </c>
    </row>
    <row r="195" spans="2:3" x14ac:dyDescent="0.2">
      <c r="B195" t="s">
        <v>3856</v>
      </c>
      <c r="C195" t="s">
        <v>4636</v>
      </c>
    </row>
    <row r="196" spans="2:3" x14ac:dyDescent="0.2">
      <c r="B196" t="s">
        <v>3858</v>
      </c>
      <c r="C196" t="s">
        <v>4638</v>
      </c>
    </row>
    <row r="197" spans="2:3" x14ac:dyDescent="0.2">
      <c r="B197" t="s">
        <v>3860</v>
      </c>
      <c r="C197" t="s">
        <v>4640</v>
      </c>
    </row>
    <row r="198" spans="2:3" x14ac:dyDescent="0.2">
      <c r="B198" t="s">
        <v>3862</v>
      </c>
      <c r="C198" t="s">
        <v>4642</v>
      </c>
    </row>
    <row r="199" spans="2:3" x14ac:dyDescent="0.2">
      <c r="B199" t="s">
        <v>3864</v>
      </c>
      <c r="C199" t="s">
        <v>4644</v>
      </c>
    </row>
    <row r="200" spans="2:3" x14ac:dyDescent="0.2">
      <c r="B200" t="s">
        <v>3866</v>
      </c>
      <c r="C200" t="s">
        <v>4646</v>
      </c>
    </row>
    <row r="201" spans="2:3" x14ac:dyDescent="0.2">
      <c r="B201" t="s">
        <v>3868</v>
      </c>
      <c r="C201" t="s">
        <v>4648</v>
      </c>
    </row>
    <row r="202" spans="2:3" x14ac:dyDescent="0.2">
      <c r="B202" t="s">
        <v>3870</v>
      </c>
      <c r="C202" t="s">
        <v>4650</v>
      </c>
    </row>
    <row r="203" spans="2:3" x14ac:dyDescent="0.2">
      <c r="B203" t="s">
        <v>3872</v>
      </c>
      <c r="C203" t="s">
        <v>4652</v>
      </c>
    </row>
    <row r="204" spans="2:3" x14ac:dyDescent="0.2">
      <c r="B204" t="s">
        <v>3874</v>
      </c>
      <c r="C204" t="s">
        <v>4654</v>
      </c>
    </row>
    <row r="205" spans="2:3" x14ac:dyDescent="0.2">
      <c r="B205" t="s">
        <v>3876</v>
      </c>
      <c r="C205" t="s">
        <v>4656</v>
      </c>
    </row>
    <row r="206" spans="2:3" x14ac:dyDescent="0.2">
      <c r="B206" t="s">
        <v>3878</v>
      </c>
      <c r="C206" t="s">
        <v>4658</v>
      </c>
    </row>
    <row r="207" spans="2:3" x14ac:dyDescent="0.2">
      <c r="B207" t="s">
        <v>3880</v>
      </c>
      <c r="C207" t="s">
        <v>4660</v>
      </c>
    </row>
    <row r="208" spans="2:3" x14ac:dyDescent="0.2">
      <c r="B208" t="s">
        <v>3882</v>
      </c>
      <c r="C208" t="s">
        <v>4662</v>
      </c>
    </row>
    <row r="209" spans="2:3" x14ac:dyDescent="0.2">
      <c r="B209" t="s">
        <v>3884</v>
      </c>
      <c r="C209" t="s">
        <v>4664</v>
      </c>
    </row>
    <row r="210" spans="2:3" x14ac:dyDescent="0.2">
      <c r="B210" t="s">
        <v>3886</v>
      </c>
      <c r="C210" t="s">
        <v>4666</v>
      </c>
    </row>
    <row r="211" spans="2:3" x14ac:dyDescent="0.2">
      <c r="B211" t="s">
        <v>3888</v>
      </c>
      <c r="C211" t="s">
        <v>4668</v>
      </c>
    </row>
    <row r="212" spans="2:3" x14ac:dyDescent="0.2">
      <c r="B212" t="s">
        <v>3890</v>
      </c>
      <c r="C212" t="s">
        <v>4670</v>
      </c>
    </row>
    <row r="213" spans="2:3" x14ac:dyDescent="0.2">
      <c r="B213" t="s">
        <v>3892</v>
      </c>
      <c r="C213" t="s">
        <v>4672</v>
      </c>
    </row>
    <row r="214" spans="2:3" x14ac:dyDescent="0.2">
      <c r="B214" t="s">
        <v>3894</v>
      </c>
      <c r="C214" t="s">
        <v>4674</v>
      </c>
    </row>
    <row r="215" spans="2:3" x14ac:dyDescent="0.2">
      <c r="B215" t="s">
        <v>3896</v>
      </c>
      <c r="C215" t="s">
        <v>4676</v>
      </c>
    </row>
    <row r="216" spans="2:3" x14ac:dyDescent="0.2">
      <c r="B216" t="s">
        <v>3898</v>
      </c>
      <c r="C216" t="s">
        <v>4678</v>
      </c>
    </row>
    <row r="217" spans="2:3" x14ac:dyDescent="0.2">
      <c r="B217" t="s">
        <v>3900</v>
      </c>
      <c r="C217" t="s">
        <v>4680</v>
      </c>
    </row>
    <row r="218" spans="2:3" x14ac:dyDescent="0.2">
      <c r="B218" t="s">
        <v>3902</v>
      </c>
      <c r="C218" t="s">
        <v>4682</v>
      </c>
    </row>
    <row r="219" spans="2:3" x14ac:dyDescent="0.2">
      <c r="B219" t="s">
        <v>3904</v>
      </c>
      <c r="C219" t="s">
        <v>4684</v>
      </c>
    </row>
    <row r="220" spans="2:3" x14ac:dyDescent="0.2">
      <c r="B220" t="s">
        <v>3906</v>
      </c>
      <c r="C220" t="s">
        <v>4686</v>
      </c>
    </row>
    <row r="221" spans="2:3" x14ac:dyDescent="0.2">
      <c r="B221" t="s">
        <v>3908</v>
      </c>
      <c r="C221" t="s">
        <v>4688</v>
      </c>
    </row>
    <row r="222" spans="2:3" x14ac:dyDescent="0.2">
      <c r="B222" t="s">
        <v>3910</v>
      </c>
      <c r="C222" t="s">
        <v>4690</v>
      </c>
    </row>
    <row r="223" spans="2:3" x14ac:dyDescent="0.2">
      <c r="B223" t="s">
        <v>3912</v>
      </c>
      <c r="C223" t="s">
        <v>4692</v>
      </c>
    </row>
    <row r="224" spans="2:3" x14ac:dyDescent="0.2">
      <c r="B224" t="s">
        <v>3914</v>
      </c>
      <c r="C224" t="s">
        <v>4694</v>
      </c>
    </row>
    <row r="225" spans="2:3" x14ac:dyDescent="0.2">
      <c r="B225" t="s">
        <v>3916</v>
      </c>
      <c r="C225" t="s">
        <v>4696</v>
      </c>
    </row>
    <row r="226" spans="2:3" x14ac:dyDescent="0.2">
      <c r="B226" t="s">
        <v>3918</v>
      </c>
      <c r="C226" t="s">
        <v>4698</v>
      </c>
    </row>
    <row r="227" spans="2:3" x14ac:dyDescent="0.2">
      <c r="B227" t="s">
        <v>3920</v>
      </c>
      <c r="C227" t="s">
        <v>4700</v>
      </c>
    </row>
    <row r="228" spans="2:3" x14ac:dyDescent="0.2">
      <c r="B228" t="s">
        <v>3922</v>
      </c>
      <c r="C228" t="s">
        <v>4702</v>
      </c>
    </row>
    <row r="229" spans="2:3" x14ac:dyDescent="0.2">
      <c r="B229" t="s">
        <v>3924</v>
      </c>
      <c r="C229" t="s">
        <v>4704</v>
      </c>
    </row>
    <row r="230" spans="2:3" x14ac:dyDescent="0.2">
      <c r="B230" t="s">
        <v>3926</v>
      </c>
      <c r="C230" t="s">
        <v>4706</v>
      </c>
    </row>
    <row r="231" spans="2:3" x14ac:dyDescent="0.2">
      <c r="B231" t="s">
        <v>3928</v>
      </c>
      <c r="C231" t="s">
        <v>4708</v>
      </c>
    </row>
    <row r="232" spans="2:3" x14ac:dyDescent="0.2">
      <c r="B232" t="s">
        <v>3930</v>
      </c>
      <c r="C232" t="s">
        <v>4710</v>
      </c>
    </row>
    <row r="233" spans="2:3" x14ac:dyDescent="0.2">
      <c r="B233" t="s">
        <v>3932</v>
      </c>
      <c r="C233" t="s">
        <v>4712</v>
      </c>
    </row>
    <row r="234" spans="2:3" x14ac:dyDescent="0.2">
      <c r="B234" t="s">
        <v>3934</v>
      </c>
      <c r="C234" t="s">
        <v>4714</v>
      </c>
    </row>
    <row r="235" spans="2:3" x14ac:dyDescent="0.2">
      <c r="B235" t="s">
        <v>3936</v>
      </c>
      <c r="C235" t="s">
        <v>4716</v>
      </c>
    </row>
    <row r="236" spans="2:3" x14ac:dyDescent="0.2">
      <c r="B236" t="s">
        <v>3938</v>
      </c>
      <c r="C236" t="s">
        <v>4718</v>
      </c>
    </row>
    <row r="237" spans="2:3" x14ac:dyDescent="0.2">
      <c r="B237" t="s">
        <v>3940</v>
      </c>
      <c r="C237" t="s">
        <v>4720</v>
      </c>
    </row>
    <row r="238" spans="2:3" x14ac:dyDescent="0.2">
      <c r="B238" t="s">
        <v>3942</v>
      </c>
      <c r="C238" t="s">
        <v>4722</v>
      </c>
    </row>
    <row r="239" spans="2:3" x14ac:dyDescent="0.2">
      <c r="B239" t="s">
        <v>3944</v>
      </c>
      <c r="C239" t="s">
        <v>4724</v>
      </c>
    </row>
    <row r="240" spans="2:3" x14ac:dyDescent="0.2">
      <c r="B240" t="s">
        <v>3946</v>
      </c>
      <c r="C240" t="s">
        <v>4726</v>
      </c>
    </row>
    <row r="241" spans="2:3" x14ac:dyDescent="0.2">
      <c r="B241" t="s">
        <v>3948</v>
      </c>
      <c r="C241" t="s">
        <v>4728</v>
      </c>
    </row>
    <row r="242" spans="2:3" x14ac:dyDescent="0.2">
      <c r="B242" t="s">
        <v>3950</v>
      </c>
      <c r="C242" t="s">
        <v>4730</v>
      </c>
    </row>
    <row r="243" spans="2:3" x14ac:dyDescent="0.2">
      <c r="B243" t="s">
        <v>3952</v>
      </c>
      <c r="C243" t="s">
        <v>4732</v>
      </c>
    </row>
    <row r="244" spans="2:3" x14ac:dyDescent="0.2">
      <c r="B244" t="s">
        <v>3954</v>
      </c>
      <c r="C244" t="s">
        <v>4734</v>
      </c>
    </row>
    <row r="245" spans="2:3" x14ac:dyDescent="0.2">
      <c r="B245" t="s">
        <v>3956</v>
      </c>
      <c r="C245" t="s">
        <v>4736</v>
      </c>
    </row>
    <row r="246" spans="2:3" x14ac:dyDescent="0.2">
      <c r="B246" t="s">
        <v>3958</v>
      </c>
      <c r="C246" t="s">
        <v>4738</v>
      </c>
    </row>
    <row r="247" spans="2:3" x14ac:dyDescent="0.2">
      <c r="B247" t="s">
        <v>3960</v>
      </c>
      <c r="C247" t="s">
        <v>4740</v>
      </c>
    </row>
    <row r="248" spans="2:3" x14ac:dyDescent="0.2">
      <c r="B248" t="s">
        <v>3962</v>
      </c>
      <c r="C248" t="s">
        <v>4742</v>
      </c>
    </row>
    <row r="249" spans="2:3" x14ac:dyDescent="0.2">
      <c r="B249" t="s">
        <v>3964</v>
      </c>
      <c r="C249" t="s">
        <v>4744</v>
      </c>
    </row>
    <row r="250" spans="2:3" x14ac:dyDescent="0.2">
      <c r="B250" t="s">
        <v>3966</v>
      </c>
      <c r="C250" t="s">
        <v>4746</v>
      </c>
    </row>
    <row r="251" spans="2:3" x14ac:dyDescent="0.2">
      <c r="B251" t="s">
        <v>3968</v>
      </c>
      <c r="C251" t="s">
        <v>4748</v>
      </c>
    </row>
    <row r="252" spans="2:3" x14ac:dyDescent="0.2">
      <c r="B252" t="s">
        <v>3970</v>
      </c>
      <c r="C252" t="s">
        <v>4750</v>
      </c>
    </row>
    <row r="253" spans="2:3" x14ac:dyDescent="0.2">
      <c r="B253" t="s">
        <v>3972</v>
      </c>
      <c r="C253" t="s">
        <v>4752</v>
      </c>
    </row>
    <row r="254" spans="2:3" x14ac:dyDescent="0.2">
      <c r="B254" t="s">
        <v>3974</v>
      </c>
      <c r="C254" t="s">
        <v>4754</v>
      </c>
    </row>
    <row r="255" spans="2:3" x14ac:dyDescent="0.2">
      <c r="B255" t="s">
        <v>3976</v>
      </c>
      <c r="C255" t="s">
        <v>4756</v>
      </c>
    </row>
    <row r="256" spans="2:3" x14ac:dyDescent="0.2">
      <c r="B256" t="s">
        <v>3978</v>
      </c>
      <c r="C256" t="s">
        <v>4758</v>
      </c>
    </row>
    <row r="257" spans="2:3" x14ac:dyDescent="0.2">
      <c r="B257" t="s">
        <v>3980</v>
      </c>
      <c r="C257" t="s">
        <v>4760</v>
      </c>
    </row>
    <row r="258" spans="2:3" x14ac:dyDescent="0.2">
      <c r="B258" t="s">
        <v>3982</v>
      </c>
      <c r="C258" t="s">
        <v>4762</v>
      </c>
    </row>
    <row r="259" spans="2:3" x14ac:dyDescent="0.2">
      <c r="B259" t="s">
        <v>3984</v>
      </c>
      <c r="C259" t="s">
        <v>4764</v>
      </c>
    </row>
    <row r="260" spans="2:3" x14ac:dyDescent="0.2">
      <c r="B260" t="s">
        <v>3986</v>
      </c>
      <c r="C260" t="s">
        <v>4766</v>
      </c>
    </row>
    <row r="261" spans="2:3" x14ac:dyDescent="0.2">
      <c r="B261" t="s">
        <v>3988</v>
      </c>
      <c r="C261" t="s">
        <v>4768</v>
      </c>
    </row>
    <row r="262" spans="2:3" x14ac:dyDescent="0.2">
      <c r="B262" t="s">
        <v>3990</v>
      </c>
      <c r="C262" t="s">
        <v>4770</v>
      </c>
    </row>
    <row r="263" spans="2:3" x14ac:dyDescent="0.2">
      <c r="B263" t="s">
        <v>3992</v>
      </c>
      <c r="C263" t="s">
        <v>4772</v>
      </c>
    </row>
    <row r="264" spans="2:3" x14ac:dyDescent="0.2">
      <c r="B264" t="s">
        <v>3994</v>
      </c>
      <c r="C264" t="s">
        <v>4774</v>
      </c>
    </row>
    <row r="265" spans="2:3" x14ac:dyDescent="0.2">
      <c r="B265" t="s">
        <v>3996</v>
      </c>
      <c r="C265" t="s">
        <v>4776</v>
      </c>
    </row>
    <row r="266" spans="2:3" x14ac:dyDescent="0.2">
      <c r="B266" t="s">
        <v>3998</v>
      </c>
      <c r="C266" t="s">
        <v>4778</v>
      </c>
    </row>
    <row r="267" spans="2:3" x14ac:dyDescent="0.2">
      <c r="B267" t="s">
        <v>4000</v>
      </c>
      <c r="C267" t="s">
        <v>4780</v>
      </c>
    </row>
    <row r="268" spans="2:3" x14ac:dyDescent="0.2">
      <c r="B268" t="s">
        <v>4002</v>
      </c>
      <c r="C268" t="s">
        <v>4782</v>
      </c>
    </row>
    <row r="269" spans="2:3" x14ac:dyDescent="0.2">
      <c r="B269" t="s">
        <v>4004</v>
      </c>
      <c r="C269" t="s">
        <v>4784</v>
      </c>
    </row>
    <row r="270" spans="2:3" x14ac:dyDescent="0.2">
      <c r="B270" t="s">
        <v>4006</v>
      </c>
      <c r="C270" t="s">
        <v>4786</v>
      </c>
    </row>
    <row r="271" spans="2:3" x14ac:dyDescent="0.2">
      <c r="B271" t="s">
        <v>4008</v>
      </c>
      <c r="C271" t="s">
        <v>4788</v>
      </c>
    </row>
    <row r="272" spans="2:3" x14ac:dyDescent="0.2">
      <c r="B272" t="s">
        <v>4010</v>
      </c>
      <c r="C272" t="s">
        <v>4790</v>
      </c>
    </row>
    <row r="273" spans="2:3" x14ac:dyDescent="0.2">
      <c r="B273" t="s">
        <v>4012</v>
      </c>
      <c r="C273" t="s">
        <v>4792</v>
      </c>
    </row>
    <row r="274" spans="2:3" x14ac:dyDescent="0.2">
      <c r="B274" t="s">
        <v>4014</v>
      </c>
      <c r="C274" t="s">
        <v>4794</v>
      </c>
    </row>
    <row r="275" spans="2:3" x14ac:dyDescent="0.2">
      <c r="B275" t="s">
        <v>4016</v>
      </c>
      <c r="C275" t="s">
        <v>4796</v>
      </c>
    </row>
    <row r="276" spans="2:3" x14ac:dyDescent="0.2">
      <c r="B276" t="s">
        <v>4018</v>
      </c>
      <c r="C276" t="s">
        <v>4798</v>
      </c>
    </row>
    <row r="277" spans="2:3" x14ac:dyDescent="0.2">
      <c r="B277" t="s">
        <v>4020</v>
      </c>
      <c r="C277" t="s">
        <v>4800</v>
      </c>
    </row>
    <row r="278" spans="2:3" x14ac:dyDescent="0.2">
      <c r="B278" t="s">
        <v>4022</v>
      </c>
      <c r="C278" t="s">
        <v>4802</v>
      </c>
    </row>
    <row r="279" spans="2:3" x14ac:dyDescent="0.2">
      <c r="B279" t="s">
        <v>4024</v>
      </c>
      <c r="C279" t="s">
        <v>4804</v>
      </c>
    </row>
    <row r="280" spans="2:3" x14ac:dyDescent="0.2">
      <c r="B280" t="s">
        <v>4026</v>
      </c>
      <c r="C280" t="s">
        <v>4806</v>
      </c>
    </row>
    <row r="281" spans="2:3" x14ac:dyDescent="0.2">
      <c r="B281" t="s">
        <v>4028</v>
      </c>
      <c r="C281" t="s">
        <v>4808</v>
      </c>
    </row>
    <row r="282" spans="2:3" x14ac:dyDescent="0.2">
      <c r="B282" t="s">
        <v>4030</v>
      </c>
      <c r="C282" t="s">
        <v>4810</v>
      </c>
    </row>
    <row r="283" spans="2:3" x14ac:dyDescent="0.2">
      <c r="B283" t="s">
        <v>4032</v>
      </c>
      <c r="C283" t="s">
        <v>4812</v>
      </c>
    </row>
    <row r="284" spans="2:3" x14ac:dyDescent="0.2">
      <c r="B284" t="s">
        <v>4034</v>
      </c>
      <c r="C284" t="s">
        <v>4814</v>
      </c>
    </row>
    <row r="285" spans="2:3" x14ac:dyDescent="0.2">
      <c r="B285" t="s">
        <v>4036</v>
      </c>
      <c r="C285" t="s">
        <v>4816</v>
      </c>
    </row>
    <row r="286" spans="2:3" x14ac:dyDescent="0.2">
      <c r="B286" t="s">
        <v>4038</v>
      </c>
      <c r="C286" t="s">
        <v>4818</v>
      </c>
    </row>
    <row r="287" spans="2:3" x14ac:dyDescent="0.2">
      <c r="B287" t="s">
        <v>4040</v>
      </c>
      <c r="C287" t="s">
        <v>4820</v>
      </c>
    </row>
    <row r="288" spans="2:3" x14ac:dyDescent="0.2">
      <c r="B288" t="s">
        <v>4042</v>
      </c>
      <c r="C288" t="s">
        <v>4822</v>
      </c>
    </row>
    <row r="289" spans="2:3" x14ac:dyDescent="0.2">
      <c r="B289" t="s">
        <v>4044</v>
      </c>
      <c r="C289" t="s">
        <v>4824</v>
      </c>
    </row>
    <row r="290" spans="2:3" x14ac:dyDescent="0.2">
      <c r="B290" t="s">
        <v>4046</v>
      </c>
      <c r="C290" t="s">
        <v>4826</v>
      </c>
    </row>
    <row r="291" spans="2:3" x14ac:dyDescent="0.2">
      <c r="B291" t="s">
        <v>4048</v>
      </c>
      <c r="C291" t="s">
        <v>4828</v>
      </c>
    </row>
    <row r="292" spans="2:3" x14ac:dyDescent="0.2">
      <c r="B292" t="s">
        <v>4050</v>
      </c>
      <c r="C292" t="s">
        <v>4830</v>
      </c>
    </row>
    <row r="293" spans="2:3" x14ac:dyDescent="0.2">
      <c r="B293" t="s">
        <v>4052</v>
      </c>
      <c r="C293" t="s">
        <v>4832</v>
      </c>
    </row>
    <row r="294" spans="2:3" x14ac:dyDescent="0.2">
      <c r="B294" t="s">
        <v>4054</v>
      </c>
      <c r="C294" t="s">
        <v>4834</v>
      </c>
    </row>
    <row r="295" spans="2:3" x14ac:dyDescent="0.2">
      <c r="B295" t="s">
        <v>4056</v>
      </c>
      <c r="C295" t="s">
        <v>4836</v>
      </c>
    </row>
    <row r="296" spans="2:3" x14ac:dyDescent="0.2">
      <c r="B296" t="s">
        <v>4058</v>
      </c>
      <c r="C296" t="s">
        <v>4838</v>
      </c>
    </row>
    <row r="297" spans="2:3" x14ac:dyDescent="0.2">
      <c r="B297" t="s">
        <v>4060</v>
      </c>
      <c r="C297" t="s">
        <v>4840</v>
      </c>
    </row>
    <row r="298" spans="2:3" x14ac:dyDescent="0.2">
      <c r="B298" t="s">
        <v>4062</v>
      </c>
      <c r="C298" t="s">
        <v>4842</v>
      </c>
    </row>
    <row r="299" spans="2:3" x14ac:dyDescent="0.2">
      <c r="B299" t="s">
        <v>4064</v>
      </c>
      <c r="C299" t="s">
        <v>4844</v>
      </c>
    </row>
    <row r="300" spans="2:3" x14ac:dyDescent="0.2">
      <c r="B300" t="s">
        <v>4066</v>
      </c>
      <c r="C300" t="s">
        <v>4846</v>
      </c>
    </row>
    <row r="301" spans="2:3" x14ac:dyDescent="0.2">
      <c r="B301" t="s">
        <v>4068</v>
      </c>
      <c r="C301" t="s">
        <v>4848</v>
      </c>
    </row>
    <row r="302" spans="2:3" x14ac:dyDescent="0.2">
      <c r="B302" t="s">
        <v>4070</v>
      </c>
      <c r="C302" t="s">
        <v>4850</v>
      </c>
    </row>
    <row r="303" spans="2:3" x14ac:dyDescent="0.2">
      <c r="B303" t="s">
        <v>4072</v>
      </c>
      <c r="C303" t="s">
        <v>4852</v>
      </c>
    </row>
    <row r="304" spans="2:3" x14ac:dyDescent="0.2">
      <c r="B304" t="s">
        <v>4074</v>
      </c>
      <c r="C304" t="s">
        <v>4854</v>
      </c>
    </row>
    <row r="305" spans="2:3" x14ac:dyDescent="0.2">
      <c r="B305" t="s">
        <v>4076</v>
      </c>
      <c r="C305" t="s">
        <v>4856</v>
      </c>
    </row>
    <row r="306" spans="2:3" x14ac:dyDescent="0.2">
      <c r="B306" t="s">
        <v>4078</v>
      </c>
      <c r="C306" t="s">
        <v>4858</v>
      </c>
    </row>
    <row r="307" spans="2:3" x14ac:dyDescent="0.2">
      <c r="B307" t="s">
        <v>4080</v>
      </c>
      <c r="C307" t="s">
        <v>4860</v>
      </c>
    </row>
    <row r="308" spans="2:3" x14ac:dyDescent="0.2">
      <c r="B308" t="s">
        <v>4082</v>
      </c>
      <c r="C308" t="s">
        <v>4862</v>
      </c>
    </row>
    <row r="309" spans="2:3" x14ac:dyDescent="0.2">
      <c r="B309" t="s">
        <v>4084</v>
      </c>
      <c r="C309" t="s">
        <v>4864</v>
      </c>
    </row>
    <row r="310" spans="2:3" x14ac:dyDescent="0.2">
      <c r="B310" t="s">
        <v>4086</v>
      </c>
      <c r="C310" t="s">
        <v>4866</v>
      </c>
    </row>
    <row r="311" spans="2:3" x14ac:dyDescent="0.2">
      <c r="B311" t="s">
        <v>4088</v>
      </c>
      <c r="C311" t="s">
        <v>4868</v>
      </c>
    </row>
    <row r="312" spans="2:3" x14ac:dyDescent="0.2">
      <c r="B312" t="s">
        <v>4090</v>
      </c>
      <c r="C312" t="s">
        <v>4870</v>
      </c>
    </row>
    <row r="313" spans="2:3" x14ac:dyDescent="0.2">
      <c r="B313" t="s">
        <v>4092</v>
      </c>
      <c r="C313" t="s">
        <v>4872</v>
      </c>
    </row>
    <row r="314" spans="2:3" x14ac:dyDescent="0.2">
      <c r="B314" t="s">
        <v>4094</v>
      </c>
      <c r="C314" t="s">
        <v>4874</v>
      </c>
    </row>
    <row r="315" spans="2:3" x14ac:dyDescent="0.2">
      <c r="B315" t="s">
        <v>4096</v>
      </c>
      <c r="C315" t="s">
        <v>4876</v>
      </c>
    </row>
    <row r="316" spans="2:3" x14ac:dyDescent="0.2">
      <c r="B316" t="s">
        <v>4098</v>
      </c>
      <c r="C316" t="s">
        <v>4878</v>
      </c>
    </row>
    <row r="317" spans="2:3" x14ac:dyDescent="0.2">
      <c r="B317" t="s">
        <v>4100</v>
      </c>
      <c r="C317" t="s">
        <v>4880</v>
      </c>
    </row>
    <row r="318" spans="2:3" x14ac:dyDescent="0.2">
      <c r="B318" t="s">
        <v>4102</v>
      </c>
      <c r="C318" t="s">
        <v>4882</v>
      </c>
    </row>
    <row r="319" spans="2:3" x14ac:dyDescent="0.2">
      <c r="B319" t="s">
        <v>4104</v>
      </c>
      <c r="C319" t="s">
        <v>4884</v>
      </c>
    </row>
    <row r="320" spans="2:3" x14ac:dyDescent="0.2">
      <c r="B320" t="s">
        <v>4106</v>
      </c>
      <c r="C320" t="s">
        <v>4886</v>
      </c>
    </row>
    <row r="321" spans="2:3" x14ac:dyDescent="0.2">
      <c r="B321" t="s">
        <v>4108</v>
      </c>
      <c r="C321" t="s">
        <v>4888</v>
      </c>
    </row>
    <row r="322" spans="2:3" x14ac:dyDescent="0.2">
      <c r="B322" t="s">
        <v>4110</v>
      </c>
      <c r="C322" t="s">
        <v>4890</v>
      </c>
    </row>
    <row r="323" spans="2:3" x14ac:dyDescent="0.2">
      <c r="B323" t="s">
        <v>4112</v>
      </c>
      <c r="C323" t="s">
        <v>4892</v>
      </c>
    </row>
    <row r="324" spans="2:3" x14ac:dyDescent="0.2">
      <c r="B324" t="s">
        <v>4114</v>
      </c>
      <c r="C324" t="s">
        <v>4894</v>
      </c>
    </row>
    <row r="325" spans="2:3" x14ac:dyDescent="0.2">
      <c r="B325" t="s">
        <v>4116</v>
      </c>
      <c r="C325" t="s">
        <v>4896</v>
      </c>
    </row>
    <row r="326" spans="2:3" x14ac:dyDescent="0.2">
      <c r="B326" t="s">
        <v>4118</v>
      </c>
      <c r="C326" t="s">
        <v>4898</v>
      </c>
    </row>
    <row r="327" spans="2:3" x14ac:dyDescent="0.2">
      <c r="B327" t="s">
        <v>4120</v>
      </c>
      <c r="C327" t="s">
        <v>4900</v>
      </c>
    </row>
    <row r="328" spans="2:3" x14ac:dyDescent="0.2">
      <c r="B328" t="s">
        <v>4122</v>
      </c>
      <c r="C328" t="s">
        <v>4902</v>
      </c>
    </row>
    <row r="329" spans="2:3" x14ac:dyDescent="0.2">
      <c r="B329" t="s">
        <v>4124</v>
      </c>
      <c r="C329" t="s">
        <v>4904</v>
      </c>
    </row>
    <row r="330" spans="2:3" x14ac:dyDescent="0.2">
      <c r="B330" t="s">
        <v>4126</v>
      </c>
      <c r="C330" t="s">
        <v>4906</v>
      </c>
    </row>
    <row r="331" spans="2:3" x14ac:dyDescent="0.2">
      <c r="B331" t="s">
        <v>4128</v>
      </c>
      <c r="C331" t="s">
        <v>4908</v>
      </c>
    </row>
    <row r="332" spans="2:3" x14ac:dyDescent="0.2">
      <c r="B332" t="s">
        <v>4130</v>
      </c>
      <c r="C332" t="s">
        <v>4910</v>
      </c>
    </row>
    <row r="333" spans="2:3" x14ac:dyDescent="0.2">
      <c r="B333" t="s">
        <v>4132</v>
      </c>
      <c r="C333" t="s">
        <v>4912</v>
      </c>
    </row>
    <row r="334" spans="2:3" x14ac:dyDescent="0.2">
      <c r="B334" t="s">
        <v>4134</v>
      </c>
      <c r="C334" t="s">
        <v>4914</v>
      </c>
    </row>
    <row r="335" spans="2:3" x14ac:dyDescent="0.2">
      <c r="B335" t="s">
        <v>4136</v>
      </c>
      <c r="C335" t="s">
        <v>4916</v>
      </c>
    </row>
    <row r="336" spans="2:3" x14ac:dyDescent="0.2">
      <c r="B336" t="s">
        <v>4138</v>
      </c>
      <c r="C336" t="s">
        <v>4918</v>
      </c>
    </row>
    <row r="337" spans="2:3" x14ac:dyDescent="0.2">
      <c r="B337" t="s">
        <v>4140</v>
      </c>
      <c r="C337" t="s">
        <v>4920</v>
      </c>
    </row>
    <row r="338" spans="2:3" x14ac:dyDescent="0.2">
      <c r="B338" t="s">
        <v>4142</v>
      </c>
      <c r="C338" t="s">
        <v>4922</v>
      </c>
    </row>
    <row r="339" spans="2:3" x14ac:dyDescent="0.2">
      <c r="B339" t="s">
        <v>4144</v>
      </c>
      <c r="C339" t="s">
        <v>4924</v>
      </c>
    </row>
    <row r="340" spans="2:3" x14ac:dyDescent="0.2">
      <c r="B340" t="s">
        <v>4146</v>
      </c>
      <c r="C340" t="s">
        <v>4926</v>
      </c>
    </row>
    <row r="341" spans="2:3" x14ac:dyDescent="0.2">
      <c r="B341" t="s">
        <v>4148</v>
      </c>
      <c r="C341" t="s">
        <v>4928</v>
      </c>
    </row>
    <row r="342" spans="2:3" x14ac:dyDescent="0.2">
      <c r="B342" t="s">
        <v>4150</v>
      </c>
      <c r="C342" t="s">
        <v>4930</v>
      </c>
    </row>
    <row r="343" spans="2:3" x14ac:dyDescent="0.2">
      <c r="B343" t="s">
        <v>4152</v>
      </c>
      <c r="C343" t="s">
        <v>4932</v>
      </c>
    </row>
    <row r="344" spans="2:3" x14ac:dyDescent="0.2">
      <c r="B344" t="s">
        <v>4154</v>
      </c>
      <c r="C344" t="s">
        <v>4934</v>
      </c>
    </row>
    <row r="345" spans="2:3" x14ac:dyDescent="0.2">
      <c r="B345" t="s">
        <v>4156</v>
      </c>
      <c r="C345" t="s">
        <v>4936</v>
      </c>
    </row>
    <row r="346" spans="2:3" x14ac:dyDescent="0.2">
      <c r="B346" t="s">
        <v>4158</v>
      </c>
      <c r="C346" t="s">
        <v>4938</v>
      </c>
    </row>
    <row r="347" spans="2:3" x14ac:dyDescent="0.2">
      <c r="B347" t="s">
        <v>4160</v>
      </c>
      <c r="C347" t="s">
        <v>4940</v>
      </c>
    </row>
    <row r="348" spans="2:3" x14ac:dyDescent="0.2">
      <c r="B348" t="s">
        <v>4162</v>
      </c>
      <c r="C348" t="s">
        <v>4942</v>
      </c>
    </row>
    <row r="349" spans="2:3" x14ac:dyDescent="0.2">
      <c r="B349" t="s">
        <v>4164</v>
      </c>
      <c r="C349" t="s">
        <v>4944</v>
      </c>
    </row>
    <row r="350" spans="2:3" x14ac:dyDescent="0.2">
      <c r="B350" t="s">
        <v>4166</v>
      </c>
      <c r="C350" t="s">
        <v>4946</v>
      </c>
    </row>
    <row r="351" spans="2:3" x14ac:dyDescent="0.2">
      <c r="B351" t="s">
        <v>4168</v>
      </c>
      <c r="C351" t="s">
        <v>4948</v>
      </c>
    </row>
    <row r="352" spans="2:3" x14ac:dyDescent="0.2">
      <c r="B352" t="s">
        <v>4170</v>
      </c>
      <c r="C352" t="s">
        <v>4950</v>
      </c>
    </row>
    <row r="353" spans="2:3" x14ac:dyDescent="0.2">
      <c r="B353" t="s">
        <v>4172</v>
      </c>
      <c r="C353" t="s">
        <v>4952</v>
      </c>
    </row>
    <row r="354" spans="2:3" x14ac:dyDescent="0.2">
      <c r="B354" t="s">
        <v>4174</v>
      </c>
      <c r="C354" t="s">
        <v>4954</v>
      </c>
    </row>
    <row r="355" spans="2:3" x14ac:dyDescent="0.2">
      <c r="B355" t="s">
        <v>4176</v>
      </c>
      <c r="C355" t="s">
        <v>4956</v>
      </c>
    </row>
    <row r="356" spans="2:3" x14ac:dyDescent="0.2">
      <c r="B356" t="s">
        <v>4178</v>
      </c>
      <c r="C356" t="s">
        <v>4958</v>
      </c>
    </row>
    <row r="357" spans="2:3" x14ac:dyDescent="0.2">
      <c r="B357" t="s">
        <v>4180</v>
      </c>
      <c r="C357" t="s">
        <v>4960</v>
      </c>
    </row>
    <row r="358" spans="2:3" x14ac:dyDescent="0.2">
      <c r="B358" t="s">
        <v>4182</v>
      </c>
      <c r="C358" t="s">
        <v>4962</v>
      </c>
    </row>
    <row r="359" spans="2:3" x14ac:dyDescent="0.2">
      <c r="B359" t="s">
        <v>4184</v>
      </c>
      <c r="C359" t="s">
        <v>4964</v>
      </c>
    </row>
    <row r="360" spans="2:3" x14ac:dyDescent="0.2">
      <c r="B360" t="s">
        <v>4186</v>
      </c>
      <c r="C360" t="s">
        <v>4966</v>
      </c>
    </row>
    <row r="361" spans="2:3" x14ac:dyDescent="0.2">
      <c r="B361" t="s">
        <v>4188</v>
      </c>
      <c r="C361" t="s">
        <v>4968</v>
      </c>
    </row>
    <row r="362" spans="2:3" x14ac:dyDescent="0.2">
      <c r="B362" t="s">
        <v>4190</v>
      </c>
      <c r="C362" t="s">
        <v>4970</v>
      </c>
    </row>
    <row r="363" spans="2:3" x14ac:dyDescent="0.2">
      <c r="B363" t="s">
        <v>4192</v>
      </c>
      <c r="C363" t="s">
        <v>4972</v>
      </c>
    </row>
    <row r="364" spans="2:3" x14ac:dyDescent="0.2">
      <c r="B364" t="s">
        <v>4194</v>
      </c>
      <c r="C364" t="s">
        <v>4974</v>
      </c>
    </row>
    <row r="365" spans="2:3" x14ac:dyDescent="0.2">
      <c r="B365" t="s">
        <v>4196</v>
      </c>
      <c r="C365" t="s">
        <v>4976</v>
      </c>
    </row>
    <row r="366" spans="2:3" x14ac:dyDescent="0.2">
      <c r="B366" t="s">
        <v>4198</v>
      </c>
      <c r="C366" t="s">
        <v>4978</v>
      </c>
    </row>
    <row r="367" spans="2:3" x14ac:dyDescent="0.2">
      <c r="B367" t="s">
        <v>4199</v>
      </c>
      <c r="C367" t="s">
        <v>4980</v>
      </c>
    </row>
    <row r="368" spans="2:3" x14ac:dyDescent="0.2">
      <c r="B368" t="s">
        <v>4201</v>
      </c>
      <c r="C368" t="s">
        <v>4982</v>
      </c>
    </row>
    <row r="369" spans="2:3" x14ac:dyDescent="0.2">
      <c r="B369" t="s">
        <v>4203</v>
      </c>
      <c r="C369" t="s">
        <v>4984</v>
      </c>
    </row>
    <row r="370" spans="2:3" x14ac:dyDescent="0.2">
      <c r="B370" t="s">
        <v>4205</v>
      </c>
      <c r="C370" t="s">
        <v>4986</v>
      </c>
    </row>
    <row r="371" spans="2:3" x14ac:dyDescent="0.2">
      <c r="B371" t="s">
        <v>4207</v>
      </c>
      <c r="C371" t="s">
        <v>4988</v>
      </c>
    </row>
    <row r="372" spans="2:3" x14ac:dyDescent="0.2">
      <c r="B372" t="s">
        <v>4209</v>
      </c>
      <c r="C372" t="s">
        <v>4990</v>
      </c>
    </row>
    <row r="373" spans="2:3" x14ac:dyDescent="0.2">
      <c r="B373" t="s">
        <v>4211</v>
      </c>
      <c r="C373" t="s">
        <v>4992</v>
      </c>
    </row>
    <row r="374" spans="2:3" x14ac:dyDescent="0.2">
      <c r="B374" t="s">
        <v>4213</v>
      </c>
      <c r="C374" t="s">
        <v>4994</v>
      </c>
    </row>
    <row r="375" spans="2:3" x14ac:dyDescent="0.2">
      <c r="B375" t="s">
        <v>4215</v>
      </c>
      <c r="C375" t="s">
        <v>4996</v>
      </c>
    </row>
    <row r="376" spans="2:3" x14ac:dyDescent="0.2">
      <c r="B376" t="s">
        <v>4217</v>
      </c>
      <c r="C376" t="s">
        <v>4998</v>
      </c>
    </row>
    <row r="377" spans="2:3" x14ac:dyDescent="0.2">
      <c r="B377" t="s">
        <v>4219</v>
      </c>
      <c r="C377" t="s">
        <v>5000</v>
      </c>
    </row>
    <row r="378" spans="2:3" x14ac:dyDescent="0.2">
      <c r="B378" t="s">
        <v>4221</v>
      </c>
      <c r="C378" t="s">
        <v>5002</v>
      </c>
    </row>
    <row r="379" spans="2:3" x14ac:dyDescent="0.2">
      <c r="B379" t="s">
        <v>4223</v>
      </c>
      <c r="C379" t="s">
        <v>5004</v>
      </c>
    </row>
    <row r="380" spans="2:3" x14ac:dyDescent="0.2">
      <c r="B380" t="s">
        <v>4225</v>
      </c>
      <c r="C380" t="s">
        <v>5006</v>
      </c>
    </row>
    <row r="381" spans="2:3" x14ac:dyDescent="0.2">
      <c r="B381" t="s">
        <v>4227</v>
      </c>
      <c r="C381" t="s">
        <v>5008</v>
      </c>
    </row>
    <row r="382" spans="2:3" x14ac:dyDescent="0.2">
      <c r="B382" t="s">
        <v>4229</v>
      </c>
      <c r="C382" t="s">
        <v>5010</v>
      </c>
    </row>
    <row r="383" spans="2:3" x14ac:dyDescent="0.2">
      <c r="B383" t="s">
        <v>4231</v>
      </c>
      <c r="C383" t="s">
        <v>5012</v>
      </c>
    </row>
    <row r="384" spans="2:3" x14ac:dyDescent="0.2">
      <c r="B384" t="s">
        <v>4233</v>
      </c>
      <c r="C384" t="s">
        <v>5014</v>
      </c>
    </row>
    <row r="385" spans="2:3" x14ac:dyDescent="0.2">
      <c r="B385" t="s">
        <v>4235</v>
      </c>
      <c r="C385" t="s">
        <v>5016</v>
      </c>
    </row>
    <row r="386" spans="2:3" x14ac:dyDescent="0.2">
      <c r="B386" t="s">
        <v>4237</v>
      </c>
      <c r="C386" t="s">
        <v>5018</v>
      </c>
    </row>
    <row r="387" spans="2:3" x14ac:dyDescent="0.2">
      <c r="B387" t="s">
        <v>4239</v>
      </c>
      <c r="C387" t="s">
        <v>5020</v>
      </c>
    </row>
    <row r="388" spans="2:3" x14ac:dyDescent="0.2">
      <c r="B388" t="s">
        <v>4241</v>
      </c>
      <c r="C388" t="s">
        <v>5022</v>
      </c>
    </row>
    <row r="389" spans="2:3" x14ac:dyDescent="0.2">
      <c r="B389" t="s">
        <v>4243</v>
      </c>
      <c r="C389" t="s">
        <v>5024</v>
      </c>
    </row>
    <row r="390" spans="2:3" x14ac:dyDescent="0.2">
      <c r="B390" t="s">
        <v>4245</v>
      </c>
      <c r="C390" t="s">
        <v>5026</v>
      </c>
    </row>
    <row r="391" spans="2:3" x14ac:dyDescent="0.2">
      <c r="B391" t="s">
        <v>4247</v>
      </c>
      <c r="C391" t="s">
        <v>5028</v>
      </c>
    </row>
    <row r="392" spans="2:3" x14ac:dyDescent="0.2">
      <c r="B392" t="s">
        <v>4249</v>
      </c>
      <c r="C392" t="s">
        <v>3471</v>
      </c>
    </row>
    <row r="393" spans="2:3" x14ac:dyDescent="0.2">
      <c r="B393" t="s">
        <v>4251</v>
      </c>
      <c r="C393" t="s">
        <v>3473</v>
      </c>
    </row>
    <row r="394" spans="2:3" x14ac:dyDescent="0.2">
      <c r="B394" t="s">
        <v>4253</v>
      </c>
      <c r="C394" t="s">
        <v>3475</v>
      </c>
    </row>
    <row r="395" spans="2:3" x14ac:dyDescent="0.2">
      <c r="B395" t="s">
        <v>4255</v>
      </c>
      <c r="C395" t="s">
        <v>3477</v>
      </c>
    </row>
    <row r="396" spans="2:3" x14ac:dyDescent="0.2">
      <c r="B396" t="s">
        <v>4257</v>
      </c>
      <c r="C396" t="s">
        <v>3479</v>
      </c>
    </row>
    <row r="397" spans="2:3" x14ac:dyDescent="0.2">
      <c r="B397" t="s">
        <v>4259</v>
      </c>
      <c r="C397" t="s">
        <v>3481</v>
      </c>
    </row>
    <row r="398" spans="2:3" x14ac:dyDescent="0.2">
      <c r="B398" t="s">
        <v>4261</v>
      </c>
      <c r="C398" t="s">
        <v>3483</v>
      </c>
    </row>
    <row r="399" spans="2:3" x14ac:dyDescent="0.2">
      <c r="B399" t="s">
        <v>4263</v>
      </c>
      <c r="C399" t="s">
        <v>3485</v>
      </c>
    </row>
    <row r="400" spans="2:3" x14ac:dyDescent="0.2">
      <c r="B400" t="s">
        <v>4265</v>
      </c>
      <c r="C400" t="s">
        <v>3487</v>
      </c>
    </row>
    <row r="401" spans="2:3" x14ac:dyDescent="0.2">
      <c r="B401" t="s">
        <v>4267</v>
      </c>
      <c r="C401" t="s">
        <v>3489</v>
      </c>
    </row>
    <row r="402" spans="2:3" x14ac:dyDescent="0.2">
      <c r="B402" t="s">
        <v>4269</v>
      </c>
      <c r="C402" t="s">
        <v>3491</v>
      </c>
    </row>
    <row r="403" spans="2:3" x14ac:dyDescent="0.2">
      <c r="B403" t="s">
        <v>4271</v>
      </c>
      <c r="C403" t="s">
        <v>3493</v>
      </c>
    </row>
    <row r="404" spans="2:3" x14ac:dyDescent="0.2">
      <c r="B404" t="s">
        <v>4273</v>
      </c>
      <c r="C404" t="s">
        <v>3495</v>
      </c>
    </row>
    <row r="405" spans="2:3" x14ac:dyDescent="0.2">
      <c r="B405" t="s">
        <v>4275</v>
      </c>
      <c r="C405" t="s">
        <v>3497</v>
      </c>
    </row>
    <row r="406" spans="2:3" x14ac:dyDescent="0.2">
      <c r="B406" t="s">
        <v>4277</v>
      </c>
      <c r="C406" t="s">
        <v>3499</v>
      </c>
    </row>
    <row r="407" spans="2:3" x14ac:dyDescent="0.2">
      <c r="B407" t="s">
        <v>4279</v>
      </c>
      <c r="C407" t="s">
        <v>3501</v>
      </c>
    </row>
    <row r="408" spans="2:3" x14ac:dyDescent="0.2">
      <c r="B408" t="s">
        <v>4281</v>
      </c>
      <c r="C408" t="s">
        <v>3503</v>
      </c>
    </row>
    <row r="409" spans="2:3" x14ac:dyDescent="0.2">
      <c r="B409" t="s">
        <v>4283</v>
      </c>
      <c r="C409" t="s">
        <v>3505</v>
      </c>
    </row>
    <row r="410" spans="2:3" x14ac:dyDescent="0.2">
      <c r="B410" t="s">
        <v>4285</v>
      </c>
      <c r="C410" t="s">
        <v>3507</v>
      </c>
    </row>
    <row r="411" spans="2:3" x14ac:dyDescent="0.2">
      <c r="B411" t="s">
        <v>4287</v>
      </c>
      <c r="C411" t="s">
        <v>3509</v>
      </c>
    </row>
    <row r="412" spans="2:3" x14ac:dyDescent="0.2">
      <c r="B412" t="s">
        <v>4289</v>
      </c>
      <c r="C412" t="s">
        <v>3511</v>
      </c>
    </row>
    <row r="413" spans="2:3" x14ac:dyDescent="0.2">
      <c r="B413" t="s">
        <v>4291</v>
      </c>
      <c r="C413" t="s">
        <v>3513</v>
      </c>
    </row>
    <row r="414" spans="2:3" x14ac:dyDescent="0.2">
      <c r="B414" t="s">
        <v>4293</v>
      </c>
      <c r="C414" t="s">
        <v>3515</v>
      </c>
    </row>
    <row r="415" spans="2:3" x14ac:dyDescent="0.2">
      <c r="B415" t="s">
        <v>4295</v>
      </c>
      <c r="C415" t="s">
        <v>3517</v>
      </c>
    </row>
    <row r="416" spans="2:3" x14ac:dyDescent="0.2">
      <c r="B416" t="s">
        <v>4297</v>
      </c>
      <c r="C416" t="s">
        <v>3519</v>
      </c>
    </row>
    <row r="417" spans="2:3" x14ac:dyDescent="0.2">
      <c r="B417" t="s">
        <v>4299</v>
      </c>
      <c r="C417" t="s">
        <v>3521</v>
      </c>
    </row>
    <row r="418" spans="2:3" x14ac:dyDescent="0.2">
      <c r="B418" t="s">
        <v>4301</v>
      </c>
      <c r="C418" t="s">
        <v>3523</v>
      </c>
    </row>
    <row r="419" spans="2:3" x14ac:dyDescent="0.2">
      <c r="B419" t="s">
        <v>4303</v>
      </c>
      <c r="C419" t="s">
        <v>3525</v>
      </c>
    </row>
    <row r="420" spans="2:3" x14ac:dyDescent="0.2">
      <c r="B420" t="s">
        <v>4305</v>
      </c>
      <c r="C420" t="s">
        <v>3527</v>
      </c>
    </row>
    <row r="421" spans="2:3" x14ac:dyDescent="0.2">
      <c r="B421" t="s">
        <v>4307</v>
      </c>
      <c r="C421" t="s">
        <v>3529</v>
      </c>
    </row>
    <row r="422" spans="2:3" x14ac:dyDescent="0.2">
      <c r="B422" t="s">
        <v>4309</v>
      </c>
      <c r="C422" t="s">
        <v>3531</v>
      </c>
    </row>
    <row r="423" spans="2:3" x14ac:dyDescent="0.2">
      <c r="B423" t="s">
        <v>4311</v>
      </c>
      <c r="C423" t="s">
        <v>3533</v>
      </c>
    </row>
    <row r="424" spans="2:3" x14ac:dyDescent="0.2">
      <c r="B424" t="s">
        <v>4313</v>
      </c>
      <c r="C424" t="s">
        <v>3535</v>
      </c>
    </row>
    <row r="425" spans="2:3" x14ac:dyDescent="0.2">
      <c r="B425" t="s">
        <v>4315</v>
      </c>
      <c r="C425" t="s">
        <v>3537</v>
      </c>
    </row>
    <row r="426" spans="2:3" x14ac:dyDescent="0.2">
      <c r="B426" t="s">
        <v>4317</v>
      </c>
      <c r="C426" t="s">
        <v>3539</v>
      </c>
    </row>
    <row r="427" spans="2:3" x14ac:dyDescent="0.2">
      <c r="B427" t="s">
        <v>4319</v>
      </c>
      <c r="C427" t="s">
        <v>3541</v>
      </c>
    </row>
    <row r="428" spans="2:3" x14ac:dyDescent="0.2">
      <c r="B428" t="s">
        <v>4321</v>
      </c>
      <c r="C428" t="s">
        <v>3543</v>
      </c>
    </row>
    <row r="429" spans="2:3" x14ac:dyDescent="0.2">
      <c r="B429" t="s">
        <v>4323</v>
      </c>
      <c r="C429" t="s">
        <v>3545</v>
      </c>
    </row>
    <row r="430" spans="2:3" x14ac:dyDescent="0.2">
      <c r="B430" t="s">
        <v>4325</v>
      </c>
      <c r="C430" t="s">
        <v>3547</v>
      </c>
    </row>
    <row r="431" spans="2:3" x14ac:dyDescent="0.2">
      <c r="B431" t="s">
        <v>4327</v>
      </c>
      <c r="C431" t="s">
        <v>3549</v>
      </c>
    </row>
    <row r="432" spans="2:3" x14ac:dyDescent="0.2">
      <c r="B432" t="s">
        <v>4329</v>
      </c>
      <c r="C432" t="s">
        <v>3551</v>
      </c>
    </row>
    <row r="433" spans="2:3" x14ac:dyDescent="0.2">
      <c r="B433" t="s">
        <v>4331</v>
      </c>
      <c r="C433" t="s">
        <v>3553</v>
      </c>
    </row>
    <row r="434" spans="2:3" x14ac:dyDescent="0.2">
      <c r="B434" t="s">
        <v>4333</v>
      </c>
      <c r="C434" t="s">
        <v>3555</v>
      </c>
    </row>
    <row r="435" spans="2:3" x14ac:dyDescent="0.2">
      <c r="B435" t="s">
        <v>4335</v>
      </c>
      <c r="C435" t="s">
        <v>3557</v>
      </c>
    </row>
    <row r="436" spans="2:3" x14ac:dyDescent="0.2">
      <c r="B436" t="s">
        <v>4337</v>
      </c>
      <c r="C436" t="s">
        <v>3559</v>
      </c>
    </row>
    <row r="437" spans="2:3" x14ac:dyDescent="0.2">
      <c r="B437" t="s">
        <v>4339</v>
      </c>
      <c r="C437" t="s">
        <v>3561</v>
      </c>
    </row>
    <row r="438" spans="2:3" x14ac:dyDescent="0.2">
      <c r="B438" t="s">
        <v>4341</v>
      </c>
      <c r="C438" t="s">
        <v>3563</v>
      </c>
    </row>
    <row r="439" spans="2:3" x14ac:dyDescent="0.2">
      <c r="B439" t="s">
        <v>4343</v>
      </c>
      <c r="C439" t="s">
        <v>3565</v>
      </c>
    </row>
    <row r="440" spans="2:3" x14ac:dyDescent="0.2">
      <c r="B440" t="s">
        <v>4345</v>
      </c>
      <c r="C440" t="s">
        <v>3567</v>
      </c>
    </row>
    <row r="441" spans="2:3" x14ac:dyDescent="0.2">
      <c r="B441" t="s">
        <v>4347</v>
      </c>
      <c r="C441" t="s">
        <v>3569</v>
      </c>
    </row>
    <row r="442" spans="2:3" x14ac:dyDescent="0.2">
      <c r="B442" t="s">
        <v>4349</v>
      </c>
      <c r="C442" t="s">
        <v>3571</v>
      </c>
    </row>
    <row r="443" spans="2:3" x14ac:dyDescent="0.2">
      <c r="B443" t="s">
        <v>4351</v>
      </c>
      <c r="C443" t="s">
        <v>3573</v>
      </c>
    </row>
    <row r="444" spans="2:3" x14ac:dyDescent="0.2">
      <c r="B444" t="s">
        <v>4353</v>
      </c>
      <c r="C444" t="s">
        <v>3575</v>
      </c>
    </row>
    <row r="445" spans="2:3" x14ac:dyDescent="0.2">
      <c r="B445" t="s">
        <v>4355</v>
      </c>
      <c r="C445" t="s">
        <v>3577</v>
      </c>
    </row>
    <row r="446" spans="2:3" x14ac:dyDescent="0.2">
      <c r="B446" t="s">
        <v>4357</v>
      </c>
      <c r="C446" t="s">
        <v>3579</v>
      </c>
    </row>
    <row r="447" spans="2:3" x14ac:dyDescent="0.2">
      <c r="B447" t="s">
        <v>4359</v>
      </c>
      <c r="C447" t="s">
        <v>3581</v>
      </c>
    </row>
    <row r="448" spans="2:3" x14ac:dyDescent="0.2">
      <c r="B448" t="s">
        <v>4361</v>
      </c>
      <c r="C448" t="s">
        <v>3583</v>
      </c>
    </row>
    <row r="449" spans="2:3" x14ac:dyDescent="0.2">
      <c r="B449" t="s">
        <v>4363</v>
      </c>
      <c r="C449" t="s">
        <v>3585</v>
      </c>
    </row>
    <row r="450" spans="2:3" x14ac:dyDescent="0.2">
      <c r="B450" t="s">
        <v>4365</v>
      </c>
      <c r="C450" t="s">
        <v>3587</v>
      </c>
    </row>
    <row r="451" spans="2:3" x14ac:dyDescent="0.2">
      <c r="B451" t="s">
        <v>4367</v>
      </c>
      <c r="C451" t="s">
        <v>3589</v>
      </c>
    </row>
    <row r="452" spans="2:3" x14ac:dyDescent="0.2">
      <c r="B452" t="s">
        <v>4369</v>
      </c>
      <c r="C452" t="s">
        <v>3591</v>
      </c>
    </row>
    <row r="453" spans="2:3" x14ac:dyDescent="0.2">
      <c r="B453" t="s">
        <v>4371</v>
      </c>
      <c r="C453" t="s">
        <v>3593</v>
      </c>
    </row>
    <row r="454" spans="2:3" x14ac:dyDescent="0.2">
      <c r="B454" t="s">
        <v>4373</v>
      </c>
      <c r="C454" t="s">
        <v>3595</v>
      </c>
    </row>
    <row r="455" spans="2:3" x14ac:dyDescent="0.2">
      <c r="B455" t="s">
        <v>4375</v>
      </c>
      <c r="C455" t="s">
        <v>3597</v>
      </c>
    </row>
    <row r="456" spans="2:3" x14ac:dyDescent="0.2">
      <c r="B456" t="s">
        <v>4377</v>
      </c>
      <c r="C456" t="s">
        <v>3599</v>
      </c>
    </row>
    <row r="457" spans="2:3" x14ac:dyDescent="0.2">
      <c r="B457" t="s">
        <v>4379</v>
      </c>
      <c r="C457" t="s">
        <v>3601</v>
      </c>
    </row>
    <row r="458" spans="2:3" x14ac:dyDescent="0.2">
      <c r="B458" t="s">
        <v>4381</v>
      </c>
      <c r="C458" t="s">
        <v>3603</v>
      </c>
    </row>
    <row r="459" spans="2:3" x14ac:dyDescent="0.2">
      <c r="B459" t="s">
        <v>4383</v>
      </c>
      <c r="C459" t="s">
        <v>3605</v>
      </c>
    </row>
    <row r="460" spans="2:3" x14ac:dyDescent="0.2">
      <c r="B460" t="s">
        <v>4385</v>
      </c>
      <c r="C460" t="s">
        <v>3607</v>
      </c>
    </row>
    <row r="461" spans="2:3" x14ac:dyDescent="0.2">
      <c r="B461" t="s">
        <v>4387</v>
      </c>
      <c r="C461" t="s">
        <v>3609</v>
      </c>
    </row>
    <row r="462" spans="2:3" x14ac:dyDescent="0.2">
      <c r="B462" t="s">
        <v>4389</v>
      </c>
      <c r="C462" t="s">
        <v>3611</v>
      </c>
    </row>
    <row r="463" spans="2:3" x14ac:dyDescent="0.2">
      <c r="B463" t="s">
        <v>4391</v>
      </c>
      <c r="C463" t="s">
        <v>3613</v>
      </c>
    </row>
    <row r="464" spans="2:3" x14ac:dyDescent="0.2">
      <c r="B464" t="s">
        <v>4393</v>
      </c>
      <c r="C464" t="s">
        <v>3615</v>
      </c>
    </row>
    <row r="465" spans="2:3" x14ac:dyDescent="0.2">
      <c r="B465" t="s">
        <v>4395</v>
      </c>
      <c r="C465" t="s">
        <v>3617</v>
      </c>
    </row>
    <row r="466" spans="2:3" x14ac:dyDescent="0.2">
      <c r="B466" t="s">
        <v>4397</v>
      </c>
      <c r="C466" t="s">
        <v>3619</v>
      </c>
    </row>
    <row r="467" spans="2:3" x14ac:dyDescent="0.2">
      <c r="B467" t="s">
        <v>4399</v>
      </c>
      <c r="C467" t="s">
        <v>3621</v>
      </c>
    </row>
    <row r="468" spans="2:3" x14ac:dyDescent="0.2">
      <c r="B468" t="s">
        <v>4401</v>
      </c>
      <c r="C468" t="s">
        <v>3623</v>
      </c>
    </row>
    <row r="469" spans="2:3" x14ac:dyDescent="0.2">
      <c r="B469" t="s">
        <v>4403</v>
      </c>
      <c r="C469" t="s">
        <v>3625</v>
      </c>
    </row>
    <row r="470" spans="2:3" x14ac:dyDescent="0.2">
      <c r="B470" t="s">
        <v>4405</v>
      </c>
      <c r="C470" t="s">
        <v>3627</v>
      </c>
    </row>
    <row r="471" spans="2:3" x14ac:dyDescent="0.2">
      <c r="B471" t="s">
        <v>4407</v>
      </c>
      <c r="C471" t="s">
        <v>3629</v>
      </c>
    </row>
    <row r="472" spans="2:3" x14ac:dyDescent="0.2">
      <c r="B472" t="s">
        <v>4409</v>
      </c>
      <c r="C472" t="s">
        <v>3631</v>
      </c>
    </row>
    <row r="473" spans="2:3" x14ac:dyDescent="0.2">
      <c r="B473" t="s">
        <v>4411</v>
      </c>
      <c r="C473" t="s">
        <v>3633</v>
      </c>
    </row>
    <row r="474" spans="2:3" x14ac:dyDescent="0.2">
      <c r="B474" t="s">
        <v>4413</v>
      </c>
      <c r="C474" t="s">
        <v>3635</v>
      </c>
    </row>
    <row r="475" spans="2:3" x14ac:dyDescent="0.2">
      <c r="B475" t="s">
        <v>4415</v>
      </c>
      <c r="C475" t="s">
        <v>3637</v>
      </c>
    </row>
    <row r="476" spans="2:3" x14ac:dyDescent="0.2">
      <c r="B476" t="s">
        <v>4417</v>
      </c>
      <c r="C476" t="s">
        <v>3639</v>
      </c>
    </row>
    <row r="477" spans="2:3" x14ac:dyDescent="0.2">
      <c r="B477" t="s">
        <v>4419</v>
      </c>
      <c r="C477" t="s">
        <v>3641</v>
      </c>
    </row>
    <row r="478" spans="2:3" x14ac:dyDescent="0.2">
      <c r="B478" t="s">
        <v>4421</v>
      </c>
      <c r="C478" t="s">
        <v>3643</v>
      </c>
    </row>
    <row r="479" spans="2:3" x14ac:dyDescent="0.2">
      <c r="B479" t="s">
        <v>4423</v>
      </c>
      <c r="C479" t="s">
        <v>3645</v>
      </c>
    </row>
    <row r="480" spans="2:3" x14ac:dyDescent="0.2">
      <c r="B480" t="s">
        <v>4425</v>
      </c>
      <c r="C480" t="s">
        <v>3647</v>
      </c>
    </row>
    <row r="481" spans="2:3" x14ac:dyDescent="0.2">
      <c r="B481" t="s">
        <v>4427</v>
      </c>
      <c r="C481" t="s">
        <v>3649</v>
      </c>
    </row>
    <row r="482" spans="2:3" x14ac:dyDescent="0.2">
      <c r="B482" t="s">
        <v>4429</v>
      </c>
      <c r="C482" t="s">
        <v>3651</v>
      </c>
    </row>
    <row r="483" spans="2:3" x14ac:dyDescent="0.2">
      <c r="B483" t="s">
        <v>4431</v>
      </c>
      <c r="C483" t="s">
        <v>3653</v>
      </c>
    </row>
    <row r="484" spans="2:3" x14ac:dyDescent="0.2">
      <c r="B484" t="s">
        <v>4433</v>
      </c>
      <c r="C484" t="s">
        <v>3655</v>
      </c>
    </row>
    <row r="485" spans="2:3" x14ac:dyDescent="0.2">
      <c r="B485" t="s">
        <v>4435</v>
      </c>
      <c r="C485" t="s">
        <v>3657</v>
      </c>
    </row>
    <row r="486" spans="2:3" x14ac:dyDescent="0.2">
      <c r="B486" t="s">
        <v>4437</v>
      </c>
      <c r="C486" t="s">
        <v>3659</v>
      </c>
    </row>
    <row r="487" spans="2:3" x14ac:dyDescent="0.2">
      <c r="B487" t="s">
        <v>4439</v>
      </c>
      <c r="C487" t="s">
        <v>3661</v>
      </c>
    </row>
    <row r="488" spans="2:3" x14ac:dyDescent="0.2">
      <c r="B488" t="s">
        <v>4441</v>
      </c>
      <c r="C488" t="s">
        <v>3663</v>
      </c>
    </row>
    <row r="489" spans="2:3" x14ac:dyDescent="0.2">
      <c r="B489" t="s">
        <v>4443</v>
      </c>
      <c r="C489" t="s">
        <v>3665</v>
      </c>
    </row>
    <row r="490" spans="2:3" x14ac:dyDescent="0.2">
      <c r="B490" t="s">
        <v>4445</v>
      </c>
      <c r="C490" t="s">
        <v>3667</v>
      </c>
    </row>
    <row r="491" spans="2:3" x14ac:dyDescent="0.2">
      <c r="B491" t="s">
        <v>4447</v>
      </c>
      <c r="C491" t="s">
        <v>3669</v>
      </c>
    </row>
    <row r="492" spans="2:3" x14ac:dyDescent="0.2">
      <c r="B492" t="s">
        <v>4449</v>
      </c>
      <c r="C492" t="s">
        <v>3671</v>
      </c>
    </row>
    <row r="493" spans="2:3" x14ac:dyDescent="0.2">
      <c r="B493" t="s">
        <v>4451</v>
      </c>
      <c r="C493" t="s">
        <v>3673</v>
      </c>
    </row>
    <row r="494" spans="2:3" x14ac:dyDescent="0.2">
      <c r="B494" t="s">
        <v>4453</v>
      </c>
      <c r="C494" t="s">
        <v>3675</v>
      </c>
    </row>
    <row r="495" spans="2:3" x14ac:dyDescent="0.2">
      <c r="B495" t="s">
        <v>4455</v>
      </c>
      <c r="C495" t="s">
        <v>3677</v>
      </c>
    </row>
    <row r="496" spans="2:3" x14ac:dyDescent="0.2">
      <c r="B496" t="s">
        <v>4457</v>
      </c>
      <c r="C496" t="s">
        <v>3679</v>
      </c>
    </row>
    <row r="497" spans="2:3" x14ac:dyDescent="0.2">
      <c r="B497" t="s">
        <v>4459</v>
      </c>
      <c r="C497" t="s">
        <v>3681</v>
      </c>
    </row>
    <row r="498" spans="2:3" x14ac:dyDescent="0.2">
      <c r="B498" t="s">
        <v>4461</v>
      </c>
      <c r="C498" t="s">
        <v>3683</v>
      </c>
    </row>
    <row r="499" spans="2:3" x14ac:dyDescent="0.2">
      <c r="B499" t="s">
        <v>4463</v>
      </c>
      <c r="C499" t="s">
        <v>3685</v>
      </c>
    </row>
    <row r="500" spans="2:3" x14ac:dyDescent="0.2">
      <c r="B500" t="s">
        <v>4465</v>
      </c>
      <c r="C500" t="s">
        <v>3687</v>
      </c>
    </row>
    <row r="501" spans="2:3" x14ac:dyDescent="0.2">
      <c r="B501" t="s">
        <v>4467</v>
      </c>
      <c r="C501" t="s">
        <v>3689</v>
      </c>
    </row>
    <row r="502" spans="2:3" x14ac:dyDescent="0.2">
      <c r="B502" t="s">
        <v>4469</v>
      </c>
      <c r="C502" t="s">
        <v>3691</v>
      </c>
    </row>
    <row r="503" spans="2:3" x14ac:dyDescent="0.2">
      <c r="B503" t="s">
        <v>4471</v>
      </c>
      <c r="C503" t="s">
        <v>3693</v>
      </c>
    </row>
    <row r="504" spans="2:3" x14ac:dyDescent="0.2">
      <c r="B504" t="s">
        <v>4473</v>
      </c>
      <c r="C504" t="s">
        <v>3695</v>
      </c>
    </row>
    <row r="505" spans="2:3" x14ac:dyDescent="0.2">
      <c r="B505" t="s">
        <v>4475</v>
      </c>
      <c r="C505" t="s">
        <v>3697</v>
      </c>
    </row>
    <row r="506" spans="2:3" x14ac:dyDescent="0.2">
      <c r="B506" t="s">
        <v>4477</v>
      </c>
      <c r="C506" t="s">
        <v>3699</v>
      </c>
    </row>
    <row r="507" spans="2:3" x14ac:dyDescent="0.2">
      <c r="B507" t="s">
        <v>4479</v>
      </c>
      <c r="C507" t="s">
        <v>3701</v>
      </c>
    </row>
    <row r="508" spans="2:3" x14ac:dyDescent="0.2">
      <c r="B508" t="s">
        <v>4481</v>
      </c>
      <c r="C508" t="s">
        <v>3703</v>
      </c>
    </row>
    <row r="509" spans="2:3" x14ac:dyDescent="0.2">
      <c r="B509" t="s">
        <v>4483</v>
      </c>
      <c r="C509" t="s">
        <v>3705</v>
      </c>
    </row>
    <row r="510" spans="2:3" x14ac:dyDescent="0.2">
      <c r="B510" t="s">
        <v>4485</v>
      </c>
      <c r="C510" t="s">
        <v>3707</v>
      </c>
    </row>
    <row r="511" spans="2:3" x14ac:dyDescent="0.2">
      <c r="B511" t="s">
        <v>4487</v>
      </c>
      <c r="C511" t="s">
        <v>3709</v>
      </c>
    </row>
    <row r="512" spans="2:3" x14ac:dyDescent="0.2">
      <c r="B512" t="s">
        <v>4489</v>
      </c>
      <c r="C512" t="s">
        <v>3711</v>
      </c>
    </row>
    <row r="513" spans="2:3" x14ac:dyDescent="0.2">
      <c r="B513" t="s">
        <v>4491</v>
      </c>
      <c r="C513" t="s">
        <v>3713</v>
      </c>
    </row>
    <row r="514" spans="2:3" x14ac:dyDescent="0.2">
      <c r="B514" t="s">
        <v>4493</v>
      </c>
      <c r="C514" t="s">
        <v>3715</v>
      </c>
    </row>
    <row r="515" spans="2:3" x14ac:dyDescent="0.2">
      <c r="B515" t="s">
        <v>4495</v>
      </c>
      <c r="C515" t="s">
        <v>3717</v>
      </c>
    </row>
    <row r="516" spans="2:3" x14ac:dyDescent="0.2">
      <c r="B516" t="s">
        <v>4497</v>
      </c>
      <c r="C516" t="s">
        <v>3719</v>
      </c>
    </row>
    <row r="517" spans="2:3" x14ac:dyDescent="0.2">
      <c r="B517" t="s">
        <v>4499</v>
      </c>
      <c r="C517" t="s">
        <v>3721</v>
      </c>
    </row>
    <row r="518" spans="2:3" x14ac:dyDescent="0.2">
      <c r="B518" t="s">
        <v>4501</v>
      </c>
      <c r="C518" t="s">
        <v>3723</v>
      </c>
    </row>
    <row r="519" spans="2:3" x14ac:dyDescent="0.2">
      <c r="B519" t="s">
        <v>4503</v>
      </c>
      <c r="C519" t="s">
        <v>3725</v>
      </c>
    </row>
    <row r="520" spans="2:3" x14ac:dyDescent="0.2">
      <c r="B520" t="s">
        <v>4505</v>
      </c>
      <c r="C520" t="s">
        <v>3727</v>
      </c>
    </row>
    <row r="521" spans="2:3" x14ac:dyDescent="0.2">
      <c r="B521" t="s">
        <v>4507</v>
      </c>
      <c r="C521" t="s">
        <v>3729</v>
      </c>
    </row>
    <row r="522" spans="2:3" x14ac:dyDescent="0.2">
      <c r="B522" t="s">
        <v>4509</v>
      </c>
      <c r="C522" t="s">
        <v>3731</v>
      </c>
    </row>
    <row r="523" spans="2:3" x14ac:dyDescent="0.2">
      <c r="B523" t="s">
        <v>4511</v>
      </c>
      <c r="C523" t="s">
        <v>3733</v>
      </c>
    </row>
    <row r="524" spans="2:3" x14ac:dyDescent="0.2">
      <c r="B524" t="s">
        <v>4513</v>
      </c>
      <c r="C524" t="s">
        <v>3735</v>
      </c>
    </row>
    <row r="525" spans="2:3" x14ac:dyDescent="0.2">
      <c r="B525" t="s">
        <v>4515</v>
      </c>
      <c r="C525" t="s">
        <v>3737</v>
      </c>
    </row>
    <row r="526" spans="2:3" x14ac:dyDescent="0.2">
      <c r="B526" t="s">
        <v>4517</v>
      </c>
      <c r="C526" t="s">
        <v>3739</v>
      </c>
    </row>
    <row r="527" spans="2:3" x14ac:dyDescent="0.2">
      <c r="B527" t="s">
        <v>4519</v>
      </c>
      <c r="C527" t="s">
        <v>3741</v>
      </c>
    </row>
    <row r="528" spans="2:3" x14ac:dyDescent="0.2">
      <c r="B528" t="s">
        <v>4521</v>
      </c>
      <c r="C528" t="s">
        <v>3743</v>
      </c>
    </row>
    <row r="529" spans="2:3" x14ac:dyDescent="0.2">
      <c r="B529" t="s">
        <v>4523</v>
      </c>
      <c r="C529" t="s">
        <v>3745</v>
      </c>
    </row>
    <row r="530" spans="2:3" x14ac:dyDescent="0.2">
      <c r="B530" t="s">
        <v>4525</v>
      </c>
      <c r="C530" t="s">
        <v>3747</v>
      </c>
    </row>
    <row r="531" spans="2:3" x14ac:dyDescent="0.2">
      <c r="B531" t="s">
        <v>4527</v>
      </c>
      <c r="C531" t="s">
        <v>3749</v>
      </c>
    </row>
    <row r="532" spans="2:3" x14ac:dyDescent="0.2">
      <c r="B532" t="s">
        <v>4529</v>
      </c>
      <c r="C532" t="s">
        <v>3751</v>
      </c>
    </row>
    <row r="533" spans="2:3" x14ac:dyDescent="0.2">
      <c r="B533" t="s">
        <v>4531</v>
      </c>
      <c r="C533" t="s">
        <v>3753</v>
      </c>
    </row>
    <row r="534" spans="2:3" x14ac:dyDescent="0.2">
      <c r="B534" t="s">
        <v>4533</v>
      </c>
      <c r="C534" t="s">
        <v>3755</v>
      </c>
    </row>
    <row r="535" spans="2:3" x14ac:dyDescent="0.2">
      <c r="B535" t="s">
        <v>4535</v>
      </c>
      <c r="C535" t="s">
        <v>3757</v>
      </c>
    </row>
    <row r="536" spans="2:3" x14ac:dyDescent="0.2">
      <c r="B536" t="s">
        <v>4537</v>
      </c>
      <c r="C536" t="s">
        <v>3759</v>
      </c>
    </row>
    <row r="537" spans="2:3" x14ac:dyDescent="0.2">
      <c r="B537" t="s">
        <v>4539</v>
      </c>
      <c r="C537" t="s">
        <v>3761</v>
      </c>
    </row>
    <row r="538" spans="2:3" x14ac:dyDescent="0.2">
      <c r="B538" t="s">
        <v>4541</v>
      </c>
      <c r="C538" t="s">
        <v>3763</v>
      </c>
    </row>
    <row r="539" spans="2:3" x14ac:dyDescent="0.2">
      <c r="B539" t="s">
        <v>4543</v>
      </c>
      <c r="C539" t="s">
        <v>3765</v>
      </c>
    </row>
    <row r="540" spans="2:3" x14ac:dyDescent="0.2">
      <c r="B540" t="s">
        <v>4545</v>
      </c>
      <c r="C540" t="s">
        <v>3767</v>
      </c>
    </row>
    <row r="541" spans="2:3" x14ac:dyDescent="0.2">
      <c r="B541" t="s">
        <v>4547</v>
      </c>
      <c r="C541" t="s">
        <v>3769</v>
      </c>
    </row>
    <row r="542" spans="2:3" x14ac:dyDescent="0.2">
      <c r="B542" t="s">
        <v>4549</v>
      </c>
      <c r="C542" t="s">
        <v>3771</v>
      </c>
    </row>
    <row r="543" spans="2:3" x14ac:dyDescent="0.2">
      <c r="B543" t="s">
        <v>4551</v>
      </c>
      <c r="C543" t="s">
        <v>3773</v>
      </c>
    </row>
    <row r="544" spans="2:3" x14ac:dyDescent="0.2">
      <c r="B544" t="s">
        <v>4553</v>
      </c>
      <c r="C544" t="s">
        <v>3775</v>
      </c>
    </row>
    <row r="545" spans="2:3" x14ac:dyDescent="0.2">
      <c r="B545" t="s">
        <v>4555</v>
      </c>
      <c r="C545" t="s">
        <v>3777</v>
      </c>
    </row>
    <row r="546" spans="2:3" x14ac:dyDescent="0.2">
      <c r="B546" t="s">
        <v>4557</v>
      </c>
      <c r="C546" t="s">
        <v>3779</v>
      </c>
    </row>
    <row r="547" spans="2:3" x14ac:dyDescent="0.2">
      <c r="B547" t="s">
        <v>4559</v>
      </c>
      <c r="C547" t="s">
        <v>3781</v>
      </c>
    </row>
    <row r="548" spans="2:3" x14ac:dyDescent="0.2">
      <c r="B548" t="s">
        <v>4561</v>
      </c>
      <c r="C548" t="s">
        <v>3783</v>
      </c>
    </row>
    <row r="549" spans="2:3" x14ac:dyDescent="0.2">
      <c r="B549" t="s">
        <v>4563</v>
      </c>
      <c r="C549" t="s">
        <v>3785</v>
      </c>
    </row>
    <row r="550" spans="2:3" x14ac:dyDescent="0.2">
      <c r="B550" t="s">
        <v>4565</v>
      </c>
      <c r="C550" t="s">
        <v>3787</v>
      </c>
    </row>
    <row r="551" spans="2:3" x14ac:dyDescent="0.2">
      <c r="B551" t="s">
        <v>4567</v>
      </c>
      <c r="C551" t="s">
        <v>3789</v>
      </c>
    </row>
    <row r="552" spans="2:3" x14ac:dyDescent="0.2">
      <c r="B552" t="s">
        <v>4569</v>
      </c>
      <c r="C552" t="s">
        <v>3791</v>
      </c>
    </row>
    <row r="553" spans="2:3" x14ac:dyDescent="0.2">
      <c r="B553" t="s">
        <v>4571</v>
      </c>
      <c r="C553" t="s">
        <v>3793</v>
      </c>
    </row>
    <row r="554" spans="2:3" x14ac:dyDescent="0.2">
      <c r="B554" t="s">
        <v>4573</v>
      </c>
      <c r="C554" t="s">
        <v>3795</v>
      </c>
    </row>
    <row r="555" spans="2:3" x14ac:dyDescent="0.2">
      <c r="B555" t="s">
        <v>4575</v>
      </c>
      <c r="C555" t="s">
        <v>3797</v>
      </c>
    </row>
    <row r="556" spans="2:3" x14ac:dyDescent="0.2">
      <c r="B556" t="s">
        <v>4577</v>
      </c>
      <c r="C556" t="s">
        <v>3799</v>
      </c>
    </row>
    <row r="557" spans="2:3" x14ac:dyDescent="0.2">
      <c r="B557" t="s">
        <v>4579</v>
      </c>
      <c r="C557" t="s">
        <v>3801</v>
      </c>
    </row>
    <row r="558" spans="2:3" x14ac:dyDescent="0.2">
      <c r="B558" t="s">
        <v>4581</v>
      </c>
      <c r="C558" t="s">
        <v>3803</v>
      </c>
    </row>
    <row r="559" spans="2:3" x14ac:dyDescent="0.2">
      <c r="B559" t="s">
        <v>4583</v>
      </c>
      <c r="C559" t="s">
        <v>3805</v>
      </c>
    </row>
    <row r="560" spans="2:3" x14ac:dyDescent="0.2">
      <c r="B560" t="s">
        <v>4585</v>
      </c>
      <c r="C560" t="s">
        <v>3807</v>
      </c>
    </row>
    <row r="561" spans="2:3" x14ac:dyDescent="0.2">
      <c r="B561" t="s">
        <v>4587</v>
      </c>
      <c r="C561" t="s">
        <v>3809</v>
      </c>
    </row>
    <row r="562" spans="2:3" x14ac:dyDescent="0.2">
      <c r="B562" t="s">
        <v>4589</v>
      </c>
      <c r="C562" t="s">
        <v>3811</v>
      </c>
    </row>
    <row r="563" spans="2:3" x14ac:dyDescent="0.2">
      <c r="B563" t="s">
        <v>4591</v>
      </c>
      <c r="C563" t="s">
        <v>3813</v>
      </c>
    </row>
    <row r="564" spans="2:3" x14ac:dyDescent="0.2">
      <c r="B564" t="s">
        <v>4593</v>
      </c>
      <c r="C564" t="s">
        <v>3815</v>
      </c>
    </row>
    <row r="565" spans="2:3" x14ac:dyDescent="0.2">
      <c r="B565" t="s">
        <v>4595</v>
      </c>
      <c r="C565" t="s">
        <v>3817</v>
      </c>
    </row>
    <row r="566" spans="2:3" x14ac:dyDescent="0.2">
      <c r="B566" t="s">
        <v>4597</v>
      </c>
      <c r="C566" t="s">
        <v>3819</v>
      </c>
    </row>
    <row r="567" spans="2:3" x14ac:dyDescent="0.2">
      <c r="B567" t="s">
        <v>4599</v>
      </c>
      <c r="C567" t="s">
        <v>3821</v>
      </c>
    </row>
    <row r="568" spans="2:3" x14ac:dyDescent="0.2">
      <c r="B568" t="s">
        <v>4601</v>
      </c>
      <c r="C568" t="s">
        <v>3823</v>
      </c>
    </row>
    <row r="569" spans="2:3" x14ac:dyDescent="0.2">
      <c r="B569" t="s">
        <v>4603</v>
      </c>
      <c r="C569" t="s">
        <v>3825</v>
      </c>
    </row>
    <row r="570" spans="2:3" x14ac:dyDescent="0.2">
      <c r="B570" t="s">
        <v>4605</v>
      </c>
      <c r="C570" t="s">
        <v>3827</v>
      </c>
    </row>
    <row r="571" spans="2:3" x14ac:dyDescent="0.2">
      <c r="B571" t="s">
        <v>4607</v>
      </c>
      <c r="C571" t="s">
        <v>3829</v>
      </c>
    </row>
    <row r="572" spans="2:3" x14ac:dyDescent="0.2">
      <c r="B572" t="s">
        <v>4609</v>
      </c>
      <c r="C572" t="s">
        <v>3831</v>
      </c>
    </row>
    <row r="573" spans="2:3" x14ac:dyDescent="0.2">
      <c r="B573" t="s">
        <v>4611</v>
      </c>
      <c r="C573" t="s">
        <v>3833</v>
      </c>
    </row>
    <row r="574" spans="2:3" x14ac:dyDescent="0.2">
      <c r="B574" t="s">
        <v>4613</v>
      </c>
      <c r="C574" t="s">
        <v>3835</v>
      </c>
    </row>
    <row r="575" spans="2:3" x14ac:dyDescent="0.2">
      <c r="B575" t="s">
        <v>4615</v>
      </c>
      <c r="C575" t="s">
        <v>3837</v>
      </c>
    </row>
    <row r="576" spans="2:3" x14ac:dyDescent="0.2">
      <c r="B576" t="s">
        <v>4617</v>
      </c>
      <c r="C576" t="s">
        <v>3839</v>
      </c>
    </row>
    <row r="577" spans="2:3" x14ac:dyDescent="0.2">
      <c r="B577" t="s">
        <v>4619</v>
      </c>
      <c r="C577" t="s">
        <v>3841</v>
      </c>
    </row>
    <row r="578" spans="2:3" x14ac:dyDescent="0.2">
      <c r="B578" t="s">
        <v>4621</v>
      </c>
      <c r="C578" t="s">
        <v>3843</v>
      </c>
    </row>
    <row r="579" spans="2:3" x14ac:dyDescent="0.2">
      <c r="B579" t="s">
        <v>4623</v>
      </c>
      <c r="C579" t="s">
        <v>3845</v>
      </c>
    </row>
    <row r="580" spans="2:3" x14ac:dyDescent="0.2">
      <c r="B580" t="s">
        <v>4625</v>
      </c>
      <c r="C580" t="s">
        <v>3847</v>
      </c>
    </row>
    <row r="581" spans="2:3" x14ac:dyDescent="0.2">
      <c r="B581" t="s">
        <v>4627</v>
      </c>
      <c r="C581" t="s">
        <v>3849</v>
      </c>
    </row>
    <row r="582" spans="2:3" x14ac:dyDescent="0.2">
      <c r="B582" t="s">
        <v>4629</v>
      </c>
      <c r="C582" t="s">
        <v>3851</v>
      </c>
    </row>
    <row r="583" spans="2:3" x14ac:dyDescent="0.2">
      <c r="B583" t="s">
        <v>4631</v>
      </c>
      <c r="C583" t="s">
        <v>3853</v>
      </c>
    </row>
    <row r="584" spans="2:3" x14ac:dyDescent="0.2">
      <c r="B584" t="s">
        <v>4633</v>
      </c>
      <c r="C584" t="s">
        <v>3855</v>
      </c>
    </row>
    <row r="585" spans="2:3" x14ac:dyDescent="0.2">
      <c r="B585" t="s">
        <v>4635</v>
      </c>
      <c r="C585" t="s">
        <v>3857</v>
      </c>
    </row>
    <row r="586" spans="2:3" x14ac:dyDescent="0.2">
      <c r="B586" t="s">
        <v>4637</v>
      </c>
      <c r="C586" t="s">
        <v>3859</v>
      </c>
    </row>
    <row r="587" spans="2:3" x14ac:dyDescent="0.2">
      <c r="B587" t="s">
        <v>4639</v>
      </c>
      <c r="C587" t="s">
        <v>3861</v>
      </c>
    </row>
    <row r="588" spans="2:3" x14ac:dyDescent="0.2">
      <c r="B588" t="s">
        <v>4641</v>
      </c>
      <c r="C588" t="s">
        <v>3863</v>
      </c>
    </row>
    <row r="589" spans="2:3" x14ac:dyDescent="0.2">
      <c r="B589" t="s">
        <v>4643</v>
      </c>
      <c r="C589" t="s">
        <v>3865</v>
      </c>
    </row>
    <row r="590" spans="2:3" x14ac:dyDescent="0.2">
      <c r="B590" t="s">
        <v>4645</v>
      </c>
      <c r="C590" t="s">
        <v>3867</v>
      </c>
    </row>
    <row r="591" spans="2:3" x14ac:dyDescent="0.2">
      <c r="B591" t="s">
        <v>4647</v>
      </c>
      <c r="C591" t="s">
        <v>3869</v>
      </c>
    </row>
    <row r="592" spans="2:3" x14ac:dyDescent="0.2">
      <c r="B592" t="s">
        <v>4649</v>
      </c>
      <c r="C592" t="s">
        <v>3871</v>
      </c>
    </row>
    <row r="593" spans="2:3" x14ac:dyDescent="0.2">
      <c r="B593" t="s">
        <v>4651</v>
      </c>
      <c r="C593" t="s">
        <v>3873</v>
      </c>
    </row>
    <row r="594" spans="2:3" x14ac:dyDescent="0.2">
      <c r="B594" t="s">
        <v>4653</v>
      </c>
      <c r="C594" t="s">
        <v>3875</v>
      </c>
    </row>
    <row r="595" spans="2:3" x14ac:dyDescent="0.2">
      <c r="B595" t="s">
        <v>4655</v>
      </c>
      <c r="C595" t="s">
        <v>3877</v>
      </c>
    </row>
    <row r="596" spans="2:3" x14ac:dyDescent="0.2">
      <c r="B596" t="s">
        <v>4657</v>
      </c>
      <c r="C596" t="s">
        <v>3879</v>
      </c>
    </row>
    <row r="597" spans="2:3" x14ac:dyDescent="0.2">
      <c r="B597" t="s">
        <v>4659</v>
      </c>
      <c r="C597" t="s">
        <v>3881</v>
      </c>
    </row>
    <row r="598" spans="2:3" x14ac:dyDescent="0.2">
      <c r="B598" t="s">
        <v>4661</v>
      </c>
      <c r="C598" t="s">
        <v>3883</v>
      </c>
    </row>
    <row r="599" spans="2:3" x14ac:dyDescent="0.2">
      <c r="B599" t="s">
        <v>4663</v>
      </c>
      <c r="C599" t="s">
        <v>3885</v>
      </c>
    </row>
    <row r="600" spans="2:3" x14ac:dyDescent="0.2">
      <c r="B600" t="s">
        <v>4665</v>
      </c>
      <c r="C600" t="s">
        <v>3887</v>
      </c>
    </row>
    <row r="601" spans="2:3" x14ac:dyDescent="0.2">
      <c r="B601" t="s">
        <v>4667</v>
      </c>
      <c r="C601" t="s">
        <v>3889</v>
      </c>
    </row>
    <row r="602" spans="2:3" x14ac:dyDescent="0.2">
      <c r="B602" t="s">
        <v>4669</v>
      </c>
      <c r="C602" t="s">
        <v>3891</v>
      </c>
    </row>
    <row r="603" spans="2:3" x14ac:dyDescent="0.2">
      <c r="B603" t="s">
        <v>4671</v>
      </c>
      <c r="C603" t="s">
        <v>3893</v>
      </c>
    </row>
    <row r="604" spans="2:3" x14ac:dyDescent="0.2">
      <c r="B604" t="s">
        <v>4673</v>
      </c>
      <c r="C604" t="s">
        <v>3895</v>
      </c>
    </row>
    <row r="605" spans="2:3" x14ac:dyDescent="0.2">
      <c r="B605" t="s">
        <v>4675</v>
      </c>
      <c r="C605" t="s">
        <v>3897</v>
      </c>
    </row>
    <row r="606" spans="2:3" x14ac:dyDescent="0.2">
      <c r="B606" t="s">
        <v>4677</v>
      </c>
      <c r="C606" t="s">
        <v>3899</v>
      </c>
    </row>
    <row r="607" spans="2:3" x14ac:dyDescent="0.2">
      <c r="B607" t="s">
        <v>4679</v>
      </c>
      <c r="C607" t="s">
        <v>3901</v>
      </c>
    </row>
    <row r="608" spans="2:3" x14ac:dyDescent="0.2">
      <c r="B608" t="s">
        <v>4681</v>
      </c>
      <c r="C608" t="s">
        <v>3903</v>
      </c>
    </row>
    <row r="609" spans="2:3" x14ac:dyDescent="0.2">
      <c r="B609" t="s">
        <v>4683</v>
      </c>
      <c r="C609" t="s">
        <v>3905</v>
      </c>
    </row>
    <row r="610" spans="2:3" x14ac:dyDescent="0.2">
      <c r="B610" t="s">
        <v>4685</v>
      </c>
      <c r="C610" t="s">
        <v>3907</v>
      </c>
    </row>
    <row r="611" spans="2:3" x14ac:dyDescent="0.2">
      <c r="B611" t="s">
        <v>4687</v>
      </c>
      <c r="C611" t="s">
        <v>3909</v>
      </c>
    </row>
    <row r="612" spans="2:3" x14ac:dyDescent="0.2">
      <c r="B612" t="s">
        <v>4689</v>
      </c>
      <c r="C612" t="s">
        <v>3911</v>
      </c>
    </row>
    <row r="613" spans="2:3" x14ac:dyDescent="0.2">
      <c r="B613" t="s">
        <v>4691</v>
      </c>
      <c r="C613" t="s">
        <v>3913</v>
      </c>
    </row>
    <row r="614" spans="2:3" x14ac:dyDescent="0.2">
      <c r="B614" t="s">
        <v>4693</v>
      </c>
      <c r="C614" t="s">
        <v>3915</v>
      </c>
    </row>
    <row r="615" spans="2:3" x14ac:dyDescent="0.2">
      <c r="B615" t="s">
        <v>4695</v>
      </c>
      <c r="C615" t="s">
        <v>3917</v>
      </c>
    </row>
    <row r="616" spans="2:3" x14ac:dyDescent="0.2">
      <c r="B616" t="s">
        <v>4697</v>
      </c>
      <c r="C616" t="s">
        <v>3919</v>
      </c>
    </row>
    <row r="617" spans="2:3" x14ac:dyDescent="0.2">
      <c r="B617" t="s">
        <v>4699</v>
      </c>
      <c r="C617" t="s">
        <v>3921</v>
      </c>
    </row>
    <row r="618" spans="2:3" x14ac:dyDescent="0.2">
      <c r="B618" t="s">
        <v>4701</v>
      </c>
      <c r="C618" t="s">
        <v>3923</v>
      </c>
    </row>
    <row r="619" spans="2:3" x14ac:dyDescent="0.2">
      <c r="B619" t="s">
        <v>4703</v>
      </c>
      <c r="C619" t="s">
        <v>3925</v>
      </c>
    </row>
    <row r="620" spans="2:3" x14ac:dyDescent="0.2">
      <c r="B620" t="s">
        <v>4705</v>
      </c>
      <c r="C620" t="s">
        <v>3927</v>
      </c>
    </row>
    <row r="621" spans="2:3" x14ac:dyDescent="0.2">
      <c r="B621" t="s">
        <v>4707</v>
      </c>
      <c r="C621" t="s">
        <v>3929</v>
      </c>
    </row>
    <row r="622" spans="2:3" x14ac:dyDescent="0.2">
      <c r="B622" t="s">
        <v>4709</v>
      </c>
      <c r="C622" t="s">
        <v>3931</v>
      </c>
    </row>
    <row r="623" spans="2:3" x14ac:dyDescent="0.2">
      <c r="B623" t="s">
        <v>4711</v>
      </c>
      <c r="C623" t="s">
        <v>3933</v>
      </c>
    </row>
    <row r="624" spans="2:3" x14ac:dyDescent="0.2">
      <c r="B624" t="s">
        <v>4713</v>
      </c>
      <c r="C624" t="s">
        <v>3935</v>
      </c>
    </row>
    <row r="625" spans="2:3" x14ac:dyDescent="0.2">
      <c r="B625" t="s">
        <v>4715</v>
      </c>
      <c r="C625" t="s">
        <v>3937</v>
      </c>
    </row>
    <row r="626" spans="2:3" x14ac:dyDescent="0.2">
      <c r="B626" t="s">
        <v>4717</v>
      </c>
      <c r="C626" t="s">
        <v>3939</v>
      </c>
    </row>
    <row r="627" spans="2:3" x14ac:dyDescent="0.2">
      <c r="B627" t="s">
        <v>4719</v>
      </c>
      <c r="C627" t="s">
        <v>3941</v>
      </c>
    </row>
    <row r="628" spans="2:3" x14ac:dyDescent="0.2">
      <c r="B628" t="s">
        <v>4721</v>
      </c>
      <c r="C628" t="s">
        <v>3943</v>
      </c>
    </row>
    <row r="629" spans="2:3" x14ac:dyDescent="0.2">
      <c r="B629" t="s">
        <v>4723</v>
      </c>
      <c r="C629" t="s">
        <v>3945</v>
      </c>
    </row>
    <row r="630" spans="2:3" x14ac:dyDescent="0.2">
      <c r="B630" t="s">
        <v>4725</v>
      </c>
      <c r="C630" t="s">
        <v>3947</v>
      </c>
    </row>
    <row r="631" spans="2:3" x14ac:dyDescent="0.2">
      <c r="B631" t="s">
        <v>4727</v>
      </c>
      <c r="C631" t="s">
        <v>3949</v>
      </c>
    </row>
    <row r="632" spans="2:3" x14ac:dyDescent="0.2">
      <c r="B632" t="s">
        <v>4729</v>
      </c>
      <c r="C632" t="s">
        <v>3951</v>
      </c>
    </row>
    <row r="633" spans="2:3" x14ac:dyDescent="0.2">
      <c r="B633" t="s">
        <v>4731</v>
      </c>
      <c r="C633" t="s">
        <v>3953</v>
      </c>
    </row>
    <row r="634" spans="2:3" x14ac:dyDescent="0.2">
      <c r="B634" t="s">
        <v>4733</v>
      </c>
      <c r="C634" t="s">
        <v>3955</v>
      </c>
    </row>
    <row r="635" spans="2:3" x14ac:dyDescent="0.2">
      <c r="B635" t="s">
        <v>4735</v>
      </c>
      <c r="C635" t="s">
        <v>3957</v>
      </c>
    </row>
    <row r="636" spans="2:3" x14ac:dyDescent="0.2">
      <c r="B636" t="s">
        <v>4737</v>
      </c>
      <c r="C636" t="s">
        <v>3959</v>
      </c>
    </row>
    <row r="637" spans="2:3" x14ac:dyDescent="0.2">
      <c r="B637" t="s">
        <v>4739</v>
      </c>
      <c r="C637" t="s">
        <v>3961</v>
      </c>
    </row>
    <row r="638" spans="2:3" x14ac:dyDescent="0.2">
      <c r="B638" t="s">
        <v>4741</v>
      </c>
      <c r="C638" t="s">
        <v>3963</v>
      </c>
    </row>
    <row r="639" spans="2:3" x14ac:dyDescent="0.2">
      <c r="B639" t="s">
        <v>4743</v>
      </c>
      <c r="C639" t="s">
        <v>3965</v>
      </c>
    </row>
    <row r="640" spans="2:3" x14ac:dyDescent="0.2">
      <c r="B640" t="s">
        <v>4745</v>
      </c>
      <c r="C640" t="s">
        <v>3967</v>
      </c>
    </row>
    <row r="641" spans="2:3" x14ac:dyDescent="0.2">
      <c r="B641" t="s">
        <v>4747</v>
      </c>
      <c r="C641" t="s">
        <v>3969</v>
      </c>
    </row>
    <row r="642" spans="2:3" x14ac:dyDescent="0.2">
      <c r="B642" t="s">
        <v>4749</v>
      </c>
      <c r="C642" t="s">
        <v>3971</v>
      </c>
    </row>
    <row r="643" spans="2:3" x14ac:dyDescent="0.2">
      <c r="B643" t="s">
        <v>4751</v>
      </c>
      <c r="C643" t="s">
        <v>3973</v>
      </c>
    </row>
    <row r="644" spans="2:3" x14ac:dyDescent="0.2">
      <c r="B644" t="s">
        <v>4753</v>
      </c>
      <c r="C644" t="s">
        <v>3975</v>
      </c>
    </row>
    <row r="645" spans="2:3" x14ac:dyDescent="0.2">
      <c r="B645" t="s">
        <v>4755</v>
      </c>
      <c r="C645" t="s">
        <v>3977</v>
      </c>
    </row>
    <row r="646" spans="2:3" x14ac:dyDescent="0.2">
      <c r="B646" t="s">
        <v>4757</v>
      </c>
      <c r="C646" t="s">
        <v>3979</v>
      </c>
    </row>
    <row r="647" spans="2:3" x14ac:dyDescent="0.2">
      <c r="B647" t="s">
        <v>4759</v>
      </c>
      <c r="C647" t="s">
        <v>3981</v>
      </c>
    </row>
    <row r="648" spans="2:3" x14ac:dyDescent="0.2">
      <c r="B648" t="s">
        <v>4761</v>
      </c>
      <c r="C648" t="s">
        <v>3983</v>
      </c>
    </row>
    <row r="649" spans="2:3" x14ac:dyDescent="0.2">
      <c r="B649" t="s">
        <v>4763</v>
      </c>
      <c r="C649" t="s">
        <v>3985</v>
      </c>
    </row>
    <row r="650" spans="2:3" x14ac:dyDescent="0.2">
      <c r="B650" t="s">
        <v>4765</v>
      </c>
      <c r="C650" t="s">
        <v>3987</v>
      </c>
    </row>
    <row r="651" spans="2:3" x14ac:dyDescent="0.2">
      <c r="B651" t="s">
        <v>4767</v>
      </c>
      <c r="C651" t="s">
        <v>3989</v>
      </c>
    </row>
    <row r="652" spans="2:3" x14ac:dyDescent="0.2">
      <c r="B652" t="s">
        <v>4769</v>
      </c>
      <c r="C652" t="s">
        <v>3991</v>
      </c>
    </row>
    <row r="653" spans="2:3" x14ac:dyDescent="0.2">
      <c r="B653" t="s">
        <v>4771</v>
      </c>
      <c r="C653" t="s">
        <v>3993</v>
      </c>
    </row>
    <row r="654" spans="2:3" x14ac:dyDescent="0.2">
      <c r="B654" t="s">
        <v>4773</v>
      </c>
      <c r="C654" t="s">
        <v>3995</v>
      </c>
    </row>
    <row r="655" spans="2:3" x14ac:dyDescent="0.2">
      <c r="B655" t="s">
        <v>4775</v>
      </c>
      <c r="C655" t="s">
        <v>3997</v>
      </c>
    </row>
    <row r="656" spans="2:3" x14ac:dyDescent="0.2">
      <c r="B656" t="s">
        <v>4777</v>
      </c>
      <c r="C656" t="s">
        <v>3999</v>
      </c>
    </row>
    <row r="657" spans="2:3" x14ac:dyDescent="0.2">
      <c r="B657" t="s">
        <v>4779</v>
      </c>
      <c r="C657" t="s">
        <v>4001</v>
      </c>
    </row>
    <row r="658" spans="2:3" x14ac:dyDescent="0.2">
      <c r="B658" t="s">
        <v>4781</v>
      </c>
      <c r="C658" t="s">
        <v>4003</v>
      </c>
    </row>
    <row r="659" spans="2:3" x14ac:dyDescent="0.2">
      <c r="B659" t="s">
        <v>4783</v>
      </c>
      <c r="C659" t="s">
        <v>4005</v>
      </c>
    </row>
    <row r="660" spans="2:3" x14ac:dyDescent="0.2">
      <c r="B660" t="s">
        <v>4785</v>
      </c>
      <c r="C660" t="s">
        <v>4007</v>
      </c>
    </row>
    <row r="661" spans="2:3" x14ac:dyDescent="0.2">
      <c r="B661" t="s">
        <v>4787</v>
      </c>
      <c r="C661" t="s">
        <v>4009</v>
      </c>
    </row>
    <row r="662" spans="2:3" x14ac:dyDescent="0.2">
      <c r="B662" t="s">
        <v>4789</v>
      </c>
      <c r="C662" t="s">
        <v>4011</v>
      </c>
    </row>
    <row r="663" spans="2:3" x14ac:dyDescent="0.2">
      <c r="B663" t="s">
        <v>4791</v>
      </c>
      <c r="C663" t="s">
        <v>4013</v>
      </c>
    </row>
    <row r="664" spans="2:3" x14ac:dyDescent="0.2">
      <c r="B664" t="s">
        <v>4793</v>
      </c>
      <c r="C664" t="s">
        <v>4015</v>
      </c>
    </row>
    <row r="665" spans="2:3" x14ac:dyDescent="0.2">
      <c r="B665" t="s">
        <v>4795</v>
      </c>
      <c r="C665" t="s">
        <v>4017</v>
      </c>
    </row>
    <row r="666" spans="2:3" x14ac:dyDescent="0.2">
      <c r="B666" t="s">
        <v>4797</v>
      </c>
      <c r="C666" t="s">
        <v>4019</v>
      </c>
    </row>
    <row r="667" spans="2:3" x14ac:dyDescent="0.2">
      <c r="B667" t="s">
        <v>4799</v>
      </c>
      <c r="C667" t="s">
        <v>4021</v>
      </c>
    </row>
    <row r="668" spans="2:3" x14ac:dyDescent="0.2">
      <c r="B668" t="s">
        <v>4801</v>
      </c>
      <c r="C668" t="s">
        <v>4023</v>
      </c>
    </row>
    <row r="669" spans="2:3" x14ac:dyDescent="0.2">
      <c r="B669" t="s">
        <v>4803</v>
      </c>
      <c r="C669" t="s">
        <v>4025</v>
      </c>
    </row>
    <row r="670" spans="2:3" x14ac:dyDescent="0.2">
      <c r="B670" t="s">
        <v>4805</v>
      </c>
      <c r="C670" t="s">
        <v>4027</v>
      </c>
    </row>
    <row r="671" spans="2:3" x14ac:dyDescent="0.2">
      <c r="B671" t="s">
        <v>4807</v>
      </c>
      <c r="C671" t="s">
        <v>4029</v>
      </c>
    </row>
    <row r="672" spans="2:3" x14ac:dyDescent="0.2">
      <c r="B672" t="s">
        <v>4809</v>
      </c>
      <c r="C672" t="s">
        <v>4031</v>
      </c>
    </row>
    <row r="673" spans="2:3" x14ac:dyDescent="0.2">
      <c r="B673" t="s">
        <v>4811</v>
      </c>
      <c r="C673" t="s">
        <v>4033</v>
      </c>
    </row>
    <row r="674" spans="2:3" x14ac:dyDescent="0.2">
      <c r="B674" t="s">
        <v>4813</v>
      </c>
      <c r="C674" t="s">
        <v>4035</v>
      </c>
    </row>
    <row r="675" spans="2:3" x14ac:dyDescent="0.2">
      <c r="B675" t="s">
        <v>4815</v>
      </c>
      <c r="C675" t="s">
        <v>4037</v>
      </c>
    </row>
    <row r="676" spans="2:3" x14ac:dyDescent="0.2">
      <c r="B676" t="s">
        <v>4817</v>
      </c>
      <c r="C676" t="s">
        <v>4039</v>
      </c>
    </row>
    <row r="677" spans="2:3" x14ac:dyDescent="0.2">
      <c r="B677" t="s">
        <v>4819</v>
      </c>
      <c r="C677" t="s">
        <v>4041</v>
      </c>
    </row>
    <row r="678" spans="2:3" x14ac:dyDescent="0.2">
      <c r="B678" t="s">
        <v>4821</v>
      </c>
      <c r="C678" t="s">
        <v>4043</v>
      </c>
    </row>
    <row r="679" spans="2:3" x14ac:dyDescent="0.2">
      <c r="B679" t="s">
        <v>4823</v>
      </c>
      <c r="C679" t="s">
        <v>4045</v>
      </c>
    </row>
    <row r="680" spans="2:3" x14ac:dyDescent="0.2">
      <c r="B680" t="s">
        <v>4825</v>
      </c>
      <c r="C680" t="s">
        <v>4047</v>
      </c>
    </row>
    <row r="681" spans="2:3" x14ac:dyDescent="0.2">
      <c r="B681" t="s">
        <v>4827</v>
      </c>
      <c r="C681" t="s">
        <v>4049</v>
      </c>
    </row>
    <row r="682" spans="2:3" x14ac:dyDescent="0.2">
      <c r="B682" t="s">
        <v>4829</v>
      </c>
      <c r="C682" t="s">
        <v>4051</v>
      </c>
    </row>
    <row r="683" spans="2:3" x14ac:dyDescent="0.2">
      <c r="B683" t="s">
        <v>4831</v>
      </c>
      <c r="C683" t="s">
        <v>4053</v>
      </c>
    </row>
    <row r="684" spans="2:3" x14ac:dyDescent="0.2">
      <c r="B684" t="s">
        <v>4833</v>
      </c>
      <c r="C684" t="s">
        <v>4055</v>
      </c>
    </row>
    <row r="685" spans="2:3" x14ac:dyDescent="0.2">
      <c r="B685" t="s">
        <v>4835</v>
      </c>
      <c r="C685" t="s">
        <v>4057</v>
      </c>
    </row>
    <row r="686" spans="2:3" x14ac:dyDescent="0.2">
      <c r="B686" t="s">
        <v>4837</v>
      </c>
      <c r="C686" t="s">
        <v>4059</v>
      </c>
    </row>
    <row r="687" spans="2:3" x14ac:dyDescent="0.2">
      <c r="B687" t="s">
        <v>4839</v>
      </c>
      <c r="C687" t="s">
        <v>4061</v>
      </c>
    </row>
    <row r="688" spans="2:3" x14ac:dyDescent="0.2">
      <c r="B688" t="s">
        <v>4841</v>
      </c>
      <c r="C688" t="s">
        <v>4063</v>
      </c>
    </row>
    <row r="689" spans="2:3" x14ac:dyDescent="0.2">
      <c r="B689" t="s">
        <v>4843</v>
      </c>
      <c r="C689" t="s">
        <v>4065</v>
      </c>
    </row>
    <row r="690" spans="2:3" x14ac:dyDescent="0.2">
      <c r="B690" t="s">
        <v>4845</v>
      </c>
      <c r="C690" t="s">
        <v>4067</v>
      </c>
    </row>
    <row r="691" spans="2:3" x14ac:dyDescent="0.2">
      <c r="B691" t="s">
        <v>4847</v>
      </c>
      <c r="C691" t="s">
        <v>4069</v>
      </c>
    </row>
    <row r="692" spans="2:3" x14ac:dyDescent="0.2">
      <c r="B692" t="s">
        <v>4849</v>
      </c>
      <c r="C692" t="s">
        <v>4071</v>
      </c>
    </row>
    <row r="693" spans="2:3" x14ac:dyDescent="0.2">
      <c r="B693" t="s">
        <v>4851</v>
      </c>
      <c r="C693" t="s">
        <v>4073</v>
      </c>
    </row>
    <row r="694" spans="2:3" x14ac:dyDescent="0.2">
      <c r="B694" t="s">
        <v>4853</v>
      </c>
      <c r="C694" t="s">
        <v>4075</v>
      </c>
    </row>
    <row r="695" spans="2:3" x14ac:dyDescent="0.2">
      <c r="B695" t="s">
        <v>4855</v>
      </c>
      <c r="C695" t="s">
        <v>4077</v>
      </c>
    </row>
    <row r="696" spans="2:3" x14ac:dyDescent="0.2">
      <c r="B696" t="s">
        <v>4857</v>
      </c>
      <c r="C696" t="s">
        <v>4079</v>
      </c>
    </row>
    <row r="697" spans="2:3" x14ac:dyDescent="0.2">
      <c r="B697" t="s">
        <v>4859</v>
      </c>
      <c r="C697" t="s">
        <v>4081</v>
      </c>
    </row>
    <row r="698" spans="2:3" x14ac:dyDescent="0.2">
      <c r="B698" t="s">
        <v>4861</v>
      </c>
      <c r="C698" t="s">
        <v>4083</v>
      </c>
    </row>
    <row r="699" spans="2:3" x14ac:dyDescent="0.2">
      <c r="B699" t="s">
        <v>4863</v>
      </c>
      <c r="C699" t="s">
        <v>4085</v>
      </c>
    </row>
    <row r="700" spans="2:3" x14ac:dyDescent="0.2">
      <c r="B700" t="s">
        <v>4865</v>
      </c>
      <c r="C700" t="s">
        <v>4087</v>
      </c>
    </row>
    <row r="701" spans="2:3" x14ac:dyDescent="0.2">
      <c r="B701" t="s">
        <v>4867</v>
      </c>
      <c r="C701" t="s">
        <v>4089</v>
      </c>
    </row>
    <row r="702" spans="2:3" x14ac:dyDescent="0.2">
      <c r="B702" t="s">
        <v>4869</v>
      </c>
      <c r="C702" t="s">
        <v>4091</v>
      </c>
    </row>
    <row r="703" spans="2:3" x14ac:dyDescent="0.2">
      <c r="B703" t="s">
        <v>4871</v>
      </c>
      <c r="C703" t="s">
        <v>4093</v>
      </c>
    </row>
    <row r="704" spans="2:3" x14ac:dyDescent="0.2">
      <c r="B704" t="s">
        <v>4873</v>
      </c>
      <c r="C704" t="s">
        <v>4095</v>
      </c>
    </row>
    <row r="705" spans="2:3" x14ac:dyDescent="0.2">
      <c r="B705" t="s">
        <v>4875</v>
      </c>
      <c r="C705" t="s">
        <v>4097</v>
      </c>
    </row>
    <row r="706" spans="2:3" x14ac:dyDescent="0.2">
      <c r="B706" t="s">
        <v>4877</v>
      </c>
      <c r="C706" t="s">
        <v>4099</v>
      </c>
    </row>
    <row r="707" spans="2:3" x14ac:dyDescent="0.2">
      <c r="B707" t="s">
        <v>4879</v>
      </c>
      <c r="C707" t="s">
        <v>4101</v>
      </c>
    </row>
    <row r="708" spans="2:3" x14ac:dyDescent="0.2">
      <c r="B708" t="s">
        <v>4881</v>
      </c>
      <c r="C708" t="s">
        <v>4103</v>
      </c>
    </row>
    <row r="709" spans="2:3" x14ac:dyDescent="0.2">
      <c r="B709" t="s">
        <v>4883</v>
      </c>
      <c r="C709" t="s">
        <v>4105</v>
      </c>
    </row>
    <row r="710" spans="2:3" x14ac:dyDescent="0.2">
      <c r="B710" t="s">
        <v>4885</v>
      </c>
      <c r="C710" t="s">
        <v>4107</v>
      </c>
    </row>
    <row r="711" spans="2:3" x14ac:dyDescent="0.2">
      <c r="B711" t="s">
        <v>4887</v>
      </c>
      <c r="C711" t="s">
        <v>4109</v>
      </c>
    </row>
    <row r="712" spans="2:3" x14ac:dyDescent="0.2">
      <c r="B712" t="s">
        <v>4889</v>
      </c>
      <c r="C712" t="s">
        <v>4111</v>
      </c>
    </row>
    <row r="713" spans="2:3" x14ac:dyDescent="0.2">
      <c r="B713" t="s">
        <v>4891</v>
      </c>
      <c r="C713" t="s">
        <v>4113</v>
      </c>
    </row>
    <row r="714" spans="2:3" x14ac:dyDescent="0.2">
      <c r="B714" t="s">
        <v>4893</v>
      </c>
      <c r="C714" t="s">
        <v>4115</v>
      </c>
    </row>
    <row r="715" spans="2:3" x14ac:dyDescent="0.2">
      <c r="B715" t="s">
        <v>4895</v>
      </c>
      <c r="C715" t="s">
        <v>4117</v>
      </c>
    </row>
    <row r="716" spans="2:3" x14ac:dyDescent="0.2">
      <c r="B716" t="s">
        <v>4897</v>
      </c>
      <c r="C716" t="s">
        <v>4119</v>
      </c>
    </row>
    <row r="717" spans="2:3" x14ac:dyDescent="0.2">
      <c r="B717" t="s">
        <v>4899</v>
      </c>
      <c r="C717" t="s">
        <v>4121</v>
      </c>
    </row>
    <row r="718" spans="2:3" x14ac:dyDescent="0.2">
      <c r="B718" t="s">
        <v>4901</v>
      </c>
      <c r="C718" t="s">
        <v>4123</v>
      </c>
    </row>
    <row r="719" spans="2:3" x14ac:dyDescent="0.2">
      <c r="B719" t="s">
        <v>4903</v>
      </c>
      <c r="C719" t="s">
        <v>4125</v>
      </c>
    </row>
    <row r="720" spans="2:3" x14ac:dyDescent="0.2">
      <c r="B720" t="s">
        <v>4905</v>
      </c>
      <c r="C720" t="s">
        <v>4127</v>
      </c>
    </row>
    <row r="721" spans="2:3" x14ac:dyDescent="0.2">
      <c r="B721" t="s">
        <v>4907</v>
      </c>
      <c r="C721" t="s">
        <v>4129</v>
      </c>
    </row>
    <row r="722" spans="2:3" x14ac:dyDescent="0.2">
      <c r="B722" t="s">
        <v>4909</v>
      </c>
      <c r="C722" t="s">
        <v>4131</v>
      </c>
    </row>
    <row r="723" spans="2:3" x14ac:dyDescent="0.2">
      <c r="B723" t="s">
        <v>4911</v>
      </c>
      <c r="C723" t="s">
        <v>4133</v>
      </c>
    </row>
    <row r="724" spans="2:3" x14ac:dyDescent="0.2">
      <c r="B724" t="s">
        <v>4913</v>
      </c>
      <c r="C724" t="s">
        <v>4135</v>
      </c>
    </row>
    <row r="725" spans="2:3" x14ac:dyDescent="0.2">
      <c r="B725" t="s">
        <v>4915</v>
      </c>
      <c r="C725" t="s">
        <v>4137</v>
      </c>
    </row>
    <row r="726" spans="2:3" x14ac:dyDescent="0.2">
      <c r="B726" t="s">
        <v>4917</v>
      </c>
      <c r="C726" t="s">
        <v>4139</v>
      </c>
    </row>
    <row r="727" spans="2:3" x14ac:dyDescent="0.2">
      <c r="B727" t="s">
        <v>4919</v>
      </c>
      <c r="C727" t="s">
        <v>4141</v>
      </c>
    </row>
    <row r="728" spans="2:3" x14ac:dyDescent="0.2">
      <c r="B728" t="s">
        <v>4921</v>
      </c>
      <c r="C728" t="s">
        <v>4143</v>
      </c>
    </row>
    <row r="729" spans="2:3" x14ac:dyDescent="0.2">
      <c r="B729" t="s">
        <v>4923</v>
      </c>
      <c r="C729" t="s">
        <v>4145</v>
      </c>
    </row>
    <row r="730" spans="2:3" x14ac:dyDescent="0.2">
      <c r="B730" t="s">
        <v>4925</v>
      </c>
      <c r="C730" t="s">
        <v>4147</v>
      </c>
    </row>
    <row r="731" spans="2:3" x14ac:dyDescent="0.2">
      <c r="B731" t="s">
        <v>4927</v>
      </c>
      <c r="C731" t="s">
        <v>4149</v>
      </c>
    </row>
    <row r="732" spans="2:3" x14ac:dyDescent="0.2">
      <c r="B732" t="s">
        <v>4929</v>
      </c>
      <c r="C732" t="s">
        <v>4151</v>
      </c>
    </row>
    <row r="733" spans="2:3" x14ac:dyDescent="0.2">
      <c r="B733" t="s">
        <v>4931</v>
      </c>
      <c r="C733" t="s">
        <v>4153</v>
      </c>
    </row>
    <row r="734" spans="2:3" x14ac:dyDescent="0.2">
      <c r="B734" t="s">
        <v>4933</v>
      </c>
      <c r="C734" t="s">
        <v>4155</v>
      </c>
    </row>
    <row r="735" spans="2:3" x14ac:dyDescent="0.2">
      <c r="B735" t="s">
        <v>4935</v>
      </c>
      <c r="C735" t="s">
        <v>4157</v>
      </c>
    </row>
    <row r="736" spans="2:3" x14ac:dyDescent="0.2">
      <c r="B736" t="s">
        <v>4937</v>
      </c>
      <c r="C736" t="s">
        <v>4159</v>
      </c>
    </row>
    <row r="737" spans="2:3" x14ac:dyDescent="0.2">
      <c r="B737" t="s">
        <v>4939</v>
      </c>
      <c r="C737" t="s">
        <v>4161</v>
      </c>
    </row>
    <row r="738" spans="2:3" x14ac:dyDescent="0.2">
      <c r="B738" t="s">
        <v>4941</v>
      </c>
      <c r="C738" t="s">
        <v>4163</v>
      </c>
    </row>
    <row r="739" spans="2:3" x14ac:dyDescent="0.2">
      <c r="B739" t="s">
        <v>4943</v>
      </c>
      <c r="C739" t="s">
        <v>4165</v>
      </c>
    </row>
    <row r="740" spans="2:3" x14ac:dyDescent="0.2">
      <c r="B740" t="s">
        <v>4945</v>
      </c>
      <c r="C740" t="s">
        <v>4167</v>
      </c>
    </row>
    <row r="741" spans="2:3" x14ac:dyDescent="0.2">
      <c r="B741" t="s">
        <v>4947</v>
      </c>
      <c r="C741" t="s">
        <v>4169</v>
      </c>
    </row>
    <row r="742" spans="2:3" x14ac:dyDescent="0.2">
      <c r="B742" t="s">
        <v>4949</v>
      </c>
      <c r="C742" t="s">
        <v>4171</v>
      </c>
    </row>
    <row r="743" spans="2:3" x14ac:dyDescent="0.2">
      <c r="B743" t="s">
        <v>4951</v>
      </c>
      <c r="C743" t="s">
        <v>4173</v>
      </c>
    </row>
    <row r="744" spans="2:3" x14ac:dyDescent="0.2">
      <c r="B744" t="s">
        <v>4953</v>
      </c>
      <c r="C744" t="s">
        <v>4175</v>
      </c>
    </row>
    <row r="745" spans="2:3" x14ac:dyDescent="0.2">
      <c r="B745" t="s">
        <v>4955</v>
      </c>
      <c r="C745" t="s">
        <v>4177</v>
      </c>
    </row>
    <row r="746" spans="2:3" x14ac:dyDescent="0.2">
      <c r="B746" t="s">
        <v>4957</v>
      </c>
      <c r="C746" t="s">
        <v>4179</v>
      </c>
    </row>
    <row r="747" spans="2:3" x14ac:dyDescent="0.2">
      <c r="B747" t="s">
        <v>4959</v>
      </c>
      <c r="C747" t="s">
        <v>4181</v>
      </c>
    </row>
    <row r="748" spans="2:3" x14ac:dyDescent="0.2">
      <c r="B748" t="s">
        <v>4961</v>
      </c>
      <c r="C748" t="s">
        <v>4183</v>
      </c>
    </row>
    <row r="749" spans="2:3" x14ac:dyDescent="0.2">
      <c r="B749" t="s">
        <v>4963</v>
      </c>
      <c r="C749" t="s">
        <v>4185</v>
      </c>
    </row>
    <row r="750" spans="2:3" x14ac:dyDescent="0.2">
      <c r="B750" t="s">
        <v>4965</v>
      </c>
      <c r="C750" t="s">
        <v>4187</v>
      </c>
    </row>
    <row r="751" spans="2:3" x14ac:dyDescent="0.2">
      <c r="B751" t="s">
        <v>4967</v>
      </c>
      <c r="C751" t="s">
        <v>4189</v>
      </c>
    </row>
    <row r="752" spans="2:3" x14ac:dyDescent="0.2">
      <c r="B752" t="s">
        <v>4969</v>
      </c>
      <c r="C752" t="s">
        <v>4191</v>
      </c>
    </row>
    <row r="753" spans="2:3" x14ac:dyDescent="0.2">
      <c r="B753" t="s">
        <v>4971</v>
      </c>
      <c r="C753" t="s">
        <v>4193</v>
      </c>
    </row>
    <row r="754" spans="2:3" x14ac:dyDescent="0.2">
      <c r="B754" t="s">
        <v>4973</v>
      </c>
      <c r="C754" t="s">
        <v>4195</v>
      </c>
    </row>
    <row r="755" spans="2:3" x14ac:dyDescent="0.2">
      <c r="B755" t="s">
        <v>4975</v>
      </c>
      <c r="C755" t="s">
        <v>4197</v>
      </c>
    </row>
    <row r="756" spans="2:3" x14ac:dyDescent="0.2">
      <c r="B756" t="s">
        <v>4977</v>
      </c>
      <c r="C756" t="s">
        <v>543</v>
      </c>
    </row>
    <row r="757" spans="2:3" x14ac:dyDescent="0.2">
      <c r="B757" t="s">
        <v>4979</v>
      </c>
      <c r="C757" t="s">
        <v>4200</v>
      </c>
    </row>
    <row r="758" spans="2:3" x14ac:dyDescent="0.2">
      <c r="B758" t="s">
        <v>4981</v>
      </c>
      <c r="C758" t="s">
        <v>4202</v>
      </c>
    </row>
    <row r="759" spans="2:3" x14ac:dyDescent="0.2">
      <c r="B759" t="s">
        <v>4983</v>
      </c>
      <c r="C759" t="s">
        <v>4204</v>
      </c>
    </row>
    <row r="760" spans="2:3" x14ac:dyDescent="0.2">
      <c r="B760" t="s">
        <v>4985</v>
      </c>
      <c r="C760" t="s">
        <v>4206</v>
      </c>
    </row>
    <row r="761" spans="2:3" x14ac:dyDescent="0.2">
      <c r="B761" t="s">
        <v>4987</v>
      </c>
      <c r="C761" t="s">
        <v>4208</v>
      </c>
    </row>
    <row r="762" spans="2:3" x14ac:dyDescent="0.2">
      <c r="B762" t="s">
        <v>4989</v>
      </c>
      <c r="C762" t="s">
        <v>4210</v>
      </c>
    </row>
    <row r="763" spans="2:3" x14ac:dyDescent="0.2">
      <c r="B763" t="s">
        <v>4991</v>
      </c>
      <c r="C763" t="s">
        <v>4212</v>
      </c>
    </row>
    <row r="764" spans="2:3" x14ac:dyDescent="0.2">
      <c r="B764" t="s">
        <v>4993</v>
      </c>
      <c r="C764" t="s">
        <v>4214</v>
      </c>
    </row>
    <row r="765" spans="2:3" x14ac:dyDescent="0.2">
      <c r="B765" t="s">
        <v>4995</v>
      </c>
      <c r="C765" t="s">
        <v>4216</v>
      </c>
    </row>
    <row r="766" spans="2:3" x14ac:dyDescent="0.2">
      <c r="B766" t="s">
        <v>4997</v>
      </c>
      <c r="C766" t="s">
        <v>4218</v>
      </c>
    </row>
    <row r="767" spans="2:3" x14ac:dyDescent="0.2">
      <c r="B767" t="s">
        <v>4999</v>
      </c>
      <c r="C767" t="s">
        <v>4220</v>
      </c>
    </row>
    <row r="768" spans="2:3" x14ac:dyDescent="0.2">
      <c r="B768" t="s">
        <v>5001</v>
      </c>
      <c r="C768" t="s">
        <v>4222</v>
      </c>
    </row>
    <row r="769" spans="2:3" x14ac:dyDescent="0.2">
      <c r="B769" t="s">
        <v>5003</v>
      </c>
      <c r="C769" t="s">
        <v>4224</v>
      </c>
    </row>
    <row r="770" spans="2:3" x14ac:dyDescent="0.2">
      <c r="B770" t="s">
        <v>5005</v>
      </c>
      <c r="C770" t="s">
        <v>4226</v>
      </c>
    </row>
    <row r="771" spans="2:3" x14ac:dyDescent="0.2">
      <c r="B771" t="s">
        <v>5007</v>
      </c>
      <c r="C771" t="s">
        <v>4228</v>
      </c>
    </row>
    <row r="772" spans="2:3" x14ac:dyDescent="0.2">
      <c r="B772" t="s">
        <v>5009</v>
      </c>
      <c r="C772" t="s">
        <v>4230</v>
      </c>
    </row>
    <row r="773" spans="2:3" x14ac:dyDescent="0.2">
      <c r="B773" t="s">
        <v>5011</v>
      </c>
      <c r="C773" t="s">
        <v>4232</v>
      </c>
    </row>
    <row r="774" spans="2:3" x14ac:dyDescent="0.2">
      <c r="B774" t="s">
        <v>5013</v>
      </c>
      <c r="C774" t="s">
        <v>4234</v>
      </c>
    </row>
    <row r="775" spans="2:3" x14ac:dyDescent="0.2">
      <c r="B775" t="s">
        <v>5015</v>
      </c>
      <c r="C775" t="s">
        <v>4236</v>
      </c>
    </row>
    <row r="776" spans="2:3" x14ac:dyDescent="0.2">
      <c r="B776" t="s">
        <v>5017</v>
      </c>
      <c r="C776" t="s">
        <v>4238</v>
      </c>
    </row>
    <row r="777" spans="2:3" x14ac:dyDescent="0.2">
      <c r="B777" t="s">
        <v>5019</v>
      </c>
      <c r="C777" t="s">
        <v>4240</v>
      </c>
    </row>
    <row r="778" spans="2:3" x14ac:dyDescent="0.2">
      <c r="B778" t="s">
        <v>5021</v>
      </c>
      <c r="C778" t="s">
        <v>4242</v>
      </c>
    </row>
    <row r="779" spans="2:3" x14ac:dyDescent="0.2">
      <c r="B779" t="s">
        <v>5023</v>
      </c>
      <c r="C779" t="s">
        <v>4244</v>
      </c>
    </row>
    <row r="780" spans="2:3" x14ac:dyDescent="0.2">
      <c r="B780" t="s">
        <v>5025</v>
      </c>
      <c r="C780" t="s">
        <v>4246</v>
      </c>
    </row>
    <row r="781" spans="2:3" x14ac:dyDescent="0.2">
      <c r="B781" t="s">
        <v>5027</v>
      </c>
      <c r="C781" t="s">
        <v>4248</v>
      </c>
    </row>
    <row r="782" spans="2:3" x14ac:dyDescent="0.2">
      <c r="C782" s="784" t="s">
        <v>5340</v>
      </c>
    </row>
  </sheetData>
  <sortState xmlns:xlrd2="http://schemas.microsoft.com/office/spreadsheetml/2017/richdata2" ref="B2:B799">
    <sortCondition ref="B1"/>
  </sortState>
  <phoneticPr fontId="15" type="noConversion"/>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9"/>
  <dimension ref="B2:K27"/>
  <sheetViews>
    <sheetView zoomScale="92"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0.7109375" customWidth="1"/>
    <col min="8" max="8" width="9.7109375" customWidth="1"/>
    <col min="9" max="11" width="17.7109375" customWidth="1"/>
  </cols>
  <sheetData>
    <row r="2" spans="2:11" ht="21" thickBot="1" x14ac:dyDescent="0.35">
      <c r="B2" s="1700" t="s">
        <v>109</v>
      </c>
      <c r="C2" s="1700"/>
      <c r="D2" s="1700"/>
      <c r="E2" s="1700"/>
      <c r="F2" s="1700"/>
      <c r="G2" s="1700"/>
      <c r="H2" s="1700"/>
      <c r="I2" s="1700"/>
      <c r="J2" s="1700"/>
      <c r="K2" s="1700"/>
    </row>
    <row r="3" spans="2:11" ht="20.45" customHeight="1" thickTop="1" x14ac:dyDescent="0.25">
      <c r="H3" s="37"/>
      <c r="I3" s="1702" t="s">
        <v>27</v>
      </c>
      <c r="J3" s="1703"/>
      <c r="K3" s="34" t="s">
        <v>28</v>
      </c>
    </row>
    <row r="4" spans="2:11" ht="20.45" customHeight="1" x14ac:dyDescent="0.25">
      <c r="B4" s="1685" t="s">
        <v>29</v>
      </c>
      <c r="C4" s="1685"/>
      <c r="D4" s="1685"/>
      <c r="E4" s="1685"/>
      <c r="F4" s="1685"/>
      <c r="G4" s="1685"/>
      <c r="H4" s="374" t="s">
        <v>605</v>
      </c>
      <c r="I4" s="36" t="str">
        <f>'Key Inputs'!E34</f>
        <v>2021</v>
      </c>
      <c r="J4" s="36">
        <f>I4-1</f>
        <v>2020</v>
      </c>
      <c r="K4" s="35" t="str">
        <f>"Cash in "&amp;J4</f>
        <v>Cash in 2020</v>
      </c>
    </row>
    <row r="5" spans="2:11" ht="20.45" customHeight="1" x14ac:dyDescent="0.25">
      <c r="C5" s="54" t="s">
        <v>35</v>
      </c>
      <c r="D5" s="55" t="s">
        <v>123</v>
      </c>
      <c r="E5" s="55"/>
      <c r="F5" s="55"/>
      <c r="G5" s="56"/>
      <c r="H5" s="57"/>
      <c r="I5" s="58"/>
      <c r="J5" s="58"/>
      <c r="K5" s="59"/>
    </row>
    <row r="6" spans="2:11" ht="20.45" customHeight="1" x14ac:dyDescent="0.25">
      <c r="D6" s="51"/>
      <c r="E6" s="67" t="s">
        <v>375</v>
      </c>
      <c r="F6" s="52"/>
      <c r="G6" s="63"/>
      <c r="H6" s="64"/>
      <c r="I6" s="65"/>
      <c r="J6" s="65"/>
      <c r="K6" s="66"/>
    </row>
    <row r="7" spans="2:11" ht="20.45" customHeight="1" x14ac:dyDescent="0.25">
      <c r="C7" s="46"/>
      <c r="D7" s="47"/>
      <c r="E7" s="42" t="s">
        <v>673</v>
      </c>
      <c r="F7" s="48"/>
      <c r="G7" s="4"/>
      <c r="H7" s="174" t="s">
        <v>97</v>
      </c>
      <c r="I7" s="198" t="s">
        <v>98</v>
      </c>
      <c r="J7" s="198" t="s">
        <v>98</v>
      </c>
      <c r="K7" s="199" t="s">
        <v>98</v>
      </c>
    </row>
    <row r="8" spans="2:11" ht="20.45" customHeight="1" x14ac:dyDescent="0.2">
      <c r="C8" s="51"/>
      <c r="D8" s="52"/>
      <c r="E8" s="874"/>
      <c r="F8" s="874"/>
      <c r="G8" s="875"/>
      <c r="H8" s="859"/>
      <c r="I8" s="743"/>
      <c r="J8" s="743"/>
      <c r="K8" s="860"/>
    </row>
    <row r="9" spans="2:11" ht="21" customHeight="1" x14ac:dyDescent="0.2">
      <c r="C9" s="49"/>
      <c r="D9" s="49"/>
      <c r="E9" s="744"/>
      <c r="F9" s="744"/>
      <c r="G9" s="875"/>
      <c r="H9" s="859"/>
      <c r="I9" s="743"/>
      <c r="J9" s="743"/>
      <c r="K9" s="860"/>
    </row>
    <row r="10" spans="2:11" ht="21" customHeight="1" x14ac:dyDescent="0.2">
      <c r="C10" s="49"/>
      <c r="D10" s="49"/>
      <c r="E10" s="744"/>
      <c r="F10" s="744"/>
      <c r="G10" s="875"/>
      <c r="H10" s="859"/>
      <c r="I10" s="743"/>
      <c r="J10" s="743"/>
      <c r="K10" s="860"/>
    </row>
    <row r="11" spans="2:11" ht="21" customHeight="1" x14ac:dyDescent="0.2">
      <c r="C11" s="49"/>
      <c r="D11" s="49"/>
      <c r="E11" s="744"/>
      <c r="F11" s="744"/>
      <c r="G11" s="875"/>
      <c r="H11" s="859"/>
      <c r="I11" s="743"/>
      <c r="J11" s="743"/>
      <c r="K11" s="860"/>
    </row>
    <row r="12" spans="2:11" ht="21" customHeight="1" x14ac:dyDescent="0.2">
      <c r="C12" s="49"/>
      <c r="D12" s="49"/>
      <c r="E12" s="744"/>
      <c r="F12" s="744"/>
      <c r="G12" s="875"/>
      <c r="H12" s="859"/>
      <c r="I12" s="743"/>
      <c r="J12" s="743"/>
      <c r="K12" s="860"/>
    </row>
    <row r="13" spans="2:11" ht="21" customHeight="1" x14ac:dyDescent="0.2">
      <c r="C13" s="49"/>
      <c r="D13" s="49"/>
      <c r="E13" s="744"/>
      <c r="F13" s="744"/>
      <c r="G13" s="875"/>
      <c r="H13" s="859"/>
      <c r="I13" s="743"/>
      <c r="J13" s="743"/>
      <c r="K13" s="860"/>
    </row>
    <row r="14" spans="2:11" ht="21" customHeight="1" x14ac:dyDescent="0.2">
      <c r="C14" s="49"/>
      <c r="D14" s="49"/>
      <c r="E14" s="744"/>
      <c r="F14" s="744"/>
      <c r="G14" s="875"/>
      <c r="H14" s="859"/>
      <c r="I14" s="743"/>
      <c r="J14" s="743"/>
      <c r="K14" s="860"/>
    </row>
    <row r="15" spans="2:11" ht="21" customHeight="1" x14ac:dyDescent="0.2">
      <c r="C15" s="49"/>
      <c r="D15" s="49"/>
      <c r="E15" s="744"/>
      <c r="F15" s="744"/>
      <c r="G15" s="875"/>
      <c r="H15" s="859"/>
      <c r="I15" s="743"/>
      <c r="J15" s="743"/>
      <c r="K15" s="860"/>
    </row>
    <row r="16" spans="2:11" ht="21" customHeight="1" x14ac:dyDescent="0.2">
      <c r="C16" s="49"/>
      <c r="D16" s="49"/>
      <c r="E16" s="744"/>
      <c r="F16" s="744"/>
      <c r="G16" s="875"/>
      <c r="H16" s="859"/>
      <c r="I16" s="743"/>
      <c r="J16" s="743"/>
      <c r="K16" s="860"/>
    </row>
    <row r="17" spans="2:11" ht="21" customHeight="1" x14ac:dyDescent="0.2">
      <c r="C17" s="49"/>
      <c r="D17" s="49"/>
      <c r="E17" s="744"/>
      <c r="F17" s="744"/>
      <c r="G17" s="875"/>
      <c r="H17" s="859"/>
      <c r="I17" s="743"/>
      <c r="J17" s="743"/>
      <c r="K17" s="860"/>
    </row>
    <row r="18" spans="2:11" ht="21" customHeight="1" x14ac:dyDescent="0.2">
      <c r="C18" s="49"/>
      <c r="D18" s="49"/>
      <c r="E18" s="744"/>
      <c r="F18" s="744"/>
      <c r="G18" s="875"/>
      <c r="H18" s="859"/>
      <c r="I18" s="743"/>
      <c r="J18" s="743"/>
      <c r="K18" s="860"/>
    </row>
    <row r="19" spans="2:11" ht="21" customHeight="1" x14ac:dyDescent="0.2">
      <c r="C19" s="49"/>
      <c r="D19" s="49"/>
      <c r="E19" s="744"/>
      <c r="F19" s="744"/>
      <c r="G19" s="875"/>
      <c r="H19" s="859"/>
      <c r="I19" s="743"/>
      <c r="J19" s="743"/>
      <c r="K19" s="860"/>
    </row>
    <row r="20" spans="2:11" ht="21" customHeight="1" x14ac:dyDescent="0.2">
      <c r="C20" s="49"/>
      <c r="D20" s="49"/>
      <c r="E20" s="744"/>
      <c r="F20" s="744"/>
      <c r="G20" s="875"/>
      <c r="H20" s="859"/>
      <c r="I20" s="743"/>
      <c r="J20" s="743"/>
      <c r="K20" s="860"/>
    </row>
    <row r="21" spans="2:11" ht="21" customHeight="1" x14ac:dyDescent="0.2">
      <c r="C21" s="49"/>
      <c r="D21" s="49"/>
      <c r="E21" s="744"/>
      <c r="F21" s="744"/>
      <c r="G21" s="875"/>
      <c r="H21" s="859"/>
      <c r="I21" s="743"/>
      <c r="J21" s="743"/>
      <c r="K21" s="860"/>
    </row>
    <row r="22" spans="2:11" ht="21" customHeight="1" x14ac:dyDescent="0.2">
      <c r="C22" s="49"/>
      <c r="D22" s="49"/>
      <c r="E22" s="744"/>
      <c r="F22" s="744"/>
      <c r="G22" s="875"/>
      <c r="H22" s="859"/>
      <c r="I22" s="743"/>
      <c r="J22" s="743"/>
      <c r="K22" s="860"/>
    </row>
    <row r="23" spans="2:11" ht="21" customHeight="1" x14ac:dyDescent="0.2">
      <c r="C23" s="49"/>
      <c r="D23" s="49"/>
      <c r="E23" s="876"/>
      <c r="F23" s="876"/>
      <c r="G23" s="875"/>
      <c r="H23" s="859"/>
      <c r="I23" s="743"/>
      <c r="J23" s="743"/>
      <c r="K23" s="860"/>
    </row>
    <row r="24" spans="2:11" ht="21" customHeight="1" x14ac:dyDescent="0.2">
      <c r="E24" s="875"/>
      <c r="F24" s="875"/>
      <c r="G24" s="875"/>
      <c r="H24" s="859"/>
      <c r="I24" s="743"/>
      <c r="J24" s="743"/>
      <c r="K24" s="860"/>
    </row>
    <row r="25" spans="2:11" ht="20.45" customHeight="1" thickBot="1" x14ac:dyDescent="0.3">
      <c r="E25" s="39" t="s">
        <v>616</v>
      </c>
      <c r="F25" s="5"/>
      <c r="G25" s="5"/>
      <c r="H25" s="173" t="s">
        <v>97</v>
      </c>
      <c r="I25" s="204" t="s">
        <v>98</v>
      </c>
      <c r="J25" s="204" t="s">
        <v>98</v>
      </c>
      <c r="K25" s="205" t="s">
        <v>98</v>
      </c>
    </row>
    <row r="26" spans="2:11" ht="20.45" customHeight="1" thickBot="1" x14ac:dyDescent="0.3">
      <c r="B26" s="2"/>
      <c r="C26" s="2"/>
      <c r="D26" s="2"/>
      <c r="E26" s="53"/>
      <c r="F26" s="53" t="s">
        <v>126</v>
      </c>
      <c r="G26" s="2"/>
      <c r="H26" s="176" t="s">
        <v>376</v>
      </c>
      <c r="I26" s="31">
        <f>SUM('10:10m'!I8:I26)+SUM('10 TOTAL'!I8:I24)</f>
        <v>0</v>
      </c>
      <c r="J26" s="31">
        <f>SUM('10:10m'!J8:J26)+SUM('10 TOTAL'!J8:J24)</f>
        <v>0</v>
      </c>
      <c r="K26" s="31">
        <f>SUM('10:10m'!K8:K26)+SUM('10 TOTAL'!K8:K24)</f>
        <v>0</v>
      </c>
    </row>
    <row r="27" spans="2:11" ht="16.5" thickTop="1" x14ac:dyDescent="0.25">
      <c r="B27" s="1701" t="s">
        <v>3267</v>
      </c>
      <c r="C27" s="1701"/>
      <c r="D27" s="1701"/>
      <c r="E27" s="1701"/>
      <c r="F27" s="1701"/>
      <c r="G27" s="1701"/>
      <c r="H27" s="1701"/>
      <c r="I27" s="1701"/>
      <c r="J27" s="1701"/>
      <c r="K27" s="1701"/>
    </row>
  </sheetData>
  <sheetProtection password="CAF9"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B00-000000000000}">
          <x14:formula1>
            <xm:f>'Revenue Codes'!$F$2:$F$47</xm:f>
          </x14:formula1>
          <xm:sqref>H8:H24</xm:sqref>
        </x14:dataValidation>
      </x14:dataValidations>
    </ext>
  </extLs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0"/>
  <dimension ref="B2:U44"/>
  <sheetViews>
    <sheetView topLeftCell="C1" zoomScaleNormal="100" workbookViewId="0">
      <selection activeCell="F25" sqref="F25"/>
    </sheetView>
  </sheetViews>
  <sheetFormatPr defaultRowHeight="12.75" x14ac:dyDescent="0.2"/>
  <cols>
    <col min="1" max="3" width="3.7109375" customWidth="1"/>
    <col min="4" max="4" width="4.7109375" customWidth="1"/>
    <col min="5" max="5" width="5.7109375" customWidth="1"/>
    <col min="6" max="6" width="16.7109375" customWidth="1"/>
    <col min="7" max="7" width="72.7109375" customWidth="1"/>
    <col min="8" max="8" width="9.7109375" customWidth="1"/>
    <col min="9" max="11" width="17.7109375" customWidth="1"/>
    <col min="14" max="14" width="13.140625" bestFit="1" customWidth="1"/>
  </cols>
  <sheetData>
    <row r="2" spans="2:21" ht="21" thickBot="1" x14ac:dyDescent="0.35">
      <c r="B2" s="1700" t="s">
        <v>109</v>
      </c>
      <c r="C2" s="1700"/>
      <c r="D2" s="1700"/>
      <c r="E2" s="1700"/>
      <c r="F2" s="1700"/>
      <c r="G2" s="1700"/>
      <c r="H2" s="1700"/>
      <c r="I2" s="1700"/>
      <c r="J2" s="1700"/>
      <c r="K2" s="1700"/>
    </row>
    <row r="3" spans="2:21" ht="20.45" customHeight="1" thickTop="1" x14ac:dyDescent="0.25">
      <c r="H3" s="37"/>
      <c r="I3" s="1702" t="s">
        <v>27</v>
      </c>
      <c r="J3" s="1703"/>
      <c r="K3" s="34" t="s">
        <v>28</v>
      </c>
      <c r="O3" s="885" t="s">
        <v>3377</v>
      </c>
      <c r="P3" s="823"/>
      <c r="Q3" s="823"/>
      <c r="R3" s="823"/>
      <c r="S3" s="823"/>
      <c r="T3" s="823"/>
      <c r="U3" s="824"/>
    </row>
    <row r="4" spans="2:21" ht="20.45" customHeight="1" x14ac:dyDescent="0.25">
      <c r="B4" s="1685" t="s">
        <v>29</v>
      </c>
      <c r="C4" s="1685"/>
      <c r="D4" s="1685"/>
      <c r="E4" s="1685"/>
      <c r="F4" s="1685"/>
      <c r="G4" s="1685"/>
      <c r="H4" s="374" t="s">
        <v>605</v>
      </c>
      <c r="I4" s="36" t="str">
        <f>'Key Inputs'!E34</f>
        <v>2021</v>
      </c>
      <c r="J4" s="36">
        <f>I4-1</f>
        <v>2020</v>
      </c>
      <c r="K4" s="35" t="str">
        <f>"Cash in "&amp;J4</f>
        <v>Cash in 2020</v>
      </c>
      <c r="O4" s="825"/>
      <c r="P4" s="791"/>
      <c r="Q4" s="791"/>
      <c r="R4" s="791"/>
      <c r="S4" s="791"/>
      <c r="T4" s="791"/>
      <c r="U4" s="796"/>
    </row>
    <row r="5" spans="2:21" ht="12" customHeight="1" x14ac:dyDescent="0.25">
      <c r="C5" s="54"/>
      <c r="D5" s="55"/>
      <c r="E5" s="55"/>
      <c r="F5" s="55"/>
      <c r="G5" s="56"/>
      <c r="H5" s="57"/>
      <c r="I5" s="58"/>
      <c r="J5" s="58"/>
      <c r="K5" s="59"/>
      <c r="O5" s="825"/>
      <c r="P5" s="791"/>
      <c r="Q5" s="791"/>
      <c r="R5" s="791"/>
      <c r="S5" s="791"/>
      <c r="T5" s="791"/>
      <c r="U5" s="796"/>
    </row>
    <row r="6" spans="2:21" ht="18" customHeight="1" x14ac:dyDescent="0.25">
      <c r="D6" s="51"/>
      <c r="E6" s="71" t="s">
        <v>129</v>
      </c>
      <c r="F6" s="52"/>
      <c r="G6" s="63"/>
      <c r="H6" s="64"/>
      <c r="I6" s="65"/>
      <c r="J6" s="65"/>
      <c r="K6" s="66"/>
      <c r="O6" s="825"/>
      <c r="P6" s="791"/>
      <c r="Q6" s="791"/>
      <c r="R6" s="791"/>
      <c r="S6" s="791"/>
      <c r="T6" s="791"/>
      <c r="U6" s="796"/>
    </row>
    <row r="7" spans="2:21" ht="12" customHeight="1" x14ac:dyDescent="0.25">
      <c r="C7" s="46"/>
      <c r="D7" s="47"/>
      <c r="E7" s="42"/>
      <c r="F7" s="48"/>
      <c r="G7" s="4"/>
      <c r="H7" s="1197" t="s">
        <v>85</v>
      </c>
      <c r="I7" s="1198" t="s">
        <v>98</v>
      </c>
      <c r="J7" s="1198" t="s">
        <v>98</v>
      </c>
      <c r="K7" s="1199" t="s">
        <v>98</v>
      </c>
      <c r="O7" s="825"/>
      <c r="P7" s="791"/>
      <c r="Q7" s="791"/>
      <c r="R7" s="791"/>
      <c r="S7" s="791"/>
      <c r="T7" s="791"/>
      <c r="U7" s="796"/>
    </row>
    <row r="8" spans="2:21" ht="21" customHeight="1" x14ac:dyDescent="0.25">
      <c r="C8" s="41" t="s">
        <v>30</v>
      </c>
      <c r="D8" s="92" t="s">
        <v>131</v>
      </c>
      <c r="E8" s="45"/>
      <c r="F8" s="45"/>
      <c r="G8" s="5"/>
      <c r="H8" s="173" t="s">
        <v>515</v>
      </c>
      <c r="I8" s="22">
        <f>+'4'!I5</f>
        <v>302200</v>
      </c>
      <c r="J8" s="22">
        <f>+'4'!J5</f>
        <v>302200</v>
      </c>
      <c r="K8" s="32">
        <f>+'4'!K5</f>
        <v>302200</v>
      </c>
      <c r="O8" s="825"/>
      <c r="P8" s="791"/>
      <c r="Q8" s="791"/>
      <c r="R8" s="791"/>
      <c r="S8" s="791"/>
      <c r="T8" s="791"/>
      <c r="U8" s="796"/>
    </row>
    <row r="9" spans="2:21" ht="21" customHeight="1" x14ac:dyDescent="0.25">
      <c r="C9" s="41" t="s">
        <v>32</v>
      </c>
      <c r="D9" s="92" t="s">
        <v>160</v>
      </c>
      <c r="E9" s="16"/>
      <c r="F9" s="16"/>
      <c r="G9" s="5"/>
      <c r="H9" s="173" t="s">
        <v>516</v>
      </c>
      <c r="I9" s="22">
        <f>+'4'!I6</f>
        <v>0</v>
      </c>
      <c r="J9" s="22">
        <f>+'4'!J6</f>
        <v>0</v>
      </c>
      <c r="K9" s="32">
        <f>+'4'!K6</f>
        <v>0</v>
      </c>
      <c r="O9" s="825"/>
      <c r="P9" s="791"/>
      <c r="Q9" s="791"/>
      <c r="R9" s="791"/>
      <c r="S9" s="791"/>
      <c r="T9" s="791"/>
      <c r="U9" s="796"/>
    </row>
    <row r="10" spans="2:21" ht="21" customHeight="1" x14ac:dyDescent="0.25">
      <c r="C10" s="41" t="s">
        <v>35</v>
      </c>
      <c r="D10" s="106" t="s">
        <v>130</v>
      </c>
      <c r="E10" s="16"/>
      <c r="F10" s="16"/>
      <c r="G10" s="5"/>
      <c r="H10" s="174" t="s">
        <v>85</v>
      </c>
      <c r="I10" s="1183" t="s">
        <v>98</v>
      </c>
      <c r="J10" s="1183" t="s">
        <v>98</v>
      </c>
      <c r="K10" s="1182" t="s">
        <v>98</v>
      </c>
      <c r="O10" s="825"/>
      <c r="P10" s="791"/>
      <c r="Q10" s="791"/>
      <c r="R10" s="791"/>
      <c r="S10" s="791"/>
      <c r="T10" s="791"/>
      <c r="U10" s="796"/>
    </row>
    <row r="11" spans="2:21" ht="21.95" customHeight="1" x14ac:dyDescent="0.2">
      <c r="C11" s="49"/>
      <c r="D11" s="49"/>
      <c r="E11" s="16"/>
      <c r="F11" s="16" t="s">
        <v>162</v>
      </c>
      <c r="G11" s="5" t="s">
        <v>163</v>
      </c>
      <c r="H11" s="173" t="s">
        <v>366</v>
      </c>
      <c r="I11" s="22">
        <f>+'4c'!I26</f>
        <v>13725</v>
      </c>
      <c r="J11" s="22">
        <f>+'4c'!J26</f>
        <v>13725</v>
      </c>
      <c r="K11" s="32">
        <f>+'4c'!K26</f>
        <v>29393.780000000002</v>
      </c>
      <c r="O11" s="825"/>
      <c r="P11" s="791"/>
      <c r="Q11" s="791"/>
      <c r="R11" s="791"/>
      <c r="S11" s="791"/>
      <c r="T11" s="791"/>
      <c r="U11" s="796"/>
    </row>
    <row r="12" spans="2:21" ht="21.95" customHeight="1" x14ac:dyDescent="0.2">
      <c r="C12" s="49"/>
      <c r="D12" s="49"/>
      <c r="E12" s="16"/>
      <c r="F12" s="16" t="s">
        <v>164</v>
      </c>
      <c r="G12" s="5" t="s">
        <v>165</v>
      </c>
      <c r="H12" s="173" t="s">
        <v>367</v>
      </c>
      <c r="I12" s="22">
        <f>+'5'!I26</f>
        <v>83457</v>
      </c>
      <c r="J12" s="22">
        <f>+'5'!J26</f>
        <v>83457</v>
      </c>
      <c r="K12" s="32">
        <f>+'5'!K26</f>
        <v>83457</v>
      </c>
      <c r="O12" s="825"/>
      <c r="P12" s="791"/>
      <c r="Q12" s="791"/>
      <c r="R12" s="791"/>
      <c r="S12" s="791"/>
      <c r="T12" s="791"/>
      <c r="U12" s="796"/>
    </row>
    <row r="13" spans="2:21" ht="21.95" customHeight="1" x14ac:dyDescent="0.2">
      <c r="C13" s="49"/>
      <c r="D13" s="49"/>
      <c r="E13" s="16"/>
      <c r="F13" s="16" t="s">
        <v>166</v>
      </c>
      <c r="G13" s="70" t="s">
        <v>167</v>
      </c>
      <c r="H13" s="173" t="s">
        <v>369</v>
      </c>
      <c r="I13" s="22">
        <f>+'6'!I28</f>
        <v>0</v>
      </c>
      <c r="J13" s="22">
        <f>+'6'!J28</f>
        <v>0</v>
      </c>
      <c r="K13" s="32">
        <f>+'6'!K28</f>
        <v>0</v>
      </c>
      <c r="O13" s="825"/>
      <c r="P13" s="791"/>
      <c r="Q13" s="791"/>
      <c r="R13" s="791"/>
      <c r="S13" s="791"/>
      <c r="T13" s="791"/>
      <c r="U13" s="796"/>
    </row>
    <row r="14" spans="2:21" ht="21.95" customHeight="1" x14ac:dyDescent="0.2">
      <c r="C14" s="49"/>
      <c r="D14" s="49"/>
      <c r="E14" s="16"/>
      <c r="F14" s="16" t="s">
        <v>168</v>
      </c>
      <c r="G14" s="421" t="s">
        <v>5231</v>
      </c>
      <c r="H14" s="173" t="s">
        <v>370</v>
      </c>
      <c r="I14" s="22">
        <f>+'7b'!I26</f>
        <v>0</v>
      </c>
      <c r="J14" s="22">
        <f>+'7b'!J26</f>
        <v>0</v>
      </c>
      <c r="K14" s="32">
        <f>+'7b'!K26</f>
        <v>0</v>
      </c>
      <c r="O14" s="825"/>
      <c r="P14" s="791"/>
      <c r="Q14" s="791"/>
      <c r="R14" s="791"/>
      <c r="S14" s="791"/>
      <c r="T14" s="791"/>
      <c r="U14" s="796"/>
    </row>
    <row r="15" spans="2:21" ht="21.95" customHeight="1" x14ac:dyDescent="0.2">
      <c r="C15" s="49"/>
      <c r="D15" s="49"/>
      <c r="E15" s="16"/>
      <c r="F15" s="16" t="s">
        <v>169</v>
      </c>
      <c r="G15" s="421" t="s">
        <v>170</v>
      </c>
      <c r="H15" s="173" t="s">
        <v>371</v>
      </c>
      <c r="I15" s="22">
        <f>+'8'!I26</f>
        <v>0</v>
      </c>
      <c r="J15" s="22">
        <f>+'8'!J26</f>
        <v>0</v>
      </c>
      <c r="K15" s="32">
        <f>+'8'!K26</f>
        <v>0</v>
      </c>
      <c r="O15" s="825"/>
      <c r="P15" s="791"/>
      <c r="Q15" s="791"/>
      <c r="R15" s="791"/>
      <c r="S15" s="791"/>
      <c r="T15" s="791"/>
      <c r="U15" s="796"/>
    </row>
    <row r="16" spans="2:21" ht="21.95" customHeight="1" x14ac:dyDescent="0.2">
      <c r="C16" s="49"/>
      <c r="D16" s="49"/>
      <c r="E16" s="16"/>
      <c r="F16" s="16" t="s">
        <v>171</v>
      </c>
      <c r="G16" s="421" t="s">
        <v>184</v>
      </c>
      <c r="H16" s="173" t="s">
        <v>374</v>
      </c>
      <c r="I16" s="22">
        <f>+'9 TOTAL'!I26</f>
        <v>5119.84</v>
      </c>
      <c r="J16" s="22">
        <f>+'9 TOTAL'!J26</f>
        <v>231669.84</v>
      </c>
      <c r="K16" s="32">
        <f>+'9 TOTAL'!K26</f>
        <v>5119.84</v>
      </c>
      <c r="O16" s="825"/>
      <c r="P16" s="791"/>
      <c r="Q16" s="791"/>
      <c r="R16" s="791"/>
      <c r="S16" s="791"/>
      <c r="T16" s="791"/>
      <c r="U16" s="796"/>
    </row>
    <row r="17" spans="2:21" ht="21.95" customHeight="1" thickBot="1" x14ac:dyDescent="0.25">
      <c r="C17" s="49"/>
      <c r="D17" s="49"/>
      <c r="E17" s="16"/>
      <c r="F17" s="16" t="s">
        <v>172</v>
      </c>
      <c r="G17" s="421" t="s">
        <v>185</v>
      </c>
      <c r="H17" s="173" t="s">
        <v>376</v>
      </c>
      <c r="I17" s="58">
        <f>+'10 TOTAL'!I26</f>
        <v>0</v>
      </c>
      <c r="J17" s="58">
        <f>+'10 TOTAL'!J26</f>
        <v>0</v>
      </c>
      <c r="K17" s="78">
        <f>+'10 TOTAL'!K26</f>
        <v>0</v>
      </c>
      <c r="O17" s="825"/>
      <c r="P17" s="791"/>
      <c r="Q17" s="791"/>
      <c r="R17" s="791"/>
      <c r="S17" s="791"/>
      <c r="T17" s="791"/>
      <c r="U17" s="796"/>
    </row>
    <row r="18" spans="2:21" ht="21" customHeight="1" thickTop="1" thickBot="1" x14ac:dyDescent="0.3">
      <c r="C18" s="49"/>
      <c r="D18" s="49"/>
      <c r="E18" s="43" t="s">
        <v>173</v>
      </c>
      <c r="F18" s="16"/>
      <c r="G18" s="5"/>
      <c r="H18" s="173" t="s">
        <v>61</v>
      </c>
      <c r="I18" s="72">
        <f>SUM(I11:I17)</f>
        <v>102301.84</v>
      </c>
      <c r="J18" s="72">
        <f>SUM(J11:J17)</f>
        <v>328851.83999999997</v>
      </c>
      <c r="K18" s="73">
        <f>SUM(K11:K17)</f>
        <v>117970.62</v>
      </c>
      <c r="N18" s="29"/>
      <c r="O18" s="825"/>
      <c r="P18" s="791"/>
      <c r="Q18" s="791"/>
      <c r="R18" s="791"/>
      <c r="S18" s="791"/>
      <c r="T18" s="791"/>
      <c r="U18" s="796"/>
    </row>
    <row r="19" spans="2:21" ht="21" customHeight="1" thickTop="1" thickBot="1" x14ac:dyDescent="0.3">
      <c r="C19" s="41" t="s">
        <v>174</v>
      </c>
      <c r="D19" s="43" t="s">
        <v>422</v>
      </c>
      <c r="E19" s="16"/>
      <c r="F19" s="16"/>
      <c r="G19" s="5"/>
      <c r="H19" s="173" t="s">
        <v>531</v>
      </c>
      <c r="I19" s="883">
        <v>90000</v>
      </c>
      <c r="J19" s="883">
        <v>90000</v>
      </c>
      <c r="K19" s="884">
        <v>127779.88</v>
      </c>
      <c r="N19" s="29"/>
      <c r="O19" s="825"/>
      <c r="P19" s="791"/>
      <c r="Q19" s="791"/>
      <c r="R19" s="791"/>
      <c r="S19" s="791"/>
      <c r="T19" s="791"/>
      <c r="U19" s="796"/>
    </row>
    <row r="20" spans="2:21" ht="21" customHeight="1" thickTop="1" x14ac:dyDescent="0.25">
      <c r="C20" s="41" t="s">
        <v>175</v>
      </c>
      <c r="D20" s="43" t="s">
        <v>176</v>
      </c>
      <c r="E20" s="16"/>
      <c r="F20" s="16"/>
      <c r="G20" s="5"/>
      <c r="H20" s="173" t="s">
        <v>84</v>
      </c>
      <c r="I20" s="30">
        <f>+I8+I9+I18+I19</f>
        <v>494501.83999999997</v>
      </c>
      <c r="J20" s="30">
        <f>+J8+J9+J18+J19</f>
        <v>721051.84</v>
      </c>
      <c r="K20" s="77">
        <f>+K8+K9+K18+K19</f>
        <v>547950.5</v>
      </c>
      <c r="O20" s="825"/>
      <c r="P20" s="791"/>
      <c r="Q20" s="791"/>
      <c r="R20" s="791"/>
      <c r="S20" s="791"/>
      <c r="T20" s="791"/>
      <c r="U20" s="796"/>
    </row>
    <row r="21" spans="2:21" ht="24" customHeight="1" x14ac:dyDescent="0.25">
      <c r="C21" s="41" t="s">
        <v>177</v>
      </c>
      <c r="D21" s="43" t="s">
        <v>674</v>
      </c>
      <c r="E21" s="50"/>
      <c r="F21" s="50"/>
      <c r="G21" s="5"/>
      <c r="H21" s="174" t="s">
        <v>85</v>
      </c>
      <c r="I21" s="1182" t="s">
        <v>98</v>
      </c>
      <c r="J21" s="1182" t="s">
        <v>98</v>
      </c>
      <c r="K21" s="1182" t="s">
        <v>98</v>
      </c>
      <c r="O21" s="825"/>
      <c r="P21" s="791"/>
      <c r="Q21" s="791"/>
      <c r="R21" s="791"/>
      <c r="S21" s="791"/>
      <c r="T21" s="791"/>
      <c r="U21" s="796"/>
    </row>
    <row r="22" spans="2:21" ht="24" customHeight="1" x14ac:dyDescent="0.2">
      <c r="C22" s="49"/>
      <c r="D22" s="74" t="s">
        <v>178</v>
      </c>
      <c r="E22" s="50" t="s">
        <v>180</v>
      </c>
      <c r="F22" s="50"/>
      <c r="G22" s="5"/>
      <c r="H22" s="173" t="s">
        <v>532</v>
      </c>
      <c r="I22" s="22">
        <f>+'Reserve &amp; Tax Calculation'!E50</f>
        <v>334252.65115825913</v>
      </c>
      <c r="J22" s="743">
        <v>329911.78999999998</v>
      </c>
      <c r="K22" s="1182" t="s">
        <v>98</v>
      </c>
      <c r="O22" s="825"/>
      <c r="P22" s="791"/>
      <c r="Q22" s="791"/>
      <c r="R22" s="791"/>
      <c r="S22" s="791"/>
      <c r="T22" s="791"/>
      <c r="U22" s="796"/>
    </row>
    <row r="23" spans="2:21" ht="24" customHeight="1" x14ac:dyDescent="0.2">
      <c r="D23" s="75" t="s">
        <v>179</v>
      </c>
      <c r="E23" s="5" t="s">
        <v>181</v>
      </c>
      <c r="F23" s="5"/>
      <c r="G23" s="5"/>
      <c r="H23" s="173" t="s">
        <v>533</v>
      </c>
      <c r="I23" s="58">
        <f>+'Reserve &amp; Tax Calculation'!E51</f>
        <v>0</v>
      </c>
      <c r="J23" s="865"/>
      <c r="K23" s="1181" t="s">
        <v>98</v>
      </c>
      <c r="O23" s="825"/>
      <c r="P23" s="791"/>
      <c r="Q23" s="791"/>
      <c r="R23" s="791"/>
      <c r="S23" s="791"/>
      <c r="T23" s="791"/>
      <c r="U23" s="796"/>
    </row>
    <row r="24" spans="2:21" ht="24" customHeight="1" thickBot="1" x14ac:dyDescent="0.25">
      <c r="D24" s="75" t="s">
        <v>3218</v>
      </c>
      <c r="E24" s="5" t="s">
        <v>3219</v>
      </c>
      <c r="F24" s="5"/>
      <c r="G24" s="5"/>
      <c r="H24" s="173" t="s">
        <v>3220</v>
      </c>
      <c r="I24" s="22">
        <f>+'Reserve &amp; Tax Calculation'!E52</f>
        <v>0</v>
      </c>
      <c r="J24" s="865"/>
      <c r="K24" s="1407" t="s">
        <v>98</v>
      </c>
      <c r="O24" s="825"/>
      <c r="P24" s="791"/>
      <c r="Q24" s="791"/>
      <c r="R24" s="791"/>
      <c r="S24" s="791"/>
      <c r="T24" s="791"/>
      <c r="U24" s="796"/>
    </row>
    <row r="25" spans="2:21" ht="24" customHeight="1" thickTop="1" thickBot="1" x14ac:dyDescent="0.3">
      <c r="E25" s="43" t="s">
        <v>675</v>
      </c>
      <c r="F25" s="5"/>
      <c r="G25" s="5"/>
      <c r="H25" s="173" t="s">
        <v>86</v>
      </c>
      <c r="I25" s="72">
        <f>+I22+I23+I24</f>
        <v>334252.65115825913</v>
      </c>
      <c r="J25" s="72">
        <f>+J22+J23+J24</f>
        <v>329911.78999999998</v>
      </c>
      <c r="K25" s="884">
        <v>458213.92</v>
      </c>
      <c r="N25" s="29"/>
      <c r="O25" s="825"/>
      <c r="P25" s="791"/>
      <c r="Q25" s="791"/>
      <c r="R25" s="791"/>
      <c r="S25" s="791"/>
      <c r="T25" s="791"/>
      <c r="U25" s="796"/>
    </row>
    <row r="26" spans="2:21" ht="24" customHeight="1" thickTop="1" thickBot="1" x14ac:dyDescent="0.3">
      <c r="B26" s="2"/>
      <c r="C26" s="76" t="s">
        <v>182</v>
      </c>
      <c r="D26" s="3" t="s">
        <v>183</v>
      </c>
      <c r="E26" s="68"/>
      <c r="F26" s="2"/>
      <c r="G26" s="2"/>
      <c r="H26" s="176" t="s">
        <v>62</v>
      </c>
      <c r="I26" s="31">
        <f>+I25+I20</f>
        <v>828754.4911582591</v>
      </c>
      <c r="J26" s="31">
        <f>+J25+J20</f>
        <v>1050963.6299999999</v>
      </c>
      <c r="K26" s="33">
        <f>+K25+K20</f>
        <v>1006164.4199999999</v>
      </c>
      <c r="O26" s="826"/>
      <c r="P26" s="827"/>
      <c r="Q26" s="827"/>
      <c r="R26" s="827"/>
      <c r="S26" s="827"/>
      <c r="T26" s="827"/>
      <c r="U26" s="828"/>
    </row>
    <row r="27" spans="2:21" ht="16.5" thickTop="1" x14ac:dyDescent="0.25">
      <c r="B27" s="1701" t="s">
        <v>128</v>
      </c>
      <c r="C27" s="1701"/>
      <c r="D27" s="1701"/>
      <c r="E27" s="1701"/>
      <c r="F27" s="1701"/>
      <c r="G27" s="1701"/>
      <c r="H27" s="1701"/>
      <c r="I27" s="1701"/>
      <c r="J27" s="1701"/>
      <c r="K27" s="1701"/>
    </row>
    <row r="28" spans="2:21" x14ac:dyDescent="0.2">
      <c r="K28" s="29"/>
    </row>
    <row r="29" spans="2:21" x14ac:dyDescent="0.2">
      <c r="I29" s="29">
        <f>+'29'!J25</f>
        <v>828754.4911582591</v>
      </c>
      <c r="J29" s="29">
        <f>+'29'!K25</f>
        <v>1050963.6299999999</v>
      </c>
      <c r="K29" s="1019" t="str">
        <f>PROPER("Do not remove.")</f>
        <v>Do Not Remove.</v>
      </c>
    </row>
    <row r="31" spans="2:21" x14ac:dyDescent="0.2">
      <c r="I31" s="29">
        <f>+I26-I29</f>
        <v>0</v>
      </c>
      <c r="J31" s="29">
        <f>+J26-J29</f>
        <v>0</v>
      </c>
      <c r="K31" s="29"/>
    </row>
    <row r="32" spans="2:21" x14ac:dyDescent="0.2">
      <c r="I32" s="182">
        <f>+I25/I26</f>
        <v>0.40331926369546539</v>
      </c>
      <c r="J32" s="29">
        <f>+J25/J26</f>
        <v>0.31391361278601049</v>
      </c>
      <c r="K32" s="29" t="s">
        <v>3467</v>
      </c>
    </row>
    <row r="33" spans="9:11" x14ac:dyDescent="0.2">
      <c r="I33" s="29"/>
      <c r="J33" s="29"/>
    </row>
    <row r="34" spans="9:11" x14ac:dyDescent="0.2">
      <c r="K34" s="29"/>
    </row>
    <row r="35" spans="9:11" x14ac:dyDescent="0.2">
      <c r="I35" s="29"/>
    </row>
    <row r="36" spans="9:11" x14ac:dyDescent="0.2">
      <c r="I36" s="180"/>
    </row>
    <row r="37" spans="9:11" x14ac:dyDescent="0.2">
      <c r="I37" s="180"/>
    </row>
    <row r="38" spans="9:11" x14ac:dyDescent="0.2">
      <c r="I38" s="180"/>
      <c r="K38" s="29"/>
    </row>
    <row r="39" spans="9:11" x14ac:dyDescent="0.2">
      <c r="I39" s="180"/>
    </row>
    <row r="40" spans="9:11" x14ac:dyDescent="0.2">
      <c r="I40" s="180"/>
    </row>
    <row r="41" spans="9:11" x14ac:dyDescent="0.2">
      <c r="I41" s="180">
        <f>+I20</f>
        <v>494501.83999999997</v>
      </c>
    </row>
    <row r="42" spans="9:11" x14ac:dyDescent="0.2">
      <c r="I42" s="180"/>
    </row>
    <row r="43" spans="9:11" x14ac:dyDescent="0.2">
      <c r="I43" s="180">
        <f>+I41-I39</f>
        <v>494501.83999999997</v>
      </c>
    </row>
    <row r="44" spans="9:11" x14ac:dyDescent="0.2">
      <c r="I44" s="29"/>
    </row>
  </sheetData>
  <sheetProtection algorithmName="SHA-512" hashValue="Q987zDwJo1ytRjlgikyEDDqXWnxnmmbmdwE9fRACloghnEZhANwiSRApmMMu8Gu9fZXwDUVF96KgDX+d/xttRQ==" saltValue="oBSG1PHtrF4Bo80hUbSdBA==" spinCount="100000" sheet="1" objects="1" scenarios="1"/>
  <mergeCells count="4">
    <mergeCell ref="B2:K2"/>
    <mergeCell ref="B27:K27"/>
    <mergeCell ref="I3:J3"/>
    <mergeCell ref="B4:G4"/>
  </mergeCells>
  <phoneticPr fontId="0" type="noConversion"/>
  <pageMargins left="0.25" right="0.3" top="0.25" bottom="0.75" header="0.25" footer="0.25"/>
  <pageSetup paperSize="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51"/>
  <dimension ref="B2:U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style="311" customWidth="1"/>
    <col min="10" max="15" width="16.7109375" customWidth="1"/>
    <col min="17" max="17" width="14.7109375" style="180" customWidth="1"/>
    <col min="18" max="18" width="11.28515625" bestFit="1" customWidth="1"/>
    <col min="19" max="21" width="10.28515625" bestFit="1" customWidth="1"/>
  </cols>
  <sheetData>
    <row r="2" spans="2:21" ht="21" thickBot="1" x14ac:dyDescent="0.35">
      <c r="B2" s="1700" t="s">
        <v>377</v>
      </c>
      <c r="C2" s="1700"/>
      <c r="D2" s="1700"/>
      <c r="E2" s="1700"/>
      <c r="F2" s="1700"/>
      <c r="G2" s="1700"/>
      <c r="H2" s="1700"/>
      <c r="I2" s="1700"/>
      <c r="J2" s="1700"/>
      <c r="K2" s="1700"/>
      <c r="L2" s="1700"/>
      <c r="M2" s="1700"/>
      <c r="N2" s="1700"/>
      <c r="O2" s="1700"/>
    </row>
    <row r="3" spans="2:21" ht="17.25" thickTop="1" thickBot="1" x14ac:dyDescent="0.3">
      <c r="B3" s="1" t="s">
        <v>16</v>
      </c>
      <c r="F3" s="222"/>
      <c r="G3" s="6"/>
      <c r="H3" s="221"/>
      <c r="I3" s="294"/>
      <c r="J3" s="1707" t="s">
        <v>23</v>
      </c>
      <c r="K3" s="1707"/>
      <c r="L3" s="1707"/>
      <c r="M3" s="1708"/>
      <c r="N3" s="1705" t="str">
        <f>"Expended "&amp;'Key Inputs'!E34-1</f>
        <v>Expended 2020</v>
      </c>
      <c r="O3" s="1706"/>
    </row>
    <row r="4" spans="2:21" ht="15" customHeight="1" thickTop="1" x14ac:dyDescent="0.25">
      <c r="F4" s="63"/>
      <c r="G4" s="7"/>
      <c r="H4" s="1709" t="s">
        <v>605</v>
      </c>
      <c r="I4" s="1710"/>
      <c r="J4" s="24"/>
      <c r="K4" s="25"/>
      <c r="L4" s="24" t="str">
        <f>"for "&amp;'Key Inputs'!E34-1&amp;"  By"</f>
        <v>for 2020  By</v>
      </c>
      <c r="M4" s="25" t="str">
        <f>"Total for "&amp;'Key Inputs'!E34-1</f>
        <v>Total for 2020</v>
      </c>
      <c r="N4" s="25"/>
      <c r="O4" s="81"/>
      <c r="Q4" s="665"/>
    </row>
    <row r="5" spans="2:21" ht="15" x14ac:dyDescent="0.25">
      <c r="C5" s="12" t="s">
        <v>17</v>
      </c>
      <c r="F5" s="63"/>
      <c r="G5" s="7"/>
      <c r="H5" s="184"/>
      <c r="I5" s="228"/>
      <c r="J5" s="24" t="str">
        <f>"for  "&amp;'Key Inputs'!E34</f>
        <v>for  2021</v>
      </c>
      <c r="K5" s="26" t="str">
        <f>"for  "&amp;'Key Inputs'!E34-1</f>
        <v>for  2020</v>
      </c>
      <c r="L5" s="24" t="s">
        <v>19</v>
      </c>
      <c r="M5" s="26" t="s">
        <v>24</v>
      </c>
      <c r="N5" s="26" t="s">
        <v>20</v>
      </c>
      <c r="O5" s="82" t="s">
        <v>22</v>
      </c>
      <c r="Q5" s="668" t="s">
        <v>3375</v>
      </c>
    </row>
    <row r="6" spans="2:21" ht="15" customHeight="1" thickBot="1" x14ac:dyDescent="0.3">
      <c r="B6" s="2"/>
      <c r="C6" s="3"/>
      <c r="D6" s="3"/>
      <c r="E6" s="2"/>
      <c r="F6" s="2"/>
      <c r="G6" s="8"/>
      <c r="H6" s="188"/>
      <c r="I6" s="672"/>
      <c r="J6" s="27"/>
      <c r="K6" s="28"/>
      <c r="L6" s="27" t="s">
        <v>18</v>
      </c>
      <c r="M6" s="28" t="s">
        <v>25</v>
      </c>
      <c r="N6" s="28" t="s">
        <v>21</v>
      </c>
      <c r="O6" s="83"/>
    </row>
    <row r="7" spans="2:21" ht="21.95" customHeight="1" thickTop="1" x14ac:dyDescent="0.2">
      <c r="C7" s="886" t="s">
        <v>6270</v>
      </c>
      <c r="D7" s="886"/>
      <c r="E7" s="886"/>
      <c r="F7" s="886"/>
      <c r="G7" s="887"/>
      <c r="H7" s="888"/>
      <c r="I7" s="889"/>
      <c r="J7" s="890"/>
      <c r="K7" s="891"/>
      <c r="L7" s="890"/>
      <c r="M7" s="743">
        <f>+K7</f>
        <v>0</v>
      </c>
      <c r="N7" s="891"/>
      <c r="O7" s="370">
        <f t="shared" ref="O7:O26" si="0">IFERROR(IF(+M7-N7&gt;=0,M7-N7,"*")-Q7,"*")</f>
        <v>0</v>
      </c>
      <c r="Q7" s="899"/>
    </row>
    <row r="8" spans="2:21" ht="21.95" customHeight="1" x14ac:dyDescent="0.2">
      <c r="C8" s="744"/>
      <c r="D8" s="744" t="s">
        <v>6271</v>
      </c>
      <c r="E8" s="744"/>
      <c r="F8" s="744"/>
      <c r="G8" s="745"/>
      <c r="H8" s="746" t="s">
        <v>5105</v>
      </c>
      <c r="I8" s="892">
        <v>1</v>
      </c>
      <c r="J8" s="742">
        <v>7000</v>
      </c>
      <c r="K8" s="743">
        <v>7178.76</v>
      </c>
      <c r="L8" s="742"/>
      <c r="M8" s="743">
        <f>+K8</f>
        <v>7178.76</v>
      </c>
      <c r="N8" s="743">
        <v>6900</v>
      </c>
      <c r="O8" s="370">
        <f t="shared" si="0"/>
        <v>278.76000000000022</v>
      </c>
      <c r="Q8" s="899"/>
    </row>
    <row r="9" spans="2:21" ht="21.95" customHeight="1" x14ac:dyDescent="0.2">
      <c r="C9" s="744"/>
      <c r="D9" s="744" t="s">
        <v>6272</v>
      </c>
      <c r="E9" s="744"/>
      <c r="F9" s="744"/>
      <c r="G9" s="745"/>
      <c r="H9" s="746" t="s">
        <v>5105</v>
      </c>
      <c r="I9" s="892">
        <v>2</v>
      </c>
      <c r="J9" s="742">
        <v>700</v>
      </c>
      <c r="K9" s="743">
        <v>780.3</v>
      </c>
      <c r="L9" s="742"/>
      <c r="M9" s="743">
        <f>+K9</f>
        <v>780.3</v>
      </c>
      <c r="N9" s="743"/>
      <c r="O9" s="370">
        <f t="shared" si="0"/>
        <v>780.3</v>
      </c>
      <c r="Q9" s="899"/>
      <c r="R9" s="180"/>
      <c r="S9" s="180"/>
      <c r="T9" s="180"/>
    </row>
    <row r="10" spans="2:21" ht="21.95" customHeight="1" x14ac:dyDescent="0.2">
      <c r="C10" s="744" t="s">
        <v>6273</v>
      </c>
      <c r="D10" s="744"/>
      <c r="E10" s="744"/>
      <c r="F10" s="744"/>
      <c r="G10" s="745"/>
      <c r="H10" s="746"/>
      <c r="I10" s="892"/>
      <c r="J10" s="742"/>
      <c r="K10" s="743"/>
      <c r="L10" s="742"/>
      <c r="M10" s="743">
        <f t="shared" ref="M10:M26" si="1">+K10</f>
        <v>0</v>
      </c>
      <c r="N10" s="743"/>
      <c r="O10" s="370">
        <f t="shared" si="0"/>
        <v>0</v>
      </c>
      <c r="Q10" s="899"/>
      <c r="R10" s="180"/>
      <c r="S10" s="180"/>
      <c r="T10" s="180"/>
      <c r="U10" s="29"/>
    </row>
    <row r="11" spans="2:21" ht="21.95" customHeight="1" x14ac:dyDescent="0.2">
      <c r="C11" s="744"/>
      <c r="D11" s="744" t="s">
        <v>6271</v>
      </c>
      <c r="E11" s="744"/>
      <c r="F11" s="744"/>
      <c r="G11" s="745"/>
      <c r="H11" s="746" t="s">
        <v>5108</v>
      </c>
      <c r="I11" s="892">
        <v>1</v>
      </c>
      <c r="J11" s="742">
        <v>10135</v>
      </c>
      <c r="K11" s="743">
        <v>8867.8799999999992</v>
      </c>
      <c r="L11" s="742"/>
      <c r="M11" s="743">
        <f t="shared" si="1"/>
        <v>8867.8799999999992</v>
      </c>
      <c r="N11" s="743">
        <v>8836</v>
      </c>
      <c r="O11" s="370">
        <f t="shared" si="0"/>
        <v>31.8799999999992</v>
      </c>
      <c r="Q11" s="899"/>
      <c r="R11" s="180"/>
      <c r="S11" s="180"/>
      <c r="T11" s="180"/>
    </row>
    <row r="12" spans="2:21" ht="21.95" customHeight="1" x14ac:dyDescent="0.2">
      <c r="C12" s="744"/>
      <c r="D12" s="744" t="s">
        <v>6272</v>
      </c>
      <c r="E12" s="744"/>
      <c r="F12" s="744"/>
      <c r="G12" s="745"/>
      <c r="H12" s="746" t="s">
        <v>5108</v>
      </c>
      <c r="I12" s="892">
        <v>2</v>
      </c>
      <c r="J12" s="742">
        <v>5700</v>
      </c>
      <c r="K12" s="743">
        <v>5712</v>
      </c>
      <c r="L12" s="742"/>
      <c r="M12" s="743">
        <f t="shared" si="1"/>
        <v>5712</v>
      </c>
      <c r="N12" s="743">
        <v>2550.1</v>
      </c>
      <c r="O12" s="370">
        <f t="shared" si="0"/>
        <v>3161.9</v>
      </c>
      <c r="Q12" s="900"/>
      <c r="R12" s="180"/>
      <c r="S12" s="180"/>
      <c r="T12" s="180"/>
    </row>
    <row r="13" spans="2:21" ht="21.95" customHeight="1" x14ac:dyDescent="0.2">
      <c r="C13" s="744" t="s">
        <v>6274</v>
      </c>
      <c r="D13" s="744"/>
      <c r="E13" s="744"/>
      <c r="F13" s="744"/>
      <c r="G13" s="745"/>
      <c r="H13" s="746"/>
      <c r="I13" s="892"/>
      <c r="J13" s="742"/>
      <c r="K13" s="743"/>
      <c r="L13" s="742"/>
      <c r="M13" s="743">
        <f t="shared" si="1"/>
        <v>0</v>
      </c>
      <c r="N13" s="743"/>
      <c r="O13" s="370">
        <f t="shared" si="0"/>
        <v>0</v>
      </c>
      <c r="Q13" s="899"/>
    </row>
    <row r="14" spans="2:21" ht="21.95" customHeight="1" x14ac:dyDescent="0.2">
      <c r="C14" s="744"/>
      <c r="D14" s="744" t="s">
        <v>6272</v>
      </c>
      <c r="E14" s="744"/>
      <c r="F14" s="744"/>
      <c r="G14" s="745"/>
      <c r="H14" s="746" t="s">
        <v>5108</v>
      </c>
      <c r="I14" s="892">
        <v>2</v>
      </c>
      <c r="J14" s="742">
        <v>3000</v>
      </c>
      <c r="K14" s="743">
        <v>2983.5</v>
      </c>
      <c r="L14" s="742"/>
      <c r="M14" s="743">
        <f t="shared" si="1"/>
        <v>2983.5</v>
      </c>
      <c r="N14" s="743">
        <v>525</v>
      </c>
      <c r="O14" s="370">
        <f t="shared" si="0"/>
        <v>2458.5</v>
      </c>
      <c r="Q14" s="899"/>
    </row>
    <row r="15" spans="2:21" ht="21.95" customHeight="1" x14ac:dyDescent="0.2">
      <c r="C15" s="744" t="s">
        <v>6275</v>
      </c>
      <c r="D15" s="744"/>
      <c r="E15" s="744"/>
      <c r="F15" s="744"/>
      <c r="G15" s="745"/>
      <c r="H15" s="746"/>
      <c r="I15" s="892"/>
      <c r="J15" s="742"/>
      <c r="K15" s="743"/>
      <c r="L15" s="742"/>
      <c r="M15" s="743">
        <f t="shared" si="1"/>
        <v>0</v>
      </c>
      <c r="N15" s="743"/>
      <c r="O15" s="370">
        <f t="shared" si="0"/>
        <v>0</v>
      </c>
      <c r="Q15" s="899"/>
    </row>
    <row r="16" spans="2:21" ht="21.95" customHeight="1" x14ac:dyDescent="0.2">
      <c r="C16" s="744"/>
      <c r="D16" s="744" t="s">
        <v>6271</v>
      </c>
      <c r="E16" s="744"/>
      <c r="F16" s="744"/>
      <c r="G16" s="745"/>
      <c r="H16" s="746" t="s">
        <v>5111</v>
      </c>
      <c r="I16" s="892">
        <v>1</v>
      </c>
      <c r="J16" s="742">
        <v>11824</v>
      </c>
      <c r="K16" s="743">
        <v>11790.18</v>
      </c>
      <c r="L16" s="742"/>
      <c r="M16" s="743">
        <f t="shared" si="1"/>
        <v>11790.18</v>
      </c>
      <c r="N16" s="743">
        <v>11592</v>
      </c>
      <c r="O16" s="370">
        <f t="shared" si="0"/>
        <v>198.18000000000029</v>
      </c>
      <c r="Q16" s="899"/>
    </row>
    <row r="17" spans="2:17" ht="21.95" customHeight="1" x14ac:dyDescent="0.2">
      <c r="C17" s="744"/>
      <c r="D17" s="744" t="s">
        <v>6272</v>
      </c>
      <c r="E17" s="744"/>
      <c r="F17" s="744"/>
      <c r="G17" s="745"/>
      <c r="H17" s="746" t="s">
        <v>5111</v>
      </c>
      <c r="I17" s="892">
        <v>2</v>
      </c>
      <c r="J17" s="742">
        <v>3575</v>
      </c>
      <c r="K17" s="743">
        <v>4141.2</v>
      </c>
      <c r="L17" s="742"/>
      <c r="M17" s="743">
        <f t="shared" si="1"/>
        <v>4141.2</v>
      </c>
      <c r="N17" s="743">
        <v>1151.92</v>
      </c>
      <c r="O17" s="370">
        <f t="shared" si="0"/>
        <v>2989.2799999999997</v>
      </c>
      <c r="Q17" s="899"/>
    </row>
    <row r="18" spans="2:17" ht="21.95" customHeight="1" x14ac:dyDescent="0.2">
      <c r="C18" s="744" t="s">
        <v>6276</v>
      </c>
      <c r="D18" s="744"/>
      <c r="E18" s="744"/>
      <c r="F18" s="744"/>
      <c r="G18" s="745"/>
      <c r="H18" s="746" t="s">
        <v>5114</v>
      </c>
      <c r="I18" s="892">
        <v>2</v>
      </c>
      <c r="J18" s="742">
        <v>20600</v>
      </c>
      <c r="K18" s="743">
        <v>20175</v>
      </c>
      <c r="L18" s="742"/>
      <c r="M18" s="743">
        <f t="shared" si="1"/>
        <v>20175</v>
      </c>
      <c r="N18" s="743">
        <v>20175</v>
      </c>
      <c r="O18" s="370">
        <f t="shared" si="0"/>
        <v>0</v>
      </c>
      <c r="Q18" s="899"/>
    </row>
    <row r="19" spans="2:17" ht="21.95" customHeight="1" x14ac:dyDescent="0.2">
      <c r="C19" s="744" t="s">
        <v>6277</v>
      </c>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t="s">
        <v>6271</v>
      </c>
      <c r="E20" s="744"/>
      <c r="F20" s="744"/>
      <c r="G20" s="745"/>
      <c r="H20" s="746" t="s">
        <v>5066</v>
      </c>
      <c r="I20" s="892">
        <v>1</v>
      </c>
      <c r="J20" s="742">
        <v>5418</v>
      </c>
      <c r="K20" s="743">
        <v>5311.14</v>
      </c>
      <c r="L20" s="742"/>
      <c r="M20" s="743">
        <f t="shared" si="1"/>
        <v>5311.14</v>
      </c>
      <c r="N20" s="743">
        <v>5311</v>
      </c>
      <c r="O20" s="370">
        <f t="shared" si="0"/>
        <v>0.14000000000032742</v>
      </c>
      <c r="Q20" s="899"/>
    </row>
    <row r="21" spans="2:17" ht="21.95" customHeight="1" x14ac:dyDescent="0.2">
      <c r="C21" s="744"/>
      <c r="D21" s="744" t="s">
        <v>6272</v>
      </c>
      <c r="E21" s="744"/>
      <c r="F21" s="744"/>
      <c r="G21" s="745"/>
      <c r="H21" s="746" t="s">
        <v>5066</v>
      </c>
      <c r="I21" s="892">
        <v>2</v>
      </c>
      <c r="J21" s="742">
        <v>5200</v>
      </c>
      <c r="K21" s="743">
        <v>8489.66</v>
      </c>
      <c r="L21" s="742"/>
      <c r="M21" s="743">
        <f t="shared" si="1"/>
        <v>8489.66</v>
      </c>
      <c r="N21" s="743">
        <v>4994.5</v>
      </c>
      <c r="O21" s="370">
        <f t="shared" si="0"/>
        <v>3495.16</v>
      </c>
      <c r="Q21" s="899"/>
    </row>
    <row r="22" spans="2:17" ht="21.95" customHeight="1" x14ac:dyDescent="0.2">
      <c r="C22" s="744" t="s">
        <v>6278</v>
      </c>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t="s">
        <v>6272</v>
      </c>
      <c r="E23" s="744"/>
      <c r="F23" s="744"/>
      <c r="G23" s="745"/>
      <c r="H23" s="746" t="s">
        <v>5065</v>
      </c>
      <c r="I23" s="892">
        <v>2</v>
      </c>
      <c r="J23" s="742">
        <v>100</v>
      </c>
      <c r="K23" s="743">
        <v>100</v>
      </c>
      <c r="L23" s="742"/>
      <c r="M23" s="743">
        <f t="shared" si="1"/>
        <v>100</v>
      </c>
      <c r="N23" s="743"/>
      <c r="O23" s="370">
        <f t="shared" si="0"/>
        <v>100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2"/>
      <c r="C26" s="893"/>
      <c r="D26" s="893"/>
      <c r="E26" s="893"/>
      <c r="F26" s="893"/>
      <c r="G26" s="894"/>
      <c r="H26" s="895"/>
      <c r="I26" s="896"/>
      <c r="J26" s="897"/>
      <c r="K26" s="898"/>
      <c r="L26" s="897"/>
      <c r="M26" s="898">
        <f t="shared" si="1"/>
        <v>0</v>
      </c>
      <c r="N26" s="898"/>
      <c r="O26" s="525">
        <f t="shared" si="0"/>
        <v>0</v>
      </c>
      <c r="Q26" s="899"/>
    </row>
    <row r="27" spans="2:17" ht="16.5" thickTop="1" x14ac:dyDescent="0.25">
      <c r="B27" s="1617" t="s">
        <v>197</v>
      </c>
      <c r="C27" s="1617"/>
      <c r="D27" s="1617"/>
      <c r="E27" s="1617"/>
      <c r="F27" s="1617"/>
      <c r="G27" s="1617"/>
      <c r="H27" s="1617"/>
      <c r="I27" s="1617"/>
      <c r="J27" s="1617"/>
      <c r="K27" s="1617"/>
      <c r="L27" s="1617"/>
      <c r="M27" s="1617"/>
      <c r="N27" s="1617"/>
      <c r="O27" s="1617"/>
    </row>
    <row r="30" spans="2:17" x14ac:dyDescent="0.2">
      <c r="J30" s="29">
        <f>SUM(J7:J26)</f>
        <v>73252</v>
      </c>
    </row>
  </sheetData>
  <sheetProtection algorithmName="SHA-512" hashValue="8ANGao+qT1lNLD1NQETuxdXLTIHP39Nv4nYmePfzDnwQE3/PMVAC/UyUFisrVKjNMRU6Ygu4JgmucJhb2Frnfg==" saltValue="tORthoOqic3XxF7e1eJVm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D00-000000000000}">
          <x14:formula1>
            <xm:f>'Appropriation Codes'!$A$2:$A$102</xm:f>
          </x14:formula1>
          <xm:sqref>H7:H26</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2"/>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
      <c r="C8" s="744" t="s">
        <v>6279</v>
      </c>
      <c r="D8" s="744"/>
      <c r="E8" s="744"/>
      <c r="F8" s="744"/>
      <c r="G8" s="745"/>
      <c r="H8" s="746"/>
      <c r="I8" s="892"/>
      <c r="J8" s="742"/>
      <c r="K8" s="743"/>
      <c r="L8" s="742"/>
      <c r="M8" s="743">
        <f t="shared" si="0"/>
        <v>0</v>
      </c>
      <c r="N8" s="743"/>
      <c r="O8" s="370">
        <f t="shared" si="1"/>
        <v>0</v>
      </c>
      <c r="Q8" s="899"/>
    </row>
    <row r="9" spans="2:17" ht="21.95" customHeight="1" x14ac:dyDescent="0.2">
      <c r="C9" s="744"/>
      <c r="D9" s="744" t="s">
        <v>6271</v>
      </c>
      <c r="E9" s="744"/>
      <c r="F9" s="744"/>
      <c r="G9" s="745"/>
      <c r="H9" s="746" t="s">
        <v>5120</v>
      </c>
      <c r="I9" s="892">
        <v>1</v>
      </c>
      <c r="J9" s="742">
        <v>7917.45</v>
      </c>
      <c r="K9" s="743">
        <v>7762.2</v>
      </c>
      <c r="L9" s="742"/>
      <c r="M9" s="743">
        <f>+K9</f>
        <v>7762.2</v>
      </c>
      <c r="N9" s="743">
        <v>7761</v>
      </c>
      <c r="O9" s="370">
        <f t="shared" si="1"/>
        <v>1.1999999999998181</v>
      </c>
      <c r="Q9" s="899"/>
    </row>
    <row r="10" spans="2:17" ht="21.95" customHeight="1" x14ac:dyDescent="0.2">
      <c r="C10" s="744"/>
      <c r="D10" s="744" t="s">
        <v>6272</v>
      </c>
      <c r="E10" s="744"/>
      <c r="F10" s="744"/>
      <c r="G10" s="745"/>
      <c r="H10" s="746" t="s">
        <v>5120</v>
      </c>
      <c r="I10" s="892">
        <v>2</v>
      </c>
      <c r="J10" s="742">
        <v>3680.27</v>
      </c>
      <c r="K10" s="743">
        <v>3608.11</v>
      </c>
      <c r="L10" s="742"/>
      <c r="M10" s="743">
        <f t="shared" si="0"/>
        <v>3608.11</v>
      </c>
      <c r="N10" s="743">
        <v>1767</v>
      </c>
      <c r="O10" s="370">
        <f t="shared" si="1"/>
        <v>1841.1100000000001</v>
      </c>
      <c r="Q10" s="899"/>
    </row>
    <row r="11" spans="2:17" ht="21.95" customHeight="1" x14ac:dyDescent="0.2">
      <c r="C11" s="744" t="s">
        <v>6280</v>
      </c>
      <c r="D11" s="744"/>
      <c r="E11" s="744"/>
      <c r="F11" s="744"/>
      <c r="G11" s="745"/>
      <c r="H11" s="746"/>
      <c r="I11" s="892"/>
      <c r="J11" s="742"/>
      <c r="K11" s="743"/>
      <c r="L11" s="742"/>
      <c r="M11" s="743">
        <f t="shared" si="0"/>
        <v>0</v>
      </c>
      <c r="N11" s="743"/>
      <c r="O11" s="370">
        <f t="shared" si="1"/>
        <v>0</v>
      </c>
      <c r="Q11" s="899"/>
    </row>
    <row r="12" spans="2:17" ht="21.95" customHeight="1" x14ac:dyDescent="0.2">
      <c r="C12" s="744"/>
      <c r="D12" s="744" t="s">
        <v>6281</v>
      </c>
      <c r="E12" s="744"/>
      <c r="F12" s="744"/>
      <c r="G12" s="745"/>
      <c r="H12" s="746"/>
      <c r="I12" s="892"/>
      <c r="J12" s="742"/>
      <c r="K12" s="743"/>
      <c r="L12" s="742"/>
      <c r="M12" s="743">
        <f t="shared" si="0"/>
        <v>0</v>
      </c>
      <c r="N12" s="743"/>
      <c r="O12" s="370">
        <f t="shared" si="1"/>
        <v>0</v>
      </c>
      <c r="Q12" s="900"/>
    </row>
    <row r="13" spans="2:17" ht="21.95" customHeight="1" x14ac:dyDescent="0.2">
      <c r="C13" s="744"/>
      <c r="D13" s="744"/>
      <c r="E13" s="744" t="s">
        <v>6272</v>
      </c>
      <c r="F13" s="744"/>
      <c r="G13" s="745"/>
      <c r="H13" s="746" t="s">
        <v>5120</v>
      </c>
      <c r="I13" s="892">
        <v>2</v>
      </c>
      <c r="J13" s="742">
        <v>3641.4</v>
      </c>
      <c r="K13" s="743">
        <v>3570</v>
      </c>
      <c r="L13" s="742"/>
      <c r="M13" s="743">
        <f t="shared" si="0"/>
        <v>3570</v>
      </c>
      <c r="N13" s="743"/>
      <c r="O13" s="370">
        <f t="shared" si="1"/>
        <v>3570</v>
      </c>
      <c r="Q13" s="899"/>
    </row>
    <row r="14" spans="2:17" ht="21.95" customHeight="1" x14ac:dyDescent="0.2">
      <c r="C14" s="744" t="s">
        <v>6282</v>
      </c>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t="s">
        <v>6272</v>
      </c>
      <c r="E15" s="744"/>
      <c r="F15" s="744"/>
      <c r="G15" s="745"/>
      <c r="H15" s="746" t="s">
        <v>5125</v>
      </c>
      <c r="I15" s="892">
        <v>2</v>
      </c>
      <c r="J15" s="742">
        <v>27060.799999999999</v>
      </c>
      <c r="K15" s="743">
        <v>26530.2</v>
      </c>
      <c r="L15" s="742"/>
      <c r="M15" s="743">
        <f t="shared" si="0"/>
        <v>26530.2</v>
      </c>
      <c r="N15" s="743">
        <v>18736.669999999998</v>
      </c>
      <c r="O15" s="370">
        <f t="shared" si="1"/>
        <v>7793.5300000000025</v>
      </c>
      <c r="Q15" s="899"/>
    </row>
    <row r="16" spans="2:17" ht="21.95" customHeight="1" x14ac:dyDescent="0.2">
      <c r="C16" s="744" t="s">
        <v>6283</v>
      </c>
      <c r="D16" s="744"/>
      <c r="E16" s="744"/>
      <c r="F16" s="744"/>
      <c r="G16" s="745"/>
      <c r="H16" s="746"/>
      <c r="I16" s="892"/>
      <c r="J16" s="742"/>
      <c r="K16" s="743"/>
      <c r="L16" s="742"/>
      <c r="M16" s="743">
        <f t="shared" si="0"/>
        <v>0</v>
      </c>
      <c r="N16" s="743"/>
      <c r="O16" s="370">
        <f t="shared" si="1"/>
        <v>0</v>
      </c>
      <c r="Q16" s="899"/>
    </row>
    <row r="17" spans="2:17" ht="21.95" customHeight="1" x14ac:dyDescent="0.2">
      <c r="C17" s="744"/>
      <c r="D17" s="744" t="s">
        <v>6272</v>
      </c>
      <c r="E17" s="744"/>
      <c r="F17" s="744"/>
      <c r="G17" s="745"/>
      <c r="H17" s="746" t="s">
        <v>5130</v>
      </c>
      <c r="I17" s="892">
        <v>2</v>
      </c>
      <c r="J17" s="742">
        <v>4161.6000000000004</v>
      </c>
      <c r="K17" s="743">
        <v>4080</v>
      </c>
      <c r="L17" s="742"/>
      <c r="M17" s="743">
        <f t="shared" si="0"/>
        <v>4080</v>
      </c>
      <c r="N17" s="743">
        <v>1620.3</v>
      </c>
      <c r="O17" s="370">
        <f t="shared" si="1"/>
        <v>2459.6999999999998</v>
      </c>
      <c r="Q17" s="899"/>
    </row>
    <row r="18" spans="2:17" ht="21.95" customHeight="1" x14ac:dyDescent="0.2">
      <c r="C18" s="744" t="s">
        <v>6284</v>
      </c>
      <c r="D18" s="744"/>
      <c r="E18" s="744"/>
      <c r="F18" s="744"/>
      <c r="G18" s="745"/>
      <c r="H18" s="746"/>
      <c r="I18" s="892"/>
      <c r="J18" s="742"/>
      <c r="K18" s="743"/>
      <c r="L18" s="742"/>
      <c r="M18" s="743">
        <f t="shared" si="0"/>
        <v>0</v>
      </c>
      <c r="N18" s="743"/>
      <c r="O18" s="370">
        <f t="shared" si="1"/>
        <v>0</v>
      </c>
      <c r="Q18" s="899"/>
    </row>
    <row r="19" spans="2:17" ht="21.95" customHeight="1" x14ac:dyDescent="0.2">
      <c r="C19" s="744"/>
      <c r="D19" s="744" t="s">
        <v>6272</v>
      </c>
      <c r="E19" s="744"/>
      <c r="F19" s="744"/>
      <c r="G19" s="745"/>
      <c r="H19" s="746" t="s">
        <v>5132</v>
      </c>
      <c r="I19" s="892">
        <v>2</v>
      </c>
      <c r="J19" s="742">
        <v>100</v>
      </c>
      <c r="K19" s="743">
        <v>100</v>
      </c>
      <c r="L19" s="742"/>
      <c r="M19" s="743">
        <f t="shared" si="0"/>
        <v>100</v>
      </c>
      <c r="N19" s="743"/>
      <c r="O19" s="370">
        <f t="shared" si="1"/>
        <v>100</v>
      </c>
      <c r="Q19" s="899"/>
    </row>
    <row r="20" spans="2:17" ht="21.95" customHeight="1" x14ac:dyDescent="0.2">
      <c r="C20" s="817"/>
      <c r="D20" s="817"/>
      <c r="E20" s="817"/>
      <c r="F20" s="817"/>
      <c r="G20" s="901"/>
      <c r="H20" s="902"/>
      <c r="I20" s="1024"/>
      <c r="J20" s="903"/>
      <c r="K20" s="868"/>
      <c r="L20" s="742"/>
      <c r="M20" s="743">
        <f t="shared" si="0"/>
        <v>0</v>
      </c>
      <c r="N20" s="743"/>
      <c r="O20" s="370">
        <f t="shared" si="1"/>
        <v>0</v>
      </c>
      <c r="Q20" s="899"/>
    </row>
    <row r="21" spans="2:17" ht="21.95" customHeight="1" x14ac:dyDescent="0.2">
      <c r="C21" s="744"/>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c r="E23" s="744"/>
      <c r="F23" s="744"/>
      <c r="G23" s="745"/>
      <c r="H23" s="746"/>
      <c r="I23" s="892"/>
      <c r="J23" s="742"/>
      <c r="K23" s="743"/>
      <c r="L23" s="742"/>
      <c r="M23" s="743">
        <f t="shared" si="0"/>
        <v>0</v>
      </c>
      <c r="N23" s="743"/>
      <c r="O23" s="370">
        <f t="shared" si="1"/>
        <v>0</v>
      </c>
      <c r="Q23" s="899"/>
    </row>
    <row r="24" spans="2:17" ht="21.95" customHeight="1" x14ac:dyDescent="0.2">
      <c r="C24" s="817"/>
      <c r="D24" s="817"/>
      <c r="E24" s="817"/>
      <c r="F24" s="817"/>
      <c r="G24" s="901"/>
      <c r="H24" s="902"/>
      <c r="I24" s="1024"/>
      <c r="J24" s="903"/>
      <c r="K24" s="868"/>
      <c r="L24" s="742"/>
      <c r="M24" s="743">
        <f t="shared" si="0"/>
        <v>0</v>
      </c>
      <c r="N24" s="743"/>
      <c r="O24" s="370">
        <f t="shared" si="1"/>
        <v>0</v>
      </c>
      <c r="Q24" s="899"/>
    </row>
    <row r="25" spans="2:17" ht="21.95" customHeight="1" x14ac:dyDescent="0.2">
      <c r="C25" s="817"/>
      <c r="D25" s="817"/>
      <c r="E25" s="817"/>
      <c r="F25" s="817"/>
      <c r="G25" s="901"/>
      <c r="H25" s="902"/>
      <c r="I25" s="1024"/>
      <c r="J25" s="903"/>
      <c r="K25" s="868"/>
      <c r="L25" s="742"/>
      <c r="M25" s="743">
        <f t="shared" si="0"/>
        <v>0</v>
      </c>
      <c r="N25" s="743"/>
      <c r="O25" s="370">
        <f t="shared" si="1"/>
        <v>0</v>
      </c>
      <c r="Q25" s="899"/>
    </row>
    <row r="26" spans="2:17" ht="21.95" customHeight="1" thickBot="1" x14ac:dyDescent="0.25">
      <c r="C26" s="748"/>
      <c r="D26" s="748"/>
      <c r="E26" s="748"/>
      <c r="F26" s="893"/>
      <c r="G26" s="904"/>
      <c r="H26" s="895"/>
      <c r="I26" s="1025"/>
      <c r="J26" s="905"/>
      <c r="K26" s="865"/>
      <c r="L26" s="905"/>
      <c r="M26" s="865">
        <f t="shared" si="0"/>
        <v>0</v>
      </c>
      <c r="N26" s="865"/>
      <c r="O26" s="525">
        <f t="shared" si="1"/>
        <v>0</v>
      </c>
      <c r="Q26" s="899"/>
    </row>
    <row r="27" spans="2:17" ht="16.5" thickTop="1" x14ac:dyDescent="0.25">
      <c r="B27" s="1701" t="s">
        <v>196</v>
      </c>
      <c r="C27" s="1701"/>
      <c r="D27" s="1701"/>
      <c r="E27" s="1701"/>
      <c r="F27" s="1701"/>
      <c r="G27" s="1701"/>
      <c r="H27" s="1701"/>
      <c r="I27" s="1701"/>
      <c r="J27" s="1701"/>
      <c r="K27" s="1701"/>
      <c r="L27" s="1701"/>
      <c r="M27" s="1701"/>
      <c r="N27" s="1701"/>
      <c r="O27" s="1701"/>
    </row>
    <row r="30" spans="2:17" x14ac:dyDescent="0.2">
      <c r="J30" s="29">
        <f>SUM(J7:J26)</f>
        <v>46561.52</v>
      </c>
    </row>
  </sheetData>
  <sheetProtection algorithmName="SHA-512" hashValue="g0Tm7FaYekhjUjKcnDjUBYDYGX011Iv8svTLnmyvqZ7ElvUFBQmnB86zjNbquCYvq8N36aQjACvcGot5aNYrRg==" saltValue="lRVktjDgrp8PR554UHFVu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E00-000000000000}">
          <x14:formula1>
            <xm:f>'Appropriation Codes'!$A$2:$A$102</xm:f>
          </x14:formula1>
          <xm:sqref>H7:H26</xm:sqref>
        </x14:dataValidation>
      </x14:dataValidations>
    </ext>
  </extLs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53"/>
  <dimension ref="B2:T42"/>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 min="19" max="19" width="13.42578125" bestFit="1" customWidth="1"/>
    <col min="20" max="20" width="12" bestFit="1"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H3" s="221"/>
      <c r="I3" s="237"/>
      <c r="J3" s="1705" t="s">
        <v>23</v>
      </c>
      <c r="K3" s="1707"/>
      <c r="L3" s="1707"/>
      <c r="M3" s="1708"/>
      <c r="N3" s="1705" t="str">
        <f>"Expended "&amp;'Key Inputs'!E34-1</f>
        <v>Expended 2020</v>
      </c>
      <c r="O3" s="1706"/>
    </row>
    <row r="4" spans="2:17" ht="15" customHeight="1" thickTop="1" x14ac:dyDescent="0.25">
      <c r="H4" s="1711" t="s">
        <v>605</v>
      </c>
      <c r="I4" s="1712"/>
      <c r="J4" s="24"/>
      <c r="K4" s="25"/>
      <c r="L4" s="24" t="str">
        <f>"for "&amp;'Key Inputs'!E34-1&amp;"  By"</f>
        <v>for 2020  By</v>
      </c>
      <c r="M4" s="25" t="str">
        <f>"Total for "&amp;'Key Inputs'!E34-1</f>
        <v>Total for 2020</v>
      </c>
      <c r="N4" s="25"/>
      <c r="O4" s="81"/>
    </row>
    <row r="5" spans="2:17" ht="15" x14ac:dyDescent="0.25">
      <c r="C5" s="12" t="s">
        <v>186</v>
      </c>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2"/>
      <c r="H6" s="188"/>
      <c r="I6" s="675"/>
      <c r="J6" s="27"/>
      <c r="K6" s="28"/>
      <c r="L6" s="27" t="s">
        <v>18</v>
      </c>
      <c r="M6" s="28" t="s">
        <v>25</v>
      </c>
      <c r="N6" s="28" t="s">
        <v>21</v>
      </c>
      <c r="O6" s="83"/>
      <c r="Q6" s="180"/>
    </row>
    <row r="7" spans="2:17" ht="21.95" customHeight="1" thickTop="1" x14ac:dyDescent="0.2">
      <c r="C7" s="886"/>
      <c r="D7" s="886"/>
      <c r="E7" s="886"/>
      <c r="F7" s="886"/>
      <c r="G7" s="886"/>
      <c r="H7" s="888"/>
      <c r="I7" s="889"/>
      <c r="J7" s="890"/>
      <c r="K7" s="891"/>
      <c r="L7" s="890"/>
      <c r="M7" s="743">
        <f t="shared" ref="M7:M26" si="0">+K7</f>
        <v>0</v>
      </c>
      <c r="N7" s="891"/>
      <c r="O7" s="370">
        <f t="shared" ref="O7:O26" si="1">IFERROR(IF(+M7-N7&gt;=0,M7-N7,"*")-Q7,"*")</f>
        <v>0</v>
      </c>
      <c r="Q7" s="899"/>
    </row>
    <row r="8" spans="2:17" ht="21.95" customHeight="1" x14ac:dyDescent="0.25">
      <c r="C8" s="1524" t="s">
        <v>6285</v>
      </c>
      <c r="D8" s="744"/>
      <c r="E8" s="744"/>
      <c r="F8" s="744"/>
      <c r="G8" s="744"/>
      <c r="H8" s="746"/>
      <c r="I8" s="892"/>
      <c r="J8" s="742"/>
      <c r="K8" s="743"/>
      <c r="L8" s="742"/>
      <c r="M8" s="743">
        <f t="shared" si="0"/>
        <v>0</v>
      </c>
      <c r="N8" s="743"/>
      <c r="O8" s="370">
        <f t="shared" si="1"/>
        <v>0</v>
      </c>
      <c r="Q8" s="899"/>
    </row>
    <row r="9" spans="2:17" ht="21.95" customHeight="1" x14ac:dyDescent="0.2">
      <c r="C9" s="744"/>
      <c r="D9" s="744" t="s">
        <v>6286</v>
      </c>
      <c r="E9" s="744"/>
      <c r="F9" s="744"/>
      <c r="G9" s="744"/>
      <c r="H9" s="746"/>
      <c r="I9" s="892"/>
      <c r="J9" s="742"/>
      <c r="K9" s="743"/>
      <c r="L9" s="742"/>
      <c r="M9" s="743">
        <f>+K9</f>
        <v>0</v>
      </c>
      <c r="N9" s="743"/>
      <c r="O9" s="370">
        <f t="shared" si="1"/>
        <v>0</v>
      </c>
      <c r="Q9" s="899"/>
    </row>
    <row r="10" spans="2:17" ht="21.95" customHeight="1" x14ac:dyDescent="0.2">
      <c r="C10" s="744"/>
      <c r="D10" s="744"/>
      <c r="E10" s="744" t="s">
        <v>6271</v>
      </c>
      <c r="F10" s="744"/>
      <c r="G10" s="744"/>
      <c r="H10" s="746" t="s">
        <v>5136</v>
      </c>
      <c r="I10" s="892">
        <v>1</v>
      </c>
      <c r="J10" s="742">
        <v>2958</v>
      </c>
      <c r="K10" s="743">
        <v>2898.84</v>
      </c>
      <c r="L10" s="742"/>
      <c r="M10" s="743">
        <f t="shared" si="0"/>
        <v>2898.84</v>
      </c>
      <c r="N10" s="743">
        <v>2898</v>
      </c>
      <c r="O10" s="370">
        <f t="shared" si="1"/>
        <v>0.84000000000014552</v>
      </c>
      <c r="Q10" s="899"/>
    </row>
    <row r="11" spans="2:17" ht="21.95" customHeight="1" x14ac:dyDescent="0.2">
      <c r="C11" s="748"/>
      <c r="D11" s="748"/>
      <c r="E11" s="748" t="s">
        <v>6272</v>
      </c>
      <c r="F11" s="748"/>
      <c r="G11" s="748"/>
      <c r="H11" s="906" t="s">
        <v>5136</v>
      </c>
      <c r="I11" s="1025">
        <v>2</v>
      </c>
      <c r="J11" s="905">
        <v>3500</v>
      </c>
      <c r="K11" s="743">
        <v>3570</v>
      </c>
      <c r="L11" s="742"/>
      <c r="M11" s="743">
        <f t="shared" si="0"/>
        <v>3570</v>
      </c>
      <c r="N11" s="743">
        <v>3441.12</v>
      </c>
      <c r="O11" s="370">
        <f t="shared" si="1"/>
        <v>128.88000000000011</v>
      </c>
      <c r="Q11" s="899"/>
    </row>
    <row r="12" spans="2:17" ht="21.95" customHeight="1" x14ac:dyDescent="0.2">
      <c r="C12" s="744"/>
      <c r="D12" s="744"/>
      <c r="E12" s="744" t="s">
        <v>6287</v>
      </c>
      <c r="F12" s="744"/>
      <c r="G12" s="744"/>
      <c r="H12" s="746" t="s">
        <v>5138</v>
      </c>
      <c r="I12" s="892">
        <v>2</v>
      </c>
      <c r="J12" s="743">
        <v>208.08</v>
      </c>
      <c r="K12" s="743">
        <v>204</v>
      </c>
      <c r="L12" s="742"/>
      <c r="M12" s="743">
        <f t="shared" si="0"/>
        <v>204</v>
      </c>
      <c r="N12" s="743"/>
      <c r="O12" s="370">
        <f t="shared" si="1"/>
        <v>204</v>
      </c>
      <c r="Q12" s="900"/>
    </row>
    <row r="13" spans="2:17" ht="21.95" customHeight="1" x14ac:dyDescent="0.2">
      <c r="C13" s="744"/>
      <c r="D13" s="744"/>
      <c r="E13" s="744" t="s">
        <v>6288</v>
      </c>
      <c r="F13" s="744"/>
      <c r="G13" s="744"/>
      <c r="H13" s="746" t="s">
        <v>5146</v>
      </c>
      <c r="I13" s="892">
        <v>2</v>
      </c>
      <c r="J13" s="742">
        <v>5000</v>
      </c>
      <c r="K13" s="743">
        <v>1326</v>
      </c>
      <c r="L13" s="742"/>
      <c r="M13" s="743">
        <f t="shared" si="0"/>
        <v>1326</v>
      </c>
      <c r="N13" s="743"/>
      <c r="O13" s="370">
        <f t="shared" si="1"/>
        <v>1326</v>
      </c>
      <c r="Q13" s="899"/>
    </row>
    <row r="14" spans="2:17" ht="21.95" customHeight="1" x14ac:dyDescent="0.2">
      <c r="C14" s="744"/>
      <c r="D14" s="744"/>
      <c r="E14" s="744"/>
      <c r="F14" s="744"/>
      <c r="G14" s="744"/>
      <c r="H14" s="746"/>
      <c r="I14" s="892"/>
      <c r="J14" s="742"/>
      <c r="K14" s="743"/>
      <c r="L14" s="742"/>
      <c r="M14" s="743">
        <f t="shared" si="0"/>
        <v>0</v>
      </c>
      <c r="N14" s="743"/>
      <c r="O14" s="370">
        <f t="shared" si="1"/>
        <v>0</v>
      </c>
      <c r="Q14" s="899"/>
    </row>
    <row r="15" spans="2:17" ht="21.95" customHeight="1" x14ac:dyDescent="0.2">
      <c r="C15" s="744" t="s">
        <v>6289</v>
      </c>
      <c r="D15" s="744"/>
      <c r="E15" s="744"/>
      <c r="F15" s="744"/>
      <c r="G15" s="744"/>
      <c r="H15" s="746"/>
      <c r="I15" s="892"/>
      <c r="J15" s="742"/>
      <c r="K15" s="743"/>
      <c r="L15" s="742"/>
      <c r="M15" s="743">
        <f t="shared" si="0"/>
        <v>0</v>
      </c>
      <c r="N15" s="743"/>
      <c r="O15" s="370">
        <f t="shared" si="1"/>
        <v>0</v>
      </c>
      <c r="Q15" s="899"/>
    </row>
    <row r="16" spans="2:17" ht="21.95" customHeight="1" x14ac:dyDescent="0.2">
      <c r="C16" s="744"/>
      <c r="D16" s="744" t="s">
        <v>6272</v>
      </c>
      <c r="E16" s="744"/>
      <c r="F16" s="744"/>
      <c r="G16" s="744"/>
      <c r="H16" s="746" t="s">
        <v>5175</v>
      </c>
      <c r="I16" s="892">
        <v>2</v>
      </c>
      <c r="J16" s="742">
        <v>5000</v>
      </c>
      <c r="K16" s="743">
        <v>5000</v>
      </c>
      <c r="L16" s="742"/>
      <c r="M16" s="743">
        <f t="shared" si="0"/>
        <v>5000</v>
      </c>
      <c r="N16" s="743">
        <v>300</v>
      </c>
      <c r="O16" s="370">
        <f t="shared" si="1"/>
        <v>4700</v>
      </c>
      <c r="Q16" s="899"/>
    </row>
    <row r="17" spans="2:20" ht="21.95" customHeight="1" x14ac:dyDescent="0.2">
      <c r="C17" s="744"/>
      <c r="D17" s="744"/>
      <c r="E17" s="744"/>
      <c r="F17" s="744"/>
      <c r="G17" s="744"/>
      <c r="H17" s="746"/>
      <c r="I17" s="892"/>
      <c r="J17" s="742"/>
      <c r="K17" s="743"/>
      <c r="L17" s="742"/>
      <c r="M17" s="743">
        <f t="shared" si="0"/>
        <v>0</v>
      </c>
      <c r="N17" s="743"/>
      <c r="O17" s="370">
        <f t="shared" si="1"/>
        <v>0</v>
      </c>
      <c r="Q17" s="899"/>
    </row>
    <row r="18" spans="2:20" ht="21.95" customHeight="1" x14ac:dyDescent="0.2">
      <c r="C18" s="744" t="s">
        <v>6290</v>
      </c>
      <c r="D18" s="744"/>
      <c r="E18" s="744"/>
      <c r="F18" s="744"/>
      <c r="G18" s="744"/>
      <c r="H18" s="746"/>
      <c r="I18" s="892"/>
      <c r="J18" s="742"/>
      <c r="K18" s="743"/>
      <c r="L18" s="742"/>
      <c r="M18" s="743">
        <f t="shared" si="0"/>
        <v>0</v>
      </c>
      <c r="N18" s="743"/>
      <c r="O18" s="370">
        <f t="shared" si="1"/>
        <v>0</v>
      </c>
      <c r="Q18" s="899"/>
      <c r="S18" s="29"/>
      <c r="T18" s="29"/>
    </row>
    <row r="19" spans="2:20" ht="21.95" customHeight="1" x14ac:dyDescent="0.2">
      <c r="C19" s="744"/>
      <c r="D19" s="744" t="s">
        <v>6272</v>
      </c>
      <c r="E19" s="744"/>
      <c r="F19" s="744"/>
      <c r="G19" s="744"/>
      <c r="H19" s="746" t="s">
        <v>5123</v>
      </c>
      <c r="I19" s="892">
        <v>2</v>
      </c>
      <c r="J19" s="742">
        <v>38000</v>
      </c>
      <c r="K19" s="743">
        <v>37740</v>
      </c>
      <c r="L19" s="742"/>
      <c r="M19" s="743">
        <f t="shared" si="0"/>
        <v>37740</v>
      </c>
      <c r="N19" s="743">
        <v>33018.44</v>
      </c>
      <c r="O19" s="370">
        <f t="shared" si="1"/>
        <v>4721.5599999999977</v>
      </c>
      <c r="Q19" s="899"/>
      <c r="S19" s="180"/>
    </row>
    <row r="20" spans="2:20" ht="21.95" customHeight="1" x14ac:dyDescent="0.2">
      <c r="C20" s="744"/>
      <c r="D20" s="744"/>
      <c r="E20" s="744"/>
      <c r="F20" s="744"/>
      <c r="G20" s="744"/>
      <c r="H20" s="746"/>
      <c r="I20" s="892"/>
      <c r="J20" s="907"/>
      <c r="K20" s="743"/>
      <c r="L20" s="742"/>
      <c r="M20" s="743">
        <f t="shared" si="0"/>
        <v>0</v>
      </c>
      <c r="N20" s="743"/>
      <c r="O20" s="370">
        <f t="shared" si="1"/>
        <v>0</v>
      </c>
      <c r="Q20" s="899"/>
      <c r="S20" s="180"/>
      <c r="T20" s="29"/>
    </row>
    <row r="21" spans="2:20" ht="21.95" customHeight="1" x14ac:dyDescent="0.2">
      <c r="C21" s="744"/>
      <c r="D21" s="744"/>
      <c r="E21" s="744"/>
      <c r="F21" s="744"/>
      <c r="G21" s="744"/>
      <c r="H21" s="746"/>
      <c r="I21" s="892"/>
      <c r="J21" s="742"/>
      <c r="K21" s="743"/>
      <c r="L21" s="742"/>
      <c r="M21" s="743">
        <f t="shared" si="0"/>
        <v>0</v>
      </c>
      <c r="N21" s="743"/>
      <c r="O21" s="370">
        <f t="shared" si="1"/>
        <v>0</v>
      </c>
      <c r="Q21" s="899"/>
      <c r="S21" s="180"/>
    </row>
    <row r="22" spans="2:20" ht="21.95" customHeight="1" x14ac:dyDescent="0.2">
      <c r="C22" s="744"/>
      <c r="D22" s="744"/>
      <c r="E22" s="744"/>
      <c r="F22" s="744"/>
      <c r="G22" s="744"/>
      <c r="H22" s="746"/>
      <c r="I22" s="892"/>
      <c r="J22" s="742"/>
      <c r="K22" s="743"/>
      <c r="L22" s="742"/>
      <c r="M22" s="743">
        <f t="shared" si="0"/>
        <v>0</v>
      </c>
      <c r="N22" s="743"/>
      <c r="O22" s="370">
        <f t="shared" si="1"/>
        <v>0</v>
      </c>
      <c r="Q22" s="899"/>
    </row>
    <row r="23" spans="2:20" ht="21.95" customHeight="1" x14ac:dyDescent="0.2">
      <c r="C23" s="744"/>
      <c r="D23" s="744"/>
      <c r="E23" s="744"/>
      <c r="F23" s="744"/>
      <c r="G23" s="744"/>
      <c r="H23" s="746"/>
      <c r="I23" s="892"/>
      <c r="J23" s="742"/>
      <c r="K23" s="743"/>
      <c r="L23" s="742"/>
      <c r="M23" s="743">
        <f t="shared" si="0"/>
        <v>0</v>
      </c>
      <c r="N23" s="743"/>
      <c r="O23" s="370">
        <f t="shared" si="1"/>
        <v>0</v>
      </c>
      <c r="Q23" s="899"/>
    </row>
    <row r="24" spans="2:20" ht="21.95" customHeight="1" x14ac:dyDescent="0.2">
      <c r="C24" s="744"/>
      <c r="D24" s="744"/>
      <c r="E24" s="744"/>
      <c r="F24" s="744"/>
      <c r="G24" s="744"/>
      <c r="H24" s="746"/>
      <c r="I24" s="892"/>
      <c r="J24" s="742"/>
      <c r="K24" s="743"/>
      <c r="L24" s="742"/>
      <c r="M24" s="743">
        <f t="shared" si="0"/>
        <v>0</v>
      </c>
      <c r="N24" s="743"/>
      <c r="O24" s="370">
        <f t="shared" si="1"/>
        <v>0</v>
      </c>
      <c r="Q24" s="899"/>
    </row>
    <row r="25" spans="2:20" ht="21.95" customHeight="1" x14ac:dyDescent="0.2">
      <c r="C25" s="744"/>
      <c r="D25" s="744"/>
      <c r="E25" s="744"/>
      <c r="F25" s="744"/>
      <c r="G25" s="744"/>
      <c r="H25" s="746"/>
      <c r="I25" s="892"/>
      <c r="J25" s="742"/>
      <c r="K25" s="743"/>
      <c r="L25" s="742"/>
      <c r="M25" s="743">
        <f t="shared" si="0"/>
        <v>0</v>
      </c>
      <c r="N25" s="743"/>
      <c r="O25" s="370">
        <f t="shared" si="1"/>
        <v>0</v>
      </c>
      <c r="Q25" s="899"/>
    </row>
    <row r="26" spans="2:20" ht="21.95" customHeight="1" thickBot="1" x14ac:dyDescent="0.25">
      <c r="B26" s="2"/>
      <c r="C26" s="893"/>
      <c r="D26" s="893"/>
      <c r="E26" s="893"/>
      <c r="F26" s="893"/>
      <c r="G26" s="893"/>
      <c r="H26" s="895"/>
      <c r="I26" s="896"/>
      <c r="J26" s="897"/>
      <c r="K26" s="898"/>
      <c r="L26" s="897"/>
      <c r="M26" s="898">
        <f t="shared" si="0"/>
        <v>0</v>
      </c>
      <c r="N26" s="898"/>
      <c r="O26" s="525">
        <f t="shared" si="1"/>
        <v>0</v>
      </c>
      <c r="Q26" s="899"/>
    </row>
    <row r="27" spans="2:20" ht="16.5" thickTop="1" x14ac:dyDescent="0.25">
      <c r="B27" s="1617" t="s">
        <v>195</v>
      </c>
      <c r="C27" s="1617"/>
      <c r="D27" s="1617"/>
      <c r="E27" s="1617"/>
      <c r="F27" s="1617"/>
      <c r="G27" s="1617"/>
      <c r="H27" s="1617"/>
      <c r="I27" s="1617"/>
      <c r="J27" s="1617"/>
      <c r="K27" s="1617"/>
      <c r="L27" s="1617"/>
      <c r="M27" s="1617"/>
      <c r="N27" s="1617"/>
      <c r="O27" s="1617"/>
    </row>
    <row r="30" spans="2:20" x14ac:dyDescent="0.2">
      <c r="J30" s="29">
        <f>SUM(J7:J26)</f>
        <v>54666.080000000002</v>
      </c>
    </row>
    <row r="32" spans="2:20" x14ac:dyDescent="0.2">
      <c r="K32" s="180"/>
      <c r="L32" s="180"/>
      <c r="M32" s="180"/>
    </row>
    <row r="33" spans="11:13" x14ac:dyDescent="0.2">
      <c r="K33" s="180">
        <f>+M18+'20'!K10</f>
        <v>0</v>
      </c>
      <c r="L33" s="180"/>
      <c r="M33" s="180"/>
    </row>
    <row r="34" spans="11:13" x14ac:dyDescent="0.2">
      <c r="K34" s="180">
        <f>+J18+'20'!J10</f>
        <v>0</v>
      </c>
      <c r="M34" s="180"/>
    </row>
    <row r="35" spans="11:13" x14ac:dyDescent="0.2">
      <c r="K35" s="180">
        <f>+K34-K33</f>
        <v>0</v>
      </c>
      <c r="M35" s="180"/>
    </row>
    <row r="36" spans="11:13" x14ac:dyDescent="0.2">
      <c r="K36" s="180">
        <f>+K33*1.02</f>
        <v>0</v>
      </c>
      <c r="M36" s="29"/>
    </row>
    <row r="37" spans="11:13" x14ac:dyDescent="0.2">
      <c r="K37" s="180">
        <f>+K34-K36</f>
        <v>0</v>
      </c>
    </row>
    <row r="38" spans="11:13" x14ac:dyDescent="0.2">
      <c r="K38" s="180"/>
    </row>
    <row r="39" spans="11:13" x14ac:dyDescent="0.2">
      <c r="K39" s="180"/>
    </row>
    <row r="40" spans="11:13" x14ac:dyDescent="0.2">
      <c r="K40" s="180"/>
    </row>
    <row r="41" spans="11:13" x14ac:dyDescent="0.2">
      <c r="K41" s="180"/>
    </row>
    <row r="42" spans="11:13" x14ac:dyDescent="0.2">
      <c r="K42" s="180"/>
    </row>
  </sheetData>
  <sheetProtection algorithmName="SHA-512" hashValue="nxoWzGFKAigk/FUa7Ms0dxeYjkaFPMTTFXO5NkVu1QfJuvIM2c1j7LV1SAdzgoB3rvGZ4zABZOxRX6kEL4uNNQ==" saltValue="gf/7mNZNJvORZc+C4iDmQg=="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3F00-000000000000}">
          <x14:formula1>
            <xm:f>'Appropriation Codes'!$A$2:$A$102</xm:f>
          </x14:formula1>
          <xm:sqref>H7:H26</xm:sqref>
        </x14:dataValidation>
      </x14:dataValidations>
    </ext>
  </extLst>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4"/>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5">
      <c r="C7" s="1524" t="s">
        <v>6291</v>
      </c>
      <c r="D7" s="744"/>
      <c r="E7" s="744"/>
      <c r="F7" s="886"/>
      <c r="G7" s="745"/>
      <c r="H7" s="888"/>
      <c r="I7" s="892"/>
      <c r="J7" s="742"/>
      <c r="K7" s="743"/>
      <c r="L7" s="890"/>
      <c r="M7" s="743">
        <f t="shared" ref="M7:M26" si="0">+K7</f>
        <v>0</v>
      </c>
      <c r="N7" s="891"/>
      <c r="O7" s="751">
        <f t="shared" ref="O7:O26" si="1">IFERROR(IF(+M7-N7&gt;=0,M7-N7,"*")-Q7,"*")</f>
        <v>0</v>
      </c>
      <c r="Q7" s="899"/>
    </row>
    <row r="8" spans="2:17" ht="21.95" customHeight="1" x14ac:dyDescent="0.2">
      <c r="C8" s="744"/>
      <c r="D8" s="744"/>
      <c r="E8" s="744"/>
      <c r="F8" s="744"/>
      <c r="G8" s="745"/>
      <c r="H8" s="746"/>
      <c r="I8" s="892"/>
      <c r="J8" s="742"/>
      <c r="K8" s="743"/>
      <c r="L8" s="742"/>
      <c r="M8" s="743">
        <f t="shared" si="0"/>
        <v>0</v>
      </c>
      <c r="N8" s="743"/>
      <c r="O8" s="751">
        <f t="shared" si="1"/>
        <v>0</v>
      </c>
      <c r="Q8" s="899"/>
    </row>
    <row r="9" spans="2:17" ht="21.95" customHeight="1" x14ac:dyDescent="0.2">
      <c r="C9" s="744" t="s">
        <v>6292</v>
      </c>
      <c r="D9" s="744"/>
      <c r="E9" s="744"/>
      <c r="F9" s="744"/>
      <c r="G9" s="745"/>
      <c r="H9" s="746" t="s">
        <v>5162</v>
      </c>
      <c r="I9" s="892">
        <v>2</v>
      </c>
      <c r="J9" s="742">
        <v>18727.2</v>
      </c>
      <c r="K9" s="743">
        <v>18360</v>
      </c>
      <c r="L9" s="742"/>
      <c r="M9" s="743">
        <f>+K9</f>
        <v>18360</v>
      </c>
      <c r="N9" s="743">
        <v>18353.87</v>
      </c>
      <c r="O9" s="751">
        <f t="shared" si="1"/>
        <v>6.1300000000010186</v>
      </c>
      <c r="Q9" s="899"/>
    </row>
    <row r="10" spans="2:17" ht="21.95" customHeight="1" x14ac:dyDescent="0.2">
      <c r="C10" s="744"/>
      <c r="D10" s="744"/>
      <c r="E10" s="744"/>
      <c r="F10" s="744"/>
      <c r="G10" s="745"/>
      <c r="H10" s="746"/>
      <c r="I10" s="892"/>
      <c r="J10" s="742"/>
      <c r="K10" s="743"/>
      <c r="L10" s="742"/>
      <c r="M10" s="743">
        <f t="shared" si="0"/>
        <v>0</v>
      </c>
      <c r="N10" s="743"/>
      <c r="O10" s="751">
        <f t="shared" si="1"/>
        <v>0</v>
      </c>
      <c r="Q10" s="899"/>
    </row>
    <row r="11" spans="2:17" ht="21.95" customHeight="1" x14ac:dyDescent="0.2">
      <c r="C11" s="744" t="s">
        <v>6293</v>
      </c>
      <c r="D11" s="744"/>
      <c r="E11" s="744"/>
      <c r="F11" s="744"/>
      <c r="G11" s="745"/>
      <c r="H11" s="746"/>
      <c r="I11" s="892"/>
      <c r="J11" s="742"/>
      <c r="K11" s="743"/>
      <c r="L11" s="742"/>
      <c r="M11" s="743">
        <f t="shared" si="0"/>
        <v>0</v>
      </c>
      <c r="N11" s="743"/>
      <c r="O11" s="751">
        <f t="shared" si="1"/>
        <v>0</v>
      </c>
      <c r="Q11" s="899"/>
    </row>
    <row r="12" spans="2:17" ht="21.95" customHeight="1" x14ac:dyDescent="0.2">
      <c r="C12" s="744"/>
      <c r="D12" s="744" t="s">
        <v>6294</v>
      </c>
      <c r="E12" s="744"/>
      <c r="F12" s="744"/>
      <c r="G12" s="745"/>
      <c r="H12" s="746"/>
      <c r="I12" s="892"/>
      <c r="J12" s="742"/>
      <c r="K12" s="743"/>
      <c r="L12" s="742"/>
      <c r="M12" s="743">
        <f t="shared" si="0"/>
        <v>0</v>
      </c>
      <c r="N12" s="743"/>
      <c r="O12" s="751">
        <f t="shared" si="1"/>
        <v>0</v>
      </c>
      <c r="Q12" s="900"/>
    </row>
    <row r="13" spans="2:17" ht="21.95" customHeight="1" x14ac:dyDescent="0.2">
      <c r="C13" s="744"/>
      <c r="D13" s="744"/>
      <c r="E13" s="744" t="s">
        <v>6271</v>
      </c>
      <c r="F13" s="744"/>
      <c r="G13" s="745"/>
      <c r="H13" s="746" t="s">
        <v>5165</v>
      </c>
      <c r="I13" s="892">
        <v>1</v>
      </c>
      <c r="J13" s="742"/>
      <c r="K13" s="743"/>
      <c r="L13" s="742"/>
      <c r="M13" s="743">
        <f t="shared" si="0"/>
        <v>0</v>
      </c>
      <c r="N13" s="743"/>
      <c r="O13" s="751">
        <f t="shared" si="1"/>
        <v>0</v>
      </c>
      <c r="Q13" s="899"/>
    </row>
    <row r="14" spans="2:17" ht="21.95" customHeight="1" x14ac:dyDescent="0.2">
      <c r="C14" s="744"/>
      <c r="D14" s="744"/>
      <c r="E14" s="744" t="s">
        <v>6272</v>
      </c>
      <c r="F14" s="744"/>
      <c r="G14" s="745"/>
      <c r="H14" s="746" t="s">
        <v>5165</v>
      </c>
      <c r="I14" s="745">
        <v>2</v>
      </c>
      <c r="J14" s="742"/>
      <c r="K14" s="743"/>
      <c r="L14" s="742"/>
      <c r="M14" s="743">
        <f t="shared" si="0"/>
        <v>0</v>
      </c>
      <c r="N14" s="743"/>
      <c r="O14" s="751">
        <f t="shared" si="1"/>
        <v>0</v>
      </c>
      <c r="Q14" s="899"/>
    </row>
    <row r="15" spans="2:17" ht="21.95" customHeight="1" x14ac:dyDescent="0.2">
      <c r="C15" s="744"/>
      <c r="D15" s="744"/>
      <c r="E15" s="744"/>
      <c r="F15" s="744"/>
      <c r="G15" s="745"/>
      <c r="H15" s="746"/>
      <c r="I15" s="892"/>
      <c r="J15" s="742"/>
      <c r="K15" s="743"/>
      <c r="L15" s="742"/>
      <c r="M15" s="743">
        <f t="shared" si="0"/>
        <v>0</v>
      </c>
      <c r="N15" s="743"/>
      <c r="O15" s="751">
        <f t="shared" si="1"/>
        <v>0</v>
      </c>
      <c r="Q15" s="899"/>
    </row>
    <row r="16" spans="2:17" ht="21.95" customHeight="1" x14ac:dyDescent="0.2">
      <c r="C16" s="744" t="s">
        <v>6295</v>
      </c>
      <c r="D16" s="744"/>
      <c r="E16" s="744"/>
      <c r="F16" s="744"/>
      <c r="G16" s="745"/>
      <c r="H16" s="746"/>
      <c r="I16" s="892"/>
      <c r="J16" s="742"/>
      <c r="K16" s="743"/>
      <c r="L16" s="742"/>
      <c r="M16" s="743">
        <f t="shared" si="0"/>
        <v>0</v>
      </c>
      <c r="N16" s="743"/>
      <c r="O16" s="751">
        <f t="shared" si="1"/>
        <v>0</v>
      </c>
      <c r="Q16" s="899"/>
    </row>
    <row r="17" spans="2:17" ht="21.95" customHeight="1" x14ac:dyDescent="0.2">
      <c r="C17" s="744"/>
      <c r="D17" s="744" t="s">
        <v>6272</v>
      </c>
      <c r="E17" s="744"/>
      <c r="F17" s="744"/>
      <c r="G17" s="745"/>
      <c r="H17" s="746" t="s">
        <v>5154</v>
      </c>
      <c r="I17" s="892">
        <v>2</v>
      </c>
      <c r="J17" s="742">
        <v>100</v>
      </c>
      <c r="K17" s="743">
        <v>100</v>
      </c>
      <c r="L17" s="742"/>
      <c r="M17" s="743">
        <f t="shared" si="0"/>
        <v>100</v>
      </c>
      <c r="N17" s="743"/>
      <c r="O17" s="751">
        <f t="shared" si="1"/>
        <v>100</v>
      </c>
      <c r="Q17" s="899"/>
    </row>
    <row r="18" spans="2:17" ht="21.95" customHeight="1" x14ac:dyDescent="0.2">
      <c r="C18" s="744"/>
      <c r="D18" s="744"/>
      <c r="E18" s="744"/>
      <c r="F18" s="744"/>
      <c r="G18" s="745"/>
      <c r="H18" s="746"/>
      <c r="I18" s="892"/>
      <c r="J18" s="742"/>
      <c r="K18" s="743"/>
      <c r="L18" s="742"/>
      <c r="M18" s="743">
        <f t="shared" si="0"/>
        <v>0</v>
      </c>
      <c r="N18" s="743"/>
      <c r="O18" s="751">
        <f t="shared" si="1"/>
        <v>0</v>
      </c>
      <c r="Q18" s="899"/>
    </row>
    <row r="19" spans="2:17" ht="21.95" customHeight="1" x14ac:dyDescent="0.2">
      <c r="C19" s="744" t="s">
        <v>6296</v>
      </c>
      <c r="D19" s="744"/>
      <c r="E19" s="744"/>
      <c r="F19" s="744"/>
      <c r="G19" s="745"/>
      <c r="H19" s="746"/>
      <c r="I19" s="892"/>
      <c r="J19" s="742"/>
      <c r="K19" s="743"/>
      <c r="L19" s="742"/>
      <c r="M19" s="743">
        <f t="shared" si="0"/>
        <v>0</v>
      </c>
      <c r="N19" s="743"/>
      <c r="O19" s="751">
        <f t="shared" si="1"/>
        <v>0</v>
      </c>
      <c r="Q19" s="899"/>
    </row>
    <row r="20" spans="2:17" ht="21.95" customHeight="1" x14ac:dyDescent="0.2">
      <c r="C20" s="744"/>
      <c r="D20" s="744" t="s">
        <v>6271</v>
      </c>
      <c r="E20" s="744"/>
      <c r="F20" s="744"/>
      <c r="G20" s="745"/>
      <c r="H20" s="746" t="s">
        <v>5161</v>
      </c>
      <c r="I20" s="892">
        <v>1</v>
      </c>
      <c r="J20" s="742">
        <v>3080</v>
      </c>
      <c r="K20" s="743">
        <v>3080</v>
      </c>
      <c r="L20" s="742"/>
      <c r="M20" s="743">
        <f t="shared" si="0"/>
        <v>3080</v>
      </c>
      <c r="N20" s="743">
        <v>3080</v>
      </c>
      <c r="O20" s="751">
        <f t="shared" si="1"/>
        <v>0</v>
      </c>
      <c r="Q20" s="899"/>
    </row>
    <row r="21" spans="2:17" ht="21.95" customHeight="1" x14ac:dyDescent="0.2">
      <c r="C21" s="744"/>
      <c r="D21" s="744" t="s">
        <v>6272</v>
      </c>
      <c r="E21" s="744"/>
      <c r="F21" s="744"/>
      <c r="G21" s="745"/>
      <c r="H21" s="746" t="s">
        <v>5161</v>
      </c>
      <c r="I21" s="892">
        <v>2</v>
      </c>
      <c r="J21" s="742">
        <v>1040.4000000000001</v>
      </c>
      <c r="K21" s="743">
        <v>1020</v>
      </c>
      <c r="L21" s="742"/>
      <c r="M21" s="743">
        <f t="shared" si="0"/>
        <v>1020</v>
      </c>
      <c r="N21" s="743">
        <v>1020</v>
      </c>
      <c r="O21" s="751">
        <f t="shared" si="1"/>
        <v>0</v>
      </c>
      <c r="Q21" s="899"/>
    </row>
    <row r="22" spans="2:17" ht="21.95" customHeight="1" x14ac:dyDescent="0.2">
      <c r="C22" s="744"/>
      <c r="D22" s="744"/>
      <c r="E22" s="744"/>
      <c r="F22" s="744"/>
      <c r="G22" s="745"/>
      <c r="H22" s="746"/>
      <c r="I22" s="892"/>
      <c r="J22" s="742"/>
      <c r="K22" s="743"/>
      <c r="L22" s="742"/>
      <c r="M22" s="743">
        <f t="shared" si="0"/>
        <v>0</v>
      </c>
      <c r="N22" s="743"/>
      <c r="O22" s="751">
        <f t="shared" si="1"/>
        <v>0</v>
      </c>
      <c r="Q22" s="899"/>
    </row>
    <row r="23" spans="2:17" ht="21.95" customHeight="1" x14ac:dyDescent="0.2">
      <c r="C23" s="744" t="s">
        <v>6297</v>
      </c>
      <c r="D23" s="744"/>
      <c r="E23" s="744"/>
      <c r="F23" s="744"/>
      <c r="G23" s="745"/>
      <c r="H23" s="746"/>
      <c r="I23" s="892"/>
      <c r="J23" s="742"/>
      <c r="K23" s="743"/>
      <c r="L23" s="742"/>
      <c r="M23" s="743">
        <f t="shared" si="0"/>
        <v>0</v>
      </c>
      <c r="N23" s="743"/>
      <c r="O23" s="751">
        <f t="shared" si="1"/>
        <v>0</v>
      </c>
      <c r="Q23" s="899"/>
    </row>
    <row r="24" spans="2:17" ht="21.95" customHeight="1" x14ac:dyDescent="0.2">
      <c r="C24" s="744"/>
      <c r="D24" s="744" t="s">
        <v>6272</v>
      </c>
      <c r="E24" s="744"/>
      <c r="F24" s="744"/>
      <c r="G24" s="745"/>
      <c r="H24" s="746" t="s">
        <v>5161</v>
      </c>
      <c r="I24" s="892">
        <v>2</v>
      </c>
      <c r="J24" s="742">
        <v>1040.4000000000001</v>
      </c>
      <c r="K24" s="743">
        <v>1020</v>
      </c>
      <c r="L24" s="742"/>
      <c r="M24" s="743">
        <f t="shared" si="0"/>
        <v>1020</v>
      </c>
      <c r="N24" s="743"/>
      <c r="O24" s="751">
        <f t="shared" si="1"/>
        <v>1020</v>
      </c>
      <c r="Q24" s="899"/>
    </row>
    <row r="25" spans="2:17" ht="21.95" customHeight="1" x14ac:dyDescent="0.2">
      <c r="C25" s="744"/>
      <c r="D25" s="744"/>
      <c r="E25" s="744"/>
      <c r="F25" s="744"/>
      <c r="G25" s="745"/>
      <c r="H25" s="746"/>
      <c r="I25" s="892"/>
      <c r="J25" s="742"/>
      <c r="K25" s="743"/>
      <c r="L25" s="742"/>
      <c r="M25" s="743">
        <f t="shared" si="0"/>
        <v>0</v>
      </c>
      <c r="N25" s="743"/>
      <c r="O25" s="751">
        <f t="shared" si="1"/>
        <v>0</v>
      </c>
      <c r="Q25" s="899"/>
    </row>
    <row r="26" spans="2:17" ht="21.95" customHeight="1" thickBot="1" x14ac:dyDescent="0.25">
      <c r="C26" s="748"/>
      <c r="D26" s="748"/>
      <c r="E26" s="748"/>
      <c r="F26" s="893"/>
      <c r="G26" s="904"/>
      <c r="H26" s="895"/>
      <c r="I26" s="904"/>
      <c r="J26" s="905"/>
      <c r="K26" s="865"/>
      <c r="L26" s="905"/>
      <c r="M26" s="865">
        <f t="shared" si="0"/>
        <v>0</v>
      </c>
      <c r="N26" s="865"/>
      <c r="O26" s="751">
        <f t="shared" si="1"/>
        <v>0</v>
      </c>
      <c r="Q26" s="899"/>
    </row>
    <row r="27" spans="2:17" ht="16.5" thickTop="1" x14ac:dyDescent="0.25">
      <c r="B27" s="1701" t="s">
        <v>194</v>
      </c>
      <c r="C27" s="1701"/>
      <c r="D27" s="1701"/>
      <c r="E27" s="1701"/>
      <c r="F27" s="1701"/>
      <c r="G27" s="1701"/>
      <c r="H27" s="1616"/>
      <c r="I27" s="1701"/>
      <c r="J27" s="1701"/>
      <c r="K27" s="1701"/>
      <c r="L27" s="1701"/>
      <c r="M27" s="1701"/>
      <c r="N27" s="1701"/>
      <c r="O27" s="1701"/>
    </row>
    <row r="30" spans="2:17" x14ac:dyDescent="0.2">
      <c r="J30" s="29">
        <f>SUM(J7:J26)</f>
        <v>23988.000000000004</v>
      </c>
    </row>
  </sheetData>
  <sheetProtection algorithmName="SHA-512" hashValue="DxpxN4yF82PhgRoob/EJlk96Vtjys4vTP3BSTQV5fgDMgJsCnIs74qtMt2xu7/p57kID5/e52gUccTWOEHrfFw==" saltValue="GMGiTPIA89L1IgoImQxm1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000-000000000000}">
          <x14:formula1>
            <xm:f>'Appropriation Codes'!$A$2:$A$102</xm:f>
          </x14:formula1>
          <xm:sqref>H7:H26</xm:sqref>
        </x14:dataValidation>
      </x14:dataValidations>
    </ext>
  </extLst>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5"/>
  <dimension ref="B2:Q41"/>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5">
      <c r="C7" s="1524" t="s">
        <v>6298</v>
      </c>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
      <c r="C8" s="744"/>
      <c r="D8" s="744" t="s">
        <v>6299</v>
      </c>
      <c r="E8" s="744"/>
      <c r="F8" s="744"/>
      <c r="G8" s="745"/>
      <c r="H8" s="746"/>
      <c r="I8" s="892"/>
      <c r="J8" s="742"/>
      <c r="K8" s="743"/>
      <c r="L8" s="742"/>
      <c r="M8" s="743">
        <f t="shared" si="0"/>
        <v>0</v>
      </c>
      <c r="N8" s="743"/>
      <c r="O8" s="370">
        <f t="shared" si="1"/>
        <v>0</v>
      </c>
      <c r="Q8" s="899"/>
    </row>
    <row r="9" spans="2:17" ht="21.95" customHeight="1" x14ac:dyDescent="0.2">
      <c r="C9" s="744"/>
      <c r="D9" s="744"/>
      <c r="E9" s="744" t="s">
        <v>6271</v>
      </c>
      <c r="F9" s="744"/>
      <c r="G9" s="745"/>
      <c r="H9" s="746" t="s">
        <v>5168</v>
      </c>
      <c r="I9" s="892">
        <v>1</v>
      </c>
      <c r="J9" s="742">
        <v>100</v>
      </c>
      <c r="K9" s="743">
        <v>100</v>
      </c>
      <c r="L9" s="742"/>
      <c r="M9" s="743">
        <f>+K9</f>
        <v>100</v>
      </c>
      <c r="N9" s="743"/>
      <c r="O9" s="370">
        <f t="shared" si="1"/>
        <v>100</v>
      </c>
      <c r="Q9" s="899"/>
    </row>
    <row r="10" spans="2:17" ht="21.95" customHeight="1" x14ac:dyDescent="0.2">
      <c r="C10" s="744"/>
      <c r="D10" s="744"/>
      <c r="E10" s="744" t="s">
        <v>6272</v>
      </c>
      <c r="F10" s="744"/>
      <c r="G10" s="745"/>
      <c r="H10" s="746" t="s">
        <v>5168</v>
      </c>
      <c r="I10" s="892">
        <v>2</v>
      </c>
      <c r="J10" s="742">
        <v>15500</v>
      </c>
      <c r="K10" s="743">
        <v>15300</v>
      </c>
      <c r="L10" s="742"/>
      <c r="M10" s="743">
        <f t="shared" si="0"/>
        <v>15300</v>
      </c>
      <c r="N10" s="743">
        <v>13816</v>
      </c>
      <c r="O10" s="370">
        <f t="shared" si="1"/>
        <v>1484</v>
      </c>
      <c r="Q10" s="899"/>
    </row>
    <row r="11" spans="2:17" ht="21.95" customHeight="1" x14ac:dyDescent="0.2">
      <c r="C11" s="744"/>
      <c r="D11" s="744"/>
      <c r="E11" s="744"/>
      <c r="F11" s="744"/>
      <c r="G11" s="745"/>
      <c r="H11" s="746"/>
      <c r="I11" s="892"/>
      <c r="J11" s="742"/>
      <c r="K11" s="743"/>
      <c r="L11" s="742"/>
      <c r="M11" s="743">
        <f t="shared" si="0"/>
        <v>0</v>
      </c>
      <c r="N11" s="743"/>
      <c r="O11" s="370">
        <f t="shared" si="1"/>
        <v>0</v>
      </c>
      <c r="Q11" s="899"/>
    </row>
    <row r="12" spans="2:17" ht="21.95" customHeight="1" x14ac:dyDescent="0.2">
      <c r="C12" s="744"/>
      <c r="D12" s="744" t="s">
        <v>6300</v>
      </c>
      <c r="E12" s="744"/>
      <c r="F12" s="744"/>
      <c r="G12" s="745"/>
      <c r="H12" s="746"/>
      <c r="I12" s="892"/>
      <c r="J12" s="742"/>
      <c r="K12" s="743"/>
      <c r="L12" s="742"/>
      <c r="M12" s="743">
        <f t="shared" si="0"/>
        <v>0</v>
      </c>
      <c r="N12" s="743"/>
      <c r="O12" s="370">
        <f t="shared" si="1"/>
        <v>0</v>
      </c>
      <c r="Q12" s="900"/>
    </row>
    <row r="13" spans="2:17" ht="21.95" customHeight="1" x14ac:dyDescent="0.2">
      <c r="C13" s="744"/>
      <c r="D13" s="744"/>
      <c r="E13" s="744" t="s">
        <v>6272</v>
      </c>
      <c r="F13" s="744"/>
      <c r="G13" s="745"/>
      <c r="H13" s="746" t="s">
        <v>5168</v>
      </c>
      <c r="I13" s="892">
        <v>2</v>
      </c>
      <c r="J13" s="742">
        <v>3516.55</v>
      </c>
      <c r="K13" s="743">
        <v>3447.6</v>
      </c>
      <c r="L13" s="742"/>
      <c r="M13" s="743">
        <f t="shared" si="0"/>
        <v>3447.6</v>
      </c>
      <c r="N13" s="743">
        <v>3447.6</v>
      </c>
      <c r="O13" s="370">
        <f t="shared" si="1"/>
        <v>0</v>
      </c>
      <c r="Q13" s="899"/>
    </row>
    <row r="14" spans="2:17" ht="21.95" customHeight="1" x14ac:dyDescent="0.2">
      <c r="C14" s="744"/>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t="s">
        <v>6301</v>
      </c>
      <c r="E15" s="744"/>
      <c r="F15" s="744"/>
      <c r="G15" s="745"/>
      <c r="H15" s="746"/>
      <c r="I15" s="892"/>
      <c r="J15" s="742"/>
      <c r="K15" s="743"/>
      <c r="L15" s="742"/>
      <c r="M15" s="743">
        <f t="shared" si="0"/>
        <v>0</v>
      </c>
      <c r="N15" s="743"/>
      <c r="O15" s="370">
        <f t="shared" si="1"/>
        <v>0</v>
      </c>
      <c r="Q15" s="899"/>
    </row>
    <row r="16" spans="2:17" ht="21.95" customHeight="1" x14ac:dyDescent="0.2">
      <c r="C16" s="744"/>
      <c r="D16" s="744"/>
      <c r="E16" s="744" t="s">
        <v>6271</v>
      </c>
      <c r="F16" s="744"/>
      <c r="G16" s="745"/>
      <c r="H16" s="746" t="s">
        <v>5177</v>
      </c>
      <c r="I16" s="892">
        <v>1</v>
      </c>
      <c r="J16" s="742">
        <v>100</v>
      </c>
      <c r="K16" s="743">
        <v>100</v>
      </c>
      <c r="L16" s="742"/>
      <c r="M16" s="743">
        <f t="shared" si="0"/>
        <v>100</v>
      </c>
      <c r="N16" s="743"/>
      <c r="O16" s="370">
        <f t="shared" si="1"/>
        <v>100</v>
      </c>
      <c r="Q16" s="899"/>
    </row>
    <row r="17" spans="2:17" ht="21.95" customHeight="1" x14ac:dyDescent="0.2">
      <c r="C17" s="744"/>
      <c r="D17" s="744"/>
      <c r="E17" s="744" t="s">
        <v>6272</v>
      </c>
      <c r="F17" s="744"/>
      <c r="G17" s="745"/>
      <c r="H17" s="746" t="s">
        <v>5177</v>
      </c>
      <c r="I17" s="892">
        <v>2</v>
      </c>
      <c r="J17" s="742">
        <v>20000</v>
      </c>
      <c r="K17" s="743">
        <v>22440</v>
      </c>
      <c r="L17" s="742"/>
      <c r="M17" s="743">
        <f t="shared" si="0"/>
        <v>22440</v>
      </c>
      <c r="N17" s="743">
        <v>15545.03</v>
      </c>
      <c r="O17" s="370">
        <f t="shared" si="1"/>
        <v>6894.9699999999993</v>
      </c>
      <c r="Q17" s="899"/>
    </row>
    <row r="18" spans="2:17" ht="21.95" customHeight="1" x14ac:dyDescent="0.2">
      <c r="C18" s="744"/>
      <c r="D18" s="744" t="s">
        <v>6302</v>
      </c>
      <c r="E18" s="744"/>
      <c r="F18" s="744"/>
      <c r="G18" s="745"/>
      <c r="H18" s="746"/>
      <c r="I18" s="892"/>
      <c r="J18" s="742"/>
      <c r="K18" s="743"/>
      <c r="L18" s="742"/>
      <c r="M18" s="743">
        <f t="shared" si="0"/>
        <v>0</v>
      </c>
      <c r="N18" s="743"/>
      <c r="O18" s="370">
        <f t="shared" si="1"/>
        <v>0</v>
      </c>
      <c r="Q18" s="899"/>
    </row>
    <row r="19" spans="2:17" ht="21.95" customHeight="1" x14ac:dyDescent="0.2">
      <c r="C19" s="744"/>
      <c r="D19" s="744"/>
      <c r="E19" s="744" t="s">
        <v>6272</v>
      </c>
      <c r="F19" s="744"/>
      <c r="G19" s="745"/>
      <c r="H19" s="746" t="s">
        <v>5169</v>
      </c>
      <c r="I19" s="892">
        <v>2</v>
      </c>
      <c r="J19" s="742">
        <v>2000</v>
      </c>
      <c r="K19" s="743">
        <v>2000</v>
      </c>
      <c r="L19" s="742"/>
      <c r="M19" s="743">
        <f t="shared" si="0"/>
        <v>2000</v>
      </c>
      <c r="N19" s="743"/>
      <c r="O19" s="370">
        <f t="shared" si="1"/>
        <v>2000</v>
      </c>
      <c r="Q19" s="899"/>
    </row>
    <row r="20" spans="2:17" ht="21.95" customHeight="1" x14ac:dyDescent="0.2">
      <c r="C20" s="744"/>
      <c r="D20" s="744"/>
      <c r="E20" s="744"/>
      <c r="F20" s="744"/>
      <c r="G20" s="745"/>
      <c r="H20" s="746"/>
      <c r="I20" s="892"/>
      <c r="J20" s="742"/>
      <c r="K20" s="743"/>
      <c r="L20" s="742"/>
      <c r="M20" s="743">
        <f t="shared" si="0"/>
        <v>0</v>
      </c>
      <c r="N20" s="743"/>
      <c r="O20" s="370">
        <f t="shared" si="1"/>
        <v>0</v>
      </c>
      <c r="Q20" s="899"/>
    </row>
    <row r="21" spans="2:17" ht="21.95" customHeight="1" x14ac:dyDescent="0.25">
      <c r="C21" s="1524" t="s">
        <v>6303</v>
      </c>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t="s">
        <v>6304</v>
      </c>
      <c r="E23" s="744"/>
      <c r="F23" s="744"/>
      <c r="G23" s="745"/>
      <c r="H23" s="746"/>
      <c r="I23" s="892"/>
      <c r="J23" s="742"/>
      <c r="K23" s="743"/>
      <c r="L23" s="742"/>
      <c r="M23" s="743">
        <f t="shared" si="0"/>
        <v>0</v>
      </c>
      <c r="N23" s="743"/>
      <c r="O23" s="370">
        <f t="shared" si="1"/>
        <v>0</v>
      </c>
      <c r="Q23" s="899"/>
    </row>
    <row r="24" spans="2:17" ht="21.95" customHeight="1" x14ac:dyDescent="0.2">
      <c r="C24" s="744"/>
      <c r="D24" s="744"/>
      <c r="E24" s="744" t="s">
        <v>6272</v>
      </c>
      <c r="F24" s="744"/>
      <c r="G24" s="745"/>
      <c r="H24" s="746" t="s">
        <v>5181</v>
      </c>
      <c r="I24" s="892">
        <v>2</v>
      </c>
      <c r="J24" s="742">
        <v>100</v>
      </c>
      <c r="K24" s="743">
        <v>100</v>
      </c>
      <c r="L24" s="742"/>
      <c r="M24" s="743">
        <f t="shared" si="0"/>
        <v>100</v>
      </c>
      <c r="N24" s="743"/>
      <c r="O24" s="370">
        <f t="shared" si="1"/>
        <v>100</v>
      </c>
      <c r="Q24" s="899"/>
    </row>
    <row r="25" spans="2:17" ht="21.95" customHeight="1" x14ac:dyDescent="0.2">
      <c r="C25" s="744"/>
      <c r="D25" s="744" t="s">
        <v>6305</v>
      </c>
      <c r="E25" s="744"/>
      <c r="F25" s="744"/>
      <c r="G25" s="745"/>
      <c r="H25" s="746"/>
      <c r="I25" s="892"/>
      <c r="J25" s="742"/>
      <c r="K25" s="743"/>
      <c r="L25" s="742"/>
      <c r="M25" s="743">
        <f t="shared" si="0"/>
        <v>0</v>
      </c>
      <c r="N25" s="743"/>
      <c r="O25" s="370">
        <f t="shared" si="1"/>
        <v>0</v>
      </c>
      <c r="Q25" s="899"/>
    </row>
    <row r="26" spans="2:17" ht="21.95" customHeight="1" thickBot="1" x14ac:dyDescent="0.25">
      <c r="C26" s="748"/>
      <c r="D26" s="748"/>
      <c r="E26" s="748" t="s">
        <v>6272</v>
      </c>
      <c r="F26" s="893"/>
      <c r="G26" s="904"/>
      <c r="H26" s="895" t="s">
        <v>5186</v>
      </c>
      <c r="I26" s="1025">
        <v>2</v>
      </c>
      <c r="J26" s="905">
        <v>100</v>
      </c>
      <c r="K26" s="865">
        <v>100</v>
      </c>
      <c r="L26" s="905"/>
      <c r="M26" s="865">
        <f t="shared" si="0"/>
        <v>100</v>
      </c>
      <c r="N26" s="865"/>
      <c r="O26" s="370">
        <f t="shared" si="1"/>
        <v>100</v>
      </c>
      <c r="Q26" s="899"/>
    </row>
    <row r="27" spans="2:17" ht="16.5" thickTop="1" x14ac:dyDescent="0.25">
      <c r="B27" s="1701" t="s">
        <v>193</v>
      </c>
      <c r="C27" s="1701"/>
      <c r="D27" s="1701"/>
      <c r="E27" s="1701"/>
      <c r="F27" s="1701"/>
      <c r="G27" s="1701"/>
      <c r="H27" s="1701"/>
      <c r="I27" s="1701"/>
      <c r="J27" s="1701"/>
      <c r="K27" s="1701"/>
      <c r="L27" s="1701"/>
      <c r="M27" s="1701"/>
      <c r="N27" s="1701"/>
      <c r="O27" s="1701"/>
    </row>
    <row r="30" spans="2:17" x14ac:dyDescent="0.2">
      <c r="J30" s="29">
        <f>SUM(J7:J26)</f>
        <v>41416.550000000003</v>
      </c>
    </row>
    <row r="32" spans="2:17" x14ac:dyDescent="0.2">
      <c r="J32" s="180"/>
    </row>
    <row r="33" spans="10:10" x14ac:dyDescent="0.2">
      <c r="J33" s="180"/>
    </row>
    <row r="34" spans="10:10" x14ac:dyDescent="0.2">
      <c r="J34" s="180"/>
    </row>
    <row r="35" spans="10:10" x14ac:dyDescent="0.2">
      <c r="J35" s="180"/>
    </row>
    <row r="36" spans="10:10" x14ac:dyDescent="0.2">
      <c r="J36" s="180"/>
    </row>
    <row r="37" spans="10:10" x14ac:dyDescent="0.2">
      <c r="J37" s="180"/>
    </row>
    <row r="38" spans="10:10" x14ac:dyDescent="0.2">
      <c r="J38" s="180"/>
    </row>
    <row r="39" spans="10:10" x14ac:dyDescent="0.2">
      <c r="J39" s="180"/>
    </row>
    <row r="40" spans="10:10" x14ac:dyDescent="0.2">
      <c r="J40" s="180"/>
    </row>
    <row r="41" spans="10:10" x14ac:dyDescent="0.2">
      <c r="J41" s="180"/>
    </row>
  </sheetData>
  <sheetProtection algorithmName="SHA-512" hashValue="STA2MQB5XZSlwd+su359FmScrrqu6m6/tH6oIWYM4KgxDt5Wi13CP1B0syDn8h8Rnn/fT8xqycaikz9+pa6XpA==" saltValue="KD3w+dWd6zVRZm7WT3x1+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100-000000000000}">
          <x14:formula1>
            <xm:f>'Appropriation Codes'!$A$2:$A$102</xm:f>
          </x14:formula1>
          <xm:sqref>H7:H26</xm:sqref>
        </x14:dataValidation>
      </x14:dataValidations>
    </ext>
  </extLst>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6"/>
  <dimension ref="B2:Q30"/>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
      <c r="C8" s="744" t="s">
        <v>6306</v>
      </c>
      <c r="D8" s="744"/>
      <c r="E8" s="744"/>
      <c r="F8" s="744"/>
      <c r="G8" s="745"/>
      <c r="H8" s="746"/>
      <c r="I8" s="892"/>
      <c r="J8" s="742"/>
      <c r="K8" s="743"/>
      <c r="L8" s="742"/>
      <c r="M8" s="743">
        <f t="shared" si="0"/>
        <v>0</v>
      </c>
      <c r="N8" s="743"/>
      <c r="O8" s="370">
        <f t="shared" si="1"/>
        <v>0</v>
      </c>
      <c r="Q8" s="899"/>
    </row>
    <row r="9" spans="2:17" ht="21.95" customHeight="1" x14ac:dyDescent="0.2">
      <c r="C9" s="744"/>
      <c r="D9" s="744" t="s">
        <v>6271</v>
      </c>
      <c r="E9" s="744"/>
      <c r="F9" s="744"/>
      <c r="G9" s="745"/>
      <c r="H9" s="746" t="s">
        <v>5187</v>
      </c>
      <c r="I9" s="892">
        <v>1</v>
      </c>
      <c r="J9" s="742">
        <v>530.6</v>
      </c>
      <c r="K9" s="743">
        <v>520.20000000000005</v>
      </c>
      <c r="L9" s="743"/>
      <c r="M9" s="743">
        <f>+K9</f>
        <v>520.20000000000005</v>
      </c>
      <c r="N9" s="743">
        <v>500</v>
      </c>
      <c r="O9" s="370">
        <f t="shared" si="1"/>
        <v>20.200000000000045</v>
      </c>
      <c r="Q9" s="899"/>
    </row>
    <row r="10" spans="2:17" ht="21.95" customHeight="1" x14ac:dyDescent="0.2">
      <c r="C10" s="744"/>
      <c r="D10" s="744" t="s">
        <v>6272</v>
      </c>
      <c r="E10" s="744"/>
      <c r="F10" s="744"/>
      <c r="G10" s="745"/>
      <c r="H10" s="746" t="s">
        <v>5187</v>
      </c>
      <c r="I10" s="892">
        <v>2</v>
      </c>
      <c r="J10" s="742">
        <v>6225</v>
      </c>
      <c r="K10" s="743">
        <v>6225</v>
      </c>
      <c r="L10" s="743"/>
      <c r="M10" s="743">
        <f t="shared" si="0"/>
        <v>6225</v>
      </c>
      <c r="N10" s="743">
        <v>5813</v>
      </c>
      <c r="O10" s="370">
        <f t="shared" si="1"/>
        <v>412</v>
      </c>
      <c r="Q10" s="899"/>
    </row>
    <row r="11" spans="2:17" ht="21.95" customHeight="1" x14ac:dyDescent="0.2">
      <c r="C11" s="744"/>
      <c r="D11" s="744"/>
      <c r="E11" s="744"/>
      <c r="F11" s="744"/>
      <c r="G11" s="745"/>
      <c r="H11" s="746"/>
      <c r="I11" s="892"/>
      <c r="J11" s="742"/>
      <c r="K11" s="743"/>
      <c r="L11" s="743"/>
      <c r="M11" s="743">
        <f t="shared" si="0"/>
        <v>0</v>
      </c>
      <c r="N11" s="743"/>
      <c r="O11" s="370">
        <f t="shared" si="1"/>
        <v>0</v>
      </c>
      <c r="Q11" s="899"/>
    </row>
    <row r="12" spans="2:17" ht="21.95" customHeight="1" x14ac:dyDescent="0.2">
      <c r="C12" s="744" t="s">
        <v>6307</v>
      </c>
      <c r="D12" s="744"/>
      <c r="E12" s="744"/>
      <c r="F12" s="744"/>
      <c r="G12" s="745"/>
      <c r="H12" s="746"/>
      <c r="I12" s="892"/>
      <c r="J12" s="742"/>
      <c r="K12" s="743"/>
      <c r="L12" s="743"/>
      <c r="M12" s="743">
        <f t="shared" si="0"/>
        <v>0</v>
      </c>
      <c r="N12" s="743"/>
      <c r="O12" s="370">
        <f t="shared" si="1"/>
        <v>0</v>
      </c>
      <c r="Q12" s="900"/>
    </row>
    <row r="13" spans="2:17" ht="21.95" customHeight="1" x14ac:dyDescent="0.2">
      <c r="C13" s="744"/>
      <c r="D13" s="744" t="s">
        <v>6272</v>
      </c>
      <c r="E13" s="744"/>
      <c r="F13" s="744"/>
      <c r="G13" s="745"/>
      <c r="H13" s="746" t="s">
        <v>5182</v>
      </c>
      <c r="I13" s="892">
        <v>2</v>
      </c>
      <c r="J13" s="742">
        <v>100</v>
      </c>
      <c r="K13" s="743">
        <v>100</v>
      </c>
      <c r="L13" s="743"/>
      <c r="M13" s="743">
        <f t="shared" si="0"/>
        <v>100</v>
      </c>
      <c r="N13" s="743"/>
      <c r="O13" s="370">
        <f t="shared" si="1"/>
        <v>100</v>
      </c>
      <c r="Q13" s="899"/>
    </row>
    <row r="14" spans="2:17" ht="21.95" customHeight="1" x14ac:dyDescent="0.2">
      <c r="C14" s="744"/>
      <c r="D14" s="744"/>
      <c r="E14" s="744"/>
      <c r="F14" s="744"/>
      <c r="G14" s="745"/>
      <c r="H14" s="746"/>
      <c r="I14" s="892"/>
      <c r="J14" s="742"/>
      <c r="K14" s="743"/>
      <c r="L14" s="743"/>
      <c r="M14" s="743">
        <f t="shared" si="0"/>
        <v>0</v>
      </c>
      <c r="N14" s="743"/>
      <c r="O14" s="370">
        <f t="shared" si="1"/>
        <v>0</v>
      </c>
      <c r="Q14" s="899"/>
    </row>
    <row r="15" spans="2:17" ht="21.95" customHeight="1" x14ac:dyDescent="0.25">
      <c r="C15" s="1524" t="s">
        <v>6308</v>
      </c>
      <c r="D15" s="744"/>
      <c r="E15" s="744"/>
      <c r="F15" s="744"/>
      <c r="G15" s="745"/>
      <c r="H15" s="746"/>
      <c r="I15" s="892"/>
      <c r="J15" s="742"/>
      <c r="K15" s="743"/>
      <c r="L15" s="743"/>
      <c r="M15" s="743">
        <f t="shared" si="0"/>
        <v>0</v>
      </c>
      <c r="N15" s="743"/>
      <c r="O15" s="370">
        <f t="shared" si="1"/>
        <v>0</v>
      </c>
      <c r="Q15" s="899"/>
    </row>
    <row r="16" spans="2:17" ht="21.95" customHeight="1" x14ac:dyDescent="0.2">
      <c r="C16" s="744"/>
      <c r="D16" s="744"/>
      <c r="E16" s="744"/>
      <c r="F16" s="744"/>
      <c r="G16" s="745"/>
      <c r="H16" s="746"/>
      <c r="I16" s="892"/>
      <c r="J16" s="742"/>
      <c r="K16" s="743"/>
      <c r="L16" s="743"/>
      <c r="M16" s="743">
        <f t="shared" si="0"/>
        <v>0</v>
      </c>
      <c r="N16" s="743"/>
      <c r="O16" s="370">
        <f t="shared" si="1"/>
        <v>0</v>
      </c>
      <c r="Q16" s="899"/>
    </row>
    <row r="17" spans="2:17" ht="21.95" customHeight="1" x14ac:dyDescent="0.2">
      <c r="C17" s="744" t="s">
        <v>6309</v>
      </c>
      <c r="D17" s="744"/>
      <c r="E17" s="744"/>
      <c r="F17" s="744"/>
      <c r="G17" s="745"/>
      <c r="H17" s="746"/>
      <c r="I17" s="892"/>
      <c r="J17" s="742"/>
      <c r="K17" s="743"/>
      <c r="L17" s="743"/>
      <c r="M17" s="743">
        <f t="shared" si="0"/>
        <v>0</v>
      </c>
      <c r="N17" s="743"/>
      <c r="O17" s="370">
        <f t="shared" si="1"/>
        <v>0</v>
      </c>
      <c r="Q17" s="899"/>
    </row>
    <row r="18" spans="2:17" ht="21.95" customHeight="1" x14ac:dyDescent="0.2">
      <c r="C18" s="744"/>
      <c r="D18" s="744" t="s">
        <v>6310</v>
      </c>
      <c r="E18" s="744"/>
      <c r="F18" s="744"/>
      <c r="G18" s="745"/>
      <c r="H18" s="746" t="s">
        <v>5189</v>
      </c>
      <c r="I18" s="892">
        <v>2</v>
      </c>
      <c r="J18" s="742">
        <v>100</v>
      </c>
      <c r="K18" s="743">
        <v>100</v>
      </c>
      <c r="L18" s="743"/>
      <c r="M18" s="743">
        <f t="shared" si="0"/>
        <v>100</v>
      </c>
      <c r="N18" s="743"/>
      <c r="O18" s="370">
        <f t="shared" si="1"/>
        <v>100</v>
      </c>
      <c r="Q18" s="899"/>
    </row>
    <row r="19" spans="2:17" ht="21.95" customHeight="1" x14ac:dyDescent="0.2">
      <c r="C19" s="744"/>
      <c r="D19" s="744"/>
      <c r="E19" s="744"/>
      <c r="F19" s="744"/>
      <c r="G19" s="745"/>
      <c r="H19" s="746"/>
      <c r="I19" s="892"/>
      <c r="J19" s="742"/>
      <c r="K19" s="743"/>
      <c r="L19" s="743"/>
      <c r="M19" s="743">
        <f t="shared" si="0"/>
        <v>0</v>
      </c>
      <c r="N19" s="743"/>
      <c r="O19" s="370">
        <f t="shared" si="1"/>
        <v>0</v>
      </c>
      <c r="Q19" s="899"/>
    </row>
    <row r="20" spans="2:17" ht="21.95" customHeight="1" x14ac:dyDescent="0.25">
      <c r="C20" s="1524" t="s">
        <v>6311</v>
      </c>
      <c r="D20" s="744"/>
      <c r="E20" s="744"/>
      <c r="F20" s="744"/>
      <c r="G20" s="745"/>
      <c r="H20" s="746"/>
      <c r="I20" s="892"/>
      <c r="J20" s="742"/>
      <c r="K20" s="743"/>
      <c r="L20" s="743"/>
      <c r="M20" s="743">
        <f t="shared" si="0"/>
        <v>0</v>
      </c>
      <c r="N20" s="743"/>
      <c r="O20" s="370">
        <f t="shared" si="1"/>
        <v>0</v>
      </c>
      <c r="Q20" s="899"/>
    </row>
    <row r="21" spans="2:17" ht="21.95" customHeight="1" x14ac:dyDescent="0.2">
      <c r="C21" s="744"/>
      <c r="D21" s="744"/>
      <c r="E21" s="744"/>
      <c r="F21" s="744"/>
      <c r="G21" s="745"/>
      <c r="H21" s="746"/>
      <c r="I21" s="892"/>
      <c r="J21" s="742"/>
      <c r="K21" s="743"/>
      <c r="L21" s="743"/>
      <c r="M21" s="743">
        <f t="shared" si="0"/>
        <v>0</v>
      </c>
      <c r="N21" s="743"/>
      <c r="O21" s="370">
        <f t="shared" si="1"/>
        <v>0</v>
      </c>
      <c r="Q21" s="899"/>
    </row>
    <row r="22" spans="2:17" ht="21.95" customHeight="1" x14ac:dyDescent="0.2">
      <c r="C22" s="744"/>
      <c r="D22" s="744" t="s">
        <v>6312</v>
      </c>
      <c r="E22" s="744"/>
      <c r="F22" s="744"/>
      <c r="G22" s="745"/>
      <c r="H22" s="746" t="s">
        <v>5198</v>
      </c>
      <c r="I22" s="892">
        <v>2</v>
      </c>
      <c r="J22" s="742">
        <v>6367.25</v>
      </c>
      <c r="K22" s="743">
        <v>6242.4</v>
      </c>
      <c r="L22" s="743"/>
      <c r="M22" s="743">
        <f t="shared" si="0"/>
        <v>6242.4</v>
      </c>
      <c r="N22" s="743">
        <v>4163.3100000000004</v>
      </c>
      <c r="O22" s="370">
        <f t="shared" si="1"/>
        <v>2079.0899999999992</v>
      </c>
      <c r="Q22" s="899"/>
    </row>
    <row r="23" spans="2:17" ht="21.95" customHeight="1" x14ac:dyDescent="0.2">
      <c r="C23" s="744"/>
      <c r="D23" s="744" t="s">
        <v>6313</v>
      </c>
      <c r="E23" s="744"/>
      <c r="F23" s="744"/>
      <c r="G23" s="745"/>
      <c r="H23" s="746" t="s">
        <v>5200</v>
      </c>
      <c r="I23" s="892">
        <v>2</v>
      </c>
      <c r="J23" s="742">
        <v>4890.92</v>
      </c>
      <c r="K23" s="743">
        <v>4795.0200000000004</v>
      </c>
      <c r="L23" s="743"/>
      <c r="M23" s="743">
        <f t="shared" si="0"/>
        <v>4795.0200000000004</v>
      </c>
      <c r="N23" s="743">
        <v>4181.54</v>
      </c>
      <c r="O23" s="370">
        <f t="shared" si="1"/>
        <v>613.48000000000047</v>
      </c>
      <c r="Q23" s="899"/>
    </row>
    <row r="24" spans="2:17" ht="21.95" customHeight="1" x14ac:dyDescent="0.2">
      <c r="C24" s="744"/>
      <c r="D24" s="744" t="s">
        <v>6314</v>
      </c>
      <c r="E24" s="744"/>
      <c r="F24" s="744"/>
      <c r="G24" s="745"/>
      <c r="H24" s="746" t="s">
        <v>5202</v>
      </c>
      <c r="I24" s="892">
        <v>2</v>
      </c>
      <c r="J24" s="742">
        <v>5360.14</v>
      </c>
      <c r="K24" s="743">
        <v>5255.04</v>
      </c>
      <c r="L24" s="743"/>
      <c r="M24" s="743">
        <f t="shared" si="0"/>
        <v>5255.04</v>
      </c>
      <c r="N24" s="743">
        <v>1768.64</v>
      </c>
      <c r="O24" s="370">
        <f t="shared" si="1"/>
        <v>3486.3999999999996</v>
      </c>
      <c r="Q24" s="899"/>
    </row>
    <row r="25" spans="2:17" ht="21.95" customHeight="1" x14ac:dyDescent="0.2">
      <c r="C25" s="744"/>
      <c r="D25" s="744" t="s">
        <v>6315</v>
      </c>
      <c r="E25" s="744"/>
      <c r="F25" s="744"/>
      <c r="G25" s="745"/>
      <c r="H25" s="746"/>
      <c r="I25" s="892"/>
      <c r="J25" s="742"/>
      <c r="K25" s="743"/>
      <c r="L25" s="743"/>
      <c r="M25" s="743">
        <f t="shared" si="0"/>
        <v>0</v>
      </c>
      <c r="N25" s="743"/>
      <c r="O25" s="370">
        <f t="shared" si="1"/>
        <v>0</v>
      </c>
      <c r="Q25" s="899"/>
    </row>
    <row r="26" spans="2:17" ht="21.95" customHeight="1" thickBot="1" x14ac:dyDescent="0.25">
      <c r="C26" s="748"/>
      <c r="D26" s="748"/>
      <c r="E26" s="748" t="s">
        <v>6272</v>
      </c>
      <c r="F26" s="893"/>
      <c r="G26" s="904"/>
      <c r="H26" s="895" t="s">
        <v>5199</v>
      </c>
      <c r="I26" s="1025">
        <v>2</v>
      </c>
      <c r="J26" s="905">
        <v>10404</v>
      </c>
      <c r="K26" s="865">
        <v>10200</v>
      </c>
      <c r="L26" s="865"/>
      <c r="M26" s="865">
        <f t="shared" si="0"/>
        <v>10200</v>
      </c>
      <c r="N26" s="865">
        <v>9882.61</v>
      </c>
      <c r="O26" s="370">
        <f t="shared" si="1"/>
        <v>317.38999999999942</v>
      </c>
      <c r="Q26" s="899"/>
    </row>
    <row r="27" spans="2:17" ht="16.5" thickTop="1" x14ac:dyDescent="0.25">
      <c r="B27" s="1701" t="s">
        <v>192</v>
      </c>
      <c r="C27" s="1701"/>
      <c r="D27" s="1701"/>
      <c r="E27" s="1701"/>
      <c r="F27" s="1701"/>
      <c r="G27" s="1701"/>
      <c r="H27" s="1701"/>
      <c r="I27" s="1701"/>
      <c r="J27" s="1701"/>
      <c r="K27" s="1701"/>
      <c r="L27" s="1701"/>
      <c r="M27" s="1701"/>
      <c r="N27" s="1701"/>
      <c r="O27" s="1701"/>
    </row>
    <row r="30" spans="2:17" x14ac:dyDescent="0.2">
      <c r="J30" s="29">
        <f>SUM(J7:J26)</f>
        <v>33977.910000000003</v>
      </c>
    </row>
  </sheetData>
  <sheetProtection algorithmName="SHA-512" hashValue="70JqJmnVgAK2LNLjyYs+nzjsFJzYmm2fBOsMzEYvZgrMrNWoUMDUgvG6WGWaA1NtVkTIqy6XVF1hQGmf3U8CZg==" saltValue="QrvM8tU9/iGKv5OZedQ2Z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200-000000000000}">
          <x14:formula1>
            <xm:f>'Appropriation Codes'!$A$2:$A$102</xm:f>
          </x14:formula1>
          <xm:sqref>H7:H26</xm:sqref>
        </x14:dataValidation>
      </x14:dataValidations>
    </ext>
  </extLst>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7"/>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5">
      <c r="C8" s="1524" t="s">
        <v>6316</v>
      </c>
      <c r="D8" s="744"/>
      <c r="E8" s="744"/>
      <c r="F8" s="744"/>
      <c r="G8" s="745"/>
      <c r="H8" s="746"/>
      <c r="I8" s="892"/>
      <c r="J8" s="742"/>
      <c r="K8" s="743"/>
      <c r="L8" s="742"/>
      <c r="M8" s="743">
        <f t="shared" si="0"/>
        <v>0</v>
      </c>
      <c r="N8" s="743"/>
      <c r="O8" s="370">
        <f t="shared" si="1"/>
        <v>0</v>
      </c>
      <c r="Q8" s="899"/>
    </row>
    <row r="9" spans="2:17" ht="21.95" customHeight="1" x14ac:dyDescent="0.2">
      <c r="C9" s="744"/>
      <c r="D9" s="744"/>
      <c r="E9" s="744"/>
      <c r="F9" s="744"/>
      <c r="G9" s="745"/>
      <c r="H9" s="746"/>
      <c r="I9" s="892"/>
      <c r="J9" s="742"/>
      <c r="K9" s="743"/>
      <c r="L9" s="742"/>
      <c r="M9" s="743">
        <f>+K9</f>
        <v>0</v>
      </c>
      <c r="N9" s="743"/>
      <c r="O9" s="370">
        <f t="shared" si="1"/>
        <v>0</v>
      </c>
      <c r="Q9" s="899"/>
    </row>
    <row r="10" spans="2:17" ht="21.95" customHeight="1" x14ac:dyDescent="0.2">
      <c r="C10" s="744" t="s">
        <v>6317</v>
      </c>
      <c r="D10" s="744"/>
      <c r="E10" s="744"/>
      <c r="F10" s="744"/>
      <c r="G10" s="745"/>
      <c r="H10" s="746" t="s">
        <v>5149</v>
      </c>
      <c r="I10" s="892">
        <v>2</v>
      </c>
      <c r="J10" s="742">
        <v>103726.03</v>
      </c>
      <c r="K10" s="743">
        <v>95785.32</v>
      </c>
      <c r="L10" s="742"/>
      <c r="M10" s="743">
        <f t="shared" si="0"/>
        <v>95785.32</v>
      </c>
      <c r="N10" s="743">
        <v>67170.69</v>
      </c>
      <c r="O10" s="370">
        <f t="shared" si="1"/>
        <v>28614.630000000005</v>
      </c>
      <c r="Q10" s="899"/>
    </row>
    <row r="11" spans="2:17" ht="21.95" customHeight="1" x14ac:dyDescent="0.2">
      <c r="C11" s="744" t="s">
        <v>6318</v>
      </c>
      <c r="D11" s="744"/>
      <c r="E11" s="744"/>
      <c r="F11" s="744"/>
      <c r="G11" s="745"/>
      <c r="H11" s="746" t="s">
        <v>5149</v>
      </c>
      <c r="I11" s="892">
        <v>2</v>
      </c>
      <c r="J11" s="742">
        <v>1248.48</v>
      </c>
      <c r="K11" s="743">
        <v>1224</v>
      </c>
      <c r="L11" s="742"/>
      <c r="M11" s="743">
        <f t="shared" si="0"/>
        <v>1224</v>
      </c>
      <c r="N11" s="743">
        <v>1086.75</v>
      </c>
      <c r="O11" s="370">
        <f t="shared" si="1"/>
        <v>137.25</v>
      </c>
      <c r="Q11" s="899"/>
    </row>
    <row r="12" spans="2:17" ht="21.95" customHeight="1" x14ac:dyDescent="0.2">
      <c r="C12" s="744"/>
      <c r="D12" s="744"/>
      <c r="E12" s="744"/>
      <c r="F12" s="744"/>
      <c r="G12" s="745"/>
      <c r="H12" s="746"/>
      <c r="I12" s="892"/>
      <c r="J12" s="742"/>
      <c r="K12" s="743"/>
      <c r="L12" s="742"/>
      <c r="M12" s="743">
        <f t="shared" si="0"/>
        <v>0</v>
      </c>
      <c r="N12" s="743"/>
      <c r="O12" s="370">
        <f t="shared" si="1"/>
        <v>0</v>
      </c>
      <c r="Q12" s="900"/>
    </row>
    <row r="13" spans="2:17" ht="21.95" customHeight="1" x14ac:dyDescent="0.2">
      <c r="C13" s="744"/>
      <c r="D13" s="744"/>
      <c r="E13" s="744"/>
      <c r="F13" s="744"/>
      <c r="G13" s="745"/>
      <c r="H13" s="746"/>
      <c r="I13" s="892"/>
      <c r="J13" s="742"/>
      <c r="K13" s="743"/>
      <c r="L13" s="742"/>
      <c r="M13" s="743">
        <f t="shared" si="0"/>
        <v>0</v>
      </c>
      <c r="N13" s="743"/>
      <c r="O13" s="370">
        <f t="shared" si="1"/>
        <v>0</v>
      </c>
      <c r="Q13" s="899"/>
    </row>
    <row r="14" spans="2:17" ht="21.95" customHeight="1" x14ac:dyDescent="0.2">
      <c r="C14" s="744"/>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c r="E15" s="744"/>
      <c r="F15" s="744"/>
      <c r="G15" s="745"/>
      <c r="H15" s="746"/>
      <c r="I15" s="892"/>
      <c r="J15" s="742"/>
      <c r="K15" s="743"/>
      <c r="L15" s="742"/>
      <c r="M15" s="743">
        <f t="shared" si="0"/>
        <v>0</v>
      </c>
      <c r="N15" s="743"/>
      <c r="O15" s="370">
        <f t="shared" si="1"/>
        <v>0</v>
      </c>
      <c r="Q15" s="899"/>
    </row>
    <row r="16" spans="2:17" ht="21.95" customHeight="1" x14ac:dyDescent="0.2">
      <c r="C16" s="744"/>
      <c r="D16" s="744"/>
      <c r="E16" s="744"/>
      <c r="F16" s="744"/>
      <c r="G16" s="745"/>
      <c r="H16" s="746"/>
      <c r="I16" s="892"/>
      <c r="J16" s="742"/>
      <c r="K16" s="743"/>
      <c r="L16" s="742"/>
      <c r="M16" s="743">
        <f t="shared" si="0"/>
        <v>0</v>
      </c>
      <c r="N16" s="743"/>
      <c r="O16" s="370">
        <f t="shared" si="1"/>
        <v>0</v>
      </c>
      <c r="Q16" s="899"/>
    </row>
    <row r="17" spans="2:17" ht="21.95" customHeight="1" x14ac:dyDescent="0.2">
      <c r="C17" s="744"/>
      <c r="D17" s="744"/>
      <c r="E17" s="744"/>
      <c r="F17" s="744"/>
      <c r="G17" s="745"/>
      <c r="H17" s="746"/>
      <c r="I17" s="892"/>
      <c r="J17" s="742"/>
      <c r="K17" s="743"/>
      <c r="L17" s="742"/>
      <c r="M17" s="743">
        <f t="shared" si="0"/>
        <v>0</v>
      </c>
      <c r="N17" s="743"/>
      <c r="O17" s="370">
        <f t="shared" si="1"/>
        <v>0</v>
      </c>
      <c r="Q17" s="899"/>
    </row>
    <row r="18" spans="2:17" ht="21.95" customHeight="1" x14ac:dyDescent="0.2">
      <c r="C18" s="744"/>
      <c r="D18" s="744"/>
      <c r="E18" s="744"/>
      <c r="F18" s="744"/>
      <c r="G18" s="745"/>
      <c r="H18" s="746"/>
      <c r="I18" s="892"/>
      <c r="J18" s="742"/>
      <c r="K18" s="743"/>
      <c r="L18" s="742"/>
      <c r="M18" s="743">
        <f t="shared" si="0"/>
        <v>0</v>
      </c>
      <c r="N18" s="743"/>
      <c r="O18" s="370">
        <f t="shared" si="1"/>
        <v>0</v>
      </c>
      <c r="Q18" s="899"/>
    </row>
    <row r="19" spans="2:17" ht="21.95" customHeight="1" x14ac:dyDescent="0.2">
      <c r="C19" s="744"/>
      <c r="D19" s="744"/>
      <c r="E19" s="744"/>
      <c r="F19" s="744"/>
      <c r="G19" s="745"/>
      <c r="H19" s="746"/>
      <c r="I19" s="892"/>
      <c r="J19" s="742"/>
      <c r="K19" s="743"/>
      <c r="L19" s="742"/>
      <c r="M19" s="743">
        <f t="shared" si="0"/>
        <v>0</v>
      </c>
      <c r="N19" s="743"/>
      <c r="O19" s="370">
        <f t="shared" si="1"/>
        <v>0</v>
      </c>
      <c r="Q19" s="899"/>
    </row>
    <row r="20" spans="2:17" ht="21.95" customHeight="1" x14ac:dyDescent="0.2">
      <c r="C20" s="744"/>
      <c r="D20" s="744"/>
      <c r="E20" s="744"/>
      <c r="F20" s="744"/>
      <c r="G20" s="745"/>
      <c r="H20" s="746"/>
      <c r="I20" s="892"/>
      <c r="J20" s="742"/>
      <c r="K20" s="743"/>
      <c r="L20" s="742"/>
      <c r="M20" s="743">
        <f t="shared" si="0"/>
        <v>0</v>
      </c>
      <c r="N20" s="743"/>
      <c r="O20" s="370">
        <f t="shared" si="1"/>
        <v>0</v>
      </c>
      <c r="Q20" s="899"/>
    </row>
    <row r="21" spans="2:17" ht="21.95" customHeight="1" x14ac:dyDescent="0.2">
      <c r="C21" s="744"/>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c r="E23" s="744"/>
      <c r="F23" s="744"/>
      <c r="G23" s="745"/>
      <c r="H23" s="746"/>
      <c r="I23" s="892"/>
      <c r="J23" s="742"/>
      <c r="K23" s="743"/>
      <c r="L23" s="742"/>
      <c r="M23" s="743">
        <f t="shared" si="0"/>
        <v>0</v>
      </c>
      <c r="N23" s="743"/>
      <c r="O23" s="370">
        <f t="shared" si="1"/>
        <v>0</v>
      </c>
      <c r="Q23" s="899"/>
    </row>
    <row r="24" spans="2:17" ht="21.95" customHeight="1" x14ac:dyDescent="0.2">
      <c r="C24" s="744"/>
      <c r="D24" s="744"/>
      <c r="E24" s="744"/>
      <c r="F24" s="744"/>
      <c r="G24" s="745"/>
      <c r="H24" s="746"/>
      <c r="I24" s="892"/>
      <c r="J24" s="742"/>
      <c r="K24" s="743"/>
      <c r="L24" s="742"/>
      <c r="M24" s="743">
        <f t="shared" si="0"/>
        <v>0</v>
      </c>
      <c r="N24" s="743"/>
      <c r="O24" s="370">
        <f t="shared" si="1"/>
        <v>0</v>
      </c>
      <c r="Q24" s="899"/>
    </row>
    <row r="25" spans="2:17" ht="21.95" customHeight="1" x14ac:dyDescent="0.2">
      <c r="C25" s="744"/>
      <c r="D25" s="744"/>
      <c r="E25" s="744"/>
      <c r="F25" s="744"/>
      <c r="G25" s="745"/>
      <c r="H25" s="746"/>
      <c r="I25" s="892"/>
      <c r="J25" s="742"/>
      <c r="K25" s="743"/>
      <c r="L25" s="742"/>
      <c r="M25" s="743">
        <f t="shared" si="0"/>
        <v>0</v>
      </c>
      <c r="N25" s="743"/>
      <c r="O25" s="370">
        <f t="shared" si="1"/>
        <v>0</v>
      </c>
      <c r="Q25" s="899"/>
    </row>
    <row r="26" spans="2:17" ht="21.95" customHeight="1" thickBot="1" x14ac:dyDescent="0.25">
      <c r="B26" s="2"/>
      <c r="C26" s="893"/>
      <c r="D26" s="893"/>
      <c r="E26" s="893"/>
      <c r="F26" s="893"/>
      <c r="G26" s="894"/>
      <c r="H26" s="895"/>
      <c r="I26" s="896"/>
      <c r="J26" s="897"/>
      <c r="K26" s="898"/>
      <c r="L26" s="897"/>
      <c r="M26" s="898">
        <f t="shared" si="0"/>
        <v>0</v>
      </c>
      <c r="N26" s="898"/>
      <c r="O26" s="525">
        <f t="shared" si="1"/>
        <v>0</v>
      </c>
      <c r="Q26" s="899"/>
    </row>
    <row r="27" spans="2:17" ht="16.5" thickTop="1" x14ac:dyDescent="0.25">
      <c r="B27" s="1617" t="s">
        <v>191</v>
      </c>
      <c r="C27" s="1617"/>
      <c r="D27" s="1617"/>
      <c r="E27" s="1617"/>
      <c r="F27" s="1617"/>
      <c r="G27" s="1617"/>
      <c r="H27" s="1617"/>
      <c r="I27" s="1617"/>
      <c r="J27" s="1617"/>
      <c r="K27" s="1617"/>
      <c r="L27" s="1617"/>
      <c r="M27" s="1617"/>
      <c r="N27" s="1617"/>
      <c r="O27" s="1617"/>
    </row>
    <row r="30" spans="2:17" x14ac:dyDescent="0.2">
      <c r="J30" s="29">
        <f>SUM(J7:J26)</f>
        <v>104974.51</v>
      </c>
    </row>
  </sheetData>
  <sheetProtection algorithmName="SHA-512" hashValue="tHcew3x/Zo0y2tySBkatdi7c3kLYiivxthW9Y0zkAOqH9ObGsNin7yheKpIqegzmX1+i0qT6bCzfJ8S2No7HKQ==" saltValue="1L48oDntM515bmn/X8a2r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300-000000000000}">
          <x14:formula1>
            <xm:f>'Appropriation Codes'!$A$2:$A$102</xm:f>
          </x14:formula1>
          <xm:sqref>H7:H26</xm:sqref>
        </x14:dataValidation>
      </x14:dataValidations>
    </ext>
  </extLst>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8"/>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
      <c r="C8" s="744"/>
      <c r="D8" s="744"/>
      <c r="E8" s="744"/>
      <c r="F8" s="744"/>
      <c r="G8" s="745"/>
      <c r="H8" s="746"/>
      <c r="I8" s="892"/>
      <c r="J8" s="742"/>
      <c r="K8" s="743"/>
      <c r="L8" s="742"/>
      <c r="M8" s="743">
        <f t="shared" si="0"/>
        <v>0</v>
      </c>
      <c r="N8" s="743"/>
      <c r="O8" s="370">
        <f t="shared" si="1"/>
        <v>0</v>
      </c>
      <c r="Q8" s="899"/>
    </row>
    <row r="9" spans="2:17" ht="21.95" customHeight="1" x14ac:dyDescent="0.2">
      <c r="C9" s="744"/>
      <c r="D9" s="744"/>
      <c r="E9" s="744"/>
      <c r="F9" s="744"/>
      <c r="G9" s="745"/>
      <c r="H9" s="746"/>
      <c r="I9" s="892"/>
      <c r="J9" s="742"/>
      <c r="K9" s="743"/>
      <c r="L9" s="742"/>
      <c r="M9" s="743">
        <f>+K9</f>
        <v>0</v>
      </c>
      <c r="N9" s="743"/>
      <c r="O9" s="370">
        <f t="shared" si="1"/>
        <v>0</v>
      </c>
      <c r="Q9" s="899"/>
    </row>
    <row r="10" spans="2:17" ht="21.95" customHeight="1" x14ac:dyDescent="0.2">
      <c r="C10" s="744"/>
      <c r="D10" s="744"/>
      <c r="E10" s="744"/>
      <c r="F10" s="744"/>
      <c r="G10" s="745"/>
      <c r="H10" s="746"/>
      <c r="I10" s="892"/>
      <c r="J10" s="742"/>
      <c r="K10" s="743"/>
      <c r="L10" s="742"/>
      <c r="M10" s="743">
        <f t="shared" si="0"/>
        <v>0</v>
      </c>
      <c r="N10" s="743"/>
      <c r="O10" s="370">
        <f t="shared" si="1"/>
        <v>0</v>
      </c>
      <c r="Q10" s="899"/>
    </row>
    <row r="11" spans="2:17" ht="21.95" customHeight="1" x14ac:dyDescent="0.2">
      <c r="C11" s="744"/>
      <c r="D11" s="744"/>
      <c r="E11" s="744"/>
      <c r="F11" s="744"/>
      <c r="G11" s="745"/>
      <c r="H11" s="746"/>
      <c r="I11" s="892"/>
      <c r="J11" s="742"/>
      <c r="K11" s="743"/>
      <c r="L11" s="742"/>
      <c r="M11" s="743">
        <f t="shared" si="0"/>
        <v>0</v>
      </c>
      <c r="N11" s="743"/>
      <c r="O11" s="370">
        <f t="shared" si="1"/>
        <v>0</v>
      </c>
      <c r="Q11" s="899"/>
    </row>
    <row r="12" spans="2:17" ht="21.95" customHeight="1" x14ac:dyDescent="0.2">
      <c r="C12" s="744"/>
      <c r="D12" s="744"/>
      <c r="E12" s="744"/>
      <c r="F12" s="744"/>
      <c r="G12" s="745"/>
      <c r="H12" s="746"/>
      <c r="I12" s="892"/>
      <c r="J12" s="742"/>
      <c r="K12" s="743"/>
      <c r="L12" s="742"/>
      <c r="M12" s="743">
        <f t="shared" si="0"/>
        <v>0</v>
      </c>
      <c r="N12" s="743"/>
      <c r="O12" s="370">
        <f t="shared" si="1"/>
        <v>0</v>
      </c>
      <c r="Q12" s="900"/>
    </row>
    <row r="13" spans="2:17" ht="21.95" customHeight="1" x14ac:dyDescent="0.2">
      <c r="C13" s="744"/>
      <c r="D13" s="744"/>
      <c r="E13" s="744"/>
      <c r="F13" s="744"/>
      <c r="G13" s="745"/>
      <c r="H13" s="746"/>
      <c r="I13" s="892"/>
      <c r="J13" s="742"/>
      <c r="K13" s="743"/>
      <c r="L13" s="742"/>
      <c r="M13" s="743">
        <f t="shared" si="0"/>
        <v>0</v>
      </c>
      <c r="N13" s="743"/>
      <c r="O13" s="370">
        <f t="shared" si="1"/>
        <v>0</v>
      </c>
      <c r="Q13" s="899"/>
    </row>
    <row r="14" spans="2:17" ht="21.95" customHeight="1" x14ac:dyDescent="0.2">
      <c r="C14" s="744"/>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c r="E15" s="744"/>
      <c r="F15" s="744"/>
      <c r="G15" s="745"/>
      <c r="H15" s="746"/>
      <c r="I15" s="892"/>
      <c r="J15" s="742"/>
      <c r="K15" s="743"/>
      <c r="L15" s="742"/>
      <c r="M15" s="743">
        <f t="shared" si="0"/>
        <v>0</v>
      </c>
      <c r="N15" s="743"/>
      <c r="O15" s="370">
        <f t="shared" si="1"/>
        <v>0</v>
      </c>
      <c r="Q15" s="899"/>
    </row>
    <row r="16" spans="2:17" ht="21.95" customHeight="1" x14ac:dyDescent="0.2">
      <c r="C16" s="744"/>
      <c r="D16" s="744"/>
      <c r="E16" s="744"/>
      <c r="F16" s="744"/>
      <c r="G16" s="745"/>
      <c r="H16" s="746"/>
      <c r="I16" s="892"/>
      <c r="J16" s="742"/>
      <c r="K16" s="743"/>
      <c r="L16" s="742"/>
      <c r="M16" s="743">
        <f t="shared" si="0"/>
        <v>0</v>
      </c>
      <c r="N16" s="743"/>
      <c r="O16" s="370">
        <f t="shared" si="1"/>
        <v>0</v>
      </c>
      <c r="Q16" s="899"/>
    </row>
    <row r="17" spans="2:17" ht="21.95" customHeight="1" x14ac:dyDescent="0.2">
      <c r="C17" s="744"/>
      <c r="D17" s="744"/>
      <c r="E17" s="744"/>
      <c r="F17" s="744"/>
      <c r="G17" s="745"/>
      <c r="H17" s="746"/>
      <c r="I17" s="892"/>
      <c r="J17" s="742"/>
      <c r="K17" s="743"/>
      <c r="L17" s="742"/>
      <c r="M17" s="743">
        <f t="shared" si="0"/>
        <v>0</v>
      </c>
      <c r="N17" s="743"/>
      <c r="O17" s="370">
        <f t="shared" si="1"/>
        <v>0</v>
      </c>
      <c r="Q17" s="899"/>
    </row>
    <row r="18" spans="2:17" ht="21.95" customHeight="1" x14ac:dyDescent="0.2">
      <c r="C18" s="744"/>
      <c r="D18" s="744"/>
      <c r="E18" s="744"/>
      <c r="F18" s="744"/>
      <c r="G18" s="745"/>
      <c r="H18" s="746"/>
      <c r="I18" s="892"/>
      <c r="J18" s="742"/>
      <c r="K18" s="743"/>
      <c r="L18" s="742"/>
      <c r="M18" s="743">
        <f t="shared" si="0"/>
        <v>0</v>
      </c>
      <c r="N18" s="743"/>
      <c r="O18" s="370">
        <f t="shared" si="1"/>
        <v>0</v>
      </c>
      <c r="Q18" s="899"/>
    </row>
    <row r="19" spans="2:17" ht="21.95" customHeight="1" x14ac:dyDescent="0.2">
      <c r="C19" s="744"/>
      <c r="D19" s="744"/>
      <c r="E19" s="744"/>
      <c r="F19" s="744"/>
      <c r="G19" s="745"/>
      <c r="H19" s="746"/>
      <c r="I19" s="892"/>
      <c r="J19" s="742"/>
      <c r="K19" s="743"/>
      <c r="L19" s="742"/>
      <c r="M19" s="743">
        <f t="shared" si="0"/>
        <v>0</v>
      </c>
      <c r="N19" s="743"/>
      <c r="O19" s="370">
        <f t="shared" si="1"/>
        <v>0</v>
      </c>
      <c r="Q19" s="899"/>
    </row>
    <row r="20" spans="2:17" ht="21.95" customHeight="1" x14ac:dyDescent="0.2">
      <c r="C20" s="744"/>
      <c r="D20" s="744"/>
      <c r="E20" s="744"/>
      <c r="F20" s="744"/>
      <c r="G20" s="745"/>
      <c r="H20" s="746"/>
      <c r="I20" s="892"/>
      <c r="J20" s="742"/>
      <c r="K20" s="743"/>
      <c r="L20" s="742"/>
      <c r="M20" s="743">
        <f t="shared" si="0"/>
        <v>0</v>
      </c>
      <c r="N20" s="743"/>
      <c r="O20" s="370">
        <f t="shared" si="1"/>
        <v>0</v>
      </c>
      <c r="Q20" s="899"/>
    </row>
    <row r="21" spans="2:17" ht="21.95" customHeight="1" x14ac:dyDescent="0.2">
      <c r="C21" s="744"/>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c r="E23" s="744"/>
      <c r="F23" s="744"/>
      <c r="G23" s="745"/>
      <c r="H23" s="746"/>
      <c r="I23" s="892"/>
      <c r="J23" s="742"/>
      <c r="K23" s="743"/>
      <c r="L23" s="742"/>
      <c r="M23" s="743">
        <f t="shared" si="0"/>
        <v>0</v>
      </c>
      <c r="N23" s="743"/>
      <c r="O23" s="370">
        <f t="shared" si="1"/>
        <v>0</v>
      </c>
      <c r="Q23" s="899"/>
    </row>
    <row r="24" spans="2:17" ht="21.95" customHeight="1" x14ac:dyDescent="0.2">
      <c r="C24" s="744"/>
      <c r="D24" s="744"/>
      <c r="E24" s="744"/>
      <c r="F24" s="744"/>
      <c r="G24" s="745"/>
      <c r="H24" s="746"/>
      <c r="I24" s="892"/>
      <c r="J24" s="742"/>
      <c r="K24" s="743"/>
      <c r="L24" s="742"/>
      <c r="M24" s="743">
        <f t="shared" si="0"/>
        <v>0</v>
      </c>
      <c r="N24" s="743"/>
      <c r="O24" s="370">
        <f t="shared" si="1"/>
        <v>0</v>
      </c>
      <c r="Q24" s="899"/>
    </row>
    <row r="25" spans="2:17" ht="21.95" customHeight="1" x14ac:dyDescent="0.2">
      <c r="C25" s="744"/>
      <c r="D25" s="744"/>
      <c r="E25" s="744"/>
      <c r="F25" s="744"/>
      <c r="G25" s="745"/>
      <c r="H25" s="746"/>
      <c r="I25" s="892"/>
      <c r="J25" s="742"/>
      <c r="K25" s="743"/>
      <c r="L25" s="742"/>
      <c r="M25" s="743">
        <f t="shared" si="0"/>
        <v>0</v>
      </c>
      <c r="N25" s="743"/>
      <c r="O25" s="370">
        <f t="shared" si="1"/>
        <v>0</v>
      </c>
      <c r="Q25" s="899"/>
    </row>
    <row r="26" spans="2:17" ht="21.95" customHeight="1" thickBot="1" x14ac:dyDescent="0.25">
      <c r="C26" s="748"/>
      <c r="D26" s="748"/>
      <c r="E26" s="748"/>
      <c r="F26" s="893"/>
      <c r="G26" s="904"/>
      <c r="H26" s="895"/>
      <c r="I26" s="1025"/>
      <c r="J26" s="905"/>
      <c r="K26" s="865"/>
      <c r="L26" s="905"/>
      <c r="M26" s="865">
        <f t="shared" si="0"/>
        <v>0</v>
      </c>
      <c r="N26" s="865"/>
      <c r="O26" s="370">
        <f t="shared" si="1"/>
        <v>0</v>
      </c>
      <c r="Q26" s="899"/>
    </row>
    <row r="27" spans="2:17" ht="16.5" thickTop="1" x14ac:dyDescent="0.25">
      <c r="B27" s="1701" t="s">
        <v>190</v>
      </c>
      <c r="C27" s="1701"/>
      <c r="D27" s="1701"/>
      <c r="E27" s="1701"/>
      <c r="F27" s="1701"/>
      <c r="G27" s="1701"/>
      <c r="H27" s="1701"/>
      <c r="I27" s="1701"/>
      <c r="J27" s="1701"/>
      <c r="K27" s="1701"/>
      <c r="L27" s="1701"/>
      <c r="M27" s="1701"/>
      <c r="N27" s="1701"/>
      <c r="O27" s="1701"/>
    </row>
    <row r="30" spans="2:17" x14ac:dyDescent="0.2">
      <c r="J30" s="29">
        <f>SUM(J7:J26)</f>
        <v>0</v>
      </c>
    </row>
  </sheetData>
  <sheetProtection algorithmName="SHA-512" hashValue="WsHCCPygzP/imKFGE8y4f8XzmWQGbZ3jRS3t6a/UJtD1Xow2KG4M6KBn1pfyzCO+VXG7xEE14Bfhd8YDdpGPIA==" saltValue="nm+OGc2riuhYE0WoAxCoh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400-000000000000}">
          <x14:formula1>
            <xm:f>'Appropriation Codes'!$A$2:$A$102</xm:f>
          </x14:formula1>
          <xm:sqref>H7:H26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4"/>
  <dimension ref="A1:B23"/>
  <sheetViews>
    <sheetView workbookViewId="0">
      <selection activeCell="B18" sqref="B18"/>
    </sheetView>
  </sheetViews>
  <sheetFormatPr defaultRowHeight="12.75" x14ac:dyDescent="0.2"/>
  <cols>
    <col min="1" max="1" width="10.85546875" bestFit="1" customWidth="1"/>
    <col min="2" max="2" width="10.7109375" bestFit="1" customWidth="1"/>
  </cols>
  <sheetData>
    <row r="1" spans="1:2" x14ac:dyDescent="0.2">
      <c r="A1" s="784" t="s">
        <v>5259</v>
      </c>
      <c r="B1" s="784" t="s">
        <v>5234</v>
      </c>
    </row>
    <row r="2" spans="1:2" x14ac:dyDescent="0.2">
      <c r="A2" s="376">
        <v>12</v>
      </c>
      <c r="B2" s="376" t="s">
        <v>5332</v>
      </c>
    </row>
    <row r="3" spans="1:2" x14ac:dyDescent="0.2">
      <c r="A3" s="376">
        <v>13</v>
      </c>
      <c r="B3" s="376" t="s">
        <v>5333</v>
      </c>
    </row>
    <row r="4" spans="1:2" x14ac:dyDescent="0.2">
      <c r="A4" s="376">
        <v>14</v>
      </c>
      <c r="B4" s="376" t="s">
        <v>5334</v>
      </c>
    </row>
    <row r="5" spans="1:2" x14ac:dyDescent="0.2">
      <c r="A5" s="376">
        <v>15</v>
      </c>
      <c r="B5" s="376" t="s">
        <v>5335</v>
      </c>
    </row>
    <row r="6" spans="1:2" x14ac:dyDescent="0.2">
      <c r="A6" s="1050" t="s">
        <v>5235</v>
      </c>
      <c r="B6" s="376" t="s">
        <v>5336</v>
      </c>
    </row>
    <row r="7" spans="1:2" x14ac:dyDescent="0.2">
      <c r="A7" s="1050" t="s">
        <v>5236</v>
      </c>
      <c r="B7" s="376" t="s">
        <v>5337</v>
      </c>
    </row>
    <row r="8" spans="1:2" x14ac:dyDescent="0.2">
      <c r="A8" s="1050" t="s">
        <v>5237</v>
      </c>
      <c r="B8" s="376" t="s">
        <v>5338</v>
      </c>
    </row>
    <row r="9" spans="1:2" x14ac:dyDescent="0.2">
      <c r="A9" s="1050" t="s">
        <v>5238</v>
      </c>
      <c r="B9" s="376" t="s">
        <v>5339</v>
      </c>
    </row>
    <row r="10" spans="1:2" x14ac:dyDescent="0.2">
      <c r="A10" s="1050" t="s">
        <v>5239</v>
      </c>
      <c r="B10" s="784" t="s">
        <v>5250</v>
      </c>
    </row>
    <row r="11" spans="1:2" x14ac:dyDescent="0.2">
      <c r="A11" s="1050" t="s">
        <v>5240</v>
      </c>
      <c r="B11" s="784" t="s">
        <v>5251</v>
      </c>
    </row>
    <row r="12" spans="1:2" x14ac:dyDescent="0.2">
      <c r="A12" s="1050" t="s">
        <v>5241</v>
      </c>
      <c r="B12" s="784" t="s">
        <v>5252</v>
      </c>
    </row>
    <row r="13" spans="1:2" x14ac:dyDescent="0.2">
      <c r="A13" s="1050" t="s">
        <v>5242</v>
      </c>
      <c r="B13" s="784" t="s">
        <v>5253</v>
      </c>
    </row>
    <row r="14" spans="1:2" x14ac:dyDescent="0.2">
      <c r="A14" s="1050" t="s">
        <v>5243</v>
      </c>
      <c r="B14" s="784" t="s">
        <v>5254</v>
      </c>
    </row>
    <row r="15" spans="1:2" x14ac:dyDescent="0.2">
      <c r="A15" s="1050" t="s">
        <v>5244</v>
      </c>
      <c r="B15" s="784" t="s">
        <v>5255</v>
      </c>
    </row>
    <row r="16" spans="1:2" x14ac:dyDescent="0.2">
      <c r="A16" s="1050" t="s">
        <v>5245</v>
      </c>
      <c r="B16" s="784" t="s">
        <v>5256</v>
      </c>
    </row>
    <row r="17" spans="1:2" x14ac:dyDescent="0.2">
      <c r="A17" s="1050" t="s">
        <v>5246</v>
      </c>
      <c r="B17" s="784" t="s">
        <v>5257</v>
      </c>
    </row>
    <row r="18" spans="1:2" x14ac:dyDescent="0.2">
      <c r="A18" s="1050" t="s">
        <v>5247</v>
      </c>
      <c r="B18" s="784" t="s">
        <v>5258</v>
      </c>
    </row>
    <row r="19" spans="1:2" x14ac:dyDescent="0.2">
      <c r="A19" s="1050" t="s">
        <v>5248</v>
      </c>
    </row>
    <row r="20" spans="1:2" x14ac:dyDescent="0.2">
      <c r="A20" s="376">
        <v>16</v>
      </c>
    </row>
    <row r="21" spans="1:2" x14ac:dyDescent="0.2">
      <c r="A21" s="376" t="s">
        <v>5249</v>
      </c>
    </row>
    <row r="22" spans="1:2" x14ac:dyDescent="0.2">
      <c r="A22" s="376"/>
    </row>
    <row r="23" spans="1:2" x14ac:dyDescent="0.2">
      <c r="A23" s="1050"/>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9"/>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63"/>
      <c r="C26" s="748"/>
      <c r="D26" s="748"/>
      <c r="E26" s="748"/>
      <c r="F26" s="893"/>
      <c r="G26" s="904"/>
      <c r="H26" s="895"/>
      <c r="I26" s="1025"/>
      <c r="J26" s="905"/>
      <c r="K26" s="865"/>
      <c r="L26" s="905"/>
      <c r="M26" s="865">
        <f t="shared" si="1"/>
        <v>0</v>
      </c>
      <c r="N26" s="865"/>
      <c r="O26" s="370">
        <f t="shared" si="0"/>
        <v>0</v>
      </c>
      <c r="Q26" s="899"/>
    </row>
    <row r="27" spans="2:17" ht="16.5" thickTop="1" x14ac:dyDescent="0.25">
      <c r="B27" s="1701" t="s">
        <v>189</v>
      </c>
      <c r="C27" s="1701"/>
      <c r="D27" s="1701"/>
      <c r="E27" s="1701"/>
      <c r="F27" s="1701"/>
      <c r="G27" s="1701"/>
      <c r="H27" s="1701"/>
      <c r="I27" s="1701"/>
      <c r="J27" s="1701"/>
      <c r="K27" s="1701"/>
      <c r="L27" s="1701"/>
      <c r="M27" s="1701"/>
      <c r="N27" s="1701"/>
      <c r="O27" s="1701"/>
    </row>
    <row r="30" spans="2:17" x14ac:dyDescent="0.2">
      <c r="J30" s="29"/>
    </row>
  </sheetData>
  <sheetProtection algorithmName="SHA-512" hashValue="IhpSnaPrOgkJ9zx7KmzkM7YFyXdi1PyoE4P4DoOsvTftVwiln/YdQbFaRafTe8yaztFYHN8BK1i+3u5PXWAeVg==" saltValue="TLKc0t+40FGBJ8KXRvOF7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500-000000000000}">
          <x14:formula1>
            <xm:f>'Appropriation Codes'!$A$2:$A$102</xm:f>
          </x14:formula1>
          <xm:sqref>H7:H26</xm:sqref>
        </x14:dataValidation>
      </x14:dataValidations>
    </ext>
  </extLst>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60"/>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2"/>
      <c r="C26" s="893"/>
      <c r="D26" s="893"/>
      <c r="E26" s="893"/>
      <c r="F26" s="893"/>
      <c r="G26" s="894"/>
      <c r="H26" s="895"/>
      <c r="I26" s="896"/>
      <c r="J26" s="897"/>
      <c r="K26" s="898"/>
      <c r="L26" s="897"/>
      <c r="M26" s="898">
        <f t="shared" si="1"/>
        <v>0</v>
      </c>
      <c r="N26" s="898"/>
      <c r="O26" s="525">
        <f t="shared" si="0"/>
        <v>0</v>
      </c>
      <c r="Q26" s="899"/>
    </row>
    <row r="27" spans="2:17" ht="16.5" thickTop="1" x14ac:dyDescent="0.25">
      <c r="B27" s="1617" t="s">
        <v>188</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2fbx8gQHO6zJrVoAINNrtn5HlFmHXD58z7ib8V+1Q+r5bMAykKPLysakfej5j0WWnGJUh39EF4bgeZfwsOG9yw==" saltValue="D80pgRsDHC9bB9vrSM8n8w=="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600-000000000000}">
          <x14:formula1>
            <xm:f>'Appropriation Codes'!$A$2:$A$102</xm:f>
          </x14:formula1>
          <xm:sqref>H7:H26</xm:sqref>
        </x14:dataValidation>
      </x14:dataValidations>
    </ext>
  </extLst>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61"/>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6" si="1">IFERROR(IF(+M7-N7&gt;=0,M7-N7,"*")-Q7,"*")</f>
        <v>0</v>
      </c>
      <c r="Q7" s="899"/>
    </row>
    <row r="8" spans="2:17" ht="21.95" customHeight="1" x14ac:dyDescent="0.2">
      <c r="C8" s="744"/>
      <c r="D8" s="744"/>
      <c r="E8" s="744"/>
      <c r="F8" s="744"/>
      <c r="G8" s="745"/>
      <c r="H8" s="746"/>
      <c r="I8" s="892"/>
      <c r="J8" s="742"/>
      <c r="K8" s="743"/>
      <c r="L8" s="742"/>
      <c r="M8" s="743">
        <f t="shared" si="0"/>
        <v>0</v>
      </c>
      <c r="N8" s="743"/>
      <c r="O8" s="370">
        <f t="shared" si="1"/>
        <v>0</v>
      </c>
      <c r="Q8" s="899"/>
    </row>
    <row r="9" spans="2:17" ht="21.95" customHeight="1" x14ac:dyDescent="0.2">
      <c r="C9" s="744"/>
      <c r="D9" s="744"/>
      <c r="E9" s="744"/>
      <c r="F9" s="744"/>
      <c r="G9" s="745"/>
      <c r="H9" s="746"/>
      <c r="I9" s="892"/>
      <c r="J9" s="742"/>
      <c r="K9" s="743"/>
      <c r="L9" s="742"/>
      <c r="M9" s="743">
        <f>+K9</f>
        <v>0</v>
      </c>
      <c r="N9" s="743"/>
      <c r="O9" s="370">
        <f t="shared" si="1"/>
        <v>0</v>
      </c>
      <c r="Q9" s="899"/>
    </row>
    <row r="10" spans="2:17" ht="21.95" customHeight="1" x14ac:dyDescent="0.2">
      <c r="C10" s="744"/>
      <c r="D10" s="744"/>
      <c r="E10" s="744"/>
      <c r="F10" s="744"/>
      <c r="G10" s="745"/>
      <c r="H10" s="746"/>
      <c r="I10" s="892"/>
      <c r="J10" s="742"/>
      <c r="K10" s="743"/>
      <c r="L10" s="742"/>
      <c r="M10" s="743">
        <f t="shared" si="0"/>
        <v>0</v>
      </c>
      <c r="N10" s="743"/>
      <c r="O10" s="370">
        <f t="shared" si="1"/>
        <v>0</v>
      </c>
      <c r="Q10" s="899"/>
    </row>
    <row r="11" spans="2:17" ht="21.95" customHeight="1" x14ac:dyDescent="0.2">
      <c r="C11" s="744"/>
      <c r="D11" s="744"/>
      <c r="E11" s="744"/>
      <c r="F11" s="744"/>
      <c r="G11" s="745"/>
      <c r="H11" s="746"/>
      <c r="I11" s="892"/>
      <c r="J11" s="742"/>
      <c r="K11" s="743"/>
      <c r="L11" s="742"/>
      <c r="M11" s="743">
        <f t="shared" si="0"/>
        <v>0</v>
      </c>
      <c r="N11" s="743"/>
      <c r="O11" s="370">
        <f t="shared" si="1"/>
        <v>0</v>
      </c>
      <c r="Q11" s="899"/>
    </row>
    <row r="12" spans="2:17" ht="21.95" customHeight="1" x14ac:dyDescent="0.2">
      <c r="C12" s="744"/>
      <c r="D12" s="744"/>
      <c r="E12" s="744"/>
      <c r="F12" s="744"/>
      <c r="G12" s="745"/>
      <c r="H12" s="746"/>
      <c r="I12" s="892"/>
      <c r="J12" s="742"/>
      <c r="K12" s="743"/>
      <c r="L12" s="742"/>
      <c r="M12" s="743">
        <f t="shared" si="0"/>
        <v>0</v>
      </c>
      <c r="N12" s="743"/>
      <c r="O12" s="370">
        <f t="shared" si="1"/>
        <v>0</v>
      </c>
      <c r="Q12" s="900"/>
    </row>
    <row r="13" spans="2:17" ht="21.95" customHeight="1" x14ac:dyDescent="0.2">
      <c r="C13" s="744"/>
      <c r="D13" s="744"/>
      <c r="E13" s="744"/>
      <c r="F13" s="744"/>
      <c r="G13" s="745"/>
      <c r="H13" s="746"/>
      <c r="I13" s="892"/>
      <c r="J13" s="742"/>
      <c r="K13" s="743"/>
      <c r="L13" s="742"/>
      <c r="M13" s="743">
        <f t="shared" si="0"/>
        <v>0</v>
      </c>
      <c r="N13" s="743"/>
      <c r="O13" s="370">
        <f t="shared" si="1"/>
        <v>0</v>
      </c>
      <c r="Q13" s="899"/>
    </row>
    <row r="14" spans="2:17" ht="21.95" customHeight="1" x14ac:dyDescent="0.2">
      <c r="C14" s="744"/>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c r="E15" s="744"/>
      <c r="F15" s="744"/>
      <c r="G15" s="745"/>
      <c r="H15" s="746"/>
      <c r="I15" s="892"/>
      <c r="J15" s="742"/>
      <c r="K15" s="743"/>
      <c r="L15" s="742"/>
      <c r="M15" s="743">
        <f t="shared" si="0"/>
        <v>0</v>
      </c>
      <c r="N15" s="743"/>
      <c r="O15" s="370">
        <f t="shared" si="1"/>
        <v>0</v>
      </c>
      <c r="Q15" s="899"/>
    </row>
    <row r="16" spans="2:17" ht="21.95" customHeight="1" x14ac:dyDescent="0.2">
      <c r="C16" s="744"/>
      <c r="D16" s="744"/>
      <c r="E16" s="744"/>
      <c r="F16" s="744"/>
      <c r="G16" s="745"/>
      <c r="H16" s="746"/>
      <c r="I16" s="892"/>
      <c r="J16" s="742"/>
      <c r="K16" s="743"/>
      <c r="L16" s="742"/>
      <c r="M16" s="743">
        <f t="shared" si="0"/>
        <v>0</v>
      </c>
      <c r="N16" s="743"/>
      <c r="O16" s="370">
        <f t="shared" si="1"/>
        <v>0</v>
      </c>
      <c r="Q16" s="899"/>
    </row>
    <row r="17" spans="2:17" ht="21.95" customHeight="1" x14ac:dyDescent="0.2">
      <c r="C17" s="744"/>
      <c r="D17" s="744"/>
      <c r="E17" s="744"/>
      <c r="F17" s="744"/>
      <c r="G17" s="745"/>
      <c r="H17" s="746"/>
      <c r="I17" s="892"/>
      <c r="J17" s="742"/>
      <c r="K17" s="743"/>
      <c r="L17" s="742"/>
      <c r="M17" s="743">
        <f t="shared" si="0"/>
        <v>0</v>
      </c>
      <c r="N17" s="743"/>
      <c r="O17" s="370">
        <f t="shared" si="1"/>
        <v>0</v>
      </c>
      <c r="Q17" s="899"/>
    </row>
    <row r="18" spans="2:17" ht="21.95" customHeight="1" x14ac:dyDescent="0.2">
      <c r="C18" s="744"/>
      <c r="D18" s="744"/>
      <c r="E18" s="744"/>
      <c r="F18" s="744"/>
      <c r="G18" s="745"/>
      <c r="H18" s="746"/>
      <c r="I18" s="892"/>
      <c r="J18" s="742"/>
      <c r="K18" s="743"/>
      <c r="L18" s="742"/>
      <c r="M18" s="743">
        <f t="shared" si="0"/>
        <v>0</v>
      </c>
      <c r="N18" s="743"/>
      <c r="O18" s="370">
        <f t="shared" si="1"/>
        <v>0</v>
      </c>
      <c r="Q18" s="899"/>
    </row>
    <row r="19" spans="2:17" ht="21.95" customHeight="1" x14ac:dyDescent="0.2">
      <c r="C19" s="744"/>
      <c r="D19" s="744"/>
      <c r="E19" s="744"/>
      <c r="F19" s="744"/>
      <c r="G19" s="745"/>
      <c r="H19" s="746"/>
      <c r="I19" s="892"/>
      <c r="J19" s="742"/>
      <c r="K19" s="743"/>
      <c r="L19" s="742"/>
      <c r="M19" s="743">
        <f t="shared" si="0"/>
        <v>0</v>
      </c>
      <c r="N19" s="743"/>
      <c r="O19" s="370">
        <f t="shared" si="1"/>
        <v>0</v>
      </c>
      <c r="Q19" s="899"/>
    </row>
    <row r="20" spans="2:17" ht="21.95" customHeight="1" x14ac:dyDescent="0.2">
      <c r="C20" s="744"/>
      <c r="D20" s="744"/>
      <c r="E20" s="744"/>
      <c r="F20" s="744"/>
      <c r="G20" s="745"/>
      <c r="H20" s="746"/>
      <c r="I20" s="892"/>
      <c r="J20" s="742"/>
      <c r="K20" s="743"/>
      <c r="L20" s="742"/>
      <c r="M20" s="743">
        <f t="shared" si="0"/>
        <v>0</v>
      </c>
      <c r="N20" s="743"/>
      <c r="O20" s="370">
        <f t="shared" si="1"/>
        <v>0</v>
      </c>
      <c r="Q20" s="899"/>
    </row>
    <row r="21" spans="2:17" ht="21.95" customHeight="1" x14ac:dyDescent="0.2">
      <c r="C21" s="744"/>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c r="E23" s="744"/>
      <c r="F23" s="744"/>
      <c r="G23" s="745"/>
      <c r="H23" s="746"/>
      <c r="I23" s="892"/>
      <c r="J23" s="742"/>
      <c r="K23" s="743"/>
      <c r="L23" s="742"/>
      <c r="M23" s="743">
        <f t="shared" si="0"/>
        <v>0</v>
      </c>
      <c r="N23" s="743"/>
      <c r="O23" s="370">
        <f t="shared" si="1"/>
        <v>0</v>
      </c>
      <c r="Q23" s="899"/>
    </row>
    <row r="24" spans="2:17" ht="21.95" customHeight="1" x14ac:dyDescent="0.2">
      <c r="C24" s="744"/>
      <c r="D24" s="744"/>
      <c r="E24" s="744"/>
      <c r="F24" s="744"/>
      <c r="G24" s="745"/>
      <c r="H24" s="746"/>
      <c r="I24" s="892"/>
      <c r="J24" s="742"/>
      <c r="K24" s="743"/>
      <c r="L24" s="742"/>
      <c r="M24" s="743">
        <f t="shared" si="0"/>
        <v>0</v>
      </c>
      <c r="N24" s="743"/>
      <c r="O24" s="370">
        <f t="shared" si="1"/>
        <v>0</v>
      </c>
      <c r="Q24" s="899"/>
    </row>
    <row r="25" spans="2:17" ht="21.95" customHeight="1" x14ac:dyDescent="0.2">
      <c r="C25" s="744"/>
      <c r="D25" s="744"/>
      <c r="E25" s="744"/>
      <c r="F25" s="744"/>
      <c r="G25" s="745"/>
      <c r="H25" s="746"/>
      <c r="I25" s="892"/>
      <c r="J25" s="742"/>
      <c r="K25" s="743"/>
      <c r="L25" s="742"/>
      <c r="M25" s="743">
        <f t="shared" si="0"/>
        <v>0</v>
      </c>
      <c r="N25" s="743"/>
      <c r="O25" s="370">
        <f t="shared" si="1"/>
        <v>0</v>
      </c>
      <c r="Q25" s="899"/>
    </row>
    <row r="26" spans="2:17" ht="21.95" customHeight="1" thickBot="1" x14ac:dyDescent="0.25">
      <c r="C26" s="748"/>
      <c r="D26" s="748"/>
      <c r="E26" s="748"/>
      <c r="F26" s="893"/>
      <c r="G26" s="904"/>
      <c r="H26" s="895"/>
      <c r="I26" s="1025"/>
      <c r="J26" s="905"/>
      <c r="K26" s="865"/>
      <c r="L26" s="905"/>
      <c r="M26" s="865">
        <f t="shared" si="0"/>
        <v>0</v>
      </c>
      <c r="N26" s="865"/>
      <c r="O26" s="370">
        <f t="shared" si="1"/>
        <v>0</v>
      </c>
      <c r="Q26" s="899"/>
    </row>
    <row r="27" spans="2:17" ht="16.5" thickTop="1" x14ac:dyDescent="0.25">
      <c r="B27" s="1701" t="s">
        <v>3268</v>
      </c>
      <c r="C27" s="1701"/>
      <c r="D27" s="1701"/>
      <c r="E27" s="1701"/>
      <c r="F27" s="1701"/>
      <c r="G27" s="1701"/>
      <c r="H27" s="1701"/>
      <c r="I27" s="1701"/>
      <c r="J27" s="1701"/>
      <c r="K27" s="1701"/>
      <c r="L27" s="1701"/>
      <c r="M27" s="1701"/>
      <c r="N27" s="1701"/>
      <c r="O27" s="1701"/>
    </row>
    <row r="30" spans="2:17" x14ac:dyDescent="0.2">
      <c r="J30" s="29">
        <f>SUM(J7:J26)</f>
        <v>0</v>
      </c>
    </row>
  </sheetData>
  <sheetProtection algorithmName="SHA-512" hashValue="ITrMGwFYXRubsbFzdBJRbHSQn/CBQ6Fy25C6uJF4bLnrWK73ZxKw/EIsxn2/s5EZza2c9j5q1f2tcjp4swMRbw==" saltValue="tZ0sU2KwELN3DLIGqejDu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700-000000000000}">
          <x14:formula1>
            <xm:f>'Appropriation Codes'!$A$2:$A$102</xm:f>
          </x14:formula1>
          <xm:sqref>H7:H26</xm:sqref>
        </x14:dataValidation>
      </x14:dataValidations>
    </ext>
  </extLst>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2"/>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63"/>
      <c r="C26" s="748"/>
      <c r="D26" s="748"/>
      <c r="E26" s="748"/>
      <c r="F26" s="893"/>
      <c r="G26" s="904"/>
      <c r="H26" s="895"/>
      <c r="I26" s="1025"/>
      <c r="J26" s="905"/>
      <c r="K26" s="865"/>
      <c r="L26" s="905"/>
      <c r="M26" s="865">
        <f t="shared" si="1"/>
        <v>0</v>
      </c>
      <c r="N26" s="865"/>
      <c r="O26" s="370">
        <f t="shared" si="0"/>
        <v>0</v>
      </c>
      <c r="Q26" s="899"/>
    </row>
    <row r="27" spans="2:17" ht="16.5" thickTop="1" x14ac:dyDescent="0.25">
      <c r="B27" s="1701" t="s">
        <v>3269</v>
      </c>
      <c r="C27" s="1701"/>
      <c r="D27" s="1701"/>
      <c r="E27" s="1701"/>
      <c r="F27" s="1701"/>
      <c r="G27" s="1701"/>
      <c r="H27" s="1701"/>
      <c r="I27" s="1701"/>
      <c r="J27" s="1701"/>
      <c r="K27" s="1701"/>
      <c r="L27" s="1701"/>
      <c r="M27" s="1701"/>
      <c r="N27" s="1701"/>
      <c r="O27" s="1701"/>
    </row>
    <row r="30" spans="2:17" x14ac:dyDescent="0.2">
      <c r="J30" s="29"/>
    </row>
  </sheetData>
  <sheetProtection algorithmName="SHA-512" hashValue="XBFHKOqx4N0MBfAHchHLwOEGHYr8efAnmFL6KyWucwQ9KPVknK2yQNEDNlGzWvhujKQmnjYlrTYhZ+FWemROoQ==" saltValue="n22sFcIt1eYSAODAVjWkqg=="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800-000000000000}">
          <x14:formula1>
            <xm:f>'Appropriation Codes'!$A$2:$A$102</xm:f>
          </x14:formula1>
          <xm:sqref>H7:H26</xm:sqref>
        </x14:dataValidation>
      </x14:dataValidations>
    </ext>
  </extLst>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63"/>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63"/>
      <c r="C26" s="748"/>
      <c r="D26" s="748"/>
      <c r="E26" s="748"/>
      <c r="F26" s="893"/>
      <c r="G26" s="904"/>
      <c r="H26" s="895"/>
      <c r="I26" s="1025"/>
      <c r="J26" s="905"/>
      <c r="K26" s="865"/>
      <c r="L26" s="905"/>
      <c r="M26" s="865">
        <f t="shared" si="1"/>
        <v>0</v>
      </c>
      <c r="N26" s="865"/>
      <c r="O26" s="370">
        <f t="shared" si="0"/>
        <v>0</v>
      </c>
      <c r="Q26" s="899"/>
    </row>
    <row r="27" spans="2:17" ht="16.5" thickTop="1" x14ac:dyDescent="0.25">
      <c r="B27" s="1701" t="s">
        <v>3270</v>
      </c>
      <c r="C27" s="1701"/>
      <c r="D27" s="1701"/>
      <c r="E27" s="1701"/>
      <c r="F27" s="1701"/>
      <c r="G27" s="1701"/>
      <c r="H27" s="1701"/>
      <c r="I27" s="1701"/>
      <c r="J27" s="1701"/>
      <c r="K27" s="1701"/>
      <c r="L27" s="1701"/>
      <c r="M27" s="1701"/>
      <c r="N27" s="1701"/>
      <c r="O27" s="1701"/>
    </row>
    <row r="30" spans="2:17" x14ac:dyDescent="0.2">
      <c r="J30" s="29"/>
    </row>
  </sheetData>
  <sheetProtection algorithmName="SHA-512" hashValue="H/mpxfcqixEFJFaGZSuT4B9iSP4M82e0a+iQ5dDXH2Twjtrqw5UTS3SXRXZGQu6j/A6Di3zLlwWtCX2HQ0cDMg==" saltValue="D9ff/BoAFU8Pt9tkwRh4B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900-000000000000}">
          <x14:formula1>
            <xm:f>'Appropriation Codes'!$A$2:$A$102</xm:f>
          </x14:formula1>
          <xm:sqref>H7:H26</xm:sqref>
        </x14:dataValidation>
      </x14:dataValidations>
    </ext>
  </extLst>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64"/>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2"/>
      <c r="C26" s="893"/>
      <c r="D26" s="893"/>
      <c r="E26" s="893"/>
      <c r="F26" s="893"/>
      <c r="G26" s="894"/>
      <c r="H26" s="895"/>
      <c r="I26" s="896"/>
      <c r="J26" s="897"/>
      <c r="K26" s="898"/>
      <c r="L26" s="897"/>
      <c r="M26" s="898">
        <f t="shared" si="1"/>
        <v>0</v>
      </c>
      <c r="N26" s="898"/>
      <c r="O26" s="525">
        <f t="shared" si="0"/>
        <v>0</v>
      </c>
      <c r="Q26" s="899"/>
    </row>
    <row r="27" spans="2:17" ht="16.5" thickTop="1" x14ac:dyDescent="0.25">
      <c r="B27" s="1617" t="s">
        <v>3271</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nCYgIv5OxFU+iQQxOhXnOSXc3JNSKTC9CCX+G5+AtYz0iEHnTi2LDN4IanxkkTUjmmsC5i+n+/JGEkzt3WhD+A==" saltValue="BYWOGiQnXA7xjnTC6znm9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A00-000000000000}">
          <x14:formula1>
            <xm:f>'Appropriation Codes'!$A$2:$A$102</xm:f>
          </x14:formula1>
          <xm:sqref>H7:H26</xm:sqref>
        </x14:dataValidation>
      </x14:dataValidations>
    </ext>
  </extLst>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65"/>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743">
        <f t="shared" ref="M7:M26" si="0">+K7</f>
        <v>0</v>
      </c>
      <c r="N7" s="891"/>
      <c r="O7" s="370">
        <f t="shared" ref="O7:O25" si="1">IFERROR(IF(+M7-N7&gt;=0,M7-N7,"*")-Q7,"*")</f>
        <v>0</v>
      </c>
      <c r="Q7" s="899"/>
    </row>
    <row r="8" spans="2:17" ht="21.95" customHeight="1" x14ac:dyDescent="0.2">
      <c r="C8" s="744"/>
      <c r="D8" s="744"/>
      <c r="E8" s="744"/>
      <c r="F8" s="744"/>
      <c r="G8" s="745"/>
      <c r="H8" s="746"/>
      <c r="I8" s="892"/>
      <c r="J8" s="742"/>
      <c r="K8" s="743"/>
      <c r="L8" s="742"/>
      <c r="M8" s="743">
        <f t="shared" si="0"/>
        <v>0</v>
      </c>
      <c r="N8" s="743"/>
      <c r="O8" s="370">
        <f t="shared" si="1"/>
        <v>0</v>
      </c>
      <c r="Q8" s="899"/>
    </row>
    <row r="9" spans="2:17" ht="21.95" customHeight="1" x14ac:dyDescent="0.2">
      <c r="C9" s="744"/>
      <c r="D9" s="744"/>
      <c r="E9" s="744"/>
      <c r="F9" s="744"/>
      <c r="G9" s="745"/>
      <c r="H9" s="746"/>
      <c r="I9" s="892"/>
      <c r="J9" s="742"/>
      <c r="K9" s="743"/>
      <c r="L9" s="742"/>
      <c r="M9" s="743">
        <f>+K9</f>
        <v>0</v>
      </c>
      <c r="N9" s="743"/>
      <c r="O9" s="370">
        <f t="shared" si="1"/>
        <v>0</v>
      </c>
      <c r="Q9" s="899"/>
    </row>
    <row r="10" spans="2:17" ht="21.95" customHeight="1" x14ac:dyDescent="0.2">
      <c r="C10" s="744"/>
      <c r="D10" s="744"/>
      <c r="E10" s="744"/>
      <c r="F10" s="744"/>
      <c r="G10" s="745"/>
      <c r="H10" s="746"/>
      <c r="I10" s="892"/>
      <c r="J10" s="742"/>
      <c r="K10" s="743"/>
      <c r="L10" s="742"/>
      <c r="M10" s="743">
        <f t="shared" si="0"/>
        <v>0</v>
      </c>
      <c r="N10" s="743"/>
      <c r="O10" s="370">
        <f t="shared" si="1"/>
        <v>0</v>
      </c>
      <c r="Q10" s="899"/>
    </row>
    <row r="11" spans="2:17" ht="21.95" customHeight="1" x14ac:dyDescent="0.2">
      <c r="C11" s="744"/>
      <c r="D11" s="744"/>
      <c r="E11" s="744"/>
      <c r="F11" s="744"/>
      <c r="G11" s="745"/>
      <c r="H11" s="746"/>
      <c r="I11" s="892"/>
      <c r="J11" s="742"/>
      <c r="K11" s="743"/>
      <c r="L11" s="742"/>
      <c r="M11" s="743">
        <f t="shared" si="0"/>
        <v>0</v>
      </c>
      <c r="N11" s="743"/>
      <c r="O11" s="370">
        <f t="shared" si="1"/>
        <v>0</v>
      </c>
      <c r="Q11" s="899"/>
    </row>
    <row r="12" spans="2:17" ht="21.95" customHeight="1" x14ac:dyDescent="0.2">
      <c r="C12" s="744"/>
      <c r="D12" s="744"/>
      <c r="E12" s="744"/>
      <c r="F12" s="744"/>
      <c r="G12" s="745"/>
      <c r="H12" s="746"/>
      <c r="I12" s="892"/>
      <c r="J12" s="742"/>
      <c r="K12" s="743"/>
      <c r="L12" s="742"/>
      <c r="M12" s="743">
        <f t="shared" si="0"/>
        <v>0</v>
      </c>
      <c r="N12" s="743"/>
      <c r="O12" s="370">
        <f t="shared" si="1"/>
        <v>0</v>
      </c>
      <c r="Q12" s="900"/>
    </row>
    <row r="13" spans="2:17" ht="21.95" customHeight="1" x14ac:dyDescent="0.25">
      <c r="C13" s="882"/>
      <c r="D13" s="744"/>
      <c r="E13" s="744"/>
      <c r="F13" s="744"/>
      <c r="G13" s="745"/>
      <c r="H13" s="746"/>
      <c r="I13" s="892"/>
      <c r="J13" s="742"/>
      <c r="K13" s="743"/>
      <c r="L13" s="742"/>
      <c r="M13" s="743">
        <f t="shared" si="0"/>
        <v>0</v>
      </c>
      <c r="N13" s="743"/>
      <c r="O13" s="370">
        <f t="shared" si="1"/>
        <v>0</v>
      </c>
      <c r="Q13" s="899"/>
    </row>
    <row r="14" spans="2:17" ht="21.95" customHeight="1" x14ac:dyDescent="0.2">
      <c r="C14" s="744"/>
      <c r="D14" s="744"/>
      <c r="E14" s="744"/>
      <c r="F14" s="744"/>
      <c r="G14" s="745"/>
      <c r="H14" s="746"/>
      <c r="I14" s="892"/>
      <c r="J14" s="742"/>
      <c r="K14" s="743"/>
      <c r="L14" s="742"/>
      <c r="M14" s="743">
        <f t="shared" si="0"/>
        <v>0</v>
      </c>
      <c r="N14" s="743"/>
      <c r="O14" s="370">
        <f t="shared" si="1"/>
        <v>0</v>
      </c>
      <c r="Q14" s="899"/>
    </row>
    <row r="15" spans="2:17" ht="21.95" customHeight="1" x14ac:dyDescent="0.2">
      <c r="C15" s="744"/>
      <c r="D15" s="744"/>
      <c r="E15" s="744"/>
      <c r="F15" s="744"/>
      <c r="G15" s="745"/>
      <c r="H15" s="746"/>
      <c r="I15" s="892"/>
      <c r="J15" s="742"/>
      <c r="K15" s="743"/>
      <c r="L15" s="742"/>
      <c r="M15" s="743">
        <f t="shared" si="0"/>
        <v>0</v>
      </c>
      <c r="N15" s="743"/>
      <c r="O15" s="370">
        <f t="shared" si="1"/>
        <v>0</v>
      </c>
      <c r="Q15" s="899"/>
    </row>
    <row r="16" spans="2:17" ht="21.95" customHeight="1" x14ac:dyDescent="0.2">
      <c r="C16" s="744"/>
      <c r="D16" s="744"/>
      <c r="E16" s="744"/>
      <c r="F16" s="744"/>
      <c r="G16" s="745"/>
      <c r="H16" s="746"/>
      <c r="I16" s="892"/>
      <c r="J16" s="742"/>
      <c r="K16" s="743"/>
      <c r="L16" s="742"/>
      <c r="M16" s="743">
        <f t="shared" si="0"/>
        <v>0</v>
      </c>
      <c r="N16" s="743"/>
      <c r="O16" s="370">
        <f t="shared" si="1"/>
        <v>0</v>
      </c>
      <c r="Q16" s="899"/>
    </row>
    <row r="17" spans="2:17" ht="21.95" customHeight="1" x14ac:dyDescent="0.2">
      <c r="C17" s="744"/>
      <c r="D17" s="744"/>
      <c r="E17" s="744"/>
      <c r="F17" s="744"/>
      <c r="G17" s="745"/>
      <c r="H17" s="746"/>
      <c r="I17" s="892"/>
      <c r="J17" s="742"/>
      <c r="K17" s="743"/>
      <c r="L17" s="742"/>
      <c r="M17" s="743">
        <f t="shared" si="0"/>
        <v>0</v>
      </c>
      <c r="N17" s="743"/>
      <c r="O17" s="370">
        <f t="shared" si="1"/>
        <v>0</v>
      </c>
      <c r="Q17" s="899"/>
    </row>
    <row r="18" spans="2:17" ht="21.95" customHeight="1" x14ac:dyDescent="0.2">
      <c r="C18" s="744"/>
      <c r="D18" s="744"/>
      <c r="E18" s="744"/>
      <c r="F18" s="744"/>
      <c r="G18" s="745"/>
      <c r="H18" s="746"/>
      <c r="I18" s="892"/>
      <c r="J18" s="742"/>
      <c r="K18" s="743"/>
      <c r="L18" s="742"/>
      <c r="M18" s="743">
        <f t="shared" si="0"/>
        <v>0</v>
      </c>
      <c r="N18" s="743"/>
      <c r="O18" s="370">
        <f t="shared" si="1"/>
        <v>0</v>
      </c>
      <c r="Q18" s="899"/>
    </row>
    <row r="19" spans="2:17" ht="21.95" customHeight="1" x14ac:dyDescent="0.2">
      <c r="C19" s="744"/>
      <c r="D19" s="744"/>
      <c r="E19" s="744"/>
      <c r="F19" s="744"/>
      <c r="G19" s="745"/>
      <c r="H19" s="746"/>
      <c r="I19" s="892"/>
      <c r="J19" s="742"/>
      <c r="K19" s="743"/>
      <c r="L19" s="742"/>
      <c r="M19" s="743">
        <f t="shared" si="0"/>
        <v>0</v>
      </c>
      <c r="N19" s="743"/>
      <c r="O19" s="370">
        <f t="shared" si="1"/>
        <v>0</v>
      </c>
      <c r="Q19" s="899"/>
    </row>
    <row r="20" spans="2:17" ht="21.95" customHeight="1" x14ac:dyDescent="0.2">
      <c r="C20" s="744"/>
      <c r="D20" s="744"/>
      <c r="E20" s="744"/>
      <c r="F20" s="744"/>
      <c r="G20" s="745"/>
      <c r="H20" s="746"/>
      <c r="I20" s="892"/>
      <c r="J20" s="742"/>
      <c r="K20" s="743"/>
      <c r="L20" s="742"/>
      <c r="M20" s="743">
        <f t="shared" si="0"/>
        <v>0</v>
      </c>
      <c r="N20" s="743"/>
      <c r="O20" s="370">
        <f t="shared" si="1"/>
        <v>0</v>
      </c>
      <c r="Q20" s="899"/>
    </row>
    <row r="21" spans="2:17" ht="21.95" customHeight="1" x14ac:dyDescent="0.2">
      <c r="C21" s="744"/>
      <c r="D21" s="744"/>
      <c r="E21" s="744"/>
      <c r="F21" s="744"/>
      <c r="G21" s="745"/>
      <c r="H21" s="746"/>
      <c r="I21" s="892"/>
      <c r="J21" s="742"/>
      <c r="K21" s="743"/>
      <c r="L21" s="742"/>
      <c r="M21" s="743">
        <f t="shared" si="0"/>
        <v>0</v>
      </c>
      <c r="N21" s="743"/>
      <c r="O21" s="370">
        <f t="shared" si="1"/>
        <v>0</v>
      </c>
      <c r="Q21" s="899"/>
    </row>
    <row r="22" spans="2:17" ht="21.95" customHeight="1" x14ac:dyDescent="0.2">
      <c r="C22" s="744"/>
      <c r="D22" s="744"/>
      <c r="E22" s="744"/>
      <c r="F22" s="744"/>
      <c r="G22" s="745"/>
      <c r="H22" s="746"/>
      <c r="I22" s="892"/>
      <c r="J22" s="742"/>
      <c r="K22" s="743"/>
      <c r="L22" s="742"/>
      <c r="M22" s="743">
        <f t="shared" si="0"/>
        <v>0</v>
      </c>
      <c r="N22" s="743"/>
      <c r="O22" s="370">
        <f t="shared" si="1"/>
        <v>0</v>
      </c>
      <c r="Q22" s="899"/>
    </row>
    <row r="23" spans="2:17" ht="21.95" customHeight="1" x14ac:dyDescent="0.2">
      <c r="C23" s="744"/>
      <c r="D23" s="744"/>
      <c r="E23" s="744"/>
      <c r="F23" s="744"/>
      <c r="G23" s="745"/>
      <c r="H23" s="746"/>
      <c r="I23" s="892"/>
      <c r="J23" s="742"/>
      <c r="K23" s="743"/>
      <c r="L23" s="742"/>
      <c r="M23" s="743">
        <f t="shared" si="0"/>
        <v>0</v>
      </c>
      <c r="N23" s="743"/>
      <c r="O23" s="370">
        <f t="shared" si="1"/>
        <v>0</v>
      </c>
      <c r="Q23" s="899"/>
    </row>
    <row r="24" spans="2:17" ht="21.95" customHeight="1" x14ac:dyDescent="0.2">
      <c r="C24" s="744"/>
      <c r="D24" s="744"/>
      <c r="E24" s="744"/>
      <c r="F24" s="744"/>
      <c r="G24" s="745"/>
      <c r="H24" s="746"/>
      <c r="I24" s="892"/>
      <c r="J24" s="742"/>
      <c r="K24" s="743"/>
      <c r="L24" s="742"/>
      <c r="M24" s="743">
        <f t="shared" si="0"/>
        <v>0</v>
      </c>
      <c r="N24" s="743"/>
      <c r="O24" s="370">
        <f t="shared" si="1"/>
        <v>0</v>
      </c>
      <c r="Q24" s="899"/>
    </row>
    <row r="25" spans="2:17" ht="21.95" customHeight="1" x14ac:dyDescent="0.2">
      <c r="C25" s="744"/>
      <c r="D25" s="744"/>
      <c r="E25" s="744"/>
      <c r="F25" s="744"/>
      <c r="G25" s="745"/>
      <c r="H25" s="746"/>
      <c r="I25" s="892"/>
      <c r="J25" s="742"/>
      <c r="K25" s="743"/>
      <c r="L25" s="742"/>
      <c r="M25" s="743">
        <f t="shared" si="0"/>
        <v>0</v>
      </c>
      <c r="N25" s="743"/>
      <c r="O25" s="370">
        <f t="shared" si="1"/>
        <v>0</v>
      </c>
      <c r="Q25" s="899"/>
    </row>
    <row r="26" spans="2:17" ht="21.95" customHeight="1" thickBot="1" x14ac:dyDescent="0.25">
      <c r="C26" s="748"/>
      <c r="D26" s="748"/>
      <c r="E26" s="748"/>
      <c r="F26" s="893"/>
      <c r="G26" s="904"/>
      <c r="H26" s="895"/>
      <c r="I26" s="1025"/>
      <c r="J26" s="905"/>
      <c r="K26" s="865"/>
      <c r="L26" s="905"/>
      <c r="M26" s="865">
        <f t="shared" si="0"/>
        <v>0</v>
      </c>
      <c r="N26" s="865"/>
      <c r="O26" s="370">
        <f>IF(+M26-N26&gt;=0,M26-N26,"*")-Q26</f>
        <v>0</v>
      </c>
      <c r="Q26" s="899"/>
    </row>
    <row r="27" spans="2:17" ht="16.5" thickTop="1" x14ac:dyDescent="0.25">
      <c r="B27" s="1701" t="s">
        <v>3272</v>
      </c>
      <c r="C27" s="1701"/>
      <c r="D27" s="1701"/>
      <c r="E27" s="1701"/>
      <c r="F27" s="1701"/>
      <c r="G27" s="1701"/>
      <c r="H27" s="1701"/>
      <c r="I27" s="1701"/>
      <c r="J27" s="1701"/>
      <c r="K27" s="1701"/>
      <c r="L27" s="1701"/>
      <c r="M27" s="1701"/>
      <c r="N27" s="1701"/>
      <c r="O27" s="1701"/>
    </row>
    <row r="30" spans="2:17" x14ac:dyDescent="0.2">
      <c r="J30" s="29">
        <f>SUM(J7:J26)</f>
        <v>0</v>
      </c>
    </row>
  </sheetData>
  <sheetProtection algorithmName="SHA-512" hashValue="ikdU2w8rYPhAr3wvnF9OxqMeVq1Q3mzYiX/qTVoQIbfFlt11ZBZ83xlsBAVl4GN5Z0UQ5h/q4Cf8KdFTC/htCA==" saltValue="Ur3DnWjQXiZl1NKG79de+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B00-000000000000}">
          <x14:formula1>
            <xm:f>'Appropriation Codes'!$A$2:$A$102</xm:f>
          </x14:formula1>
          <xm:sqref>H7:H26</xm:sqref>
        </x14:dataValidation>
      </x14:dataValidations>
    </ext>
  </extLst>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66"/>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63"/>
      <c r="C26" s="748"/>
      <c r="D26" s="748"/>
      <c r="E26" s="748"/>
      <c r="F26" s="893"/>
      <c r="G26" s="904"/>
      <c r="H26" s="895"/>
      <c r="I26" s="1025"/>
      <c r="J26" s="905"/>
      <c r="K26" s="865"/>
      <c r="L26" s="905"/>
      <c r="M26" s="865">
        <f t="shared" si="1"/>
        <v>0</v>
      </c>
      <c r="N26" s="865"/>
      <c r="O26" s="370">
        <f t="shared" si="0"/>
        <v>0</v>
      </c>
      <c r="Q26" s="899"/>
    </row>
    <row r="27" spans="2:17" ht="16.5" thickTop="1" x14ac:dyDescent="0.25">
      <c r="B27" s="1701" t="s">
        <v>3273</v>
      </c>
      <c r="C27" s="1701"/>
      <c r="D27" s="1701"/>
      <c r="E27" s="1701"/>
      <c r="F27" s="1701"/>
      <c r="G27" s="1701"/>
      <c r="H27" s="1701"/>
      <c r="I27" s="1701"/>
      <c r="J27" s="1701"/>
      <c r="K27" s="1701"/>
      <c r="L27" s="1701"/>
      <c r="M27" s="1701"/>
      <c r="N27" s="1701"/>
      <c r="O27" s="1701"/>
    </row>
    <row r="30" spans="2:17" x14ac:dyDescent="0.2">
      <c r="J30" s="29"/>
    </row>
  </sheetData>
  <sheetProtection algorithmName="SHA-512" hashValue="8ZbMWVZxBIWnEFxUI8cgeL56wO/b4Gz0CvIrrjVcIakMdFN5vRivVbgDWwcOTv0rIsw3dtkgynlYfVHYsuJ/VA==" saltValue="MF7SGHAvVAmGntdKXIpIIw=="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C00-000000000000}">
          <x14:formula1>
            <xm:f>'Appropriation Codes'!$A$2:$A$102</xm:f>
          </x14:formula1>
          <xm:sqref>H7:H26</xm:sqref>
        </x14:dataValidation>
      </x14:dataValidations>
    </ext>
  </extLst>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67"/>
  <dimension ref="B2:Q30"/>
  <sheetViews>
    <sheetView topLeftCell="A10"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63"/>
      <c r="C26" s="748"/>
      <c r="D26" s="748"/>
      <c r="E26" s="748"/>
      <c r="F26" s="893"/>
      <c r="G26" s="904"/>
      <c r="H26" s="895"/>
      <c r="I26" s="1025"/>
      <c r="J26" s="905"/>
      <c r="K26" s="865"/>
      <c r="L26" s="905"/>
      <c r="M26" s="865">
        <f t="shared" si="1"/>
        <v>0</v>
      </c>
      <c r="N26" s="865"/>
      <c r="O26" s="370">
        <f t="shared" si="0"/>
        <v>0</v>
      </c>
      <c r="Q26" s="899"/>
    </row>
    <row r="27" spans="2:17" ht="16.5" thickTop="1" x14ac:dyDescent="0.25">
      <c r="B27" s="1701" t="s">
        <v>3274</v>
      </c>
      <c r="C27" s="1701"/>
      <c r="D27" s="1701"/>
      <c r="E27" s="1701"/>
      <c r="F27" s="1701"/>
      <c r="G27" s="1701"/>
      <c r="H27" s="1701"/>
      <c r="I27" s="1701"/>
      <c r="J27" s="1701"/>
      <c r="K27" s="1701"/>
      <c r="L27" s="1701"/>
      <c r="M27" s="1701"/>
      <c r="N27" s="1701"/>
      <c r="O27" s="1701"/>
    </row>
    <row r="30" spans="2:17" x14ac:dyDescent="0.2">
      <c r="J30" s="29"/>
    </row>
  </sheetData>
  <sheetProtection algorithmName="SHA-512" hashValue="a0n5aXRUT6o/yAJBh6t+lHao756QuyWx5rpuKexWJO5Hh0Y18nKXkFRM3jqgWke9cC2vt53ZSFl+bBT8rZHafw==" saltValue="FsKy/YjJSKhLveB3YOWSd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D00-000000000000}">
          <x14:formula1>
            <xm:f>'Appropriation Codes'!$A$2:$A$102</xm:f>
          </x14:formula1>
          <xm:sqref>H7:H26</xm:sqref>
        </x14:dataValidation>
      </x14:dataValidations>
    </ext>
  </extLst>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68"/>
  <dimension ref="B2:Q30"/>
  <sheetViews>
    <sheetView topLeftCell="A7"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
      <c r="C7" s="886"/>
      <c r="D7" s="886"/>
      <c r="E7" s="886"/>
      <c r="F7" s="886"/>
      <c r="G7" s="887"/>
      <c r="H7" s="888"/>
      <c r="I7" s="889"/>
      <c r="J7" s="890"/>
      <c r="K7" s="891"/>
      <c r="L7" s="890"/>
      <c r="M7" s="891">
        <f>+K7</f>
        <v>0</v>
      </c>
      <c r="N7" s="891"/>
      <c r="O7" s="370">
        <f t="shared" ref="O7:O26" si="0">IFERROR(IF(+M7-N7&gt;=0,M7-N7,"*")-Q7,"*")</f>
        <v>0</v>
      </c>
      <c r="Q7" s="899"/>
    </row>
    <row r="8" spans="2:17" ht="21.95" customHeight="1" x14ac:dyDescent="0.2">
      <c r="C8" s="744"/>
      <c r="D8" s="744"/>
      <c r="E8" s="744"/>
      <c r="F8" s="744"/>
      <c r="G8" s="745"/>
      <c r="H8" s="746"/>
      <c r="I8" s="892"/>
      <c r="J8" s="742"/>
      <c r="K8" s="743"/>
      <c r="L8" s="742"/>
      <c r="M8" s="743">
        <f>+K8</f>
        <v>0</v>
      </c>
      <c r="N8" s="743"/>
      <c r="O8" s="370">
        <f t="shared" si="0"/>
        <v>0</v>
      </c>
      <c r="Q8" s="899"/>
    </row>
    <row r="9" spans="2:17" ht="21.95" customHeight="1" x14ac:dyDescent="0.2">
      <c r="C9" s="744"/>
      <c r="D9" s="744"/>
      <c r="E9" s="744"/>
      <c r="F9" s="744"/>
      <c r="G9" s="745"/>
      <c r="H9" s="746"/>
      <c r="I9" s="892"/>
      <c r="J9" s="742"/>
      <c r="K9" s="743"/>
      <c r="L9" s="742"/>
      <c r="M9" s="743">
        <f t="shared" ref="M9:M26" si="1">+K9</f>
        <v>0</v>
      </c>
      <c r="N9" s="743"/>
      <c r="O9" s="370">
        <f t="shared" si="0"/>
        <v>0</v>
      </c>
      <c r="Q9" s="899"/>
    </row>
    <row r="10" spans="2:17" ht="21.95" customHeight="1" x14ac:dyDescent="0.2">
      <c r="C10" s="744"/>
      <c r="D10" s="744"/>
      <c r="E10" s="744"/>
      <c r="F10" s="744"/>
      <c r="G10" s="745"/>
      <c r="H10" s="746"/>
      <c r="I10" s="892"/>
      <c r="J10" s="742"/>
      <c r="K10" s="743"/>
      <c r="L10" s="742"/>
      <c r="M10" s="743">
        <f t="shared" si="1"/>
        <v>0</v>
      </c>
      <c r="N10" s="743"/>
      <c r="O10" s="370">
        <f t="shared" si="0"/>
        <v>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c r="F22" s="744"/>
      <c r="G22" s="745"/>
      <c r="H22" s="746"/>
      <c r="I22" s="892"/>
      <c r="J22" s="742"/>
      <c r="K22" s="743"/>
      <c r="L22" s="742"/>
      <c r="M22" s="743">
        <f t="shared" si="1"/>
        <v>0</v>
      </c>
      <c r="N22" s="743"/>
      <c r="O22" s="370">
        <f t="shared" si="0"/>
        <v>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2"/>
      <c r="C26" s="893"/>
      <c r="D26" s="893"/>
      <c r="E26" s="893"/>
      <c r="F26" s="893"/>
      <c r="G26" s="894"/>
      <c r="H26" s="895"/>
      <c r="I26" s="896"/>
      <c r="J26" s="897"/>
      <c r="K26" s="898"/>
      <c r="L26" s="897"/>
      <c r="M26" s="898">
        <f t="shared" si="1"/>
        <v>0</v>
      </c>
      <c r="N26" s="898"/>
      <c r="O26" s="525">
        <f t="shared" si="0"/>
        <v>0</v>
      </c>
      <c r="Q26" s="899"/>
    </row>
    <row r="27" spans="2:17" ht="16.5" thickTop="1" x14ac:dyDescent="0.25">
      <c r="B27" s="1617" t="s">
        <v>3275</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HFjRir1RzZ13p4/uVWYRiwQXbpylr6IpEHt0t7RQGlpQUaGqXZ140nXb3bI6dqhLu6BjWYhdrjybNChYujOVVw==" saltValue="/srrvFC9Tf90mldt7arveA==" spinCount="100000" sheet="1" objects="1" scenarios="1"/>
  <mergeCells count="5">
    <mergeCell ref="B2:O2"/>
    <mergeCell ref="J3:M3"/>
    <mergeCell ref="N3:O3"/>
    <mergeCell ref="B27:O2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E00-000000000000}">
          <x14:formula1>
            <xm:f>'Appropriation Codes'!$A$2:$A$102</xm:f>
          </x14:formula1>
          <xm:sqref>H7:H26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5"/>
  <dimension ref="A1:W516"/>
  <sheetViews>
    <sheetView topLeftCell="C1" workbookViewId="0">
      <pane ySplit="6" topLeftCell="A7" activePane="bottomLeft" state="frozen"/>
      <selection activeCell="B81" sqref="B81"/>
      <selection pane="bottomLeft" activeCell="B81" sqref="B81"/>
    </sheetView>
  </sheetViews>
  <sheetFormatPr defaultRowHeight="12.75" outlineLevelRow="1" x14ac:dyDescent="0.2"/>
  <cols>
    <col min="1" max="1" width="9.140625" style="1287"/>
    <col min="2" max="2" width="80" style="1287" customWidth="1"/>
    <col min="3" max="4" width="18.5703125" style="1287" customWidth="1"/>
    <col min="5" max="6" width="16.7109375" style="1287" customWidth="1"/>
    <col min="7" max="7" width="18.140625" style="1287" customWidth="1"/>
    <col min="8" max="10" width="16.7109375" style="1287" customWidth="1"/>
    <col min="11" max="16" width="15" style="1287" customWidth="1"/>
    <col min="17" max="17" width="9.140625" style="1287"/>
    <col min="18" max="18" width="32" style="1287" customWidth="1"/>
    <col min="19" max="19" width="22.140625" style="1287" customWidth="1"/>
    <col min="20" max="20" width="9.140625" style="1287" customWidth="1"/>
    <col min="21" max="23" width="9.140625" style="1287"/>
  </cols>
  <sheetData>
    <row r="1" spans="1:20" x14ac:dyDescent="0.2">
      <c r="A1"/>
      <c r="B1" s="217" t="s">
        <v>5354</v>
      </c>
      <c r="C1" s="217" t="s">
        <v>979</v>
      </c>
      <c r="D1" s="217" t="s">
        <v>5355</v>
      </c>
      <c r="E1"/>
      <c r="F1"/>
      <c r="G1"/>
      <c r="H1"/>
      <c r="I1"/>
      <c r="J1"/>
      <c r="K1"/>
      <c r="L1"/>
      <c r="M1"/>
      <c r="N1"/>
      <c r="O1"/>
      <c r="P1"/>
      <c r="Q1"/>
      <c r="R1"/>
      <c r="S1" s="1306" t="s">
        <v>5601</v>
      </c>
      <c r="T1"/>
    </row>
    <row r="2" spans="1:20" ht="15" x14ac:dyDescent="0.2">
      <c r="A2"/>
      <c r="B2" s="47" t="str">
        <f>'Key Inputs'!E5</f>
        <v>TOWNSHIP OF GREENWICH</v>
      </c>
      <c r="C2" s="47" t="str">
        <f>'Key Inputs'!E6</f>
        <v>CUMBERLAND</v>
      </c>
      <c r="D2" s="47" t="str">
        <f>'Key Inputs'!E36</f>
        <v>0606</v>
      </c>
      <c r="E2"/>
      <c r="F2"/>
      <c r="G2"/>
      <c r="H2"/>
      <c r="I2"/>
      <c r="J2"/>
      <c r="K2"/>
      <c r="L2"/>
      <c r="M2"/>
      <c r="N2"/>
      <c r="O2"/>
      <c r="P2"/>
      <c r="Q2"/>
      <c r="R2"/>
      <c r="S2" s="1306"/>
      <c r="T2"/>
    </row>
    <row r="3" spans="1:20" ht="13.5" thickBot="1" x14ac:dyDescent="0.25">
      <c r="A3"/>
      <c r="B3"/>
      <c r="C3"/>
      <c r="D3"/>
      <c r="E3"/>
      <c r="F3"/>
      <c r="G3"/>
      <c r="H3"/>
      <c r="I3"/>
      <c r="J3"/>
      <c r="K3"/>
      <c r="L3"/>
      <c r="M3"/>
      <c r="N3"/>
      <c r="O3"/>
      <c r="P3"/>
      <c r="Q3"/>
      <c r="R3"/>
      <c r="S3" s="1307"/>
      <c r="T3"/>
    </row>
    <row r="4" spans="1:20" ht="15.75" thickBot="1" x14ac:dyDescent="0.3">
      <c r="A4"/>
      <c r="B4" s="343" t="s">
        <v>5602</v>
      </c>
      <c r="C4" s="1308" t="str">
        <f>'Key Inputs'!E34-1&amp;" Realized"</f>
        <v>2020 Realized</v>
      </c>
      <c r="D4" s="1309" t="str">
        <f>'Key Inputs'!E34&amp;" Budgeted"</f>
        <v>2021 Budgeted</v>
      </c>
      <c r="E4"/>
      <c r="F4"/>
      <c r="G4"/>
      <c r="H4"/>
      <c r="I4"/>
      <c r="J4"/>
      <c r="K4"/>
      <c r="L4"/>
      <c r="M4"/>
      <c r="N4"/>
      <c r="O4"/>
      <c r="P4"/>
      <c r="Q4"/>
      <c r="R4"/>
      <c r="S4" s="1307"/>
      <c r="T4"/>
    </row>
    <row r="5" spans="1:20" ht="15" x14ac:dyDescent="0.25">
      <c r="A5"/>
      <c r="B5" s="343" t="s">
        <v>5603</v>
      </c>
      <c r="C5" s="1538" t="str">
        <f>C4</f>
        <v>2020 Realized</v>
      </c>
      <c r="D5" s="1539"/>
      <c r="E5" s="1539"/>
      <c r="F5" s="1540"/>
      <c r="G5" s="1538" t="str">
        <f>D4</f>
        <v>2021 Budgeted</v>
      </c>
      <c r="H5" s="1539"/>
      <c r="I5" s="1539"/>
      <c r="J5" s="1540"/>
      <c r="K5"/>
      <c r="L5"/>
      <c r="M5"/>
      <c r="N5"/>
      <c r="O5"/>
      <c r="P5"/>
      <c r="Q5"/>
      <c r="R5"/>
      <c r="S5" s="1307"/>
      <c r="T5"/>
    </row>
    <row r="6" spans="1:20" ht="13.5" thickBot="1" x14ac:dyDescent="0.25">
      <c r="A6" s="215"/>
      <c r="B6" s="215"/>
      <c r="C6" s="1310" t="s">
        <v>205</v>
      </c>
      <c r="D6" s="1311" t="s">
        <v>314</v>
      </c>
      <c r="E6" s="1311" t="s">
        <v>5447</v>
      </c>
      <c r="F6" s="1312" t="s">
        <v>509</v>
      </c>
      <c r="G6" s="1310" t="s">
        <v>205</v>
      </c>
      <c r="H6" s="1311" t="s">
        <v>314</v>
      </c>
      <c r="I6" s="1311" t="s">
        <v>5447</v>
      </c>
      <c r="J6" s="1312" t="s">
        <v>509</v>
      </c>
      <c r="K6"/>
      <c r="L6"/>
      <c r="M6"/>
      <c r="N6"/>
      <c r="O6"/>
      <c r="P6"/>
      <c r="Q6"/>
      <c r="R6"/>
      <c r="S6" s="1307"/>
      <c r="T6"/>
    </row>
    <row r="7" spans="1:20" ht="15" x14ac:dyDescent="0.25">
      <c r="A7" s="417" t="s">
        <v>5606</v>
      </c>
      <c r="B7"/>
      <c r="C7" s="1313"/>
      <c r="D7" s="1313"/>
      <c r="E7" s="1395" t="s">
        <v>6131</v>
      </c>
      <c r="F7" s="1313"/>
      <c r="G7" s="1313"/>
      <c r="H7" s="1313"/>
      <c r="I7" s="1313" t="s">
        <v>6132</v>
      </c>
      <c r="J7" s="1313"/>
      <c r="K7"/>
      <c r="L7"/>
      <c r="M7"/>
      <c r="N7"/>
      <c r="O7"/>
      <c r="P7"/>
      <c r="Q7"/>
      <c r="R7"/>
      <c r="S7" s="1307"/>
      <c r="T7"/>
    </row>
    <row r="8" spans="1:20" x14ac:dyDescent="0.2">
      <c r="A8"/>
      <c r="B8" s="784" t="s">
        <v>5348</v>
      </c>
      <c r="C8" s="1291">
        <f>'11'!K26</f>
        <v>1006164.4199999999</v>
      </c>
      <c r="D8" s="1291">
        <f>IFERROR('11'!I26,"0")</f>
        <v>828754.4911582591</v>
      </c>
      <c r="E8" s="1396">
        <f>D162</f>
        <v>828754.4911582591</v>
      </c>
      <c r="F8" s="1399" t="s">
        <v>6129</v>
      </c>
      <c r="G8" s="1314"/>
      <c r="H8" s="1398" t="str">
        <f>IF(E8-D8&lt;&gt;0,"No","Yes")</f>
        <v>Yes</v>
      </c>
      <c r="I8" s="1291">
        <f>E8-D8</f>
        <v>0</v>
      </c>
      <c r="J8"/>
      <c r="K8"/>
      <c r="L8"/>
      <c r="M8"/>
      <c r="N8"/>
      <c r="O8"/>
      <c r="P8"/>
      <c r="Q8"/>
      <c r="R8"/>
      <c r="S8" s="1307"/>
      <c r="T8"/>
    </row>
    <row r="9" spans="1:20" x14ac:dyDescent="0.2">
      <c r="A9"/>
      <c r="B9"/>
      <c r="C9" s="1291"/>
      <c r="D9" s="1291"/>
      <c r="E9" s="1397"/>
      <c r="F9" s="1400"/>
      <c r="G9" s="1314"/>
      <c r="H9" s="1398"/>
      <c r="I9" s="1291"/>
      <c r="J9"/>
      <c r="K9"/>
      <c r="L9"/>
      <c r="M9"/>
      <c r="N9"/>
      <c r="O9"/>
      <c r="P9"/>
      <c r="Q9"/>
      <c r="R9"/>
      <c r="S9" s="1307"/>
      <c r="T9"/>
    </row>
    <row r="10" spans="1:20" x14ac:dyDescent="0.2">
      <c r="A10"/>
      <c r="B10" s="784" t="s">
        <v>5349</v>
      </c>
      <c r="C10" s="1291">
        <f>'30'!N24</f>
        <v>708998.07000000007</v>
      </c>
      <c r="D10" s="1291">
        <f>IFERROR('30'!J24,"0")</f>
        <v>828754.4911582591</v>
      </c>
      <c r="E10" s="1396">
        <f>J451</f>
        <v>828754.49115825922</v>
      </c>
      <c r="F10" s="1401" t="s">
        <v>6130</v>
      </c>
      <c r="G10" s="1314"/>
      <c r="H10" s="1398" t="str">
        <f>IF(E10-D10&lt;&gt;0,"No","Yes")</f>
        <v>No</v>
      </c>
      <c r="I10" s="1291">
        <f>E10-D10</f>
        <v>0</v>
      </c>
      <c r="J10"/>
      <c r="K10"/>
      <c r="L10"/>
      <c r="M10"/>
      <c r="N10"/>
      <c r="O10"/>
      <c r="P10"/>
      <c r="Q10"/>
      <c r="R10"/>
      <c r="S10" s="1307"/>
      <c r="T10"/>
    </row>
    <row r="11" spans="1:20" x14ac:dyDescent="0.2">
      <c r="A11"/>
      <c r="B11"/>
      <c r="C11" s="1291"/>
      <c r="D11" s="1291"/>
      <c r="E11"/>
      <c r="F11"/>
      <c r="G11"/>
      <c r="H11"/>
      <c r="I11"/>
      <c r="J11"/>
      <c r="K11"/>
      <c r="L11"/>
      <c r="M11"/>
      <c r="N11"/>
      <c r="O11"/>
      <c r="P11"/>
      <c r="Q11"/>
      <c r="R11"/>
      <c r="S11" s="1307"/>
      <c r="T11"/>
    </row>
    <row r="12" spans="1:20" x14ac:dyDescent="0.2">
      <c r="A12"/>
      <c r="B12" s="784" t="s">
        <v>5353</v>
      </c>
      <c r="C12" s="1291">
        <f>'25'!N21</f>
        <v>5119.84</v>
      </c>
      <c r="D12" s="29">
        <f>'25'!J21</f>
        <v>20119.84</v>
      </c>
      <c r="E12"/>
      <c r="F12"/>
      <c r="G12"/>
      <c r="H12"/>
      <c r="I12"/>
      <c r="J12"/>
      <c r="K12"/>
      <c r="L12"/>
      <c r="M12"/>
      <c r="N12"/>
      <c r="O12"/>
      <c r="P12"/>
      <c r="Q12"/>
      <c r="R12"/>
      <c r="S12" s="1307"/>
      <c r="T12"/>
    </row>
    <row r="13" spans="1:20" x14ac:dyDescent="0.2">
      <c r="A13"/>
      <c r="B13"/>
      <c r="C13" s="1291"/>
      <c r="D13" s="1291"/>
      <c r="E13"/>
      <c r="F13"/>
      <c r="G13"/>
      <c r="H13"/>
      <c r="I13"/>
      <c r="J13"/>
      <c r="K13"/>
      <c r="L13"/>
      <c r="M13"/>
      <c r="N13"/>
      <c r="O13"/>
      <c r="P13"/>
      <c r="Q13"/>
      <c r="R13"/>
      <c r="S13" s="1307"/>
      <c r="T13"/>
    </row>
    <row r="14" spans="1:20" x14ac:dyDescent="0.2">
      <c r="A14"/>
      <c r="B14" s="784" t="s">
        <v>5350</v>
      </c>
      <c r="C14" s="1291">
        <f>'30'!N16</f>
        <v>60100</v>
      </c>
      <c r="D14" s="1291">
        <f>'30'!J16</f>
        <v>60100</v>
      </c>
      <c r="E14"/>
      <c r="F14"/>
      <c r="G14"/>
      <c r="H14"/>
      <c r="I14"/>
      <c r="J14"/>
      <c r="K14"/>
      <c r="L14"/>
      <c r="M14"/>
      <c r="N14"/>
      <c r="O14"/>
      <c r="P14"/>
      <c r="Q14"/>
      <c r="R14"/>
      <c r="S14" s="1307"/>
      <c r="T14"/>
    </row>
    <row r="15" spans="1:20" x14ac:dyDescent="0.2">
      <c r="A15"/>
      <c r="B15"/>
      <c r="C15" s="1291"/>
      <c r="D15" s="1291"/>
      <c r="E15"/>
      <c r="F15"/>
      <c r="G15"/>
      <c r="H15"/>
      <c r="I15"/>
      <c r="J15"/>
      <c r="K15"/>
      <c r="L15"/>
      <c r="M15"/>
      <c r="N15"/>
      <c r="O15"/>
      <c r="P15"/>
      <c r="Q15"/>
      <c r="R15"/>
      <c r="S15" s="1307"/>
      <c r="T15"/>
    </row>
    <row r="16" spans="1:20" x14ac:dyDescent="0.2">
      <c r="A16"/>
      <c r="B16" s="784" t="s">
        <v>5351</v>
      </c>
      <c r="C16" s="1291">
        <f>'30'!N17</f>
        <v>0</v>
      </c>
      <c r="D16" s="1291">
        <f>'30'!J17</f>
        <v>0</v>
      </c>
      <c r="E16"/>
      <c r="F16"/>
      <c r="G16"/>
      <c r="H16"/>
      <c r="I16"/>
      <c r="J16"/>
      <c r="K16"/>
      <c r="L16"/>
      <c r="M16"/>
      <c r="N16"/>
      <c r="O16"/>
      <c r="P16"/>
      <c r="Q16"/>
      <c r="R16"/>
      <c r="S16" s="1307"/>
      <c r="T16"/>
    </row>
    <row r="17" spans="1:20" x14ac:dyDescent="0.2">
      <c r="A17"/>
      <c r="B17"/>
      <c r="C17" s="1291"/>
      <c r="D17" s="1291"/>
      <c r="E17"/>
      <c r="F17"/>
      <c r="G17"/>
      <c r="H17"/>
      <c r="I17"/>
      <c r="J17"/>
      <c r="K17"/>
      <c r="L17"/>
      <c r="M17"/>
      <c r="N17"/>
      <c r="O17"/>
      <c r="P17"/>
      <c r="Q17"/>
      <c r="R17"/>
      <c r="S17" s="1307"/>
      <c r="T17"/>
    </row>
    <row r="18" spans="1:20" x14ac:dyDescent="0.2">
      <c r="A18"/>
      <c r="B18" s="784" t="s">
        <v>5352</v>
      </c>
      <c r="C18" s="1291">
        <f>'33-Utility1'!H24+'33-Utility2'!H24+'33-Utility3'!H24+'33-Utility4'!H24+'33-Utility5'!H24+'33-Utility6'!H24</f>
        <v>0</v>
      </c>
      <c r="D18" s="1291">
        <f>'33-Utility1'!H24+'33-Utility2'!H24+'33-Utility3'!H24+'33-Utility4'!H24+'33-Utility5'!H24+'33-Utility6'!H24</f>
        <v>0</v>
      </c>
      <c r="E18"/>
      <c r="F18"/>
      <c r="G18"/>
      <c r="H18"/>
      <c r="I18"/>
      <c r="J18"/>
      <c r="K18"/>
      <c r="L18"/>
      <c r="M18"/>
      <c r="N18"/>
      <c r="O18"/>
      <c r="P18"/>
      <c r="Q18"/>
      <c r="R18"/>
      <c r="S18" s="1307"/>
      <c r="T18"/>
    </row>
    <row r="19" spans="1:20" x14ac:dyDescent="0.2">
      <c r="A19"/>
      <c r="B19" s="784"/>
      <c r="C19" s="1291"/>
      <c r="D19" s="1291"/>
      <c r="E19"/>
      <c r="F19"/>
      <c r="G19"/>
      <c r="H19"/>
      <c r="I19"/>
      <c r="J19"/>
      <c r="K19"/>
      <c r="L19"/>
      <c r="M19"/>
      <c r="N19"/>
      <c r="O19"/>
      <c r="P19"/>
      <c r="Q19"/>
      <c r="R19"/>
      <c r="S19" s="1307"/>
      <c r="T19"/>
    </row>
    <row r="20" spans="1:20" ht="15.75" x14ac:dyDescent="0.25">
      <c r="A20" s="1" t="s">
        <v>5431</v>
      </c>
      <c r="B20" s="47"/>
      <c r="C20" s="1294"/>
      <c r="D20" s="1294"/>
      <c r="E20" s="47"/>
      <c r="F20" s="47"/>
      <c r="G20"/>
      <c r="H20"/>
      <c r="I20"/>
      <c r="J20"/>
      <c r="K20"/>
      <c r="L20"/>
      <c r="M20"/>
      <c r="N20"/>
      <c r="O20"/>
      <c r="P20"/>
      <c r="Q20"/>
      <c r="R20"/>
      <c r="S20" s="1307"/>
      <c r="T20"/>
    </row>
    <row r="21" spans="1:20" ht="15" x14ac:dyDescent="0.25">
      <c r="A21" s="417"/>
      <c r="B21" s="784"/>
      <c r="C21" s="1288" t="s">
        <v>5604</v>
      </c>
      <c r="D21" s="1288" t="s">
        <v>5605</v>
      </c>
      <c r="E21"/>
      <c r="F21"/>
      <c r="G21"/>
      <c r="H21"/>
      <c r="I21"/>
      <c r="J21"/>
      <c r="K21"/>
      <c r="L21"/>
      <c r="M21"/>
      <c r="N21"/>
      <c r="O21"/>
      <c r="P21"/>
      <c r="Q21"/>
      <c r="R21"/>
      <c r="S21" s="1307"/>
      <c r="T21"/>
    </row>
    <row r="22" spans="1:20" x14ac:dyDescent="0.2">
      <c r="A22" s="106" t="s">
        <v>742</v>
      </c>
      <c r="B22" s="5"/>
      <c r="C22" s="75"/>
      <c r="D22" s="75"/>
      <c r="E22"/>
      <c r="F22"/>
      <c r="G22"/>
      <c r="H22"/>
      <c r="I22"/>
      <c r="J22"/>
      <c r="K22"/>
      <c r="L22"/>
      <c r="M22"/>
      <c r="N22"/>
      <c r="O22"/>
      <c r="P22"/>
      <c r="Q22"/>
      <c r="R22"/>
      <c r="S22" s="1307"/>
      <c r="T22"/>
    </row>
    <row r="23" spans="1:20" x14ac:dyDescent="0.2">
      <c r="A23" t="s">
        <v>515</v>
      </c>
      <c r="B23" s="784" t="s">
        <v>742</v>
      </c>
      <c r="C23" s="1291">
        <f>'11'!K8</f>
        <v>302200</v>
      </c>
      <c r="D23" s="1291">
        <f>'11'!I8</f>
        <v>302200</v>
      </c>
      <c r="E23"/>
      <c r="F23"/>
      <c r="G23"/>
      <c r="H23"/>
      <c r="I23"/>
      <c r="J23"/>
      <c r="K23"/>
      <c r="L23"/>
      <c r="M23"/>
      <c r="N23"/>
      <c r="O23"/>
      <c r="P23"/>
      <c r="Q23"/>
      <c r="R23"/>
      <c r="S23" s="1307">
        <f>SUM(C23:J23)</f>
        <v>604400</v>
      </c>
      <c r="T23"/>
    </row>
    <row r="24" spans="1:20" x14ac:dyDescent="0.2">
      <c r="A24" t="s">
        <v>516</v>
      </c>
      <c r="B24" s="784" t="s">
        <v>5580</v>
      </c>
      <c r="C24" s="1291">
        <f>'11'!K9</f>
        <v>0</v>
      </c>
      <c r="D24" s="1291">
        <f>'11'!I9</f>
        <v>0</v>
      </c>
      <c r="E24"/>
      <c r="F24"/>
      <c r="G24"/>
      <c r="H24"/>
      <c r="I24"/>
      <c r="J24"/>
      <c r="K24"/>
      <c r="L24"/>
      <c r="M24"/>
      <c r="N24"/>
      <c r="O24"/>
      <c r="P24"/>
      <c r="Q24"/>
      <c r="R24"/>
      <c r="S24" s="1316">
        <f t="shared" ref="S24:S87" si="0">SUM(C24:J24)</f>
        <v>0</v>
      </c>
      <c r="T24"/>
    </row>
    <row r="25" spans="1:20" ht="15" x14ac:dyDescent="0.25">
      <c r="A25" s="417"/>
      <c r="B25" s="1304" t="str">
        <f>"Total- "&amp;A22</f>
        <v>Total- Surplus Anticipated</v>
      </c>
      <c r="C25" s="1290">
        <f>SUM(C23:C24)</f>
        <v>302200</v>
      </c>
      <c r="D25" s="1290">
        <f>SUM(D23:D24)</f>
        <v>302200</v>
      </c>
      <c r="E25"/>
      <c r="F25"/>
      <c r="G25"/>
      <c r="H25"/>
      <c r="I25"/>
      <c r="J25"/>
      <c r="K25"/>
      <c r="L25"/>
      <c r="M25"/>
      <c r="N25"/>
      <c r="O25"/>
      <c r="P25"/>
      <c r="Q25"/>
      <c r="R25"/>
      <c r="S25" s="1307"/>
      <c r="T25"/>
    </row>
    <row r="26" spans="1:20" ht="15" x14ac:dyDescent="0.25">
      <c r="A26" s="417"/>
      <c r="B26" s="784"/>
      <c r="C26" s="1291"/>
      <c r="D26" s="1291"/>
      <c r="E26"/>
      <c r="F26"/>
      <c r="G26"/>
      <c r="H26"/>
      <c r="I26"/>
      <c r="J26"/>
      <c r="K26"/>
      <c r="L26"/>
      <c r="M26"/>
      <c r="N26"/>
      <c r="O26"/>
      <c r="P26"/>
      <c r="Q26"/>
      <c r="R26"/>
      <c r="S26" s="1307"/>
      <c r="T26"/>
    </row>
    <row r="27" spans="1:20" x14ac:dyDescent="0.2">
      <c r="A27" s="106" t="s">
        <v>5598</v>
      </c>
      <c r="B27" s="5"/>
      <c r="C27" s="75"/>
      <c r="D27" s="75"/>
      <c r="E27"/>
      <c r="F27"/>
      <c r="G27"/>
      <c r="H27"/>
      <c r="I27"/>
      <c r="J27"/>
      <c r="K27"/>
      <c r="L27"/>
      <c r="M27"/>
      <c r="N27"/>
      <c r="O27"/>
      <c r="P27"/>
      <c r="Q27"/>
      <c r="R27"/>
      <c r="S27" s="1307"/>
      <c r="T27"/>
    </row>
    <row r="28" spans="1:20" x14ac:dyDescent="0.2">
      <c r="A28"/>
      <c r="B28" s="784" t="s">
        <v>5599</v>
      </c>
      <c r="C28" s="1291">
        <f>'11'!K25</f>
        <v>458213.92</v>
      </c>
      <c r="D28" s="1291">
        <f>IFERROR('11'!I25,0)</f>
        <v>334252.65115825913</v>
      </c>
      <c r="E28"/>
      <c r="F28"/>
      <c r="G28"/>
      <c r="H28"/>
      <c r="I28"/>
      <c r="J28"/>
      <c r="K28"/>
      <c r="L28"/>
      <c r="M28"/>
      <c r="N28"/>
      <c r="O28"/>
      <c r="P28"/>
      <c r="Q28"/>
      <c r="R28"/>
      <c r="S28" s="1307">
        <f t="shared" si="0"/>
        <v>792466.57115825918</v>
      </c>
      <c r="T28"/>
    </row>
    <row r="29" spans="1:20" x14ac:dyDescent="0.2">
      <c r="A29"/>
      <c r="B29" s="784" t="s">
        <v>422</v>
      </c>
      <c r="C29" s="1291">
        <f>'11'!K19</f>
        <v>127779.88</v>
      </c>
      <c r="D29" s="1291">
        <f>'11'!I19</f>
        <v>90000</v>
      </c>
      <c r="E29"/>
      <c r="F29"/>
      <c r="G29"/>
      <c r="H29"/>
      <c r="I29"/>
      <c r="J29"/>
      <c r="K29"/>
      <c r="L29"/>
      <c r="M29"/>
      <c r="N29"/>
      <c r="O29"/>
      <c r="P29"/>
      <c r="Q29"/>
      <c r="R29"/>
      <c r="S29" s="1307">
        <f t="shared" si="0"/>
        <v>217779.88</v>
      </c>
      <c r="T29"/>
    </row>
    <row r="30" spans="1:20" ht="15" x14ac:dyDescent="0.25">
      <c r="A30" s="417"/>
      <c r="B30" s="1304" t="str">
        <f>"Total- "&amp;A27</f>
        <v>Total- Municipal Taxes</v>
      </c>
      <c r="C30" s="1290">
        <f>SUM(C28:C29)</f>
        <v>585993.80000000005</v>
      </c>
      <c r="D30" s="1290">
        <f>SUM(D28:D29)</f>
        <v>424252.65115825913</v>
      </c>
      <c r="E30"/>
      <c r="F30"/>
      <c r="G30"/>
      <c r="H30"/>
      <c r="I30"/>
      <c r="J30"/>
      <c r="K30"/>
      <c r="L30"/>
      <c r="M30"/>
      <c r="N30"/>
      <c r="O30"/>
      <c r="P30"/>
      <c r="Q30"/>
      <c r="R30"/>
      <c r="S30" s="1307"/>
      <c r="T30"/>
    </row>
    <row r="31" spans="1:20" ht="15.75" customHeight="1" x14ac:dyDescent="0.25">
      <c r="A31" s="417"/>
      <c r="B31" s="1304"/>
      <c r="C31" s="1290"/>
      <c r="D31" s="1290"/>
      <c r="E31"/>
      <c r="F31"/>
      <c r="G31"/>
      <c r="H31"/>
      <c r="I31"/>
      <c r="J31"/>
      <c r="K31"/>
      <c r="L31"/>
      <c r="M31"/>
      <c r="N31"/>
      <c r="O31"/>
      <c r="P31"/>
      <c r="Q31"/>
      <c r="R31"/>
      <c r="S31" s="1307"/>
      <c r="T31"/>
    </row>
    <row r="32" spans="1:20" x14ac:dyDescent="0.2">
      <c r="A32" s="106" t="s">
        <v>163</v>
      </c>
      <c r="B32" s="5"/>
      <c r="C32" s="75"/>
      <c r="D32" s="75"/>
      <c r="E32"/>
      <c r="F32"/>
      <c r="G32"/>
      <c r="H32"/>
      <c r="I32"/>
      <c r="J32"/>
      <c r="K32"/>
      <c r="L32"/>
      <c r="M32"/>
      <c r="N32"/>
      <c r="O32"/>
      <c r="P32"/>
      <c r="Q32"/>
      <c r="R32"/>
      <c r="S32" s="1307"/>
      <c r="T32"/>
    </row>
    <row r="33" spans="1:20" x14ac:dyDescent="0.2">
      <c r="A33" t="s">
        <v>518</v>
      </c>
      <c r="B33" t="s">
        <v>5362</v>
      </c>
      <c r="C33" s="1291">
        <f>SUMIF('4'!H$5:H$100,$A33,'4'!$K$5:$K$100)+SUMIF('4a'!H$5:H$100,$A33,'4a'!$K$5:$K$100)+SUMIF('4b'!H$5:H$100,$A33,'4b'!$K$5:$K$100)+SUMIF('4c'!H$5:H$100,$A33,'4c'!$K$5:$K$100)+SUMIF('5'!H$5:H$100,$A33,'5'!$K$5:$K$100)+SUMIF('6'!H$5:H$100,$A33,'6'!$K$5:$K$100)+SUMIF('7'!H$5:H$100,$A33,'7'!$K$5:$K$100)+SUMIF('7a'!H$5:H$100,$A33,'7a'!$K$5:$K$100)+SUMIF('7b'!H$5:H$100,$A33,'7b'!$K$5:$K$100)+SUMIF('8'!H$5:H$100,$A33,'8'!$K$5:$K$100)+SUMIF('9'!H$5:H$100,$A33,'9'!$K$5:$K$100)+SUMIF('9a'!H$5:H$100,$A33,'9a'!$K$5:$K$100)+SUMIF('9b'!H$5:H$100,$A33,'9b'!$K$5:$K$100)+SUMIF('9c'!H$5:H$100,$A33,'9c'!$K$5:$K$100)+SUMIF('9d'!H$5:H$100,$A33,'9d'!$K$5:$K$100)+SUMIF('9e'!H$5:H$100,$A33,'9e'!$K$5:$K$100)+SUMIF('9f'!H$5:H$100,$A33,'9f'!$K$5:$K$100)+SUMIF('9g'!H$5:H$100,$A33,'9g'!$K$5:$K$100)+SUMIF('9h'!H$5:H$100,$A33,'9h'!$K$5:$K$100)+SUMIF('9 TOTAL'!H$5:H$100,$A33,'9 TOTAL'!$K$5:$K$100)
+SUMIF('10'!H$5:H$100,$A33,'10'!$K$5:$K$100)+SUMIF('10a'!H$5:H$100,$A33,'10a'!$K$5:$K$100)+SUMIF('10b'!H$5:H$100,$A33,'10b'!$K$5:$K$100)+SUMIF('10c'!H$5:H$100,$A33,'10c'!$K$5:$K$100)+SUMIF('10d'!H$5:H$100,$A33,'10d'!$K$5:$K$100)+SUMIF('10e'!H$5:H$100,$A33,'10e'!$K$5:$K$100)+SUMIF('10f'!H$5:H$100,$A33,'10f'!$K$5:$K$100)+SUMIF('10g'!H$5:H$100,$A33,'10g'!$K$5:$K$100)+SUMIF('10h'!H$5:H$100,$A33,'10h'!$K$5:$K$100)+SUMIF('10i'!H$5:H$100,$A33,'10i'!$K$5:$K$100)+SUMIF('10j'!H$5:H$100,$A33,'10j'!$K$5:$K$100)+SUMIF('10k'!H$5:H$100,$A33,'10k'!$K$5:$K$100)+SUMIF('10l'!H$5:H$100,$A33,'10l'!$K$5:$K$100)+SUMIF('10m'!H$5:H$100,$A33,'10m'!$K$5:$K$100)+SUMIF('10 TOTAL'!H$5:H$100,$A33,'10 TOTAL'!$K$5:$K$100)</f>
        <v>0</v>
      </c>
      <c r="D33" s="1291">
        <f>SUMIF('4'!H$5:H$100,$A33,'4'!$I$5:$I$100)+SUMIF('4a'!H$5:H$100,$A33,'4a'!$I$5:$I$100)+SUMIF('4b'!H$5:H$100,$A33,'4b'!$I$5:$I$100)+SUMIF('4c'!H$5:H$100,$A33,'4c'!$I$5:$I$100)+SUMIF('5'!H$5:H$100,$A33,'5'!$I$5:$I$100)+SUMIF('6'!H$5:H$100,$A33,'6'!$I$5:$I$100)+SUMIF('7'!H$5:H$100,$A33,'7'!$I$5:$I$100)+SUMIF('7a'!H$5:H$100,$A33,'7a'!$I$5:$I$100)+SUMIF('7b'!H$5:H$100,$A33,'7b'!$I$5:$I$100)+SUMIF('8'!H$5:H$100,$A33,'8'!$I$5:$I$100)+SUMIF('9'!H$5:H$100,$A33,'9'!$I$5:$I$100)+SUMIF('9a'!H$5:H$100,$A33,'9a'!$I$5:$I$100)+SUMIF('9b'!H$5:H$100,$A33,'9b'!$I$5:$I$100)+SUMIF('9c'!H$5:H$100,$A33,'9c'!$I$5:$I$100)+SUMIF('9d'!H$5:H$100,$A33,'9d'!$I$5:$I$100)+SUMIF('9e'!H$5:H$100,$A33,'9e'!$I$5:$I$100)+SUMIF('9f'!H$5:H$100,$A33,'9f'!$I$5:$I$100)+SUMIF('9g'!H$5:H$100,$A33,'9g'!$I$5:$I$100)+SUMIF('9h'!H$5:H$100,$A33,'9h'!$I$5:$I$100)+SUMIF('9 TOTAL'!H$5:H$100,$A33,'9 TOTAL'!$I$5:$I$100)
+SUMIF('10'!H$5:H$100,$A33,'10'!$I$5:$I$100)+SUMIF('10a'!H$5:H$100,$A33,'10a'!$I$5:$I$100)+SUMIF('10b'!H$5:H$100,$A33,'10b'!$I$5:$I$100)+SUMIF('10c'!H$5:H$100,$A33,'10c'!$I$5:$I$100)+SUMIF('10d'!H$5:H$100,$A33,'10d'!$I$5:$I$100)+SUMIF('10e'!H$5:H$100,$A33,'10e'!$I$5:$I$100)+SUMIF('10f'!H$5:H$100,$A33,'10f'!$I$5:$I$100)+SUMIF('10g'!H$5:H$100,$A33,'10g'!$I$5:$I$100)+SUMIF('10h'!H$5:H$100,$A33,'10h'!$I$5:$I$100)+SUMIF('10i'!H$5:H$100,$A33,'10i'!$I$5:$I$100)+SUMIF('10j'!H$5:H$100,$A33,'10j'!$I$5:$I$100)+SUMIF('10k'!H$5:H$100,$A33,'10k'!$I$5:$I$100)+SUMIF('10l'!H$5:H$100,$A33,'10l'!$I$5:$I$100)+SUMIF('10m'!H$5:H$100,$A33,'10m'!$I$5:$I$100)+SUMIF('10 TOTAL'!H$5:H$100,$A33,'10 TOTAL'!$I$5:$I$100)</f>
        <v>0</v>
      </c>
      <c r="E33"/>
      <c r="F33"/>
      <c r="G33"/>
      <c r="H33"/>
      <c r="I33"/>
      <c r="J33"/>
      <c r="K33"/>
      <c r="L33"/>
      <c r="M33"/>
      <c r="N33"/>
      <c r="O33"/>
      <c r="P33"/>
      <c r="Q33"/>
      <c r="R33"/>
      <c r="S33" s="1307">
        <f t="shared" si="0"/>
        <v>0</v>
      </c>
      <c r="T33"/>
    </row>
    <row r="34" spans="1:20" x14ac:dyDescent="0.2">
      <c r="A34" t="s">
        <v>519</v>
      </c>
      <c r="B34" t="s">
        <v>5363</v>
      </c>
      <c r="C34" s="1291">
        <f>SUMIF('4'!H$5:H$100,$A34,'4'!$K$5:$K$100)+SUMIF('4a'!H$5:H$100,$A34,'4a'!$K$5:$K$100)+SUMIF('4b'!H$5:H$100,$A34,'4b'!$K$5:$K$100)+SUMIF('4c'!H$5:H$100,$A34,'4c'!$K$5:$K$100)+SUMIF('5'!H$5:H$100,$A34,'5'!$K$5:$K$100)+SUMIF('6'!H$5:H$100,$A34,'6'!$K$5:$K$100)+SUMIF('7'!H$5:H$100,$A34,'7'!$K$5:$K$100)+SUMIF('7a'!H$5:H$100,$A34,'7a'!$K$5:$K$100)+SUMIF('7b'!H$5:H$100,$A34,'7b'!$K$5:$K$100)+SUMIF('8'!H$5:H$100,$A34,'8'!$K$5:$K$100)+SUMIF('9'!H$5:H$100,$A34,'9'!$K$5:$K$100)+SUMIF('9a'!H$5:H$100,$A34,'9a'!$K$5:$K$100)+SUMIF('9b'!H$5:H$100,$A34,'9b'!$K$5:$K$100)+SUMIF('9c'!H$5:H$100,$A34,'9c'!$K$5:$K$100)+SUMIF('9d'!H$5:H$100,$A34,'9d'!$K$5:$K$100)+SUMIF('9e'!H$5:H$100,$A34,'9e'!$K$5:$K$100)+SUMIF('9f'!H$5:H$100,$A34,'9f'!$K$5:$K$100)+SUMIF('9g'!H$5:H$100,$A34,'9g'!$K$5:$K$100)+SUMIF('9h'!H$5:H$100,$A34,'9h'!$K$5:$K$100)+SUMIF('9 TOTAL'!H$5:H$100,$A34,'9 TOTAL'!$K$5:$K$100)
+SUMIF('10'!H$5:H$100,$A34,'10'!$K$5:$K$100)+SUMIF('10a'!H$5:H$100,$A34,'10a'!$K$5:$K$100)+SUMIF('10b'!H$5:H$100,$A34,'10b'!$K$5:$K$100)+SUMIF('10c'!H$5:H$100,$A34,'10c'!$K$5:$K$100)+SUMIF('10d'!H$5:H$100,$A34,'10d'!$K$5:$K$100)+SUMIF('10e'!H$5:H$100,$A34,'10e'!$K$5:$K$100)+SUMIF('10f'!H$5:H$100,$A34,'10f'!$K$5:$K$100)+SUMIF('10g'!H$5:H$100,$A34,'10g'!$K$5:$K$100)+SUMIF('10h'!H$5:H$100,$A34,'10h'!$K$5:$K$100)+SUMIF('10i'!H$5:H$100,$A34,'10i'!$K$5:$K$100)+SUMIF('10j'!H$5:H$100,$A34,'10j'!$K$5:$K$100)+SUMIF('10k'!H$5:H$100,$A34,'10k'!$K$5:$K$100)+SUMIF('10l'!H$5:H$100,$A34,'10l'!$K$5:$K$100)+SUMIF('10m'!H$5:H$100,$A34,'10m'!$K$5:$K$100)+SUMIF('10 TOTAL'!H$5:H$100,$A34,'10 TOTAL'!$K$5:$K$100)</f>
        <v>0</v>
      </c>
      <c r="D34" s="1291">
        <f>SUMIF('4'!H$5:H$100,$A34,'4'!$I$5:$I$100)+SUMIF('4a'!H$5:H$100,$A34,'4a'!$I$5:$I$100)+SUMIF('4b'!H$5:H$100,$A34,'4b'!$I$5:$I$100)+SUMIF('4c'!H$5:H$100,$A34,'4c'!$I$5:$I$100)+SUMIF('5'!H$5:H$100,$A34,'5'!$I$5:$I$100)+SUMIF('6'!H$5:H$100,$A34,'6'!$I$5:$I$100)+SUMIF('7'!H$5:H$100,$A34,'7'!$I$5:$I$100)+SUMIF('7a'!H$5:H$100,$A34,'7a'!$I$5:$I$100)+SUMIF('7b'!H$5:H$100,$A34,'7b'!$I$5:$I$100)+SUMIF('8'!H$5:H$100,$A34,'8'!$I$5:$I$100)+SUMIF('9'!H$5:H$100,$A34,'9'!$I$5:$I$100)+SUMIF('9a'!H$5:H$100,$A34,'9a'!$I$5:$I$100)+SUMIF('9b'!H$5:H$100,$A34,'9b'!$I$5:$I$100)+SUMIF('9c'!H$5:H$100,$A34,'9c'!$I$5:$I$100)+SUMIF('9d'!H$5:H$100,$A34,'9d'!$I$5:$I$100)+SUMIF('9e'!H$5:H$100,$A34,'9e'!$I$5:$I$100)+SUMIF('9f'!H$5:H$100,$A34,'9f'!$I$5:$I$100)+SUMIF('9g'!H$5:H$100,$A34,'9g'!$I$5:$I$100)+SUMIF('9h'!H$5:H$100,$A34,'9h'!$I$5:$I$100)+SUMIF('9 TOTAL'!H$5:H$100,$A34,'9 TOTAL'!$I$5:$I$100)
+SUMIF('10'!H$5:H$100,$A34,'10'!$I$5:$I$100)+SUMIF('10a'!H$5:H$100,$A34,'10a'!$I$5:$I$100)+SUMIF('10b'!H$5:H$100,$A34,'10b'!$I$5:$I$100)+SUMIF('10c'!H$5:H$100,$A34,'10c'!$I$5:$I$100)+SUMIF('10d'!H$5:H$100,$A34,'10d'!$I$5:$I$100)+SUMIF('10e'!H$5:H$100,$A34,'10e'!$I$5:$I$100)+SUMIF('10f'!H$5:H$100,$A34,'10f'!$I$5:$I$100)+SUMIF('10g'!H$5:H$100,$A34,'10g'!$I$5:$I$100)+SUMIF('10h'!H$5:H$100,$A34,'10h'!$I$5:$I$100)+SUMIF('10i'!H$5:H$100,$A34,'10i'!$I$5:$I$100)+SUMIF('10j'!H$5:H$100,$A34,'10j'!$I$5:$I$100)+SUMIF('10k'!H$5:H$100,$A34,'10k'!$I$5:$I$100)+SUMIF('10l'!H$5:H$100,$A34,'10l'!$I$5:$I$100)+SUMIF('10m'!H$5:H$100,$A34,'10m'!$I$5:$I$100)+SUMIF('10 TOTAL'!H$5:H$100,$A34,'10 TOTAL'!$I$5:$I$100)</f>
        <v>0</v>
      </c>
      <c r="E34"/>
      <c r="F34"/>
      <c r="G34"/>
      <c r="H34"/>
      <c r="I34"/>
      <c r="J34"/>
      <c r="K34"/>
      <c r="L34"/>
      <c r="M34"/>
      <c r="N34"/>
      <c r="O34"/>
      <c r="P34"/>
      <c r="Q34"/>
      <c r="R34"/>
      <c r="S34" s="1307">
        <f t="shared" si="0"/>
        <v>0</v>
      </c>
      <c r="T34"/>
    </row>
    <row r="35" spans="1:20" x14ac:dyDescent="0.2">
      <c r="A35" t="s">
        <v>520</v>
      </c>
      <c r="B35" s="784" t="s">
        <v>5592</v>
      </c>
      <c r="C35" s="1291">
        <f>SUMIF('4'!H$5:H$100,$A35,'4'!$K$5:$K$100)+SUMIF('4a'!H$5:H$100,$A35,'4a'!$K$5:$K$100)+SUMIF('4b'!H$5:H$100,$A35,'4b'!$K$5:$K$100)+SUMIF('4c'!H$5:H$100,$A35,'4c'!$K$5:$K$100)+SUMIF('5'!H$5:H$100,$A35,'5'!$K$5:$K$100)+SUMIF('6'!H$5:H$100,$A35,'6'!$K$5:$K$100)+SUMIF('7'!H$5:H$100,$A35,'7'!$K$5:$K$100)+SUMIF('7a'!H$5:H$100,$A35,'7a'!$K$5:$K$100)+SUMIF('7b'!H$5:H$100,$A35,'7b'!$K$5:$K$100)+SUMIF('8'!H$5:H$100,$A35,'8'!$K$5:$K$100)+SUMIF('9'!H$5:H$100,$A35,'9'!$K$5:$K$100)+SUMIF('9a'!H$5:H$100,$A35,'9a'!$K$5:$K$100)+SUMIF('9b'!H$5:H$100,$A35,'9b'!$K$5:$K$100)+SUMIF('9c'!H$5:H$100,$A35,'9c'!$K$5:$K$100)+SUMIF('9d'!H$5:H$100,$A35,'9d'!$K$5:$K$100)+SUMIF('9e'!H$5:H$100,$A35,'9e'!$K$5:$K$100)+SUMIF('9f'!H$5:H$100,$A35,'9f'!$K$5:$K$100)+SUMIF('9g'!H$5:H$100,$A35,'9g'!$K$5:$K$100)+SUMIF('9h'!H$5:H$100,$A35,'9h'!$K$5:$K$100)+SUMIF('9 TOTAL'!H$5:H$100,$A35,'9 TOTAL'!$K$5:$K$100)
+SUMIF('10'!H$5:H$100,$A35,'10'!$K$5:$K$100)+SUMIF('10a'!H$5:H$100,$A35,'10a'!$K$5:$K$100)+SUMIF('10b'!H$5:H$100,$A35,'10b'!$K$5:$K$100)+SUMIF('10c'!H$5:H$100,$A35,'10c'!$K$5:$K$100)+SUMIF('10d'!H$5:H$100,$A35,'10d'!$K$5:$K$100)+SUMIF('10e'!H$5:H$100,$A35,'10e'!$K$5:$K$100)+SUMIF('10f'!H$5:H$100,$A35,'10f'!$K$5:$K$100)+SUMIF('10g'!H$5:H$100,$A35,'10g'!$K$5:$K$100)+SUMIF('10h'!H$5:H$100,$A35,'10h'!$K$5:$K$100)+SUMIF('10i'!H$5:H$100,$A35,'10i'!$K$5:$K$100)+SUMIF('10j'!H$5:H$100,$A35,'10j'!$K$5:$K$100)+SUMIF('10k'!H$5:H$100,$A35,'10k'!$K$5:$K$100)+SUMIF('10l'!H$5:H$100,$A35,'10l'!$K$5:$K$100)+SUMIF('10m'!H$5:H$100,$A35,'10m'!$K$5:$K$100)+SUMIF('10 TOTAL'!H$5:H$100,$A35,'10 TOTAL'!$K$5:$K$100)</f>
        <v>915</v>
      </c>
      <c r="D35" s="1292">
        <f>SUMIF('4'!H$5:H$100,$A35,'4'!$I$5:$I$100)+SUMIF('4a'!H$5:H$100,$A35,'4a'!$I$5:$I$100)+SUMIF('4b'!H$5:H$100,$A35,'4b'!$I$5:$I$100)+SUMIF('4c'!H$5:H$100,$A35,'4c'!$I$5:$I$100)+SUMIF('5'!H$5:H$100,$A35,'5'!$I$5:$I$100)+SUMIF('6'!H$5:H$100,$A35,'6'!$I$5:$I$100)+SUMIF('7'!H$5:H$100,$A35,'7'!$I$5:$I$100)+SUMIF('7a'!H$5:H$100,$A35,'7a'!$I$5:$I$100)+SUMIF('7b'!H$5:H$100,$A35,'7b'!$I$5:$I$100)+SUMIF('8'!H$5:H$100,$A35,'8'!$I$5:$I$100)+SUMIF('9'!H$5:H$100,$A35,'9'!$I$5:$I$100)+SUMIF('9a'!H$5:H$100,$A35,'9a'!$I$5:$I$100)+SUMIF('9b'!H$5:H$100,$A35,'9b'!$I$5:$I$100)+SUMIF('9c'!H$5:H$100,$A35,'9c'!$I$5:$I$100)+SUMIF('9d'!H$5:H$100,$A35,'9d'!$I$5:$I$100)+SUMIF('9e'!H$5:H$100,$A35,'9e'!$I$5:$I$100)+SUMIF('9f'!H$5:H$100,$A35,'9f'!$I$5:$I$100)+SUMIF('9g'!H$5:H$100,$A35,'9g'!$I$5:$I$100)+SUMIF('9h'!H$5:H$100,$A35,'9h'!$I$5:$I$100)+SUMIF('9 TOTAL'!H$5:H$100,$A35,'9 TOTAL'!$I$5:$I$100)
+SUMIF('10'!H$5:H$100,$A35,'10'!$I$5:$I$100)+SUMIF('10a'!H$5:H$100,$A35,'10a'!$I$5:$I$100)+SUMIF('10b'!H$5:H$100,$A35,'10b'!$I$5:$I$100)+SUMIF('10c'!H$5:H$100,$A35,'10c'!$I$5:$I$100)+SUMIF('10d'!H$5:H$100,$A35,'10d'!$I$5:$I$100)+SUMIF('10e'!H$5:H$100,$A35,'10e'!$I$5:$I$100)+SUMIF('10f'!H$5:H$100,$A35,'10f'!$I$5:$I$100)+SUMIF('10g'!H$5:H$100,$A35,'10g'!$I$5:$I$100)+SUMIF('10h'!H$5:H$100,$A35,'10h'!$I$5:$I$100)+SUMIF('10i'!H$5:H$100,$A35,'10i'!$I$5:$I$100)+SUMIF('10j'!H$5:H$100,$A35,'10j'!$I$5:$I$100)+SUMIF('10k'!H$5:H$100,$A35,'10k'!$I$5:$I$100)+SUMIF('10l'!H$5:H$100,$A35,'10l'!$I$5:$I$100)+SUMIF('10m'!H$5:H$100,$A35,'10m'!$I$5:$I$100)+SUMIF('10 TOTAL'!H$5:H$100,$A35,'10 TOTAL'!$I$5:$I$100)</f>
        <v>725</v>
      </c>
      <c r="E35"/>
      <c r="F35"/>
      <c r="G35"/>
      <c r="H35"/>
      <c r="I35"/>
      <c r="J35"/>
      <c r="K35"/>
      <c r="L35"/>
      <c r="M35"/>
      <c r="N35"/>
      <c r="O35"/>
      <c r="P35"/>
      <c r="Q35"/>
      <c r="R35"/>
      <c r="S35" s="1307">
        <f t="shared" si="0"/>
        <v>1640</v>
      </c>
      <c r="T35"/>
    </row>
    <row r="36" spans="1:20" x14ac:dyDescent="0.2">
      <c r="A36" t="s">
        <v>3386</v>
      </c>
      <c r="B36" s="784" t="s">
        <v>5594</v>
      </c>
      <c r="C36" s="1291">
        <f>SUMIF('4'!H$5:H$100,$A36,'4'!$K$5:$K$100)+SUMIF('4a'!H$5:H$100,$A36,'4a'!$K$5:$K$100)+SUMIF('4b'!H$5:H$100,$A36,'4b'!$K$5:$K$100)+SUMIF('4c'!H$5:H$100,$A36,'4c'!$K$5:$K$100)+SUMIF('5'!H$5:H$100,$A36,'5'!$K$5:$K$100)+SUMIF('6'!H$5:H$100,$A36,'6'!$K$5:$K$100)+SUMIF('7'!H$5:H$100,$A36,'7'!$K$5:$K$100)+SUMIF('7a'!H$5:H$100,$A36,'7a'!$K$5:$K$100)+SUMIF('7b'!H$5:H$100,$A36,'7b'!$K$5:$K$100)+SUMIF('8'!H$5:H$100,$A36,'8'!$K$5:$K$100)+SUMIF('9'!H$5:H$100,$A36,'9'!$K$5:$K$100)+SUMIF('9a'!H$5:H$100,$A36,'9a'!$K$5:$K$100)+SUMIF('9b'!H$5:H$100,$A36,'9b'!$K$5:$K$100)+SUMIF('9c'!H$5:H$100,$A36,'9c'!$K$5:$K$100)+SUMIF('9d'!H$5:H$100,$A36,'9d'!$K$5:$K$100)+SUMIF('9e'!H$5:H$100,$A36,'9e'!$K$5:$K$100)+SUMIF('9f'!H$5:H$100,$A36,'9f'!$K$5:$K$100)+SUMIF('9g'!H$5:H$100,$A36,'9g'!$K$5:$K$100)+SUMIF('9h'!H$5:H$100,$A36,'9h'!$K$5:$K$100)+SUMIF('9 TOTAL'!H$5:H$100,$A36,'9 TOTAL'!$K$5:$K$100)
+SUMIF('10'!H$5:H$100,$A36,'10'!$K$5:$K$100)+SUMIF('10a'!H$5:H$100,$A36,'10a'!$K$5:$K$100)+SUMIF('10b'!H$5:H$100,$A36,'10b'!$K$5:$K$100)+SUMIF('10c'!H$5:H$100,$A36,'10c'!$K$5:$K$100)+SUMIF('10d'!H$5:H$100,$A36,'10d'!$K$5:$K$100)+SUMIF('10e'!H$5:H$100,$A36,'10e'!$K$5:$K$100)+SUMIF('10f'!H$5:H$100,$A36,'10f'!$K$5:$K$100)+SUMIF('10g'!H$5:H$100,$A36,'10g'!$K$5:$K$100)+SUMIF('10h'!H$5:H$100,$A36,'10h'!$K$5:$K$100)+SUMIF('10i'!H$5:H$100,$A36,'10i'!$K$5:$K$100)+SUMIF('10j'!H$5:H$100,$A36,'10j'!$K$5:$K$100)+SUMIF('10k'!H$5:H$100,$A36,'10k'!$K$5:$K$100)+SUMIF('10l'!H$5:H$100,$A36,'10l'!$K$5:$K$100)+SUMIF('10m'!H$5:H$100,$A36,'10m'!$K$5:$K$100)+SUMIF('10 TOTAL'!H$5:H$100,$A36,'10 TOTAL'!$K$5:$K$100)</f>
        <v>0</v>
      </c>
      <c r="D36" s="1291">
        <f>SUMIF('4'!H$5:H$100,$A36,'4'!$I$5:$I$100)+SUMIF('4a'!H$5:H$100,$A36,'4a'!$I$5:$I$100)+SUMIF('4b'!H$5:H$100,$A36,'4b'!$I$5:$I$100)+SUMIF('4c'!H$5:H$100,$A36,'4c'!$I$5:$I$100)+SUMIF('5'!H$5:H$100,$A36,'5'!$I$5:$I$100)+SUMIF('6'!H$5:H$100,$A36,'6'!$I$5:$I$100)+SUMIF('7'!H$5:H$100,$A36,'7'!$I$5:$I$100)+SUMIF('7a'!H$5:H$100,$A36,'7a'!$I$5:$I$100)+SUMIF('7b'!H$5:H$100,$A36,'7b'!$I$5:$I$100)+SUMIF('8'!H$5:H$100,$A36,'8'!$I$5:$I$100)+SUMIF('9'!H$5:H$100,$A36,'9'!$I$5:$I$100)+SUMIF('9a'!H$5:H$100,$A36,'9a'!$I$5:$I$100)+SUMIF('9b'!H$5:H$100,$A36,'9b'!$I$5:$I$100)+SUMIF('9c'!H$5:H$100,$A36,'9c'!$I$5:$I$100)+SUMIF('9d'!H$5:H$100,$A36,'9d'!$I$5:$I$100)+SUMIF('9e'!H$5:H$100,$A36,'9e'!$I$5:$I$100)+SUMIF('9f'!H$5:H$100,$A36,'9f'!$I$5:$I$100)+SUMIF('9g'!H$5:H$100,$A36,'9g'!$I$5:$I$100)+SUMIF('9h'!H$5:H$100,$A36,'9h'!$I$5:$I$100)+SUMIF('9 TOTAL'!H$5:H$100,$A36,'9 TOTAL'!$I$5:$I$100)
+SUMIF('10'!H$5:H$100,$A36,'10'!$I$5:$I$100)+SUMIF('10a'!H$5:H$100,$A36,'10a'!$I$5:$I$100)+SUMIF('10b'!H$5:H$100,$A36,'10b'!$I$5:$I$100)+SUMIF('10c'!H$5:H$100,$A36,'10c'!$I$5:$I$100)+SUMIF('10d'!H$5:H$100,$A36,'10d'!$I$5:$I$100)+SUMIF('10e'!H$5:H$100,$A36,'10e'!$I$5:$I$100)+SUMIF('10f'!H$5:H$100,$A36,'10f'!$I$5:$I$100)+SUMIF('10g'!H$5:H$100,$A36,'10g'!$I$5:$I$100)+SUMIF('10h'!H$5:H$100,$A36,'10h'!$I$5:$I$100)+SUMIF('10i'!H$5:H$100,$A36,'10i'!$I$5:$I$100)+SUMIF('10j'!H$5:H$100,$A36,'10j'!$I$5:$I$100)+SUMIF('10k'!H$5:H$100,$A36,'10k'!$I$5:$I$100)+SUMIF('10l'!H$5:H$100,$A36,'10l'!$I$5:$I$100)+SUMIF('10m'!H$5:H$100,$A36,'10m'!$I$5:$I$100)+SUMIF('10 TOTAL'!H$5:H$100,$A36,'10 TOTAL'!$I$5:$I$100)</f>
        <v>0</v>
      </c>
      <c r="E36"/>
      <c r="F36"/>
      <c r="G36"/>
      <c r="H36"/>
      <c r="I36"/>
      <c r="J36"/>
      <c r="K36"/>
      <c r="L36"/>
      <c r="M36"/>
      <c r="N36"/>
      <c r="O36"/>
      <c r="P36"/>
      <c r="Q36"/>
      <c r="R36"/>
      <c r="S36" s="1307">
        <f t="shared" si="0"/>
        <v>0</v>
      </c>
      <c r="T36"/>
    </row>
    <row r="37" spans="1:20" x14ac:dyDescent="0.2">
      <c r="A37" t="s">
        <v>3390</v>
      </c>
      <c r="B37" t="s">
        <v>5364</v>
      </c>
      <c r="C37" s="1291">
        <f>SUMIF('4'!H$5:H$100,$A37,'4'!$K$5:$K$100)+SUMIF('4a'!H$5:H$100,$A37,'4a'!$K$5:$K$100)+SUMIF('4b'!H$5:H$100,$A37,'4b'!$K$5:$K$100)+SUMIF('4c'!H$5:H$100,$A37,'4c'!$K$5:$K$100)+SUMIF('5'!H$5:H$100,$A37,'5'!$K$5:$K$100)+SUMIF('6'!H$5:H$100,$A37,'6'!$K$5:$K$100)+SUMIF('7'!H$5:H$100,$A37,'7'!$K$5:$K$100)+SUMIF('7a'!H$5:H$100,$A37,'7a'!$K$5:$K$100)+SUMIF('7b'!H$5:H$100,$A37,'7b'!$K$5:$K$100)+SUMIF('8'!H$5:H$100,$A37,'8'!$K$5:$K$100)+SUMIF('9'!H$5:H$100,$A37,'9'!$K$5:$K$100)+SUMIF('9a'!H$5:H$100,$A37,'9a'!$K$5:$K$100)+SUMIF('9b'!H$5:H$100,$A37,'9b'!$K$5:$K$100)+SUMIF('9c'!H$5:H$100,$A37,'9c'!$K$5:$K$100)+SUMIF('9d'!H$5:H$100,$A37,'9d'!$K$5:$K$100)+SUMIF('9e'!H$5:H$100,$A37,'9e'!$K$5:$K$100)+SUMIF('9f'!H$5:H$100,$A37,'9f'!$K$5:$K$100)+SUMIF('9g'!H$5:H$100,$A37,'9g'!$K$5:$K$100)+SUMIF('9h'!H$5:H$100,$A37,'9h'!$K$5:$K$100)+SUMIF('9 TOTAL'!H$5:H$100,$A37,'9 TOTAL'!$K$5:$K$100)
+SUMIF('10'!H$5:H$100,$A37,'10'!$K$5:$K$100)+SUMIF('10a'!H$5:H$100,$A37,'10a'!$K$5:$K$100)+SUMIF('10b'!H$5:H$100,$A37,'10b'!$K$5:$K$100)+SUMIF('10c'!H$5:H$100,$A37,'10c'!$K$5:$K$100)+SUMIF('10d'!H$5:H$100,$A37,'10d'!$K$5:$K$100)+SUMIF('10e'!H$5:H$100,$A37,'10e'!$K$5:$K$100)+SUMIF('10f'!H$5:H$100,$A37,'10f'!$K$5:$K$100)+SUMIF('10g'!H$5:H$100,$A37,'10g'!$K$5:$K$100)+SUMIF('10h'!H$5:H$100,$A37,'10h'!$K$5:$K$100)+SUMIF('10i'!H$5:H$100,$A37,'10i'!$K$5:$K$100)+SUMIF('10j'!H$5:H$100,$A37,'10j'!$K$5:$K$100)+SUMIF('10k'!H$5:H$100,$A37,'10k'!$K$5:$K$100)+SUMIF('10l'!H$5:H$100,$A37,'10l'!$K$5:$K$100)+SUMIF('10m'!H$5:H$100,$A37,'10m'!$K$5:$K$100)+SUMIF('10 TOTAL'!H$5:H$100,$A37,'10 TOTAL'!$K$5:$K$100)</f>
        <v>0</v>
      </c>
      <c r="D37" s="1291">
        <f>SUMIF('4'!H$5:H$100,$A37,'4'!$I$5:$I$100)+SUMIF('4a'!H$5:H$100,$A37,'4a'!$I$5:$I$100)+SUMIF('4b'!H$5:H$100,$A37,'4b'!$I$5:$I$100)+SUMIF('4c'!H$5:H$100,$A37,'4c'!$I$5:$I$100)+SUMIF('5'!H$5:H$100,$A37,'5'!$I$5:$I$100)+SUMIF('6'!H$5:H$100,$A37,'6'!$I$5:$I$100)+SUMIF('7'!H$5:H$100,$A37,'7'!$I$5:$I$100)+SUMIF('7a'!H$5:H$100,$A37,'7a'!$I$5:$I$100)+SUMIF('7b'!H$5:H$100,$A37,'7b'!$I$5:$I$100)+SUMIF('8'!H$5:H$100,$A37,'8'!$I$5:$I$100)+SUMIF('9'!H$5:H$100,$A37,'9'!$I$5:$I$100)+SUMIF('9a'!H$5:H$100,$A37,'9a'!$I$5:$I$100)+SUMIF('9b'!H$5:H$100,$A37,'9b'!$I$5:$I$100)+SUMIF('9c'!H$5:H$100,$A37,'9c'!$I$5:$I$100)+SUMIF('9d'!H$5:H$100,$A37,'9d'!$I$5:$I$100)+SUMIF('9e'!H$5:H$100,$A37,'9e'!$I$5:$I$100)+SUMIF('9f'!H$5:H$100,$A37,'9f'!$I$5:$I$100)+SUMIF('9g'!H$5:H$100,$A37,'9g'!$I$5:$I$100)+SUMIF('9h'!H$5:H$100,$A37,'9h'!$I$5:$I$100)+SUMIF('9 TOTAL'!H$5:H$100,$A37,'9 TOTAL'!$I$5:$I$100)
+SUMIF('10'!H$5:H$100,$A37,'10'!$I$5:$I$100)+SUMIF('10a'!H$5:H$100,$A37,'10a'!$I$5:$I$100)+SUMIF('10b'!H$5:H$100,$A37,'10b'!$I$5:$I$100)+SUMIF('10c'!H$5:H$100,$A37,'10c'!$I$5:$I$100)+SUMIF('10d'!H$5:H$100,$A37,'10d'!$I$5:$I$100)+SUMIF('10e'!H$5:H$100,$A37,'10e'!$I$5:$I$100)+SUMIF('10f'!H$5:H$100,$A37,'10f'!$I$5:$I$100)+SUMIF('10g'!H$5:H$100,$A37,'10g'!$I$5:$I$100)+SUMIF('10h'!H$5:H$100,$A37,'10h'!$I$5:$I$100)+SUMIF('10i'!H$5:H$100,$A37,'10i'!$I$5:$I$100)+SUMIF('10j'!H$5:H$100,$A37,'10j'!$I$5:$I$100)+SUMIF('10k'!H$5:H$100,$A37,'10k'!$I$5:$I$100)+SUMIF('10l'!H$5:H$100,$A37,'10l'!$I$5:$I$100)+SUMIF('10m'!H$5:H$100,$A37,'10m'!$I$5:$I$100)+SUMIF('10 TOTAL'!H$5:H$100,$A37,'10 TOTAL'!$I$5:$I$100)</f>
        <v>0</v>
      </c>
      <c r="E37"/>
      <c r="F37"/>
      <c r="G37"/>
      <c r="H37"/>
      <c r="I37"/>
      <c r="J37"/>
      <c r="K37"/>
      <c r="L37"/>
      <c r="M37"/>
      <c r="N37"/>
      <c r="O37"/>
      <c r="P37"/>
      <c r="Q37"/>
      <c r="R37"/>
      <c r="S37" s="1307">
        <f t="shared" si="0"/>
        <v>0</v>
      </c>
      <c r="T37"/>
    </row>
    <row r="38" spans="1:20" x14ac:dyDescent="0.2">
      <c r="A38" t="s">
        <v>522</v>
      </c>
      <c r="B38" t="s">
        <v>5365</v>
      </c>
      <c r="C38" s="1291">
        <f>SUMIF('4'!H$5:H$100,$A38,'4'!$K$5:$K$100)+SUMIF('4a'!H$5:H$100,$A38,'4a'!$K$5:$K$100)+SUMIF('4b'!H$5:H$100,$A38,'4b'!$K$5:$K$100)+SUMIF('4c'!H$5:H$100,$A38,'4c'!$K$5:$K$100)+SUMIF('5'!H$5:H$100,$A38,'5'!$K$5:$K$100)+SUMIF('6'!H$5:H$100,$A38,'6'!$K$5:$K$100)+SUMIF('7'!H$5:H$100,$A38,'7'!$K$5:$K$100)+SUMIF('7a'!H$5:H$100,$A38,'7a'!$K$5:$K$100)+SUMIF('7b'!H$5:H$100,$A38,'7b'!$K$5:$K$100)+SUMIF('8'!H$5:H$100,$A38,'8'!$K$5:$K$100)+SUMIF('9'!H$5:H$100,$A38,'9'!$K$5:$K$100)+SUMIF('9a'!H$5:H$100,$A38,'9a'!$K$5:$K$100)+SUMIF('9b'!H$5:H$100,$A38,'9b'!$K$5:$K$100)+SUMIF('9c'!H$5:H$100,$A38,'9c'!$K$5:$K$100)+SUMIF('9d'!H$5:H$100,$A38,'9d'!$K$5:$K$100)+SUMIF('9e'!H$5:H$100,$A38,'9e'!$K$5:$K$100)+SUMIF('9f'!H$5:H$100,$A38,'9f'!$K$5:$K$100)+SUMIF('9g'!H$5:H$100,$A38,'9g'!$K$5:$K$100)+SUMIF('9h'!H$5:H$100,$A38,'9h'!$K$5:$K$100)+SUMIF('9 TOTAL'!H$5:H$100,$A38,'9 TOTAL'!$K$5:$K$100)
+SUMIF('10'!H$5:H$100,$A38,'10'!$K$5:$K$100)+SUMIF('10a'!H$5:H$100,$A38,'10a'!$K$5:$K$100)+SUMIF('10b'!H$5:H$100,$A38,'10b'!$K$5:$K$100)+SUMIF('10c'!H$5:H$100,$A38,'10c'!$K$5:$K$100)+SUMIF('10d'!H$5:H$100,$A38,'10d'!$K$5:$K$100)+SUMIF('10e'!H$5:H$100,$A38,'10e'!$K$5:$K$100)+SUMIF('10f'!H$5:H$100,$A38,'10f'!$K$5:$K$100)+SUMIF('10g'!H$5:H$100,$A38,'10g'!$K$5:$K$100)+SUMIF('10h'!H$5:H$100,$A38,'10h'!$K$5:$K$100)+SUMIF('10i'!H$5:H$100,$A38,'10i'!$K$5:$K$100)+SUMIF('10j'!H$5:H$100,$A38,'10j'!$K$5:$K$100)+SUMIF('10k'!H$5:H$100,$A38,'10k'!$K$5:$K$100)+SUMIF('10l'!H$5:H$100,$A38,'10l'!$K$5:$K$100)+SUMIF('10m'!H$5:H$100,$A38,'10m'!$K$5:$K$100)+SUMIF('10 TOTAL'!H$5:H$100,$A38,'10 TOTAL'!$K$5:$K$100)</f>
        <v>0</v>
      </c>
      <c r="D38" s="1291">
        <f>SUMIF('4'!H$5:H$100,$A38,'4'!$I$5:$I$100)+SUMIF('4a'!H$5:H$100,$A38,'4a'!$I$5:$I$100)+SUMIF('4b'!H$5:H$100,$A38,'4b'!$I$5:$I$100)+SUMIF('4c'!H$5:H$100,$A38,'4c'!$I$5:$I$100)+SUMIF('5'!H$5:H$100,$A38,'5'!$I$5:$I$100)+SUMIF('6'!H$5:H$100,$A38,'6'!$I$5:$I$100)+SUMIF('7'!H$5:H$100,$A38,'7'!$I$5:$I$100)+SUMIF('7a'!H$5:H$100,$A38,'7a'!$I$5:$I$100)+SUMIF('7b'!H$5:H$100,$A38,'7b'!$I$5:$I$100)+SUMIF('8'!H$5:H$100,$A38,'8'!$I$5:$I$100)+SUMIF('9'!H$5:H$100,$A38,'9'!$I$5:$I$100)+SUMIF('9a'!H$5:H$100,$A38,'9a'!$I$5:$I$100)+SUMIF('9b'!H$5:H$100,$A38,'9b'!$I$5:$I$100)+SUMIF('9c'!H$5:H$100,$A38,'9c'!$I$5:$I$100)+SUMIF('9d'!H$5:H$100,$A38,'9d'!$I$5:$I$100)+SUMIF('9e'!H$5:H$100,$A38,'9e'!$I$5:$I$100)+SUMIF('9f'!H$5:H$100,$A38,'9f'!$I$5:$I$100)+SUMIF('9g'!H$5:H$100,$A38,'9g'!$I$5:$I$100)+SUMIF('9h'!H$5:H$100,$A38,'9h'!$I$5:$I$100)+SUMIF('9 TOTAL'!H$5:H$100,$A38,'9 TOTAL'!$I$5:$I$100)
+SUMIF('10'!H$5:H$100,$A38,'10'!$I$5:$I$100)+SUMIF('10a'!H$5:H$100,$A38,'10a'!$I$5:$I$100)+SUMIF('10b'!H$5:H$100,$A38,'10b'!$I$5:$I$100)+SUMIF('10c'!H$5:H$100,$A38,'10c'!$I$5:$I$100)+SUMIF('10d'!H$5:H$100,$A38,'10d'!$I$5:$I$100)+SUMIF('10e'!H$5:H$100,$A38,'10e'!$I$5:$I$100)+SUMIF('10f'!H$5:H$100,$A38,'10f'!$I$5:$I$100)+SUMIF('10g'!H$5:H$100,$A38,'10g'!$I$5:$I$100)+SUMIF('10h'!H$5:H$100,$A38,'10h'!$I$5:$I$100)+SUMIF('10i'!H$5:H$100,$A38,'10i'!$I$5:$I$100)+SUMIF('10j'!H$5:H$100,$A38,'10j'!$I$5:$I$100)+SUMIF('10k'!H$5:H$100,$A38,'10k'!$I$5:$I$100)+SUMIF('10l'!H$5:H$100,$A38,'10l'!$I$5:$I$100)+SUMIF('10m'!H$5:H$100,$A38,'10m'!$I$5:$I$100)+SUMIF('10 TOTAL'!H$5:H$100,$A38,'10 TOTAL'!$I$5:$I$100)</f>
        <v>0</v>
      </c>
      <c r="E38"/>
      <c r="F38"/>
      <c r="G38"/>
      <c r="H38"/>
      <c r="I38"/>
      <c r="J38"/>
      <c r="K38"/>
      <c r="L38"/>
      <c r="M38"/>
      <c r="N38"/>
      <c r="O38"/>
      <c r="P38"/>
      <c r="Q38"/>
      <c r="R38"/>
      <c r="S38" s="1307">
        <f t="shared" si="0"/>
        <v>0</v>
      </c>
      <c r="T38"/>
    </row>
    <row r="39" spans="1:20" x14ac:dyDescent="0.2">
      <c r="A39" t="s">
        <v>521</v>
      </c>
      <c r="B39" t="s">
        <v>5366</v>
      </c>
      <c r="C39" s="1291">
        <f>SUMIF('4'!H$5:H$100,$A39,'4'!$K$5:$K$100)+SUMIF('4a'!H$5:H$100,$A39,'4a'!$K$5:$K$100)+SUMIF('4b'!H$5:H$100,$A39,'4b'!$K$5:$K$100)+SUMIF('4c'!H$5:H$100,$A39,'4c'!$K$5:$K$100)+SUMIF('5'!H$5:H$100,$A39,'5'!$K$5:$K$100)+SUMIF('6'!H$5:H$100,$A39,'6'!$K$5:$K$100)+SUMIF('7'!H$5:H$100,$A39,'7'!$K$5:$K$100)+SUMIF('7a'!H$5:H$100,$A39,'7a'!$K$5:$K$100)+SUMIF('7b'!H$5:H$100,$A39,'7b'!$K$5:$K$100)+SUMIF('8'!H$5:H$100,$A39,'8'!$K$5:$K$100)+SUMIF('9'!H$5:H$100,$A39,'9'!$K$5:$K$100)+SUMIF('9a'!H$5:H$100,$A39,'9a'!$K$5:$K$100)+SUMIF('9b'!H$5:H$100,$A39,'9b'!$K$5:$K$100)+SUMIF('9c'!H$5:H$100,$A39,'9c'!$K$5:$K$100)+SUMIF('9d'!H$5:H$100,$A39,'9d'!$K$5:$K$100)+SUMIF('9e'!H$5:H$100,$A39,'9e'!$K$5:$K$100)+SUMIF('9f'!H$5:H$100,$A39,'9f'!$K$5:$K$100)+SUMIF('9g'!H$5:H$100,$A39,'9g'!$K$5:$K$100)+SUMIF('9h'!H$5:H$100,$A39,'9h'!$K$5:$K$100)+SUMIF('9 TOTAL'!H$5:H$100,$A39,'9 TOTAL'!$K$5:$K$100)
+SUMIF('10'!H$5:H$100,$A39,'10'!$K$5:$K$100)+SUMIF('10a'!H$5:H$100,$A39,'10a'!$K$5:$K$100)+SUMIF('10b'!H$5:H$100,$A39,'10b'!$K$5:$K$100)+SUMIF('10c'!H$5:H$100,$A39,'10c'!$K$5:$K$100)+SUMIF('10d'!H$5:H$100,$A39,'10d'!$K$5:$K$100)+SUMIF('10e'!H$5:H$100,$A39,'10e'!$K$5:$K$100)+SUMIF('10f'!H$5:H$100,$A39,'10f'!$K$5:$K$100)+SUMIF('10g'!H$5:H$100,$A39,'10g'!$K$5:$K$100)+SUMIF('10h'!H$5:H$100,$A39,'10h'!$K$5:$K$100)+SUMIF('10i'!H$5:H$100,$A39,'10i'!$K$5:$K$100)+SUMIF('10j'!H$5:H$100,$A39,'10j'!$K$5:$K$100)+SUMIF('10k'!H$5:H$100,$A39,'10k'!$K$5:$K$100)+SUMIF('10l'!H$5:H$100,$A39,'10l'!$K$5:$K$100)+SUMIF('10m'!H$5:H$100,$A39,'10m'!$K$5:$K$100)+SUMIF('10 TOTAL'!H$5:H$100,$A39,'10 TOTAL'!$K$5:$K$100)</f>
        <v>747.56</v>
      </c>
      <c r="D39" s="1291">
        <f>SUMIF('4'!H$5:H$100,$A39,'4'!$I$5:$I$100)+SUMIF('4a'!H$5:H$100,$A39,'4a'!$I$5:$I$100)+SUMIF('4b'!H$5:H$100,$A39,'4b'!$I$5:$I$100)+SUMIF('4c'!H$5:H$100,$A39,'4c'!$I$5:$I$100)+SUMIF('5'!H$5:H$100,$A39,'5'!$I$5:$I$100)+SUMIF('6'!H$5:H$100,$A39,'6'!$I$5:$I$100)+SUMIF('7'!H$5:H$100,$A39,'7'!$I$5:$I$100)+SUMIF('7a'!H$5:H$100,$A39,'7a'!$I$5:$I$100)+SUMIF('7b'!H$5:H$100,$A39,'7b'!$I$5:$I$100)+SUMIF('8'!H$5:H$100,$A39,'8'!$I$5:$I$100)+SUMIF('9'!H$5:H$100,$A39,'9'!$I$5:$I$100)+SUMIF('9a'!H$5:H$100,$A39,'9a'!$I$5:$I$100)+SUMIF('9b'!H$5:H$100,$A39,'9b'!$I$5:$I$100)+SUMIF('9c'!H$5:H$100,$A39,'9c'!$I$5:$I$100)+SUMIF('9d'!H$5:H$100,$A39,'9d'!$I$5:$I$100)+SUMIF('9e'!H$5:H$100,$A39,'9e'!$I$5:$I$100)+SUMIF('9f'!H$5:H$100,$A39,'9f'!$I$5:$I$100)+SUMIF('9g'!H$5:H$100,$A39,'9g'!$I$5:$I$100)+SUMIF('9h'!H$5:H$100,$A39,'9h'!$I$5:$I$100)+SUMIF('9 TOTAL'!H$5:H$100,$A39,'9 TOTAL'!$I$5:$I$100)
+SUMIF('10'!H$5:H$100,$A39,'10'!$I$5:$I$100)+SUMIF('10a'!H$5:H$100,$A39,'10a'!$I$5:$I$100)+SUMIF('10b'!H$5:H$100,$A39,'10b'!$I$5:$I$100)+SUMIF('10c'!H$5:H$100,$A39,'10c'!$I$5:$I$100)+SUMIF('10d'!H$5:H$100,$A39,'10d'!$I$5:$I$100)+SUMIF('10e'!H$5:H$100,$A39,'10e'!$I$5:$I$100)+SUMIF('10f'!H$5:H$100,$A39,'10f'!$I$5:$I$100)+SUMIF('10g'!H$5:H$100,$A39,'10g'!$I$5:$I$100)+SUMIF('10h'!H$5:H$100,$A39,'10h'!$I$5:$I$100)+SUMIF('10i'!H$5:H$100,$A39,'10i'!$I$5:$I$100)+SUMIF('10j'!H$5:H$100,$A39,'10j'!$I$5:$I$100)+SUMIF('10k'!H$5:H$100,$A39,'10k'!$I$5:$I$100)+SUMIF('10l'!H$5:H$100,$A39,'10l'!$I$5:$I$100)+SUMIF('10m'!H$5:H$100,$A39,'10m'!$I$5:$I$100)+SUMIF('10 TOTAL'!H$5:H$100,$A39,'10 TOTAL'!$I$5:$I$100)</f>
        <v>500</v>
      </c>
      <c r="E39"/>
      <c r="F39"/>
      <c r="G39"/>
      <c r="H39"/>
      <c r="I39"/>
      <c r="J39"/>
      <c r="K39"/>
      <c r="L39"/>
      <c r="M39"/>
      <c r="N39"/>
      <c r="O39"/>
      <c r="P39"/>
      <c r="Q39"/>
      <c r="R39"/>
      <c r="S39" s="1307">
        <f t="shared" si="0"/>
        <v>1247.56</v>
      </c>
      <c r="T39"/>
    </row>
    <row r="40" spans="1:20" x14ac:dyDescent="0.2">
      <c r="A40" t="s">
        <v>525</v>
      </c>
      <c r="B40" t="s">
        <v>5367</v>
      </c>
      <c r="C40" s="1291">
        <f>SUMIF('4'!H$5:H$100,$A40,'4'!$K$5:$K$100)+SUMIF('4a'!H$5:H$100,$A40,'4a'!$K$5:$K$100)+SUMIF('4b'!H$5:H$100,$A40,'4b'!$K$5:$K$100)+SUMIF('4c'!H$5:H$100,$A40,'4c'!$K$5:$K$100)+SUMIF('5'!H$5:H$100,$A40,'5'!$K$5:$K$100)+SUMIF('6'!H$5:H$100,$A40,'6'!$K$5:$K$100)+SUMIF('7'!H$5:H$100,$A40,'7'!$K$5:$K$100)+SUMIF('7a'!H$5:H$100,$A40,'7a'!$K$5:$K$100)+SUMIF('7b'!H$5:H$100,$A40,'7b'!$K$5:$K$100)+SUMIF('8'!H$5:H$100,$A40,'8'!$K$5:$K$100)+SUMIF('9'!H$5:H$100,$A40,'9'!$K$5:$K$100)+SUMIF('9a'!H$5:H$100,$A40,'9a'!$K$5:$K$100)+SUMIF('9b'!H$5:H$100,$A40,'9b'!$K$5:$K$100)+SUMIF('9c'!H$5:H$100,$A40,'9c'!$K$5:$K$100)+SUMIF('9d'!H$5:H$100,$A40,'9d'!$K$5:$K$100)+SUMIF('9e'!H$5:H$100,$A40,'9e'!$K$5:$K$100)+SUMIF('9f'!H$5:H$100,$A40,'9f'!$K$5:$K$100)+SUMIF('9g'!H$5:H$100,$A40,'9g'!$K$5:$K$100)+SUMIF('9h'!H$5:H$100,$A40,'9h'!$K$5:$K$100)+SUMIF('9 TOTAL'!H$5:H$100,$A40,'9 TOTAL'!$K$5:$K$100)
+SUMIF('10'!H$5:H$100,$A40,'10'!$K$5:$K$100)+SUMIF('10a'!H$5:H$100,$A40,'10a'!$K$5:$K$100)+SUMIF('10b'!H$5:H$100,$A40,'10b'!$K$5:$K$100)+SUMIF('10c'!H$5:H$100,$A40,'10c'!$K$5:$K$100)+SUMIF('10d'!H$5:H$100,$A40,'10d'!$K$5:$K$100)+SUMIF('10e'!H$5:H$100,$A40,'10e'!$K$5:$K$100)+SUMIF('10f'!H$5:H$100,$A40,'10f'!$K$5:$K$100)+SUMIF('10g'!H$5:H$100,$A40,'10g'!$K$5:$K$100)+SUMIF('10h'!H$5:H$100,$A40,'10h'!$K$5:$K$100)+SUMIF('10i'!H$5:H$100,$A40,'10i'!$K$5:$K$100)+SUMIF('10j'!H$5:H$100,$A40,'10j'!$K$5:$K$100)+SUMIF('10k'!H$5:H$100,$A40,'10k'!$K$5:$K$100)+SUMIF('10l'!H$5:H$100,$A40,'10l'!$K$5:$K$100)+SUMIF('10m'!H$5:H$100,$A40,'10m'!$K$5:$K$100)+SUMIF('10 TOTAL'!H$5:H$100,$A40,'10 TOTAL'!$K$5:$K$100)</f>
        <v>0</v>
      </c>
      <c r="D40" s="1291">
        <f>SUMIF('4'!H$5:H$100,$A40,'4'!$I$5:$I$100)+SUMIF('4a'!H$5:H$100,$A40,'4a'!$I$5:$I$100)+SUMIF('4b'!H$5:H$100,$A40,'4b'!$I$5:$I$100)+SUMIF('4c'!H$5:H$100,$A40,'4c'!$I$5:$I$100)+SUMIF('5'!H$5:H$100,$A40,'5'!$I$5:$I$100)+SUMIF('6'!H$5:H$100,$A40,'6'!$I$5:$I$100)+SUMIF('7'!H$5:H$100,$A40,'7'!$I$5:$I$100)+SUMIF('7a'!H$5:H$100,$A40,'7a'!$I$5:$I$100)+SUMIF('7b'!H$5:H$100,$A40,'7b'!$I$5:$I$100)+SUMIF('8'!H$5:H$100,$A40,'8'!$I$5:$I$100)+SUMIF('9'!H$5:H$100,$A40,'9'!$I$5:$I$100)+SUMIF('9a'!H$5:H$100,$A40,'9a'!$I$5:$I$100)+SUMIF('9b'!H$5:H$100,$A40,'9b'!$I$5:$I$100)+SUMIF('9c'!H$5:H$100,$A40,'9c'!$I$5:$I$100)+SUMIF('9d'!H$5:H$100,$A40,'9d'!$I$5:$I$100)+SUMIF('9e'!H$5:H$100,$A40,'9e'!$I$5:$I$100)+SUMIF('9f'!H$5:H$100,$A40,'9f'!$I$5:$I$100)+SUMIF('9g'!H$5:H$100,$A40,'9g'!$I$5:$I$100)+SUMIF('9h'!H$5:H$100,$A40,'9h'!$I$5:$I$100)+SUMIF('9 TOTAL'!H$5:H$100,$A40,'9 TOTAL'!$I$5:$I$100)
+SUMIF('10'!H$5:H$100,$A40,'10'!$I$5:$I$100)+SUMIF('10a'!H$5:H$100,$A40,'10a'!$I$5:$I$100)+SUMIF('10b'!H$5:H$100,$A40,'10b'!$I$5:$I$100)+SUMIF('10c'!H$5:H$100,$A40,'10c'!$I$5:$I$100)+SUMIF('10d'!H$5:H$100,$A40,'10d'!$I$5:$I$100)+SUMIF('10e'!H$5:H$100,$A40,'10e'!$I$5:$I$100)+SUMIF('10f'!H$5:H$100,$A40,'10f'!$I$5:$I$100)+SUMIF('10g'!H$5:H$100,$A40,'10g'!$I$5:$I$100)+SUMIF('10h'!H$5:H$100,$A40,'10h'!$I$5:$I$100)+SUMIF('10i'!H$5:H$100,$A40,'10i'!$I$5:$I$100)+SUMIF('10j'!H$5:H$100,$A40,'10j'!$I$5:$I$100)+SUMIF('10k'!H$5:H$100,$A40,'10k'!$I$5:$I$100)+SUMIF('10l'!H$5:H$100,$A40,'10l'!$I$5:$I$100)+SUMIF('10m'!H$5:H$100,$A40,'10m'!$I$5:$I$100)+SUMIF('10 TOTAL'!H$5:H$100,$A40,'10 TOTAL'!$I$5:$I$100)</f>
        <v>0</v>
      </c>
      <c r="E40"/>
      <c r="F40"/>
      <c r="G40"/>
      <c r="H40"/>
      <c r="I40"/>
      <c r="J40"/>
      <c r="K40"/>
      <c r="L40"/>
      <c r="M40"/>
      <c r="N40"/>
      <c r="O40"/>
      <c r="P40"/>
      <c r="Q40"/>
      <c r="R40"/>
      <c r="S40" s="1307">
        <f t="shared" si="0"/>
        <v>0</v>
      </c>
      <c r="T40"/>
    </row>
    <row r="41" spans="1:20" x14ac:dyDescent="0.2">
      <c r="A41" t="s">
        <v>523</v>
      </c>
      <c r="B41" t="s">
        <v>91</v>
      </c>
      <c r="C41" s="1291">
        <f>SUMIF('4'!H$5:H$100,$A41,'4'!$K$5:$K$100)+SUMIF('4a'!H$5:H$100,$A41,'4a'!$K$5:$K$100)+SUMIF('4b'!H$5:H$100,$A41,'4b'!$K$5:$K$100)+SUMIF('4c'!H$5:H$100,$A41,'4c'!$K$5:$K$100)+SUMIF('5'!H$5:H$100,$A41,'5'!$K$5:$K$100)+SUMIF('6'!H$5:H$100,$A41,'6'!$K$5:$K$100)+SUMIF('7'!H$5:H$100,$A41,'7'!$K$5:$K$100)+SUMIF('7a'!H$5:H$100,$A41,'7a'!$K$5:$K$100)+SUMIF('7b'!H$5:H$100,$A41,'7b'!$K$5:$K$100)+SUMIF('8'!H$5:H$100,$A41,'8'!$K$5:$K$100)+SUMIF('9'!H$5:H$100,$A41,'9'!$K$5:$K$100)+SUMIF('9a'!H$5:H$100,$A41,'9a'!$K$5:$K$100)+SUMIF('9b'!H$5:H$100,$A41,'9b'!$K$5:$K$100)+SUMIF('9c'!H$5:H$100,$A41,'9c'!$K$5:$K$100)+SUMIF('9d'!H$5:H$100,$A41,'9d'!$K$5:$K$100)+SUMIF('9e'!H$5:H$100,$A41,'9e'!$K$5:$K$100)+SUMIF('9f'!H$5:H$100,$A41,'9f'!$K$5:$K$100)+SUMIF('9g'!H$5:H$100,$A41,'9g'!$K$5:$K$100)+SUMIF('9h'!H$5:H$100,$A41,'9h'!$K$5:$K$100)+SUMIF('9 TOTAL'!H$5:H$100,$A41,'9 TOTAL'!$K$5:$K$100)
+SUMIF('10'!H$5:H$100,$A41,'10'!$K$5:$K$100)+SUMIF('10a'!H$5:H$100,$A41,'10a'!$K$5:$K$100)+SUMIF('10b'!H$5:H$100,$A41,'10b'!$K$5:$K$100)+SUMIF('10c'!H$5:H$100,$A41,'10c'!$K$5:$K$100)+SUMIF('10d'!H$5:H$100,$A41,'10d'!$K$5:$K$100)+SUMIF('10e'!H$5:H$100,$A41,'10e'!$K$5:$K$100)+SUMIF('10f'!H$5:H$100,$A41,'10f'!$K$5:$K$100)+SUMIF('10g'!H$5:H$100,$A41,'10g'!$K$5:$K$100)+SUMIF('10h'!H$5:H$100,$A41,'10h'!$K$5:$K$100)+SUMIF('10i'!H$5:H$100,$A41,'10i'!$K$5:$K$100)+SUMIF('10j'!H$5:H$100,$A41,'10j'!$K$5:$K$100)+SUMIF('10k'!H$5:H$100,$A41,'10k'!$K$5:$K$100)+SUMIF('10l'!H$5:H$100,$A41,'10l'!$K$5:$K$100)+SUMIF('10m'!H$5:H$100,$A41,'10m'!$K$5:$K$100)+SUMIF('10 TOTAL'!H$5:H$100,$A41,'10 TOTAL'!$K$5:$K$100)</f>
        <v>27731.22</v>
      </c>
      <c r="D41" s="1291">
        <f>SUMIF('4'!H$5:H$100,$A41,'4'!$I$5:$I$100)+SUMIF('4a'!H$5:H$100,$A41,'4a'!$I$5:$I$100)+SUMIF('4b'!H$5:H$100,$A41,'4b'!$I$5:$I$100)+SUMIF('4c'!H$5:H$100,$A41,'4c'!$I$5:$I$100)+SUMIF('5'!H$5:H$100,$A41,'5'!$I$5:$I$100)+SUMIF('6'!H$5:H$100,$A41,'6'!$I$5:$I$100)+SUMIF('7'!H$5:H$100,$A41,'7'!$I$5:$I$100)+SUMIF('7a'!H$5:H$100,$A41,'7a'!$I$5:$I$100)+SUMIF('7b'!H$5:H$100,$A41,'7b'!$I$5:$I$100)+SUMIF('8'!H$5:H$100,$A41,'8'!$I$5:$I$100)+SUMIF('9'!H$5:H$100,$A41,'9'!$I$5:$I$100)+SUMIF('9a'!H$5:H$100,$A41,'9a'!$I$5:$I$100)+SUMIF('9b'!H$5:H$100,$A41,'9b'!$I$5:$I$100)+SUMIF('9c'!H$5:H$100,$A41,'9c'!$I$5:$I$100)+SUMIF('9d'!H$5:H$100,$A41,'9d'!$I$5:$I$100)+SUMIF('9e'!H$5:H$100,$A41,'9e'!$I$5:$I$100)+SUMIF('9f'!H$5:H$100,$A41,'9f'!$I$5:$I$100)+SUMIF('9g'!H$5:H$100,$A41,'9g'!$I$5:$I$100)+SUMIF('9h'!H$5:H$100,$A41,'9h'!$I$5:$I$100)+SUMIF('9 TOTAL'!H$5:H$100,$A41,'9 TOTAL'!$I$5:$I$100)
+SUMIF('10'!H$5:H$100,$A41,'10'!$I$5:$I$100)+SUMIF('10a'!H$5:H$100,$A41,'10a'!$I$5:$I$100)+SUMIF('10b'!H$5:H$100,$A41,'10b'!$I$5:$I$100)+SUMIF('10c'!H$5:H$100,$A41,'10c'!$I$5:$I$100)+SUMIF('10d'!H$5:H$100,$A41,'10d'!$I$5:$I$100)+SUMIF('10e'!H$5:H$100,$A41,'10e'!$I$5:$I$100)+SUMIF('10f'!H$5:H$100,$A41,'10f'!$I$5:$I$100)+SUMIF('10g'!H$5:H$100,$A41,'10g'!$I$5:$I$100)+SUMIF('10h'!H$5:H$100,$A41,'10h'!$I$5:$I$100)+SUMIF('10i'!H$5:H$100,$A41,'10i'!$I$5:$I$100)+SUMIF('10j'!H$5:H$100,$A41,'10j'!$I$5:$I$100)+SUMIF('10k'!H$5:H$100,$A41,'10k'!$I$5:$I$100)+SUMIF('10l'!H$5:H$100,$A41,'10l'!$I$5:$I$100)+SUMIF('10m'!H$5:H$100,$A41,'10m'!$I$5:$I$100)+SUMIF('10 TOTAL'!H$5:H$100,$A41,'10 TOTAL'!$I$5:$I$100)</f>
        <v>12500</v>
      </c>
      <c r="E41"/>
      <c r="F41"/>
      <c r="G41"/>
      <c r="H41"/>
      <c r="I41"/>
      <c r="J41"/>
      <c r="K41"/>
      <c r="L41"/>
      <c r="M41"/>
      <c r="N41"/>
      <c r="O41"/>
      <c r="P41"/>
      <c r="Q41"/>
      <c r="R41"/>
      <c r="S41" s="1307">
        <f t="shared" si="0"/>
        <v>40231.22</v>
      </c>
      <c r="T41"/>
    </row>
    <row r="42" spans="1:20" x14ac:dyDescent="0.2">
      <c r="A42" t="s">
        <v>526</v>
      </c>
      <c r="B42" t="s">
        <v>5368</v>
      </c>
      <c r="C42" s="1291">
        <f>SUMIF('4'!H$5:H$100,$A42,'4'!$K$5:$K$100)+SUMIF('4a'!H$5:H$100,$A42,'4a'!$K$5:$K$100)+SUMIF('4b'!H$5:H$100,$A42,'4b'!$K$5:$K$100)+SUMIF('4c'!H$5:H$100,$A42,'4c'!$K$5:$K$100)+SUMIF('5'!H$5:H$100,$A42,'5'!$K$5:$K$100)+SUMIF('6'!H$5:H$100,$A42,'6'!$K$5:$K$100)+SUMIF('7'!H$5:H$100,$A42,'7'!$K$5:$K$100)+SUMIF('7a'!H$5:H$100,$A42,'7a'!$K$5:$K$100)+SUMIF('7b'!H$5:H$100,$A42,'7b'!$K$5:$K$100)+SUMIF('8'!H$5:H$100,$A42,'8'!$K$5:$K$100)+SUMIF('9'!H$5:H$100,$A42,'9'!$K$5:$K$100)+SUMIF('9a'!H$5:H$100,$A42,'9a'!$K$5:$K$100)+SUMIF('9b'!H$5:H$100,$A42,'9b'!$K$5:$K$100)+SUMIF('9c'!H$5:H$100,$A42,'9c'!$K$5:$K$100)+SUMIF('9d'!H$5:H$100,$A42,'9d'!$K$5:$K$100)+SUMIF('9e'!H$5:H$100,$A42,'9e'!$K$5:$K$100)+SUMIF('9f'!H$5:H$100,$A42,'9f'!$K$5:$K$100)+SUMIF('9g'!H$5:H$100,$A42,'9g'!$K$5:$K$100)+SUMIF('9h'!H$5:H$100,$A42,'9h'!$K$5:$K$100)+SUMIF('9 TOTAL'!H$5:H$100,$A42,'9 TOTAL'!$K$5:$K$100)
+SUMIF('10'!H$5:H$100,$A42,'10'!$K$5:$K$100)+SUMIF('10a'!H$5:H$100,$A42,'10a'!$K$5:$K$100)+SUMIF('10b'!H$5:H$100,$A42,'10b'!$K$5:$K$100)+SUMIF('10c'!H$5:H$100,$A42,'10c'!$K$5:$K$100)+SUMIF('10d'!H$5:H$100,$A42,'10d'!$K$5:$K$100)+SUMIF('10e'!H$5:H$100,$A42,'10e'!$K$5:$K$100)+SUMIF('10f'!H$5:H$100,$A42,'10f'!$K$5:$K$100)+SUMIF('10g'!H$5:H$100,$A42,'10g'!$K$5:$K$100)+SUMIF('10h'!H$5:H$100,$A42,'10h'!$K$5:$K$100)+SUMIF('10i'!H$5:H$100,$A42,'10i'!$K$5:$K$100)+SUMIF('10j'!H$5:H$100,$A42,'10j'!$K$5:$K$100)+SUMIF('10k'!H$5:H$100,$A42,'10k'!$K$5:$K$100)+SUMIF('10l'!H$5:H$100,$A42,'10l'!$K$5:$K$100)+SUMIF('10m'!H$5:H$100,$A42,'10m'!$K$5:$K$100)+SUMIF('10 TOTAL'!H$5:H$100,$A42,'10 TOTAL'!$K$5:$K$100)</f>
        <v>0</v>
      </c>
      <c r="D42" s="1291">
        <f>SUMIF('4'!H$5:H$100,$A42,'4'!$I$5:$I$100)+SUMIF('4a'!H$5:H$100,$A42,'4a'!$I$5:$I$100)+SUMIF('4b'!H$5:H$100,$A42,'4b'!$I$5:$I$100)+SUMIF('4c'!H$5:H$100,$A42,'4c'!$I$5:$I$100)+SUMIF('5'!H$5:H$100,$A42,'5'!$I$5:$I$100)+SUMIF('6'!H$5:H$100,$A42,'6'!$I$5:$I$100)+SUMIF('7'!H$5:H$100,$A42,'7'!$I$5:$I$100)+SUMIF('7a'!H$5:H$100,$A42,'7a'!$I$5:$I$100)+SUMIF('7b'!H$5:H$100,$A42,'7b'!$I$5:$I$100)+SUMIF('8'!H$5:H$100,$A42,'8'!$I$5:$I$100)+SUMIF('9'!H$5:H$100,$A42,'9'!$I$5:$I$100)+SUMIF('9a'!H$5:H$100,$A42,'9a'!$I$5:$I$100)+SUMIF('9b'!H$5:H$100,$A42,'9b'!$I$5:$I$100)+SUMIF('9c'!H$5:H$100,$A42,'9c'!$I$5:$I$100)+SUMIF('9d'!H$5:H$100,$A42,'9d'!$I$5:$I$100)+SUMIF('9e'!H$5:H$100,$A42,'9e'!$I$5:$I$100)+SUMIF('9f'!H$5:H$100,$A42,'9f'!$I$5:$I$100)+SUMIF('9g'!H$5:H$100,$A42,'9g'!$I$5:$I$100)+SUMIF('9h'!H$5:H$100,$A42,'9h'!$I$5:$I$100)+SUMIF('9 TOTAL'!H$5:H$100,$A42,'9 TOTAL'!$I$5:$I$100)
+SUMIF('10'!H$5:H$100,$A42,'10'!$I$5:$I$100)+SUMIF('10a'!H$5:H$100,$A42,'10a'!$I$5:$I$100)+SUMIF('10b'!H$5:H$100,$A42,'10b'!$I$5:$I$100)+SUMIF('10c'!H$5:H$100,$A42,'10c'!$I$5:$I$100)+SUMIF('10d'!H$5:H$100,$A42,'10d'!$I$5:$I$100)+SUMIF('10e'!H$5:H$100,$A42,'10e'!$I$5:$I$100)+SUMIF('10f'!H$5:H$100,$A42,'10f'!$I$5:$I$100)+SUMIF('10g'!H$5:H$100,$A42,'10g'!$I$5:$I$100)+SUMIF('10h'!H$5:H$100,$A42,'10h'!$I$5:$I$100)+SUMIF('10i'!H$5:H$100,$A42,'10i'!$I$5:$I$100)+SUMIF('10j'!H$5:H$100,$A42,'10j'!$I$5:$I$100)+SUMIF('10k'!H$5:H$100,$A42,'10k'!$I$5:$I$100)+SUMIF('10l'!H$5:H$100,$A42,'10l'!$I$5:$I$100)+SUMIF('10m'!H$5:H$100,$A42,'10m'!$I$5:$I$100)+SUMIF('10 TOTAL'!H$5:H$100,$A42,'10 TOTAL'!$I$5:$I$100)</f>
        <v>0</v>
      </c>
      <c r="E42"/>
      <c r="F42"/>
      <c r="G42"/>
      <c r="H42"/>
      <c r="I42"/>
      <c r="J42"/>
      <c r="K42"/>
      <c r="L42"/>
      <c r="M42"/>
      <c r="N42"/>
      <c r="O42"/>
      <c r="P42"/>
      <c r="Q42"/>
      <c r="R42"/>
      <c r="S42" s="1307">
        <f t="shared" si="0"/>
        <v>0</v>
      </c>
      <c r="T42"/>
    </row>
    <row r="43" spans="1:20" x14ac:dyDescent="0.2">
      <c r="A43" t="s">
        <v>527</v>
      </c>
      <c r="B43" t="s">
        <v>96</v>
      </c>
      <c r="C43" s="1291">
        <f>SUMIF('4'!H$5:H$100,$A43,'4'!$K$5:$K$100)+SUMIF('4a'!H$5:H$100,$A43,'4a'!$K$5:$K$100)+SUMIF('4b'!H$5:H$100,$A43,'4b'!$K$5:$K$100)+SUMIF('4c'!H$5:H$100,$A43,'4c'!$K$5:$K$100)+SUMIF('5'!H$5:H$100,$A43,'5'!$K$5:$K$100)+SUMIF('6'!H$5:H$100,$A43,'6'!$K$5:$K$100)+SUMIF('7'!H$5:H$100,$A43,'7'!$K$5:$K$100)+SUMIF('7a'!H$5:H$100,$A43,'7a'!$K$5:$K$100)+SUMIF('7b'!H$5:H$100,$A43,'7b'!$K$5:$K$100)+SUMIF('8'!H$5:H$100,$A43,'8'!$K$5:$K$100)+SUMIF('9'!H$5:H$100,$A43,'9'!$K$5:$K$100)+SUMIF('9a'!H$5:H$100,$A43,'9a'!$K$5:$K$100)+SUMIF('9b'!H$5:H$100,$A43,'9b'!$K$5:$K$100)+SUMIF('9c'!H$5:H$100,$A43,'9c'!$K$5:$K$100)+SUMIF('9d'!H$5:H$100,$A43,'9d'!$K$5:$K$100)+SUMIF('9e'!H$5:H$100,$A43,'9e'!$K$5:$K$100)+SUMIF('9f'!H$5:H$100,$A43,'9f'!$K$5:$K$100)+SUMIF('9g'!H$5:H$100,$A43,'9g'!$K$5:$K$100)+SUMIF('9h'!H$5:H$100,$A43,'9h'!$K$5:$K$100)+SUMIF('9 TOTAL'!H$5:H$100,$A43,'9 TOTAL'!$K$5:$K$100)
+SUMIF('10'!H$5:H$100,$A43,'10'!$K$5:$K$100)+SUMIF('10a'!H$5:H$100,$A43,'10a'!$K$5:$K$100)+SUMIF('10b'!H$5:H$100,$A43,'10b'!$K$5:$K$100)+SUMIF('10c'!H$5:H$100,$A43,'10c'!$K$5:$K$100)+SUMIF('10d'!H$5:H$100,$A43,'10d'!$K$5:$K$100)+SUMIF('10e'!H$5:H$100,$A43,'10e'!$K$5:$K$100)+SUMIF('10f'!H$5:H$100,$A43,'10f'!$K$5:$K$100)+SUMIF('10g'!H$5:H$100,$A43,'10g'!$K$5:$K$100)+SUMIF('10h'!H$5:H$100,$A43,'10h'!$K$5:$K$100)+SUMIF('10i'!H$5:H$100,$A43,'10i'!$K$5:$K$100)+SUMIF('10j'!H$5:H$100,$A43,'10j'!$K$5:$K$100)+SUMIF('10k'!H$5:H$100,$A43,'10k'!$K$5:$K$100)+SUMIF('10l'!H$5:H$100,$A43,'10l'!$K$5:$K$100)+SUMIF('10m'!H$5:H$100,$A43,'10m'!$K$5:$K$100)+SUMIF('10 TOTAL'!H$5:H$100,$A43,'10 TOTAL'!$K$5:$K$100)</f>
        <v>0</v>
      </c>
      <c r="D43" s="1291">
        <f>SUMIF('4'!H$5:H$100,$A43,'4'!$I$5:$I$100)+SUMIF('4a'!H$5:H$100,$A43,'4a'!$I$5:$I$100)+SUMIF('4b'!H$5:H$100,$A43,'4b'!$I$5:$I$100)+SUMIF('4c'!H$5:H$100,$A43,'4c'!$I$5:$I$100)+SUMIF('5'!H$5:H$100,$A43,'5'!$I$5:$I$100)+SUMIF('6'!H$5:H$100,$A43,'6'!$I$5:$I$100)+SUMIF('7'!H$5:H$100,$A43,'7'!$I$5:$I$100)+SUMIF('7a'!H$5:H$100,$A43,'7a'!$I$5:$I$100)+SUMIF('7b'!H$5:H$100,$A43,'7b'!$I$5:$I$100)+SUMIF('8'!H$5:H$100,$A43,'8'!$I$5:$I$100)+SUMIF('9'!H$5:H$100,$A43,'9'!$I$5:$I$100)+SUMIF('9a'!H$5:H$100,$A43,'9a'!$I$5:$I$100)+SUMIF('9b'!H$5:H$100,$A43,'9b'!$I$5:$I$100)+SUMIF('9c'!H$5:H$100,$A43,'9c'!$I$5:$I$100)+SUMIF('9d'!H$5:H$100,$A43,'9d'!$I$5:$I$100)+SUMIF('9e'!H$5:H$100,$A43,'9e'!$I$5:$I$100)+SUMIF('9f'!H$5:H$100,$A43,'9f'!$I$5:$I$100)+SUMIF('9g'!H$5:H$100,$A43,'9g'!$I$5:$I$100)+SUMIF('9h'!H$5:H$100,$A43,'9h'!$I$5:$I$100)+SUMIF('9 TOTAL'!H$5:H$100,$A43,'9 TOTAL'!$I$5:$I$100)
+SUMIF('10'!H$5:H$100,$A43,'10'!$I$5:$I$100)+SUMIF('10a'!H$5:H$100,$A43,'10a'!$I$5:$I$100)+SUMIF('10b'!H$5:H$100,$A43,'10b'!$I$5:$I$100)+SUMIF('10c'!H$5:H$100,$A43,'10c'!$I$5:$I$100)+SUMIF('10d'!H$5:H$100,$A43,'10d'!$I$5:$I$100)+SUMIF('10e'!H$5:H$100,$A43,'10e'!$I$5:$I$100)+SUMIF('10f'!H$5:H$100,$A43,'10f'!$I$5:$I$100)+SUMIF('10g'!H$5:H$100,$A43,'10g'!$I$5:$I$100)+SUMIF('10h'!H$5:H$100,$A43,'10h'!$I$5:$I$100)+SUMIF('10i'!H$5:H$100,$A43,'10i'!$I$5:$I$100)+SUMIF('10j'!H$5:H$100,$A43,'10j'!$I$5:$I$100)+SUMIF('10k'!H$5:H$100,$A43,'10k'!$I$5:$I$100)+SUMIF('10l'!H$5:H$100,$A43,'10l'!$I$5:$I$100)+SUMIF('10m'!H$5:H$100,$A43,'10m'!$I$5:$I$100)+SUMIF('10 TOTAL'!H$5:H$100,$A43,'10 TOTAL'!$I$5:$I$100)</f>
        <v>0</v>
      </c>
      <c r="E43"/>
      <c r="F43"/>
      <c r="G43"/>
      <c r="H43"/>
      <c r="I43"/>
      <c r="J43"/>
      <c r="K43"/>
      <c r="L43"/>
      <c r="M43"/>
      <c r="N43"/>
      <c r="O43"/>
      <c r="P43"/>
      <c r="Q43"/>
      <c r="R43"/>
      <c r="S43" s="1307">
        <f t="shared" si="0"/>
        <v>0</v>
      </c>
      <c r="T43"/>
    </row>
    <row r="44" spans="1:20" x14ac:dyDescent="0.2">
      <c r="A44" t="s">
        <v>524</v>
      </c>
      <c r="B44" t="s">
        <v>92</v>
      </c>
      <c r="C44" s="1291">
        <f>SUMIF('4'!H$5:H$100,$A44,'4'!$K$5:$K$100)+SUMIF('4a'!H$5:H$100,$A44,'4a'!$K$5:$K$100)+SUMIF('4b'!H$5:H$100,$A44,'4b'!$K$5:$K$100)+SUMIF('4c'!H$5:H$100,$A44,'4c'!$K$5:$K$100)+SUMIF('5'!H$5:H$100,$A44,'5'!$K$5:$K$100)+SUMIF('6'!H$5:H$100,$A44,'6'!$K$5:$K$100)+SUMIF('7'!H$5:H$100,$A44,'7'!$K$5:$K$100)+SUMIF('7a'!H$5:H$100,$A44,'7a'!$K$5:$K$100)+SUMIF('7b'!H$5:H$100,$A44,'7b'!$K$5:$K$100)+SUMIF('8'!H$5:H$100,$A44,'8'!$K$5:$K$100)+SUMIF('9'!H$5:H$100,$A44,'9'!$K$5:$K$100)+SUMIF('9a'!H$5:H$100,$A44,'9a'!$K$5:$K$100)+SUMIF('9b'!H$5:H$100,$A44,'9b'!$K$5:$K$100)+SUMIF('9c'!H$5:H$100,$A44,'9c'!$K$5:$K$100)+SUMIF('9d'!H$5:H$100,$A44,'9d'!$K$5:$K$100)+SUMIF('9e'!H$5:H$100,$A44,'9e'!$K$5:$K$100)+SUMIF('9f'!H$5:H$100,$A44,'9f'!$K$5:$K$100)+SUMIF('9g'!H$5:H$100,$A44,'9g'!$K$5:$K$100)+SUMIF('9h'!H$5:H$100,$A44,'9h'!$K$5:$K$100)+SUMIF('9 TOTAL'!H$5:H$100,$A44,'9 TOTAL'!$K$5:$K$100)
+SUMIF('10'!H$5:H$100,$A44,'10'!$K$5:$K$100)+SUMIF('10a'!H$5:H$100,$A44,'10a'!$K$5:$K$100)+SUMIF('10b'!H$5:H$100,$A44,'10b'!$K$5:$K$100)+SUMIF('10c'!H$5:H$100,$A44,'10c'!$K$5:$K$100)+SUMIF('10d'!H$5:H$100,$A44,'10d'!$K$5:$K$100)+SUMIF('10e'!H$5:H$100,$A44,'10e'!$K$5:$K$100)+SUMIF('10f'!H$5:H$100,$A44,'10f'!$K$5:$K$100)+SUMIF('10g'!H$5:H$100,$A44,'10g'!$K$5:$K$100)+SUMIF('10h'!H$5:H$100,$A44,'10h'!$K$5:$K$100)+SUMIF('10i'!H$5:H$100,$A44,'10i'!$K$5:$K$100)+SUMIF('10j'!H$5:H$100,$A44,'10j'!$K$5:$K$100)+SUMIF('10k'!H$5:H$100,$A44,'10k'!$K$5:$K$100)+SUMIF('10l'!H$5:H$100,$A44,'10l'!$K$5:$K$100)+SUMIF('10m'!H$5:H$100,$A44,'10m'!$K$5:$K$100)+SUMIF('10 TOTAL'!H$5:H$100,$A44,'10 TOTAL'!$K$5:$K$100)</f>
        <v>0</v>
      </c>
      <c r="D44" s="1291">
        <f>SUMIF('4'!H$5:H$100,$A44,'4'!$I$5:$I$100)+SUMIF('4a'!H$5:H$100,$A44,'4a'!$I$5:$I$100)+SUMIF('4b'!H$5:H$100,$A44,'4b'!$I$5:$I$100)+SUMIF('4c'!H$5:H$100,$A44,'4c'!$I$5:$I$100)+SUMIF('5'!H$5:H$100,$A44,'5'!$I$5:$I$100)+SUMIF('6'!H$5:H$100,$A44,'6'!$I$5:$I$100)+SUMIF('7'!H$5:H$100,$A44,'7'!$I$5:$I$100)+SUMIF('7a'!H$5:H$100,$A44,'7a'!$I$5:$I$100)+SUMIF('7b'!H$5:H$100,$A44,'7b'!$I$5:$I$100)+SUMIF('8'!H$5:H$100,$A44,'8'!$I$5:$I$100)+SUMIF('9'!H$5:H$100,$A44,'9'!$I$5:$I$100)+SUMIF('9a'!H$5:H$100,$A44,'9a'!$I$5:$I$100)+SUMIF('9b'!H$5:H$100,$A44,'9b'!$I$5:$I$100)+SUMIF('9c'!H$5:H$100,$A44,'9c'!$I$5:$I$100)+SUMIF('9d'!H$5:H$100,$A44,'9d'!$I$5:$I$100)+SUMIF('9e'!H$5:H$100,$A44,'9e'!$I$5:$I$100)+SUMIF('9f'!H$5:H$100,$A44,'9f'!$I$5:$I$100)+SUMIF('9g'!H$5:H$100,$A44,'9g'!$I$5:$I$100)+SUMIF('9h'!H$5:H$100,$A44,'9h'!$I$5:$I$100)+SUMIF('9 TOTAL'!H$5:H$100,$A44,'9 TOTAL'!$I$5:$I$100)
+SUMIF('10'!H$5:H$100,$A44,'10'!$I$5:$I$100)+SUMIF('10a'!H$5:H$100,$A44,'10a'!$I$5:$I$100)+SUMIF('10b'!H$5:H$100,$A44,'10b'!$I$5:$I$100)+SUMIF('10c'!H$5:H$100,$A44,'10c'!$I$5:$I$100)+SUMIF('10d'!H$5:H$100,$A44,'10d'!$I$5:$I$100)+SUMIF('10e'!H$5:H$100,$A44,'10e'!$I$5:$I$100)+SUMIF('10f'!H$5:H$100,$A44,'10f'!$I$5:$I$100)+SUMIF('10g'!H$5:H$100,$A44,'10g'!$I$5:$I$100)+SUMIF('10h'!H$5:H$100,$A44,'10h'!$I$5:$I$100)+SUMIF('10i'!H$5:H$100,$A44,'10i'!$I$5:$I$100)+SUMIF('10j'!H$5:H$100,$A44,'10j'!$I$5:$I$100)+SUMIF('10k'!H$5:H$100,$A44,'10k'!$I$5:$I$100)+SUMIF('10l'!H$5:H$100,$A44,'10l'!$I$5:$I$100)+SUMIF('10m'!H$5:H$100,$A44,'10m'!$I$5:$I$100)+SUMIF('10 TOTAL'!H$5:H$100,$A44,'10 TOTAL'!$I$5:$I$100)</f>
        <v>0</v>
      </c>
      <c r="E44"/>
      <c r="F44"/>
      <c r="G44"/>
      <c r="H44"/>
      <c r="I44"/>
      <c r="J44"/>
      <c r="K44"/>
      <c r="L44"/>
      <c r="M44"/>
      <c r="N44"/>
      <c r="O44"/>
      <c r="P44"/>
      <c r="Q44"/>
      <c r="R44"/>
      <c r="S44" s="1307">
        <f t="shared" si="0"/>
        <v>0</v>
      </c>
      <c r="T44"/>
    </row>
    <row r="45" spans="1:20" x14ac:dyDescent="0.2">
      <c r="A45" t="s">
        <v>3393</v>
      </c>
      <c r="B45" t="s">
        <v>5369</v>
      </c>
      <c r="C45" s="1291">
        <f>SUMIF('4'!H$5:H$100,$A45,'4'!$K$5:$K$100)+SUMIF('4a'!H$5:H$100,$A45,'4a'!$K$5:$K$100)+SUMIF('4b'!H$5:H$100,$A45,'4b'!$K$5:$K$100)+SUMIF('4c'!H$5:H$100,$A45,'4c'!$K$5:$K$100)+SUMIF('5'!H$5:H$100,$A45,'5'!$K$5:$K$100)+SUMIF('6'!H$5:H$100,$A45,'6'!$K$5:$K$100)+SUMIF('7'!H$5:H$100,$A45,'7'!$K$5:$K$100)+SUMIF('7a'!H$5:H$100,$A45,'7a'!$K$5:$K$100)+SUMIF('7b'!H$5:H$100,$A45,'7b'!$K$5:$K$100)+SUMIF('8'!H$5:H$100,$A45,'8'!$K$5:$K$100)+SUMIF('9'!H$5:H$100,$A45,'9'!$K$5:$K$100)+SUMIF('9a'!H$5:H$100,$A45,'9a'!$K$5:$K$100)+SUMIF('9b'!H$5:H$100,$A45,'9b'!$K$5:$K$100)+SUMIF('9c'!H$5:H$100,$A45,'9c'!$K$5:$K$100)+SUMIF('9d'!H$5:H$100,$A45,'9d'!$K$5:$K$100)+SUMIF('9e'!H$5:H$100,$A45,'9e'!$K$5:$K$100)+SUMIF('9f'!H$5:H$100,$A45,'9f'!$K$5:$K$100)+SUMIF('9g'!H$5:H$100,$A45,'9g'!$K$5:$K$100)+SUMIF('9h'!H$5:H$100,$A45,'9h'!$K$5:$K$100)+SUMIF('9 TOTAL'!H$5:H$100,$A45,'9 TOTAL'!$K$5:$K$100)
+SUMIF('10'!H$5:H$100,$A45,'10'!$K$5:$K$100)+SUMIF('10a'!H$5:H$100,$A45,'10a'!$K$5:$K$100)+SUMIF('10b'!H$5:H$100,$A45,'10b'!$K$5:$K$100)+SUMIF('10c'!H$5:H$100,$A45,'10c'!$K$5:$K$100)+SUMIF('10d'!H$5:H$100,$A45,'10d'!$K$5:$K$100)+SUMIF('10e'!H$5:H$100,$A45,'10e'!$K$5:$K$100)+SUMIF('10f'!H$5:H$100,$A45,'10f'!$K$5:$K$100)+SUMIF('10g'!H$5:H$100,$A45,'10g'!$K$5:$K$100)+SUMIF('10h'!H$5:H$100,$A45,'10h'!$K$5:$K$100)+SUMIF('10i'!H$5:H$100,$A45,'10i'!$K$5:$K$100)+SUMIF('10j'!H$5:H$100,$A45,'10j'!$K$5:$K$100)+SUMIF('10k'!H$5:H$100,$A45,'10k'!$K$5:$K$100)+SUMIF('10l'!H$5:H$100,$A45,'10l'!$K$5:$K$100)+SUMIF('10m'!H$5:H$100,$A45,'10m'!$K$5:$K$100)+SUMIF('10 TOTAL'!H$5:H$100,$A45,'10 TOTAL'!$K$5:$K$100)</f>
        <v>0</v>
      </c>
      <c r="D45" s="1291">
        <f>SUMIF('4'!H$5:H$100,$A45,'4'!$I$5:$I$100)+SUMIF('4a'!H$5:H$100,$A45,'4a'!$I$5:$I$100)+SUMIF('4b'!H$5:H$100,$A45,'4b'!$I$5:$I$100)+SUMIF('4c'!H$5:H$100,$A45,'4c'!$I$5:$I$100)+SUMIF('5'!H$5:H$100,$A45,'5'!$I$5:$I$100)+SUMIF('6'!H$5:H$100,$A45,'6'!$I$5:$I$100)+SUMIF('7'!H$5:H$100,$A45,'7'!$I$5:$I$100)+SUMIF('7a'!H$5:H$100,$A45,'7a'!$I$5:$I$100)+SUMIF('7b'!H$5:H$100,$A45,'7b'!$I$5:$I$100)+SUMIF('8'!H$5:H$100,$A45,'8'!$I$5:$I$100)+SUMIF('9'!H$5:H$100,$A45,'9'!$I$5:$I$100)+SUMIF('9a'!H$5:H$100,$A45,'9a'!$I$5:$I$100)+SUMIF('9b'!H$5:H$100,$A45,'9b'!$I$5:$I$100)+SUMIF('9c'!H$5:H$100,$A45,'9c'!$I$5:$I$100)+SUMIF('9d'!H$5:H$100,$A45,'9d'!$I$5:$I$100)+SUMIF('9e'!H$5:H$100,$A45,'9e'!$I$5:$I$100)+SUMIF('9f'!H$5:H$100,$A45,'9f'!$I$5:$I$100)+SUMIF('9g'!H$5:H$100,$A45,'9g'!$I$5:$I$100)+SUMIF('9h'!H$5:H$100,$A45,'9h'!$I$5:$I$100)+SUMIF('9 TOTAL'!H$5:H$100,$A45,'9 TOTAL'!$I$5:$I$100)
+SUMIF('10'!H$5:H$100,$A45,'10'!$I$5:$I$100)+SUMIF('10a'!H$5:H$100,$A45,'10a'!$I$5:$I$100)+SUMIF('10b'!H$5:H$100,$A45,'10b'!$I$5:$I$100)+SUMIF('10c'!H$5:H$100,$A45,'10c'!$I$5:$I$100)+SUMIF('10d'!H$5:H$100,$A45,'10d'!$I$5:$I$100)+SUMIF('10e'!H$5:H$100,$A45,'10e'!$I$5:$I$100)+SUMIF('10f'!H$5:H$100,$A45,'10f'!$I$5:$I$100)+SUMIF('10g'!H$5:H$100,$A45,'10g'!$I$5:$I$100)+SUMIF('10h'!H$5:H$100,$A45,'10h'!$I$5:$I$100)+SUMIF('10i'!H$5:H$100,$A45,'10i'!$I$5:$I$100)+SUMIF('10j'!H$5:H$100,$A45,'10j'!$I$5:$I$100)+SUMIF('10k'!H$5:H$100,$A45,'10k'!$I$5:$I$100)+SUMIF('10l'!H$5:H$100,$A45,'10l'!$I$5:$I$100)+SUMIF('10m'!H$5:H$100,$A45,'10m'!$I$5:$I$100)+SUMIF('10 TOTAL'!H$5:H$100,$A45,'10 TOTAL'!$I$5:$I$100)</f>
        <v>0</v>
      </c>
      <c r="E45"/>
      <c r="F45"/>
      <c r="G45"/>
      <c r="H45"/>
      <c r="I45"/>
      <c r="J45"/>
      <c r="K45"/>
      <c r="L45"/>
      <c r="M45"/>
      <c r="N45"/>
      <c r="O45"/>
      <c r="P45"/>
      <c r="Q45"/>
      <c r="R45"/>
      <c r="S45" s="1307">
        <f t="shared" si="0"/>
        <v>0</v>
      </c>
      <c r="T45"/>
    </row>
    <row r="46" spans="1:20" x14ac:dyDescent="0.2">
      <c r="A46" t="s">
        <v>3397</v>
      </c>
      <c r="B46" t="s">
        <v>5370</v>
      </c>
      <c r="C46" s="1291">
        <f>SUMIF('4'!H$5:H$100,$A46,'4'!$K$5:$K$100)+SUMIF('4a'!H$5:H$100,$A46,'4a'!$K$5:$K$100)+SUMIF('4b'!H$5:H$100,$A46,'4b'!$K$5:$K$100)+SUMIF('4c'!H$5:H$100,$A46,'4c'!$K$5:$K$100)+SUMIF('5'!H$5:H$100,$A46,'5'!$K$5:$K$100)+SUMIF('6'!H$5:H$100,$A46,'6'!$K$5:$K$100)+SUMIF('7'!H$5:H$100,$A46,'7'!$K$5:$K$100)+SUMIF('7a'!H$5:H$100,$A46,'7a'!$K$5:$K$100)+SUMIF('7b'!H$5:H$100,$A46,'7b'!$K$5:$K$100)+SUMIF('8'!H$5:H$100,$A46,'8'!$K$5:$K$100)+SUMIF('9'!H$5:H$100,$A46,'9'!$K$5:$K$100)+SUMIF('9a'!H$5:H$100,$A46,'9a'!$K$5:$K$100)+SUMIF('9b'!H$5:H$100,$A46,'9b'!$K$5:$K$100)+SUMIF('9c'!H$5:H$100,$A46,'9c'!$K$5:$K$100)+SUMIF('9d'!H$5:H$100,$A46,'9d'!$K$5:$K$100)+SUMIF('9e'!H$5:H$100,$A46,'9e'!$K$5:$K$100)+SUMIF('9f'!H$5:H$100,$A46,'9f'!$K$5:$K$100)+SUMIF('9g'!H$5:H$100,$A46,'9g'!$K$5:$K$100)+SUMIF('9h'!H$5:H$100,$A46,'9h'!$K$5:$K$100)+SUMIF('9 TOTAL'!H$5:H$100,$A46,'9 TOTAL'!$K$5:$K$100)
+SUMIF('10'!H$5:H$100,$A46,'10'!$K$5:$K$100)+SUMIF('10a'!H$5:H$100,$A46,'10a'!$K$5:$K$100)+SUMIF('10b'!H$5:H$100,$A46,'10b'!$K$5:$K$100)+SUMIF('10c'!H$5:H$100,$A46,'10c'!$K$5:$K$100)+SUMIF('10d'!H$5:H$100,$A46,'10d'!$K$5:$K$100)+SUMIF('10e'!H$5:H$100,$A46,'10e'!$K$5:$K$100)+SUMIF('10f'!H$5:H$100,$A46,'10f'!$K$5:$K$100)+SUMIF('10g'!H$5:H$100,$A46,'10g'!$K$5:$K$100)+SUMIF('10h'!H$5:H$100,$A46,'10h'!$K$5:$K$100)+SUMIF('10i'!H$5:H$100,$A46,'10i'!$K$5:$K$100)+SUMIF('10j'!H$5:H$100,$A46,'10j'!$K$5:$K$100)+SUMIF('10k'!H$5:H$100,$A46,'10k'!$K$5:$K$100)+SUMIF('10l'!H$5:H$100,$A46,'10l'!$K$5:$K$100)+SUMIF('10m'!H$5:H$100,$A46,'10m'!$K$5:$K$100)+SUMIF('10 TOTAL'!H$5:H$100,$A46,'10 TOTAL'!$K$5:$K$100)</f>
        <v>0</v>
      </c>
      <c r="D46" s="1291">
        <f>SUMIF('4'!H$5:H$100,$A46,'4'!$I$5:$I$100)+SUMIF('4a'!H$5:H$100,$A46,'4a'!$I$5:$I$100)+SUMIF('4b'!H$5:H$100,$A46,'4b'!$I$5:$I$100)+SUMIF('4c'!H$5:H$100,$A46,'4c'!$I$5:$I$100)+SUMIF('5'!H$5:H$100,$A46,'5'!$I$5:$I$100)+SUMIF('6'!H$5:H$100,$A46,'6'!$I$5:$I$100)+SUMIF('7'!H$5:H$100,$A46,'7'!$I$5:$I$100)+SUMIF('7a'!H$5:H$100,$A46,'7a'!$I$5:$I$100)+SUMIF('7b'!H$5:H$100,$A46,'7b'!$I$5:$I$100)+SUMIF('8'!H$5:H$100,$A46,'8'!$I$5:$I$100)+SUMIF('9'!H$5:H$100,$A46,'9'!$I$5:$I$100)+SUMIF('9a'!H$5:H$100,$A46,'9a'!$I$5:$I$100)+SUMIF('9b'!H$5:H$100,$A46,'9b'!$I$5:$I$100)+SUMIF('9c'!H$5:H$100,$A46,'9c'!$I$5:$I$100)+SUMIF('9d'!H$5:H$100,$A46,'9d'!$I$5:$I$100)+SUMIF('9e'!H$5:H$100,$A46,'9e'!$I$5:$I$100)+SUMIF('9f'!H$5:H$100,$A46,'9f'!$I$5:$I$100)+SUMIF('9g'!H$5:H$100,$A46,'9g'!$I$5:$I$100)+SUMIF('9h'!H$5:H$100,$A46,'9h'!$I$5:$I$100)+SUMIF('9 TOTAL'!H$5:H$100,$A46,'9 TOTAL'!$I$5:$I$100)
+SUMIF('10'!H$5:H$100,$A46,'10'!$I$5:$I$100)+SUMIF('10a'!H$5:H$100,$A46,'10a'!$I$5:$I$100)+SUMIF('10b'!H$5:H$100,$A46,'10b'!$I$5:$I$100)+SUMIF('10c'!H$5:H$100,$A46,'10c'!$I$5:$I$100)+SUMIF('10d'!H$5:H$100,$A46,'10d'!$I$5:$I$100)+SUMIF('10e'!H$5:H$100,$A46,'10e'!$I$5:$I$100)+SUMIF('10f'!H$5:H$100,$A46,'10f'!$I$5:$I$100)+SUMIF('10g'!H$5:H$100,$A46,'10g'!$I$5:$I$100)+SUMIF('10h'!H$5:H$100,$A46,'10h'!$I$5:$I$100)+SUMIF('10i'!H$5:H$100,$A46,'10i'!$I$5:$I$100)+SUMIF('10j'!H$5:H$100,$A46,'10j'!$I$5:$I$100)+SUMIF('10k'!H$5:H$100,$A46,'10k'!$I$5:$I$100)+SUMIF('10l'!H$5:H$100,$A46,'10l'!$I$5:$I$100)+SUMIF('10m'!H$5:H$100,$A46,'10m'!$I$5:$I$100)+SUMIF('10 TOTAL'!H$5:H$100,$A46,'10 TOTAL'!$I$5:$I$100)</f>
        <v>0</v>
      </c>
      <c r="E46"/>
      <c r="F46"/>
      <c r="G46"/>
      <c r="H46"/>
      <c r="I46"/>
      <c r="J46"/>
      <c r="K46"/>
      <c r="L46"/>
      <c r="M46"/>
      <c r="N46"/>
      <c r="O46"/>
      <c r="P46"/>
      <c r="Q46"/>
      <c r="R46"/>
      <c r="S46" s="1307">
        <f t="shared" si="0"/>
        <v>0</v>
      </c>
      <c r="T46"/>
    </row>
    <row r="47" spans="1:20" x14ac:dyDescent="0.2">
      <c r="A47" t="s">
        <v>3401</v>
      </c>
      <c r="B47" t="s">
        <v>5371</v>
      </c>
      <c r="C47" s="1291">
        <f>SUMIF('4'!H$5:H$100,$A47,'4'!$K$5:$K$100)+SUMIF('4a'!H$5:H$100,$A47,'4a'!$K$5:$K$100)+SUMIF('4b'!H$5:H$100,$A47,'4b'!$K$5:$K$100)+SUMIF('4c'!H$5:H$100,$A47,'4c'!$K$5:$K$100)+SUMIF('5'!H$5:H$100,$A47,'5'!$K$5:$K$100)+SUMIF('6'!H$5:H$100,$A47,'6'!$K$5:$K$100)+SUMIF('7'!H$5:H$100,$A47,'7'!$K$5:$K$100)+SUMIF('7a'!H$5:H$100,$A47,'7a'!$K$5:$K$100)+SUMIF('7b'!H$5:H$100,$A47,'7b'!$K$5:$K$100)+SUMIF('8'!H$5:H$100,$A47,'8'!$K$5:$K$100)+SUMIF('9'!H$5:H$100,$A47,'9'!$K$5:$K$100)+SUMIF('9a'!H$5:H$100,$A47,'9a'!$K$5:$K$100)+SUMIF('9b'!H$5:H$100,$A47,'9b'!$K$5:$K$100)+SUMIF('9c'!H$5:H$100,$A47,'9c'!$K$5:$K$100)+SUMIF('9d'!H$5:H$100,$A47,'9d'!$K$5:$K$100)+SUMIF('9e'!H$5:H$100,$A47,'9e'!$K$5:$K$100)+SUMIF('9f'!H$5:H$100,$A47,'9f'!$K$5:$K$100)+SUMIF('9g'!H$5:H$100,$A47,'9g'!$K$5:$K$100)+SUMIF('9h'!H$5:H$100,$A47,'9h'!$K$5:$K$100)+SUMIF('9 TOTAL'!H$5:H$100,$A47,'9 TOTAL'!$K$5:$K$100)
+SUMIF('10'!H$5:H$100,$A47,'10'!$K$5:$K$100)+SUMIF('10a'!H$5:H$100,$A47,'10a'!$K$5:$K$100)+SUMIF('10b'!H$5:H$100,$A47,'10b'!$K$5:$K$100)+SUMIF('10c'!H$5:H$100,$A47,'10c'!$K$5:$K$100)+SUMIF('10d'!H$5:H$100,$A47,'10d'!$K$5:$K$100)+SUMIF('10e'!H$5:H$100,$A47,'10e'!$K$5:$K$100)+SUMIF('10f'!H$5:H$100,$A47,'10f'!$K$5:$K$100)+SUMIF('10g'!H$5:H$100,$A47,'10g'!$K$5:$K$100)+SUMIF('10h'!H$5:H$100,$A47,'10h'!$K$5:$K$100)+SUMIF('10i'!H$5:H$100,$A47,'10i'!$K$5:$K$100)+SUMIF('10j'!H$5:H$100,$A47,'10j'!$K$5:$K$100)+SUMIF('10k'!H$5:H$100,$A47,'10k'!$K$5:$K$100)+SUMIF('10l'!H$5:H$100,$A47,'10l'!$K$5:$K$100)+SUMIF('10m'!H$5:H$100,$A47,'10m'!$K$5:$K$100)+SUMIF('10 TOTAL'!H$5:H$100,$A47,'10 TOTAL'!$K$5:$K$100)</f>
        <v>0</v>
      </c>
      <c r="D47" s="1291">
        <f>SUMIF('4'!H$5:H$100,$A47,'4'!$I$5:$I$100)+SUMIF('4a'!H$5:H$100,$A47,'4a'!$I$5:$I$100)+SUMIF('4b'!H$5:H$100,$A47,'4b'!$I$5:$I$100)+SUMIF('4c'!H$5:H$100,$A47,'4c'!$I$5:$I$100)+SUMIF('5'!H$5:H$100,$A47,'5'!$I$5:$I$100)+SUMIF('6'!H$5:H$100,$A47,'6'!$I$5:$I$100)+SUMIF('7'!H$5:H$100,$A47,'7'!$I$5:$I$100)+SUMIF('7a'!H$5:H$100,$A47,'7a'!$I$5:$I$100)+SUMIF('7b'!H$5:H$100,$A47,'7b'!$I$5:$I$100)+SUMIF('8'!H$5:H$100,$A47,'8'!$I$5:$I$100)+SUMIF('9'!H$5:H$100,$A47,'9'!$I$5:$I$100)+SUMIF('9a'!H$5:H$100,$A47,'9a'!$I$5:$I$100)+SUMIF('9b'!H$5:H$100,$A47,'9b'!$I$5:$I$100)+SUMIF('9c'!H$5:H$100,$A47,'9c'!$I$5:$I$100)+SUMIF('9d'!H$5:H$100,$A47,'9d'!$I$5:$I$100)+SUMIF('9e'!H$5:H$100,$A47,'9e'!$I$5:$I$100)+SUMIF('9f'!H$5:H$100,$A47,'9f'!$I$5:$I$100)+SUMIF('9g'!H$5:H$100,$A47,'9g'!$I$5:$I$100)+SUMIF('9h'!H$5:H$100,$A47,'9h'!$I$5:$I$100)+SUMIF('9 TOTAL'!H$5:H$100,$A47,'9 TOTAL'!$I$5:$I$100)
+SUMIF('10'!H$5:H$100,$A47,'10'!$I$5:$I$100)+SUMIF('10a'!H$5:H$100,$A47,'10a'!$I$5:$I$100)+SUMIF('10b'!H$5:H$100,$A47,'10b'!$I$5:$I$100)+SUMIF('10c'!H$5:H$100,$A47,'10c'!$I$5:$I$100)+SUMIF('10d'!H$5:H$100,$A47,'10d'!$I$5:$I$100)+SUMIF('10e'!H$5:H$100,$A47,'10e'!$I$5:$I$100)+SUMIF('10f'!H$5:H$100,$A47,'10f'!$I$5:$I$100)+SUMIF('10g'!H$5:H$100,$A47,'10g'!$I$5:$I$100)+SUMIF('10h'!H$5:H$100,$A47,'10h'!$I$5:$I$100)+SUMIF('10i'!H$5:H$100,$A47,'10i'!$I$5:$I$100)+SUMIF('10j'!H$5:H$100,$A47,'10j'!$I$5:$I$100)+SUMIF('10k'!H$5:H$100,$A47,'10k'!$I$5:$I$100)+SUMIF('10l'!H$5:H$100,$A47,'10l'!$I$5:$I$100)+SUMIF('10m'!H$5:H$100,$A47,'10m'!$I$5:$I$100)+SUMIF('10 TOTAL'!H$5:H$100,$A47,'10 TOTAL'!$I$5:$I$100)</f>
        <v>0</v>
      </c>
      <c r="E47"/>
      <c r="F47"/>
      <c r="G47"/>
      <c r="H47"/>
      <c r="I47"/>
      <c r="J47"/>
      <c r="K47"/>
      <c r="L47"/>
      <c r="M47"/>
      <c r="N47"/>
      <c r="O47"/>
      <c r="P47"/>
      <c r="Q47"/>
      <c r="R47"/>
      <c r="S47" s="1307">
        <f t="shared" si="0"/>
        <v>0</v>
      </c>
      <c r="T47"/>
    </row>
    <row r="48" spans="1:20" x14ac:dyDescent="0.2">
      <c r="A48" t="s">
        <v>3404</v>
      </c>
      <c r="B48" t="s">
        <v>5372</v>
      </c>
      <c r="C48" s="1291">
        <f>SUMIF('4'!H$5:H$100,$A48,'4'!$K$5:$K$100)+SUMIF('4a'!H$5:H$100,$A48,'4a'!$K$5:$K$100)+SUMIF('4b'!H$5:H$100,$A48,'4b'!$K$5:$K$100)+SUMIF('4c'!H$5:H$100,$A48,'4c'!$K$5:$K$100)+SUMIF('5'!H$5:H$100,$A48,'5'!$K$5:$K$100)+SUMIF('6'!H$5:H$100,$A48,'6'!$K$5:$K$100)+SUMIF('7'!H$5:H$100,$A48,'7'!$K$5:$K$100)+SUMIF('7a'!H$5:H$100,$A48,'7a'!$K$5:$K$100)+SUMIF('7b'!H$5:H$100,$A48,'7b'!$K$5:$K$100)+SUMIF('8'!H$5:H$100,$A48,'8'!$K$5:$K$100)+SUMIF('9'!H$5:H$100,$A48,'9'!$K$5:$K$100)+SUMIF('9a'!H$5:H$100,$A48,'9a'!$K$5:$K$100)+SUMIF('9b'!H$5:H$100,$A48,'9b'!$K$5:$K$100)+SUMIF('9c'!H$5:H$100,$A48,'9c'!$K$5:$K$100)+SUMIF('9d'!H$5:H$100,$A48,'9d'!$K$5:$K$100)+SUMIF('9e'!H$5:H$100,$A48,'9e'!$K$5:$K$100)+SUMIF('9f'!H$5:H$100,$A48,'9f'!$K$5:$K$100)+SUMIF('9g'!H$5:H$100,$A48,'9g'!$K$5:$K$100)+SUMIF('9h'!H$5:H$100,$A48,'9h'!$K$5:$K$100)+SUMIF('9 TOTAL'!H$5:H$100,$A48,'9 TOTAL'!$K$5:$K$100)
+SUMIF('10'!H$5:H$100,$A48,'10'!$K$5:$K$100)+SUMIF('10a'!H$5:H$100,$A48,'10a'!$K$5:$K$100)+SUMIF('10b'!H$5:H$100,$A48,'10b'!$K$5:$K$100)+SUMIF('10c'!H$5:H$100,$A48,'10c'!$K$5:$K$100)+SUMIF('10d'!H$5:H$100,$A48,'10d'!$K$5:$K$100)+SUMIF('10e'!H$5:H$100,$A48,'10e'!$K$5:$K$100)+SUMIF('10f'!H$5:H$100,$A48,'10f'!$K$5:$K$100)+SUMIF('10g'!H$5:H$100,$A48,'10g'!$K$5:$K$100)+SUMIF('10h'!H$5:H$100,$A48,'10h'!$K$5:$K$100)+SUMIF('10i'!H$5:H$100,$A48,'10i'!$K$5:$K$100)+SUMIF('10j'!H$5:H$100,$A48,'10j'!$K$5:$K$100)+SUMIF('10k'!H$5:H$100,$A48,'10k'!$K$5:$K$100)+SUMIF('10l'!H$5:H$100,$A48,'10l'!$K$5:$K$100)+SUMIF('10m'!H$5:H$100,$A48,'10m'!$K$5:$K$100)+SUMIF('10 TOTAL'!H$5:H$100,$A48,'10 TOTAL'!$K$5:$K$100)</f>
        <v>0</v>
      </c>
      <c r="D48" s="1291">
        <f>SUMIF('4'!H$5:H$100,$A48,'4'!$I$5:$I$100)+SUMIF('4a'!H$5:H$100,$A48,'4a'!$I$5:$I$100)+SUMIF('4b'!H$5:H$100,$A48,'4b'!$I$5:$I$100)+SUMIF('4c'!H$5:H$100,$A48,'4c'!$I$5:$I$100)+SUMIF('5'!H$5:H$100,$A48,'5'!$I$5:$I$100)+SUMIF('6'!H$5:H$100,$A48,'6'!$I$5:$I$100)+SUMIF('7'!H$5:H$100,$A48,'7'!$I$5:$I$100)+SUMIF('7a'!H$5:H$100,$A48,'7a'!$I$5:$I$100)+SUMIF('7b'!H$5:H$100,$A48,'7b'!$I$5:$I$100)+SUMIF('8'!H$5:H$100,$A48,'8'!$I$5:$I$100)+SUMIF('9'!H$5:H$100,$A48,'9'!$I$5:$I$100)+SUMIF('9a'!H$5:H$100,$A48,'9a'!$I$5:$I$100)+SUMIF('9b'!H$5:H$100,$A48,'9b'!$I$5:$I$100)+SUMIF('9c'!H$5:H$100,$A48,'9c'!$I$5:$I$100)+SUMIF('9d'!H$5:H$100,$A48,'9d'!$I$5:$I$100)+SUMIF('9e'!H$5:H$100,$A48,'9e'!$I$5:$I$100)+SUMIF('9f'!H$5:H$100,$A48,'9f'!$I$5:$I$100)+SUMIF('9g'!H$5:H$100,$A48,'9g'!$I$5:$I$100)+SUMIF('9h'!H$5:H$100,$A48,'9h'!$I$5:$I$100)+SUMIF('9 TOTAL'!H$5:H$100,$A48,'9 TOTAL'!$I$5:$I$100)
+SUMIF('10'!H$5:H$100,$A48,'10'!$I$5:$I$100)+SUMIF('10a'!H$5:H$100,$A48,'10a'!$I$5:$I$100)+SUMIF('10b'!H$5:H$100,$A48,'10b'!$I$5:$I$100)+SUMIF('10c'!H$5:H$100,$A48,'10c'!$I$5:$I$100)+SUMIF('10d'!H$5:H$100,$A48,'10d'!$I$5:$I$100)+SUMIF('10e'!H$5:H$100,$A48,'10e'!$I$5:$I$100)+SUMIF('10f'!H$5:H$100,$A48,'10f'!$I$5:$I$100)+SUMIF('10g'!H$5:H$100,$A48,'10g'!$I$5:$I$100)+SUMIF('10h'!H$5:H$100,$A48,'10h'!$I$5:$I$100)+SUMIF('10i'!H$5:H$100,$A48,'10i'!$I$5:$I$100)+SUMIF('10j'!H$5:H$100,$A48,'10j'!$I$5:$I$100)+SUMIF('10k'!H$5:H$100,$A48,'10k'!$I$5:$I$100)+SUMIF('10l'!H$5:H$100,$A48,'10l'!$I$5:$I$100)+SUMIF('10m'!H$5:H$100,$A48,'10m'!$I$5:$I$100)+SUMIF('10 TOTAL'!H$5:H$100,$A48,'10 TOTAL'!$I$5:$I$100)</f>
        <v>0</v>
      </c>
      <c r="E48"/>
      <c r="F48"/>
      <c r="G48"/>
      <c r="H48"/>
      <c r="I48"/>
      <c r="J48"/>
      <c r="K48"/>
      <c r="L48"/>
      <c r="M48"/>
      <c r="N48"/>
      <c r="O48"/>
      <c r="P48"/>
      <c r="Q48"/>
      <c r="R48"/>
      <c r="S48" s="1307">
        <f t="shared" si="0"/>
        <v>0</v>
      </c>
      <c r="T48"/>
    </row>
    <row r="49" spans="1:20" ht="12.75" customHeight="1" x14ac:dyDescent="0.2">
      <c r="A49" t="s">
        <v>3407</v>
      </c>
      <c r="B49" t="s">
        <v>5373</v>
      </c>
      <c r="C49" s="1291">
        <f>SUMIF('4'!H$5:H$100,$A49,'4'!$K$5:$K$100)+SUMIF('4a'!H$5:H$100,$A49,'4a'!$K$5:$K$100)+SUMIF('4b'!H$5:H$100,$A49,'4b'!$K$5:$K$100)+SUMIF('4c'!H$5:H$100,$A49,'4c'!$K$5:$K$100)+SUMIF('5'!H$5:H$100,$A49,'5'!$K$5:$K$100)+SUMIF('6'!H$5:H$100,$A49,'6'!$K$5:$K$100)+SUMIF('7'!H$5:H$100,$A49,'7'!$K$5:$K$100)+SUMIF('7a'!H$5:H$100,$A49,'7a'!$K$5:$K$100)+SUMIF('7b'!H$5:H$100,$A49,'7b'!$K$5:$K$100)+SUMIF('8'!H$5:H$100,$A49,'8'!$K$5:$K$100)+SUMIF('9'!H$5:H$100,$A49,'9'!$K$5:$K$100)+SUMIF('9a'!H$5:H$100,$A49,'9a'!$K$5:$K$100)+SUMIF('9b'!H$5:H$100,$A49,'9b'!$K$5:$K$100)+SUMIF('9c'!H$5:H$100,$A49,'9c'!$K$5:$K$100)+SUMIF('9d'!H$5:H$100,$A49,'9d'!$K$5:$K$100)+SUMIF('9e'!H$5:H$100,$A49,'9e'!$K$5:$K$100)+SUMIF('9f'!H$5:H$100,$A49,'9f'!$K$5:$K$100)+SUMIF('9g'!H$5:H$100,$A49,'9g'!$K$5:$K$100)+SUMIF('9h'!H$5:H$100,$A49,'9h'!$K$5:$K$100)+SUMIF('9 TOTAL'!H$5:H$100,$A49,'9 TOTAL'!$K$5:$K$100)
+SUMIF('10'!H$5:H$100,$A49,'10'!$K$5:$K$100)+SUMIF('10a'!H$5:H$100,$A49,'10a'!$K$5:$K$100)+SUMIF('10b'!H$5:H$100,$A49,'10b'!$K$5:$K$100)+SUMIF('10c'!H$5:H$100,$A49,'10c'!$K$5:$K$100)+SUMIF('10d'!H$5:H$100,$A49,'10d'!$K$5:$K$100)+SUMIF('10e'!H$5:H$100,$A49,'10e'!$K$5:$K$100)+SUMIF('10f'!H$5:H$100,$A49,'10f'!$K$5:$K$100)+SUMIF('10g'!H$5:H$100,$A49,'10g'!$K$5:$K$100)+SUMIF('10h'!H$5:H$100,$A49,'10h'!$K$5:$K$100)+SUMIF('10i'!H$5:H$100,$A49,'10i'!$K$5:$K$100)+SUMIF('10j'!H$5:H$100,$A49,'10j'!$K$5:$K$100)+SUMIF('10k'!H$5:H$100,$A49,'10k'!$K$5:$K$100)+SUMIF('10l'!H$5:H$100,$A49,'10l'!$K$5:$K$100)+SUMIF('10m'!H$5:H$100,$A49,'10m'!$K$5:$K$100)+SUMIF('10 TOTAL'!H$5:H$100,$A49,'10 TOTAL'!$K$5:$K$100)</f>
        <v>0</v>
      </c>
      <c r="D49" s="1291">
        <f>SUMIF('4'!H$5:H$100,$A49,'4'!$I$5:$I$100)+SUMIF('4a'!H$5:H$100,$A49,'4a'!$I$5:$I$100)+SUMIF('4b'!H$5:H$100,$A49,'4b'!$I$5:$I$100)+SUMIF('4c'!H$5:H$100,$A49,'4c'!$I$5:$I$100)+SUMIF('5'!H$5:H$100,$A49,'5'!$I$5:$I$100)+SUMIF('6'!H$5:H$100,$A49,'6'!$I$5:$I$100)+SUMIF('7'!H$5:H$100,$A49,'7'!$I$5:$I$100)+SUMIF('7a'!H$5:H$100,$A49,'7a'!$I$5:$I$100)+SUMIF('7b'!H$5:H$100,$A49,'7b'!$I$5:$I$100)+SUMIF('8'!H$5:H$100,$A49,'8'!$I$5:$I$100)+SUMIF('9'!H$5:H$100,$A49,'9'!$I$5:$I$100)+SUMIF('9a'!H$5:H$100,$A49,'9a'!$I$5:$I$100)+SUMIF('9b'!H$5:H$100,$A49,'9b'!$I$5:$I$100)+SUMIF('9c'!H$5:H$100,$A49,'9c'!$I$5:$I$100)+SUMIF('9d'!H$5:H$100,$A49,'9d'!$I$5:$I$100)+SUMIF('9e'!H$5:H$100,$A49,'9e'!$I$5:$I$100)+SUMIF('9f'!H$5:H$100,$A49,'9f'!$I$5:$I$100)+SUMIF('9g'!H$5:H$100,$A49,'9g'!$I$5:$I$100)+SUMIF('9h'!H$5:H$100,$A49,'9h'!$I$5:$I$100)+SUMIF('9 TOTAL'!H$5:H$100,$A49,'9 TOTAL'!$I$5:$I$100)
+SUMIF('10'!H$5:H$100,$A49,'10'!$I$5:$I$100)+SUMIF('10a'!H$5:H$100,$A49,'10a'!$I$5:$I$100)+SUMIF('10b'!H$5:H$100,$A49,'10b'!$I$5:$I$100)+SUMIF('10c'!H$5:H$100,$A49,'10c'!$I$5:$I$100)+SUMIF('10d'!H$5:H$100,$A49,'10d'!$I$5:$I$100)+SUMIF('10e'!H$5:H$100,$A49,'10e'!$I$5:$I$100)+SUMIF('10f'!H$5:H$100,$A49,'10f'!$I$5:$I$100)+SUMIF('10g'!H$5:H$100,$A49,'10g'!$I$5:$I$100)+SUMIF('10h'!H$5:H$100,$A49,'10h'!$I$5:$I$100)+SUMIF('10i'!H$5:H$100,$A49,'10i'!$I$5:$I$100)+SUMIF('10j'!H$5:H$100,$A49,'10j'!$I$5:$I$100)+SUMIF('10k'!H$5:H$100,$A49,'10k'!$I$5:$I$100)+SUMIF('10l'!H$5:H$100,$A49,'10l'!$I$5:$I$100)+SUMIF('10m'!H$5:H$100,$A49,'10m'!$I$5:$I$100)+SUMIF('10 TOTAL'!H$5:H$100,$A49,'10 TOTAL'!$I$5:$I$100)</f>
        <v>0</v>
      </c>
      <c r="E49"/>
      <c r="F49"/>
      <c r="G49"/>
      <c r="H49"/>
      <c r="I49"/>
      <c r="J49"/>
      <c r="K49"/>
      <c r="L49"/>
      <c r="M49"/>
      <c r="N49"/>
      <c r="O49"/>
      <c r="P49"/>
      <c r="Q49"/>
      <c r="R49"/>
      <c r="S49" s="1307">
        <f t="shared" si="0"/>
        <v>0</v>
      </c>
      <c r="T49"/>
    </row>
    <row r="50" spans="1:20" ht="12.75" customHeight="1" x14ac:dyDescent="0.2">
      <c r="A50"/>
      <c r="B50" t="s">
        <v>5430</v>
      </c>
      <c r="C50" s="1291">
        <f>SUM(C51:C52)</f>
        <v>0</v>
      </c>
      <c r="D50" s="1291">
        <f>SUM(D51:D52)</f>
        <v>0</v>
      </c>
      <c r="E50"/>
      <c r="F50"/>
      <c r="G50"/>
      <c r="H50"/>
      <c r="I50"/>
      <c r="J50"/>
      <c r="K50"/>
      <c r="L50"/>
      <c r="M50"/>
      <c r="N50"/>
      <c r="O50"/>
      <c r="P50"/>
      <c r="Q50"/>
      <c r="R50"/>
      <c r="S50" s="1307">
        <f t="shared" si="0"/>
        <v>0</v>
      </c>
      <c r="T50"/>
    </row>
    <row r="51" spans="1:20" outlineLevel="1" x14ac:dyDescent="0.2">
      <c r="A51" t="s">
        <v>3411</v>
      </c>
      <c r="B51" t="s">
        <v>5374</v>
      </c>
      <c r="C51" s="1291">
        <f>SUMIF('4'!H$5:H$100,$A51,'4'!$K$5:$K$100)+SUMIF('4a'!H$5:H$100,$A51,'4a'!$K$5:$K$100)+SUMIF('4b'!H$5:H$100,$A51,'4b'!$K$5:$K$100)+SUMIF('4c'!H$5:H$100,$A51,'4c'!$K$5:$K$100)+SUMIF('5'!H$5:H$100,$A51,'5'!$K$5:$K$100)+SUMIF('6'!H$5:H$100,$A51,'6'!$K$5:$K$100)+SUMIF('7'!H$5:H$100,$A51,'7'!$K$5:$K$100)+SUMIF('7a'!H$5:H$100,$A51,'7a'!$K$5:$K$100)+SUMIF('7b'!H$5:H$100,$A51,'7b'!$K$5:$K$100)+SUMIF('8'!H$5:H$100,$A51,'8'!$K$5:$K$100)+SUMIF('9'!H$5:H$100,$A51,'9'!$K$5:$K$100)+SUMIF('9a'!H$5:H$100,$A51,'9a'!$K$5:$K$100)+SUMIF('9b'!H$5:H$100,$A51,'9b'!$K$5:$K$100)+SUMIF('9c'!H$5:H$100,$A51,'9c'!$K$5:$K$100)+SUMIF('9d'!H$5:H$100,$A51,'9d'!$K$5:$K$100)+SUMIF('9e'!H$5:H$100,$A51,'9e'!$K$5:$K$100)+SUMIF('9f'!H$5:H$100,$A51,'9f'!$K$5:$K$100)+SUMIF('9g'!H$5:H$100,$A51,'9g'!$K$5:$K$100)+SUMIF('9h'!H$5:H$100,$A51,'9h'!$K$5:$K$100)+SUMIF('9 TOTAL'!H$5:H$100,$A51,'9 TOTAL'!$K$5:$K$100)
+SUMIF('10'!H$5:H$100,$A51,'10'!$K$5:$K$100)+SUMIF('10a'!H$5:H$100,$A51,'10a'!$K$5:$K$100)+SUMIF('10b'!H$5:H$100,$A51,'10b'!$K$5:$K$100)+SUMIF('10c'!H$5:H$100,$A51,'10c'!$K$5:$K$100)+SUMIF('10d'!H$5:H$100,$A51,'10d'!$K$5:$K$100)+SUMIF('10e'!H$5:H$100,$A51,'10e'!$K$5:$K$100)+SUMIF('10f'!H$5:H$100,$A51,'10f'!$K$5:$K$100)+SUMIF('10g'!H$5:H$100,$A51,'10g'!$K$5:$K$100)+SUMIF('10h'!H$5:H$100,$A51,'10h'!$K$5:$K$100)+SUMIF('10i'!H$5:H$100,$A51,'10i'!$K$5:$K$100)+SUMIF('10j'!H$5:H$100,$A51,'10j'!$K$5:$K$100)+SUMIF('10k'!H$5:H$100,$A51,'10k'!$K$5:$K$100)+SUMIF('10l'!H$5:H$100,$A51,'10l'!$K$5:$K$100)+SUMIF('10m'!H$5:H$100,$A51,'10m'!$K$5:$K$100)+SUMIF('10 TOTAL'!H$5:H$100,$A51,'10 TOTAL'!$K$5:$K$100)</f>
        <v>0</v>
      </c>
      <c r="D51" s="1291">
        <f>SUMIF('4'!H$5:H$100,$A51,'4'!$I$5:$I$100)+SUMIF('4a'!H$5:H$100,$A51,'4a'!$I$5:$I$100)+SUMIF('4b'!H$5:H$100,$A51,'4b'!$I$5:$I$100)+SUMIF('4c'!H$5:H$100,$A51,'4c'!$I$5:$I$100)+SUMIF('5'!H$5:H$100,$A51,'5'!$I$5:$I$100)+SUMIF('6'!H$5:H$100,$A51,'6'!$I$5:$I$100)+SUMIF('7'!H$5:H$100,$A51,'7'!$I$5:$I$100)+SUMIF('7a'!H$5:H$100,$A51,'7a'!$I$5:$I$100)+SUMIF('7b'!H$5:H$100,$A51,'7b'!$I$5:$I$100)+SUMIF('8'!H$5:H$100,$A51,'8'!$I$5:$I$100)+SUMIF('9'!H$5:H$100,$A51,'9'!$I$5:$I$100)+SUMIF('9a'!H$5:H$100,$A51,'9a'!$I$5:$I$100)+SUMIF('9b'!H$5:H$100,$A51,'9b'!$I$5:$I$100)+SUMIF('9c'!H$5:H$100,$A51,'9c'!$I$5:$I$100)+SUMIF('9d'!H$5:H$100,$A51,'9d'!$I$5:$I$100)+SUMIF('9e'!H$5:H$100,$A51,'9e'!$I$5:$I$100)+SUMIF('9f'!H$5:H$100,$A51,'9f'!$I$5:$I$100)+SUMIF('9g'!H$5:H$100,$A51,'9g'!$I$5:$I$100)+SUMIF('9h'!H$5:H$100,$A51,'9h'!$I$5:$I$100)+SUMIF('9 TOTAL'!H$5:H$100,$A51,'9 TOTAL'!$I$5:$I$100)
+SUMIF('10'!H$5:H$100,$A51,'10'!$I$5:$I$100)+SUMIF('10a'!H$5:H$100,$A51,'10a'!$I$5:$I$100)+SUMIF('10b'!H$5:H$100,$A51,'10b'!$I$5:$I$100)+SUMIF('10c'!H$5:H$100,$A51,'10c'!$I$5:$I$100)+SUMIF('10d'!H$5:H$100,$A51,'10d'!$I$5:$I$100)+SUMIF('10e'!H$5:H$100,$A51,'10e'!$I$5:$I$100)+SUMIF('10f'!H$5:H$100,$A51,'10f'!$I$5:$I$100)+SUMIF('10g'!H$5:H$100,$A51,'10g'!$I$5:$I$100)+SUMIF('10h'!H$5:H$100,$A51,'10h'!$I$5:$I$100)+SUMIF('10i'!H$5:H$100,$A51,'10i'!$I$5:$I$100)+SUMIF('10j'!H$5:H$100,$A51,'10j'!$I$5:$I$100)+SUMIF('10k'!H$5:H$100,$A51,'10k'!$I$5:$I$100)+SUMIF('10l'!H$5:H$100,$A51,'10l'!$I$5:$I$100)+SUMIF('10m'!H$5:H$100,$A51,'10m'!$I$5:$I$100)+SUMIF('10 TOTAL'!H$5:H$100,$A51,'10 TOTAL'!$I$5:$I$100)</f>
        <v>0</v>
      </c>
      <c r="E51"/>
      <c r="F51"/>
      <c r="G51"/>
      <c r="H51"/>
      <c r="I51"/>
      <c r="J51"/>
      <c r="K51"/>
      <c r="L51"/>
      <c r="M51"/>
      <c r="N51"/>
      <c r="O51"/>
      <c r="P51"/>
      <c r="Q51"/>
      <c r="R51"/>
      <c r="S51" s="1307">
        <f t="shared" si="0"/>
        <v>0</v>
      </c>
      <c r="T51"/>
    </row>
    <row r="52" spans="1:20" outlineLevel="1" x14ac:dyDescent="0.2">
      <c r="A52" t="s">
        <v>3414</v>
      </c>
      <c r="B52" t="s">
        <v>5374</v>
      </c>
      <c r="C52" s="1291">
        <f>SUMIF('4'!H$5:H$100,$A52,'4'!$K$5:$K$100)+SUMIF('4a'!H$5:H$100,$A52,'4a'!$K$5:$K$100)+SUMIF('4b'!H$5:H$100,$A52,'4b'!$K$5:$K$100)+SUMIF('4c'!H$5:H$100,$A52,'4c'!$K$5:$K$100)+SUMIF('5'!H$5:H$100,$A52,'5'!$K$5:$K$100)+SUMIF('6'!H$5:H$100,$A52,'6'!$K$5:$K$100)+SUMIF('7'!H$5:H$100,$A52,'7'!$K$5:$K$100)+SUMIF('7a'!H$5:H$100,$A52,'7a'!$K$5:$K$100)+SUMIF('7b'!H$5:H$100,$A52,'7b'!$K$5:$K$100)+SUMIF('8'!H$5:H$100,$A52,'8'!$K$5:$K$100)+SUMIF('9'!H$5:H$100,$A52,'9'!$K$5:$K$100)+SUMIF('9a'!H$5:H$100,$A52,'9a'!$K$5:$K$100)+SUMIF('9b'!H$5:H$100,$A52,'9b'!$K$5:$K$100)+SUMIF('9c'!H$5:H$100,$A52,'9c'!$K$5:$K$100)+SUMIF('9d'!H$5:H$100,$A52,'9d'!$K$5:$K$100)+SUMIF('9e'!H$5:H$100,$A52,'9e'!$K$5:$K$100)+SUMIF('9f'!H$5:H$100,$A52,'9f'!$K$5:$K$100)+SUMIF('9g'!H$5:H$100,$A52,'9g'!$K$5:$K$100)+SUMIF('9h'!H$5:H$100,$A52,'9h'!$K$5:$K$100)+SUMIF('9 TOTAL'!H$5:H$100,$A52,'9 TOTAL'!$K$5:$K$100)
+SUMIF('10'!H$5:H$100,$A52,'10'!$K$5:$K$100)+SUMIF('10a'!H$5:H$100,$A52,'10a'!$K$5:$K$100)+SUMIF('10b'!H$5:H$100,$A52,'10b'!$K$5:$K$100)+SUMIF('10c'!H$5:H$100,$A52,'10c'!$K$5:$K$100)+SUMIF('10d'!H$5:H$100,$A52,'10d'!$K$5:$K$100)+SUMIF('10e'!H$5:H$100,$A52,'10e'!$K$5:$K$100)+SUMIF('10f'!H$5:H$100,$A52,'10f'!$K$5:$K$100)+SUMIF('10g'!H$5:H$100,$A52,'10g'!$K$5:$K$100)+SUMIF('10h'!H$5:H$100,$A52,'10h'!$K$5:$K$100)+SUMIF('10i'!H$5:H$100,$A52,'10i'!$K$5:$K$100)+SUMIF('10j'!H$5:H$100,$A52,'10j'!$K$5:$K$100)+SUMIF('10k'!H$5:H$100,$A52,'10k'!$K$5:$K$100)+SUMIF('10l'!H$5:H$100,$A52,'10l'!$K$5:$K$100)+SUMIF('10m'!H$5:H$100,$A52,'10m'!$K$5:$K$100)+SUMIF('10 TOTAL'!H$5:H$100,$A52,'10 TOTAL'!$K$5:$K$100)</f>
        <v>0</v>
      </c>
      <c r="D52" s="1291">
        <f>SUMIF('4'!H$5:H$100,$A52,'4'!$I$5:$I$100)+SUMIF('4a'!H$5:H$100,$A52,'4a'!$I$5:$I$100)+SUMIF('4b'!H$5:H$100,$A52,'4b'!$I$5:$I$100)+SUMIF('4c'!H$5:H$100,$A52,'4c'!$I$5:$I$100)+SUMIF('5'!H$5:H$100,$A52,'5'!$I$5:$I$100)+SUMIF('6'!H$5:H$100,$A52,'6'!$I$5:$I$100)+SUMIF('7'!H$5:H$100,$A52,'7'!$I$5:$I$100)+SUMIF('7a'!H$5:H$100,$A52,'7a'!$I$5:$I$100)+SUMIF('7b'!H$5:H$100,$A52,'7b'!$I$5:$I$100)+SUMIF('8'!H$5:H$100,$A52,'8'!$I$5:$I$100)+SUMIF('9'!H$5:H$100,$A52,'9'!$I$5:$I$100)+SUMIF('9a'!H$5:H$100,$A52,'9a'!$I$5:$I$100)+SUMIF('9b'!H$5:H$100,$A52,'9b'!$I$5:$I$100)+SUMIF('9c'!H$5:H$100,$A52,'9c'!$I$5:$I$100)+SUMIF('9d'!H$5:H$100,$A52,'9d'!$I$5:$I$100)+SUMIF('9e'!H$5:H$100,$A52,'9e'!$I$5:$I$100)+SUMIF('9f'!H$5:H$100,$A52,'9f'!$I$5:$I$100)+SUMIF('9g'!H$5:H$100,$A52,'9g'!$I$5:$I$100)+SUMIF('9h'!H$5:H$100,$A52,'9h'!$I$5:$I$100)+SUMIF('9 TOTAL'!H$5:H$100,$A52,'9 TOTAL'!$I$5:$I$100)
+SUMIF('10'!H$5:H$100,$A52,'10'!$I$5:$I$100)+SUMIF('10a'!H$5:H$100,$A52,'10a'!$I$5:$I$100)+SUMIF('10b'!H$5:H$100,$A52,'10b'!$I$5:$I$100)+SUMIF('10c'!H$5:H$100,$A52,'10c'!$I$5:$I$100)+SUMIF('10d'!H$5:H$100,$A52,'10d'!$I$5:$I$100)+SUMIF('10e'!H$5:H$100,$A52,'10e'!$I$5:$I$100)+SUMIF('10f'!H$5:H$100,$A52,'10f'!$I$5:$I$100)+SUMIF('10g'!H$5:H$100,$A52,'10g'!$I$5:$I$100)+SUMIF('10h'!H$5:H$100,$A52,'10h'!$I$5:$I$100)+SUMIF('10i'!H$5:H$100,$A52,'10i'!$I$5:$I$100)+SUMIF('10j'!H$5:H$100,$A52,'10j'!$I$5:$I$100)+SUMIF('10k'!H$5:H$100,$A52,'10k'!$I$5:$I$100)+SUMIF('10l'!H$5:H$100,$A52,'10l'!$I$5:$I$100)+SUMIF('10m'!H$5:H$100,$A52,'10m'!$I$5:$I$100)+SUMIF('10 TOTAL'!H$5:H$100,$A52,'10 TOTAL'!$I$5:$I$100)</f>
        <v>0</v>
      </c>
      <c r="E52"/>
      <c r="F52"/>
      <c r="G52"/>
      <c r="H52"/>
      <c r="I52"/>
      <c r="J52"/>
      <c r="K52"/>
      <c r="L52"/>
      <c r="M52"/>
      <c r="N52"/>
      <c r="O52"/>
      <c r="P52"/>
      <c r="Q52"/>
      <c r="R52"/>
      <c r="S52" s="1307">
        <f t="shared" si="0"/>
        <v>0</v>
      </c>
      <c r="T52"/>
    </row>
    <row r="53" spans="1:20" x14ac:dyDescent="0.2">
      <c r="A53" t="s">
        <v>3418</v>
      </c>
      <c r="B53" t="s">
        <v>5375</v>
      </c>
      <c r="C53" s="1291">
        <f>SUMIF('4'!H$5:H$100,$A53,'4'!$K$5:$K$100)+SUMIF('4a'!H$5:H$100,$A53,'4a'!$K$5:$K$100)+SUMIF('4b'!H$5:H$100,$A53,'4b'!$K$5:$K$100)+SUMIF('4c'!H$5:H$100,$A53,'4c'!$K$5:$K$100)+SUMIF('5'!H$5:H$100,$A53,'5'!$K$5:$K$100)+SUMIF('6'!H$5:H$100,$A53,'6'!$K$5:$K$100)+SUMIF('7'!H$5:H$100,$A53,'7'!$K$5:$K$100)+SUMIF('7a'!H$5:H$100,$A53,'7a'!$K$5:$K$100)+SUMIF('7b'!H$5:H$100,$A53,'7b'!$K$5:$K$100)+SUMIF('8'!H$5:H$100,$A53,'8'!$K$5:$K$100)+SUMIF('9'!H$5:H$100,$A53,'9'!$K$5:$K$100)+SUMIF('9a'!H$5:H$100,$A53,'9a'!$K$5:$K$100)+SUMIF('9b'!H$5:H$100,$A53,'9b'!$K$5:$K$100)+SUMIF('9c'!H$5:H$100,$A53,'9c'!$K$5:$K$100)+SUMIF('9d'!H$5:H$100,$A53,'9d'!$K$5:$K$100)+SUMIF('9e'!H$5:H$100,$A53,'9e'!$K$5:$K$100)+SUMIF('9f'!H$5:H$100,$A53,'9f'!$K$5:$K$100)+SUMIF('9g'!H$5:H$100,$A53,'9g'!$K$5:$K$100)+SUMIF('9h'!H$5:H$100,$A53,'9h'!$K$5:$K$100)+SUMIF('9 TOTAL'!H$5:H$100,$A53,'9 TOTAL'!$K$5:$K$100)
+SUMIF('10'!H$5:H$100,$A53,'10'!$K$5:$K$100)+SUMIF('10a'!H$5:H$100,$A53,'10a'!$K$5:$K$100)+SUMIF('10b'!H$5:H$100,$A53,'10b'!$K$5:$K$100)+SUMIF('10c'!H$5:H$100,$A53,'10c'!$K$5:$K$100)+SUMIF('10d'!H$5:H$100,$A53,'10d'!$K$5:$K$100)+SUMIF('10e'!H$5:H$100,$A53,'10e'!$K$5:$K$100)+SUMIF('10f'!H$5:H$100,$A53,'10f'!$K$5:$K$100)+SUMIF('10g'!H$5:H$100,$A53,'10g'!$K$5:$K$100)+SUMIF('10h'!H$5:H$100,$A53,'10h'!$K$5:$K$100)+SUMIF('10i'!H$5:H$100,$A53,'10i'!$K$5:$K$100)+SUMIF('10j'!H$5:H$100,$A53,'10j'!$K$5:$K$100)+SUMIF('10k'!H$5:H$100,$A53,'10k'!$K$5:$K$100)+SUMIF('10l'!H$5:H$100,$A53,'10l'!$K$5:$K$100)+SUMIF('10m'!H$5:H$100,$A53,'10m'!$K$5:$K$100)+SUMIF('10 TOTAL'!H$5:H$100,$A53,'10 TOTAL'!$K$5:$K$100)</f>
        <v>0</v>
      </c>
      <c r="D53" s="1291">
        <f>SUMIF('4'!H$5:H$100,$A53,'4'!$I$5:$I$100)+SUMIF('4a'!H$5:H$100,$A53,'4a'!$I$5:$I$100)+SUMIF('4b'!H$5:H$100,$A53,'4b'!$I$5:$I$100)+SUMIF('4c'!H$5:H$100,$A53,'4c'!$I$5:$I$100)+SUMIF('5'!H$5:H$100,$A53,'5'!$I$5:$I$100)+SUMIF('6'!H$5:H$100,$A53,'6'!$I$5:$I$100)+SUMIF('7'!H$5:H$100,$A53,'7'!$I$5:$I$100)+SUMIF('7a'!H$5:H$100,$A53,'7a'!$I$5:$I$100)+SUMIF('7b'!H$5:H$100,$A53,'7b'!$I$5:$I$100)+SUMIF('8'!H$5:H$100,$A53,'8'!$I$5:$I$100)+SUMIF('9'!H$5:H$100,$A53,'9'!$I$5:$I$100)+SUMIF('9a'!H$5:H$100,$A53,'9a'!$I$5:$I$100)+SUMIF('9b'!H$5:H$100,$A53,'9b'!$I$5:$I$100)+SUMIF('9c'!H$5:H$100,$A53,'9c'!$I$5:$I$100)+SUMIF('9d'!H$5:H$100,$A53,'9d'!$I$5:$I$100)+SUMIF('9e'!H$5:H$100,$A53,'9e'!$I$5:$I$100)+SUMIF('9f'!H$5:H$100,$A53,'9f'!$I$5:$I$100)+SUMIF('9g'!H$5:H$100,$A53,'9g'!$I$5:$I$100)+SUMIF('9h'!H$5:H$100,$A53,'9h'!$I$5:$I$100)+SUMIF('9 TOTAL'!H$5:H$100,$A53,'9 TOTAL'!$I$5:$I$100)
+SUMIF('10'!H$5:H$100,$A53,'10'!$I$5:$I$100)+SUMIF('10a'!H$5:H$100,$A53,'10a'!$I$5:$I$100)+SUMIF('10b'!H$5:H$100,$A53,'10b'!$I$5:$I$100)+SUMIF('10c'!H$5:H$100,$A53,'10c'!$I$5:$I$100)+SUMIF('10d'!H$5:H$100,$A53,'10d'!$I$5:$I$100)+SUMIF('10e'!H$5:H$100,$A53,'10e'!$I$5:$I$100)+SUMIF('10f'!H$5:H$100,$A53,'10f'!$I$5:$I$100)+SUMIF('10g'!H$5:H$100,$A53,'10g'!$I$5:$I$100)+SUMIF('10h'!H$5:H$100,$A53,'10h'!$I$5:$I$100)+SUMIF('10i'!H$5:H$100,$A53,'10i'!$I$5:$I$100)+SUMIF('10j'!H$5:H$100,$A53,'10j'!$I$5:$I$100)+SUMIF('10k'!H$5:H$100,$A53,'10k'!$I$5:$I$100)+SUMIF('10l'!H$5:H$100,$A53,'10l'!$I$5:$I$100)+SUMIF('10m'!H$5:H$100,$A53,'10m'!$I$5:$I$100)+SUMIF('10 TOTAL'!H$5:H$100,$A53,'10 TOTAL'!$I$5:$I$100)</f>
        <v>0</v>
      </c>
      <c r="E53"/>
      <c r="F53"/>
      <c r="G53"/>
      <c r="H53"/>
      <c r="I53"/>
      <c r="J53"/>
      <c r="K53"/>
      <c r="L53"/>
      <c r="M53"/>
      <c r="N53"/>
      <c r="O53"/>
      <c r="P53"/>
      <c r="Q53"/>
      <c r="R53"/>
      <c r="S53" s="1307">
        <f t="shared" si="0"/>
        <v>0</v>
      </c>
      <c r="T53"/>
    </row>
    <row r="54" spans="1:20" ht="12.75" customHeight="1" x14ac:dyDescent="0.2">
      <c r="A54" t="s">
        <v>3421</v>
      </c>
      <c r="B54" t="s">
        <v>5376</v>
      </c>
      <c r="C54" s="1291">
        <f>SUMIF('4'!H$5:H$100,$A54,'4'!$K$5:$K$100)+SUMIF('4a'!H$5:H$100,$A54,'4a'!$K$5:$K$100)+SUMIF('4b'!H$5:H$100,$A54,'4b'!$K$5:$K$100)+SUMIF('4c'!H$5:H$100,$A54,'4c'!$K$5:$K$100)+SUMIF('5'!H$5:H$100,$A54,'5'!$K$5:$K$100)+SUMIF('6'!H$5:H$100,$A54,'6'!$K$5:$K$100)+SUMIF('7'!H$5:H$100,$A54,'7'!$K$5:$K$100)+SUMIF('7a'!H$5:H$100,$A54,'7a'!$K$5:$K$100)+SUMIF('7b'!H$5:H$100,$A54,'7b'!$K$5:$K$100)+SUMIF('8'!H$5:H$100,$A54,'8'!$K$5:$K$100)+SUMIF('9'!H$5:H$100,$A54,'9'!$K$5:$K$100)+SUMIF('9a'!H$5:H$100,$A54,'9a'!$K$5:$K$100)+SUMIF('9b'!H$5:H$100,$A54,'9b'!$K$5:$K$100)+SUMIF('9c'!H$5:H$100,$A54,'9c'!$K$5:$K$100)+SUMIF('9d'!H$5:H$100,$A54,'9d'!$K$5:$K$100)+SUMIF('9e'!H$5:H$100,$A54,'9e'!$K$5:$K$100)+SUMIF('9f'!H$5:H$100,$A54,'9f'!$K$5:$K$100)+SUMIF('9g'!H$5:H$100,$A54,'9g'!$K$5:$K$100)+SUMIF('9h'!H$5:H$100,$A54,'9h'!$K$5:$K$100)+SUMIF('9 TOTAL'!H$5:H$100,$A54,'9 TOTAL'!$K$5:$K$100)
+SUMIF('10'!H$5:H$100,$A54,'10'!$K$5:$K$100)+SUMIF('10a'!H$5:H$100,$A54,'10a'!$K$5:$K$100)+SUMIF('10b'!H$5:H$100,$A54,'10b'!$K$5:$K$100)+SUMIF('10c'!H$5:H$100,$A54,'10c'!$K$5:$K$100)+SUMIF('10d'!H$5:H$100,$A54,'10d'!$K$5:$K$100)+SUMIF('10e'!H$5:H$100,$A54,'10e'!$K$5:$K$100)+SUMIF('10f'!H$5:H$100,$A54,'10f'!$K$5:$K$100)+SUMIF('10g'!H$5:H$100,$A54,'10g'!$K$5:$K$100)+SUMIF('10h'!H$5:H$100,$A54,'10h'!$K$5:$K$100)+SUMIF('10i'!H$5:H$100,$A54,'10i'!$K$5:$K$100)+SUMIF('10j'!H$5:H$100,$A54,'10j'!$K$5:$K$100)+SUMIF('10k'!H$5:H$100,$A54,'10k'!$K$5:$K$100)+SUMIF('10l'!H$5:H$100,$A54,'10l'!$K$5:$K$100)+SUMIF('10m'!H$5:H$100,$A54,'10m'!$K$5:$K$100)+SUMIF('10 TOTAL'!H$5:H$100,$A54,'10 TOTAL'!$K$5:$K$100)</f>
        <v>0</v>
      </c>
      <c r="D54" s="1291">
        <f>SUMIF('4'!H$5:H$100,$A54,'4'!$I$5:$I$100)+SUMIF('4a'!H$5:H$100,$A54,'4a'!$I$5:$I$100)+SUMIF('4b'!H$5:H$100,$A54,'4b'!$I$5:$I$100)+SUMIF('4c'!H$5:H$100,$A54,'4c'!$I$5:$I$100)+SUMIF('5'!H$5:H$100,$A54,'5'!$I$5:$I$100)+SUMIF('6'!H$5:H$100,$A54,'6'!$I$5:$I$100)+SUMIF('7'!H$5:H$100,$A54,'7'!$I$5:$I$100)+SUMIF('7a'!H$5:H$100,$A54,'7a'!$I$5:$I$100)+SUMIF('7b'!H$5:H$100,$A54,'7b'!$I$5:$I$100)+SUMIF('8'!H$5:H$100,$A54,'8'!$I$5:$I$100)+SUMIF('9'!H$5:H$100,$A54,'9'!$I$5:$I$100)+SUMIF('9a'!H$5:H$100,$A54,'9a'!$I$5:$I$100)+SUMIF('9b'!H$5:H$100,$A54,'9b'!$I$5:$I$100)+SUMIF('9c'!H$5:H$100,$A54,'9c'!$I$5:$I$100)+SUMIF('9d'!H$5:H$100,$A54,'9d'!$I$5:$I$100)+SUMIF('9e'!H$5:H$100,$A54,'9e'!$I$5:$I$100)+SUMIF('9f'!H$5:H$100,$A54,'9f'!$I$5:$I$100)+SUMIF('9g'!H$5:H$100,$A54,'9g'!$I$5:$I$100)+SUMIF('9h'!H$5:H$100,$A54,'9h'!$I$5:$I$100)+SUMIF('9 TOTAL'!H$5:H$100,$A54,'9 TOTAL'!$I$5:$I$100)
+SUMIF('10'!H$5:H$100,$A54,'10'!$I$5:$I$100)+SUMIF('10a'!H$5:H$100,$A54,'10a'!$I$5:$I$100)+SUMIF('10b'!H$5:H$100,$A54,'10b'!$I$5:$I$100)+SUMIF('10c'!H$5:H$100,$A54,'10c'!$I$5:$I$100)+SUMIF('10d'!H$5:H$100,$A54,'10d'!$I$5:$I$100)+SUMIF('10e'!H$5:H$100,$A54,'10e'!$I$5:$I$100)+SUMIF('10f'!H$5:H$100,$A54,'10f'!$I$5:$I$100)+SUMIF('10g'!H$5:H$100,$A54,'10g'!$I$5:$I$100)+SUMIF('10h'!H$5:H$100,$A54,'10h'!$I$5:$I$100)+SUMIF('10i'!H$5:H$100,$A54,'10i'!$I$5:$I$100)+SUMIF('10j'!H$5:H$100,$A54,'10j'!$I$5:$I$100)+SUMIF('10k'!H$5:H$100,$A54,'10k'!$I$5:$I$100)+SUMIF('10l'!H$5:H$100,$A54,'10l'!$I$5:$I$100)+SUMIF('10m'!H$5:H$100,$A54,'10m'!$I$5:$I$100)+SUMIF('10 TOTAL'!H$5:H$100,$A54,'10 TOTAL'!$I$5:$I$100)</f>
        <v>0</v>
      </c>
      <c r="E54"/>
      <c r="F54"/>
      <c r="G54"/>
      <c r="H54"/>
      <c r="I54"/>
      <c r="J54"/>
      <c r="K54"/>
      <c r="L54"/>
      <c r="M54"/>
      <c r="N54"/>
      <c r="O54"/>
      <c r="P54"/>
      <c r="Q54"/>
      <c r="R54"/>
      <c r="S54" s="1307">
        <f t="shared" si="0"/>
        <v>0</v>
      </c>
      <c r="T54"/>
    </row>
    <row r="55" spans="1:20" ht="12.75" customHeight="1" x14ac:dyDescent="0.2">
      <c r="A55"/>
      <c r="B55" t="s">
        <v>5425</v>
      </c>
      <c r="C55" s="1291">
        <f>SUM(C56:C66)</f>
        <v>0</v>
      </c>
      <c r="D55" s="1291">
        <f>SUM(D56:D66)</f>
        <v>0</v>
      </c>
      <c r="E55"/>
      <c r="F55"/>
      <c r="G55"/>
      <c r="H55"/>
      <c r="I55"/>
      <c r="J55"/>
      <c r="K55"/>
      <c r="L55"/>
      <c r="M55"/>
      <c r="N55"/>
      <c r="O55"/>
      <c r="P55"/>
      <c r="Q55"/>
      <c r="R55"/>
      <c r="S55" s="1307">
        <f t="shared" si="0"/>
        <v>0</v>
      </c>
      <c r="T55"/>
    </row>
    <row r="56" spans="1:20" ht="12.75" customHeight="1" outlineLevel="1" x14ac:dyDescent="0.2">
      <c r="A56" t="s">
        <v>3441</v>
      </c>
      <c r="B56" t="s">
        <v>5377</v>
      </c>
      <c r="C56" s="1291">
        <f>SUMIF('4'!H$5:H$100,$A56,'4'!$K$5:$K$100)+SUMIF('4a'!H$5:H$100,$A56,'4a'!$K$5:$K$100)+SUMIF('4b'!H$5:H$100,$A56,'4b'!$K$5:$K$100)+SUMIF('4c'!H$5:H$100,$A56,'4c'!$K$5:$K$100)+SUMIF('5'!H$5:H$100,$A56,'5'!$K$5:$K$100)+SUMIF('6'!H$5:H$100,$A56,'6'!$K$5:$K$100)+SUMIF('7'!H$5:H$100,$A56,'7'!$K$5:$K$100)+SUMIF('7a'!H$5:H$100,$A56,'7a'!$K$5:$K$100)+SUMIF('7b'!H$5:H$100,$A56,'7b'!$K$5:$K$100)+SUMIF('8'!H$5:H$100,$A56,'8'!$K$5:$K$100)+SUMIF('9'!H$5:H$100,$A56,'9'!$K$5:$K$100)+SUMIF('9a'!H$5:H$100,$A56,'9a'!$K$5:$K$100)+SUMIF('9b'!H$5:H$100,$A56,'9b'!$K$5:$K$100)+SUMIF('9c'!H$5:H$100,$A56,'9c'!$K$5:$K$100)+SUMIF('9d'!H$5:H$100,$A56,'9d'!$K$5:$K$100)+SUMIF('9e'!H$5:H$100,$A56,'9e'!$K$5:$K$100)+SUMIF('9f'!H$5:H$100,$A56,'9f'!$K$5:$K$100)+SUMIF('9g'!H$5:H$100,$A56,'9g'!$K$5:$K$100)+SUMIF('9h'!H$5:H$100,$A56,'9h'!$K$5:$K$100)+SUMIF('9 TOTAL'!H$5:H$100,$A56,'9 TOTAL'!$K$5:$K$100)
+SUMIF('10'!H$5:H$100,$A56,'10'!$K$5:$K$100)+SUMIF('10a'!H$5:H$100,$A56,'10a'!$K$5:$K$100)+SUMIF('10b'!H$5:H$100,$A56,'10b'!$K$5:$K$100)+SUMIF('10c'!H$5:H$100,$A56,'10c'!$K$5:$K$100)+SUMIF('10d'!H$5:H$100,$A56,'10d'!$K$5:$K$100)+SUMIF('10e'!H$5:H$100,$A56,'10e'!$K$5:$K$100)+SUMIF('10f'!H$5:H$100,$A56,'10f'!$K$5:$K$100)+SUMIF('10g'!H$5:H$100,$A56,'10g'!$K$5:$K$100)+SUMIF('10h'!H$5:H$100,$A56,'10h'!$K$5:$K$100)+SUMIF('10i'!H$5:H$100,$A56,'10i'!$K$5:$K$100)+SUMIF('10j'!H$5:H$100,$A56,'10j'!$K$5:$K$100)+SUMIF('10k'!H$5:H$100,$A56,'10k'!$K$5:$K$100)+SUMIF('10l'!H$5:H$100,$A56,'10l'!$K$5:$K$100)+SUMIF('10m'!H$5:H$100,$A56,'10m'!$K$5:$K$100)+SUMIF('10 TOTAL'!H$5:H$100,$A56,'10 TOTAL'!$K$5:$K$100)</f>
        <v>0</v>
      </c>
      <c r="D56" s="1291">
        <f>SUMIF('4'!H$5:H$100,$A56,'4'!$I$5:$I$100)+SUMIF('4a'!H$5:H$100,$A56,'4a'!$I$5:$I$100)+SUMIF('4b'!H$5:H$100,$A56,'4b'!$I$5:$I$100)+SUMIF('4c'!H$5:H$100,$A56,'4c'!$I$5:$I$100)+SUMIF('5'!H$5:H$100,$A56,'5'!$I$5:$I$100)+SUMIF('6'!H$5:H$100,$A56,'6'!$I$5:$I$100)+SUMIF('7'!H$5:H$100,$A56,'7'!$I$5:$I$100)+SUMIF('7a'!H$5:H$100,$A56,'7a'!$I$5:$I$100)+SUMIF('7b'!H$5:H$100,$A56,'7b'!$I$5:$I$100)+SUMIF('8'!H$5:H$100,$A56,'8'!$I$5:$I$100)+SUMIF('9'!H$5:H$100,$A56,'9'!$I$5:$I$100)+SUMIF('9a'!H$5:H$100,$A56,'9a'!$I$5:$I$100)+SUMIF('9b'!H$5:H$100,$A56,'9b'!$I$5:$I$100)+SUMIF('9c'!H$5:H$100,$A56,'9c'!$I$5:$I$100)+SUMIF('9d'!H$5:H$100,$A56,'9d'!$I$5:$I$100)+SUMIF('9e'!H$5:H$100,$A56,'9e'!$I$5:$I$100)+SUMIF('9f'!H$5:H$100,$A56,'9f'!$I$5:$I$100)+SUMIF('9g'!H$5:H$100,$A56,'9g'!$I$5:$I$100)+SUMIF('9h'!H$5:H$100,$A56,'9h'!$I$5:$I$100)+SUMIF('9 TOTAL'!H$5:H$100,$A56,'9 TOTAL'!$I$5:$I$100)
+SUMIF('10'!H$5:H$100,$A56,'10'!$I$5:$I$100)+SUMIF('10a'!H$5:H$100,$A56,'10a'!$I$5:$I$100)+SUMIF('10b'!H$5:H$100,$A56,'10b'!$I$5:$I$100)+SUMIF('10c'!H$5:H$100,$A56,'10c'!$I$5:$I$100)+SUMIF('10d'!H$5:H$100,$A56,'10d'!$I$5:$I$100)+SUMIF('10e'!H$5:H$100,$A56,'10e'!$I$5:$I$100)+SUMIF('10f'!H$5:H$100,$A56,'10f'!$I$5:$I$100)+SUMIF('10g'!H$5:H$100,$A56,'10g'!$I$5:$I$100)+SUMIF('10h'!H$5:H$100,$A56,'10h'!$I$5:$I$100)+SUMIF('10i'!H$5:H$100,$A56,'10i'!$I$5:$I$100)+SUMIF('10j'!H$5:H$100,$A56,'10j'!$I$5:$I$100)+SUMIF('10k'!H$5:H$100,$A56,'10k'!$I$5:$I$100)+SUMIF('10l'!H$5:H$100,$A56,'10l'!$I$5:$I$100)+SUMIF('10m'!H$5:H$100,$A56,'10m'!$I$5:$I$100)+SUMIF('10 TOTAL'!H$5:H$100,$A56,'10 TOTAL'!$I$5:$I$100)</f>
        <v>0</v>
      </c>
      <c r="E56"/>
      <c r="F56"/>
      <c r="G56"/>
      <c r="H56"/>
      <c r="I56"/>
      <c r="J56"/>
      <c r="K56"/>
      <c r="L56"/>
      <c r="M56"/>
      <c r="N56"/>
      <c r="O56"/>
      <c r="P56"/>
      <c r="Q56"/>
      <c r="R56"/>
      <c r="S56" s="1307">
        <f t="shared" si="0"/>
        <v>0</v>
      </c>
      <c r="T56"/>
    </row>
    <row r="57" spans="1:20" ht="12.75" customHeight="1" outlineLevel="1" x14ac:dyDescent="0.2">
      <c r="A57" t="s">
        <v>3444</v>
      </c>
      <c r="B57" t="s">
        <v>5377</v>
      </c>
      <c r="C57" s="1291">
        <f>SUMIF('4'!H$5:H$100,$A57,'4'!$K$5:$K$100)+SUMIF('4a'!H$5:H$100,$A57,'4a'!$K$5:$K$100)+SUMIF('4b'!H$5:H$100,$A57,'4b'!$K$5:$K$100)+SUMIF('4c'!H$5:H$100,$A57,'4c'!$K$5:$K$100)+SUMIF('5'!H$5:H$100,$A57,'5'!$K$5:$K$100)+SUMIF('6'!H$5:H$100,$A57,'6'!$K$5:$K$100)+SUMIF('7'!H$5:H$100,$A57,'7'!$K$5:$K$100)+SUMIF('7a'!H$5:H$100,$A57,'7a'!$K$5:$K$100)+SUMIF('7b'!H$5:H$100,$A57,'7b'!$K$5:$K$100)+SUMIF('8'!H$5:H$100,$A57,'8'!$K$5:$K$100)+SUMIF('9'!H$5:H$100,$A57,'9'!$K$5:$K$100)+SUMIF('9a'!H$5:H$100,$A57,'9a'!$K$5:$K$100)+SUMIF('9b'!H$5:H$100,$A57,'9b'!$K$5:$K$100)+SUMIF('9c'!H$5:H$100,$A57,'9c'!$K$5:$K$100)+SUMIF('9d'!H$5:H$100,$A57,'9d'!$K$5:$K$100)+SUMIF('9e'!H$5:H$100,$A57,'9e'!$K$5:$K$100)+SUMIF('9f'!H$5:H$100,$A57,'9f'!$K$5:$K$100)+SUMIF('9g'!H$5:H$100,$A57,'9g'!$K$5:$K$100)+SUMIF('9h'!H$5:H$100,$A57,'9h'!$K$5:$K$100)+SUMIF('9 TOTAL'!H$5:H$100,$A57,'9 TOTAL'!$K$5:$K$100)
+SUMIF('10'!H$5:H$100,$A57,'10'!$K$5:$K$100)+SUMIF('10a'!H$5:H$100,$A57,'10a'!$K$5:$K$100)+SUMIF('10b'!H$5:H$100,$A57,'10b'!$K$5:$K$100)+SUMIF('10c'!H$5:H$100,$A57,'10c'!$K$5:$K$100)+SUMIF('10d'!H$5:H$100,$A57,'10d'!$K$5:$K$100)+SUMIF('10e'!H$5:H$100,$A57,'10e'!$K$5:$K$100)+SUMIF('10f'!H$5:H$100,$A57,'10f'!$K$5:$K$100)+SUMIF('10g'!H$5:H$100,$A57,'10g'!$K$5:$K$100)+SUMIF('10h'!H$5:H$100,$A57,'10h'!$K$5:$K$100)+SUMIF('10i'!H$5:H$100,$A57,'10i'!$K$5:$K$100)+SUMIF('10j'!H$5:H$100,$A57,'10j'!$K$5:$K$100)+SUMIF('10k'!H$5:H$100,$A57,'10k'!$K$5:$K$100)+SUMIF('10l'!H$5:H$100,$A57,'10l'!$K$5:$K$100)+SUMIF('10m'!H$5:H$100,$A57,'10m'!$K$5:$K$100)+SUMIF('10 TOTAL'!H$5:H$100,$A57,'10 TOTAL'!$K$5:$K$100)</f>
        <v>0</v>
      </c>
      <c r="D57" s="1291">
        <f>SUMIF('4'!H$5:H$100,$A57,'4'!$I$5:$I$100)+SUMIF('4a'!H$5:H$100,$A57,'4a'!$I$5:$I$100)+SUMIF('4b'!H$5:H$100,$A57,'4b'!$I$5:$I$100)+SUMIF('4c'!H$5:H$100,$A57,'4c'!$I$5:$I$100)+SUMIF('5'!H$5:H$100,$A57,'5'!$I$5:$I$100)+SUMIF('6'!H$5:H$100,$A57,'6'!$I$5:$I$100)+SUMIF('7'!H$5:H$100,$A57,'7'!$I$5:$I$100)+SUMIF('7a'!H$5:H$100,$A57,'7a'!$I$5:$I$100)+SUMIF('7b'!H$5:H$100,$A57,'7b'!$I$5:$I$100)+SUMIF('8'!H$5:H$100,$A57,'8'!$I$5:$I$100)+SUMIF('9'!H$5:H$100,$A57,'9'!$I$5:$I$100)+SUMIF('9a'!H$5:H$100,$A57,'9a'!$I$5:$I$100)+SUMIF('9b'!H$5:H$100,$A57,'9b'!$I$5:$I$100)+SUMIF('9c'!H$5:H$100,$A57,'9c'!$I$5:$I$100)+SUMIF('9d'!H$5:H$100,$A57,'9d'!$I$5:$I$100)+SUMIF('9e'!H$5:H$100,$A57,'9e'!$I$5:$I$100)+SUMIF('9f'!H$5:H$100,$A57,'9f'!$I$5:$I$100)+SUMIF('9g'!H$5:H$100,$A57,'9g'!$I$5:$I$100)+SUMIF('9h'!H$5:H$100,$A57,'9h'!$I$5:$I$100)+SUMIF('9 TOTAL'!H$5:H$100,$A57,'9 TOTAL'!$I$5:$I$100)
+SUMIF('10'!H$5:H$100,$A57,'10'!$I$5:$I$100)+SUMIF('10a'!H$5:H$100,$A57,'10a'!$I$5:$I$100)+SUMIF('10b'!H$5:H$100,$A57,'10b'!$I$5:$I$100)+SUMIF('10c'!H$5:H$100,$A57,'10c'!$I$5:$I$100)+SUMIF('10d'!H$5:H$100,$A57,'10d'!$I$5:$I$100)+SUMIF('10e'!H$5:H$100,$A57,'10e'!$I$5:$I$100)+SUMIF('10f'!H$5:H$100,$A57,'10f'!$I$5:$I$100)+SUMIF('10g'!H$5:H$100,$A57,'10g'!$I$5:$I$100)+SUMIF('10h'!H$5:H$100,$A57,'10h'!$I$5:$I$100)+SUMIF('10i'!H$5:H$100,$A57,'10i'!$I$5:$I$100)+SUMIF('10j'!H$5:H$100,$A57,'10j'!$I$5:$I$100)+SUMIF('10k'!H$5:H$100,$A57,'10k'!$I$5:$I$100)+SUMIF('10l'!H$5:H$100,$A57,'10l'!$I$5:$I$100)+SUMIF('10m'!H$5:H$100,$A57,'10m'!$I$5:$I$100)+SUMIF('10 TOTAL'!H$5:H$100,$A57,'10 TOTAL'!$I$5:$I$100)</f>
        <v>0</v>
      </c>
      <c r="E57"/>
      <c r="F57"/>
      <c r="G57"/>
      <c r="H57"/>
      <c r="I57"/>
      <c r="J57"/>
      <c r="K57"/>
      <c r="L57"/>
      <c r="M57"/>
      <c r="N57"/>
      <c r="O57"/>
      <c r="P57"/>
      <c r="Q57"/>
      <c r="R57"/>
      <c r="S57" s="1307">
        <f t="shared" si="0"/>
        <v>0</v>
      </c>
      <c r="T57"/>
    </row>
    <row r="58" spans="1:20" ht="12.75" customHeight="1" outlineLevel="1" x14ac:dyDescent="0.2">
      <c r="A58" t="s">
        <v>3446</v>
      </c>
      <c r="B58" t="s">
        <v>5377</v>
      </c>
      <c r="C58" s="1291">
        <f>SUMIF('4'!H$5:H$100,$A58,'4'!$K$5:$K$100)+SUMIF('4a'!H$5:H$100,$A58,'4a'!$K$5:$K$100)+SUMIF('4b'!H$5:H$100,$A58,'4b'!$K$5:$K$100)+SUMIF('4c'!H$5:H$100,$A58,'4c'!$K$5:$K$100)+SUMIF('5'!H$5:H$100,$A58,'5'!$K$5:$K$100)+SUMIF('6'!H$5:H$100,$A58,'6'!$K$5:$K$100)+SUMIF('7'!H$5:H$100,$A58,'7'!$K$5:$K$100)+SUMIF('7a'!H$5:H$100,$A58,'7a'!$K$5:$K$100)+SUMIF('7b'!H$5:H$100,$A58,'7b'!$K$5:$K$100)+SUMIF('8'!H$5:H$100,$A58,'8'!$K$5:$K$100)+SUMIF('9'!H$5:H$100,$A58,'9'!$K$5:$K$100)+SUMIF('9a'!H$5:H$100,$A58,'9a'!$K$5:$K$100)+SUMIF('9b'!H$5:H$100,$A58,'9b'!$K$5:$K$100)+SUMIF('9c'!H$5:H$100,$A58,'9c'!$K$5:$K$100)+SUMIF('9d'!H$5:H$100,$A58,'9d'!$K$5:$K$100)+SUMIF('9e'!H$5:H$100,$A58,'9e'!$K$5:$K$100)+SUMIF('9f'!H$5:H$100,$A58,'9f'!$K$5:$K$100)+SUMIF('9g'!H$5:H$100,$A58,'9g'!$K$5:$K$100)+SUMIF('9h'!H$5:H$100,$A58,'9h'!$K$5:$K$100)+SUMIF('9 TOTAL'!H$5:H$100,$A58,'9 TOTAL'!$K$5:$K$100)
+SUMIF('10'!H$5:H$100,$A58,'10'!$K$5:$K$100)+SUMIF('10a'!H$5:H$100,$A58,'10a'!$K$5:$K$100)+SUMIF('10b'!H$5:H$100,$A58,'10b'!$K$5:$K$100)+SUMIF('10c'!H$5:H$100,$A58,'10c'!$K$5:$K$100)+SUMIF('10d'!H$5:H$100,$A58,'10d'!$K$5:$K$100)+SUMIF('10e'!H$5:H$100,$A58,'10e'!$K$5:$K$100)+SUMIF('10f'!H$5:H$100,$A58,'10f'!$K$5:$K$100)+SUMIF('10g'!H$5:H$100,$A58,'10g'!$K$5:$K$100)+SUMIF('10h'!H$5:H$100,$A58,'10h'!$K$5:$K$100)+SUMIF('10i'!H$5:H$100,$A58,'10i'!$K$5:$K$100)+SUMIF('10j'!H$5:H$100,$A58,'10j'!$K$5:$K$100)+SUMIF('10k'!H$5:H$100,$A58,'10k'!$K$5:$K$100)+SUMIF('10l'!H$5:H$100,$A58,'10l'!$K$5:$K$100)+SUMIF('10m'!H$5:H$100,$A58,'10m'!$K$5:$K$100)+SUMIF('10 TOTAL'!H$5:H$100,$A58,'10 TOTAL'!$K$5:$K$100)</f>
        <v>0</v>
      </c>
      <c r="D58" s="1291">
        <f>SUMIF('4'!H$5:H$100,$A58,'4'!$I$5:$I$100)+SUMIF('4a'!H$5:H$100,$A58,'4a'!$I$5:$I$100)+SUMIF('4b'!H$5:H$100,$A58,'4b'!$I$5:$I$100)+SUMIF('4c'!H$5:H$100,$A58,'4c'!$I$5:$I$100)+SUMIF('5'!H$5:H$100,$A58,'5'!$I$5:$I$100)+SUMIF('6'!H$5:H$100,$A58,'6'!$I$5:$I$100)+SUMIF('7'!H$5:H$100,$A58,'7'!$I$5:$I$100)+SUMIF('7a'!H$5:H$100,$A58,'7a'!$I$5:$I$100)+SUMIF('7b'!H$5:H$100,$A58,'7b'!$I$5:$I$100)+SUMIF('8'!H$5:H$100,$A58,'8'!$I$5:$I$100)+SUMIF('9'!H$5:H$100,$A58,'9'!$I$5:$I$100)+SUMIF('9a'!H$5:H$100,$A58,'9a'!$I$5:$I$100)+SUMIF('9b'!H$5:H$100,$A58,'9b'!$I$5:$I$100)+SUMIF('9c'!H$5:H$100,$A58,'9c'!$I$5:$I$100)+SUMIF('9d'!H$5:H$100,$A58,'9d'!$I$5:$I$100)+SUMIF('9e'!H$5:H$100,$A58,'9e'!$I$5:$I$100)+SUMIF('9f'!H$5:H$100,$A58,'9f'!$I$5:$I$100)+SUMIF('9g'!H$5:H$100,$A58,'9g'!$I$5:$I$100)+SUMIF('9h'!H$5:H$100,$A58,'9h'!$I$5:$I$100)+SUMIF('9 TOTAL'!H$5:H$100,$A58,'9 TOTAL'!$I$5:$I$100)
+SUMIF('10'!H$5:H$100,$A58,'10'!$I$5:$I$100)+SUMIF('10a'!H$5:H$100,$A58,'10a'!$I$5:$I$100)+SUMIF('10b'!H$5:H$100,$A58,'10b'!$I$5:$I$100)+SUMIF('10c'!H$5:H$100,$A58,'10c'!$I$5:$I$100)+SUMIF('10d'!H$5:H$100,$A58,'10d'!$I$5:$I$100)+SUMIF('10e'!H$5:H$100,$A58,'10e'!$I$5:$I$100)+SUMIF('10f'!H$5:H$100,$A58,'10f'!$I$5:$I$100)+SUMIF('10g'!H$5:H$100,$A58,'10g'!$I$5:$I$100)+SUMIF('10h'!H$5:H$100,$A58,'10h'!$I$5:$I$100)+SUMIF('10i'!H$5:H$100,$A58,'10i'!$I$5:$I$100)+SUMIF('10j'!H$5:H$100,$A58,'10j'!$I$5:$I$100)+SUMIF('10k'!H$5:H$100,$A58,'10k'!$I$5:$I$100)+SUMIF('10l'!H$5:H$100,$A58,'10l'!$I$5:$I$100)+SUMIF('10m'!H$5:H$100,$A58,'10m'!$I$5:$I$100)+SUMIF('10 TOTAL'!H$5:H$100,$A58,'10 TOTAL'!$I$5:$I$100)</f>
        <v>0</v>
      </c>
      <c r="E58"/>
      <c r="F58"/>
      <c r="G58"/>
      <c r="H58"/>
      <c r="I58"/>
      <c r="J58"/>
      <c r="K58"/>
      <c r="L58"/>
      <c r="M58"/>
      <c r="N58"/>
      <c r="O58"/>
      <c r="P58"/>
      <c r="Q58"/>
      <c r="R58"/>
      <c r="S58" s="1307">
        <f t="shared" si="0"/>
        <v>0</v>
      </c>
      <c r="T58"/>
    </row>
    <row r="59" spans="1:20" ht="12.75" customHeight="1" outlineLevel="1" x14ac:dyDescent="0.2">
      <c r="A59" t="s">
        <v>3448</v>
      </c>
      <c r="B59" t="s">
        <v>5377</v>
      </c>
      <c r="C59" s="1291">
        <f>SUMIF('4'!H$5:H$100,$A59,'4'!$K$5:$K$100)+SUMIF('4a'!H$5:H$100,$A59,'4a'!$K$5:$K$100)+SUMIF('4b'!H$5:H$100,$A59,'4b'!$K$5:$K$100)+SUMIF('4c'!H$5:H$100,$A59,'4c'!$K$5:$K$100)+SUMIF('5'!H$5:H$100,$A59,'5'!$K$5:$K$100)+SUMIF('6'!H$5:H$100,$A59,'6'!$K$5:$K$100)+SUMIF('7'!H$5:H$100,$A59,'7'!$K$5:$K$100)+SUMIF('7a'!H$5:H$100,$A59,'7a'!$K$5:$K$100)+SUMIF('7b'!H$5:H$100,$A59,'7b'!$K$5:$K$100)+SUMIF('8'!H$5:H$100,$A59,'8'!$K$5:$K$100)+SUMIF('9'!H$5:H$100,$A59,'9'!$K$5:$K$100)+SUMIF('9a'!H$5:H$100,$A59,'9a'!$K$5:$K$100)+SUMIF('9b'!H$5:H$100,$A59,'9b'!$K$5:$K$100)+SUMIF('9c'!H$5:H$100,$A59,'9c'!$K$5:$K$100)+SUMIF('9d'!H$5:H$100,$A59,'9d'!$K$5:$K$100)+SUMIF('9e'!H$5:H$100,$A59,'9e'!$K$5:$K$100)+SUMIF('9f'!H$5:H$100,$A59,'9f'!$K$5:$K$100)+SUMIF('9g'!H$5:H$100,$A59,'9g'!$K$5:$K$100)+SUMIF('9h'!H$5:H$100,$A59,'9h'!$K$5:$K$100)+SUMIF('9 TOTAL'!H$5:H$100,$A59,'9 TOTAL'!$K$5:$K$100)
+SUMIF('10'!H$5:H$100,$A59,'10'!$K$5:$K$100)+SUMIF('10a'!H$5:H$100,$A59,'10a'!$K$5:$K$100)+SUMIF('10b'!H$5:H$100,$A59,'10b'!$K$5:$K$100)+SUMIF('10c'!H$5:H$100,$A59,'10c'!$K$5:$K$100)+SUMIF('10d'!H$5:H$100,$A59,'10d'!$K$5:$K$100)+SUMIF('10e'!H$5:H$100,$A59,'10e'!$K$5:$K$100)+SUMIF('10f'!H$5:H$100,$A59,'10f'!$K$5:$K$100)+SUMIF('10g'!H$5:H$100,$A59,'10g'!$K$5:$K$100)+SUMIF('10h'!H$5:H$100,$A59,'10h'!$K$5:$K$100)+SUMIF('10i'!H$5:H$100,$A59,'10i'!$K$5:$K$100)+SUMIF('10j'!H$5:H$100,$A59,'10j'!$K$5:$K$100)+SUMIF('10k'!H$5:H$100,$A59,'10k'!$K$5:$K$100)+SUMIF('10l'!H$5:H$100,$A59,'10l'!$K$5:$K$100)+SUMIF('10m'!H$5:H$100,$A59,'10m'!$K$5:$K$100)+SUMIF('10 TOTAL'!H$5:H$100,$A59,'10 TOTAL'!$K$5:$K$100)</f>
        <v>0</v>
      </c>
      <c r="D59" s="1291">
        <f>SUMIF('4'!H$5:H$100,$A59,'4'!$I$5:$I$100)+SUMIF('4a'!H$5:H$100,$A59,'4a'!$I$5:$I$100)+SUMIF('4b'!H$5:H$100,$A59,'4b'!$I$5:$I$100)+SUMIF('4c'!H$5:H$100,$A59,'4c'!$I$5:$I$100)+SUMIF('5'!H$5:H$100,$A59,'5'!$I$5:$I$100)+SUMIF('6'!H$5:H$100,$A59,'6'!$I$5:$I$100)+SUMIF('7'!H$5:H$100,$A59,'7'!$I$5:$I$100)+SUMIF('7a'!H$5:H$100,$A59,'7a'!$I$5:$I$100)+SUMIF('7b'!H$5:H$100,$A59,'7b'!$I$5:$I$100)+SUMIF('8'!H$5:H$100,$A59,'8'!$I$5:$I$100)+SUMIF('9'!H$5:H$100,$A59,'9'!$I$5:$I$100)+SUMIF('9a'!H$5:H$100,$A59,'9a'!$I$5:$I$100)+SUMIF('9b'!H$5:H$100,$A59,'9b'!$I$5:$I$100)+SUMIF('9c'!H$5:H$100,$A59,'9c'!$I$5:$I$100)+SUMIF('9d'!H$5:H$100,$A59,'9d'!$I$5:$I$100)+SUMIF('9e'!H$5:H$100,$A59,'9e'!$I$5:$I$100)+SUMIF('9f'!H$5:H$100,$A59,'9f'!$I$5:$I$100)+SUMIF('9g'!H$5:H$100,$A59,'9g'!$I$5:$I$100)+SUMIF('9h'!H$5:H$100,$A59,'9h'!$I$5:$I$100)+SUMIF('9 TOTAL'!H$5:H$100,$A59,'9 TOTAL'!$I$5:$I$100)
+SUMIF('10'!H$5:H$100,$A59,'10'!$I$5:$I$100)+SUMIF('10a'!H$5:H$100,$A59,'10a'!$I$5:$I$100)+SUMIF('10b'!H$5:H$100,$A59,'10b'!$I$5:$I$100)+SUMIF('10c'!H$5:H$100,$A59,'10c'!$I$5:$I$100)+SUMIF('10d'!H$5:H$100,$A59,'10d'!$I$5:$I$100)+SUMIF('10e'!H$5:H$100,$A59,'10e'!$I$5:$I$100)+SUMIF('10f'!H$5:H$100,$A59,'10f'!$I$5:$I$100)+SUMIF('10g'!H$5:H$100,$A59,'10g'!$I$5:$I$100)+SUMIF('10h'!H$5:H$100,$A59,'10h'!$I$5:$I$100)+SUMIF('10i'!H$5:H$100,$A59,'10i'!$I$5:$I$100)+SUMIF('10j'!H$5:H$100,$A59,'10j'!$I$5:$I$100)+SUMIF('10k'!H$5:H$100,$A59,'10k'!$I$5:$I$100)+SUMIF('10l'!H$5:H$100,$A59,'10l'!$I$5:$I$100)+SUMIF('10m'!H$5:H$100,$A59,'10m'!$I$5:$I$100)+SUMIF('10 TOTAL'!H$5:H$100,$A59,'10 TOTAL'!$I$5:$I$100)</f>
        <v>0</v>
      </c>
      <c r="E59"/>
      <c r="F59"/>
      <c r="G59"/>
      <c r="H59"/>
      <c r="I59"/>
      <c r="J59"/>
      <c r="K59"/>
      <c r="L59"/>
      <c r="M59"/>
      <c r="N59"/>
      <c r="O59"/>
      <c r="P59"/>
      <c r="Q59"/>
      <c r="R59"/>
      <c r="S59" s="1307">
        <f t="shared" si="0"/>
        <v>0</v>
      </c>
      <c r="T59"/>
    </row>
    <row r="60" spans="1:20" ht="12.75" customHeight="1" outlineLevel="1" x14ac:dyDescent="0.2">
      <c r="A60" t="s">
        <v>3450</v>
      </c>
      <c r="B60" t="s">
        <v>5377</v>
      </c>
      <c r="C60" s="1291">
        <f>SUMIF('4'!H$5:H$100,$A60,'4'!$K$5:$K$100)+SUMIF('4a'!H$5:H$100,$A60,'4a'!$K$5:$K$100)+SUMIF('4b'!H$5:H$100,$A60,'4b'!$K$5:$K$100)+SUMIF('4c'!H$5:H$100,$A60,'4c'!$K$5:$K$100)+SUMIF('5'!H$5:H$100,$A60,'5'!$K$5:$K$100)+SUMIF('6'!H$5:H$100,$A60,'6'!$K$5:$K$100)+SUMIF('7'!H$5:H$100,$A60,'7'!$K$5:$K$100)+SUMIF('7a'!H$5:H$100,$A60,'7a'!$K$5:$K$100)+SUMIF('7b'!H$5:H$100,$A60,'7b'!$K$5:$K$100)+SUMIF('8'!H$5:H$100,$A60,'8'!$K$5:$K$100)+SUMIF('9'!H$5:H$100,$A60,'9'!$K$5:$K$100)+SUMIF('9a'!H$5:H$100,$A60,'9a'!$K$5:$K$100)+SUMIF('9b'!H$5:H$100,$A60,'9b'!$K$5:$K$100)+SUMIF('9c'!H$5:H$100,$A60,'9c'!$K$5:$K$100)+SUMIF('9d'!H$5:H$100,$A60,'9d'!$K$5:$K$100)+SUMIF('9e'!H$5:H$100,$A60,'9e'!$K$5:$K$100)+SUMIF('9f'!H$5:H$100,$A60,'9f'!$K$5:$K$100)+SUMIF('9g'!H$5:H$100,$A60,'9g'!$K$5:$K$100)+SUMIF('9h'!H$5:H$100,$A60,'9h'!$K$5:$K$100)+SUMIF('9 TOTAL'!H$5:H$100,$A60,'9 TOTAL'!$K$5:$K$100)
+SUMIF('10'!H$5:H$100,$A60,'10'!$K$5:$K$100)+SUMIF('10a'!H$5:H$100,$A60,'10a'!$K$5:$K$100)+SUMIF('10b'!H$5:H$100,$A60,'10b'!$K$5:$K$100)+SUMIF('10c'!H$5:H$100,$A60,'10c'!$K$5:$K$100)+SUMIF('10d'!H$5:H$100,$A60,'10d'!$K$5:$K$100)+SUMIF('10e'!H$5:H$100,$A60,'10e'!$K$5:$K$100)+SUMIF('10f'!H$5:H$100,$A60,'10f'!$K$5:$K$100)+SUMIF('10g'!H$5:H$100,$A60,'10g'!$K$5:$K$100)+SUMIF('10h'!H$5:H$100,$A60,'10h'!$K$5:$K$100)+SUMIF('10i'!H$5:H$100,$A60,'10i'!$K$5:$K$100)+SUMIF('10j'!H$5:H$100,$A60,'10j'!$K$5:$K$100)+SUMIF('10k'!H$5:H$100,$A60,'10k'!$K$5:$K$100)+SUMIF('10l'!H$5:H$100,$A60,'10l'!$K$5:$K$100)+SUMIF('10m'!H$5:H$100,$A60,'10m'!$K$5:$K$100)+SUMIF('10 TOTAL'!H$5:H$100,$A60,'10 TOTAL'!$K$5:$K$100)</f>
        <v>0</v>
      </c>
      <c r="D60" s="1291">
        <f>SUMIF('4'!H$5:H$100,$A60,'4'!$I$5:$I$100)+SUMIF('4a'!H$5:H$100,$A60,'4a'!$I$5:$I$100)+SUMIF('4b'!H$5:H$100,$A60,'4b'!$I$5:$I$100)+SUMIF('4c'!H$5:H$100,$A60,'4c'!$I$5:$I$100)+SUMIF('5'!H$5:H$100,$A60,'5'!$I$5:$I$100)+SUMIF('6'!H$5:H$100,$A60,'6'!$I$5:$I$100)+SUMIF('7'!H$5:H$100,$A60,'7'!$I$5:$I$100)+SUMIF('7a'!H$5:H$100,$A60,'7a'!$I$5:$I$100)+SUMIF('7b'!H$5:H$100,$A60,'7b'!$I$5:$I$100)+SUMIF('8'!H$5:H$100,$A60,'8'!$I$5:$I$100)+SUMIF('9'!H$5:H$100,$A60,'9'!$I$5:$I$100)+SUMIF('9a'!H$5:H$100,$A60,'9a'!$I$5:$I$100)+SUMIF('9b'!H$5:H$100,$A60,'9b'!$I$5:$I$100)+SUMIF('9c'!H$5:H$100,$A60,'9c'!$I$5:$I$100)+SUMIF('9d'!H$5:H$100,$A60,'9d'!$I$5:$I$100)+SUMIF('9e'!H$5:H$100,$A60,'9e'!$I$5:$I$100)+SUMIF('9f'!H$5:H$100,$A60,'9f'!$I$5:$I$100)+SUMIF('9g'!H$5:H$100,$A60,'9g'!$I$5:$I$100)+SUMIF('9h'!H$5:H$100,$A60,'9h'!$I$5:$I$100)+SUMIF('9 TOTAL'!H$5:H$100,$A60,'9 TOTAL'!$I$5:$I$100)
+SUMIF('10'!H$5:H$100,$A60,'10'!$I$5:$I$100)+SUMIF('10a'!H$5:H$100,$A60,'10a'!$I$5:$I$100)+SUMIF('10b'!H$5:H$100,$A60,'10b'!$I$5:$I$100)+SUMIF('10c'!H$5:H$100,$A60,'10c'!$I$5:$I$100)+SUMIF('10d'!H$5:H$100,$A60,'10d'!$I$5:$I$100)+SUMIF('10e'!H$5:H$100,$A60,'10e'!$I$5:$I$100)+SUMIF('10f'!H$5:H$100,$A60,'10f'!$I$5:$I$100)+SUMIF('10g'!H$5:H$100,$A60,'10g'!$I$5:$I$100)+SUMIF('10h'!H$5:H$100,$A60,'10h'!$I$5:$I$100)+SUMIF('10i'!H$5:H$100,$A60,'10i'!$I$5:$I$100)+SUMIF('10j'!H$5:H$100,$A60,'10j'!$I$5:$I$100)+SUMIF('10k'!H$5:H$100,$A60,'10k'!$I$5:$I$100)+SUMIF('10l'!H$5:H$100,$A60,'10l'!$I$5:$I$100)+SUMIF('10m'!H$5:H$100,$A60,'10m'!$I$5:$I$100)+SUMIF('10 TOTAL'!H$5:H$100,$A60,'10 TOTAL'!$I$5:$I$100)</f>
        <v>0</v>
      </c>
      <c r="E60"/>
      <c r="F60"/>
      <c r="G60"/>
      <c r="H60"/>
      <c r="I60"/>
      <c r="J60"/>
      <c r="K60"/>
      <c r="L60"/>
      <c r="M60"/>
      <c r="N60"/>
      <c r="O60"/>
      <c r="P60"/>
      <c r="Q60"/>
      <c r="R60"/>
      <c r="S60" s="1307">
        <f t="shared" si="0"/>
        <v>0</v>
      </c>
      <c r="T60"/>
    </row>
    <row r="61" spans="1:20" ht="12.75" customHeight="1" outlineLevel="1" x14ac:dyDescent="0.2">
      <c r="A61" t="s">
        <v>3452</v>
      </c>
      <c r="B61" t="s">
        <v>5377</v>
      </c>
      <c r="C61" s="1291">
        <f>SUMIF('4'!H$5:H$100,$A61,'4'!$K$5:$K$100)+SUMIF('4a'!H$5:H$100,$A61,'4a'!$K$5:$K$100)+SUMIF('4b'!H$5:H$100,$A61,'4b'!$K$5:$K$100)+SUMIF('4c'!H$5:H$100,$A61,'4c'!$K$5:$K$100)+SUMIF('5'!H$5:H$100,$A61,'5'!$K$5:$K$100)+SUMIF('6'!H$5:H$100,$A61,'6'!$K$5:$K$100)+SUMIF('7'!H$5:H$100,$A61,'7'!$K$5:$K$100)+SUMIF('7a'!H$5:H$100,$A61,'7a'!$K$5:$K$100)+SUMIF('7b'!H$5:H$100,$A61,'7b'!$K$5:$K$100)+SUMIF('8'!H$5:H$100,$A61,'8'!$K$5:$K$100)+SUMIF('9'!H$5:H$100,$A61,'9'!$K$5:$K$100)+SUMIF('9a'!H$5:H$100,$A61,'9a'!$K$5:$K$100)+SUMIF('9b'!H$5:H$100,$A61,'9b'!$K$5:$K$100)+SUMIF('9c'!H$5:H$100,$A61,'9c'!$K$5:$K$100)+SUMIF('9d'!H$5:H$100,$A61,'9d'!$K$5:$K$100)+SUMIF('9e'!H$5:H$100,$A61,'9e'!$K$5:$K$100)+SUMIF('9f'!H$5:H$100,$A61,'9f'!$K$5:$K$100)+SUMIF('9g'!H$5:H$100,$A61,'9g'!$K$5:$K$100)+SUMIF('9h'!H$5:H$100,$A61,'9h'!$K$5:$K$100)+SUMIF('9 TOTAL'!H$5:H$100,$A61,'9 TOTAL'!$K$5:$K$100)
+SUMIF('10'!H$5:H$100,$A61,'10'!$K$5:$K$100)+SUMIF('10a'!H$5:H$100,$A61,'10a'!$K$5:$K$100)+SUMIF('10b'!H$5:H$100,$A61,'10b'!$K$5:$K$100)+SUMIF('10c'!H$5:H$100,$A61,'10c'!$K$5:$K$100)+SUMIF('10d'!H$5:H$100,$A61,'10d'!$K$5:$K$100)+SUMIF('10e'!H$5:H$100,$A61,'10e'!$K$5:$K$100)+SUMIF('10f'!H$5:H$100,$A61,'10f'!$K$5:$K$100)+SUMIF('10g'!H$5:H$100,$A61,'10g'!$K$5:$K$100)+SUMIF('10h'!H$5:H$100,$A61,'10h'!$K$5:$K$100)+SUMIF('10i'!H$5:H$100,$A61,'10i'!$K$5:$K$100)+SUMIF('10j'!H$5:H$100,$A61,'10j'!$K$5:$K$100)+SUMIF('10k'!H$5:H$100,$A61,'10k'!$K$5:$K$100)+SUMIF('10l'!H$5:H$100,$A61,'10l'!$K$5:$K$100)+SUMIF('10m'!H$5:H$100,$A61,'10m'!$K$5:$K$100)+SUMIF('10 TOTAL'!H$5:H$100,$A61,'10 TOTAL'!$K$5:$K$100)</f>
        <v>0</v>
      </c>
      <c r="D61" s="1291">
        <f>SUMIF('4'!H$5:H$100,$A61,'4'!$I$5:$I$100)+SUMIF('4a'!H$5:H$100,$A61,'4a'!$I$5:$I$100)+SUMIF('4b'!H$5:H$100,$A61,'4b'!$I$5:$I$100)+SUMIF('4c'!H$5:H$100,$A61,'4c'!$I$5:$I$100)+SUMIF('5'!H$5:H$100,$A61,'5'!$I$5:$I$100)+SUMIF('6'!H$5:H$100,$A61,'6'!$I$5:$I$100)+SUMIF('7'!H$5:H$100,$A61,'7'!$I$5:$I$100)+SUMIF('7a'!H$5:H$100,$A61,'7a'!$I$5:$I$100)+SUMIF('7b'!H$5:H$100,$A61,'7b'!$I$5:$I$100)+SUMIF('8'!H$5:H$100,$A61,'8'!$I$5:$I$100)+SUMIF('9'!H$5:H$100,$A61,'9'!$I$5:$I$100)+SUMIF('9a'!H$5:H$100,$A61,'9a'!$I$5:$I$100)+SUMIF('9b'!H$5:H$100,$A61,'9b'!$I$5:$I$100)+SUMIF('9c'!H$5:H$100,$A61,'9c'!$I$5:$I$100)+SUMIF('9d'!H$5:H$100,$A61,'9d'!$I$5:$I$100)+SUMIF('9e'!H$5:H$100,$A61,'9e'!$I$5:$I$100)+SUMIF('9f'!H$5:H$100,$A61,'9f'!$I$5:$I$100)+SUMIF('9g'!H$5:H$100,$A61,'9g'!$I$5:$I$100)+SUMIF('9h'!H$5:H$100,$A61,'9h'!$I$5:$I$100)+SUMIF('9 TOTAL'!H$5:H$100,$A61,'9 TOTAL'!$I$5:$I$100)
+SUMIF('10'!H$5:H$100,$A61,'10'!$I$5:$I$100)+SUMIF('10a'!H$5:H$100,$A61,'10a'!$I$5:$I$100)+SUMIF('10b'!H$5:H$100,$A61,'10b'!$I$5:$I$100)+SUMIF('10c'!H$5:H$100,$A61,'10c'!$I$5:$I$100)+SUMIF('10d'!H$5:H$100,$A61,'10d'!$I$5:$I$100)+SUMIF('10e'!H$5:H$100,$A61,'10e'!$I$5:$I$100)+SUMIF('10f'!H$5:H$100,$A61,'10f'!$I$5:$I$100)+SUMIF('10g'!H$5:H$100,$A61,'10g'!$I$5:$I$100)+SUMIF('10h'!H$5:H$100,$A61,'10h'!$I$5:$I$100)+SUMIF('10i'!H$5:H$100,$A61,'10i'!$I$5:$I$100)+SUMIF('10j'!H$5:H$100,$A61,'10j'!$I$5:$I$100)+SUMIF('10k'!H$5:H$100,$A61,'10k'!$I$5:$I$100)+SUMIF('10l'!H$5:H$100,$A61,'10l'!$I$5:$I$100)+SUMIF('10m'!H$5:H$100,$A61,'10m'!$I$5:$I$100)+SUMIF('10 TOTAL'!H$5:H$100,$A61,'10 TOTAL'!$I$5:$I$100)</f>
        <v>0</v>
      </c>
      <c r="E61"/>
      <c r="F61"/>
      <c r="G61"/>
      <c r="H61"/>
      <c r="I61"/>
      <c r="J61"/>
      <c r="K61"/>
      <c r="L61"/>
      <c r="M61"/>
      <c r="N61"/>
      <c r="O61"/>
      <c r="P61"/>
      <c r="Q61"/>
      <c r="R61"/>
      <c r="S61" s="1307">
        <f t="shared" si="0"/>
        <v>0</v>
      </c>
      <c r="T61"/>
    </row>
    <row r="62" spans="1:20" ht="12.75" customHeight="1" outlineLevel="1" x14ac:dyDescent="0.2">
      <c r="A62" t="s">
        <v>3454</v>
      </c>
      <c r="B62" t="s">
        <v>5377</v>
      </c>
      <c r="C62" s="1291">
        <f>SUMIF('4'!H$5:H$100,$A62,'4'!$K$5:$K$100)+SUMIF('4a'!H$5:H$100,$A62,'4a'!$K$5:$K$100)+SUMIF('4b'!H$5:H$100,$A62,'4b'!$K$5:$K$100)+SUMIF('4c'!H$5:H$100,$A62,'4c'!$K$5:$K$100)+SUMIF('5'!H$5:H$100,$A62,'5'!$K$5:$K$100)+SUMIF('6'!H$5:H$100,$A62,'6'!$K$5:$K$100)+SUMIF('7'!H$5:H$100,$A62,'7'!$K$5:$K$100)+SUMIF('7a'!H$5:H$100,$A62,'7a'!$K$5:$K$100)+SUMIF('7b'!H$5:H$100,$A62,'7b'!$K$5:$K$100)+SUMIF('8'!H$5:H$100,$A62,'8'!$K$5:$K$100)+SUMIF('9'!H$5:H$100,$A62,'9'!$K$5:$K$100)+SUMIF('9a'!H$5:H$100,$A62,'9a'!$K$5:$K$100)+SUMIF('9b'!H$5:H$100,$A62,'9b'!$K$5:$K$100)+SUMIF('9c'!H$5:H$100,$A62,'9c'!$K$5:$K$100)+SUMIF('9d'!H$5:H$100,$A62,'9d'!$K$5:$K$100)+SUMIF('9e'!H$5:H$100,$A62,'9e'!$K$5:$K$100)+SUMIF('9f'!H$5:H$100,$A62,'9f'!$K$5:$K$100)+SUMIF('9g'!H$5:H$100,$A62,'9g'!$K$5:$K$100)+SUMIF('9h'!H$5:H$100,$A62,'9h'!$K$5:$K$100)+SUMIF('9 TOTAL'!H$5:H$100,$A62,'9 TOTAL'!$K$5:$K$100)
+SUMIF('10'!H$5:H$100,$A62,'10'!$K$5:$K$100)+SUMIF('10a'!H$5:H$100,$A62,'10a'!$K$5:$K$100)+SUMIF('10b'!H$5:H$100,$A62,'10b'!$K$5:$K$100)+SUMIF('10c'!H$5:H$100,$A62,'10c'!$K$5:$K$100)+SUMIF('10d'!H$5:H$100,$A62,'10d'!$K$5:$K$100)+SUMIF('10e'!H$5:H$100,$A62,'10e'!$K$5:$K$100)+SUMIF('10f'!H$5:H$100,$A62,'10f'!$K$5:$K$100)+SUMIF('10g'!H$5:H$100,$A62,'10g'!$K$5:$K$100)+SUMIF('10h'!H$5:H$100,$A62,'10h'!$K$5:$K$100)+SUMIF('10i'!H$5:H$100,$A62,'10i'!$K$5:$K$100)+SUMIF('10j'!H$5:H$100,$A62,'10j'!$K$5:$K$100)+SUMIF('10k'!H$5:H$100,$A62,'10k'!$K$5:$K$100)+SUMIF('10l'!H$5:H$100,$A62,'10l'!$K$5:$K$100)+SUMIF('10m'!H$5:H$100,$A62,'10m'!$K$5:$K$100)+SUMIF('10 TOTAL'!H$5:H$100,$A62,'10 TOTAL'!$K$5:$K$100)</f>
        <v>0</v>
      </c>
      <c r="D62" s="1291">
        <f>SUMIF('4'!H$5:H$100,$A62,'4'!$I$5:$I$100)+SUMIF('4a'!H$5:H$100,$A62,'4a'!$I$5:$I$100)+SUMIF('4b'!H$5:H$100,$A62,'4b'!$I$5:$I$100)+SUMIF('4c'!H$5:H$100,$A62,'4c'!$I$5:$I$100)+SUMIF('5'!H$5:H$100,$A62,'5'!$I$5:$I$100)+SUMIF('6'!H$5:H$100,$A62,'6'!$I$5:$I$100)+SUMIF('7'!H$5:H$100,$A62,'7'!$I$5:$I$100)+SUMIF('7a'!H$5:H$100,$A62,'7a'!$I$5:$I$100)+SUMIF('7b'!H$5:H$100,$A62,'7b'!$I$5:$I$100)+SUMIF('8'!H$5:H$100,$A62,'8'!$I$5:$I$100)+SUMIF('9'!H$5:H$100,$A62,'9'!$I$5:$I$100)+SUMIF('9a'!H$5:H$100,$A62,'9a'!$I$5:$I$100)+SUMIF('9b'!H$5:H$100,$A62,'9b'!$I$5:$I$100)+SUMIF('9c'!H$5:H$100,$A62,'9c'!$I$5:$I$100)+SUMIF('9d'!H$5:H$100,$A62,'9d'!$I$5:$I$100)+SUMIF('9e'!H$5:H$100,$A62,'9e'!$I$5:$I$100)+SUMIF('9f'!H$5:H$100,$A62,'9f'!$I$5:$I$100)+SUMIF('9g'!H$5:H$100,$A62,'9g'!$I$5:$I$100)+SUMIF('9h'!H$5:H$100,$A62,'9h'!$I$5:$I$100)+SUMIF('9 TOTAL'!H$5:H$100,$A62,'9 TOTAL'!$I$5:$I$100)
+SUMIF('10'!H$5:H$100,$A62,'10'!$I$5:$I$100)+SUMIF('10a'!H$5:H$100,$A62,'10a'!$I$5:$I$100)+SUMIF('10b'!H$5:H$100,$A62,'10b'!$I$5:$I$100)+SUMIF('10c'!H$5:H$100,$A62,'10c'!$I$5:$I$100)+SUMIF('10d'!H$5:H$100,$A62,'10d'!$I$5:$I$100)+SUMIF('10e'!H$5:H$100,$A62,'10e'!$I$5:$I$100)+SUMIF('10f'!H$5:H$100,$A62,'10f'!$I$5:$I$100)+SUMIF('10g'!H$5:H$100,$A62,'10g'!$I$5:$I$100)+SUMIF('10h'!H$5:H$100,$A62,'10h'!$I$5:$I$100)+SUMIF('10i'!H$5:H$100,$A62,'10i'!$I$5:$I$100)+SUMIF('10j'!H$5:H$100,$A62,'10j'!$I$5:$I$100)+SUMIF('10k'!H$5:H$100,$A62,'10k'!$I$5:$I$100)+SUMIF('10l'!H$5:H$100,$A62,'10l'!$I$5:$I$100)+SUMIF('10m'!H$5:H$100,$A62,'10m'!$I$5:$I$100)+SUMIF('10 TOTAL'!H$5:H$100,$A62,'10 TOTAL'!$I$5:$I$100)</f>
        <v>0</v>
      </c>
      <c r="E62"/>
      <c r="F62"/>
      <c r="G62"/>
      <c r="H62"/>
      <c r="I62"/>
      <c r="J62"/>
      <c r="K62"/>
      <c r="L62"/>
      <c r="M62"/>
      <c r="N62"/>
      <c r="O62"/>
      <c r="P62"/>
      <c r="Q62"/>
      <c r="R62"/>
      <c r="S62" s="1307">
        <f t="shared" si="0"/>
        <v>0</v>
      </c>
      <c r="T62"/>
    </row>
    <row r="63" spans="1:20" ht="12.75" customHeight="1" outlineLevel="1" x14ac:dyDescent="0.2">
      <c r="A63" t="s">
        <v>3456</v>
      </c>
      <c r="B63" t="s">
        <v>5377</v>
      </c>
      <c r="C63" s="1291">
        <f>SUMIF('4'!H$5:H$100,$A63,'4'!$K$5:$K$100)+SUMIF('4a'!H$5:H$100,$A63,'4a'!$K$5:$K$100)+SUMIF('4b'!H$5:H$100,$A63,'4b'!$K$5:$K$100)+SUMIF('4c'!H$5:H$100,$A63,'4c'!$K$5:$K$100)+SUMIF('5'!H$5:H$100,$A63,'5'!$K$5:$K$100)+SUMIF('6'!H$5:H$100,$A63,'6'!$K$5:$K$100)+SUMIF('7'!H$5:H$100,$A63,'7'!$K$5:$K$100)+SUMIF('7a'!H$5:H$100,$A63,'7a'!$K$5:$K$100)+SUMIF('7b'!H$5:H$100,$A63,'7b'!$K$5:$K$100)+SUMIF('8'!H$5:H$100,$A63,'8'!$K$5:$K$100)+SUMIF('9'!H$5:H$100,$A63,'9'!$K$5:$K$100)+SUMIF('9a'!H$5:H$100,$A63,'9a'!$K$5:$K$100)+SUMIF('9b'!H$5:H$100,$A63,'9b'!$K$5:$K$100)+SUMIF('9c'!H$5:H$100,$A63,'9c'!$K$5:$K$100)+SUMIF('9d'!H$5:H$100,$A63,'9d'!$K$5:$K$100)+SUMIF('9e'!H$5:H$100,$A63,'9e'!$K$5:$K$100)+SUMIF('9f'!H$5:H$100,$A63,'9f'!$K$5:$K$100)+SUMIF('9g'!H$5:H$100,$A63,'9g'!$K$5:$K$100)+SUMIF('9h'!H$5:H$100,$A63,'9h'!$K$5:$K$100)+SUMIF('9 TOTAL'!H$5:H$100,$A63,'9 TOTAL'!$K$5:$K$100)
+SUMIF('10'!H$5:H$100,$A63,'10'!$K$5:$K$100)+SUMIF('10a'!H$5:H$100,$A63,'10a'!$K$5:$K$100)+SUMIF('10b'!H$5:H$100,$A63,'10b'!$K$5:$K$100)+SUMIF('10c'!H$5:H$100,$A63,'10c'!$K$5:$K$100)+SUMIF('10d'!H$5:H$100,$A63,'10d'!$K$5:$K$100)+SUMIF('10e'!H$5:H$100,$A63,'10e'!$K$5:$K$100)+SUMIF('10f'!H$5:H$100,$A63,'10f'!$K$5:$K$100)+SUMIF('10g'!H$5:H$100,$A63,'10g'!$K$5:$K$100)+SUMIF('10h'!H$5:H$100,$A63,'10h'!$K$5:$K$100)+SUMIF('10i'!H$5:H$100,$A63,'10i'!$K$5:$K$100)+SUMIF('10j'!H$5:H$100,$A63,'10j'!$K$5:$K$100)+SUMIF('10k'!H$5:H$100,$A63,'10k'!$K$5:$K$100)+SUMIF('10l'!H$5:H$100,$A63,'10l'!$K$5:$K$100)+SUMIF('10m'!H$5:H$100,$A63,'10m'!$K$5:$K$100)+SUMIF('10 TOTAL'!H$5:H$100,$A63,'10 TOTAL'!$K$5:$K$100)</f>
        <v>0</v>
      </c>
      <c r="D63" s="1291">
        <f>SUMIF('4'!H$5:H$100,$A63,'4'!$I$5:$I$100)+SUMIF('4a'!H$5:H$100,$A63,'4a'!$I$5:$I$100)+SUMIF('4b'!H$5:H$100,$A63,'4b'!$I$5:$I$100)+SUMIF('4c'!H$5:H$100,$A63,'4c'!$I$5:$I$100)+SUMIF('5'!H$5:H$100,$A63,'5'!$I$5:$I$100)+SUMIF('6'!H$5:H$100,$A63,'6'!$I$5:$I$100)+SUMIF('7'!H$5:H$100,$A63,'7'!$I$5:$I$100)+SUMIF('7a'!H$5:H$100,$A63,'7a'!$I$5:$I$100)+SUMIF('7b'!H$5:H$100,$A63,'7b'!$I$5:$I$100)+SUMIF('8'!H$5:H$100,$A63,'8'!$I$5:$I$100)+SUMIF('9'!H$5:H$100,$A63,'9'!$I$5:$I$100)+SUMIF('9a'!H$5:H$100,$A63,'9a'!$I$5:$I$100)+SUMIF('9b'!H$5:H$100,$A63,'9b'!$I$5:$I$100)+SUMIF('9c'!H$5:H$100,$A63,'9c'!$I$5:$I$100)+SUMIF('9d'!H$5:H$100,$A63,'9d'!$I$5:$I$100)+SUMIF('9e'!H$5:H$100,$A63,'9e'!$I$5:$I$100)+SUMIF('9f'!H$5:H$100,$A63,'9f'!$I$5:$I$100)+SUMIF('9g'!H$5:H$100,$A63,'9g'!$I$5:$I$100)+SUMIF('9h'!H$5:H$100,$A63,'9h'!$I$5:$I$100)+SUMIF('9 TOTAL'!H$5:H$100,$A63,'9 TOTAL'!$I$5:$I$100)
+SUMIF('10'!H$5:H$100,$A63,'10'!$I$5:$I$100)+SUMIF('10a'!H$5:H$100,$A63,'10a'!$I$5:$I$100)+SUMIF('10b'!H$5:H$100,$A63,'10b'!$I$5:$I$100)+SUMIF('10c'!H$5:H$100,$A63,'10c'!$I$5:$I$100)+SUMIF('10d'!H$5:H$100,$A63,'10d'!$I$5:$I$100)+SUMIF('10e'!H$5:H$100,$A63,'10e'!$I$5:$I$100)+SUMIF('10f'!H$5:H$100,$A63,'10f'!$I$5:$I$100)+SUMIF('10g'!H$5:H$100,$A63,'10g'!$I$5:$I$100)+SUMIF('10h'!H$5:H$100,$A63,'10h'!$I$5:$I$100)+SUMIF('10i'!H$5:H$100,$A63,'10i'!$I$5:$I$100)+SUMIF('10j'!H$5:H$100,$A63,'10j'!$I$5:$I$100)+SUMIF('10k'!H$5:H$100,$A63,'10k'!$I$5:$I$100)+SUMIF('10l'!H$5:H$100,$A63,'10l'!$I$5:$I$100)+SUMIF('10m'!H$5:H$100,$A63,'10m'!$I$5:$I$100)+SUMIF('10 TOTAL'!H$5:H$100,$A63,'10 TOTAL'!$I$5:$I$100)</f>
        <v>0</v>
      </c>
      <c r="E63"/>
      <c r="F63"/>
      <c r="G63"/>
      <c r="H63"/>
      <c r="I63"/>
      <c r="J63"/>
      <c r="K63"/>
      <c r="L63"/>
      <c r="M63"/>
      <c r="N63"/>
      <c r="O63"/>
      <c r="P63"/>
      <c r="Q63"/>
      <c r="R63"/>
      <c r="S63" s="1307">
        <f t="shared" si="0"/>
        <v>0</v>
      </c>
      <c r="T63"/>
    </row>
    <row r="64" spans="1:20" ht="12.75" customHeight="1" outlineLevel="1" x14ac:dyDescent="0.2">
      <c r="A64" t="s">
        <v>3458</v>
      </c>
      <c r="B64" t="s">
        <v>5377</v>
      </c>
      <c r="C64" s="1291">
        <f>SUMIF('4'!H$5:H$100,$A64,'4'!$K$5:$K$100)+SUMIF('4a'!H$5:H$100,$A64,'4a'!$K$5:$K$100)+SUMIF('4b'!H$5:H$100,$A64,'4b'!$K$5:$K$100)+SUMIF('4c'!H$5:H$100,$A64,'4c'!$K$5:$K$100)+SUMIF('5'!H$5:H$100,$A64,'5'!$K$5:$K$100)+SUMIF('6'!H$5:H$100,$A64,'6'!$K$5:$K$100)+SUMIF('7'!H$5:H$100,$A64,'7'!$K$5:$K$100)+SUMIF('7a'!H$5:H$100,$A64,'7a'!$K$5:$K$100)+SUMIF('7b'!H$5:H$100,$A64,'7b'!$K$5:$K$100)+SUMIF('8'!H$5:H$100,$A64,'8'!$K$5:$K$100)+SUMIF('9'!H$5:H$100,$A64,'9'!$K$5:$K$100)+SUMIF('9a'!H$5:H$100,$A64,'9a'!$K$5:$K$100)+SUMIF('9b'!H$5:H$100,$A64,'9b'!$K$5:$K$100)+SUMIF('9c'!H$5:H$100,$A64,'9c'!$K$5:$K$100)+SUMIF('9d'!H$5:H$100,$A64,'9d'!$K$5:$K$100)+SUMIF('9e'!H$5:H$100,$A64,'9e'!$K$5:$K$100)+SUMIF('9f'!H$5:H$100,$A64,'9f'!$K$5:$K$100)+SUMIF('9g'!H$5:H$100,$A64,'9g'!$K$5:$K$100)+SUMIF('9h'!H$5:H$100,$A64,'9h'!$K$5:$K$100)+SUMIF('9 TOTAL'!H$5:H$100,$A64,'9 TOTAL'!$K$5:$K$100)
+SUMIF('10'!H$5:H$100,$A64,'10'!$K$5:$K$100)+SUMIF('10a'!H$5:H$100,$A64,'10a'!$K$5:$K$100)+SUMIF('10b'!H$5:H$100,$A64,'10b'!$K$5:$K$100)+SUMIF('10c'!H$5:H$100,$A64,'10c'!$K$5:$K$100)+SUMIF('10d'!H$5:H$100,$A64,'10d'!$K$5:$K$100)+SUMIF('10e'!H$5:H$100,$A64,'10e'!$K$5:$K$100)+SUMIF('10f'!H$5:H$100,$A64,'10f'!$K$5:$K$100)+SUMIF('10g'!H$5:H$100,$A64,'10g'!$K$5:$K$100)+SUMIF('10h'!H$5:H$100,$A64,'10h'!$K$5:$K$100)+SUMIF('10i'!H$5:H$100,$A64,'10i'!$K$5:$K$100)+SUMIF('10j'!H$5:H$100,$A64,'10j'!$K$5:$K$100)+SUMIF('10k'!H$5:H$100,$A64,'10k'!$K$5:$K$100)+SUMIF('10l'!H$5:H$100,$A64,'10l'!$K$5:$K$100)+SUMIF('10m'!H$5:H$100,$A64,'10m'!$K$5:$K$100)+SUMIF('10 TOTAL'!H$5:H$100,$A64,'10 TOTAL'!$K$5:$K$100)</f>
        <v>0</v>
      </c>
      <c r="D64" s="1291">
        <f>SUMIF('4'!H$5:H$100,$A64,'4'!$I$5:$I$100)+SUMIF('4a'!H$5:H$100,$A64,'4a'!$I$5:$I$100)+SUMIF('4b'!H$5:H$100,$A64,'4b'!$I$5:$I$100)+SUMIF('4c'!H$5:H$100,$A64,'4c'!$I$5:$I$100)+SUMIF('5'!H$5:H$100,$A64,'5'!$I$5:$I$100)+SUMIF('6'!H$5:H$100,$A64,'6'!$I$5:$I$100)+SUMIF('7'!H$5:H$100,$A64,'7'!$I$5:$I$100)+SUMIF('7a'!H$5:H$100,$A64,'7a'!$I$5:$I$100)+SUMIF('7b'!H$5:H$100,$A64,'7b'!$I$5:$I$100)+SUMIF('8'!H$5:H$100,$A64,'8'!$I$5:$I$100)+SUMIF('9'!H$5:H$100,$A64,'9'!$I$5:$I$100)+SUMIF('9a'!H$5:H$100,$A64,'9a'!$I$5:$I$100)+SUMIF('9b'!H$5:H$100,$A64,'9b'!$I$5:$I$100)+SUMIF('9c'!H$5:H$100,$A64,'9c'!$I$5:$I$100)+SUMIF('9d'!H$5:H$100,$A64,'9d'!$I$5:$I$100)+SUMIF('9e'!H$5:H$100,$A64,'9e'!$I$5:$I$100)+SUMIF('9f'!H$5:H$100,$A64,'9f'!$I$5:$I$100)+SUMIF('9g'!H$5:H$100,$A64,'9g'!$I$5:$I$100)+SUMIF('9h'!H$5:H$100,$A64,'9h'!$I$5:$I$100)+SUMIF('9 TOTAL'!H$5:H$100,$A64,'9 TOTAL'!$I$5:$I$100)
+SUMIF('10'!H$5:H$100,$A64,'10'!$I$5:$I$100)+SUMIF('10a'!H$5:H$100,$A64,'10a'!$I$5:$I$100)+SUMIF('10b'!H$5:H$100,$A64,'10b'!$I$5:$I$100)+SUMIF('10c'!H$5:H$100,$A64,'10c'!$I$5:$I$100)+SUMIF('10d'!H$5:H$100,$A64,'10d'!$I$5:$I$100)+SUMIF('10e'!H$5:H$100,$A64,'10e'!$I$5:$I$100)+SUMIF('10f'!H$5:H$100,$A64,'10f'!$I$5:$I$100)+SUMIF('10g'!H$5:H$100,$A64,'10g'!$I$5:$I$100)+SUMIF('10h'!H$5:H$100,$A64,'10h'!$I$5:$I$100)+SUMIF('10i'!H$5:H$100,$A64,'10i'!$I$5:$I$100)+SUMIF('10j'!H$5:H$100,$A64,'10j'!$I$5:$I$100)+SUMIF('10k'!H$5:H$100,$A64,'10k'!$I$5:$I$100)+SUMIF('10l'!H$5:H$100,$A64,'10l'!$I$5:$I$100)+SUMIF('10m'!H$5:H$100,$A64,'10m'!$I$5:$I$100)+SUMIF('10 TOTAL'!H$5:H$100,$A64,'10 TOTAL'!$I$5:$I$100)</f>
        <v>0</v>
      </c>
      <c r="E64"/>
      <c r="F64"/>
      <c r="G64"/>
      <c r="H64"/>
      <c r="I64"/>
      <c r="J64"/>
      <c r="K64"/>
      <c r="L64"/>
      <c r="M64"/>
      <c r="N64"/>
      <c r="O64"/>
      <c r="P64"/>
      <c r="Q64"/>
      <c r="R64"/>
      <c r="S64" s="1307">
        <f t="shared" si="0"/>
        <v>0</v>
      </c>
      <c r="T64"/>
    </row>
    <row r="65" spans="1:20" ht="12.75" customHeight="1" outlineLevel="1" x14ac:dyDescent="0.2">
      <c r="A65" t="s">
        <v>3460</v>
      </c>
      <c r="B65" t="s">
        <v>5377</v>
      </c>
      <c r="C65" s="1291">
        <f>SUMIF('4'!H$5:H$100,$A65,'4'!$K$5:$K$100)+SUMIF('4a'!H$5:H$100,$A65,'4a'!$K$5:$K$100)+SUMIF('4b'!H$5:H$100,$A65,'4b'!$K$5:$K$100)+SUMIF('4c'!H$5:H$100,$A65,'4c'!$K$5:$K$100)+SUMIF('5'!H$5:H$100,$A65,'5'!$K$5:$K$100)+SUMIF('6'!H$5:H$100,$A65,'6'!$K$5:$K$100)+SUMIF('7'!H$5:H$100,$A65,'7'!$K$5:$K$100)+SUMIF('7a'!H$5:H$100,$A65,'7a'!$K$5:$K$100)+SUMIF('7b'!H$5:H$100,$A65,'7b'!$K$5:$K$100)+SUMIF('8'!H$5:H$100,$A65,'8'!$K$5:$K$100)+SUMIF('9'!H$5:H$100,$A65,'9'!$K$5:$K$100)+SUMIF('9a'!H$5:H$100,$A65,'9a'!$K$5:$K$100)+SUMIF('9b'!H$5:H$100,$A65,'9b'!$K$5:$K$100)+SUMIF('9c'!H$5:H$100,$A65,'9c'!$K$5:$K$100)+SUMIF('9d'!H$5:H$100,$A65,'9d'!$K$5:$K$100)+SUMIF('9e'!H$5:H$100,$A65,'9e'!$K$5:$K$100)+SUMIF('9f'!H$5:H$100,$A65,'9f'!$K$5:$K$100)+SUMIF('9g'!H$5:H$100,$A65,'9g'!$K$5:$K$100)+SUMIF('9h'!H$5:H$100,$A65,'9h'!$K$5:$K$100)+SUMIF('9 TOTAL'!H$5:H$100,$A65,'9 TOTAL'!$K$5:$K$100)
+SUMIF('10'!H$5:H$100,$A65,'10'!$K$5:$K$100)+SUMIF('10a'!H$5:H$100,$A65,'10a'!$K$5:$K$100)+SUMIF('10b'!H$5:H$100,$A65,'10b'!$K$5:$K$100)+SUMIF('10c'!H$5:H$100,$A65,'10c'!$K$5:$K$100)+SUMIF('10d'!H$5:H$100,$A65,'10d'!$K$5:$K$100)+SUMIF('10e'!H$5:H$100,$A65,'10e'!$K$5:$K$100)+SUMIF('10f'!H$5:H$100,$A65,'10f'!$K$5:$K$100)+SUMIF('10g'!H$5:H$100,$A65,'10g'!$K$5:$K$100)+SUMIF('10h'!H$5:H$100,$A65,'10h'!$K$5:$K$100)+SUMIF('10i'!H$5:H$100,$A65,'10i'!$K$5:$K$100)+SUMIF('10j'!H$5:H$100,$A65,'10j'!$K$5:$K$100)+SUMIF('10k'!H$5:H$100,$A65,'10k'!$K$5:$K$100)+SUMIF('10l'!H$5:H$100,$A65,'10l'!$K$5:$K$100)+SUMIF('10m'!H$5:H$100,$A65,'10m'!$K$5:$K$100)+SUMIF('10 TOTAL'!H$5:H$100,$A65,'10 TOTAL'!$K$5:$K$100)</f>
        <v>0</v>
      </c>
      <c r="D65" s="1291">
        <f>SUMIF('4'!H$5:H$100,$A65,'4'!$I$5:$I$100)+SUMIF('4a'!H$5:H$100,$A65,'4a'!$I$5:$I$100)+SUMIF('4b'!H$5:H$100,$A65,'4b'!$I$5:$I$100)+SUMIF('4c'!H$5:H$100,$A65,'4c'!$I$5:$I$100)+SUMIF('5'!H$5:H$100,$A65,'5'!$I$5:$I$100)+SUMIF('6'!H$5:H$100,$A65,'6'!$I$5:$I$100)+SUMIF('7'!H$5:H$100,$A65,'7'!$I$5:$I$100)+SUMIF('7a'!H$5:H$100,$A65,'7a'!$I$5:$I$100)+SUMIF('7b'!H$5:H$100,$A65,'7b'!$I$5:$I$100)+SUMIF('8'!H$5:H$100,$A65,'8'!$I$5:$I$100)+SUMIF('9'!H$5:H$100,$A65,'9'!$I$5:$I$100)+SUMIF('9a'!H$5:H$100,$A65,'9a'!$I$5:$I$100)+SUMIF('9b'!H$5:H$100,$A65,'9b'!$I$5:$I$100)+SUMIF('9c'!H$5:H$100,$A65,'9c'!$I$5:$I$100)+SUMIF('9d'!H$5:H$100,$A65,'9d'!$I$5:$I$100)+SUMIF('9e'!H$5:H$100,$A65,'9e'!$I$5:$I$100)+SUMIF('9f'!H$5:H$100,$A65,'9f'!$I$5:$I$100)+SUMIF('9g'!H$5:H$100,$A65,'9g'!$I$5:$I$100)+SUMIF('9h'!H$5:H$100,$A65,'9h'!$I$5:$I$100)+SUMIF('9 TOTAL'!H$5:H$100,$A65,'9 TOTAL'!$I$5:$I$100)
+SUMIF('10'!H$5:H$100,$A65,'10'!$I$5:$I$100)+SUMIF('10a'!H$5:H$100,$A65,'10a'!$I$5:$I$100)+SUMIF('10b'!H$5:H$100,$A65,'10b'!$I$5:$I$100)+SUMIF('10c'!H$5:H$100,$A65,'10c'!$I$5:$I$100)+SUMIF('10d'!H$5:H$100,$A65,'10d'!$I$5:$I$100)+SUMIF('10e'!H$5:H$100,$A65,'10e'!$I$5:$I$100)+SUMIF('10f'!H$5:H$100,$A65,'10f'!$I$5:$I$100)+SUMIF('10g'!H$5:H$100,$A65,'10g'!$I$5:$I$100)+SUMIF('10h'!H$5:H$100,$A65,'10h'!$I$5:$I$100)+SUMIF('10i'!H$5:H$100,$A65,'10i'!$I$5:$I$100)+SUMIF('10j'!H$5:H$100,$A65,'10j'!$I$5:$I$100)+SUMIF('10k'!H$5:H$100,$A65,'10k'!$I$5:$I$100)+SUMIF('10l'!H$5:H$100,$A65,'10l'!$I$5:$I$100)+SUMIF('10m'!H$5:H$100,$A65,'10m'!$I$5:$I$100)+SUMIF('10 TOTAL'!H$5:H$100,$A65,'10 TOTAL'!$I$5:$I$100)</f>
        <v>0</v>
      </c>
      <c r="E65"/>
      <c r="F65"/>
      <c r="G65"/>
      <c r="H65"/>
      <c r="I65"/>
      <c r="J65"/>
      <c r="K65"/>
      <c r="L65"/>
      <c r="M65"/>
      <c r="N65"/>
      <c r="O65"/>
      <c r="P65"/>
      <c r="Q65"/>
      <c r="R65"/>
      <c r="S65" s="1307">
        <f t="shared" si="0"/>
        <v>0</v>
      </c>
      <c r="T65"/>
    </row>
    <row r="66" spans="1:20" ht="12.75" customHeight="1" outlineLevel="1" x14ac:dyDescent="0.2">
      <c r="A66" t="s">
        <v>3462</v>
      </c>
      <c r="B66" t="s">
        <v>5377</v>
      </c>
      <c r="C66" s="1291">
        <f>SUMIF('4'!H$5:H$100,$A66,'4'!$K$5:$K$100)+SUMIF('4a'!H$5:H$100,$A66,'4a'!$K$5:$K$100)+SUMIF('4b'!H$5:H$100,$A66,'4b'!$K$5:$K$100)+SUMIF('4c'!H$5:H$100,$A66,'4c'!$K$5:$K$100)+SUMIF('5'!H$5:H$100,$A66,'5'!$K$5:$K$100)+SUMIF('6'!H$5:H$100,$A66,'6'!$K$5:$K$100)+SUMIF('7'!H$5:H$100,$A66,'7'!$K$5:$K$100)+SUMIF('7a'!H$5:H$100,$A66,'7a'!$K$5:$K$100)+SUMIF('7b'!H$5:H$100,$A66,'7b'!$K$5:$K$100)+SUMIF('8'!H$5:H$100,$A66,'8'!$K$5:$K$100)+SUMIF('9'!H$5:H$100,$A66,'9'!$K$5:$K$100)+SUMIF('9a'!H$5:H$100,$A66,'9a'!$K$5:$K$100)+SUMIF('9b'!H$5:H$100,$A66,'9b'!$K$5:$K$100)+SUMIF('9c'!H$5:H$100,$A66,'9c'!$K$5:$K$100)+SUMIF('9d'!H$5:H$100,$A66,'9d'!$K$5:$K$100)+SUMIF('9e'!H$5:H$100,$A66,'9e'!$K$5:$K$100)+SUMIF('9f'!H$5:H$100,$A66,'9f'!$K$5:$K$100)+SUMIF('9g'!H$5:H$100,$A66,'9g'!$K$5:$K$100)+SUMIF('9h'!H$5:H$100,$A66,'9h'!$K$5:$K$100)+SUMIF('9 TOTAL'!H$5:H$100,$A66,'9 TOTAL'!$K$5:$K$100)
+SUMIF('10'!H$5:H$100,$A66,'10'!$K$5:$K$100)+SUMIF('10a'!H$5:H$100,$A66,'10a'!$K$5:$K$100)+SUMIF('10b'!H$5:H$100,$A66,'10b'!$K$5:$K$100)+SUMIF('10c'!H$5:H$100,$A66,'10c'!$K$5:$K$100)+SUMIF('10d'!H$5:H$100,$A66,'10d'!$K$5:$K$100)+SUMIF('10e'!H$5:H$100,$A66,'10e'!$K$5:$K$100)+SUMIF('10f'!H$5:H$100,$A66,'10f'!$K$5:$K$100)+SUMIF('10g'!H$5:H$100,$A66,'10g'!$K$5:$K$100)+SUMIF('10h'!H$5:H$100,$A66,'10h'!$K$5:$K$100)+SUMIF('10i'!H$5:H$100,$A66,'10i'!$K$5:$K$100)+SUMIF('10j'!H$5:H$100,$A66,'10j'!$K$5:$K$100)+SUMIF('10k'!H$5:H$100,$A66,'10k'!$K$5:$K$100)+SUMIF('10l'!H$5:H$100,$A66,'10l'!$K$5:$K$100)+SUMIF('10m'!H$5:H$100,$A66,'10m'!$K$5:$K$100)+SUMIF('10 TOTAL'!H$5:H$100,$A66,'10 TOTAL'!$K$5:$K$100)</f>
        <v>0</v>
      </c>
      <c r="D66" s="1291">
        <f>SUMIF('4'!H$5:H$100,$A66,'4'!$I$5:$I$100)+SUMIF('4a'!H$5:H$100,$A66,'4a'!$I$5:$I$100)+SUMIF('4b'!H$5:H$100,$A66,'4b'!$I$5:$I$100)+SUMIF('4c'!H$5:H$100,$A66,'4c'!$I$5:$I$100)+SUMIF('5'!H$5:H$100,$A66,'5'!$I$5:$I$100)+SUMIF('6'!H$5:H$100,$A66,'6'!$I$5:$I$100)+SUMIF('7'!H$5:H$100,$A66,'7'!$I$5:$I$100)+SUMIF('7a'!H$5:H$100,$A66,'7a'!$I$5:$I$100)+SUMIF('7b'!H$5:H$100,$A66,'7b'!$I$5:$I$100)+SUMIF('8'!H$5:H$100,$A66,'8'!$I$5:$I$100)+SUMIF('9'!H$5:H$100,$A66,'9'!$I$5:$I$100)+SUMIF('9a'!H$5:H$100,$A66,'9a'!$I$5:$I$100)+SUMIF('9b'!H$5:H$100,$A66,'9b'!$I$5:$I$100)+SUMIF('9c'!H$5:H$100,$A66,'9c'!$I$5:$I$100)+SUMIF('9d'!H$5:H$100,$A66,'9d'!$I$5:$I$100)+SUMIF('9e'!H$5:H$100,$A66,'9e'!$I$5:$I$100)+SUMIF('9f'!H$5:H$100,$A66,'9f'!$I$5:$I$100)+SUMIF('9g'!H$5:H$100,$A66,'9g'!$I$5:$I$100)+SUMIF('9h'!H$5:H$100,$A66,'9h'!$I$5:$I$100)+SUMIF('9 TOTAL'!H$5:H$100,$A66,'9 TOTAL'!$I$5:$I$100)
+SUMIF('10'!H$5:H$100,$A66,'10'!$I$5:$I$100)+SUMIF('10a'!H$5:H$100,$A66,'10a'!$I$5:$I$100)+SUMIF('10b'!H$5:H$100,$A66,'10b'!$I$5:$I$100)+SUMIF('10c'!H$5:H$100,$A66,'10c'!$I$5:$I$100)+SUMIF('10d'!H$5:H$100,$A66,'10d'!$I$5:$I$100)+SUMIF('10e'!H$5:H$100,$A66,'10e'!$I$5:$I$100)+SUMIF('10f'!H$5:H$100,$A66,'10f'!$I$5:$I$100)+SUMIF('10g'!H$5:H$100,$A66,'10g'!$I$5:$I$100)+SUMIF('10h'!H$5:H$100,$A66,'10h'!$I$5:$I$100)+SUMIF('10i'!H$5:H$100,$A66,'10i'!$I$5:$I$100)+SUMIF('10j'!H$5:H$100,$A66,'10j'!$I$5:$I$100)+SUMIF('10k'!H$5:H$100,$A66,'10k'!$I$5:$I$100)+SUMIF('10l'!H$5:H$100,$A66,'10l'!$I$5:$I$100)+SUMIF('10m'!H$5:H$100,$A66,'10m'!$I$5:$I$100)+SUMIF('10 TOTAL'!H$5:H$100,$A66,'10 TOTAL'!$I$5:$I$100)</f>
        <v>0</v>
      </c>
      <c r="E66"/>
      <c r="F66"/>
      <c r="G66"/>
      <c r="H66"/>
      <c r="I66"/>
      <c r="J66"/>
      <c r="K66"/>
      <c r="L66"/>
      <c r="M66"/>
      <c r="N66"/>
      <c r="O66"/>
      <c r="P66"/>
      <c r="Q66"/>
      <c r="R66"/>
      <c r="S66" s="1307">
        <f t="shared" si="0"/>
        <v>0</v>
      </c>
      <c r="T66"/>
    </row>
    <row r="67" spans="1:20" ht="12.75" customHeight="1" x14ac:dyDescent="0.2">
      <c r="A67"/>
      <c r="B67" s="1304" t="s">
        <v>5607</v>
      </c>
      <c r="C67" s="1290">
        <f>SUM(C33:C50,C53:C55)</f>
        <v>29393.780000000002</v>
      </c>
      <c r="D67" s="1290">
        <f>SUM(D33:D50,D53:D55)</f>
        <v>13725</v>
      </c>
      <c r="E67"/>
      <c r="F67"/>
      <c r="G67"/>
      <c r="H67"/>
      <c r="I67"/>
      <c r="J67"/>
      <c r="K67"/>
      <c r="L67"/>
      <c r="M67"/>
      <c r="N67"/>
      <c r="O67"/>
      <c r="P67"/>
      <c r="Q67"/>
      <c r="R67"/>
      <c r="S67" s="1307"/>
      <c r="T67"/>
    </row>
    <row r="68" spans="1:20" x14ac:dyDescent="0.2">
      <c r="A68"/>
      <c r="B68"/>
      <c r="C68" s="1317"/>
      <c r="D68" s="1317"/>
      <c r="E68"/>
      <c r="F68"/>
      <c r="G68"/>
      <c r="H68"/>
      <c r="I68"/>
      <c r="J68"/>
      <c r="K68"/>
      <c r="L68"/>
      <c r="M68"/>
      <c r="N68"/>
      <c r="O68"/>
      <c r="P68"/>
      <c r="Q68"/>
      <c r="R68"/>
      <c r="S68" s="1307"/>
      <c r="T68"/>
    </row>
    <row r="69" spans="1:20" x14ac:dyDescent="0.2">
      <c r="A69" s="106" t="s">
        <v>334</v>
      </c>
      <c r="B69" s="5"/>
      <c r="C69" s="75"/>
      <c r="D69" s="75"/>
      <c r="E69"/>
      <c r="F69"/>
      <c r="G69"/>
      <c r="H69"/>
      <c r="I69"/>
      <c r="J69"/>
      <c r="K69"/>
      <c r="L69"/>
      <c r="M69"/>
      <c r="N69"/>
      <c r="O69"/>
      <c r="P69"/>
      <c r="Q69"/>
      <c r="R69"/>
      <c r="S69" s="1307"/>
      <c r="T69"/>
    </row>
    <row r="70" spans="1:20" x14ac:dyDescent="0.2">
      <c r="A70" t="s">
        <v>528</v>
      </c>
      <c r="B70" t="s">
        <v>5378</v>
      </c>
      <c r="C70" s="1291">
        <f>SUMIF('4'!H$5:H$100,$A70,'4'!$K$5:$K$100)+SUMIF('4a'!H$5:H$100,$A70,'4a'!$K$5:$K$100)+SUMIF('4b'!H$5:H$100,$A70,'4b'!$K$5:$K$100)+SUMIF('4c'!H$5:H$100,$A70,'4c'!$K$5:$K$100)+SUMIF('5'!H$5:H$100,$A70,'5'!$K$5:$K$100)+SUMIF('6'!H$5:H$100,$A70,'6'!$K$5:$K$100)+SUMIF('7'!H$5:H$100,$A70,'7'!$K$5:$K$100)+SUMIF('7a'!H$5:H$100,$A70,'7a'!$K$5:$K$100)+SUMIF('7b'!H$5:H$100,$A70,'7b'!$K$5:$K$100)+SUMIF('8'!H$5:H$100,$A70,'8'!$K$5:$K$100)+SUMIF('9'!H$5:H$100,$A70,'9'!$K$5:$K$100)+SUMIF('9a'!H$5:H$100,$A70,'9a'!$K$5:$K$100)+SUMIF('9b'!H$5:H$100,$A70,'9b'!$K$5:$K$100)+SUMIF('9c'!H$5:H$100,$A70,'9c'!$K$5:$K$100)+SUMIF('9d'!H$5:H$100,$A70,'9d'!$K$5:$K$100)+SUMIF('9e'!H$5:H$100,$A70,'9e'!$K$5:$K$100)+SUMIF('9f'!H$5:H$100,$A70,'9f'!$K$5:$K$100)+SUMIF('9g'!H$5:H$100,$A70,'9g'!$K$5:$K$100)+SUMIF('9h'!H$5:H$100,$A70,'9h'!$K$5:$K$100)+SUMIF('9 TOTAL'!H$5:H$100,$A70,'9 TOTAL'!$K$5:$K$100)
+SUMIF('10'!H$5:H$100,$A70,'10'!$K$5:$K$100)+SUMIF('10a'!H$5:H$100,$A70,'10a'!$K$5:$K$100)+SUMIF('10b'!H$5:H$100,$A70,'10b'!$K$5:$K$100)+SUMIF('10c'!H$5:H$100,$A70,'10c'!$K$5:$K$100)+SUMIF('10d'!H$5:H$100,$A70,'10d'!$K$5:$K$100)+SUMIF('10e'!H$5:H$100,$A70,'10e'!$K$5:$K$100)+SUMIF('10f'!H$5:H$100,$A70,'10f'!$K$5:$K$100)+SUMIF('10g'!H$5:H$100,$A70,'10g'!$K$5:$K$100)+SUMIF('10h'!H$5:H$100,$A70,'10h'!$K$5:$K$100)+SUMIF('10i'!H$5:H$100,$A70,'10i'!$K$5:$K$100)+SUMIF('10j'!H$5:H$100,$A70,'10j'!$K$5:$K$100)+SUMIF('10k'!H$5:H$100,$A70,'10k'!$K$5:$K$100)+SUMIF('10l'!H$5:H$100,$A70,'10l'!$K$5:$K$100)+SUMIF('10m'!H$5:H$100,$A70,'10m'!$K$5:$K$100)+SUMIF('10 TOTAL'!H$5:H$100,$A70,'10 TOTAL'!$K$5:$K$100)</f>
        <v>190</v>
      </c>
      <c r="D70" s="1291">
        <f>SUMIF('4'!H$5:H$100,$A70,'4'!$I$5:$I$100)+SUMIF('4a'!H$5:H$100,$A70,'4a'!$I$5:$I$100)+SUMIF('4b'!H$5:H$100,$A70,'4b'!$I$5:$I$100)+SUMIF('4c'!H$5:H$100,$A70,'4c'!$I$5:$I$100)+SUMIF('5'!H$5:H$100,$A70,'5'!$I$5:$I$100)+SUMIF('6'!H$5:H$100,$A70,'6'!$I$5:$I$100)+SUMIF('7'!H$5:H$100,$A70,'7'!$I$5:$I$100)+SUMIF('7a'!H$5:H$100,$A70,'7a'!$I$5:$I$100)+SUMIF('7b'!H$5:H$100,$A70,'7b'!$I$5:$I$100)+SUMIF('8'!H$5:H$100,$A70,'8'!$I$5:$I$100)+SUMIF('9'!H$5:H$100,$A70,'9'!$I$5:$I$100)+SUMIF('9a'!H$5:H$100,$A70,'9a'!$I$5:$I$100)+SUMIF('9b'!H$5:H$100,$A70,'9b'!$I$5:$I$100)+SUMIF('9c'!H$5:H$100,$A70,'9c'!$I$5:$I$100)+SUMIF('9d'!H$5:H$100,$A70,'9d'!$I$5:$I$100)+SUMIF('9e'!H$5:H$100,$A70,'9e'!$I$5:$I$100)+SUMIF('9f'!H$5:H$100,$A70,'9f'!$I$5:$I$100)+SUMIF('9g'!H$5:H$100,$A70,'9g'!$I$5:$I$100)+SUMIF('9h'!H$5:H$100,$A70,'9h'!$I$5:$I$100)+SUMIF('9 TOTAL'!H$5:H$100,$A70,'9 TOTAL'!$I$5:$I$100)
+SUMIF('10'!H$5:H$100,$A70,'10'!$I$5:$I$100)+SUMIF('10a'!H$5:H$100,$A70,'10a'!$I$5:$I$100)+SUMIF('10b'!H$5:H$100,$A70,'10b'!$I$5:$I$100)+SUMIF('10c'!H$5:H$100,$A70,'10c'!$I$5:$I$100)+SUMIF('10d'!H$5:H$100,$A70,'10d'!$I$5:$I$100)+SUMIF('10e'!H$5:H$100,$A70,'10e'!$I$5:$I$100)+SUMIF('10f'!H$5:H$100,$A70,'10f'!$I$5:$I$100)+SUMIF('10g'!H$5:H$100,$A70,'10g'!$I$5:$I$100)+SUMIF('10h'!H$5:H$100,$A70,'10h'!$I$5:$I$100)+SUMIF('10i'!H$5:H$100,$A70,'10i'!$I$5:$I$100)+SUMIF('10j'!H$5:H$100,$A70,'10j'!$I$5:$I$100)+SUMIF('10k'!H$5:H$100,$A70,'10k'!$I$5:$I$100)+SUMIF('10l'!H$5:H$100,$A70,'10l'!$I$5:$I$100)+SUMIF('10m'!H$5:H$100,$A70,'10m'!$I$5:$I$100)+SUMIF('10 TOTAL'!H$5:H$100,$A70,'10 TOTAL'!$I$5:$I$100)</f>
        <v>190</v>
      </c>
      <c r="E70"/>
      <c r="F70"/>
      <c r="G70"/>
      <c r="H70"/>
      <c r="I70"/>
      <c r="J70"/>
      <c r="K70"/>
      <c r="L70"/>
      <c r="M70"/>
      <c r="N70"/>
      <c r="O70"/>
      <c r="P70"/>
      <c r="Q70"/>
      <c r="R70"/>
      <c r="S70" s="1307">
        <f t="shared" si="0"/>
        <v>380</v>
      </c>
      <c r="T70"/>
    </row>
    <row r="71" spans="1:20" x14ac:dyDescent="0.2">
      <c r="A71" t="s">
        <v>529</v>
      </c>
      <c r="B71" t="s">
        <v>5379</v>
      </c>
      <c r="C71" s="1291">
        <f>SUMIF('4'!H$5:H$100,$A71,'4'!$K$5:$K$100)+SUMIF('4a'!H$5:H$100,$A71,'4a'!$K$5:$K$100)+SUMIF('4b'!H$5:H$100,$A71,'4b'!$K$5:$K$100)+SUMIF('4c'!H$5:H$100,$A71,'4c'!$K$5:$K$100)+SUMIF('5'!H$5:H$100,$A71,'5'!$K$5:$K$100)+SUMIF('6'!H$5:H$100,$A71,'6'!$K$5:$K$100)+SUMIF('7'!H$5:H$100,$A71,'7'!$K$5:$K$100)+SUMIF('7a'!H$5:H$100,$A71,'7a'!$K$5:$K$100)+SUMIF('7b'!H$5:H$100,$A71,'7b'!$K$5:$K$100)+SUMIF('8'!H$5:H$100,$A71,'8'!$K$5:$K$100)+SUMIF('9'!H$5:H$100,$A71,'9'!$K$5:$K$100)+SUMIF('9a'!H$5:H$100,$A71,'9a'!$K$5:$K$100)+SUMIF('9b'!H$5:H$100,$A71,'9b'!$K$5:$K$100)+SUMIF('9c'!H$5:H$100,$A71,'9c'!$K$5:$K$100)+SUMIF('9d'!H$5:H$100,$A71,'9d'!$K$5:$K$100)+SUMIF('9e'!H$5:H$100,$A71,'9e'!$K$5:$K$100)+SUMIF('9f'!H$5:H$100,$A71,'9f'!$K$5:$K$100)+SUMIF('9g'!H$5:H$100,$A71,'9g'!$K$5:$K$100)+SUMIF('9h'!H$5:H$100,$A71,'9h'!$K$5:$K$100)+SUMIF('9 TOTAL'!H$5:H$100,$A71,'9 TOTAL'!$K$5:$K$100)
+SUMIF('10'!H$5:H$100,$A71,'10'!$K$5:$K$100)+SUMIF('10a'!H$5:H$100,$A71,'10a'!$K$5:$K$100)+SUMIF('10b'!H$5:H$100,$A71,'10b'!$K$5:$K$100)+SUMIF('10c'!H$5:H$100,$A71,'10c'!$K$5:$K$100)+SUMIF('10d'!H$5:H$100,$A71,'10d'!$K$5:$K$100)+SUMIF('10e'!H$5:H$100,$A71,'10e'!$K$5:$K$100)+SUMIF('10f'!H$5:H$100,$A71,'10f'!$K$5:$K$100)+SUMIF('10g'!H$5:H$100,$A71,'10g'!$K$5:$K$100)+SUMIF('10h'!H$5:H$100,$A71,'10h'!$K$5:$K$100)+SUMIF('10i'!H$5:H$100,$A71,'10i'!$K$5:$K$100)+SUMIF('10j'!H$5:H$100,$A71,'10j'!$K$5:$K$100)+SUMIF('10k'!H$5:H$100,$A71,'10k'!$K$5:$K$100)+SUMIF('10l'!H$5:H$100,$A71,'10l'!$K$5:$K$100)+SUMIF('10m'!H$5:H$100,$A71,'10m'!$K$5:$K$100)+SUMIF('10 TOTAL'!H$5:H$100,$A71,'10 TOTAL'!$K$5:$K$100)</f>
        <v>83267</v>
      </c>
      <c r="D71" s="1291">
        <f>SUMIF('4'!H$5:H$100,$A71,'4'!$I$5:$I$100)+SUMIF('4a'!H$5:H$100,$A71,'4a'!$I$5:$I$100)+SUMIF('4b'!H$5:H$100,$A71,'4b'!$I$5:$I$100)+SUMIF('4c'!H$5:H$100,$A71,'4c'!$I$5:$I$100)+SUMIF('5'!H$5:H$100,$A71,'5'!$I$5:$I$100)+SUMIF('6'!H$5:H$100,$A71,'6'!$I$5:$I$100)+SUMIF('7'!H$5:H$100,$A71,'7'!$I$5:$I$100)+SUMIF('7a'!H$5:H$100,$A71,'7a'!$I$5:$I$100)+SUMIF('7b'!H$5:H$100,$A71,'7b'!$I$5:$I$100)+SUMIF('8'!H$5:H$100,$A71,'8'!$I$5:$I$100)+SUMIF('9'!H$5:H$100,$A71,'9'!$I$5:$I$100)+SUMIF('9a'!H$5:H$100,$A71,'9a'!$I$5:$I$100)+SUMIF('9b'!H$5:H$100,$A71,'9b'!$I$5:$I$100)+SUMIF('9c'!H$5:H$100,$A71,'9c'!$I$5:$I$100)+SUMIF('9d'!H$5:H$100,$A71,'9d'!$I$5:$I$100)+SUMIF('9e'!H$5:H$100,$A71,'9e'!$I$5:$I$100)+SUMIF('9f'!H$5:H$100,$A71,'9f'!$I$5:$I$100)+SUMIF('9g'!H$5:H$100,$A71,'9g'!$I$5:$I$100)+SUMIF('9h'!H$5:H$100,$A71,'9h'!$I$5:$I$100)+SUMIF('9 TOTAL'!H$5:H$100,$A71,'9 TOTAL'!$I$5:$I$100)
+SUMIF('10'!H$5:H$100,$A71,'10'!$I$5:$I$100)+SUMIF('10a'!H$5:H$100,$A71,'10a'!$I$5:$I$100)+SUMIF('10b'!H$5:H$100,$A71,'10b'!$I$5:$I$100)+SUMIF('10c'!H$5:H$100,$A71,'10c'!$I$5:$I$100)+SUMIF('10d'!H$5:H$100,$A71,'10d'!$I$5:$I$100)+SUMIF('10e'!H$5:H$100,$A71,'10e'!$I$5:$I$100)+SUMIF('10f'!H$5:H$100,$A71,'10f'!$I$5:$I$100)+SUMIF('10g'!H$5:H$100,$A71,'10g'!$I$5:$I$100)+SUMIF('10h'!H$5:H$100,$A71,'10h'!$I$5:$I$100)+SUMIF('10i'!H$5:H$100,$A71,'10i'!$I$5:$I$100)+SUMIF('10j'!H$5:H$100,$A71,'10j'!$I$5:$I$100)+SUMIF('10k'!H$5:H$100,$A71,'10k'!$I$5:$I$100)+SUMIF('10l'!H$5:H$100,$A71,'10l'!$I$5:$I$100)+SUMIF('10m'!H$5:H$100,$A71,'10m'!$I$5:$I$100)+SUMIF('10 TOTAL'!H$5:H$100,$A71,'10 TOTAL'!$I$5:$I$100)</f>
        <v>83267</v>
      </c>
      <c r="E71"/>
      <c r="F71"/>
      <c r="G71"/>
      <c r="H71"/>
      <c r="I71"/>
      <c r="J71"/>
      <c r="K71"/>
      <c r="L71"/>
      <c r="M71"/>
      <c r="N71"/>
      <c r="O71"/>
      <c r="P71"/>
      <c r="Q71"/>
      <c r="R71"/>
      <c r="S71" s="1307">
        <f t="shared" si="0"/>
        <v>166534</v>
      </c>
      <c r="T71"/>
    </row>
    <row r="72" spans="1:20" x14ac:dyDescent="0.2">
      <c r="A72" t="s">
        <v>3384</v>
      </c>
      <c r="B72" t="s">
        <v>5380</v>
      </c>
      <c r="C72" s="1291">
        <f>SUMIF('4'!H$5:H$100,$A72,'4'!$K$5:$K$100)+SUMIF('4a'!H$5:H$100,$A72,'4a'!$K$5:$K$100)+SUMIF('4b'!H$5:H$100,$A72,'4b'!$K$5:$K$100)+SUMIF('4c'!H$5:H$100,$A72,'4c'!$K$5:$K$100)+SUMIF('5'!H$5:H$100,$A72,'5'!$K$5:$K$100)+SUMIF('6'!H$5:H$100,$A72,'6'!$K$5:$K$100)+SUMIF('7'!H$5:H$100,$A72,'7'!$K$5:$K$100)+SUMIF('7a'!H$5:H$100,$A72,'7a'!$K$5:$K$100)+SUMIF('7b'!H$5:H$100,$A72,'7b'!$K$5:$K$100)+SUMIF('8'!H$5:H$100,$A72,'8'!$K$5:$K$100)+SUMIF('9'!H$5:H$100,$A72,'9'!$K$5:$K$100)+SUMIF('9a'!H$5:H$100,$A72,'9a'!$K$5:$K$100)+SUMIF('9b'!H$5:H$100,$A72,'9b'!$K$5:$K$100)+SUMIF('9c'!H$5:H$100,$A72,'9c'!$K$5:$K$100)+SUMIF('9d'!H$5:H$100,$A72,'9d'!$K$5:$K$100)+SUMIF('9e'!H$5:H$100,$A72,'9e'!$K$5:$K$100)+SUMIF('9f'!H$5:H$100,$A72,'9f'!$K$5:$K$100)+SUMIF('9g'!H$5:H$100,$A72,'9g'!$K$5:$K$100)+SUMIF('9h'!H$5:H$100,$A72,'9h'!$K$5:$K$100)+SUMIF('9 TOTAL'!H$5:H$100,$A72,'9 TOTAL'!$K$5:$K$100)
+SUMIF('10'!H$5:H$100,$A72,'10'!$K$5:$K$100)+SUMIF('10a'!H$5:H$100,$A72,'10a'!$K$5:$K$100)+SUMIF('10b'!H$5:H$100,$A72,'10b'!$K$5:$K$100)+SUMIF('10c'!H$5:H$100,$A72,'10c'!$K$5:$K$100)+SUMIF('10d'!H$5:H$100,$A72,'10d'!$K$5:$K$100)+SUMIF('10e'!H$5:H$100,$A72,'10e'!$K$5:$K$100)+SUMIF('10f'!H$5:H$100,$A72,'10f'!$K$5:$K$100)+SUMIF('10g'!H$5:H$100,$A72,'10g'!$K$5:$K$100)+SUMIF('10h'!H$5:H$100,$A72,'10h'!$K$5:$K$100)+SUMIF('10i'!H$5:H$100,$A72,'10i'!$K$5:$K$100)+SUMIF('10j'!H$5:H$100,$A72,'10j'!$K$5:$K$100)+SUMIF('10k'!H$5:H$100,$A72,'10k'!$K$5:$K$100)+SUMIF('10l'!H$5:H$100,$A72,'10l'!$K$5:$K$100)+SUMIF('10m'!H$5:H$100,$A72,'10m'!$K$5:$K$100)+SUMIF('10 TOTAL'!H$5:H$100,$A72,'10 TOTAL'!$K$5:$K$100)</f>
        <v>0</v>
      </c>
      <c r="D72" s="1291">
        <f>SUMIF('4'!H$5:H$100,$A72,'4'!$I$5:$I$100)+SUMIF('4a'!H$5:H$100,$A72,'4a'!$I$5:$I$100)+SUMIF('4b'!H$5:H$100,$A72,'4b'!$I$5:$I$100)+SUMIF('4c'!H$5:H$100,$A72,'4c'!$I$5:$I$100)+SUMIF('5'!H$5:H$100,$A72,'5'!$I$5:$I$100)+SUMIF('6'!H$5:H$100,$A72,'6'!$I$5:$I$100)+SUMIF('7'!H$5:H$100,$A72,'7'!$I$5:$I$100)+SUMIF('7a'!H$5:H$100,$A72,'7a'!$I$5:$I$100)+SUMIF('7b'!H$5:H$100,$A72,'7b'!$I$5:$I$100)+SUMIF('8'!H$5:H$100,$A72,'8'!$I$5:$I$100)+SUMIF('9'!H$5:H$100,$A72,'9'!$I$5:$I$100)+SUMIF('9a'!H$5:H$100,$A72,'9a'!$I$5:$I$100)+SUMIF('9b'!H$5:H$100,$A72,'9b'!$I$5:$I$100)+SUMIF('9c'!H$5:H$100,$A72,'9c'!$I$5:$I$100)+SUMIF('9d'!H$5:H$100,$A72,'9d'!$I$5:$I$100)+SUMIF('9e'!H$5:H$100,$A72,'9e'!$I$5:$I$100)+SUMIF('9f'!H$5:H$100,$A72,'9f'!$I$5:$I$100)+SUMIF('9g'!H$5:H$100,$A72,'9g'!$I$5:$I$100)+SUMIF('9h'!H$5:H$100,$A72,'9h'!$I$5:$I$100)+SUMIF('9 TOTAL'!H$5:H$100,$A72,'9 TOTAL'!$I$5:$I$100)
+SUMIF('10'!H$5:H$100,$A72,'10'!$I$5:$I$100)+SUMIF('10a'!H$5:H$100,$A72,'10a'!$I$5:$I$100)+SUMIF('10b'!H$5:H$100,$A72,'10b'!$I$5:$I$100)+SUMIF('10c'!H$5:H$100,$A72,'10c'!$I$5:$I$100)+SUMIF('10d'!H$5:H$100,$A72,'10d'!$I$5:$I$100)+SUMIF('10e'!H$5:H$100,$A72,'10e'!$I$5:$I$100)+SUMIF('10f'!H$5:H$100,$A72,'10f'!$I$5:$I$100)+SUMIF('10g'!H$5:H$100,$A72,'10g'!$I$5:$I$100)+SUMIF('10h'!H$5:H$100,$A72,'10h'!$I$5:$I$100)+SUMIF('10i'!H$5:H$100,$A72,'10i'!$I$5:$I$100)+SUMIF('10j'!H$5:H$100,$A72,'10j'!$I$5:$I$100)+SUMIF('10k'!H$5:H$100,$A72,'10k'!$I$5:$I$100)+SUMIF('10l'!H$5:H$100,$A72,'10l'!$I$5:$I$100)+SUMIF('10m'!H$5:H$100,$A72,'10m'!$I$5:$I$100)+SUMIF('10 TOTAL'!H$5:H$100,$A72,'10 TOTAL'!$I$5:$I$100)</f>
        <v>0</v>
      </c>
      <c r="E72"/>
      <c r="F72"/>
      <c r="G72"/>
      <c r="H72"/>
      <c r="I72"/>
      <c r="J72"/>
      <c r="K72"/>
      <c r="L72"/>
      <c r="M72"/>
      <c r="N72"/>
      <c r="O72"/>
      <c r="P72"/>
      <c r="Q72"/>
      <c r="R72"/>
      <c r="S72" s="1307">
        <f t="shared" si="0"/>
        <v>0</v>
      </c>
      <c r="T72"/>
    </row>
    <row r="73" spans="1:20" x14ac:dyDescent="0.2">
      <c r="A73" t="s">
        <v>3387</v>
      </c>
      <c r="B73" t="s">
        <v>5381</v>
      </c>
      <c r="C73" s="1291">
        <f>SUMIF('4'!H$5:H$100,$A73,'4'!$K$5:$K$100)+SUMIF('4a'!H$5:H$100,$A73,'4a'!$K$5:$K$100)+SUMIF('4b'!H$5:H$100,$A73,'4b'!$K$5:$K$100)+SUMIF('4c'!H$5:H$100,$A73,'4c'!$K$5:$K$100)+SUMIF('5'!H$5:H$100,$A73,'5'!$K$5:$K$100)+SUMIF('6'!H$5:H$100,$A73,'6'!$K$5:$K$100)+SUMIF('7'!H$5:H$100,$A73,'7'!$K$5:$K$100)+SUMIF('7a'!H$5:H$100,$A73,'7a'!$K$5:$K$100)+SUMIF('7b'!H$5:H$100,$A73,'7b'!$K$5:$K$100)+SUMIF('8'!H$5:H$100,$A73,'8'!$K$5:$K$100)+SUMIF('9'!H$5:H$100,$A73,'9'!$K$5:$K$100)+SUMIF('9a'!H$5:H$100,$A73,'9a'!$K$5:$K$100)+SUMIF('9b'!H$5:H$100,$A73,'9b'!$K$5:$K$100)+SUMIF('9c'!H$5:H$100,$A73,'9c'!$K$5:$K$100)+SUMIF('9d'!H$5:H$100,$A73,'9d'!$K$5:$K$100)+SUMIF('9e'!H$5:H$100,$A73,'9e'!$K$5:$K$100)+SUMIF('9f'!H$5:H$100,$A73,'9f'!$K$5:$K$100)+SUMIF('9g'!H$5:H$100,$A73,'9g'!$K$5:$K$100)+SUMIF('9h'!H$5:H$100,$A73,'9h'!$K$5:$K$100)+SUMIF('9 TOTAL'!H$5:H$100,$A73,'9 TOTAL'!$K$5:$K$100)
+SUMIF('10'!H$5:H$100,$A73,'10'!$K$5:$K$100)+SUMIF('10a'!H$5:H$100,$A73,'10a'!$K$5:$K$100)+SUMIF('10b'!H$5:H$100,$A73,'10b'!$K$5:$K$100)+SUMIF('10c'!H$5:H$100,$A73,'10c'!$K$5:$K$100)+SUMIF('10d'!H$5:H$100,$A73,'10d'!$K$5:$K$100)+SUMIF('10e'!H$5:H$100,$A73,'10e'!$K$5:$K$100)+SUMIF('10f'!H$5:H$100,$A73,'10f'!$K$5:$K$100)+SUMIF('10g'!H$5:H$100,$A73,'10g'!$K$5:$K$100)+SUMIF('10h'!H$5:H$100,$A73,'10h'!$K$5:$K$100)+SUMIF('10i'!H$5:H$100,$A73,'10i'!$K$5:$K$100)+SUMIF('10j'!H$5:H$100,$A73,'10j'!$K$5:$K$100)+SUMIF('10k'!H$5:H$100,$A73,'10k'!$K$5:$K$100)+SUMIF('10l'!H$5:H$100,$A73,'10l'!$K$5:$K$100)+SUMIF('10m'!H$5:H$100,$A73,'10m'!$K$5:$K$100)+SUMIF('10 TOTAL'!H$5:H$100,$A73,'10 TOTAL'!$K$5:$K$100)</f>
        <v>0</v>
      </c>
      <c r="D73" s="1291">
        <f>SUMIF('4'!H$5:H$100,$A73,'4'!$I$5:$I$100)+SUMIF('4a'!H$5:H$100,$A73,'4a'!$I$5:$I$100)+SUMIF('4b'!H$5:H$100,$A73,'4b'!$I$5:$I$100)+SUMIF('4c'!H$5:H$100,$A73,'4c'!$I$5:$I$100)+SUMIF('5'!H$5:H$100,$A73,'5'!$I$5:$I$100)+SUMIF('6'!H$5:H$100,$A73,'6'!$I$5:$I$100)+SUMIF('7'!H$5:H$100,$A73,'7'!$I$5:$I$100)+SUMIF('7a'!H$5:H$100,$A73,'7a'!$I$5:$I$100)+SUMIF('7b'!H$5:H$100,$A73,'7b'!$I$5:$I$100)+SUMIF('8'!H$5:H$100,$A73,'8'!$I$5:$I$100)+SUMIF('9'!H$5:H$100,$A73,'9'!$I$5:$I$100)+SUMIF('9a'!H$5:H$100,$A73,'9a'!$I$5:$I$100)+SUMIF('9b'!H$5:H$100,$A73,'9b'!$I$5:$I$100)+SUMIF('9c'!H$5:H$100,$A73,'9c'!$I$5:$I$100)+SUMIF('9d'!H$5:H$100,$A73,'9d'!$I$5:$I$100)+SUMIF('9e'!H$5:H$100,$A73,'9e'!$I$5:$I$100)+SUMIF('9f'!H$5:H$100,$A73,'9f'!$I$5:$I$100)+SUMIF('9g'!H$5:H$100,$A73,'9g'!$I$5:$I$100)+SUMIF('9h'!H$5:H$100,$A73,'9h'!$I$5:$I$100)+SUMIF('9 TOTAL'!H$5:H$100,$A73,'9 TOTAL'!$I$5:$I$100)
+SUMIF('10'!H$5:H$100,$A73,'10'!$I$5:$I$100)+SUMIF('10a'!H$5:H$100,$A73,'10a'!$I$5:$I$100)+SUMIF('10b'!H$5:H$100,$A73,'10b'!$I$5:$I$100)+SUMIF('10c'!H$5:H$100,$A73,'10c'!$I$5:$I$100)+SUMIF('10d'!H$5:H$100,$A73,'10d'!$I$5:$I$100)+SUMIF('10e'!H$5:H$100,$A73,'10e'!$I$5:$I$100)+SUMIF('10f'!H$5:H$100,$A73,'10f'!$I$5:$I$100)+SUMIF('10g'!H$5:H$100,$A73,'10g'!$I$5:$I$100)+SUMIF('10h'!H$5:H$100,$A73,'10h'!$I$5:$I$100)+SUMIF('10i'!H$5:H$100,$A73,'10i'!$I$5:$I$100)+SUMIF('10j'!H$5:H$100,$A73,'10j'!$I$5:$I$100)+SUMIF('10k'!H$5:H$100,$A73,'10k'!$I$5:$I$100)+SUMIF('10l'!H$5:H$100,$A73,'10l'!$I$5:$I$100)+SUMIF('10m'!H$5:H$100,$A73,'10m'!$I$5:$I$100)+SUMIF('10 TOTAL'!H$5:H$100,$A73,'10 TOTAL'!$I$5:$I$100)</f>
        <v>0</v>
      </c>
      <c r="E73"/>
      <c r="F73"/>
      <c r="G73"/>
      <c r="H73"/>
      <c r="I73"/>
      <c r="J73"/>
      <c r="K73"/>
      <c r="L73"/>
      <c r="M73"/>
      <c r="N73"/>
      <c r="O73"/>
      <c r="P73"/>
      <c r="Q73"/>
      <c r="R73"/>
      <c r="S73" s="1307">
        <f t="shared" si="0"/>
        <v>0</v>
      </c>
      <c r="T73"/>
    </row>
    <row r="74" spans="1:20" x14ac:dyDescent="0.2">
      <c r="A74" t="s">
        <v>3391</v>
      </c>
      <c r="B74" t="s">
        <v>5382</v>
      </c>
      <c r="C74" s="1291">
        <f>SUMIF('4'!H$5:H$100,$A74,'4'!$K$5:$K$100)+SUMIF('4a'!H$5:H$100,$A74,'4a'!$K$5:$K$100)+SUMIF('4b'!H$5:H$100,$A74,'4b'!$K$5:$K$100)+SUMIF('4c'!H$5:H$100,$A74,'4c'!$K$5:$K$100)+SUMIF('5'!H$5:H$100,$A74,'5'!$K$5:$K$100)+SUMIF('6'!H$5:H$100,$A74,'6'!$K$5:$K$100)+SUMIF('7'!H$5:H$100,$A74,'7'!$K$5:$K$100)+SUMIF('7a'!H$5:H$100,$A74,'7a'!$K$5:$K$100)+SUMIF('7b'!H$5:H$100,$A74,'7b'!$K$5:$K$100)+SUMIF('8'!H$5:H$100,$A74,'8'!$K$5:$K$100)+SUMIF('9'!H$5:H$100,$A74,'9'!$K$5:$K$100)+SUMIF('9a'!H$5:H$100,$A74,'9a'!$K$5:$K$100)+SUMIF('9b'!H$5:H$100,$A74,'9b'!$K$5:$K$100)+SUMIF('9c'!H$5:H$100,$A74,'9c'!$K$5:$K$100)+SUMIF('9d'!H$5:H$100,$A74,'9d'!$K$5:$K$100)+SUMIF('9e'!H$5:H$100,$A74,'9e'!$K$5:$K$100)+SUMIF('9f'!H$5:H$100,$A74,'9f'!$K$5:$K$100)+SUMIF('9g'!H$5:H$100,$A74,'9g'!$K$5:$K$100)+SUMIF('9h'!H$5:H$100,$A74,'9h'!$K$5:$K$100)+SUMIF('9 TOTAL'!H$5:H$100,$A74,'9 TOTAL'!$K$5:$K$100)
+SUMIF('10'!H$5:H$100,$A74,'10'!$K$5:$K$100)+SUMIF('10a'!H$5:H$100,$A74,'10a'!$K$5:$K$100)+SUMIF('10b'!H$5:H$100,$A74,'10b'!$K$5:$K$100)+SUMIF('10c'!H$5:H$100,$A74,'10c'!$K$5:$K$100)+SUMIF('10d'!H$5:H$100,$A74,'10d'!$K$5:$K$100)+SUMIF('10e'!H$5:H$100,$A74,'10e'!$K$5:$K$100)+SUMIF('10f'!H$5:H$100,$A74,'10f'!$K$5:$K$100)+SUMIF('10g'!H$5:H$100,$A74,'10g'!$K$5:$K$100)+SUMIF('10h'!H$5:H$100,$A74,'10h'!$K$5:$K$100)+SUMIF('10i'!H$5:H$100,$A74,'10i'!$K$5:$K$100)+SUMIF('10j'!H$5:H$100,$A74,'10j'!$K$5:$K$100)+SUMIF('10k'!H$5:H$100,$A74,'10k'!$K$5:$K$100)+SUMIF('10l'!H$5:H$100,$A74,'10l'!$K$5:$K$100)+SUMIF('10m'!H$5:H$100,$A74,'10m'!$K$5:$K$100)+SUMIF('10 TOTAL'!H$5:H$100,$A74,'10 TOTAL'!$K$5:$K$100)</f>
        <v>0</v>
      </c>
      <c r="D74" s="1291">
        <f>SUMIF('4'!H$5:H$100,$A74,'4'!$I$5:$I$100)+SUMIF('4a'!H$5:H$100,$A74,'4a'!$I$5:$I$100)+SUMIF('4b'!H$5:H$100,$A74,'4b'!$I$5:$I$100)+SUMIF('4c'!H$5:H$100,$A74,'4c'!$I$5:$I$100)+SUMIF('5'!H$5:H$100,$A74,'5'!$I$5:$I$100)+SUMIF('6'!H$5:H$100,$A74,'6'!$I$5:$I$100)+SUMIF('7'!H$5:H$100,$A74,'7'!$I$5:$I$100)+SUMIF('7a'!H$5:H$100,$A74,'7a'!$I$5:$I$100)+SUMIF('7b'!H$5:H$100,$A74,'7b'!$I$5:$I$100)+SUMIF('8'!H$5:H$100,$A74,'8'!$I$5:$I$100)+SUMIF('9'!H$5:H$100,$A74,'9'!$I$5:$I$100)+SUMIF('9a'!H$5:H$100,$A74,'9a'!$I$5:$I$100)+SUMIF('9b'!H$5:H$100,$A74,'9b'!$I$5:$I$100)+SUMIF('9c'!H$5:H$100,$A74,'9c'!$I$5:$I$100)+SUMIF('9d'!H$5:H$100,$A74,'9d'!$I$5:$I$100)+SUMIF('9e'!H$5:H$100,$A74,'9e'!$I$5:$I$100)+SUMIF('9f'!H$5:H$100,$A74,'9f'!$I$5:$I$100)+SUMIF('9g'!H$5:H$100,$A74,'9g'!$I$5:$I$100)+SUMIF('9h'!H$5:H$100,$A74,'9h'!$I$5:$I$100)+SUMIF('9 TOTAL'!H$5:H$100,$A74,'9 TOTAL'!$I$5:$I$100)
+SUMIF('10'!H$5:H$100,$A74,'10'!$I$5:$I$100)+SUMIF('10a'!H$5:H$100,$A74,'10a'!$I$5:$I$100)+SUMIF('10b'!H$5:H$100,$A74,'10b'!$I$5:$I$100)+SUMIF('10c'!H$5:H$100,$A74,'10c'!$I$5:$I$100)+SUMIF('10d'!H$5:H$100,$A74,'10d'!$I$5:$I$100)+SUMIF('10e'!H$5:H$100,$A74,'10e'!$I$5:$I$100)+SUMIF('10f'!H$5:H$100,$A74,'10f'!$I$5:$I$100)+SUMIF('10g'!H$5:H$100,$A74,'10g'!$I$5:$I$100)+SUMIF('10h'!H$5:H$100,$A74,'10h'!$I$5:$I$100)+SUMIF('10i'!H$5:H$100,$A74,'10i'!$I$5:$I$100)+SUMIF('10j'!H$5:H$100,$A74,'10j'!$I$5:$I$100)+SUMIF('10k'!H$5:H$100,$A74,'10k'!$I$5:$I$100)+SUMIF('10l'!H$5:H$100,$A74,'10l'!$I$5:$I$100)+SUMIF('10m'!H$5:H$100,$A74,'10m'!$I$5:$I$100)+SUMIF('10 TOTAL'!H$5:H$100,$A74,'10 TOTAL'!$I$5:$I$100)</f>
        <v>0</v>
      </c>
      <c r="E74"/>
      <c r="F74"/>
      <c r="G74"/>
      <c r="H74"/>
      <c r="I74"/>
      <c r="J74"/>
      <c r="K74"/>
      <c r="L74"/>
      <c r="M74"/>
      <c r="N74"/>
      <c r="O74"/>
      <c r="P74"/>
      <c r="Q74"/>
      <c r="R74"/>
      <c r="S74" s="1307">
        <f t="shared" si="0"/>
        <v>0</v>
      </c>
      <c r="T74"/>
    </row>
    <row r="75" spans="1:20" x14ac:dyDescent="0.2">
      <c r="A75" t="s">
        <v>3395</v>
      </c>
      <c r="B75" t="s">
        <v>5383</v>
      </c>
      <c r="C75" s="1291">
        <f>SUMIF('4'!H$5:H$100,$A75,'4'!$K$5:$K$100)+SUMIF('4a'!H$5:H$100,$A75,'4a'!$K$5:$K$100)+SUMIF('4b'!H$5:H$100,$A75,'4b'!$K$5:$K$100)+SUMIF('4c'!H$5:H$100,$A75,'4c'!$K$5:$K$100)+SUMIF('5'!H$5:H$100,$A75,'5'!$K$5:$K$100)+SUMIF('6'!H$5:H$100,$A75,'6'!$K$5:$K$100)+SUMIF('7'!H$5:H$100,$A75,'7'!$K$5:$K$100)+SUMIF('7a'!H$5:H$100,$A75,'7a'!$K$5:$K$100)+SUMIF('7b'!H$5:H$100,$A75,'7b'!$K$5:$K$100)+SUMIF('8'!H$5:H$100,$A75,'8'!$K$5:$K$100)+SUMIF('9'!H$5:H$100,$A75,'9'!$K$5:$K$100)+SUMIF('9a'!H$5:H$100,$A75,'9a'!$K$5:$K$100)+SUMIF('9b'!H$5:H$100,$A75,'9b'!$K$5:$K$100)+SUMIF('9c'!H$5:H$100,$A75,'9c'!$K$5:$K$100)+SUMIF('9d'!H$5:H$100,$A75,'9d'!$K$5:$K$100)+SUMIF('9e'!H$5:H$100,$A75,'9e'!$K$5:$K$100)+SUMIF('9f'!H$5:H$100,$A75,'9f'!$K$5:$K$100)+SUMIF('9g'!H$5:H$100,$A75,'9g'!$K$5:$K$100)+SUMIF('9h'!H$5:H$100,$A75,'9h'!$K$5:$K$100)+SUMIF('9 TOTAL'!H$5:H$100,$A75,'9 TOTAL'!$K$5:$K$100)
+SUMIF('10'!H$5:H$100,$A75,'10'!$K$5:$K$100)+SUMIF('10a'!H$5:H$100,$A75,'10a'!$K$5:$K$100)+SUMIF('10b'!H$5:H$100,$A75,'10b'!$K$5:$K$100)+SUMIF('10c'!H$5:H$100,$A75,'10c'!$K$5:$K$100)+SUMIF('10d'!H$5:H$100,$A75,'10d'!$K$5:$K$100)+SUMIF('10e'!H$5:H$100,$A75,'10e'!$K$5:$K$100)+SUMIF('10f'!H$5:H$100,$A75,'10f'!$K$5:$K$100)+SUMIF('10g'!H$5:H$100,$A75,'10g'!$K$5:$K$100)+SUMIF('10h'!H$5:H$100,$A75,'10h'!$K$5:$K$100)+SUMIF('10i'!H$5:H$100,$A75,'10i'!$K$5:$K$100)+SUMIF('10j'!H$5:H$100,$A75,'10j'!$K$5:$K$100)+SUMIF('10k'!H$5:H$100,$A75,'10k'!$K$5:$K$100)+SUMIF('10l'!H$5:H$100,$A75,'10l'!$K$5:$K$100)+SUMIF('10m'!H$5:H$100,$A75,'10m'!$K$5:$K$100)+SUMIF('10 TOTAL'!H$5:H$100,$A75,'10 TOTAL'!$K$5:$K$100)</f>
        <v>0</v>
      </c>
      <c r="D75" s="1291">
        <f>SUMIF('4'!H$5:H$100,$A75,'4'!$I$5:$I$100)+SUMIF('4a'!H$5:H$100,$A75,'4a'!$I$5:$I$100)+SUMIF('4b'!H$5:H$100,$A75,'4b'!$I$5:$I$100)+SUMIF('4c'!H$5:H$100,$A75,'4c'!$I$5:$I$100)+SUMIF('5'!H$5:H$100,$A75,'5'!$I$5:$I$100)+SUMIF('6'!H$5:H$100,$A75,'6'!$I$5:$I$100)+SUMIF('7'!H$5:H$100,$A75,'7'!$I$5:$I$100)+SUMIF('7a'!H$5:H$100,$A75,'7a'!$I$5:$I$100)+SUMIF('7b'!H$5:H$100,$A75,'7b'!$I$5:$I$100)+SUMIF('8'!H$5:H$100,$A75,'8'!$I$5:$I$100)+SUMIF('9'!H$5:H$100,$A75,'9'!$I$5:$I$100)+SUMIF('9a'!H$5:H$100,$A75,'9a'!$I$5:$I$100)+SUMIF('9b'!H$5:H$100,$A75,'9b'!$I$5:$I$100)+SUMIF('9c'!H$5:H$100,$A75,'9c'!$I$5:$I$100)+SUMIF('9d'!H$5:H$100,$A75,'9d'!$I$5:$I$100)+SUMIF('9e'!H$5:H$100,$A75,'9e'!$I$5:$I$100)+SUMIF('9f'!H$5:H$100,$A75,'9f'!$I$5:$I$100)+SUMIF('9g'!H$5:H$100,$A75,'9g'!$I$5:$I$100)+SUMIF('9h'!H$5:H$100,$A75,'9h'!$I$5:$I$100)+SUMIF('9 TOTAL'!H$5:H$100,$A75,'9 TOTAL'!$I$5:$I$100)
+SUMIF('10'!H$5:H$100,$A75,'10'!$I$5:$I$100)+SUMIF('10a'!H$5:H$100,$A75,'10a'!$I$5:$I$100)+SUMIF('10b'!H$5:H$100,$A75,'10b'!$I$5:$I$100)+SUMIF('10c'!H$5:H$100,$A75,'10c'!$I$5:$I$100)+SUMIF('10d'!H$5:H$100,$A75,'10d'!$I$5:$I$100)+SUMIF('10e'!H$5:H$100,$A75,'10e'!$I$5:$I$100)+SUMIF('10f'!H$5:H$100,$A75,'10f'!$I$5:$I$100)+SUMIF('10g'!H$5:H$100,$A75,'10g'!$I$5:$I$100)+SUMIF('10h'!H$5:H$100,$A75,'10h'!$I$5:$I$100)+SUMIF('10i'!H$5:H$100,$A75,'10i'!$I$5:$I$100)+SUMIF('10j'!H$5:H$100,$A75,'10j'!$I$5:$I$100)+SUMIF('10k'!H$5:H$100,$A75,'10k'!$I$5:$I$100)+SUMIF('10l'!H$5:H$100,$A75,'10l'!$I$5:$I$100)+SUMIF('10m'!H$5:H$100,$A75,'10m'!$I$5:$I$100)+SUMIF('10 TOTAL'!H$5:H$100,$A75,'10 TOTAL'!$I$5:$I$100)</f>
        <v>0</v>
      </c>
      <c r="E75"/>
      <c r="F75"/>
      <c r="G75"/>
      <c r="H75"/>
      <c r="I75"/>
      <c r="J75"/>
      <c r="K75"/>
      <c r="L75"/>
      <c r="M75"/>
      <c r="N75"/>
      <c r="O75"/>
      <c r="P75"/>
      <c r="Q75"/>
      <c r="R75"/>
      <c r="S75" s="1307">
        <f t="shared" si="0"/>
        <v>0</v>
      </c>
      <c r="T75"/>
    </row>
    <row r="76" spans="1:20" x14ac:dyDescent="0.2">
      <c r="A76" t="s">
        <v>3399</v>
      </c>
      <c r="B76" t="s">
        <v>5384</v>
      </c>
      <c r="C76" s="1291">
        <f>SUMIF('4'!H$5:H$100,$A76,'4'!$K$5:$K$100)+SUMIF('4a'!H$5:H$100,$A76,'4a'!$K$5:$K$100)+SUMIF('4b'!H$5:H$100,$A76,'4b'!$K$5:$K$100)+SUMIF('4c'!H$5:H$100,$A76,'4c'!$K$5:$K$100)+SUMIF('5'!H$5:H$100,$A76,'5'!$K$5:$K$100)+SUMIF('6'!H$5:H$100,$A76,'6'!$K$5:$K$100)+SUMIF('7'!H$5:H$100,$A76,'7'!$K$5:$K$100)+SUMIF('7a'!H$5:H$100,$A76,'7a'!$K$5:$K$100)+SUMIF('7b'!H$5:H$100,$A76,'7b'!$K$5:$K$100)+SUMIF('8'!H$5:H$100,$A76,'8'!$K$5:$K$100)+SUMIF('9'!H$5:H$100,$A76,'9'!$K$5:$K$100)+SUMIF('9a'!H$5:H$100,$A76,'9a'!$K$5:$K$100)+SUMIF('9b'!H$5:H$100,$A76,'9b'!$K$5:$K$100)+SUMIF('9c'!H$5:H$100,$A76,'9c'!$K$5:$K$100)+SUMIF('9d'!H$5:H$100,$A76,'9d'!$K$5:$K$100)+SUMIF('9e'!H$5:H$100,$A76,'9e'!$K$5:$K$100)+SUMIF('9f'!H$5:H$100,$A76,'9f'!$K$5:$K$100)+SUMIF('9g'!H$5:H$100,$A76,'9g'!$K$5:$K$100)+SUMIF('9h'!H$5:H$100,$A76,'9h'!$K$5:$K$100)+SUMIF('9 TOTAL'!H$5:H$100,$A76,'9 TOTAL'!$K$5:$K$100)
+SUMIF('10'!H$5:H$100,$A76,'10'!$K$5:$K$100)+SUMIF('10a'!H$5:H$100,$A76,'10a'!$K$5:$K$100)+SUMIF('10b'!H$5:H$100,$A76,'10b'!$K$5:$K$100)+SUMIF('10c'!H$5:H$100,$A76,'10c'!$K$5:$K$100)+SUMIF('10d'!H$5:H$100,$A76,'10d'!$K$5:$K$100)+SUMIF('10e'!H$5:H$100,$A76,'10e'!$K$5:$K$100)+SUMIF('10f'!H$5:H$100,$A76,'10f'!$K$5:$K$100)+SUMIF('10g'!H$5:H$100,$A76,'10g'!$K$5:$K$100)+SUMIF('10h'!H$5:H$100,$A76,'10h'!$K$5:$K$100)+SUMIF('10i'!H$5:H$100,$A76,'10i'!$K$5:$K$100)+SUMIF('10j'!H$5:H$100,$A76,'10j'!$K$5:$K$100)+SUMIF('10k'!H$5:H$100,$A76,'10k'!$K$5:$K$100)+SUMIF('10l'!H$5:H$100,$A76,'10l'!$K$5:$K$100)+SUMIF('10m'!H$5:H$100,$A76,'10m'!$K$5:$K$100)+SUMIF('10 TOTAL'!H$5:H$100,$A76,'10 TOTAL'!$K$5:$K$100)</f>
        <v>0</v>
      </c>
      <c r="D76" s="1291">
        <f>SUMIF('4'!H$5:H$100,$A76,'4'!$I$5:$I$100)+SUMIF('4a'!H$5:H$100,$A76,'4a'!$I$5:$I$100)+SUMIF('4b'!H$5:H$100,$A76,'4b'!$I$5:$I$100)+SUMIF('4c'!H$5:H$100,$A76,'4c'!$I$5:$I$100)+SUMIF('5'!H$5:H$100,$A76,'5'!$I$5:$I$100)+SUMIF('6'!H$5:H$100,$A76,'6'!$I$5:$I$100)+SUMIF('7'!H$5:H$100,$A76,'7'!$I$5:$I$100)+SUMIF('7a'!H$5:H$100,$A76,'7a'!$I$5:$I$100)+SUMIF('7b'!H$5:H$100,$A76,'7b'!$I$5:$I$100)+SUMIF('8'!H$5:H$100,$A76,'8'!$I$5:$I$100)+SUMIF('9'!H$5:H$100,$A76,'9'!$I$5:$I$100)+SUMIF('9a'!H$5:H$100,$A76,'9a'!$I$5:$I$100)+SUMIF('9b'!H$5:H$100,$A76,'9b'!$I$5:$I$100)+SUMIF('9c'!H$5:H$100,$A76,'9c'!$I$5:$I$100)+SUMIF('9d'!H$5:H$100,$A76,'9d'!$I$5:$I$100)+SUMIF('9e'!H$5:H$100,$A76,'9e'!$I$5:$I$100)+SUMIF('9f'!H$5:H$100,$A76,'9f'!$I$5:$I$100)+SUMIF('9g'!H$5:H$100,$A76,'9g'!$I$5:$I$100)+SUMIF('9h'!H$5:H$100,$A76,'9h'!$I$5:$I$100)+SUMIF('9 TOTAL'!H$5:H$100,$A76,'9 TOTAL'!$I$5:$I$100)
+SUMIF('10'!H$5:H$100,$A76,'10'!$I$5:$I$100)+SUMIF('10a'!H$5:H$100,$A76,'10a'!$I$5:$I$100)+SUMIF('10b'!H$5:H$100,$A76,'10b'!$I$5:$I$100)+SUMIF('10c'!H$5:H$100,$A76,'10c'!$I$5:$I$100)+SUMIF('10d'!H$5:H$100,$A76,'10d'!$I$5:$I$100)+SUMIF('10e'!H$5:H$100,$A76,'10e'!$I$5:$I$100)+SUMIF('10f'!H$5:H$100,$A76,'10f'!$I$5:$I$100)+SUMIF('10g'!H$5:H$100,$A76,'10g'!$I$5:$I$100)+SUMIF('10h'!H$5:H$100,$A76,'10h'!$I$5:$I$100)+SUMIF('10i'!H$5:H$100,$A76,'10i'!$I$5:$I$100)+SUMIF('10j'!H$5:H$100,$A76,'10j'!$I$5:$I$100)+SUMIF('10k'!H$5:H$100,$A76,'10k'!$I$5:$I$100)+SUMIF('10l'!H$5:H$100,$A76,'10l'!$I$5:$I$100)+SUMIF('10m'!H$5:H$100,$A76,'10m'!$I$5:$I$100)+SUMIF('10 TOTAL'!H$5:H$100,$A76,'10 TOTAL'!$I$5:$I$100)</f>
        <v>0</v>
      </c>
      <c r="E76"/>
      <c r="F76"/>
      <c r="G76"/>
      <c r="H76"/>
      <c r="I76"/>
      <c r="J76"/>
      <c r="K76"/>
      <c r="L76"/>
      <c r="M76"/>
      <c r="N76"/>
      <c r="O76"/>
      <c r="P76"/>
      <c r="Q76"/>
      <c r="R76"/>
      <c r="S76" s="1307">
        <f t="shared" si="0"/>
        <v>0</v>
      </c>
      <c r="T76"/>
    </row>
    <row r="77" spans="1:20" x14ac:dyDescent="0.2">
      <c r="A77" t="s">
        <v>3402</v>
      </c>
      <c r="B77" t="s">
        <v>5385</v>
      </c>
      <c r="C77" s="1291">
        <f>SUMIF('4'!H$5:H$100,$A77,'4'!$K$5:$K$100)+SUMIF('4a'!H$5:H$100,$A77,'4a'!$K$5:$K$100)+SUMIF('4b'!H$5:H$100,$A77,'4b'!$K$5:$K$100)+SUMIF('4c'!H$5:H$100,$A77,'4c'!$K$5:$K$100)+SUMIF('5'!H$5:H$100,$A77,'5'!$K$5:$K$100)+SUMIF('6'!H$5:H$100,$A77,'6'!$K$5:$K$100)+SUMIF('7'!H$5:H$100,$A77,'7'!$K$5:$K$100)+SUMIF('7a'!H$5:H$100,$A77,'7a'!$K$5:$K$100)+SUMIF('7b'!H$5:H$100,$A77,'7b'!$K$5:$K$100)+SUMIF('8'!H$5:H$100,$A77,'8'!$K$5:$K$100)+SUMIF('9'!H$5:H$100,$A77,'9'!$K$5:$K$100)+SUMIF('9a'!H$5:H$100,$A77,'9a'!$K$5:$K$100)+SUMIF('9b'!H$5:H$100,$A77,'9b'!$K$5:$K$100)+SUMIF('9c'!H$5:H$100,$A77,'9c'!$K$5:$K$100)+SUMIF('9d'!H$5:H$100,$A77,'9d'!$K$5:$K$100)+SUMIF('9e'!H$5:H$100,$A77,'9e'!$K$5:$K$100)+SUMIF('9f'!H$5:H$100,$A77,'9f'!$K$5:$K$100)+SUMIF('9g'!H$5:H$100,$A77,'9g'!$K$5:$K$100)+SUMIF('9h'!H$5:H$100,$A77,'9h'!$K$5:$K$100)+SUMIF('9 TOTAL'!H$5:H$100,$A77,'9 TOTAL'!$K$5:$K$100)
+SUMIF('10'!H$5:H$100,$A77,'10'!$K$5:$K$100)+SUMIF('10a'!H$5:H$100,$A77,'10a'!$K$5:$K$100)+SUMIF('10b'!H$5:H$100,$A77,'10b'!$K$5:$K$100)+SUMIF('10c'!H$5:H$100,$A77,'10c'!$K$5:$K$100)+SUMIF('10d'!H$5:H$100,$A77,'10d'!$K$5:$K$100)+SUMIF('10e'!H$5:H$100,$A77,'10e'!$K$5:$K$100)+SUMIF('10f'!H$5:H$100,$A77,'10f'!$K$5:$K$100)+SUMIF('10g'!H$5:H$100,$A77,'10g'!$K$5:$K$100)+SUMIF('10h'!H$5:H$100,$A77,'10h'!$K$5:$K$100)+SUMIF('10i'!H$5:H$100,$A77,'10i'!$K$5:$K$100)+SUMIF('10j'!H$5:H$100,$A77,'10j'!$K$5:$K$100)+SUMIF('10k'!H$5:H$100,$A77,'10k'!$K$5:$K$100)+SUMIF('10l'!H$5:H$100,$A77,'10l'!$K$5:$K$100)+SUMIF('10m'!H$5:H$100,$A77,'10m'!$K$5:$K$100)+SUMIF('10 TOTAL'!H$5:H$100,$A77,'10 TOTAL'!$K$5:$K$100)</f>
        <v>0</v>
      </c>
      <c r="D77" s="1291">
        <f>SUMIF('4'!H$5:H$100,$A77,'4'!$I$5:$I$100)+SUMIF('4a'!H$5:H$100,$A77,'4a'!$I$5:$I$100)+SUMIF('4b'!H$5:H$100,$A77,'4b'!$I$5:$I$100)+SUMIF('4c'!H$5:H$100,$A77,'4c'!$I$5:$I$100)+SUMIF('5'!H$5:H$100,$A77,'5'!$I$5:$I$100)+SUMIF('6'!H$5:H$100,$A77,'6'!$I$5:$I$100)+SUMIF('7'!H$5:H$100,$A77,'7'!$I$5:$I$100)+SUMIF('7a'!H$5:H$100,$A77,'7a'!$I$5:$I$100)+SUMIF('7b'!H$5:H$100,$A77,'7b'!$I$5:$I$100)+SUMIF('8'!H$5:H$100,$A77,'8'!$I$5:$I$100)+SUMIF('9'!H$5:H$100,$A77,'9'!$I$5:$I$100)+SUMIF('9a'!H$5:H$100,$A77,'9a'!$I$5:$I$100)+SUMIF('9b'!H$5:H$100,$A77,'9b'!$I$5:$I$100)+SUMIF('9c'!H$5:H$100,$A77,'9c'!$I$5:$I$100)+SUMIF('9d'!H$5:H$100,$A77,'9d'!$I$5:$I$100)+SUMIF('9e'!H$5:H$100,$A77,'9e'!$I$5:$I$100)+SUMIF('9f'!H$5:H$100,$A77,'9f'!$I$5:$I$100)+SUMIF('9g'!H$5:H$100,$A77,'9g'!$I$5:$I$100)+SUMIF('9h'!H$5:H$100,$A77,'9h'!$I$5:$I$100)+SUMIF('9 TOTAL'!H$5:H$100,$A77,'9 TOTAL'!$I$5:$I$100)
+SUMIF('10'!H$5:H$100,$A77,'10'!$I$5:$I$100)+SUMIF('10a'!H$5:H$100,$A77,'10a'!$I$5:$I$100)+SUMIF('10b'!H$5:H$100,$A77,'10b'!$I$5:$I$100)+SUMIF('10c'!H$5:H$100,$A77,'10c'!$I$5:$I$100)+SUMIF('10d'!H$5:H$100,$A77,'10d'!$I$5:$I$100)+SUMIF('10e'!H$5:H$100,$A77,'10e'!$I$5:$I$100)+SUMIF('10f'!H$5:H$100,$A77,'10f'!$I$5:$I$100)+SUMIF('10g'!H$5:H$100,$A77,'10g'!$I$5:$I$100)+SUMIF('10h'!H$5:H$100,$A77,'10h'!$I$5:$I$100)+SUMIF('10i'!H$5:H$100,$A77,'10i'!$I$5:$I$100)+SUMIF('10j'!H$5:H$100,$A77,'10j'!$I$5:$I$100)+SUMIF('10k'!H$5:H$100,$A77,'10k'!$I$5:$I$100)+SUMIF('10l'!H$5:H$100,$A77,'10l'!$I$5:$I$100)+SUMIF('10m'!H$5:H$100,$A77,'10m'!$I$5:$I$100)+SUMIF('10 TOTAL'!H$5:H$100,$A77,'10 TOTAL'!$I$5:$I$100)</f>
        <v>0</v>
      </c>
      <c r="E77"/>
      <c r="F77"/>
      <c r="G77"/>
      <c r="H77"/>
      <c r="I77"/>
      <c r="J77"/>
      <c r="K77"/>
      <c r="L77"/>
      <c r="M77"/>
      <c r="N77"/>
      <c r="O77"/>
      <c r="P77"/>
      <c r="Q77"/>
      <c r="R77"/>
      <c r="S77" s="1307">
        <f t="shared" si="0"/>
        <v>0</v>
      </c>
      <c r="T77"/>
    </row>
    <row r="78" spans="1:20" x14ac:dyDescent="0.2">
      <c r="A78" t="s">
        <v>3405</v>
      </c>
      <c r="B78" t="s">
        <v>5386</v>
      </c>
      <c r="C78" s="1291">
        <f>SUMIF('4'!H$5:H$100,$A78,'4'!$K$5:$K$100)+SUMIF('4a'!H$5:H$100,$A78,'4a'!$K$5:$K$100)+SUMIF('4b'!H$5:H$100,$A78,'4b'!$K$5:$K$100)+SUMIF('4c'!H$5:H$100,$A78,'4c'!$K$5:$K$100)+SUMIF('5'!H$5:H$100,$A78,'5'!$K$5:$K$100)+SUMIF('6'!H$5:H$100,$A78,'6'!$K$5:$K$100)+SUMIF('7'!H$5:H$100,$A78,'7'!$K$5:$K$100)+SUMIF('7a'!H$5:H$100,$A78,'7a'!$K$5:$K$100)+SUMIF('7b'!H$5:H$100,$A78,'7b'!$K$5:$K$100)+SUMIF('8'!H$5:H$100,$A78,'8'!$K$5:$K$100)+SUMIF('9'!H$5:H$100,$A78,'9'!$K$5:$K$100)+SUMIF('9a'!H$5:H$100,$A78,'9a'!$K$5:$K$100)+SUMIF('9b'!H$5:H$100,$A78,'9b'!$K$5:$K$100)+SUMIF('9c'!H$5:H$100,$A78,'9c'!$K$5:$K$100)+SUMIF('9d'!H$5:H$100,$A78,'9d'!$K$5:$K$100)+SUMIF('9e'!H$5:H$100,$A78,'9e'!$K$5:$K$100)+SUMIF('9f'!H$5:H$100,$A78,'9f'!$K$5:$K$100)+SUMIF('9g'!H$5:H$100,$A78,'9g'!$K$5:$K$100)+SUMIF('9h'!H$5:H$100,$A78,'9h'!$K$5:$K$100)+SUMIF('9 TOTAL'!H$5:H$100,$A78,'9 TOTAL'!$K$5:$K$100)
+SUMIF('10'!H$5:H$100,$A78,'10'!$K$5:$K$100)+SUMIF('10a'!H$5:H$100,$A78,'10a'!$K$5:$K$100)+SUMIF('10b'!H$5:H$100,$A78,'10b'!$K$5:$K$100)+SUMIF('10c'!H$5:H$100,$A78,'10c'!$K$5:$K$100)+SUMIF('10d'!H$5:H$100,$A78,'10d'!$K$5:$K$100)+SUMIF('10e'!H$5:H$100,$A78,'10e'!$K$5:$K$100)+SUMIF('10f'!H$5:H$100,$A78,'10f'!$K$5:$K$100)+SUMIF('10g'!H$5:H$100,$A78,'10g'!$K$5:$K$100)+SUMIF('10h'!H$5:H$100,$A78,'10h'!$K$5:$K$100)+SUMIF('10i'!H$5:H$100,$A78,'10i'!$K$5:$K$100)+SUMIF('10j'!H$5:H$100,$A78,'10j'!$K$5:$K$100)+SUMIF('10k'!H$5:H$100,$A78,'10k'!$K$5:$K$100)+SUMIF('10l'!H$5:H$100,$A78,'10l'!$K$5:$K$100)+SUMIF('10m'!H$5:H$100,$A78,'10m'!$K$5:$K$100)+SUMIF('10 TOTAL'!H$5:H$100,$A78,'10 TOTAL'!$K$5:$K$100)</f>
        <v>0</v>
      </c>
      <c r="D78" s="1291">
        <f>SUMIF('4'!H$5:H$100,$A78,'4'!$I$5:$I$100)+SUMIF('4a'!H$5:H$100,$A78,'4a'!$I$5:$I$100)+SUMIF('4b'!H$5:H$100,$A78,'4b'!$I$5:$I$100)+SUMIF('4c'!H$5:H$100,$A78,'4c'!$I$5:$I$100)+SUMIF('5'!H$5:H$100,$A78,'5'!$I$5:$I$100)+SUMIF('6'!H$5:H$100,$A78,'6'!$I$5:$I$100)+SUMIF('7'!H$5:H$100,$A78,'7'!$I$5:$I$100)+SUMIF('7a'!H$5:H$100,$A78,'7a'!$I$5:$I$100)+SUMIF('7b'!H$5:H$100,$A78,'7b'!$I$5:$I$100)+SUMIF('8'!H$5:H$100,$A78,'8'!$I$5:$I$100)+SUMIF('9'!H$5:H$100,$A78,'9'!$I$5:$I$100)+SUMIF('9a'!H$5:H$100,$A78,'9a'!$I$5:$I$100)+SUMIF('9b'!H$5:H$100,$A78,'9b'!$I$5:$I$100)+SUMIF('9c'!H$5:H$100,$A78,'9c'!$I$5:$I$100)+SUMIF('9d'!H$5:H$100,$A78,'9d'!$I$5:$I$100)+SUMIF('9e'!H$5:H$100,$A78,'9e'!$I$5:$I$100)+SUMIF('9f'!H$5:H$100,$A78,'9f'!$I$5:$I$100)+SUMIF('9g'!H$5:H$100,$A78,'9g'!$I$5:$I$100)+SUMIF('9h'!H$5:H$100,$A78,'9h'!$I$5:$I$100)+SUMIF('9 TOTAL'!H$5:H$100,$A78,'9 TOTAL'!$I$5:$I$100)
+SUMIF('10'!H$5:H$100,$A78,'10'!$I$5:$I$100)+SUMIF('10a'!H$5:H$100,$A78,'10a'!$I$5:$I$100)+SUMIF('10b'!H$5:H$100,$A78,'10b'!$I$5:$I$100)+SUMIF('10c'!H$5:H$100,$A78,'10c'!$I$5:$I$100)+SUMIF('10d'!H$5:H$100,$A78,'10d'!$I$5:$I$100)+SUMIF('10e'!H$5:H$100,$A78,'10e'!$I$5:$I$100)+SUMIF('10f'!H$5:H$100,$A78,'10f'!$I$5:$I$100)+SUMIF('10g'!H$5:H$100,$A78,'10g'!$I$5:$I$100)+SUMIF('10h'!H$5:H$100,$A78,'10h'!$I$5:$I$100)+SUMIF('10i'!H$5:H$100,$A78,'10i'!$I$5:$I$100)+SUMIF('10j'!H$5:H$100,$A78,'10j'!$I$5:$I$100)+SUMIF('10k'!H$5:H$100,$A78,'10k'!$I$5:$I$100)+SUMIF('10l'!H$5:H$100,$A78,'10l'!$I$5:$I$100)+SUMIF('10m'!H$5:H$100,$A78,'10m'!$I$5:$I$100)+SUMIF('10 TOTAL'!H$5:H$100,$A78,'10 TOTAL'!$I$5:$I$100)</f>
        <v>0</v>
      </c>
      <c r="E78"/>
      <c r="F78"/>
      <c r="G78"/>
      <c r="H78"/>
      <c r="I78"/>
      <c r="J78"/>
      <c r="K78"/>
      <c r="L78"/>
      <c r="M78"/>
      <c r="N78"/>
      <c r="O78"/>
      <c r="P78"/>
      <c r="Q78"/>
      <c r="R78"/>
      <c r="S78" s="1307">
        <f t="shared" si="0"/>
        <v>0</v>
      </c>
      <c r="T78"/>
    </row>
    <row r="79" spans="1:20" ht="12.75" customHeight="1" x14ac:dyDescent="0.2">
      <c r="A79" t="s">
        <v>950</v>
      </c>
      <c r="B79" t="s">
        <v>949</v>
      </c>
      <c r="C79" s="1291">
        <f>SUMIF('4'!H$5:H$100,$A79,'4'!$K$5:$K$100)+SUMIF('4a'!H$5:H$100,$A79,'4a'!$K$5:$K$100)+SUMIF('4b'!H$5:H$100,$A79,'4b'!$K$5:$K$100)+SUMIF('4c'!H$5:H$100,$A79,'4c'!$K$5:$K$100)+SUMIF('5'!H$5:H$100,$A79,'5'!$K$5:$K$100)+SUMIF('6'!H$5:H$100,$A79,'6'!$K$5:$K$100)+SUMIF('7'!H$5:H$100,$A79,'7'!$K$5:$K$100)+SUMIF('7a'!H$5:H$100,$A79,'7a'!$K$5:$K$100)+SUMIF('7b'!H$5:H$100,$A79,'7b'!$K$5:$K$100)+SUMIF('8'!H$5:H$100,$A79,'8'!$K$5:$K$100)+SUMIF('9'!H$5:H$100,$A79,'9'!$K$5:$K$100)+SUMIF('9a'!H$5:H$100,$A79,'9a'!$K$5:$K$100)+SUMIF('9b'!H$5:H$100,$A79,'9b'!$K$5:$K$100)+SUMIF('9c'!H$5:H$100,$A79,'9c'!$K$5:$K$100)+SUMIF('9d'!H$5:H$100,$A79,'9d'!$K$5:$K$100)+SUMIF('9e'!H$5:H$100,$A79,'9e'!$K$5:$K$100)+SUMIF('9f'!H$5:H$100,$A79,'9f'!$K$5:$K$100)+SUMIF('9g'!H$5:H$100,$A79,'9g'!$K$5:$K$100)+SUMIF('9h'!H$5:H$100,$A79,'9h'!$K$5:$K$100)+SUMIF('9 TOTAL'!H$5:H$100,$A79,'9 TOTAL'!$K$5:$K$100)
+SUMIF('10'!H$5:H$100,$A79,'10'!$K$5:$K$100)+SUMIF('10a'!H$5:H$100,$A79,'10a'!$K$5:$K$100)+SUMIF('10b'!H$5:H$100,$A79,'10b'!$K$5:$K$100)+SUMIF('10c'!H$5:H$100,$A79,'10c'!$K$5:$K$100)+SUMIF('10d'!H$5:H$100,$A79,'10d'!$K$5:$K$100)+SUMIF('10e'!H$5:H$100,$A79,'10e'!$K$5:$K$100)+SUMIF('10f'!H$5:H$100,$A79,'10f'!$K$5:$K$100)+SUMIF('10g'!H$5:H$100,$A79,'10g'!$K$5:$K$100)+SUMIF('10h'!H$5:H$100,$A79,'10h'!$K$5:$K$100)+SUMIF('10i'!H$5:H$100,$A79,'10i'!$K$5:$K$100)+SUMIF('10j'!H$5:H$100,$A79,'10j'!$K$5:$K$100)+SUMIF('10k'!H$5:H$100,$A79,'10k'!$K$5:$K$100)+SUMIF('10l'!H$5:H$100,$A79,'10l'!$K$5:$K$100)+SUMIF('10m'!H$5:H$100,$A79,'10m'!$K$5:$K$100)+SUMIF('10 TOTAL'!H$5:H$100,$A79,'10 TOTAL'!$K$5:$K$100)</f>
        <v>0</v>
      </c>
      <c r="D79" s="1291">
        <f>SUMIF('4'!H$5:H$100,$A79,'4'!$I$5:$I$100)+SUMIF('4a'!H$5:H$100,$A79,'4a'!$I$5:$I$100)+SUMIF('4b'!H$5:H$100,$A79,'4b'!$I$5:$I$100)+SUMIF('4c'!H$5:H$100,$A79,'4c'!$I$5:$I$100)+SUMIF('5'!H$5:H$100,$A79,'5'!$I$5:$I$100)+SUMIF('6'!H$5:H$100,$A79,'6'!$I$5:$I$100)+SUMIF('7'!H$5:H$100,$A79,'7'!$I$5:$I$100)+SUMIF('7a'!H$5:H$100,$A79,'7a'!$I$5:$I$100)+SUMIF('7b'!H$5:H$100,$A79,'7b'!$I$5:$I$100)+SUMIF('8'!H$5:H$100,$A79,'8'!$I$5:$I$100)+SUMIF('9'!H$5:H$100,$A79,'9'!$I$5:$I$100)+SUMIF('9a'!H$5:H$100,$A79,'9a'!$I$5:$I$100)+SUMIF('9b'!H$5:H$100,$A79,'9b'!$I$5:$I$100)+SUMIF('9c'!H$5:H$100,$A79,'9c'!$I$5:$I$100)+SUMIF('9d'!H$5:H$100,$A79,'9d'!$I$5:$I$100)+SUMIF('9e'!H$5:H$100,$A79,'9e'!$I$5:$I$100)+SUMIF('9f'!H$5:H$100,$A79,'9f'!$I$5:$I$100)+SUMIF('9g'!H$5:H$100,$A79,'9g'!$I$5:$I$100)+SUMIF('9h'!H$5:H$100,$A79,'9h'!$I$5:$I$100)+SUMIF('9 TOTAL'!H$5:H$100,$A79,'9 TOTAL'!$I$5:$I$100)
+SUMIF('10'!H$5:H$100,$A79,'10'!$I$5:$I$100)+SUMIF('10a'!H$5:H$100,$A79,'10a'!$I$5:$I$100)+SUMIF('10b'!H$5:H$100,$A79,'10b'!$I$5:$I$100)+SUMIF('10c'!H$5:H$100,$A79,'10c'!$I$5:$I$100)+SUMIF('10d'!H$5:H$100,$A79,'10d'!$I$5:$I$100)+SUMIF('10e'!H$5:H$100,$A79,'10e'!$I$5:$I$100)+SUMIF('10f'!H$5:H$100,$A79,'10f'!$I$5:$I$100)+SUMIF('10g'!H$5:H$100,$A79,'10g'!$I$5:$I$100)+SUMIF('10h'!H$5:H$100,$A79,'10h'!$I$5:$I$100)+SUMIF('10i'!H$5:H$100,$A79,'10i'!$I$5:$I$100)+SUMIF('10j'!H$5:H$100,$A79,'10j'!$I$5:$I$100)+SUMIF('10k'!H$5:H$100,$A79,'10k'!$I$5:$I$100)+SUMIF('10l'!H$5:H$100,$A79,'10l'!$I$5:$I$100)+SUMIF('10m'!H$5:H$100,$A79,'10m'!$I$5:$I$100)+SUMIF('10 TOTAL'!H$5:H$100,$A79,'10 TOTAL'!$I$5:$I$100)</f>
        <v>0</v>
      </c>
      <c r="E79"/>
      <c r="F79"/>
      <c r="G79"/>
      <c r="H79"/>
      <c r="I79"/>
      <c r="J79"/>
      <c r="K79"/>
      <c r="L79"/>
      <c r="M79"/>
      <c r="N79"/>
      <c r="O79"/>
      <c r="P79"/>
      <c r="Q79"/>
      <c r="R79"/>
      <c r="S79" s="1307">
        <f t="shared" si="0"/>
        <v>0</v>
      </c>
      <c r="T79"/>
    </row>
    <row r="80" spans="1:20" ht="17.25" customHeight="1" x14ac:dyDescent="0.2">
      <c r="A80"/>
      <c r="B80" t="s">
        <v>5428</v>
      </c>
      <c r="C80" s="1291">
        <f>SUM(C81:C83)</f>
        <v>0</v>
      </c>
      <c r="D80" s="1291">
        <f>SUM(D81:D83)</f>
        <v>0</v>
      </c>
      <c r="E80"/>
      <c r="F80"/>
      <c r="G80"/>
      <c r="H80"/>
      <c r="I80"/>
      <c r="J80"/>
      <c r="K80"/>
      <c r="L80"/>
      <c r="M80"/>
      <c r="N80"/>
      <c r="O80"/>
      <c r="P80"/>
      <c r="Q80"/>
      <c r="R80"/>
      <c r="S80" s="1307">
        <f t="shared" si="0"/>
        <v>0</v>
      </c>
      <c r="T80"/>
    </row>
    <row r="81" spans="1:20" ht="15" customHeight="1" outlineLevel="1" x14ac:dyDescent="0.2">
      <c r="A81" t="s">
        <v>3409</v>
      </c>
      <c r="B81" t="s">
        <v>5387</v>
      </c>
      <c r="C81" s="1291">
        <f>SUMIF('4'!H$5:H$100,$A81,'4'!$K$5:$K$100)+SUMIF('4a'!H$5:H$100,$A81,'4a'!$K$5:$K$100)+SUMIF('4b'!H$5:H$100,$A81,'4b'!$K$5:$K$100)+SUMIF('4c'!H$5:H$100,$A81,'4c'!$K$5:$K$100)+SUMIF('5'!H$5:H$100,$A81,'5'!$K$5:$K$100)+SUMIF('6'!H$5:H$100,$A81,'6'!$K$5:$K$100)+SUMIF('7'!H$5:H$100,$A81,'7'!$K$5:$K$100)+SUMIF('7a'!H$5:H$100,$A81,'7a'!$K$5:$K$100)+SUMIF('7b'!H$5:H$100,$A81,'7b'!$K$5:$K$100)+SUMIF('8'!H$5:H$100,$A81,'8'!$K$5:$K$100)+SUMIF('9'!H$5:H$100,$A81,'9'!$K$5:$K$100)+SUMIF('9a'!H$5:H$100,$A81,'9a'!$K$5:$K$100)+SUMIF('9b'!H$5:H$100,$A81,'9b'!$K$5:$K$100)+SUMIF('9c'!H$5:H$100,$A81,'9c'!$K$5:$K$100)+SUMIF('9d'!H$5:H$100,$A81,'9d'!$K$5:$K$100)+SUMIF('9e'!H$5:H$100,$A81,'9e'!$K$5:$K$100)+SUMIF('9f'!H$5:H$100,$A81,'9f'!$K$5:$K$100)+SUMIF('9g'!H$5:H$100,$A81,'9g'!$K$5:$K$100)+SUMIF('9h'!H$5:H$100,$A81,'9h'!$K$5:$K$100)+SUMIF('9 TOTAL'!H$5:H$100,$A81,'9 TOTAL'!$K$5:$K$100)
+SUMIF('10'!H$5:H$100,$A81,'10'!$K$5:$K$100)+SUMIF('10a'!H$5:H$100,$A81,'10a'!$K$5:$K$100)+SUMIF('10b'!H$5:H$100,$A81,'10b'!$K$5:$K$100)+SUMIF('10c'!H$5:H$100,$A81,'10c'!$K$5:$K$100)+SUMIF('10d'!H$5:H$100,$A81,'10d'!$K$5:$K$100)+SUMIF('10e'!H$5:H$100,$A81,'10e'!$K$5:$K$100)+SUMIF('10f'!H$5:H$100,$A81,'10f'!$K$5:$K$100)+SUMIF('10g'!H$5:H$100,$A81,'10g'!$K$5:$K$100)+SUMIF('10h'!H$5:H$100,$A81,'10h'!$K$5:$K$100)+SUMIF('10i'!H$5:H$100,$A81,'10i'!$K$5:$K$100)+SUMIF('10j'!H$5:H$100,$A81,'10j'!$K$5:$K$100)+SUMIF('10k'!H$5:H$100,$A81,'10k'!$K$5:$K$100)+SUMIF('10l'!H$5:H$100,$A81,'10l'!$K$5:$K$100)+SUMIF('10m'!H$5:H$100,$A81,'10m'!$K$5:$K$100)+SUMIF('10 TOTAL'!H$5:H$100,$A81,'10 TOTAL'!$K$5:$K$100)</f>
        <v>0</v>
      </c>
      <c r="D81" s="1291">
        <f>SUMIF('4'!H$5:H$100,$A81,'4'!$I$5:$I$100)+SUMIF('4a'!H$5:H$100,$A81,'4a'!$I$5:$I$100)+SUMIF('4b'!H$5:H$100,$A81,'4b'!$I$5:$I$100)+SUMIF('4c'!H$5:H$100,$A81,'4c'!$I$5:$I$100)+SUMIF('5'!H$5:H$100,$A81,'5'!$I$5:$I$100)+SUMIF('6'!H$5:H$100,$A81,'6'!$I$5:$I$100)+SUMIF('7'!H$5:H$100,$A81,'7'!$I$5:$I$100)+SUMIF('7a'!H$5:H$100,$A81,'7a'!$I$5:$I$100)+SUMIF('7b'!H$5:H$100,$A81,'7b'!$I$5:$I$100)+SUMIF('8'!H$5:H$100,$A81,'8'!$I$5:$I$100)+SUMIF('9'!H$5:H$100,$A81,'9'!$I$5:$I$100)+SUMIF('9a'!H$5:H$100,$A81,'9a'!$I$5:$I$100)+SUMIF('9b'!H$5:H$100,$A81,'9b'!$I$5:$I$100)+SUMIF('9c'!H$5:H$100,$A81,'9c'!$I$5:$I$100)+SUMIF('9d'!H$5:H$100,$A81,'9d'!$I$5:$I$100)+SUMIF('9e'!H$5:H$100,$A81,'9e'!$I$5:$I$100)+SUMIF('9f'!H$5:H$100,$A81,'9f'!$I$5:$I$100)+SUMIF('9g'!H$5:H$100,$A81,'9g'!$I$5:$I$100)+SUMIF('9h'!H$5:H$100,$A81,'9h'!$I$5:$I$100)+SUMIF('9 TOTAL'!H$5:H$100,$A81,'9 TOTAL'!$I$5:$I$100)
+SUMIF('10'!H$5:H$100,$A81,'10'!$I$5:$I$100)+SUMIF('10a'!H$5:H$100,$A81,'10a'!$I$5:$I$100)+SUMIF('10b'!H$5:H$100,$A81,'10b'!$I$5:$I$100)+SUMIF('10c'!H$5:H$100,$A81,'10c'!$I$5:$I$100)+SUMIF('10d'!H$5:H$100,$A81,'10d'!$I$5:$I$100)+SUMIF('10e'!H$5:H$100,$A81,'10e'!$I$5:$I$100)+SUMIF('10f'!H$5:H$100,$A81,'10f'!$I$5:$I$100)+SUMIF('10g'!H$5:H$100,$A81,'10g'!$I$5:$I$100)+SUMIF('10h'!H$5:H$100,$A81,'10h'!$I$5:$I$100)+SUMIF('10i'!H$5:H$100,$A81,'10i'!$I$5:$I$100)+SUMIF('10j'!H$5:H$100,$A81,'10j'!$I$5:$I$100)+SUMIF('10k'!H$5:H$100,$A81,'10k'!$I$5:$I$100)+SUMIF('10l'!H$5:H$100,$A81,'10l'!$I$5:$I$100)+SUMIF('10m'!H$5:H$100,$A81,'10m'!$I$5:$I$100)+SUMIF('10 TOTAL'!H$5:H$100,$A81,'10 TOTAL'!$I$5:$I$100)</f>
        <v>0</v>
      </c>
      <c r="E81"/>
      <c r="F81"/>
      <c r="G81"/>
      <c r="H81"/>
      <c r="I81"/>
      <c r="J81"/>
      <c r="K81"/>
      <c r="L81"/>
      <c r="M81"/>
      <c r="N81"/>
      <c r="O81"/>
      <c r="P81"/>
      <c r="Q81"/>
      <c r="R81"/>
      <c r="S81" s="1307">
        <f t="shared" si="0"/>
        <v>0</v>
      </c>
      <c r="T81"/>
    </row>
    <row r="82" spans="1:20" outlineLevel="1" collapsed="1" x14ac:dyDescent="0.2">
      <c r="A82" t="s">
        <v>3412</v>
      </c>
      <c r="B82" t="s">
        <v>5387</v>
      </c>
      <c r="C82" s="1291">
        <f>SUMIF('4'!H$5:H$100,$A82,'4'!$K$5:$K$100)+SUMIF('4a'!H$5:H$100,$A82,'4a'!$K$5:$K$100)+SUMIF('4b'!H$5:H$100,$A82,'4b'!$K$5:$K$100)+SUMIF('4c'!H$5:H$100,$A82,'4c'!$K$5:$K$100)+SUMIF('5'!H$5:H$100,$A82,'5'!$K$5:$K$100)+SUMIF('6'!H$5:H$100,$A82,'6'!$K$5:$K$100)+SUMIF('7'!H$5:H$100,$A82,'7'!$K$5:$K$100)+SUMIF('7a'!H$5:H$100,$A82,'7a'!$K$5:$K$100)+SUMIF('7b'!H$5:H$100,$A82,'7b'!$K$5:$K$100)+SUMIF('8'!H$5:H$100,$A82,'8'!$K$5:$K$100)+SUMIF('9'!H$5:H$100,$A82,'9'!$K$5:$K$100)+SUMIF('9a'!H$5:H$100,$A82,'9a'!$K$5:$K$100)+SUMIF('9b'!H$5:H$100,$A82,'9b'!$K$5:$K$100)+SUMIF('9c'!H$5:H$100,$A82,'9c'!$K$5:$K$100)+SUMIF('9d'!H$5:H$100,$A82,'9d'!$K$5:$K$100)+SUMIF('9e'!H$5:H$100,$A82,'9e'!$K$5:$K$100)+SUMIF('9f'!H$5:H$100,$A82,'9f'!$K$5:$K$100)+SUMIF('9g'!H$5:H$100,$A82,'9g'!$K$5:$K$100)+SUMIF('9h'!H$5:H$100,$A82,'9h'!$K$5:$K$100)+SUMIF('9 TOTAL'!H$5:H$100,$A82,'9 TOTAL'!$K$5:$K$100)
+SUMIF('10'!H$5:H$100,$A82,'10'!$K$5:$K$100)+SUMIF('10a'!H$5:H$100,$A82,'10a'!$K$5:$K$100)+SUMIF('10b'!H$5:H$100,$A82,'10b'!$K$5:$K$100)+SUMIF('10c'!H$5:H$100,$A82,'10c'!$K$5:$K$100)+SUMIF('10d'!H$5:H$100,$A82,'10d'!$K$5:$K$100)+SUMIF('10e'!H$5:H$100,$A82,'10e'!$K$5:$K$100)+SUMIF('10f'!H$5:H$100,$A82,'10f'!$K$5:$K$100)+SUMIF('10g'!H$5:H$100,$A82,'10g'!$K$5:$K$100)+SUMIF('10h'!H$5:H$100,$A82,'10h'!$K$5:$K$100)+SUMIF('10i'!H$5:H$100,$A82,'10i'!$K$5:$K$100)+SUMIF('10j'!H$5:H$100,$A82,'10j'!$K$5:$K$100)+SUMIF('10k'!H$5:H$100,$A82,'10k'!$K$5:$K$100)+SUMIF('10l'!H$5:H$100,$A82,'10l'!$K$5:$K$100)+SUMIF('10m'!H$5:H$100,$A82,'10m'!$K$5:$K$100)+SUMIF('10 TOTAL'!H$5:H$100,$A82,'10 TOTAL'!$K$5:$K$100)</f>
        <v>0</v>
      </c>
      <c r="D82" s="1291">
        <f>SUMIF('4'!H$5:H$100,$A82,'4'!$I$5:$I$100)+SUMIF('4a'!H$5:H$100,$A82,'4a'!$I$5:$I$100)+SUMIF('4b'!H$5:H$100,$A82,'4b'!$I$5:$I$100)+SUMIF('4c'!H$5:H$100,$A82,'4c'!$I$5:$I$100)+SUMIF('5'!H$5:H$100,$A82,'5'!$I$5:$I$100)+SUMIF('6'!H$5:H$100,$A82,'6'!$I$5:$I$100)+SUMIF('7'!H$5:H$100,$A82,'7'!$I$5:$I$100)+SUMIF('7a'!H$5:H$100,$A82,'7a'!$I$5:$I$100)+SUMIF('7b'!H$5:H$100,$A82,'7b'!$I$5:$I$100)+SUMIF('8'!H$5:H$100,$A82,'8'!$I$5:$I$100)+SUMIF('9'!H$5:H$100,$A82,'9'!$I$5:$I$100)+SUMIF('9a'!H$5:H$100,$A82,'9a'!$I$5:$I$100)+SUMIF('9b'!H$5:H$100,$A82,'9b'!$I$5:$I$100)+SUMIF('9c'!H$5:H$100,$A82,'9c'!$I$5:$I$100)+SUMIF('9d'!H$5:H$100,$A82,'9d'!$I$5:$I$100)+SUMIF('9e'!H$5:H$100,$A82,'9e'!$I$5:$I$100)+SUMIF('9f'!H$5:H$100,$A82,'9f'!$I$5:$I$100)+SUMIF('9g'!H$5:H$100,$A82,'9g'!$I$5:$I$100)+SUMIF('9h'!H$5:H$100,$A82,'9h'!$I$5:$I$100)+SUMIF('9 TOTAL'!H$5:H$100,$A82,'9 TOTAL'!$I$5:$I$100)
+SUMIF('10'!H$5:H$100,$A82,'10'!$I$5:$I$100)+SUMIF('10a'!H$5:H$100,$A82,'10a'!$I$5:$I$100)+SUMIF('10b'!H$5:H$100,$A82,'10b'!$I$5:$I$100)+SUMIF('10c'!H$5:H$100,$A82,'10c'!$I$5:$I$100)+SUMIF('10d'!H$5:H$100,$A82,'10d'!$I$5:$I$100)+SUMIF('10e'!H$5:H$100,$A82,'10e'!$I$5:$I$100)+SUMIF('10f'!H$5:H$100,$A82,'10f'!$I$5:$I$100)+SUMIF('10g'!H$5:H$100,$A82,'10g'!$I$5:$I$100)+SUMIF('10h'!H$5:H$100,$A82,'10h'!$I$5:$I$100)+SUMIF('10i'!H$5:H$100,$A82,'10i'!$I$5:$I$100)+SUMIF('10j'!H$5:H$100,$A82,'10j'!$I$5:$I$100)+SUMIF('10k'!H$5:H$100,$A82,'10k'!$I$5:$I$100)+SUMIF('10l'!H$5:H$100,$A82,'10l'!$I$5:$I$100)+SUMIF('10m'!H$5:H$100,$A82,'10m'!$I$5:$I$100)+SUMIF('10 TOTAL'!H$5:H$100,$A82,'10 TOTAL'!$I$5:$I$100)</f>
        <v>0</v>
      </c>
      <c r="E82"/>
      <c r="F82"/>
      <c r="G82"/>
      <c r="H82"/>
      <c r="I82"/>
      <c r="J82"/>
      <c r="K82"/>
      <c r="L82"/>
      <c r="M82"/>
      <c r="N82"/>
      <c r="O82"/>
      <c r="P82"/>
      <c r="Q82"/>
      <c r="R82"/>
      <c r="S82" s="1307">
        <f t="shared" si="0"/>
        <v>0</v>
      </c>
      <c r="T82"/>
    </row>
    <row r="83" spans="1:20" outlineLevel="1" x14ac:dyDescent="0.2">
      <c r="A83" t="s">
        <v>3416</v>
      </c>
      <c r="B83" t="s">
        <v>5387</v>
      </c>
      <c r="C83" s="1291">
        <f>SUMIF('4'!H$5:H$100,$A83,'4'!$K$5:$K$100)+SUMIF('4a'!H$5:H$100,$A83,'4a'!$K$5:$K$100)+SUMIF('4b'!H$5:H$100,$A83,'4b'!$K$5:$K$100)+SUMIF('4c'!H$5:H$100,$A83,'4c'!$K$5:$K$100)+SUMIF('5'!H$5:H$100,$A83,'5'!$K$5:$K$100)+SUMIF('6'!H$5:H$100,$A83,'6'!$K$5:$K$100)+SUMIF('7'!H$5:H$100,$A83,'7'!$K$5:$K$100)+SUMIF('7a'!H$5:H$100,$A83,'7a'!$K$5:$K$100)+SUMIF('7b'!H$5:H$100,$A83,'7b'!$K$5:$K$100)+SUMIF('8'!H$5:H$100,$A83,'8'!$K$5:$K$100)+SUMIF('9'!H$5:H$100,$A83,'9'!$K$5:$K$100)+SUMIF('9a'!H$5:H$100,$A83,'9a'!$K$5:$K$100)+SUMIF('9b'!H$5:H$100,$A83,'9b'!$K$5:$K$100)+SUMIF('9c'!H$5:H$100,$A83,'9c'!$K$5:$K$100)+SUMIF('9d'!H$5:H$100,$A83,'9d'!$K$5:$K$100)+SUMIF('9e'!H$5:H$100,$A83,'9e'!$K$5:$K$100)+SUMIF('9f'!H$5:H$100,$A83,'9f'!$K$5:$K$100)+SUMIF('9g'!H$5:H$100,$A83,'9g'!$K$5:$K$100)+SUMIF('9h'!H$5:H$100,$A83,'9h'!$K$5:$K$100)+SUMIF('9 TOTAL'!H$5:H$100,$A83,'9 TOTAL'!$K$5:$K$100)
+SUMIF('10'!H$5:H$100,$A83,'10'!$K$5:$K$100)+SUMIF('10a'!H$5:H$100,$A83,'10a'!$K$5:$K$100)+SUMIF('10b'!H$5:H$100,$A83,'10b'!$K$5:$K$100)+SUMIF('10c'!H$5:H$100,$A83,'10c'!$K$5:$K$100)+SUMIF('10d'!H$5:H$100,$A83,'10d'!$K$5:$K$100)+SUMIF('10e'!H$5:H$100,$A83,'10e'!$K$5:$K$100)+SUMIF('10f'!H$5:H$100,$A83,'10f'!$K$5:$K$100)+SUMIF('10g'!H$5:H$100,$A83,'10g'!$K$5:$K$100)+SUMIF('10h'!H$5:H$100,$A83,'10h'!$K$5:$K$100)+SUMIF('10i'!H$5:H$100,$A83,'10i'!$K$5:$K$100)+SUMIF('10j'!H$5:H$100,$A83,'10j'!$K$5:$K$100)+SUMIF('10k'!H$5:H$100,$A83,'10k'!$K$5:$K$100)+SUMIF('10l'!H$5:H$100,$A83,'10l'!$K$5:$K$100)+SUMIF('10m'!H$5:H$100,$A83,'10m'!$K$5:$K$100)+SUMIF('10 TOTAL'!H$5:H$100,$A83,'10 TOTAL'!$K$5:$K$100)</f>
        <v>0</v>
      </c>
      <c r="D83" s="1291">
        <f>SUMIF('4'!H$5:H$100,$A83,'4'!$I$5:$I$100)+SUMIF('4a'!H$5:H$100,$A83,'4a'!$I$5:$I$100)+SUMIF('4b'!H$5:H$100,$A83,'4b'!$I$5:$I$100)+SUMIF('4c'!H$5:H$100,$A83,'4c'!$I$5:$I$100)+SUMIF('5'!H$5:H$100,$A83,'5'!$I$5:$I$100)+SUMIF('6'!H$5:H$100,$A83,'6'!$I$5:$I$100)+SUMIF('7'!H$5:H$100,$A83,'7'!$I$5:$I$100)+SUMIF('7a'!H$5:H$100,$A83,'7a'!$I$5:$I$100)+SUMIF('7b'!H$5:H$100,$A83,'7b'!$I$5:$I$100)+SUMIF('8'!H$5:H$100,$A83,'8'!$I$5:$I$100)+SUMIF('9'!H$5:H$100,$A83,'9'!$I$5:$I$100)+SUMIF('9a'!H$5:H$100,$A83,'9a'!$I$5:$I$100)+SUMIF('9b'!H$5:H$100,$A83,'9b'!$I$5:$I$100)+SUMIF('9c'!H$5:H$100,$A83,'9c'!$I$5:$I$100)+SUMIF('9d'!H$5:H$100,$A83,'9d'!$I$5:$I$100)+SUMIF('9e'!H$5:H$100,$A83,'9e'!$I$5:$I$100)+SUMIF('9f'!H$5:H$100,$A83,'9f'!$I$5:$I$100)+SUMIF('9g'!H$5:H$100,$A83,'9g'!$I$5:$I$100)+SUMIF('9h'!H$5:H$100,$A83,'9h'!$I$5:$I$100)+SUMIF('9 TOTAL'!H$5:H$100,$A83,'9 TOTAL'!$I$5:$I$100)
+SUMIF('10'!H$5:H$100,$A83,'10'!$I$5:$I$100)+SUMIF('10a'!H$5:H$100,$A83,'10a'!$I$5:$I$100)+SUMIF('10b'!H$5:H$100,$A83,'10b'!$I$5:$I$100)+SUMIF('10c'!H$5:H$100,$A83,'10c'!$I$5:$I$100)+SUMIF('10d'!H$5:H$100,$A83,'10d'!$I$5:$I$100)+SUMIF('10e'!H$5:H$100,$A83,'10e'!$I$5:$I$100)+SUMIF('10f'!H$5:H$100,$A83,'10f'!$I$5:$I$100)+SUMIF('10g'!H$5:H$100,$A83,'10g'!$I$5:$I$100)+SUMIF('10h'!H$5:H$100,$A83,'10h'!$I$5:$I$100)+SUMIF('10i'!H$5:H$100,$A83,'10i'!$I$5:$I$100)+SUMIF('10j'!H$5:H$100,$A83,'10j'!$I$5:$I$100)+SUMIF('10k'!H$5:H$100,$A83,'10k'!$I$5:$I$100)+SUMIF('10l'!H$5:H$100,$A83,'10l'!$I$5:$I$100)+SUMIF('10m'!H$5:H$100,$A83,'10m'!$I$5:$I$100)+SUMIF('10 TOTAL'!H$5:H$100,$A83,'10 TOTAL'!$I$5:$I$100)</f>
        <v>0</v>
      </c>
      <c r="E83"/>
      <c r="F83"/>
      <c r="G83"/>
      <c r="H83"/>
      <c r="I83"/>
      <c r="J83"/>
      <c r="K83"/>
      <c r="L83"/>
      <c r="M83"/>
      <c r="N83"/>
      <c r="O83"/>
      <c r="P83"/>
      <c r="Q83"/>
      <c r="R83"/>
      <c r="S83" s="1307">
        <f t="shared" si="0"/>
        <v>0</v>
      </c>
      <c r="T83"/>
    </row>
    <row r="84" spans="1:20" x14ac:dyDescent="0.2">
      <c r="A84" t="s">
        <v>3419</v>
      </c>
      <c r="B84" t="s">
        <v>5388</v>
      </c>
      <c r="C84" s="1291">
        <f>SUMIF('4'!H$5:H$100,$A84,'4'!$K$5:$K$100)+SUMIF('4a'!H$5:H$100,$A84,'4a'!$K$5:$K$100)+SUMIF('4b'!H$5:H$100,$A84,'4b'!$K$5:$K$100)+SUMIF('4c'!H$5:H$100,$A84,'4c'!$K$5:$K$100)+SUMIF('5'!H$5:H$100,$A84,'5'!$K$5:$K$100)+SUMIF('6'!H$5:H$100,$A84,'6'!$K$5:$K$100)+SUMIF('7'!H$5:H$100,$A84,'7'!$K$5:$K$100)+SUMIF('7a'!H$5:H$100,$A84,'7a'!$K$5:$K$100)+SUMIF('7b'!H$5:H$100,$A84,'7b'!$K$5:$K$100)+SUMIF('8'!H$5:H$100,$A84,'8'!$K$5:$K$100)+SUMIF('9'!H$5:H$100,$A84,'9'!$K$5:$K$100)+SUMIF('9a'!H$5:H$100,$A84,'9a'!$K$5:$K$100)+SUMIF('9b'!H$5:H$100,$A84,'9b'!$K$5:$K$100)+SUMIF('9c'!H$5:H$100,$A84,'9c'!$K$5:$K$100)+SUMIF('9d'!H$5:H$100,$A84,'9d'!$K$5:$K$100)+SUMIF('9e'!H$5:H$100,$A84,'9e'!$K$5:$K$100)+SUMIF('9f'!H$5:H$100,$A84,'9f'!$K$5:$K$100)+SUMIF('9g'!H$5:H$100,$A84,'9g'!$K$5:$K$100)+SUMIF('9h'!H$5:H$100,$A84,'9h'!$K$5:$K$100)+SUMIF('9 TOTAL'!H$5:H$100,$A84,'9 TOTAL'!$K$5:$K$100)
+SUMIF('10'!H$5:H$100,$A84,'10'!$K$5:$K$100)+SUMIF('10a'!H$5:H$100,$A84,'10a'!$K$5:$K$100)+SUMIF('10b'!H$5:H$100,$A84,'10b'!$K$5:$K$100)+SUMIF('10c'!H$5:H$100,$A84,'10c'!$K$5:$K$100)+SUMIF('10d'!H$5:H$100,$A84,'10d'!$K$5:$K$100)+SUMIF('10e'!H$5:H$100,$A84,'10e'!$K$5:$K$100)+SUMIF('10f'!H$5:H$100,$A84,'10f'!$K$5:$K$100)+SUMIF('10g'!H$5:H$100,$A84,'10g'!$K$5:$K$100)+SUMIF('10h'!H$5:H$100,$A84,'10h'!$K$5:$K$100)+SUMIF('10i'!H$5:H$100,$A84,'10i'!$K$5:$K$100)+SUMIF('10j'!H$5:H$100,$A84,'10j'!$K$5:$K$100)+SUMIF('10k'!H$5:H$100,$A84,'10k'!$K$5:$K$100)+SUMIF('10l'!H$5:H$100,$A84,'10l'!$K$5:$K$100)+SUMIF('10m'!H$5:H$100,$A84,'10m'!$K$5:$K$100)+SUMIF('10 TOTAL'!H$5:H$100,$A84,'10 TOTAL'!$K$5:$K$100)</f>
        <v>0</v>
      </c>
      <c r="D84" s="1291">
        <f>SUMIF('4'!H$5:H$100,$A84,'4'!$I$5:$I$100)+SUMIF('4a'!H$5:H$100,$A84,'4a'!$I$5:$I$100)+SUMIF('4b'!H$5:H$100,$A84,'4b'!$I$5:$I$100)+SUMIF('4c'!H$5:H$100,$A84,'4c'!$I$5:$I$100)+SUMIF('5'!H$5:H$100,$A84,'5'!$I$5:$I$100)+SUMIF('6'!H$5:H$100,$A84,'6'!$I$5:$I$100)+SUMIF('7'!H$5:H$100,$A84,'7'!$I$5:$I$100)+SUMIF('7a'!H$5:H$100,$A84,'7a'!$I$5:$I$100)+SUMIF('7b'!H$5:H$100,$A84,'7b'!$I$5:$I$100)+SUMIF('8'!H$5:H$100,$A84,'8'!$I$5:$I$100)+SUMIF('9'!H$5:H$100,$A84,'9'!$I$5:$I$100)+SUMIF('9a'!H$5:H$100,$A84,'9a'!$I$5:$I$100)+SUMIF('9b'!H$5:H$100,$A84,'9b'!$I$5:$I$100)+SUMIF('9c'!H$5:H$100,$A84,'9c'!$I$5:$I$100)+SUMIF('9d'!H$5:H$100,$A84,'9d'!$I$5:$I$100)+SUMIF('9e'!H$5:H$100,$A84,'9e'!$I$5:$I$100)+SUMIF('9f'!H$5:H$100,$A84,'9f'!$I$5:$I$100)+SUMIF('9g'!H$5:H$100,$A84,'9g'!$I$5:$I$100)+SUMIF('9h'!H$5:H$100,$A84,'9h'!$I$5:$I$100)+SUMIF('9 TOTAL'!H$5:H$100,$A84,'9 TOTAL'!$I$5:$I$100)
+SUMIF('10'!H$5:H$100,$A84,'10'!$I$5:$I$100)+SUMIF('10a'!H$5:H$100,$A84,'10a'!$I$5:$I$100)+SUMIF('10b'!H$5:H$100,$A84,'10b'!$I$5:$I$100)+SUMIF('10c'!H$5:H$100,$A84,'10c'!$I$5:$I$100)+SUMIF('10d'!H$5:H$100,$A84,'10d'!$I$5:$I$100)+SUMIF('10e'!H$5:H$100,$A84,'10e'!$I$5:$I$100)+SUMIF('10f'!H$5:H$100,$A84,'10f'!$I$5:$I$100)+SUMIF('10g'!H$5:H$100,$A84,'10g'!$I$5:$I$100)+SUMIF('10h'!H$5:H$100,$A84,'10h'!$I$5:$I$100)+SUMIF('10i'!H$5:H$100,$A84,'10i'!$I$5:$I$100)+SUMIF('10j'!H$5:H$100,$A84,'10j'!$I$5:$I$100)+SUMIF('10k'!H$5:H$100,$A84,'10k'!$I$5:$I$100)+SUMIF('10l'!H$5:H$100,$A84,'10l'!$I$5:$I$100)+SUMIF('10m'!H$5:H$100,$A84,'10m'!$I$5:$I$100)+SUMIF('10 TOTAL'!H$5:H$100,$A84,'10 TOTAL'!$I$5:$I$100)</f>
        <v>0</v>
      </c>
      <c r="E84"/>
      <c r="F84"/>
      <c r="G84"/>
      <c r="H84"/>
      <c r="I84"/>
      <c r="J84"/>
      <c r="K84"/>
      <c r="L84"/>
      <c r="M84"/>
      <c r="N84"/>
      <c r="O84"/>
      <c r="P84"/>
      <c r="Q84"/>
      <c r="R84"/>
      <c r="S84" s="1307">
        <f t="shared" si="0"/>
        <v>0</v>
      </c>
      <c r="T84"/>
    </row>
    <row r="85" spans="1:20" x14ac:dyDescent="0.2">
      <c r="A85" t="s">
        <v>5356</v>
      </c>
      <c r="B85" t="s">
        <v>5389</v>
      </c>
      <c r="C85" s="1291">
        <f>SUMIF('4'!H$5:H$100,$A85,'4'!$K$5:$K$100)+SUMIF('4a'!H$5:H$100,$A85,'4a'!$K$5:$K$100)+SUMIF('4b'!H$5:H$100,$A85,'4b'!$K$5:$K$100)+SUMIF('4c'!H$5:H$100,$A85,'4c'!$K$5:$K$100)+SUMIF('5'!H$5:H$100,$A85,'5'!$K$5:$K$100)+SUMIF('6'!H$5:H$100,$A85,'6'!$K$5:$K$100)+SUMIF('7'!H$5:H$100,$A85,'7'!$K$5:$K$100)+SUMIF('7a'!H$5:H$100,$A85,'7a'!$K$5:$K$100)+SUMIF('7b'!H$5:H$100,$A85,'7b'!$K$5:$K$100)+SUMIF('8'!H$5:H$100,$A85,'8'!$K$5:$K$100)+SUMIF('9'!H$5:H$100,$A85,'9'!$K$5:$K$100)+SUMIF('9a'!H$5:H$100,$A85,'9a'!$K$5:$K$100)+SUMIF('9b'!H$5:H$100,$A85,'9b'!$K$5:$K$100)+SUMIF('9c'!H$5:H$100,$A85,'9c'!$K$5:$K$100)+SUMIF('9d'!H$5:H$100,$A85,'9d'!$K$5:$K$100)+SUMIF('9e'!H$5:H$100,$A85,'9e'!$K$5:$K$100)+SUMIF('9f'!H$5:H$100,$A85,'9f'!$K$5:$K$100)+SUMIF('9g'!H$5:H$100,$A85,'9g'!$K$5:$K$100)+SUMIF('9h'!H$5:H$100,$A85,'9h'!$K$5:$K$100)+SUMIF('9 TOTAL'!H$5:H$100,$A85,'9 TOTAL'!$K$5:$K$100)
+SUMIF('10'!H$5:H$100,$A85,'10'!$K$5:$K$100)+SUMIF('10a'!H$5:H$100,$A85,'10a'!$K$5:$K$100)+SUMIF('10b'!H$5:H$100,$A85,'10b'!$K$5:$K$100)+SUMIF('10c'!H$5:H$100,$A85,'10c'!$K$5:$K$100)+SUMIF('10d'!H$5:H$100,$A85,'10d'!$K$5:$K$100)+SUMIF('10e'!H$5:H$100,$A85,'10e'!$K$5:$K$100)+SUMIF('10f'!H$5:H$100,$A85,'10f'!$K$5:$K$100)+SUMIF('10g'!H$5:H$100,$A85,'10g'!$K$5:$K$100)+SUMIF('10h'!H$5:H$100,$A85,'10h'!$K$5:$K$100)+SUMIF('10i'!H$5:H$100,$A85,'10i'!$K$5:$K$100)+SUMIF('10j'!H$5:H$100,$A85,'10j'!$K$5:$K$100)+SUMIF('10k'!H$5:H$100,$A85,'10k'!$K$5:$K$100)+SUMIF('10l'!H$5:H$100,$A85,'10l'!$K$5:$K$100)+SUMIF('10m'!H$5:H$100,$A85,'10m'!$K$5:$K$100)+SUMIF('10 TOTAL'!H$5:H$100,$A85,'10 TOTAL'!$K$5:$K$100)</f>
        <v>0</v>
      </c>
      <c r="D85" s="1291">
        <f>SUMIF('4'!H$5:H$100,$A85,'4'!$I$5:$I$100)+SUMIF('4a'!H$5:H$100,$A85,'4a'!$I$5:$I$100)+SUMIF('4b'!H$5:H$100,$A85,'4b'!$I$5:$I$100)+SUMIF('4c'!H$5:H$100,$A85,'4c'!$I$5:$I$100)+SUMIF('5'!H$5:H$100,$A85,'5'!$I$5:$I$100)+SUMIF('6'!H$5:H$100,$A85,'6'!$I$5:$I$100)+SUMIF('7'!H$5:H$100,$A85,'7'!$I$5:$I$100)+SUMIF('7a'!H$5:H$100,$A85,'7a'!$I$5:$I$100)+SUMIF('7b'!H$5:H$100,$A85,'7b'!$I$5:$I$100)+SUMIF('8'!H$5:H$100,$A85,'8'!$I$5:$I$100)+SUMIF('9'!H$5:H$100,$A85,'9'!$I$5:$I$100)+SUMIF('9a'!H$5:H$100,$A85,'9a'!$I$5:$I$100)+SUMIF('9b'!H$5:H$100,$A85,'9b'!$I$5:$I$100)+SUMIF('9c'!H$5:H$100,$A85,'9c'!$I$5:$I$100)+SUMIF('9d'!H$5:H$100,$A85,'9d'!$I$5:$I$100)+SUMIF('9e'!H$5:H$100,$A85,'9e'!$I$5:$I$100)+SUMIF('9f'!H$5:H$100,$A85,'9f'!$I$5:$I$100)+SUMIF('9g'!H$5:H$100,$A85,'9g'!$I$5:$I$100)+SUMIF('9h'!H$5:H$100,$A85,'9h'!$I$5:$I$100)+SUMIF('9 TOTAL'!H$5:H$100,$A85,'9 TOTAL'!$I$5:$I$100)
+SUMIF('10'!H$5:H$100,$A85,'10'!$I$5:$I$100)+SUMIF('10a'!H$5:H$100,$A85,'10a'!$I$5:$I$100)+SUMIF('10b'!H$5:H$100,$A85,'10b'!$I$5:$I$100)+SUMIF('10c'!H$5:H$100,$A85,'10c'!$I$5:$I$100)+SUMIF('10d'!H$5:H$100,$A85,'10d'!$I$5:$I$100)+SUMIF('10e'!H$5:H$100,$A85,'10e'!$I$5:$I$100)+SUMIF('10f'!H$5:H$100,$A85,'10f'!$I$5:$I$100)+SUMIF('10g'!H$5:H$100,$A85,'10g'!$I$5:$I$100)+SUMIF('10h'!H$5:H$100,$A85,'10h'!$I$5:$I$100)+SUMIF('10i'!H$5:H$100,$A85,'10i'!$I$5:$I$100)+SUMIF('10j'!H$5:H$100,$A85,'10j'!$I$5:$I$100)+SUMIF('10k'!H$5:H$100,$A85,'10k'!$I$5:$I$100)+SUMIF('10l'!H$5:H$100,$A85,'10l'!$I$5:$I$100)+SUMIF('10m'!H$5:H$100,$A85,'10m'!$I$5:$I$100)+SUMIF('10 TOTAL'!H$5:H$100,$A85,'10 TOTAL'!$I$5:$I$100)</f>
        <v>0</v>
      </c>
      <c r="E85"/>
      <c r="F85"/>
      <c r="G85"/>
      <c r="H85"/>
      <c r="I85"/>
      <c r="J85"/>
      <c r="K85"/>
      <c r="L85"/>
      <c r="M85"/>
      <c r="N85"/>
      <c r="O85"/>
      <c r="P85"/>
      <c r="Q85"/>
      <c r="R85"/>
      <c r="S85" s="1307">
        <f t="shared" si="0"/>
        <v>0</v>
      </c>
      <c r="T85"/>
    </row>
    <row r="86" spans="1:20" x14ac:dyDescent="0.2">
      <c r="A86" t="s">
        <v>5357</v>
      </c>
      <c r="B86" t="s">
        <v>5390</v>
      </c>
      <c r="C86" s="1291">
        <f>SUMIF('4'!H$5:H$100,$A86,'4'!$K$5:$K$100)+SUMIF('4a'!H$5:H$100,$A86,'4a'!$K$5:$K$100)+SUMIF('4b'!H$5:H$100,$A86,'4b'!$K$5:$K$100)+SUMIF('4c'!H$5:H$100,$A86,'4c'!$K$5:$K$100)+SUMIF('5'!H$5:H$100,$A86,'5'!$K$5:$K$100)+SUMIF('6'!H$5:H$100,$A86,'6'!$K$5:$K$100)+SUMIF('7'!H$5:H$100,$A86,'7'!$K$5:$K$100)+SUMIF('7a'!H$5:H$100,$A86,'7a'!$K$5:$K$100)+SUMIF('7b'!H$5:H$100,$A86,'7b'!$K$5:$K$100)+SUMIF('8'!H$5:H$100,$A86,'8'!$K$5:$K$100)+SUMIF('9'!H$5:H$100,$A86,'9'!$K$5:$K$100)+SUMIF('9a'!H$5:H$100,$A86,'9a'!$K$5:$K$100)+SUMIF('9b'!H$5:H$100,$A86,'9b'!$K$5:$K$100)+SUMIF('9c'!H$5:H$100,$A86,'9c'!$K$5:$K$100)+SUMIF('9d'!H$5:H$100,$A86,'9d'!$K$5:$K$100)+SUMIF('9e'!H$5:H$100,$A86,'9e'!$K$5:$K$100)+SUMIF('9f'!H$5:H$100,$A86,'9f'!$K$5:$K$100)+SUMIF('9g'!H$5:H$100,$A86,'9g'!$K$5:$K$100)+SUMIF('9h'!H$5:H$100,$A86,'9h'!$K$5:$K$100)+SUMIF('9 TOTAL'!H$5:H$100,$A86,'9 TOTAL'!$K$5:$K$100)
+SUMIF('10'!H$5:H$100,$A86,'10'!$K$5:$K$100)+SUMIF('10a'!H$5:H$100,$A86,'10a'!$K$5:$K$100)+SUMIF('10b'!H$5:H$100,$A86,'10b'!$K$5:$K$100)+SUMIF('10c'!H$5:H$100,$A86,'10c'!$K$5:$K$100)+SUMIF('10d'!H$5:H$100,$A86,'10d'!$K$5:$K$100)+SUMIF('10e'!H$5:H$100,$A86,'10e'!$K$5:$K$100)+SUMIF('10f'!H$5:H$100,$A86,'10f'!$K$5:$K$100)+SUMIF('10g'!H$5:H$100,$A86,'10g'!$K$5:$K$100)+SUMIF('10h'!H$5:H$100,$A86,'10h'!$K$5:$K$100)+SUMIF('10i'!H$5:H$100,$A86,'10i'!$K$5:$K$100)+SUMIF('10j'!H$5:H$100,$A86,'10j'!$K$5:$K$100)+SUMIF('10k'!H$5:H$100,$A86,'10k'!$K$5:$K$100)+SUMIF('10l'!H$5:H$100,$A86,'10l'!$K$5:$K$100)+SUMIF('10m'!H$5:H$100,$A86,'10m'!$K$5:$K$100)+SUMIF('10 TOTAL'!H$5:H$100,$A86,'10 TOTAL'!$K$5:$K$100)</f>
        <v>0</v>
      </c>
      <c r="D86" s="1291">
        <f>SUMIF('4'!H$5:H$100,$A86,'4'!$I$5:$I$100)+SUMIF('4a'!H$5:H$100,$A86,'4a'!$I$5:$I$100)+SUMIF('4b'!H$5:H$100,$A86,'4b'!$I$5:$I$100)+SUMIF('4c'!H$5:H$100,$A86,'4c'!$I$5:$I$100)+SUMIF('5'!H$5:H$100,$A86,'5'!$I$5:$I$100)+SUMIF('6'!H$5:H$100,$A86,'6'!$I$5:$I$100)+SUMIF('7'!H$5:H$100,$A86,'7'!$I$5:$I$100)+SUMIF('7a'!H$5:H$100,$A86,'7a'!$I$5:$I$100)+SUMIF('7b'!H$5:H$100,$A86,'7b'!$I$5:$I$100)+SUMIF('8'!H$5:H$100,$A86,'8'!$I$5:$I$100)+SUMIF('9'!H$5:H$100,$A86,'9'!$I$5:$I$100)+SUMIF('9a'!H$5:H$100,$A86,'9a'!$I$5:$I$100)+SUMIF('9b'!H$5:H$100,$A86,'9b'!$I$5:$I$100)+SUMIF('9c'!H$5:H$100,$A86,'9c'!$I$5:$I$100)+SUMIF('9d'!H$5:H$100,$A86,'9d'!$I$5:$I$100)+SUMIF('9e'!H$5:H$100,$A86,'9e'!$I$5:$I$100)+SUMIF('9f'!H$5:H$100,$A86,'9f'!$I$5:$I$100)+SUMIF('9g'!H$5:H$100,$A86,'9g'!$I$5:$I$100)+SUMIF('9h'!H$5:H$100,$A86,'9h'!$I$5:$I$100)+SUMIF('9 TOTAL'!H$5:H$100,$A86,'9 TOTAL'!$I$5:$I$100)
+SUMIF('10'!H$5:H$100,$A86,'10'!$I$5:$I$100)+SUMIF('10a'!H$5:H$100,$A86,'10a'!$I$5:$I$100)+SUMIF('10b'!H$5:H$100,$A86,'10b'!$I$5:$I$100)+SUMIF('10c'!H$5:H$100,$A86,'10c'!$I$5:$I$100)+SUMIF('10d'!H$5:H$100,$A86,'10d'!$I$5:$I$100)+SUMIF('10e'!H$5:H$100,$A86,'10e'!$I$5:$I$100)+SUMIF('10f'!H$5:H$100,$A86,'10f'!$I$5:$I$100)+SUMIF('10g'!H$5:H$100,$A86,'10g'!$I$5:$I$100)+SUMIF('10h'!H$5:H$100,$A86,'10h'!$I$5:$I$100)+SUMIF('10i'!H$5:H$100,$A86,'10i'!$I$5:$I$100)+SUMIF('10j'!H$5:H$100,$A86,'10j'!$I$5:$I$100)+SUMIF('10k'!H$5:H$100,$A86,'10k'!$I$5:$I$100)+SUMIF('10l'!H$5:H$100,$A86,'10l'!$I$5:$I$100)+SUMIF('10m'!H$5:H$100,$A86,'10m'!$I$5:$I$100)+SUMIF('10 TOTAL'!H$5:H$100,$A86,'10 TOTAL'!$I$5:$I$100)</f>
        <v>0</v>
      </c>
      <c r="E86"/>
      <c r="F86"/>
      <c r="G86"/>
      <c r="H86"/>
      <c r="I86"/>
      <c r="J86"/>
      <c r="K86"/>
      <c r="L86"/>
      <c r="M86"/>
      <c r="N86"/>
      <c r="O86"/>
      <c r="P86"/>
      <c r="Q86"/>
      <c r="R86"/>
      <c r="S86" s="1307">
        <f t="shared" si="0"/>
        <v>0</v>
      </c>
      <c r="T86"/>
    </row>
    <row r="87" spans="1:20" x14ac:dyDescent="0.2">
      <c r="A87" t="s">
        <v>5358</v>
      </c>
      <c r="B87" t="s">
        <v>165</v>
      </c>
      <c r="C87" s="1291">
        <f>SUMIF('4'!H$5:H$100,$A87,'4'!$K$5:$K$100)+SUMIF('4a'!H$5:H$100,$A87,'4a'!$K$5:$K$100)+SUMIF('4b'!H$5:H$100,$A87,'4b'!$K$5:$K$100)+SUMIF('4c'!H$5:H$100,$A87,'4c'!$K$5:$K$100)+SUMIF('5'!H$5:H$100,$A87,'5'!$K$5:$K$100)+SUMIF('6'!H$5:H$100,$A87,'6'!$K$5:$K$100)+SUMIF('7'!H$5:H$100,$A87,'7'!$K$5:$K$100)+SUMIF('7a'!H$5:H$100,$A87,'7a'!$K$5:$K$100)+SUMIF('7b'!H$5:H$100,$A87,'7b'!$K$5:$K$100)+SUMIF('8'!H$5:H$100,$A87,'8'!$K$5:$K$100)+SUMIF('9'!H$5:H$100,$A87,'9'!$K$5:$K$100)+SUMIF('9a'!H$5:H$100,$A87,'9a'!$K$5:$K$100)+SUMIF('9b'!H$5:H$100,$A87,'9b'!$K$5:$K$100)+SUMIF('9c'!H$5:H$100,$A87,'9c'!$K$5:$K$100)+SUMIF('9d'!H$5:H$100,$A87,'9d'!$K$5:$K$100)+SUMIF('9e'!H$5:H$100,$A87,'9e'!$K$5:$K$100)+SUMIF('9f'!H$5:H$100,$A87,'9f'!$K$5:$K$100)+SUMIF('9g'!H$5:H$100,$A87,'9g'!$K$5:$K$100)+SUMIF('9h'!H$5:H$100,$A87,'9h'!$K$5:$K$100)+SUMIF('9 TOTAL'!H$5:H$100,$A87,'9 TOTAL'!$K$5:$K$100)
+SUMIF('10'!H$5:H$100,$A87,'10'!$K$5:$K$100)+SUMIF('10a'!H$5:H$100,$A87,'10a'!$K$5:$K$100)+SUMIF('10b'!H$5:H$100,$A87,'10b'!$K$5:$K$100)+SUMIF('10c'!H$5:H$100,$A87,'10c'!$K$5:$K$100)+SUMIF('10d'!H$5:H$100,$A87,'10d'!$K$5:$K$100)+SUMIF('10e'!H$5:H$100,$A87,'10e'!$K$5:$K$100)+SUMIF('10f'!H$5:H$100,$A87,'10f'!$K$5:$K$100)+SUMIF('10g'!H$5:H$100,$A87,'10g'!$K$5:$K$100)+SUMIF('10h'!H$5:H$100,$A87,'10h'!$K$5:$K$100)+SUMIF('10i'!H$5:H$100,$A87,'10i'!$K$5:$K$100)+SUMIF('10j'!H$5:H$100,$A87,'10j'!$K$5:$K$100)+SUMIF('10k'!H$5:H$100,$A87,'10k'!$K$5:$K$100)+SUMIF('10l'!H$5:H$100,$A87,'10l'!$K$5:$K$100)+SUMIF('10m'!H$5:H$100,$A87,'10m'!$K$5:$K$100)+SUMIF('10 TOTAL'!H$5:H$100,$A87,'10 TOTAL'!$K$5:$K$100)</f>
        <v>0</v>
      </c>
      <c r="D87" s="1291">
        <f>SUMIF('4'!H$5:H$100,$A87,'4'!$I$5:$I$100)+SUMIF('4a'!H$5:H$100,$A87,'4a'!$I$5:$I$100)+SUMIF('4b'!H$5:H$100,$A87,'4b'!$I$5:$I$100)+SUMIF('4c'!H$5:H$100,$A87,'4c'!$I$5:$I$100)+SUMIF('5'!H$5:H$100,$A87,'5'!$I$5:$I$100)+SUMIF('6'!H$5:H$100,$A87,'6'!$I$5:$I$100)+SUMIF('7'!H$5:H$100,$A87,'7'!$I$5:$I$100)+SUMIF('7a'!H$5:H$100,$A87,'7a'!$I$5:$I$100)+SUMIF('7b'!H$5:H$100,$A87,'7b'!$I$5:$I$100)+SUMIF('8'!H$5:H$100,$A87,'8'!$I$5:$I$100)+SUMIF('9'!H$5:H$100,$A87,'9'!$I$5:$I$100)+SUMIF('9a'!H$5:H$100,$A87,'9a'!$I$5:$I$100)+SUMIF('9b'!H$5:H$100,$A87,'9b'!$I$5:$I$100)+SUMIF('9c'!H$5:H$100,$A87,'9c'!$I$5:$I$100)+SUMIF('9d'!H$5:H$100,$A87,'9d'!$I$5:$I$100)+SUMIF('9e'!H$5:H$100,$A87,'9e'!$I$5:$I$100)+SUMIF('9f'!H$5:H$100,$A87,'9f'!$I$5:$I$100)+SUMIF('9g'!H$5:H$100,$A87,'9g'!$I$5:$I$100)+SUMIF('9h'!H$5:H$100,$A87,'9h'!$I$5:$I$100)+SUMIF('9 TOTAL'!H$5:H$100,$A87,'9 TOTAL'!$I$5:$I$100)
+SUMIF('10'!H$5:H$100,$A87,'10'!$I$5:$I$100)+SUMIF('10a'!H$5:H$100,$A87,'10a'!$I$5:$I$100)+SUMIF('10b'!H$5:H$100,$A87,'10b'!$I$5:$I$100)+SUMIF('10c'!H$5:H$100,$A87,'10c'!$I$5:$I$100)+SUMIF('10d'!H$5:H$100,$A87,'10d'!$I$5:$I$100)+SUMIF('10e'!H$5:H$100,$A87,'10e'!$I$5:$I$100)+SUMIF('10f'!H$5:H$100,$A87,'10f'!$I$5:$I$100)+SUMIF('10g'!H$5:H$100,$A87,'10g'!$I$5:$I$100)+SUMIF('10h'!H$5:H$100,$A87,'10h'!$I$5:$I$100)+SUMIF('10i'!H$5:H$100,$A87,'10i'!$I$5:$I$100)+SUMIF('10j'!H$5:H$100,$A87,'10j'!$I$5:$I$100)+SUMIF('10k'!H$5:H$100,$A87,'10k'!$I$5:$I$100)+SUMIF('10l'!H$5:H$100,$A87,'10l'!$I$5:$I$100)+SUMIF('10m'!H$5:H$100,$A87,'10m'!$I$5:$I$100)+SUMIF('10 TOTAL'!H$5:H$100,$A87,'10 TOTAL'!$I$5:$I$100)</f>
        <v>0</v>
      </c>
      <c r="E87"/>
      <c r="F87"/>
      <c r="G87"/>
      <c r="H87"/>
      <c r="I87"/>
      <c r="J87"/>
      <c r="K87"/>
      <c r="L87"/>
      <c r="M87"/>
      <c r="N87"/>
      <c r="O87"/>
      <c r="P87"/>
      <c r="Q87"/>
      <c r="R87"/>
      <c r="S87" s="1307">
        <f t="shared" si="0"/>
        <v>0</v>
      </c>
      <c r="T87"/>
    </row>
    <row r="88" spans="1:20" x14ac:dyDescent="0.2">
      <c r="A88"/>
      <c r="B88" s="1304" t="str">
        <f>"Total- "&amp;A69</f>
        <v>Total- State Aid</v>
      </c>
      <c r="C88" s="1290">
        <f>SUM(C84:C87,C80,C70:C79)</f>
        <v>83457</v>
      </c>
      <c r="D88" s="1290">
        <f>SUM(D84:D87,D80,D70:D79)</f>
        <v>83457</v>
      </c>
      <c r="E88"/>
      <c r="F88"/>
      <c r="G88"/>
      <c r="H88"/>
      <c r="I88"/>
      <c r="J88"/>
      <c r="K88"/>
      <c r="L88"/>
      <c r="M88"/>
      <c r="N88"/>
      <c r="O88"/>
      <c r="P88"/>
      <c r="Q88"/>
      <c r="R88"/>
      <c r="S88" s="1307"/>
      <c r="T88"/>
    </row>
    <row r="89" spans="1:20" x14ac:dyDescent="0.2">
      <c r="A89"/>
      <c r="B89"/>
      <c r="C89" s="1317"/>
      <c r="D89" s="1317"/>
      <c r="E89"/>
      <c r="F89"/>
      <c r="G89"/>
      <c r="H89"/>
      <c r="I89"/>
      <c r="J89"/>
      <c r="K89"/>
      <c r="L89"/>
      <c r="M89"/>
      <c r="N89"/>
      <c r="O89"/>
      <c r="P89"/>
      <c r="Q89"/>
      <c r="R89"/>
      <c r="S89" s="1307"/>
      <c r="T89"/>
    </row>
    <row r="90" spans="1:20" x14ac:dyDescent="0.2">
      <c r="A90" s="106" t="s">
        <v>5432</v>
      </c>
      <c r="B90" s="5"/>
      <c r="C90" s="75"/>
      <c r="D90" s="75"/>
      <c r="E90"/>
      <c r="F90"/>
      <c r="G90"/>
      <c r="H90"/>
      <c r="I90"/>
      <c r="J90"/>
      <c r="K90"/>
      <c r="L90"/>
      <c r="M90"/>
      <c r="N90"/>
      <c r="O90"/>
      <c r="P90"/>
      <c r="Q90"/>
      <c r="R90"/>
      <c r="S90" s="1307"/>
      <c r="T90"/>
    </row>
    <row r="91" spans="1:20" x14ac:dyDescent="0.2">
      <c r="A91" t="s">
        <v>530</v>
      </c>
      <c r="B91" t="s">
        <v>103</v>
      </c>
      <c r="C91" s="1291">
        <f>SUMIF('4'!H$5:H$100,$A91,'4'!$K$5:$K$100)+SUMIF('4a'!H$5:H$100,$A91,'4a'!$K$5:$K$100)+SUMIF('4b'!H$5:H$100,$A91,'4b'!$K$5:$K$100)+SUMIF('4c'!H$5:H$100,$A91,'4c'!$K$5:$K$100)+SUMIF('5'!H$5:H$100,$A91,'5'!$K$5:$K$100)+SUMIF('6'!H$5:H$100,$A91,'6'!$K$5:$K$100)+SUMIF('7'!H$5:H$100,$A91,'7'!$K$5:$K$100)+SUMIF('7a'!H$5:H$100,$A91,'7a'!$K$5:$K$100)+SUMIF('7b'!H$5:H$100,$A91,'7b'!$K$5:$K$100)+SUMIF('8'!H$5:H$100,$A91,'8'!$K$5:$K$100)+SUMIF('9'!H$5:H$100,$A91,'9'!$K$5:$K$100)+SUMIF('9a'!H$5:H$100,$A91,'9a'!$K$5:$K$100)+SUMIF('9b'!H$5:H$100,$A91,'9b'!$K$5:$K$100)+SUMIF('9c'!H$5:H$100,$A91,'9c'!$K$5:$K$100)+SUMIF('9d'!H$5:H$100,$A91,'9d'!$K$5:$K$100)+SUMIF('9e'!H$5:H$100,$A91,'9e'!$K$5:$K$100)+SUMIF('9f'!H$5:H$100,$A91,'9f'!$K$5:$K$100)+SUMIF('9g'!H$5:H$100,$A91,'9g'!$K$5:$K$100)+SUMIF('9h'!H$5:H$100,$A91,'9h'!$K$5:$K$100)+SUMIF('9 TOTAL'!H$5:H$100,$A91,'9 TOTAL'!$K$5:$K$100)
+SUMIF('10'!H$5:H$100,$A91,'10'!$K$5:$K$100)+SUMIF('10a'!H$5:H$100,$A91,'10a'!$K$5:$K$100)+SUMIF('10b'!H$5:H$100,$A91,'10b'!$K$5:$K$100)+SUMIF('10c'!H$5:H$100,$A91,'10c'!$K$5:$K$100)+SUMIF('10d'!H$5:H$100,$A91,'10d'!$K$5:$K$100)+SUMIF('10e'!H$5:H$100,$A91,'10e'!$K$5:$K$100)+SUMIF('10f'!H$5:H$100,$A91,'10f'!$K$5:$K$100)+SUMIF('10g'!H$5:H$100,$A91,'10g'!$K$5:$K$100)+SUMIF('10h'!H$5:H$100,$A91,'10h'!$K$5:$K$100)+SUMIF('10i'!H$5:H$100,$A91,'10i'!$K$5:$K$100)+SUMIF('10j'!H$5:H$100,$A91,'10j'!$K$5:$K$100)+SUMIF('10k'!H$5:H$100,$A91,'10k'!$K$5:$K$100)+SUMIF('10l'!H$5:H$100,$A91,'10l'!$K$5:$K$100)+SUMIF('10m'!H$5:H$100,$A91,'10m'!$K$5:$K$100)+SUMIF('10 TOTAL'!H$5:H$100,$A91,'10 TOTAL'!$K$5:$K$100)</f>
        <v>0</v>
      </c>
      <c r="D91" s="1291">
        <f>SUMIF('4'!H$5:H$100,$A91,'4'!$I$5:$I$100)+SUMIF('4a'!H$5:H$100,$A91,'4a'!$I$5:$I$100)+SUMIF('4b'!H$5:H$100,$A91,'4b'!$I$5:$I$100)+SUMIF('4c'!H$5:H$100,$A91,'4c'!$I$5:$I$100)+SUMIF('5'!H$5:H$100,$A91,'5'!$I$5:$I$100)+SUMIF('6'!H$5:H$100,$A91,'6'!$I$5:$I$100)+SUMIF('7'!H$5:H$100,$A91,'7'!$I$5:$I$100)+SUMIF('7a'!H$5:H$100,$A91,'7a'!$I$5:$I$100)+SUMIF('7b'!H$5:H$100,$A91,'7b'!$I$5:$I$100)+SUMIF('8'!H$5:H$100,$A91,'8'!$I$5:$I$100)+SUMIF('9'!H$5:H$100,$A91,'9'!$I$5:$I$100)+SUMIF('9a'!H$5:H$100,$A91,'9a'!$I$5:$I$100)+SUMIF('9b'!H$5:H$100,$A91,'9b'!$I$5:$I$100)+SUMIF('9c'!H$5:H$100,$A91,'9c'!$I$5:$I$100)+SUMIF('9d'!H$5:H$100,$A91,'9d'!$I$5:$I$100)+SUMIF('9e'!H$5:H$100,$A91,'9e'!$I$5:$I$100)+SUMIF('9f'!H$5:H$100,$A91,'9f'!$I$5:$I$100)+SUMIF('9g'!H$5:H$100,$A91,'9g'!$I$5:$I$100)+SUMIF('9h'!H$5:H$100,$A91,'9h'!$I$5:$I$100)+SUMIF('9 TOTAL'!H$5:H$100,$A91,'9 TOTAL'!$I$5:$I$100)
+SUMIF('10'!H$5:H$100,$A91,'10'!$I$5:$I$100)+SUMIF('10a'!H$5:H$100,$A91,'10a'!$I$5:$I$100)+SUMIF('10b'!H$5:H$100,$A91,'10b'!$I$5:$I$100)+SUMIF('10c'!H$5:H$100,$A91,'10c'!$I$5:$I$100)+SUMIF('10d'!H$5:H$100,$A91,'10d'!$I$5:$I$100)+SUMIF('10e'!H$5:H$100,$A91,'10e'!$I$5:$I$100)+SUMIF('10f'!H$5:H$100,$A91,'10f'!$I$5:$I$100)+SUMIF('10g'!H$5:H$100,$A91,'10g'!$I$5:$I$100)+SUMIF('10h'!H$5:H$100,$A91,'10h'!$I$5:$I$100)+SUMIF('10i'!H$5:H$100,$A91,'10i'!$I$5:$I$100)+SUMIF('10j'!H$5:H$100,$A91,'10j'!$I$5:$I$100)+SUMIF('10k'!H$5:H$100,$A91,'10k'!$I$5:$I$100)+SUMIF('10l'!H$5:H$100,$A91,'10l'!$I$5:$I$100)+SUMIF('10m'!H$5:H$100,$A91,'10m'!$I$5:$I$100)+SUMIF('10 TOTAL'!H$5:H$100,$A91,'10 TOTAL'!$I$5:$I$100)</f>
        <v>0</v>
      </c>
      <c r="E91"/>
      <c r="F91"/>
      <c r="G91"/>
      <c r="H91"/>
      <c r="I91"/>
      <c r="J91"/>
      <c r="K91"/>
      <c r="L91"/>
      <c r="M91"/>
      <c r="N91"/>
      <c r="O91"/>
      <c r="P91"/>
      <c r="Q91"/>
      <c r="R91"/>
      <c r="S91" s="1307">
        <f t="shared" ref="S91:S151" si="1">SUM(C91:J91)</f>
        <v>0</v>
      </c>
      <c r="T91"/>
    </row>
    <row r="92" spans="1:20" x14ac:dyDescent="0.2">
      <c r="A92" t="s">
        <v>3388</v>
      </c>
      <c r="B92" t="s">
        <v>5391</v>
      </c>
      <c r="C92" s="1291">
        <f>SUMIF('4'!H$5:H$100,$A92,'4'!$K$5:$K$100)+SUMIF('4a'!H$5:H$100,$A92,'4a'!$K$5:$K$100)+SUMIF('4b'!H$5:H$100,$A92,'4b'!$K$5:$K$100)+SUMIF('4c'!H$5:H$100,$A92,'4c'!$K$5:$K$100)+SUMIF('5'!H$5:H$100,$A92,'5'!$K$5:$K$100)+SUMIF('6'!H$5:H$100,$A92,'6'!$K$5:$K$100)+SUMIF('7'!H$5:H$100,$A92,'7'!$K$5:$K$100)+SUMIF('7a'!H$5:H$100,$A92,'7a'!$K$5:$K$100)+SUMIF('7b'!H$5:H$100,$A92,'7b'!$K$5:$K$100)+SUMIF('8'!H$5:H$100,$A92,'8'!$K$5:$K$100)+SUMIF('9'!H$5:H$100,$A92,'9'!$K$5:$K$100)+SUMIF('9a'!H$5:H$100,$A92,'9a'!$K$5:$K$100)+SUMIF('9b'!H$5:H$100,$A92,'9b'!$K$5:$K$100)+SUMIF('9c'!H$5:H$100,$A92,'9c'!$K$5:$K$100)+SUMIF('9d'!H$5:H$100,$A92,'9d'!$K$5:$K$100)+SUMIF('9e'!H$5:H$100,$A92,'9e'!$K$5:$K$100)+SUMIF('9f'!H$5:H$100,$A92,'9f'!$K$5:$K$100)+SUMIF('9g'!H$5:H$100,$A92,'9g'!$K$5:$K$100)+SUMIF('9h'!H$5:H$100,$A92,'9h'!$K$5:$K$100)+SUMIF('9 TOTAL'!H$5:H$100,$A92,'9 TOTAL'!$K$5:$K$100)
+SUMIF('10'!H$5:H$100,$A92,'10'!$K$5:$K$100)+SUMIF('10a'!H$5:H$100,$A92,'10a'!$K$5:$K$100)+SUMIF('10b'!H$5:H$100,$A92,'10b'!$K$5:$K$100)+SUMIF('10c'!H$5:H$100,$A92,'10c'!$K$5:$K$100)+SUMIF('10d'!H$5:H$100,$A92,'10d'!$K$5:$K$100)+SUMIF('10e'!H$5:H$100,$A92,'10e'!$K$5:$K$100)+SUMIF('10f'!H$5:H$100,$A92,'10f'!$K$5:$K$100)+SUMIF('10g'!H$5:H$100,$A92,'10g'!$K$5:$K$100)+SUMIF('10h'!H$5:H$100,$A92,'10h'!$K$5:$K$100)+SUMIF('10i'!H$5:H$100,$A92,'10i'!$K$5:$K$100)+SUMIF('10j'!H$5:H$100,$A92,'10j'!$K$5:$K$100)+SUMIF('10k'!H$5:H$100,$A92,'10k'!$K$5:$K$100)+SUMIF('10l'!H$5:H$100,$A92,'10l'!$K$5:$K$100)+SUMIF('10m'!H$5:H$100,$A92,'10m'!$K$5:$K$100)+SUMIF('10 TOTAL'!H$5:H$100,$A92,'10 TOTAL'!$K$5:$K$100)</f>
        <v>0</v>
      </c>
      <c r="D92" s="1291">
        <f>SUMIF('4'!H$5:H$100,$A92,'4'!$I$5:$I$100)+SUMIF('4a'!H$5:H$100,$A92,'4a'!$I$5:$I$100)+SUMIF('4b'!H$5:H$100,$A92,'4b'!$I$5:$I$100)+SUMIF('4c'!H$5:H$100,$A92,'4c'!$I$5:$I$100)+SUMIF('5'!H$5:H$100,$A92,'5'!$I$5:$I$100)+SUMIF('6'!H$5:H$100,$A92,'6'!$I$5:$I$100)+SUMIF('7'!H$5:H$100,$A92,'7'!$I$5:$I$100)+SUMIF('7a'!H$5:H$100,$A92,'7a'!$I$5:$I$100)+SUMIF('7b'!H$5:H$100,$A92,'7b'!$I$5:$I$100)+SUMIF('8'!H$5:H$100,$A92,'8'!$I$5:$I$100)+SUMIF('9'!H$5:H$100,$A92,'9'!$I$5:$I$100)+SUMIF('9a'!H$5:H$100,$A92,'9a'!$I$5:$I$100)+SUMIF('9b'!H$5:H$100,$A92,'9b'!$I$5:$I$100)+SUMIF('9c'!H$5:H$100,$A92,'9c'!$I$5:$I$100)+SUMIF('9d'!H$5:H$100,$A92,'9d'!$I$5:$I$100)+SUMIF('9e'!H$5:H$100,$A92,'9e'!$I$5:$I$100)+SUMIF('9f'!H$5:H$100,$A92,'9f'!$I$5:$I$100)+SUMIF('9g'!H$5:H$100,$A92,'9g'!$I$5:$I$100)+SUMIF('9h'!H$5:H$100,$A92,'9h'!$I$5:$I$100)+SUMIF('9 TOTAL'!H$5:H$100,$A92,'9 TOTAL'!$I$5:$I$100)
+SUMIF('10'!H$5:H$100,$A92,'10'!$I$5:$I$100)+SUMIF('10a'!H$5:H$100,$A92,'10a'!$I$5:$I$100)+SUMIF('10b'!H$5:H$100,$A92,'10b'!$I$5:$I$100)+SUMIF('10c'!H$5:H$100,$A92,'10c'!$I$5:$I$100)+SUMIF('10d'!H$5:H$100,$A92,'10d'!$I$5:$I$100)+SUMIF('10e'!H$5:H$100,$A92,'10e'!$I$5:$I$100)+SUMIF('10f'!H$5:H$100,$A92,'10f'!$I$5:$I$100)+SUMIF('10g'!H$5:H$100,$A92,'10g'!$I$5:$I$100)+SUMIF('10h'!H$5:H$100,$A92,'10h'!$I$5:$I$100)+SUMIF('10i'!H$5:H$100,$A92,'10i'!$I$5:$I$100)+SUMIF('10j'!H$5:H$100,$A92,'10j'!$I$5:$I$100)+SUMIF('10k'!H$5:H$100,$A92,'10k'!$I$5:$I$100)+SUMIF('10l'!H$5:H$100,$A92,'10l'!$I$5:$I$100)+SUMIF('10m'!H$5:H$100,$A92,'10m'!$I$5:$I$100)+SUMIF('10 TOTAL'!H$5:H$100,$A92,'10 TOTAL'!$I$5:$I$100)</f>
        <v>0</v>
      </c>
      <c r="E92"/>
      <c r="F92"/>
      <c r="G92"/>
      <c r="H92"/>
      <c r="I92"/>
      <c r="J92"/>
      <c r="K92"/>
      <c r="L92"/>
      <c r="M92"/>
      <c r="N92"/>
      <c r="O92"/>
      <c r="P92"/>
      <c r="Q92"/>
      <c r="R92"/>
      <c r="S92" s="1307">
        <f t="shared" si="1"/>
        <v>0</v>
      </c>
      <c r="T92"/>
    </row>
    <row r="93" spans="1:20" x14ac:dyDescent="0.2">
      <c r="A93" t="s">
        <v>5266</v>
      </c>
      <c r="B93" s="784" t="s">
        <v>5429</v>
      </c>
      <c r="C93" s="1291">
        <f>SUMIF('4'!H$5:H$100,$A93,'4'!$K$5:$K$100)+SUMIF('4a'!H$5:H$100,$A93,'4a'!$K$5:$K$100)+SUMIF('4b'!H$5:H$100,$A93,'4b'!$K$5:$K$100)+SUMIF('4c'!H$5:H$100,$A93,'4c'!$K$5:$K$100)+SUMIF('5'!H$5:H$100,$A93,'5'!$K$5:$K$100)+SUMIF('6'!H$5:H$100,$A93,'6'!$K$5:$K$100)+SUMIF('7'!H$5:H$100,$A93,'7'!$K$5:$K$100)+SUMIF('7a'!H$5:H$100,$A93,'7a'!$K$5:$K$100)+SUMIF('7b'!H$5:H$100,$A93,'7b'!$K$5:$K$100)+SUMIF('8'!H$5:H$100,$A93,'8'!$K$5:$K$100)+SUMIF('9'!H$5:H$100,$A93,'9'!$K$5:$K$100)+SUMIF('9a'!H$5:H$100,$A93,'9a'!$K$5:$K$100)+SUMIF('9b'!H$5:H$100,$A93,'9b'!$K$5:$K$100)+SUMIF('9c'!H$5:H$100,$A93,'9c'!$K$5:$K$100)+SUMIF('9d'!H$5:H$100,$A93,'9d'!$K$5:$K$100)+SUMIF('9e'!H$5:H$100,$A93,'9e'!$K$5:$K$100)+SUMIF('9f'!H$5:H$100,$A93,'9f'!$K$5:$K$100)+SUMIF('9g'!H$5:H$100,$A93,'9g'!$K$5:$K$100)+SUMIF('9h'!H$5:H$100,$A93,'9h'!$K$5:$K$100)+SUMIF('9 TOTAL'!H$5:H$100,$A93,'9 TOTAL'!$K$5:$K$100)
+SUMIF('10'!H$5:H$100,$A93,'10'!$K$5:$K$100)+SUMIF('10a'!H$5:H$100,$A93,'10a'!$K$5:$K$100)+SUMIF('10b'!H$5:H$100,$A93,'10b'!$K$5:$K$100)+SUMIF('10c'!H$5:H$100,$A93,'10c'!$K$5:$K$100)+SUMIF('10d'!H$5:H$100,$A93,'10d'!$K$5:$K$100)+SUMIF('10e'!H$5:H$100,$A93,'10e'!$K$5:$K$100)+SUMIF('10f'!H$5:H$100,$A93,'10f'!$K$5:$K$100)+SUMIF('10g'!H$5:H$100,$A93,'10g'!$K$5:$K$100)+SUMIF('10h'!H$5:H$100,$A93,'10h'!$K$5:$K$100)+SUMIF('10i'!H$5:H$100,$A93,'10i'!$K$5:$K$100)+SUMIF('10j'!H$5:H$100,$A93,'10j'!$K$5:$K$100)+SUMIF('10k'!H$5:H$100,$A93,'10k'!$K$5:$K$100)+SUMIF('10l'!H$5:H$100,$A93,'10l'!$K$5:$K$100)+SUMIF('10m'!H$5:H$100,$A93,'10m'!$K$5:$K$100)+SUMIF('10 TOTAL'!H$5:H$100,$A93,'10 TOTAL'!$K$5:$K$100)</f>
        <v>0</v>
      </c>
      <c r="D93" s="1291">
        <f>SUMIF('4'!H$5:H$100,$A93,'4'!$I$5:$I$100)+SUMIF('4a'!H$5:H$100,$A93,'4a'!$I$5:$I$100)+SUMIF('4b'!H$5:H$100,$A93,'4b'!$I$5:$I$100)+SUMIF('4c'!H$5:H$100,$A93,'4c'!$I$5:$I$100)+SUMIF('5'!H$5:H$100,$A93,'5'!$I$5:$I$100)+SUMIF('6'!H$5:H$100,$A93,'6'!$I$5:$I$100)+SUMIF('7'!H$5:H$100,$A93,'7'!$I$5:$I$100)+SUMIF('7a'!H$5:H$100,$A93,'7a'!$I$5:$I$100)+SUMIF('7b'!H$5:H$100,$A93,'7b'!$I$5:$I$100)+SUMIF('8'!H$5:H$100,$A93,'8'!$I$5:$I$100)+SUMIF('9'!H$5:H$100,$A93,'9'!$I$5:$I$100)+SUMIF('9a'!H$5:H$100,$A93,'9a'!$I$5:$I$100)+SUMIF('9b'!H$5:H$100,$A93,'9b'!$I$5:$I$100)+SUMIF('9c'!H$5:H$100,$A93,'9c'!$I$5:$I$100)+SUMIF('9d'!H$5:H$100,$A93,'9d'!$I$5:$I$100)+SUMIF('9e'!H$5:H$100,$A93,'9e'!$I$5:$I$100)+SUMIF('9f'!H$5:H$100,$A93,'9f'!$I$5:$I$100)+SUMIF('9g'!H$5:H$100,$A93,'9g'!$I$5:$I$100)+SUMIF('9h'!H$5:H$100,$A93,'9h'!$I$5:$I$100)+SUMIF('9 TOTAL'!H$5:H$100,$A93,'9 TOTAL'!$I$5:$I$100)
+SUMIF('10'!H$5:H$100,$A93,'10'!$I$5:$I$100)+SUMIF('10a'!H$5:H$100,$A93,'10a'!$I$5:$I$100)+SUMIF('10b'!H$5:H$100,$A93,'10b'!$I$5:$I$100)+SUMIF('10c'!H$5:H$100,$A93,'10c'!$I$5:$I$100)+SUMIF('10d'!H$5:H$100,$A93,'10d'!$I$5:$I$100)+SUMIF('10e'!H$5:H$100,$A93,'10e'!$I$5:$I$100)+SUMIF('10f'!H$5:H$100,$A93,'10f'!$I$5:$I$100)+SUMIF('10g'!H$5:H$100,$A93,'10g'!$I$5:$I$100)+SUMIF('10h'!H$5:H$100,$A93,'10h'!$I$5:$I$100)+SUMIF('10i'!H$5:H$100,$A93,'10i'!$I$5:$I$100)+SUMIF('10j'!H$5:H$100,$A93,'10j'!$I$5:$I$100)+SUMIF('10k'!H$5:H$100,$A93,'10k'!$I$5:$I$100)+SUMIF('10l'!H$5:H$100,$A93,'10l'!$I$5:$I$100)+SUMIF('10m'!H$5:H$100,$A93,'10m'!$I$5:$I$100)+SUMIF('10 TOTAL'!H$5:H$100,$A93,'10 TOTAL'!$I$5:$I$100)</f>
        <v>0</v>
      </c>
      <c r="E93"/>
      <c r="F93"/>
      <c r="G93"/>
      <c r="H93"/>
      <c r="I93"/>
      <c r="J93"/>
      <c r="K93"/>
      <c r="L93"/>
      <c r="M93"/>
      <c r="N93"/>
      <c r="O93"/>
      <c r="P93"/>
      <c r="Q93"/>
      <c r="R93"/>
      <c r="S93" s="1307">
        <f t="shared" si="1"/>
        <v>0</v>
      </c>
      <c r="T93"/>
    </row>
    <row r="94" spans="1:20" x14ac:dyDescent="0.2">
      <c r="A94"/>
      <c r="B94" s="1305" t="str">
        <f>"Total- "&amp;A90</f>
        <v>Total- Uniform Construction Code Revenue</v>
      </c>
      <c r="C94" s="1290">
        <f>SUM(C91:C93)</f>
        <v>0</v>
      </c>
      <c r="D94" s="1290">
        <f>SUM(D91:D93)</f>
        <v>0</v>
      </c>
      <c r="E94"/>
      <c r="F94"/>
      <c r="G94"/>
      <c r="H94"/>
      <c r="I94"/>
      <c r="J94"/>
      <c r="K94"/>
      <c r="L94"/>
      <c r="M94"/>
      <c r="N94"/>
      <c r="O94"/>
      <c r="P94"/>
      <c r="Q94"/>
      <c r="R94"/>
      <c r="S94" s="1307"/>
      <c r="T94"/>
    </row>
    <row r="95" spans="1:20" x14ac:dyDescent="0.2">
      <c r="A95"/>
      <c r="B95" s="784"/>
      <c r="C95" s="1291"/>
      <c r="D95" s="1291"/>
      <c r="E95"/>
      <c r="F95"/>
      <c r="G95"/>
      <c r="H95"/>
      <c r="I95"/>
      <c r="J95"/>
      <c r="K95"/>
      <c r="L95"/>
      <c r="M95"/>
      <c r="N95"/>
      <c r="O95"/>
      <c r="P95"/>
      <c r="Q95"/>
      <c r="R95"/>
      <c r="S95" s="1307"/>
      <c r="T95"/>
    </row>
    <row r="96" spans="1:20" x14ac:dyDescent="0.2">
      <c r="A96" s="106" t="s">
        <v>5433</v>
      </c>
      <c r="B96" s="5"/>
      <c r="C96" s="75"/>
      <c r="D96" s="75"/>
      <c r="E96"/>
      <c r="F96"/>
      <c r="G96"/>
      <c r="H96"/>
      <c r="I96"/>
      <c r="J96"/>
      <c r="K96"/>
      <c r="L96"/>
      <c r="M96"/>
      <c r="N96"/>
      <c r="O96"/>
      <c r="P96"/>
      <c r="Q96"/>
      <c r="R96"/>
      <c r="S96" s="1307"/>
      <c r="T96"/>
    </row>
    <row r="97" spans="1:20" x14ac:dyDescent="0.2">
      <c r="A97" t="s">
        <v>3385</v>
      </c>
      <c r="B97" t="s">
        <v>5392</v>
      </c>
      <c r="C97" s="1291">
        <f>SUMIF('4'!H$5:H$100,$A97,'4'!$K$5:$K$100)+SUMIF('4a'!H$5:H$100,$A97,'4a'!$K$5:$K$100)+SUMIF('4b'!H$5:H$100,$A97,'4b'!$K$5:$K$100)+SUMIF('4c'!H$5:H$100,$A97,'4c'!$K$5:$K$100)+SUMIF('5'!H$5:H$100,$A97,'5'!$K$5:$K$100)+SUMIF('6'!H$5:H$100,$A97,'6'!$K$5:$K$100)+SUMIF('7'!H$5:H$100,$A97,'7'!$K$5:$K$100)+SUMIF('7a'!H$5:H$100,$A97,'7a'!$K$5:$K$100)+SUMIF('7b'!H$5:H$100,$A97,'7b'!$K$5:$K$100)+SUMIF('8'!H$5:H$100,$A97,'8'!$K$5:$K$100)+SUMIF('9'!H$5:H$100,$A97,'9'!$K$5:$K$100)+SUMIF('9a'!H$5:H$100,$A97,'9a'!$K$5:$K$100)+SUMIF('9b'!H$5:H$100,$A97,'9b'!$K$5:$K$100)+SUMIF('9c'!H$5:H$100,$A97,'9c'!$K$5:$K$100)+SUMIF('9d'!H$5:H$100,$A97,'9d'!$K$5:$K$100)+SUMIF('9e'!H$5:H$100,$A97,'9e'!$K$5:$K$100)+SUMIF('9f'!H$5:H$100,$A97,'9f'!$K$5:$K$100)+SUMIF('9g'!H$5:H$100,$A97,'9g'!$K$5:$K$100)+SUMIF('9h'!H$5:H$100,$A97,'9h'!$K$5:$K$100)+SUMIF('9 TOTAL'!H$5:H$100,$A97,'9 TOTAL'!$K$5:$K$100)
+SUMIF('10'!H$5:H$100,$A97,'10'!$K$5:$K$100)+SUMIF('10a'!H$5:H$100,$A97,'10a'!$K$5:$K$100)+SUMIF('10b'!H$5:H$100,$A97,'10b'!$K$5:$K$100)+SUMIF('10c'!H$5:H$100,$A97,'10c'!$K$5:$K$100)+SUMIF('10d'!H$5:H$100,$A97,'10d'!$K$5:$K$100)+SUMIF('10e'!H$5:H$100,$A97,'10e'!$K$5:$K$100)+SUMIF('10f'!H$5:H$100,$A97,'10f'!$K$5:$K$100)+SUMIF('10g'!H$5:H$100,$A97,'10g'!$K$5:$K$100)+SUMIF('10h'!H$5:H$100,$A97,'10h'!$K$5:$K$100)+SUMIF('10i'!H$5:H$100,$A97,'10i'!$K$5:$K$100)+SUMIF('10j'!H$5:H$100,$A97,'10j'!$K$5:$K$100)+SUMIF('10k'!H$5:H$100,$A97,'10k'!$K$5:$K$100)+SUMIF('10l'!H$5:H$100,$A97,'10l'!$K$5:$K$100)+SUMIF('10m'!H$5:H$100,$A97,'10m'!$K$5:$K$100)+SUMIF('10 TOTAL'!H$5:H$100,$A97,'10 TOTAL'!$K$5:$K$100)</f>
        <v>0</v>
      </c>
      <c r="D97" s="1291">
        <f>SUMIF('4'!H$5:H$100,$A97,'4'!$I$5:$I$100)+SUMIF('4a'!H$5:H$100,$A97,'4a'!$I$5:$I$100)+SUMIF('4b'!H$5:H$100,$A97,'4b'!$I$5:$I$100)+SUMIF('4c'!H$5:H$100,$A97,'4c'!$I$5:$I$100)+SUMIF('5'!H$5:H$100,$A97,'5'!$I$5:$I$100)+SUMIF('6'!H$5:H$100,$A97,'6'!$I$5:$I$100)+SUMIF('7'!H$5:H$100,$A97,'7'!$I$5:$I$100)+SUMIF('7a'!H$5:H$100,$A97,'7a'!$I$5:$I$100)+SUMIF('7b'!H$5:H$100,$A97,'7b'!$I$5:$I$100)+SUMIF('8'!H$5:H$100,$A97,'8'!$I$5:$I$100)+SUMIF('9'!H$5:H$100,$A97,'9'!$I$5:$I$100)+SUMIF('9a'!H$5:H$100,$A97,'9a'!$I$5:$I$100)+SUMIF('9b'!H$5:H$100,$A97,'9b'!$I$5:$I$100)+SUMIF('9c'!H$5:H$100,$A97,'9c'!$I$5:$I$100)+SUMIF('9d'!H$5:H$100,$A97,'9d'!$I$5:$I$100)+SUMIF('9e'!H$5:H$100,$A97,'9e'!$I$5:$I$100)+SUMIF('9f'!H$5:H$100,$A97,'9f'!$I$5:$I$100)+SUMIF('9g'!H$5:H$100,$A97,'9g'!$I$5:$I$100)+SUMIF('9h'!H$5:H$100,$A97,'9h'!$I$5:$I$100)+SUMIF('9 TOTAL'!H$5:H$100,$A97,'9 TOTAL'!$I$5:$I$100)
+SUMIF('10'!H$5:H$100,$A97,'10'!$I$5:$I$100)+SUMIF('10a'!H$5:H$100,$A97,'10a'!$I$5:$I$100)+SUMIF('10b'!H$5:H$100,$A97,'10b'!$I$5:$I$100)+SUMIF('10c'!H$5:H$100,$A97,'10c'!$I$5:$I$100)+SUMIF('10d'!H$5:H$100,$A97,'10d'!$I$5:$I$100)+SUMIF('10e'!H$5:H$100,$A97,'10e'!$I$5:$I$100)+SUMIF('10f'!H$5:H$100,$A97,'10f'!$I$5:$I$100)+SUMIF('10g'!H$5:H$100,$A97,'10g'!$I$5:$I$100)+SUMIF('10h'!H$5:H$100,$A97,'10h'!$I$5:$I$100)+SUMIF('10i'!H$5:H$100,$A97,'10i'!$I$5:$I$100)+SUMIF('10j'!H$5:H$100,$A97,'10j'!$I$5:$I$100)+SUMIF('10k'!H$5:H$100,$A97,'10k'!$I$5:$I$100)+SUMIF('10l'!H$5:H$100,$A97,'10l'!$I$5:$I$100)+SUMIF('10m'!H$5:H$100,$A97,'10m'!$I$5:$I$100)+SUMIF('10 TOTAL'!H$5:H$100,$A97,'10 TOTAL'!$I$5:$I$100)</f>
        <v>0</v>
      </c>
      <c r="E97"/>
      <c r="F97"/>
      <c r="G97"/>
      <c r="H97"/>
      <c r="I97"/>
      <c r="J97"/>
      <c r="K97"/>
      <c r="L97"/>
      <c r="M97"/>
      <c r="N97"/>
      <c r="O97"/>
      <c r="P97"/>
      <c r="Q97"/>
      <c r="R97"/>
      <c r="S97" s="1307">
        <f t="shared" si="1"/>
        <v>0</v>
      </c>
      <c r="T97"/>
    </row>
    <row r="98" spans="1:20" x14ac:dyDescent="0.2">
      <c r="A98" t="s">
        <v>3389</v>
      </c>
      <c r="B98" t="s">
        <v>5393</v>
      </c>
      <c r="C98" s="1291">
        <f>SUMIF('4'!H$5:H$100,$A98,'4'!$K$5:$K$100)+SUMIF('4a'!H$5:H$100,$A98,'4a'!$K$5:$K$100)+SUMIF('4b'!H$5:H$100,$A98,'4b'!$K$5:$K$100)+SUMIF('4c'!H$5:H$100,$A98,'4c'!$K$5:$K$100)+SUMIF('5'!H$5:H$100,$A98,'5'!$K$5:$K$100)+SUMIF('6'!H$5:H$100,$A98,'6'!$K$5:$K$100)+SUMIF('7'!H$5:H$100,$A98,'7'!$K$5:$K$100)+SUMIF('7a'!H$5:H$100,$A98,'7a'!$K$5:$K$100)+SUMIF('7b'!H$5:H$100,$A98,'7b'!$K$5:$K$100)+SUMIF('8'!H$5:H$100,$A98,'8'!$K$5:$K$100)+SUMIF('9'!H$5:H$100,$A98,'9'!$K$5:$K$100)+SUMIF('9a'!H$5:H$100,$A98,'9a'!$K$5:$K$100)+SUMIF('9b'!H$5:H$100,$A98,'9b'!$K$5:$K$100)+SUMIF('9c'!H$5:H$100,$A98,'9c'!$K$5:$K$100)+SUMIF('9d'!H$5:H$100,$A98,'9d'!$K$5:$K$100)+SUMIF('9e'!H$5:H$100,$A98,'9e'!$K$5:$K$100)+SUMIF('9f'!H$5:H$100,$A98,'9f'!$K$5:$K$100)+SUMIF('9g'!H$5:H$100,$A98,'9g'!$K$5:$K$100)+SUMIF('9h'!H$5:H$100,$A98,'9h'!$K$5:$K$100)+SUMIF('9 TOTAL'!H$5:H$100,$A98,'9 TOTAL'!$K$5:$K$100)
+SUMIF('10'!H$5:H$100,$A98,'10'!$K$5:$K$100)+SUMIF('10a'!H$5:H$100,$A98,'10a'!$K$5:$K$100)+SUMIF('10b'!H$5:H$100,$A98,'10b'!$K$5:$K$100)+SUMIF('10c'!H$5:H$100,$A98,'10c'!$K$5:$K$100)+SUMIF('10d'!H$5:H$100,$A98,'10d'!$K$5:$K$100)+SUMIF('10e'!H$5:H$100,$A98,'10e'!$K$5:$K$100)+SUMIF('10f'!H$5:H$100,$A98,'10f'!$K$5:$K$100)+SUMIF('10g'!H$5:H$100,$A98,'10g'!$K$5:$K$100)+SUMIF('10h'!H$5:H$100,$A98,'10h'!$K$5:$K$100)+SUMIF('10i'!H$5:H$100,$A98,'10i'!$K$5:$K$100)+SUMIF('10j'!H$5:H$100,$A98,'10j'!$K$5:$K$100)+SUMIF('10k'!H$5:H$100,$A98,'10k'!$K$5:$K$100)+SUMIF('10l'!H$5:H$100,$A98,'10l'!$K$5:$K$100)+SUMIF('10m'!H$5:H$100,$A98,'10m'!$K$5:$K$100)+SUMIF('10 TOTAL'!H$5:H$100,$A98,'10 TOTAL'!$K$5:$K$100)</f>
        <v>0</v>
      </c>
      <c r="D98" s="1291">
        <f>SUMIF('4'!H$5:H$100,$A98,'4'!$I$5:$I$100)+SUMIF('4a'!H$5:H$100,$A98,'4a'!$I$5:$I$100)+SUMIF('4b'!H$5:H$100,$A98,'4b'!$I$5:$I$100)+SUMIF('4c'!H$5:H$100,$A98,'4c'!$I$5:$I$100)+SUMIF('5'!H$5:H$100,$A98,'5'!$I$5:$I$100)+SUMIF('6'!H$5:H$100,$A98,'6'!$I$5:$I$100)+SUMIF('7'!H$5:H$100,$A98,'7'!$I$5:$I$100)+SUMIF('7a'!H$5:H$100,$A98,'7a'!$I$5:$I$100)+SUMIF('7b'!H$5:H$100,$A98,'7b'!$I$5:$I$100)+SUMIF('8'!H$5:H$100,$A98,'8'!$I$5:$I$100)+SUMIF('9'!H$5:H$100,$A98,'9'!$I$5:$I$100)+SUMIF('9a'!H$5:H$100,$A98,'9a'!$I$5:$I$100)+SUMIF('9b'!H$5:H$100,$A98,'9b'!$I$5:$I$100)+SUMIF('9c'!H$5:H$100,$A98,'9c'!$I$5:$I$100)+SUMIF('9d'!H$5:H$100,$A98,'9d'!$I$5:$I$100)+SUMIF('9e'!H$5:H$100,$A98,'9e'!$I$5:$I$100)+SUMIF('9f'!H$5:H$100,$A98,'9f'!$I$5:$I$100)+SUMIF('9g'!H$5:H$100,$A98,'9g'!$I$5:$I$100)+SUMIF('9h'!H$5:H$100,$A98,'9h'!$I$5:$I$100)+SUMIF('9 TOTAL'!H$5:H$100,$A98,'9 TOTAL'!$I$5:$I$100)
+SUMIF('10'!H$5:H$100,$A98,'10'!$I$5:$I$100)+SUMIF('10a'!H$5:H$100,$A98,'10a'!$I$5:$I$100)+SUMIF('10b'!H$5:H$100,$A98,'10b'!$I$5:$I$100)+SUMIF('10c'!H$5:H$100,$A98,'10c'!$I$5:$I$100)+SUMIF('10d'!H$5:H$100,$A98,'10d'!$I$5:$I$100)+SUMIF('10e'!H$5:H$100,$A98,'10e'!$I$5:$I$100)+SUMIF('10f'!H$5:H$100,$A98,'10f'!$I$5:$I$100)+SUMIF('10g'!H$5:H$100,$A98,'10g'!$I$5:$I$100)+SUMIF('10h'!H$5:H$100,$A98,'10h'!$I$5:$I$100)+SUMIF('10i'!H$5:H$100,$A98,'10i'!$I$5:$I$100)+SUMIF('10j'!H$5:H$100,$A98,'10j'!$I$5:$I$100)+SUMIF('10k'!H$5:H$100,$A98,'10k'!$I$5:$I$100)+SUMIF('10l'!H$5:H$100,$A98,'10l'!$I$5:$I$100)+SUMIF('10m'!H$5:H$100,$A98,'10m'!$I$5:$I$100)+SUMIF('10 TOTAL'!H$5:H$100,$A98,'10 TOTAL'!$I$5:$I$100)</f>
        <v>0</v>
      </c>
      <c r="E98"/>
      <c r="F98"/>
      <c r="G98"/>
      <c r="H98"/>
      <c r="I98"/>
      <c r="J98"/>
      <c r="K98"/>
      <c r="L98"/>
      <c r="M98"/>
      <c r="N98"/>
      <c r="O98"/>
      <c r="P98"/>
      <c r="Q98"/>
      <c r="R98"/>
      <c r="S98" s="1307">
        <f t="shared" si="1"/>
        <v>0</v>
      </c>
      <c r="T98"/>
    </row>
    <row r="99" spans="1:20" x14ac:dyDescent="0.2">
      <c r="A99" t="s">
        <v>3392</v>
      </c>
      <c r="B99" t="s">
        <v>5394</v>
      </c>
      <c r="C99" s="1291">
        <f>SUMIF('4'!H$5:H$100,$A99,'4'!$K$5:$K$100)+SUMIF('4a'!H$5:H$100,$A99,'4a'!$K$5:$K$100)+SUMIF('4b'!H$5:H$100,$A99,'4b'!$K$5:$K$100)+SUMIF('4c'!H$5:H$100,$A99,'4c'!$K$5:$K$100)+SUMIF('5'!H$5:H$100,$A99,'5'!$K$5:$K$100)+SUMIF('6'!H$5:H$100,$A99,'6'!$K$5:$K$100)+SUMIF('7'!H$5:H$100,$A99,'7'!$K$5:$K$100)+SUMIF('7a'!H$5:H$100,$A99,'7a'!$K$5:$K$100)+SUMIF('7b'!H$5:H$100,$A99,'7b'!$K$5:$K$100)+SUMIF('8'!H$5:H$100,$A99,'8'!$K$5:$K$100)+SUMIF('9'!H$5:H$100,$A99,'9'!$K$5:$K$100)+SUMIF('9a'!H$5:H$100,$A99,'9a'!$K$5:$K$100)+SUMIF('9b'!H$5:H$100,$A99,'9b'!$K$5:$K$100)+SUMIF('9c'!H$5:H$100,$A99,'9c'!$K$5:$K$100)+SUMIF('9d'!H$5:H$100,$A99,'9d'!$K$5:$K$100)+SUMIF('9e'!H$5:H$100,$A99,'9e'!$K$5:$K$100)+SUMIF('9f'!H$5:H$100,$A99,'9f'!$K$5:$K$100)+SUMIF('9g'!H$5:H$100,$A99,'9g'!$K$5:$K$100)+SUMIF('9h'!H$5:H$100,$A99,'9h'!$K$5:$K$100)+SUMIF('9 TOTAL'!H$5:H$100,$A99,'9 TOTAL'!$K$5:$K$100)
+SUMIF('10'!H$5:H$100,$A99,'10'!$K$5:$K$100)+SUMIF('10a'!H$5:H$100,$A99,'10a'!$K$5:$K$100)+SUMIF('10b'!H$5:H$100,$A99,'10b'!$K$5:$K$100)+SUMIF('10c'!H$5:H$100,$A99,'10c'!$K$5:$K$100)+SUMIF('10d'!H$5:H$100,$A99,'10d'!$K$5:$K$100)+SUMIF('10e'!H$5:H$100,$A99,'10e'!$K$5:$K$100)+SUMIF('10f'!H$5:H$100,$A99,'10f'!$K$5:$K$100)+SUMIF('10g'!H$5:H$100,$A99,'10g'!$K$5:$K$100)+SUMIF('10h'!H$5:H$100,$A99,'10h'!$K$5:$K$100)+SUMIF('10i'!H$5:H$100,$A99,'10i'!$K$5:$K$100)+SUMIF('10j'!H$5:H$100,$A99,'10j'!$K$5:$K$100)+SUMIF('10k'!H$5:H$100,$A99,'10k'!$K$5:$K$100)+SUMIF('10l'!H$5:H$100,$A99,'10l'!$K$5:$K$100)+SUMIF('10m'!H$5:H$100,$A99,'10m'!$K$5:$K$100)+SUMIF('10 TOTAL'!H$5:H$100,$A99,'10 TOTAL'!$K$5:$K$100)</f>
        <v>0</v>
      </c>
      <c r="D99" s="1291">
        <f>SUMIF('4'!H$5:H$100,$A99,'4'!$I$5:$I$100)+SUMIF('4a'!H$5:H$100,$A99,'4a'!$I$5:$I$100)+SUMIF('4b'!H$5:H$100,$A99,'4b'!$I$5:$I$100)+SUMIF('4c'!H$5:H$100,$A99,'4c'!$I$5:$I$100)+SUMIF('5'!H$5:H$100,$A99,'5'!$I$5:$I$100)+SUMIF('6'!H$5:H$100,$A99,'6'!$I$5:$I$100)+SUMIF('7'!H$5:H$100,$A99,'7'!$I$5:$I$100)+SUMIF('7a'!H$5:H$100,$A99,'7a'!$I$5:$I$100)+SUMIF('7b'!H$5:H$100,$A99,'7b'!$I$5:$I$100)+SUMIF('8'!H$5:H$100,$A99,'8'!$I$5:$I$100)+SUMIF('9'!H$5:H$100,$A99,'9'!$I$5:$I$100)+SUMIF('9a'!H$5:H$100,$A99,'9a'!$I$5:$I$100)+SUMIF('9b'!H$5:H$100,$A99,'9b'!$I$5:$I$100)+SUMIF('9c'!H$5:H$100,$A99,'9c'!$I$5:$I$100)+SUMIF('9d'!H$5:H$100,$A99,'9d'!$I$5:$I$100)+SUMIF('9e'!H$5:H$100,$A99,'9e'!$I$5:$I$100)+SUMIF('9f'!H$5:H$100,$A99,'9f'!$I$5:$I$100)+SUMIF('9g'!H$5:H$100,$A99,'9g'!$I$5:$I$100)+SUMIF('9h'!H$5:H$100,$A99,'9h'!$I$5:$I$100)+SUMIF('9 TOTAL'!H$5:H$100,$A99,'9 TOTAL'!$I$5:$I$100)
+SUMIF('10'!H$5:H$100,$A99,'10'!$I$5:$I$100)+SUMIF('10a'!H$5:H$100,$A99,'10a'!$I$5:$I$100)+SUMIF('10b'!H$5:H$100,$A99,'10b'!$I$5:$I$100)+SUMIF('10c'!H$5:H$100,$A99,'10c'!$I$5:$I$100)+SUMIF('10d'!H$5:H$100,$A99,'10d'!$I$5:$I$100)+SUMIF('10e'!H$5:H$100,$A99,'10e'!$I$5:$I$100)+SUMIF('10f'!H$5:H$100,$A99,'10f'!$I$5:$I$100)+SUMIF('10g'!H$5:H$100,$A99,'10g'!$I$5:$I$100)+SUMIF('10h'!H$5:H$100,$A99,'10h'!$I$5:$I$100)+SUMIF('10i'!H$5:H$100,$A99,'10i'!$I$5:$I$100)+SUMIF('10j'!H$5:H$100,$A99,'10j'!$I$5:$I$100)+SUMIF('10k'!H$5:H$100,$A99,'10k'!$I$5:$I$100)+SUMIF('10l'!H$5:H$100,$A99,'10l'!$I$5:$I$100)+SUMIF('10m'!H$5:H$100,$A99,'10m'!$I$5:$I$100)+SUMIF('10 TOTAL'!H$5:H$100,$A99,'10 TOTAL'!$I$5:$I$100)</f>
        <v>0</v>
      </c>
      <c r="E99"/>
      <c r="F99"/>
      <c r="G99"/>
      <c r="H99"/>
      <c r="I99"/>
      <c r="J99"/>
      <c r="K99"/>
      <c r="L99"/>
      <c r="M99"/>
      <c r="N99"/>
      <c r="O99"/>
      <c r="P99"/>
      <c r="Q99"/>
      <c r="R99"/>
      <c r="S99" s="1307">
        <f t="shared" si="1"/>
        <v>0</v>
      </c>
      <c r="T99"/>
    </row>
    <row r="100" spans="1:20" x14ac:dyDescent="0.2">
      <c r="A100" t="s">
        <v>3396</v>
      </c>
      <c r="B100" t="s">
        <v>5395</v>
      </c>
      <c r="C100" s="1291">
        <f>SUMIF('4'!H$5:H$100,$A100,'4'!$K$5:$K$100)+SUMIF('4a'!H$5:H$100,$A100,'4a'!$K$5:$K$100)+SUMIF('4b'!H$5:H$100,$A100,'4b'!$K$5:$K$100)+SUMIF('4c'!H$5:H$100,$A100,'4c'!$K$5:$K$100)+SUMIF('5'!H$5:H$100,$A100,'5'!$K$5:$K$100)+SUMIF('6'!H$5:H$100,$A100,'6'!$K$5:$K$100)+SUMIF('7'!H$5:H$100,$A100,'7'!$K$5:$K$100)+SUMIF('7a'!H$5:H$100,$A100,'7a'!$K$5:$K$100)+SUMIF('7b'!H$5:H$100,$A100,'7b'!$K$5:$K$100)+SUMIF('8'!H$5:H$100,$A100,'8'!$K$5:$K$100)+SUMIF('9'!H$5:H$100,$A100,'9'!$K$5:$K$100)+SUMIF('9a'!H$5:H$100,$A100,'9a'!$K$5:$K$100)+SUMIF('9b'!H$5:H$100,$A100,'9b'!$K$5:$K$100)+SUMIF('9c'!H$5:H$100,$A100,'9c'!$K$5:$K$100)+SUMIF('9d'!H$5:H$100,$A100,'9d'!$K$5:$K$100)+SUMIF('9e'!H$5:H$100,$A100,'9e'!$K$5:$K$100)+SUMIF('9f'!H$5:H$100,$A100,'9f'!$K$5:$K$100)+SUMIF('9g'!H$5:H$100,$A100,'9g'!$K$5:$K$100)+SUMIF('9h'!H$5:H$100,$A100,'9h'!$K$5:$K$100)+SUMIF('9 TOTAL'!H$5:H$100,$A100,'9 TOTAL'!$K$5:$K$100)
+SUMIF('10'!H$5:H$100,$A100,'10'!$K$5:$K$100)+SUMIF('10a'!H$5:H$100,$A100,'10a'!$K$5:$K$100)+SUMIF('10b'!H$5:H$100,$A100,'10b'!$K$5:$K$100)+SUMIF('10c'!H$5:H$100,$A100,'10c'!$K$5:$K$100)+SUMIF('10d'!H$5:H$100,$A100,'10d'!$K$5:$K$100)+SUMIF('10e'!H$5:H$100,$A100,'10e'!$K$5:$K$100)+SUMIF('10f'!H$5:H$100,$A100,'10f'!$K$5:$K$100)+SUMIF('10g'!H$5:H$100,$A100,'10g'!$K$5:$K$100)+SUMIF('10h'!H$5:H$100,$A100,'10h'!$K$5:$K$100)+SUMIF('10i'!H$5:H$100,$A100,'10i'!$K$5:$K$100)+SUMIF('10j'!H$5:H$100,$A100,'10j'!$K$5:$K$100)+SUMIF('10k'!H$5:H$100,$A100,'10k'!$K$5:$K$100)+SUMIF('10l'!H$5:H$100,$A100,'10l'!$K$5:$K$100)+SUMIF('10m'!H$5:H$100,$A100,'10m'!$K$5:$K$100)+SUMIF('10 TOTAL'!H$5:H$100,$A100,'10 TOTAL'!$K$5:$K$100)</f>
        <v>0</v>
      </c>
      <c r="D100" s="1291">
        <f>SUMIF('4'!H$5:H$100,$A100,'4'!$I$5:$I$100)+SUMIF('4a'!H$5:H$100,$A100,'4a'!$I$5:$I$100)+SUMIF('4b'!H$5:H$100,$A100,'4b'!$I$5:$I$100)+SUMIF('4c'!H$5:H$100,$A100,'4c'!$I$5:$I$100)+SUMIF('5'!H$5:H$100,$A100,'5'!$I$5:$I$100)+SUMIF('6'!H$5:H$100,$A100,'6'!$I$5:$I$100)+SUMIF('7'!H$5:H$100,$A100,'7'!$I$5:$I$100)+SUMIF('7a'!H$5:H$100,$A100,'7a'!$I$5:$I$100)+SUMIF('7b'!H$5:H$100,$A100,'7b'!$I$5:$I$100)+SUMIF('8'!H$5:H$100,$A100,'8'!$I$5:$I$100)+SUMIF('9'!H$5:H$100,$A100,'9'!$I$5:$I$100)+SUMIF('9a'!H$5:H$100,$A100,'9a'!$I$5:$I$100)+SUMIF('9b'!H$5:H$100,$A100,'9b'!$I$5:$I$100)+SUMIF('9c'!H$5:H$100,$A100,'9c'!$I$5:$I$100)+SUMIF('9d'!H$5:H$100,$A100,'9d'!$I$5:$I$100)+SUMIF('9e'!H$5:H$100,$A100,'9e'!$I$5:$I$100)+SUMIF('9f'!H$5:H$100,$A100,'9f'!$I$5:$I$100)+SUMIF('9g'!H$5:H$100,$A100,'9g'!$I$5:$I$100)+SUMIF('9h'!H$5:H$100,$A100,'9h'!$I$5:$I$100)+SUMIF('9 TOTAL'!H$5:H$100,$A100,'9 TOTAL'!$I$5:$I$100)
+SUMIF('10'!H$5:H$100,$A100,'10'!$I$5:$I$100)+SUMIF('10a'!H$5:H$100,$A100,'10a'!$I$5:$I$100)+SUMIF('10b'!H$5:H$100,$A100,'10b'!$I$5:$I$100)+SUMIF('10c'!H$5:H$100,$A100,'10c'!$I$5:$I$100)+SUMIF('10d'!H$5:H$100,$A100,'10d'!$I$5:$I$100)+SUMIF('10e'!H$5:H$100,$A100,'10e'!$I$5:$I$100)+SUMIF('10f'!H$5:H$100,$A100,'10f'!$I$5:$I$100)+SUMIF('10g'!H$5:H$100,$A100,'10g'!$I$5:$I$100)+SUMIF('10h'!H$5:H$100,$A100,'10h'!$I$5:$I$100)+SUMIF('10i'!H$5:H$100,$A100,'10i'!$I$5:$I$100)+SUMIF('10j'!H$5:H$100,$A100,'10j'!$I$5:$I$100)+SUMIF('10k'!H$5:H$100,$A100,'10k'!$I$5:$I$100)+SUMIF('10l'!H$5:H$100,$A100,'10l'!$I$5:$I$100)+SUMIF('10m'!H$5:H$100,$A100,'10m'!$I$5:$I$100)+SUMIF('10 TOTAL'!H$5:H$100,$A100,'10 TOTAL'!$I$5:$I$100)</f>
        <v>0</v>
      </c>
      <c r="E100"/>
      <c r="F100"/>
      <c r="G100"/>
      <c r="H100"/>
      <c r="I100"/>
      <c r="J100"/>
      <c r="K100"/>
      <c r="L100"/>
      <c r="M100"/>
      <c r="N100"/>
      <c r="O100"/>
      <c r="P100"/>
      <c r="Q100"/>
      <c r="R100"/>
      <c r="S100" s="1307">
        <f t="shared" si="1"/>
        <v>0</v>
      </c>
      <c r="T100"/>
    </row>
    <row r="101" spans="1:20" x14ac:dyDescent="0.2">
      <c r="A101" t="s">
        <v>3400</v>
      </c>
      <c r="B101" t="s">
        <v>5396</v>
      </c>
      <c r="C101" s="1291">
        <f>SUMIF('4'!H$5:H$100,$A101,'4'!$K$5:$K$100)+SUMIF('4a'!H$5:H$100,$A101,'4a'!$K$5:$K$100)+SUMIF('4b'!H$5:H$100,$A101,'4b'!$K$5:$K$100)+SUMIF('4c'!H$5:H$100,$A101,'4c'!$K$5:$K$100)+SUMIF('5'!H$5:H$100,$A101,'5'!$K$5:$K$100)+SUMIF('6'!H$5:H$100,$A101,'6'!$K$5:$K$100)+SUMIF('7'!H$5:H$100,$A101,'7'!$K$5:$K$100)+SUMIF('7a'!H$5:H$100,$A101,'7a'!$K$5:$K$100)+SUMIF('7b'!H$5:H$100,$A101,'7b'!$K$5:$K$100)+SUMIF('8'!H$5:H$100,$A101,'8'!$K$5:$K$100)+SUMIF('9'!H$5:H$100,$A101,'9'!$K$5:$K$100)+SUMIF('9a'!H$5:H$100,$A101,'9a'!$K$5:$K$100)+SUMIF('9b'!H$5:H$100,$A101,'9b'!$K$5:$K$100)+SUMIF('9c'!H$5:H$100,$A101,'9c'!$K$5:$K$100)+SUMIF('9d'!H$5:H$100,$A101,'9d'!$K$5:$K$100)+SUMIF('9e'!H$5:H$100,$A101,'9e'!$K$5:$K$100)+SUMIF('9f'!H$5:H$100,$A101,'9f'!$K$5:$K$100)+SUMIF('9g'!H$5:H$100,$A101,'9g'!$K$5:$K$100)+SUMIF('9h'!H$5:H$100,$A101,'9h'!$K$5:$K$100)+SUMIF('9 TOTAL'!H$5:H$100,$A101,'9 TOTAL'!$K$5:$K$100)
+SUMIF('10'!H$5:H$100,$A101,'10'!$K$5:$K$100)+SUMIF('10a'!H$5:H$100,$A101,'10a'!$K$5:$K$100)+SUMIF('10b'!H$5:H$100,$A101,'10b'!$K$5:$K$100)+SUMIF('10c'!H$5:H$100,$A101,'10c'!$K$5:$K$100)+SUMIF('10d'!H$5:H$100,$A101,'10d'!$K$5:$K$100)+SUMIF('10e'!H$5:H$100,$A101,'10e'!$K$5:$K$100)+SUMIF('10f'!H$5:H$100,$A101,'10f'!$K$5:$K$100)+SUMIF('10g'!H$5:H$100,$A101,'10g'!$K$5:$K$100)+SUMIF('10h'!H$5:H$100,$A101,'10h'!$K$5:$K$100)+SUMIF('10i'!H$5:H$100,$A101,'10i'!$K$5:$K$100)+SUMIF('10j'!H$5:H$100,$A101,'10j'!$K$5:$K$100)+SUMIF('10k'!H$5:H$100,$A101,'10k'!$K$5:$K$100)+SUMIF('10l'!H$5:H$100,$A101,'10l'!$K$5:$K$100)+SUMIF('10m'!H$5:H$100,$A101,'10m'!$K$5:$K$100)+SUMIF('10 TOTAL'!H$5:H$100,$A101,'10 TOTAL'!$K$5:$K$100)</f>
        <v>0</v>
      </c>
      <c r="D101" s="1291">
        <f>SUMIF('4'!H$5:H$100,$A101,'4'!$I$5:$I$100)+SUMIF('4a'!H$5:H$100,$A101,'4a'!$I$5:$I$100)+SUMIF('4b'!H$5:H$100,$A101,'4b'!$I$5:$I$100)+SUMIF('4c'!H$5:H$100,$A101,'4c'!$I$5:$I$100)+SUMIF('5'!H$5:H$100,$A101,'5'!$I$5:$I$100)+SUMIF('6'!H$5:H$100,$A101,'6'!$I$5:$I$100)+SUMIF('7'!H$5:H$100,$A101,'7'!$I$5:$I$100)+SUMIF('7a'!H$5:H$100,$A101,'7a'!$I$5:$I$100)+SUMIF('7b'!H$5:H$100,$A101,'7b'!$I$5:$I$100)+SUMIF('8'!H$5:H$100,$A101,'8'!$I$5:$I$100)+SUMIF('9'!H$5:H$100,$A101,'9'!$I$5:$I$100)+SUMIF('9a'!H$5:H$100,$A101,'9a'!$I$5:$I$100)+SUMIF('9b'!H$5:H$100,$A101,'9b'!$I$5:$I$100)+SUMIF('9c'!H$5:H$100,$A101,'9c'!$I$5:$I$100)+SUMIF('9d'!H$5:H$100,$A101,'9d'!$I$5:$I$100)+SUMIF('9e'!H$5:H$100,$A101,'9e'!$I$5:$I$100)+SUMIF('9f'!H$5:H$100,$A101,'9f'!$I$5:$I$100)+SUMIF('9g'!H$5:H$100,$A101,'9g'!$I$5:$I$100)+SUMIF('9h'!H$5:H$100,$A101,'9h'!$I$5:$I$100)+SUMIF('9 TOTAL'!H$5:H$100,$A101,'9 TOTAL'!$I$5:$I$100)
+SUMIF('10'!H$5:H$100,$A101,'10'!$I$5:$I$100)+SUMIF('10a'!H$5:H$100,$A101,'10a'!$I$5:$I$100)+SUMIF('10b'!H$5:H$100,$A101,'10b'!$I$5:$I$100)+SUMIF('10c'!H$5:H$100,$A101,'10c'!$I$5:$I$100)+SUMIF('10d'!H$5:H$100,$A101,'10d'!$I$5:$I$100)+SUMIF('10e'!H$5:H$100,$A101,'10e'!$I$5:$I$100)+SUMIF('10f'!H$5:H$100,$A101,'10f'!$I$5:$I$100)+SUMIF('10g'!H$5:H$100,$A101,'10g'!$I$5:$I$100)+SUMIF('10h'!H$5:H$100,$A101,'10h'!$I$5:$I$100)+SUMIF('10i'!H$5:H$100,$A101,'10i'!$I$5:$I$100)+SUMIF('10j'!H$5:H$100,$A101,'10j'!$I$5:$I$100)+SUMIF('10k'!H$5:H$100,$A101,'10k'!$I$5:$I$100)+SUMIF('10l'!H$5:H$100,$A101,'10l'!$I$5:$I$100)+SUMIF('10m'!H$5:H$100,$A101,'10m'!$I$5:$I$100)+SUMIF('10 TOTAL'!H$5:H$100,$A101,'10 TOTAL'!$I$5:$I$100)</f>
        <v>0</v>
      </c>
      <c r="E101"/>
      <c r="F101"/>
      <c r="G101"/>
      <c r="H101"/>
      <c r="I101"/>
      <c r="J101"/>
      <c r="K101"/>
      <c r="L101"/>
      <c r="M101"/>
      <c r="N101"/>
      <c r="O101"/>
      <c r="P101"/>
      <c r="Q101"/>
      <c r="R101"/>
      <c r="S101" s="1307">
        <f t="shared" si="1"/>
        <v>0</v>
      </c>
      <c r="T101"/>
    </row>
    <row r="102" spans="1:20" x14ac:dyDescent="0.2">
      <c r="A102" t="s">
        <v>3403</v>
      </c>
      <c r="B102" t="s">
        <v>5397</v>
      </c>
      <c r="C102" s="1291">
        <f>SUMIF('4'!H$5:H$100,$A102,'4'!$K$5:$K$100)+SUMIF('4a'!H$5:H$100,$A102,'4a'!$K$5:$K$100)+SUMIF('4b'!H$5:H$100,$A102,'4b'!$K$5:$K$100)+SUMIF('4c'!H$5:H$100,$A102,'4c'!$K$5:$K$100)+SUMIF('5'!H$5:H$100,$A102,'5'!$K$5:$K$100)+SUMIF('6'!H$5:H$100,$A102,'6'!$K$5:$K$100)+SUMIF('7'!H$5:H$100,$A102,'7'!$K$5:$K$100)+SUMIF('7a'!H$5:H$100,$A102,'7a'!$K$5:$K$100)+SUMIF('7b'!H$5:H$100,$A102,'7b'!$K$5:$K$100)+SUMIF('8'!H$5:H$100,$A102,'8'!$K$5:$K$100)+SUMIF('9'!H$5:H$100,$A102,'9'!$K$5:$K$100)+SUMIF('9a'!H$5:H$100,$A102,'9a'!$K$5:$K$100)+SUMIF('9b'!H$5:H$100,$A102,'9b'!$K$5:$K$100)+SUMIF('9c'!H$5:H$100,$A102,'9c'!$K$5:$K$100)+SUMIF('9d'!H$5:H$100,$A102,'9d'!$K$5:$K$100)+SUMIF('9e'!H$5:H$100,$A102,'9e'!$K$5:$K$100)+SUMIF('9f'!H$5:H$100,$A102,'9f'!$K$5:$K$100)+SUMIF('9g'!H$5:H$100,$A102,'9g'!$K$5:$K$100)+SUMIF('9h'!H$5:H$100,$A102,'9h'!$K$5:$K$100)+SUMIF('9 TOTAL'!H$5:H$100,$A102,'9 TOTAL'!$K$5:$K$100)
+SUMIF('10'!H$5:H$100,$A102,'10'!$K$5:$K$100)+SUMIF('10a'!H$5:H$100,$A102,'10a'!$K$5:$K$100)+SUMIF('10b'!H$5:H$100,$A102,'10b'!$K$5:$K$100)+SUMIF('10c'!H$5:H$100,$A102,'10c'!$K$5:$K$100)+SUMIF('10d'!H$5:H$100,$A102,'10d'!$K$5:$K$100)+SUMIF('10e'!H$5:H$100,$A102,'10e'!$K$5:$K$100)+SUMIF('10f'!H$5:H$100,$A102,'10f'!$K$5:$K$100)+SUMIF('10g'!H$5:H$100,$A102,'10g'!$K$5:$K$100)+SUMIF('10h'!H$5:H$100,$A102,'10h'!$K$5:$K$100)+SUMIF('10i'!H$5:H$100,$A102,'10i'!$K$5:$K$100)+SUMIF('10j'!H$5:H$100,$A102,'10j'!$K$5:$K$100)+SUMIF('10k'!H$5:H$100,$A102,'10k'!$K$5:$K$100)+SUMIF('10l'!H$5:H$100,$A102,'10l'!$K$5:$K$100)+SUMIF('10m'!H$5:H$100,$A102,'10m'!$K$5:$K$100)+SUMIF('10 TOTAL'!H$5:H$100,$A102,'10 TOTAL'!$K$5:$K$100)</f>
        <v>0</v>
      </c>
      <c r="D102" s="1291">
        <f>SUMIF('4'!H$5:H$100,$A102,'4'!$I$5:$I$100)+SUMIF('4a'!H$5:H$100,$A102,'4a'!$I$5:$I$100)+SUMIF('4b'!H$5:H$100,$A102,'4b'!$I$5:$I$100)+SUMIF('4c'!H$5:H$100,$A102,'4c'!$I$5:$I$100)+SUMIF('5'!H$5:H$100,$A102,'5'!$I$5:$I$100)+SUMIF('6'!H$5:H$100,$A102,'6'!$I$5:$I$100)+SUMIF('7'!H$5:H$100,$A102,'7'!$I$5:$I$100)+SUMIF('7a'!H$5:H$100,$A102,'7a'!$I$5:$I$100)+SUMIF('7b'!H$5:H$100,$A102,'7b'!$I$5:$I$100)+SUMIF('8'!H$5:H$100,$A102,'8'!$I$5:$I$100)+SUMIF('9'!H$5:H$100,$A102,'9'!$I$5:$I$100)+SUMIF('9a'!H$5:H$100,$A102,'9a'!$I$5:$I$100)+SUMIF('9b'!H$5:H$100,$A102,'9b'!$I$5:$I$100)+SUMIF('9c'!H$5:H$100,$A102,'9c'!$I$5:$I$100)+SUMIF('9d'!H$5:H$100,$A102,'9d'!$I$5:$I$100)+SUMIF('9e'!H$5:H$100,$A102,'9e'!$I$5:$I$100)+SUMIF('9f'!H$5:H$100,$A102,'9f'!$I$5:$I$100)+SUMIF('9g'!H$5:H$100,$A102,'9g'!$I$5:$I$100)+SUMIF('9h'!H$5:H$100,$A102,'9h'!$I$5:$I$100)+SUMIF('9 TOTAL'!H$5:H$100,$A102,'9 TOTAL'!$I$5:$I$100)
+SUMIF('10'!H$5:H$100,$A102,'10'!$I$5:$I$100)+SUMIF('10a'!H$5:H$100,$A102,'10a'!$I$5:$I$100)+SUMIF('10b'!H$5:H$100,$A102,'10b'!$I$5:$I$100)+SUMIF('10c'!H$5:H$100,$A102,'10c'!$I$5:$I$100)+SUMIF('10d'!H$5:H$100,$A102,'10d'!$I$5:$I$100)+SUMIF('10e'!H$5:H$100,$A102,'10e'!$I$5:$I$100)+SUMIF('10f'!H$5:H$100,$A102,'10f'!$I$5:$I$100)+SUMIF('10g'!H$5:H$100,$A102,'10g'!$I$5:$I$100)+SUMIF('10h'!H$5:H$100,$A102,'10h'!$I$5:$I$100)+SUMIF('10i'!H$5:H$100,$A102,'10i'!$I$5:$I$100)+SUMIF('10j'!H$5:H$100,$A102,'10j'!$I$5:$I$100)+SUMIF('10k'!H$5:H$100,$A102,'10k'!$I$5:$I$100)+SUMIF('10l'!H$5:H$100,$A102,'10l'!$I$5:$I$100)+SUMIF('10m'!H$5:H$100,$A102,'10m'!$I$5:$I$100)+SUMIF('10 TOTAL'!H$5:H$100,$A102,'10 TOTAL'!$I$5:$I$100)</f>
        <v>0</v>
      </c>
      <c r="E102"/>
      <c r="F102"/>
      <c r="G102"/>
      <c r="H102"/>
      <c r="I102"/>
      <c r="J102"/>
      <c r="K102"/>
      <c r="L102"/>
      <c r="M102"/>
      <c r="N102"/>
      <c r="O102"/>
      <c r="P102"/>
      <c r="Q102"/>
      <c r="R102"/>
      <c r="S102" s="1307">
        <f t="shared" si="1"/>
        <v>0</v>
      </c>
      <c r="T102"/>
    </row>
    <row r="103" spans="1:20" x14ac:dyDescent="0.2">
      <c r="A103" t="s">
        <v>3406</v>
      </c>
      <c r="B103" t="s">
        <v>5398</v>
      </c>
      <c r="C103" s="1291">
        <f>SUMIF('4'!H$5:H$100,$A103,'4'!$K$5:$K$100)+SUMIF('4a'!H$5:H$100,$A103,'4a'!$K$5:$K$100)+SUMIF('4b'!H$5:H$100,$A103,'4b'!$K$5:$K$100)+SUMIF('4c'!H$5:H$100,$A103,'4c'!$K$5:$K$100)+SUMIF('5'!H$5:H$100,$A103,'5'!$K$5:$K$100)+SUMIF('6'!H$5:H$100,$A103,'6'!$K$5:$K$100)+SUMIF('7'!H$5:H$100,$A103,'7'!$K$5:$K$100)+SUMIF('7a'!H$5:H$100,$A103,'7a'!$K$5:$K$100)+SUMIF('7b'!H$5:H$100,$A103,'7b'!$K$5:$K$100)+SUMIF('8'!H$5:H$100,$A103,'8'!$K$5:$K$100)+SUMIF('9'!H$5:H$100,$A103,'9'!$K$5:$K$100)+SUMIF('9a'!H$5:H$100,$A103,'9a'!$K$5:$K$100)+SUMIF('9b'!H$5:H$100,$A103,'9b'!$K$5:$K$100)+SUMIF('9c'!H$5:H$100,$A103,'9c'!$K$5:$K$100)+SUMIF('9d'!H$5:H$100,$A103,'9d'!$K$5:$K$100)+SUMIF('9e'!H$5:H$100,$A103,'9e'!$K$5:$K$100)+SUMIF('9f'!H$5:H$100,$A103,'9f'!$K$5:$K$100)+SUMIF('9g'!H$5:H$100,$A103,'9g'!$K$5:$K$100)+SUMIF('9h'!H$5:H$100,$A103,'9h'!$K$5:$K$100)+SUMIF('9 TOTAL'!H$5:H$100,$A103,'9 TOTAL'!$K$5:$K$100)
+SUMIF('10'!H$5:H$100,$A103,'10'!$K$5:$K$100)+SUMIF('10a'!H$5:H$100,$A103,'10a'!$K$5:$K$100)+SUMIF('10b'!H$5:H$100,$A103,'10b'!$K$5:$K$100)+SUMIF('10c'!H$5:H$100,$A103,'10c'!$K$5:$K$100)+SUMIF('10d'!H$5:H$100,$A103,'10d'!$K$5:$K$100)+SUMIF('10e'!H$5:H$100,$A103,'10e'!$K$5:$K$100)+SUMIF('10f'!H$5:H$100,$A103,'10f'!$K$5:$K$100)+SUMIF('10g'!H$5:H$100,$A103,'10g'!$K$5:$K$100)+SUMIF('10h'!H$5:H$100,$A103,'10h'!$K$5:$K$100)+SUMIF('10i'!H$5:H$100,$A103,'10i'!$K$5:$K$100)+SUMIF('10j'!H$5:H$100,$A103,'10j'!$K$5:$K$100)+SUMIF('10k'!H$5:H$100,$A103,'10k'!$K$5:$K$100)+SUMIF('10l'!H$5:H$100,$A103,'10l'!$K$5:$K$100)+SUMIF('10m'!H$5:H$100,$A103,'10m'!$K$5:$K$100)+SUMIF('10 TOTAL'!H$5:H$100,$A103,'10 TOTAL'!$K$5:$K$100)</f>
        <v>0</v>
      </c>
      <c r="D103" s="1291">
        <f>SUMIF('4'!H$5:H$100,$A103,'4'!$I$5:$I$100)+SUMIF('4a'!H$5:H$100,$A103,'4a'!$I$5:$I$100)+SUMIF('4b'!H$5:H$100,$A103,'4b'!$I$5:$I$100)+SUMIF('4c'!H$5:H$100,$A103,'4c'!$I$5:$I$100)+SUMIF('5'!H$5:H$100,$A103,'5'!$I$5:$I$100)+SUMIF('6'!H$5:H$100,$A103,'6'!$I$5:$I$100)+SUMIF('7'!H$5:H$100,$A103,'7'!$I$5:$I$100)+SUMIF('7a'!H$5:H$100,$A103,'7a'!$I$5:$I$100)+SUMIF('7b'!H$5:H$100,$A103,'7b'!$I$5:$I$100)+SUMIF('8'!H$5:H$100,$A103,'8'!$I$5:$I$100)+SUMIF('9'!H$5:H$100,$A103,'9'!$I$5:$I$100)+SUMIF('9a'!H$5:H$100,$A103,'9a'!$I$5:$I$100)+SUMIF('9b'!H$5:H$100,$A103,'9b'!$I$5:$I$100)+SUMIF('9c'!H$5:H$100,$A103,'9c'!$I$5:$I$100)+SUMIF('9d'!H$5:H$100,$A103,'9d'!$I$5:$I$100)+SUMIF('9e'!H$5:H$100,$A103,'9e'!$I$5:$I$100)+SUMIF('9f'!H$5:H$100,$A103,'9f'!$I$5:$I$100)+SUMIF('9g'!H$5:H$100,$A103,'9g'!$I$5:$I$100)+SUMIF('9h'!H$5:H$100,$A103,'9h'!$I$5:$I$100)+SUMIF('9 TOTAL'!H$5:H$100,$A103,'9 TOTAL'!$I$5:$I$100)
+SUMIF('10'!H$5:H$100,$A103,'10'!$I$5:$I$100)+SUMIF('10a'!H$5:H$100,$A103,'10a'!$I$5:$I$100)+SUMIF('10b'!H$5:H$100,$A103,'10b'!$I$5:$I$100)+SUMIF('10c'!H$5:H$100,$A103,'10c'!$I$5:$I$100)+SUMIF('10d'!H$5:H$100,$A103,'10d'!$I$5:$I$100)+SUMIF('10e'!H$5:H$100,$A103,'10e'!$I$5:$I$100)+SUMIF('10f'!H$5:H$100,$A103,'10f'!$I$5:$I$100)+SUMIF('10g'!H$5:H$100,$A103,'10g'!$I$5:$I$100)+SUMIF('10h'!H$5:H$100,$A103,'10h'!$I$5:$I$100)+SUMIF('10i'!H$5:H$100,$A103,'10i'!$I$5:$I$100)+SUMIF('10j'!H$5:H$100,$A103,'10j'!$I$5:$I$100)+SUMIF('10k'!H$5:H$100,$A103,'10k'!$I$5:$I$100)+SUMIF('10l'!H$5:H$100,$A103,'10l'!$I$5:$I$100)+SUMIF('10m'!H$5:H$100,$A103,'10m'!$I$5:$I$100)+SUMIF('10 TOTAL'!H$5:H$100,$A103,'10 TOTAL'!$I$5:$I$100)</f>
        <v>0</v>
      </c>
      <c r="E103"/>
      <c r="F103"/>
      <c r="G103"/>
      <c r="H103"/>
      <c r="I103"/>
      <c r="J103"/>
      <c r="K103"/>
      <c r="L103"/>
      <c r="M103"/>
      <c r="N103"/>
      <c r="O103"/>
      <c r="P103"/>
      <c r="Q103"/>
      <c r="R103"/>
      <c r="S103" s="1307">
        <f t="shared" si="1"/>
        <v>0</v>
      </c>
      <c r="T103"/>
    </row>
    <row r="104" spans="1:20" x14ac:dyDescent="0.2">
      <c r="A104" t="s">
        <v>3410</v>
      </c>
      <c r="B104" t="s">
        <v>5399</v>
      </c>
      <c r="C104" s="1291">
        <f>SUMIF('4'!H$5:H$100,$A104,'4'!$K$5:$K$100)+SUMIF('4a'!H$5:H$100,$A104,'4a'!$K$5:$K$100)+SUMIF('4b'!H$5:H$100,$A104,'4b'!$K$5:$K$100)+SUMIF('4c'!H$5:H$100,$A104,'4c'!$K$5:$K$100)+SUMIF('5'!H$5:H$100,$A104,'5'!$K$5:$K$100)+SUMIF('6'!H$5:H$100,$A104,'6'!$K$5:$K$100)+SUMIF('7'!H$5:H$100,$A104,'7'!$K$5:$K$100)+SUMIF('7a'!H$5:H$100,$A104,'7a'!$K$5:$K$100)+SUMIF('7b'!H$5:H$100,$A104,'7b'!$K$5:$K$100)+SUMIF('8'!H$5:H$100,$A104,'8'!$K$5:$K$100)+SUMIF('9'!H$5:H$100,$A104,'9'!$K$5:$K$100)+SUMIF('9a'!H$5:H$100,$A104,'9a'!$K$5:$K$100)+SUMIF('9b'!H$5:H$100,$A104,'9b'!$K$5:$K$100)+SUMIF('9c'!H$5:H$100,$A104,'9c'!$K$5:$K$100)+SUMIF('9d'!H$5:H$100,$A104,'9d'!$K$5:$K$100)+SUMIF('9e'!H$5:H$100,$A104,'9e'!$K$5:$K$100)+SUMIF('9f'!H$5:H$100,$A104,'9f'!$K$5:$K$100)+SUMIF('9g'!H$5:H$100,$A104,'9g'!$K$5:$K$100)+SUMIF('9h'!H$5:H$100,$A104,'9h'!$K$5:$K$100)+SUMIF('9 TOTAL'!H$5:H$100,$A104,'9 TOTAL'!$K$5:$K$100)
+SUMIF('10'!H$5:H$100,$A104,'10'!$K$5:$K$100)+SUMIF('10a'!H$5:H$100,$A104,'10a'!$K$5:$K$100)+SUMIF('10b'!H$5:H$100,$A104,'10b'!$K$5:$K$100)+SUMIF('10c'!H$5:H$100,$A104,'10c'!$K$5:$K$100)+SUMIF('10d'!H$5:H$100,$A104,'10d'!$K$5:$K$100)+SUMIF('10e'!H$5:H$100,$A104,'10e'!$K$5:$K$100)+SUMIF('10f'!H$5:H$100,$A104,'10f'!$K$5:$K$100)+SUMIF('10g'!H$5:H$100,$A104,'10g'!$K$5:$K$100)+SUMIF('10h'!H$5:H$100,$A104,'10h'!$K$5:$K$100)+SUMIF('10i'!H$5:H$100,$A104,'10i'!$K$5:$K$100)+SUMIF('10j'!H$5:H$100,$A104,'10j'!$K$5:$K$100)+SUMIF('10k'!H$5:H$100,$A104,'10k'!$K$5:$K$100)+SUMIF('10l'!H$5:H$100,$A104,'10l'!$K$5:$K$100)+SUMIF('10m'!H$5:H$100,$A104,'10m'!$K$5:$K$100)+SUMIF('10 TOTAL'!H$5:H$100,$A104,'10 TOTAL'!$K$5:$K$100)</f>
        <v>0</v>
      </c>
      <c r="D104" s="1291">
        <f>SUMIF('4'!H$5:H$100,$A104,'4'!$I$5:$I$100)+SUMIF('4a'!H$5:H$100,$A104,'4a'!$I$5:$I$100)+SUMIF('4b'!H$5:H$100,$A104,'4b'!$I$5:$I$100)+SUMIF('4c'!H$5:H$100,$A104,'4c'!$I$5:$I$100)+SUMIF('5'!H$5:H$100,$A104,'5'!$I$5:$I$100)+SUMIF('6'!H$5:H$100,$A104,'6'!$I$5:$I$100)+SUMIF('7'!H$5:H$100,$A104,'7'!$I$5:$I$100)+SUMIF('7a'!H$5:H$100,$A104,'7a'!$I$5:$I$100)+SUMIF('7b'!H$5:H$100,$A104,'7b'!$I$5:$I$100)+SUMIF('8'!H$5:H$100,$A104,'8'!$I$5:$I$100)+SUMIF('9'!H$5:H$100,$A104,'9'!$I$5:$I$100)+SUMIF('9a'!H$5:H$100,$A104,'9a'!$I$5:$I$100)+SUMIF('9b'!H$5:H$100,$A104,'9b'!$I$5:$I$100)+SUMIF('9c'!H$5:H$100,$A104,'9c'!$I$5:$I$100)+SUMIF('9d'!H$5:H$100,$A104,'9d'!$I$5:$I$100)+SUMIF('9e'!H$5:H$100,$A104,'9e'!$I$5:$I$100)+SUMIF('9f'!H$5:H$100,$A104,'9f'!$I$5:$I$100)+SUMIF('9g'!H$5:H$100,$A104,'9g'!$I$5:$I$100)+SUMIF('9h'!H$5:H$100,$A104,'9h'!$I$5:$I$100)+SUMIF('9 TOTAL'!H$5:H$100,$A104,'9 TOTAL'!$I$5:$I$100)
+SUMIF('10'!H$5:H$100,$A104,'10'!$I$5:$I$100)+SUMIF('10a'!H$5:H$100,$A104,'10a'!$I$5:$I$100)+SUMIF('10b'!H$5:H$100,$A104,'10b'!$I$5:$I$100)+SUMIF('10c'!H$5:H$100,$A104,'10c'!$I$5:$I$100)+SUMIF('10d'!H$5:H$100,$A104,'10d'!$I$5:$I$100)+SUMIF('10e'!H$5:H$100,$A104,'10e'!$I$5:$I$100)+SUMIF('10f'!H$5:H$100,$A104,'10f'!$I$5:$I$100)+SUMIF('10g'!H$5:H$100,$A104,'10g'!$I$5:$I$100)+SUMIF('10h'!H$5:H$100,$A104,'10h'!$I$5:$I$100)+SUMIF('10i'!H$5:H$100,$A104,'10i'!$I$5:$I$100)+SUMIF('10j'!H$5:H$100,$A104,'10j'!$I$5:$I$100)+SUMIF('10k'!H$5:H$100,$A104,'10k'!$I$5:$I$100)+SUMIF('10l'!H$5:H$100,$A104,'10l'!$I$5:$I$100)+SUMIF('10m'!H$5:H$100,$A104,'10m'!$I$5:$I$100)+SUMIF('10 TOTAL'!H$5:H$100,$A104,'10 TOTAL'!$I$5:$I$100)</f>
        <v>0</v>
      </c>
      <c r="E104"/>
      <c r="F104"/>
      <c r="G104"/>
      <c r="H104"/>
      <c r="I104"/>
      <c r="J104"/>
      <c r="K104"/>
      <c r="L104"/>
      <c r="M104"/>
      <c r="N104"/>
      <c r="O104"/>
      <c r="P104"/>
      <c r="Q104"/>
      <c r="R104"/>
      <c r="S104" s="1307">
        <f t="shared" si="1"/>
        <v>0</v>
      </c>
      <c r="T104"/>
    </row>
    <row r="105" spans="1:20" x14ac:dyDescent="0.2">
      <c r="A105" t="s">
        <v>3413</v>
      </c>
      <c r="B105" t="s">
        <v>5400</v>
      </c>
      <c r="C105" s="1291">
        <f>SUMIF('4'!H$5:H$100,$A105,'4'!$K$5:$K$100)+SUMIF('4a'!H$5:H$100,$A105,'4a'!$K$5:$K$100)+SUMIF('4b'!H$5:H$100,$A105,'4b'!$K$5:$K$100)+SUMIF('4c'!H$5:H$100,$A105,'4c'!$K$5:$K$100)+SUMIF('5'!H$5:H$100,$A105,'5'!$K$5:$K$100)+SUMIF('6'!H$5:H$100,$A105,'6'!$K$5:$K$100)+SUMIF('7'!H$5:H$100,$A105,'7'!$K$5:$K$100)+SUMIF('7a'!H$5:H$100,$A105,'7a'!$K$5:$K$100)+SUMIF('7b'!H$5:H$100,$A105,'7b'!$K$5:$K$100)+SUMIF('8'!H$5:H$100,$A105,'8'!$K$5:$K$100)+SUMIF('9'!H$5:H$100,$A105,'9'!$K$5:$K$100)+SUMIF('9a'!H$5:H$100,$A105,'9a'!$K$5:$K$100)+SUMIF('9b'!H$5:H$100,$A105,'9b'!$K$5:$K$100)+SUMIF('9c'!H$5:H$100,$A105,'9c'!$K$5:$K$100)+SUMIF('9d'!H$5:H$100,$A105,'9d'!$K$5:$K$100)+SUMIF('9e'!H$5:H$100,$A105,'9e'!$K$5:$K$100)+SUMIF('9f'!H$5:H$100,$A105,'9f'!$K$5:$K$100)+SUMIF('9g'!H$5:H$100,$A105,'9g'!$K$5:$K$100)+SUMIF('9h'!H$5:H$100,$A105,'9h'!$K$5:$K$100)+SUMIF('9 TOTAL'!H$5:H$100,$A105,'9 TOTAL'!$K$5:$K$100)
+SUMIF('10'!H$5:H$100,$A105,'10'!$K$5:$K$100)+SUMIF('10a'!H$5:H$100,$A105,'10a'!$K$5:$K$100)+SUMIF('10b'!H$5:H$100,$A105,'10b'!$K$5:$K$100)+SUMIF('10c'!H$5:H$100,$A105,'10c'!$K$5:$K$100)+SUMIF('10d'!H$5:H$100,$A105,'10d'!$K$5:$K$100)+SUMIF('10e'!H$5:H$100,$A105,'10e'!$K$5:$K$100)+SUMIF('10f'!H$5:H$100,$A105,'10f'!$K$5:$K$100)+SUMIF('10g'!H$5:H$100,$A105,'10g'!$K$5:$K$100)+SUMIF('10h'!H$5:H$100,$A105,'10h'!$K$5:$K$100)+SUMIF('10i'!H$5:H$100,$A105,'10i'!$K$5:$K$100)+SUMIF('10j'!H$5:H$100,$A105,'10j'!$K$5:$K$100)+SUMIF('10k'!H$5:H$100,$A105,'10k'!$K$5:$K$100)+SUMIF('10l'!H$5:H$100,$A105,'10l'!$K$5:$K$100)+SUMIF('10m'!H$5:H$100,$A105,'10m'!$K$5:$K$100)+SUMIF('10 TOTAL'!H$5:H$100,$A105,'10 TOTAL'!$K$5:$K$100)</f>
        <v>0</v>
      </c>
      <c r="D105" s="1291">
        <f>SUMIF('4'!H$5:H$100,$A105,'4'!$I$5:$I$100)+SUMIF('4a'!H$5:H$100,$A105,'4a'!$I$5:$I$100)+SUMIF('4b'!H$5:H$100,$A105,'4b'!$I$5:$I$100)+SUMIF('4c'!H$5:H$100,$A105,'4c'!$I$5:$I$100)+SUMIF('5'!H$5:H$100,$A105,'5'!$I$5:$I$100)+SUMIF('6'!H$5:H$100,$A105,'6'!$I$5:$I$100)+SUMIF('7'!H$5:H$100,$A105,'7'!$I$5:$I$100)+SUMIF('7a'!H$5:H$100,$A105,'7a'!$I$5:$I$100)+SUMIF('7b'!H$5:H$100,$A105,'7b'!$I$5:$I$100)+SUMIF('8'!H$5:H$100,$A105,'8'!$I$5:$I$100)+SUMIF('9'!H$5:H$100,$A105,'9'!$I$5:$I$100)+SUMIF('9a'!H$5:H$100,$A105,'9a'!$I$5:$I$100)+SUMIF('9b'!H$5:H$100,$A105,'9b'!$I$5:$I$100)+SUMIF('9c'!H$5:H$100,$A105,'9c'!$I$5:$I$100)+SUMIF('9d'!H$5:H$100,$A105,'9d'!$I$5:$I$100)+SUMIF('9e'!H$5:H$100,$A105,'9e'!$I$5:$I$100)+SUMIF('9f'!H$5:H$100,$A105,'9f'!$I$5:$I$100)+SUMIF('9g'!H$5:H$100,$A105,'9g'!$I$5:$I$100)+SUMIF('9h'!H$5:H$100,$A105,'9h'!$I$5:$I$100)+SUMIF('9 TOTAL'!H$5:H$100,$A105,'9 TOTAL'!$I$5:$I$100)
+SUMIF('10'!H$5:H$100,$A105,'10'!$I$5:$I$100)+SUMIF('10a'!H$5:H$100,$A105,'10a'!$I$5:$I$100)+SUMIF('10b'!H$5:H$100,$A105,'10b'!$I$5:$I$100)+SUMIF('10c'!H$5:H$100,$A105,'10c'!$I$5:$I$100)+SUMIF('10d'!H$5:H$100,$A105,'10d'!$I$5:$I$100)+SUMIF('10e'!H$5:H$100,$A105,'10e'!$I$5:$I$100)+SUMIF('10f'!H$5:H$100,$A105,'10f'!$I$5:$I$100)+SUMIF('10g'!H$5:H$100,$A105,'10g'!$I$5:$I$100)+SUMIF('10h'!H$5:H$100,$A105,'10h'!$I$5:$I$100)+SUMIF('10i'!H$5:H$100,$A105,'10i'!$I$5:$I$100)+SUMIF('10j'!H$5:H$100,$A105,'10j'!$I$5:$I$100)+SUMIF('10k'!H$5:H$100,$A105,'10k'!$I$5:$I$100)+SUMIF('10l'!H$5:H$100,$A105,'10l'!$I$5:$I$100)+SUMIF('10m'!H$5:H$100,$A105,'10m'!$I$5:$I$100)+SUMIF('10 TOTAL'!H$5:H$100,$A105,'10 TOTAL'!$I$5:$I$100)</f>
        <v>0</v>
      </c>
      <c r="E105"/>
      <c r="F105"/>
      <c r="G105"/>
      <c r="H105"/>
      <c r="I105"/>
      <c r="J105"/>
      <c r="K105"/>
      <c r="L105"/>
      <c r="M105"/>
      <c r="N105"/>
      <c r="O105"/>
      <c r="P105"/>
      <c r="Q105"/>
      <c r="R105"/>
      <c r="S105" s="1307">
        <f t="shared" si="1"/>
        <v>0</v>
      </c>
      <c r="T105"/>
    </row>
    <row r="106" spans="1:20" x14ac:dyDescent="0.2">
      <c r="A106" t="s">
        <v>3417</v>
      </c>
      <c r="B106" t="s">
        <v>5401</v>
      </c>
      <c r="C106" s="1291">
        <f>SUMIF('4'!H$5:H$100,$A106,'4'!$K$5:$K$100)+SUMIF('4a'!H$5:H$100,$A106,'4a'!$K$5:$K$100)+SUMIF('4b'!H$5:H$100,$A106,'4b'!$K$5:$K$100)+SUMIF('4c'!H$5:H$100,$A106,'4c'!$K$5:$K$100)+SUMIF('5'!H$5:H$100,$A106,'5'!$K$5:$K$100)+SUMIF('6'!H$5:H$100,$A106,'6'!$K$5:$K$100)+SUMIF('7'!H$5:H$100,$A106,'7'!$K$5:$K$100)+SUMIF('7a'!H$5:H$100,$A106,'7a'!$K$5:$K$100)+SUMIF('7b'!H$5:H$100,$A106,'7b'!$K$5:$K$100)+SUMIF('8'!H$5:H$100,$A106,'8'!$K$5:$K$100)+SUMIF('9'!H$5:H$100,$A106,'9'!$K$5:$K$100)+SUMIF('9a'!H$5:H$100,$A106,'9a'!$K$5:$K$100)+SUMIF('9b'!H$5:H$100,$A106,'9b'!$K$5:$K$100)+SUMIF('9c'!H$5:H$100,$A106,'9c'!$K$5:$K$100)+SUMIF('9d'!H$5:H$100,$A106,'9d'!$K$5:$K$100)+SUMIF('9e'!H$5:H$100,$A106,'9e'!$K$5:$K$100)+SUMIF('9f'!H$5:H$100,$A106,'9f'!$K$5:$K$100)+SUMIF('9g'!H$5:H$100,$A106,'9g'!$K$5:$K$100)+SUMIF('9h'!H$5:H$100,$A106,'9h'!$K$5:$K$100)+SUMIF('9 TOTAL'!H$5:H$100,$A106,'9 TOTAL'!$K$5:$K$100)
+SUMIF('10'!H$5:H$100,$A106,'10'!$K$5:$K$100)+SUMIF('10a'!H$5:H$100,$A106,'10a'!$K$5:$K$100)+SUMIF('10b'!H$5:H$100,$A106,'10b'!$K$5:$K$100)+SUMIF('10c'!H$5:H$100,$A106,'10c'!$K$5:$K$100)+SUMIF('10d'!H$5:H$100,$A106,'10d'!$K$5:$K$100)+SUMIF('10e'!H$5:H$100,$A106,'10e'!$K$5:$K$100)+SUMIF('10f'!H$5:H$100,$A106,'10f'!$K$5:$K$100)+SUMIF('10g'!H$5:H$100,$A106,'10g'!$K$5:$K$100)+SUMIF('10h'!H$5:H$100,$A106,'10h'!$K$5:$K$100)+SUMIF('10i'!H$5:H$100,$A106,'10i'!$K$5:$K$100)+SUMIF('10j'!H$5:H$100,$A106,'10j'!$K$5:$K$100)+SUMIF('10k'!H$5:H$100,$A106,'10k'!$K$5:$K$100)+SUMIF('10l'!H$5:H$100,$A106,'10l'!$K$5:$K$100)+SUMIF('10m'!H$5:H$100,$A106,'10m'!$K$5:$K$100)+SUMIF('10 TOTAL'!H$5:H$100,$A106,'10 TOTAL'!$K$5:$K$100)</f>
        <v>0</v>
      </c>
      <c r="D106" s="1291">
        <f>SUMIF('4'!H$5:H$100,$A106,'4'!$I$5:$I$100)+SUMIF('4a'!H$5:H$100,$A106,'4a'!$I$5:$I$100)+SUMIF('4b'!H$5:H$100,$A106,'4b'!$I$5:$I$100)+SUMIF('4c'!H$5:H$100,$A106,'4c'!$I$5:$I$100)+SUMIF('5'!H$5:H$100,$A106,'5'!$I$5:$I$100)+SUMIF('6'!H$5:H$100,$A106,'6'!$I$5:$I$100)+SUMIF('7'!H$5:H$100,$A106,'7'!$I$5:$I$100)+SUMIF('7a'!H$5:H$100,$A106,'7a'!$I$5:$I$100)+SUMIF('7b'!H$5:H$100,$A106,'7b'!$I$5:$I$100)+SUMIF('8'!H$5:H$100,$A106,'8'!$I$5:$I$100)+SUMIF('9'!H$5:H$100,$A106,'9'!$I$5:$I$100)+SUMIF('9a'!H$5:H$100,$A106,'9a'!$I$5:$I$100)+SUMIF('9b'!H$5:H$100,$A106,'9b'!$I$5:$I$100)+SUMIF('9c'!H$5:H$100,$A106,'9c'!$I$5:$I$100)+SUMIF('9d'!H$5:H$100,$A106,'9d'!$I$5:$I$100)+SUMIF('9e'!H$5:H$100,$A106,'9e'!$I$5:$I$100)+SUMIF('9f'!H$5:H$100,$A106,'9f'!$I$5:$I$100)+SUMIF('9g'!H$5:H$100,$A106,'9g'!$I$5:$I$100)+SUMIF('9h'!H$5:H$100,$A106,'9h'!$I$5:$I$100)+SUMIF('9 TOTAL'!H$5:H$100,$A106,'9 TOTAL'!$I$5:$I$100)
+SUMIF('10'!H$5:H$100,$A106,'10'!$I$5:$I$100)+SUMIF('10a'!H$5:H$100,$A106,'10a'!$I$5:$I$100)+SUMIF('10b'!H$5:H$100,$A106,'10b'!$I$5:$I$100)+SUMIF('10c'!H$5:H$100,$A106,'10c'!$I$5:$I$100)+SUMIF('10d'!H$5:H$100,$A106,'10d'!$I$5:$I$100)+SUMIF('10e'!H$5:H$100,$A106,'10e'!$I$5:$I$100)+SUMIF('10f'!H$5:H$100,$A106,'10f'!$I$5:$I$100)+SUMIF('10g'!H$5:H$100,$A106,'10g'!$I$5:$I$100)+SUMIF('10h'!H$5:H$100,$A106,'10h'!$I$5:$I$100)+SUMIF('10i'!H$5:H$100,$A106,'10i'!$I$5:$I$100)+SUMIF('10j'!H$5:H$100,$A106,'10j'!$I$5:$I$100)+SUMIF('10k'!H$5:H$100,$A106,'10k'!$I$5:$I$100)+SUMIF('10l'!H$5:H$100,$A106,'10l'!$I$5:$I$100)+SUMIF('10m'!H$5:H$100,$A106,'10m'!$I$5:$I$100)+SUMIF('10 TOTAL'!H$5:H$100,$A106,'10 TOTAL'!$I$5:$I$100)</f>
        <v>0</v>
      </c>
      <c r="E106"/>
      <c r="F106"/>
      <c r="G106"/>
      <c r="H106"/>
      <c r="I106"/>
      <c r="J106"/>
      <c r="K106"/>
      <c r="L106"/>
      <c r="M106"/>
      <c r="N106"/>
      <c r="O106"/>
      <c r="P106"/>
      <c r="Q106"/>
      <c r="R106"/>
      <c r="S106" s="1307">
        <f t="shared" si="1"/>
        <v>0</v>
      </c>
      <c r="T106"/>
    </row>
    <row r="107" spans="1:20" x14ac:dyDescent="0.2">
      <c r="A107" t="s">
        <v>3420</v>
      </c>
      <c r="B107" t="s">
        <v>5402</v>
      </c>
      <c r="C107" s="1291">
        <f>SUMIF('4'!H$5:H$100,$A107,'4'!$K$5:$K$100)+SUMIF('4a'!H$5:H$100,$A107,'4a'!$K$5:$K$100)+SUMIF('4b'!H$5:H$100,$A107,'4b'!$K$5:$K$100)+SUMIF('4c'!H$5:H$100,$A107,'4c'!$K$5:$K$100)+SUMIF('5'!H$5:H$100,$A107,'5'!$K$5:$K$100)+SUMIF('6'!H$5:H$100,$A107,'6'!$K$5:$K$100)+SUMIF('7'!H$5:H$100,$A107,'7'!$K$5:$K$100)+SUMIF('7a'!H$5:H$100,$A107,'7a'!$K$5:$K$100)+SUMIF('7b'!H$5:H$100,$A107,'7b'!$K$5:$K$100)+SUMIF('8'!H$5:H$100,$A107,'8'!$K$5:$K$100)+SUMIF('9'!H$5:H$100,$A107,'9'!$K$5:$K$100)+SUMIF('9a'!H$5:H$100,$A107,'9a'!$K$5:$K$100)+SUMIF('9b'!H$5:H$100,$A107,'9b'!$K$5:$K$100)+SUMIF('9c'!H$5:H$100,$A107,'9c'!$K$5:$K$100)+SUMIF('9d'!H$5:H$100,$A107,'9d'!$K$5:$K$100)+SUMIF('9e'!H$5:H$100,$A107,'9e'!$K$5:$K$100)+SUMIF('9f'!H$5:H$100,$A107,'9f'!$K$5:$K$100)+SUMIF('9g'!H$5:H$100,$A107,'9g'!$K$5:$K$100)+SUMIF('9h'!H$5:H$100,$A107,'9h'!$K$5:$K$100)+SUMIF('9 TOTAL'!H$5:H$100,$A107,'9 TOTAL'!$K$5:$K$100)
+SUMIF('10'!H$5:H$100,$A107,'10'!$K$5:$K$100)+SUMIF('10a'!H$5:H$100,$A107,'10a'!$K$5:$K$100)+SUMIF('10b'!H$5:H$100,$A107,'10b'!$K$5:$K$100)+SUMIF('10c'!H$5:H$100,$A107,'10c'!$K$5:$K$100)+SUMIF('10d'!H$5:H$100,$A107,'10d'!$K$5:$K$100)+SUMIF('10e'!H$5:H$100,$A107,'10e'!$K$5:$K$100)+SUMIF('10f'!H$5:H$100,$A107,'10f'!$K$5:$K$100)+SUMIF('10g'!H$5:H$100,$A107,'10g'!$K$5:$K$100)+SUMIF('10h'!H$5:H$100,$A107,'10h'!$K$5:$K$100)+SUMIF('10i'!H$5:H$100,$A107,'10i'!$K$5:$K$100)+SUMIF('10j'!H$5:H$100,$A107,'10j'!$K$5:$K$100)+SUMIF('10k'!H$5:H$100,$A107,'10k'!$K$5:$K$100)+SUMIF('10l'!H$5:H$100,$A107,'10l'!$K$5:$K$100)+SUMIF('10m'!H$5:H$100,$A107,'10m'!$K$5:$K$100)+SUMIF('10 TOTAL'!H$5:H$100,$A107,'10 TOTAL'!$K$5:$K$100)</f>
        <v>0</v>
      </c>
      <c r="D107" s="1291">
        <f>SUMIF('4'!H$5:H$100,$A107,'4'!$I$5:$I$100)+SUMIF('4a'!H$5:H$100,$A107,'4a'!$I$5:$I$100)+SUMIF('4b'!H$5:H$100,$A107,'4b'!$I$5:$I$100)+SUMIF('4c'!H$5:H$100,$A107,'4c'!$I$5:$I$100)+SUMIF('5'!H$5:H$100,$A107,'5'!$I$5:$I$100)+SUMIF('6'!H$5:H$100,$A107,'6'!$I$5:$I$100)+SUMIF('7'!H$5:H$100,$A107,'7'!$I$5:$I$100)+SUMIF('7a'!H$5:H$100,$A107,'7a'!$I$5:$I$100)+SUMIF('7b'!H$5:H$100,$A107,'7b'!$I$5:$I$100)+SUMIF('8'!H$5:H$100,$A107,'8'!$I$5:$I$100)+SUMIF('9'!H$5:H$100,$A107,'9'!$I$5:$I$100)+SUMIF('9a'!H$5:H$100,$A107,'9a'!$I$5:$I$100)+SUMIF('9b'!H$5:H$100,$A107,'9b'!$I$5:$I$100)+SUMIF('9c'!H$5:H$100,$A107,'9c'!$I$5:$I$100)+SUMIF('9d'!H$5:H$100,$A107,'9d'!$I$5:$I$100)+SUMIF('9e'!H$5:H$100,$A107,'9e'!$I$5:$I$100)+SUMIF('9f'!H$5:H$100,$A107,'9f'!$I$5:$I$100)+SUMIF('9g'!H$5:H$100,$A107,'9g'!$I$5:$I$100)+SUMIF('9h'!H$5:H$100,$A107,'9h'!$I$5:$I$100)+SUMIF('9 TOTAL'!H$5:H$100,$A107,'9 TOTAL'!$I$5:$I$100)
+SUMIF('10'!H$5:H$100,$A107,'10'!$I$5:$I$100)+SUMIF('10a'!H$5:H$100,$A107,'10a'!$I$5:$I$100)+SUMIF('10b'!H$5:H$100,$A107,'10b'!$I$5:$I$100)+SUMIF('10c'!H$5:H$100,$A107,'10c'!$I$5:$I$100)+SUMIF('10d'!H$5:H$100,$A107,'10d'!$I$5:$I$100)+SUMIF('10e'!H$5:H$100,$A107,'10e'!$I$5:$I$100)+SUMIF('10f'!H$5:H$100,$A107,'10f'!$I$5:$I$100)+SUMIF('10g'!H$5:H$100,$A107,'10g'!$I$5:$I$100)+SUMIF('10h'!H$5:H$100,$A107,'10h'!$I$5:$I$100)+SUMIF('10i'!H$5:H$100,$A107,'10i'!$I$5:$I$100)+SUMIF('10j'!H$5:H$100,$A107,'10j'!$I$5:$I$100)+SUMIF('10k'!H$5:H$100,$A107,'10k'!$I$5:$I$100)+SUMIF('10l'!H$5:H$100,$A107,'10l'!$I$5:$I$100)+SUMIF('10m'!H$5:H$100,$A107,'10m'!$I$5:$I$100)+SUMIF('10 TOTAL'!H$5:H$100,$A107,'10 TOTAL'!$I$5:$I$100)</f>
        <v>0</v>
      </c>
      <c r="E107"/>
      <c r="F107"/>
      <c r="G107"/>
      <c r="H107"/>
      <c r="I107"/>
      <c r="J107"/>
      <c r="K107"/>
      <c r="L107"/>
      <c r="M107"/>
      <c r="N107"/>
      <c r="O107"/>
      <c r="P107"/>
      <c r="Q107"/>
      <c r="R107"/>
      <c r="S107" s="1307">
        <f t="shared" si="1"/>
        <v>0</v>
      </c>
      <c r="T107"/>
    </row>
    <row r="108" spans="1:20" x14ac:dyDescent="0.2">
      <c r="A108" t="s">
        <v>3423</v>
      </c>
      <c r="B108" t="s">
        <v>5403</v>
      </c>
      <c r="C108" s="1291">
        <f>SUMIF('4'!H$5:H$100,$A108,'4'!$K$5:$K$100)+SUMIF('4a'!H$5:H$100,$A108,'4a'!$K$5:$K$100)+SUMIF('4b'!H$5:H$100,$A108,'4b'!$K$5:$K$100)+SUMIF('4c'!H$5:H$100,$A108,'4c'!$K$5:$K$100)+SUMIF('5'!H$5:H$100,$A108,'5'!$K$5:$K$100)+SUMIF('6'!H$5:H$100,$A108,'6'!$K$5:$K$100)+SUMIF('7'!H$5:H$100,$A108,'7'!$K$5:$K$100)+SUMIF('7a'!H$5:H$100,$A108,'7a'!$K$5:$K$100)+SUMIF('7b'!H$5:H$100,$A108,'7b'!$K$5:$K$100)+SUMIF('8'!H$5:H$100,$A108,'8'!$K$5:$K$100)+SUMIF('9'!H$5:H$100,$A108,'9'!$K$5:$K$100)+SUMIF('9a'!H$5:H$100,$A108,'9a'!$K$5:$K$100)+SUMIF('9b'!H$5:H$100,$A108,'9b'!$K$5:$K$100)+SUMIF('9c'!H$5:H$100,$A108,'9c'!$K$5:$K$100)+SUMIF('9d'!H$5:H$100,$A108,'9d'!$K$5:$K$100)+SUMIF('9e'!H$5:H$100,$A108,'9e'!$K$5:$K$100)+SUMIF('9f'!H$5:H$100,$A108,'9f'!$K$5:$K$100)+SUMIF('9g'!H$5:H$100,$A108,'9g'!$K$5:$K$100)+SUMIF('9h'!H$5:H$100,$A108,'9h'!$K$5:$K$100)+SUMIF('9 TOTAL'!H$5:H$100,$A108,'9 TOTAL'!$K$5:$K$100)
+SUMIF('10'!H$5:H$100,$A108,'10'!$K$5:$K$100)+SUMIF('10a'!H$5:H$100,$A108,'10a'!$K$5:$K$100)+SUMIF('10b'!H$5:H$100,$A108,'10b'!$K$5:$K$100)+SUMIF('10c'!H$5:H$100,$A108,'10c'!$K$5:$K$100)+SUMIF('10d'!H$5:H$100,$A108,'10d'!$K$5:$K$100)+SUMIF('10e'!H$5:H$100,$A108,'10e'!$K$5:$K$100)+SUMIF('10f'!H$5:H$100,$A108,'10f'!$K$5:$K$100)+SUMIF('10g'!H$5:H$100,$A108,'10g'!$K$5:$K$100)+SUMIF('10h'!H$5:H$100,$A108,'10h'!$K$5:$K$100)+SUMIF('10i'!H$5:H$100,$A108,'10i'!$K$5:$K$100)+SUMIF('10j'!H$5:H$100,$A108,'10j'!$K$5:$K$100)+SUMIF('10k'!H$5:H$100,$A108,'10k'!$K$5:$K$100)+SUMIF('10l'!H$5:H$100,$A108,'10l'!$K$5:$K$100)+SUMIF('10m'!H$5:H$100,$A108,'10m'!$K$5:$K$100)+SUMIF('10 TOTAL'!H$5:H$100,$A108,'10 TOTAL'!$K$5:$K$100)</f>
        <v>0</v>
      </c>
      <c r="D108" s="1291">
        <f>SUMIF('4'!H$5:H$100,$A108,'4'!$I$5:$I$100)+SUMIF('4a'!H$5:H$100,$A108,'4a'!$I$5:$I$100)+SUMIF('4b'!H$5:H$100,$A108,'4b'!$I$5:$I$100)+SUMIF('4c'!H$5:H$100,$A108,'4c'!$I$5:$I$100)+SUMIF('5'!H$5:H$100,$A108,'5'!$I$5:$I$100)+SUMIF('6'!H$5:H$100,$A108,'6'!$I$5:$I$100)+SUMIF('7'!H$5:H$100,$A108,'7'!$I$5:$I$100)+SUMIF('7a'!H$5:H$100,$A108,'7a'!$I$5:$I$100)+SUMIF('7b'!H$5:H$100,$A108,'7b'!$I$5:$I$100)+SUMIF('8'!H$5:H$100,$A108,'8'!$I$5:$I$100)+SUMIF('9'!H$5:H$100,$A108,'9'!$I$5:$I$100)+SUMIF('9a'!H$5:H$100,$A108,'9a'!$I$5:$I$100)+SUMIF('9b'!H$5:H$100,$A108,'9b'!$I$5:$I$100)+SUMIF('9c'!H$5:H$100,$A108,'9c'!$I$5:$I$100)+SUMIF('9d'!H$5:H$100,$A108,'9d'!$I$5:$I$100)+SUMIF('9e'!H$5:H$100,$A108,'9e'!$I$5:$I$100)+SUMIF('9f'!H$5:H$100,$A108,'9f'!$I$5:$I$100)+SUMIF('9g'!H$5:H$100,$A108,'9g'!$I$5:$I$100)+SUMIF('9h'!H$5:H$100,$A108,'9h'!$I$5:$I$100)+SUMIF('9 TOTAL'!H$5:H$100,$A108,'9 TOTAL'!$I$5:$I$100)
+SUMIF('10'!H$5:H$100,$A108,'10'!$I$5:$I$100)+SUMIF('10a'!H$5:H$100,$A108,'10a'!$I$5:$I$100)+SUMIF('10b'!H$5:H$100,$A108,'10b'!$I$5:$I$100)+SUMIF('10c'!H$5:H$100,$A108,'10c'!$I$5:$I$100)+SUMIF('10d'!H$5:H$100,$A108,'10d'!$I$5:$I$100)+SUMIF('10e'!H$5:H$100,$A108,'10e'!$I$5:$I$100)+SUMIF('10f'!H$5:H$100,$A108,'10f'!$I$5:$I$100)+SUMIF('10g'!H$5:H$100,$A108,'10g'!$I$5:$I$100)+SUMIF('10h'!H$5:H$100,$A108,'10h'!$I$5:$I$100)+SUMIF('10i'!H$5:H$100,$A108,'10i'!$I$5:$I$100)+SUMIF('10j'!H$5:H$100,$A108,'10j'!$I$5:$I$100)+SUMIF('10k'!H$5:H$100,$A108,'10k'!$I$5:$I$100)+SUMIF('10l'!H$5:H$100,$A108,'10l'!$I$5:$I$100)+SUMIF('10m'!H$5:H$100,$A108,'10m'!$I$5:$I$100)+SUMIF('10 TOTAL'!H$5:H$100,$A108,'10 TOTAL'!$I$5:$I$100)</f>
        <v>0</v>
      </c>
      <c r="E108"/>
      <c r="F108"/>
      <c r="G108"/>
      <c r="H108"/>
      <c r="I108"/>
      <c r="J108"/>
      <c r="K108"/>
      <c r="L108"/>
      <c r="M108"/>
      <c r="N108"/>
      <c r="O108"/>
      <c r="P108"/>
      <c r="Q108"/>
      <c r="R108"/>
      <c r="S108" s="1307">
        <f t="shared" si="1"/>
        <v>0</v>
      </c>
      <c r="T108"/>
    </row>
    <row r="109" spans="1:20" x14ac:dyDescent="0.2">
      <c r="A109" t="s">
        <v>3424</v>
      </c>
      <c r="B109" t="s">
        <v>5404</v>
      </c>
      <c r="C109" s="1291">
        <f>SUMIF('4'!H$5:H$100,$A109,'4'!$K$5:$K$100)+SUMIF('4a'!H$5:H$100,$A109,'4a'!$K$5:$K$100)+SUMIF('4b'!H$5:H$100,$A109,'4b'!$K$5:$K$100)+SUMIF('4c'!H$5:H$100,$A109,'4c'!$K$5:$K$100)+SUMIF('5'!H$5:H$100,$A109,'5'!$K$5:$K$100)+SUMIF('6'!H$5:H$100,$A109,'6'!$K$5:$K$100)+SUMIF('7'!H$5:H$100,$A109,'7'!$K$5:$K$100)+SUMIF('7a'!H$5:H$100,$A109,'7a'!$K$5:$K$100)+SUMIF('7b'!H$5:H$100,$A109,'7b'!$K$5:$K$100)+SUMIF('8'!H$5:H$100,$A109,'8'!$K$5:$K$100)+SUMIF('9'!H$5:H$100,$A109,'9'!$K$5:$K$100)+SUMIF('9a'!H$5:H$100,$A109,'9a'!$K$5:$K$100)+SUMIF('9b'!H$5:H$100,$A109,'9b'!$K$5:$K$100)+SUMIF('9c'!H$5:H$100,$A109,'9c'!$K$5:$K$100)+SUMIF('9d'!H$5:H$100,$A109,'9d'!$K$5:$K$100)+SUMIF('9e'!H$5:H$100,$A109,'9e'!$K$5:$K$100)+SUMIF('9f'!H$5:H$100,$A109,'9f'!$K$5:$K$100)+SUMIF('9g'!H$5:H$100,$A109,'9g'!$K$5:$K$100)+SUMIF('9h'!H$5:H$100,$A109,'9h'!$K$5:$K$100)+SUMIF('9 TOTAL'!H$5:H$100,$A109,'9 TOTAL'!$K$5:$K$100)
+SUMIF('10'!H$5:H$100,$A109,'10'!$K$5:$K$100)+SUMIF('10a'!H$5:H$100,$A109,'10a'!$K$5:$K$100)+SUMIF('10b'!H$5:H$100,$A109,'10b'!$K$5:$K$100)+SUMIF('10c'!H$5:H$100,$A109,'10c'!$K$5:$K$100)+SUMIF('10d'!H$5:H$100,$A109,'10d'!$K$5:$K$100)+SUMIF('10e'!H$5:H$100,$A109,'10e'!$K$5:$K$100)+SUMIF('10f'!H$5:H$100,$A109,'10f'!$K$5:$K$100)+SUMIF('10g'!H$5:H$100,$A109,'10g'!$K$5:$K$100)+SUMIF('10h'!H$5:H$100,$A109,'10h'!$K$5:$K$100)+SUMIF('10i'!H$5:H$100,$A109,'10i'!$K$5:$K$100)+SUMIF('10j'!H$5:H$100,$A109,'10j'!$K$5:$K$100)+SUMIF('10k'!H$5:H$100,$A109,'10k'!$K$5:$K$100)+SUMIF('10l'!H$5:H$100,$A109,'10l'!$K$5:$K$100)+SUMIF('10m'!H$5:H$100,$A109,'10m'!$K$5:$K$100)+SUMIF('10 TOTAL'!H$5:H$100,$A109,'10 TOTAL'!$K$5:$K$100)</f>
        <v>0</v>
      </c>
      <c r="D109" s="1291">
        <f>SUMIF('4'!H$5:H$100,$A109,'4'!$I$5:$I$100)+SUMIF('4a'!H$5:H$100,$A109,'4a'!$I$5:$I$100)+SUMIF('4b'!H$5:H$100,$A109,'4b'!$I$5:$I$100)+SUMIF('4c'!H$5:H$100,$A109,'4c'!$I$5:$I$100)+SUMIF('5'!H$5:H$100,$A109,'5'!$I$5:$I$100)+SUMIF('6'!H$5:H$100,$A109,'6'!$I$5:$I$100)+SUMIF('7'!H$5:H$100,$A109,'7'!$I$5:$I$100)+SUMIF('7a'!H$5:H$100,$A109,'7a'!$I$5:$I$100)+SUMIF('7b'!H$5:H$100,$A109,'7b'!$I$5:$I$100)+SUMIF('8'!H$5:H$100,$A109,'8'!$I$5:$I$100)+SUMIF('9'!H$5:H$100,$A109,'9'!$I$5:$I$100)+SUMIF('9a'!H$5:H$100,$A109,'9a'!$I$5:$I$100)+SUMIF('9b'!H$5:H$100,$A109,'9b'!$I$5:$I$100)+SUMIF('9c'!H$5:H$100,$A109,'9c'!$I$5:$I$100)+SUMIF('9d'!H$5:H$100,$A109,'9d'!$I$5:$I$100)+SUMIF('9e'!H$5:H$100,$A109,'9e'!$I$5:$I$100)+SUMIF('9f'!H$5:H$100,$A109,'9f'!$I$5:$I$100)+SUMIF('9g'!H$5:H$100,$A109,'9g'!$I$5:$I$100)+SUMIF('9h'!H$5:H$100,$A109,'9h'!$I$5:$I$100)+SUMIF('9 TOTAL'!H$5:H$100,$A109,'9 TOTAL'!$I$5:$I$100)
+SUMIF('10'!H$5:H$100,$A109,'10'!$I$5:$I$100)+SUMIF('10a'!H$5:H$100,$A109,'10a'!$I$5:$I$100)+SUMIF('10b'!H$5:H$100,$A109,'10b'!$I$5:$I$100)+SUMIF('10c'!H$5:H$100,$A109,'10c'!$I$5:$I$100)+SUMIF('10d'!H$5:H$100,$A109,'10d'!$I$5:$I$100)+SUMIF('10e'!H$5:H$100,$A109,'10e'!$I$5:$I$100)+SUMIF('10f'!H$5:H$100,$A109,'10f'!$I$5:$I$100)+SUMIF('10g'!H$5:H$100,$A109,'10g'!$I$5:$I$100)+SUMIF('10h'!H$5:H$100,$A109,'10h'!$I$5:$I$100)+SUMIF('10i'!H$5:H$100,$A109,'10i'!$I$5:$I$100)+SUMIF('10j'!H$5:H$100,$A109,'10j'!$I$5:$I$100)+SUMIF('10k'!H$5:H$100,$A109,'10k'!$I$5:$I$100)+SUMIF('10l'!H$5:H$100,$A109,'10l'!$I$5:$I$100)+SUMIF('10m'!H$5:H$100,$A109,'10m'!$I$5:$I$100)+SUMIF('10 TOTAL'!H$5:H$100,$A109,'10 TOTAL'!$I$5:$I$100)</f>
        <v>0</v>
      </c>
      <c r="E109"/>
      <c r="F109"/>
      <c r="G109"/>
      <c r="H109"/>
      <c r="I109"/>
      <c r="J109"/>
      <c r="K109"/>
      <c r="L109"/>
      <c r="M109"/>
      <c r="N109"/>
      <c r="O109"/>
      <c r="P109"/>
      <c r="Q109"/>
      <c r="R109"/>
      <c r="S109" s="1307">
        <f t="shared" si="1"/>
        <v>0</v>
      </c>
      <c r="T109"/>
    </row>
    <row r="110" spans="1:20" x14ac:dyDescent="0.2">
      <c r="A110" t="s">
        <v>3426</v>
      </c>
      <c r="B110" t="s">
        <v>5405</v>
      </c>
      <c r="C110" s="1291">
        <f>SUMIF('4'!H$5:H$100,$A110,'4'!$K$5:$K$100)+SUMIF('4a'!H$5:H$100,$A110,'4a'!$K$5:$K$100)+SUMIF('4b'!H$5:H$100,$A110,'4b'!$K$5:$K$100)+SUMIF('4c'!H$5:H$100,$A110,'4c'!$K$5:$K$100)+SUMIF('5'!H$5:H$100,$A110,'5'!$K$5:$K$100)+SUMIF('6'!H$5:H$100,$A110,'6'!$K$5:$K$100)+SUMIF('7'!H$5:H$100,$A110,'7'!$K$5:$K$100)+SUMIF('7a'!H$5:H$100,$A110,'7a'!$K$5:$K$100)+SUMIF('7b'!H$5:H$100,$A110,'7b'!$K$5:$K$100)+SUMIF('8'!H$5:H$100,$A110,'8'!$K$5:$K$100)+SUMIF('9'!H$5:H$100,$A110,'9'!$K$5:$K$100)+SUMIF('9a'!H$5:H$100,$A110,'9a'!$K$5:$K$100)+SUMIF('9b'!H$5:H$100,$A110,'9b'!$K$5:$K$100)+SUMIF('9c'!H$5:H$100,$A110,'9c'!$K$5:$K$100)+SUMIF('9d'!H$5:H$100,$A110,'9d'!$K$5:$K$100)+SUMIF('9e'!H$5:H$100,$A110,'9e'!$K$5:$K$100)+SUMIF('9f'!H$5:H$100,$A110,'9f'!$K$5:$K$100)+SUMIF('9g'!H$5:H$100,$A110,'9g'!$K$5:$K$100)+SUMIF('9h'!H$5:H$100,$A110,'9h'!$K$5:$K$100)+SUMIF('9 TOTAL'!H$5:H$100,$A110,'9 TOTAL'!$K$5:$K$100)
+SUMIF('10'!H$5:H$100,$A110,'10'!$K$5:$K$100)+SUMIF('10a'!H$5:H$100,$A110,'10a'!$K$5:$K$100)+SUMIF('10b'!H$5:H$100,$A110,'10b'!$K$5:$K$100)+SUMIF('10c'!H$5:H$100,$A110,'10c'!$K$5:$K$100)+SUMIF('10d'!H$5:H$100,$A110,'10d'!$K$5:$K$100)+SUMIF('10e'!H$5:H$100,$A110,'10e'!$K$5:$K$100)+SUMIF('10f'!H$5:H$100,$A110,'10f'!$K$5:$K$100)+SUMIF('10g'!H$5:H$100,$A110,'10g'!$K$5:$K$100)+SUMIF('10h'!H$5:H$100,$A110,'10h'!$K$5:$K$100)+SUMIF('10i'!H$5:H$100,$A110,'10i'!$K$5:$K$100)+SUMIF('10j'!H$5:H$100,$A110,'10j'!$K$5:$K$100)+SUMIF('10k'!H$5:H$100,$A110,'10k'!$K$5:$K$100)+SUMIF('10l'!H$5:H$100,$A110,'10l'!$K$5:$K$100)+SUMIF('10m'!H$5:H$100,$A110,'10m'!$K$5:$K$100)+SUMIF('10 TOTAL'!H$5:H$100,$A110,'10 TOTAL'!$K$5:$K$100)</f>
        <v>0</v>
      </c>
      <c r="D110" s="1291">
        <f>SUMIF('4'!H$5:H$100,$A110,'4'!$I$5:$I$100)+SUMIF('4a'!H$5:H$100,$A110,'4a'!$I$5:$I$100)+SUMIF('4b'!H$5:H$100,$A110,'4b'!$I$5:$I$100)+SUMIF('4c'!H$5:H$100,$A110,'4c'!$I$5:$I$100)+SUMIF('5'!H$5:H$100,$A110,'5'!$I$5:$I$100)+SUMIF('6'!H$5:H$100,$A110,'6'!$I$5:$I$100)+SUMIF('7'!H$5:H$100,$A110,'7'!$I$5:$I$100)+SUMIF('7a'!H$5:H$100,$A110,'7a'!$I$5:$I$100)+SUMIF('7b'!H$5:H$100,$A110,'7b'!$I$5:$I$100)+SUMIF('8'!H$5:H$100,$A110,'8'!$I$5:$I$100)+SUMIF('9'!H$5:H$100,$A110,'9'!$I$5:$I$100)+SUMIF('9a'!H$5:H$100,$A110,'9a'!$I$5:$I$100)+SUMIF('9b'!H$5:H$100,$A110,'9b'!$I$5:$I$100)+SUMIF('9c'!H$5:H$100,$A110,'9c'!$I$5:$I$100)+SUMIF('9d'!H$5:H$100,$A110,'9d'!$I$5:$I$100)+SUMIF('9e'!H$5:H$100,$A110,'9e'!$I$5:$I$100)+SUMIF('9f'!H$5:H$100,$A110,'9f'!$I$5:$I$100)+SUMIF('9g'!H$5:H$100,$A110,'9g'!$I$5:$I$100)+SUMIF('9h'!H$5:H$100,$A110,'9h'!$I$5:$I$100)+SUMIF('9 TOTAL'!H$5:H$100,$A110,'9 TOTAL'!$I$5:$I$100)
+SUMIF('10'!H$5:H$100,$A110,'10'!$I$5:$I$100)+SUMIF('10a'!H$5:H$100,$A110,'10a'!$I$5:$I$100)+SUMIF('10b'!H$5:H$100,$A110,'10b'!$I$5:$I$100)+SUMIF('10c'!H$5:H$100,$A110,'10c'!$I$5:$I$100)+SUMIF('10d'!H$5:H$100,$A110,'10d'!$I$5:$I$100)+SUMIF('10e'!H$5:H$100,$A110,'10e'!$I$5:$I$100)+SUMIF('10f'!H$5:H$100,$A110,'10f'!$I$5:$I$100)+SUMIF('10g'!H$5:H$100,$A110,'10g'!$I$5:$I$100)+SUMIF('10h'!H$5:H$100,$A110,'10h'!$I$5:$I$100)+SUMIF('10i'!H$5:H$100,$A110,'10i'!$I$5:$I$100)+SUMIF('10j'!H$5:H$100,$A110,'10j'!$I$5:$I$100)+SUMIF('10k'!H$5:H$100,$A110,'10k'!$I$5:$I$100)+SUMIF('10l'!H$5:H$100,$A110,'10l'!$I$5:$I$100)+SUMIF('10m'!H$5:H$100,$A110,'10m'!$I$5:$I$100)+SUMIF('10 TOTAL'!H$5:H$100,$A110,'10 TOTAL'!$I$5:$I$100)</f>
        <v>0</v>
      </c>
      <c r="E110"/>
      <c r="F110"/>
      <c r="G110"/>
      <c r="H110"/>
      <c r="I110"/>
      <c r="J110"/>
      <c r="K110"/>
      <c r="L110"/>
      <c r="M110"/>
      <c r="N110"/>
      <c r="O110"/>
      <c r="P110"/>
      <c r="Q110"/>
      <c r="R110"/>
      <c r="S110" s="1307">
        <f t="shared" si="1"/>
        <v>0</v>
      </c>
      <c r="T110"/>
    </row>
    <row r="111" spans="1:20" x14ac:dyDescent="0.2">
      <c r="A111" t="s">
        <v>3428</v>
      </c>
      <c r="B111" t="s">
        <v>5406</v>
      </c>
      <c r="C111" s="1291">
        <f>SUMIF('4'!H$5:H$100,$A111,'4'!$K$5:$K$100)+SUMIF('4a'!H$5:H$100,$A111,'4a'!$K$5:$K$100)+SUMIF('4b'!H$5:H$100,$A111,'4b'!$K$5:$K$100)+SUMIF('4c'!H$5:H$100,$A111,'4c'!$K$5:$K$100)+SUMIF('5'!H$5:H$100,$A111,'5'!$K$5:$K$100)+SUMIF('6'!H$5:H$100,$A111,'6'!$K$5:$K$100)+SUMIF('7'!H$5:H$100,$A111,'7'!$K$5:$K$100)+SUMIF('7a'!H$5:H$100,$A111,'7a'!$K$5:$K$100)+SUMIF('7b'!H$5:H$100,$A111,'7b'!$K$5:$K$100)+SUMIF('8'!H$5:H$100,$A111,'8'!$K$5:$K$100)+SUMIF('9'!H$5:H$100,$A111,'9'!$K$5:$K$100)+SUMIF('9a'!H$5:H$100,$A111,'9a'!$K$5:$K$100)+SUMIF('9b'!H$5:H$100,$A111,'9b'!$K$5:$K$100)+SUMIF('9c'!H$5:H$100,$A111,'9c'!$K$5:$K$100)+SUMIF('9d'!H$5:H$100,$A111,'9d'!$K$5:$K$100)+SUMIF('9e'!H$5:H$100,$A111,'9e'!$K$5:$K$100)+SUMIF('9f'!H$5:H$100,$A111,'9f'!$K$5:$K$100)+SUMIF('9g'!H$5:H$100,$A111,'9g'!$K$5:$K$100)+SUMIF('9h'!H$5:H$100,$A111,'9h'!$K$5:$K$100)+SUMIF('9 TOTAL'!H$5:H$100,$A111,'9 TOTAL'!$K$5:$K$100)
+SUMIF('10'!H$5:H$100,$A111,'10'!$K$5:$K$100)+SUMIF('10a'!H$5:H$100,$A111,'10a'!$K$5:$K$100)+SUMIF('10b'!H$5:H$100,$A111,'10b'!$K$5:$K$100)+SUMIF('10c'!H$5:H$100,$A111,'10c'!$K$5:$K$100)+SUMIF('10d'!H$5:H$100,$A111,'10d'!$K$5:$K$100)+SUMIF('10e'!H$5:H$100,$A111,'10e'!$K$5:$K$100)+SUMIF('10f'!H$5:H$100,$A111,'10f'!$K$5:$K$100)+SUMIF('10g'!H$5:H$100,$A111,'10g'!$K$5:$K$100)+SUMIF('10h'!H$5:H$100,$A111,'10h'!$K$5:$K$100)+SUMIF('10i'!H$5:H$100,$A111,'10i'!$K$5:$K$100)+SUMIF('10j'!H$5:H$100,$A111,'10j'!$K$5:$K$100)+SUMIF('10k'!H$5:H$100,$A111,'10k'!$K$5:$K$100)+SUMIF('10l'!H$5:H$100,$A111,'10l'!$K$5:$K$100)+SUMIF('10m'!H$5:H$100,$A111,'10m'!$K$5:$K$100)+SUMIF('10 TOTAL'!H$5:H$100,$A111,'10 TOTAL'!$K$5:$K$100)</f>
        <v>0</v>
      </c>
      <c r="D111" s="1291">
        <f>SUMIF('4'!H$5:H$100,$A111,'4'!$I$5:$I$100)+SUMIF('4a'!H$5:H$100,$A111,'4a'!$I$5:$I$100)+SUMIF('4b'!H$5:H$100,$A111,'4b'!$I$5:$I$100)+SUMIF('4c'!H$5:H$100,$A111,'4c'!$I$5:$I$100)+SUMIF('5'!H$5:H$100,$A111,'5'!$I$5:$I$100)+SUMIF('6'!H$5:H$100,$A111,'6'!$I$5:$I$100)+SUMIF('7'!H$5:H$100,$A111,'7'!$I$5:$I$100)+SUMIF('7a'!H$5:H$100,$A111,'7a'!$I$5:$I$100)+SUMIF('7b'!H$5:H$100,$A111,'7b'!$I$5:$I$100)+SUMIF('8'!H$5:H$100,$A111,'8'!$I$5:$I$100)+SUMIF('9'!H$5:H$100,$A111,'9'!$I$5:$I$100)+SUMIF('9a'!H$5:H$100,$A111,'9a'!$I$5:$I$100)+SUMIF('9b'!H$5:H$100,$A111,'9b'!$I$5:$I$100)+SUMIF('9c'!H$5:H$100,$A111,'9c'!$I$5:$I$100)+SUMIF('9d'!H$5:H$100,$A111,'9d'!$I$5:$I$100)+SUMIF('9e'!H$5:H$100,$A111,'9e'!$I$5:$I$100)+SUMIF('9f'!H$5:H$100,$A111,'9f'!$I$5:$I$100)+SUMIF('9g'!H$5:H$100,$A111,'9g'!$I$5:$I$100)+SUMIF('9h'!H$5:H$100,$A111,'9h'!$I$5:$I$100)+SUMIF('9 TOTAL'!H$5:H$100,$A111,'9 TOTAL'!$I$5:$I$100)
+SUMIF('10'!H$5:H$100,$A111,'10'!$I$5:$I$100)+SUMIF('10a'!H$5:H$100,$A111,'10a'!$I$5:$I$100)+SUMIF('10b'!H$5:H$100,$A111,'10b'!$I$5:$I$100)+SUMIF('10c'!H$5:H$100,$A111,'10c'!$I$5:$I$100)+SUMIF('10d'!H$5:H$100,$A111,'10d'!$I$5:$I$100)+SUMIF('10e'!H$5:H$100,$A111,'10e'!$I$5:$I$100)+SUMIF('10f'!H$5:H$100,$A111,'10f'!$I$5:$I$100)+SUMIF('10g'!H$5:H$100,$A111,'10g'!$I$5:$I$100)+SUMIF('10h'!H$5:H$100,$A111,'10h'!$I$5:$I$100)+SUMIF('10i'!H$5:H$100,$A111,'10i'!$I$5:$I$100)+SUMIF('10j'!H$5:H$100,$A111,'10j'!$I$5:$I$100)+SUMIF('10k'!H$5:H$100,$A111,'10k'!$I$5:$I$100)+SUMIF('10l'!H$5:H$100,$A111,'10l'!$I$5:$I$100)+SUMIF('10m'!H$5:H$100,$A111,'10m'!$I$5:$I$100)+SUMIF('10 TOTAL'!H$5:H$100,$A111,'10 TOTAL'!$I$5:$I$100)</f>
        <v>0</v>
      </c>
      <c r="E111"/>
      <c r="F111"/>
      <c r="G111"/>
      <c r="H111"/>
      <c r="I111"/>
      <c r="J111"/>
      <c r="K111"/>
      <c r="L111"/>
      <c r="M111"/>
      <c r="N111"/>
      <c r="O111"/>
      <c r="P111"/>
      <c r="Q111"/>
      <c r="R111"/>
      <c r="S111" s="1307">
        <f t="shared" si="1"/>
        <v>0</v>
      </c>
      <c r="T111"/>
    </row>
    <row r="112" spans="1:20" x14ac:dyDescent="0.2">
      <c r="A112" t="s">
        <v>3430</v>
      </c>
      <c r="B112" t="s">
        <v>5407</v>
      </c>
      <c r="C112" s="1291">
        <f>SUMIF('4'!H$5:H$100,$A112,'4'!$K$5:$K$100)+SUMIF('4a'!H$5:H$100,$A112,'4a'!$K$5:$K$100)+SUMIF('4b'!H$5:H$100,$A112,'4b'!$K$5:$K$100)+SUMIF('4c'!H$5:H$100,$A112,'4c'!$K$5:$K$100)+SUMIF('5'!H$5:H$100,$A112,'5'!$K$5:$K$100)+SUMIF('6'!H$5:H$100,$A112,'6'!$K$5:$K$100)+SUMIF('7'!H$5:H$100,$A112,'7'!$K$5:$K$100)+SUMIF('7a'!H$5:H$100,$A112,'7a'!$K$5:$K$100)+SUMIF('7b'!H$5:H$100,$A112,'7b'!$K$5:$K$100)+SUMIF('8'!H$5:H$100,$A112,'8'!$K$5:$K$100)+SUMIF('9'!H$5:H$100,$A112,'9'!$K$5:$K$100)+SUMIF('9a'!H$5:H$100,$A112,'9a'!$K$5:$K$100)+SUMIF('9b'!H$5:H$100,$A112,'9b'!$K$5:$K$100)+SUMIF('9c'!H$5:H$100,$A112,'9c'!$K$5:$K$100)+SUMIF('9d'!H$5:H$100,$A112,'9d'!$K$5:$K$100)+SUMIF('9e'!H$5:H$100,$A112,'9e'!$K$5:$K$100)+SUMIF('9f'!H$5:H$100,$A112,'9f'!$K$5:$K$100)+SUMIF('9g'!H$5:H$100,$A112,'9g'!$K$5:$K$100)+SUMIF('9h'!H$5:H$100,$A112,'9h'!$K$5:$K$100)+SUMIF('9 TOTAL'!H$5:H$100,$A112,'9 TOTAL'!$K$5:$K$100)
+SUMIF('10'!H$5:H$100,$A112,'10'!$K$5:$K$100)+SUMIF('10a'!H$5:H$100,$A112,'10a'!$K$5:$K$100)+SUMIF('10b'!H$5:H$100,$A112,'10b'!$K$5:$K$100)+SUMIF('10c'!H$5:H$100,$A112,'10c'!$K$5:$K$100)+SUMIF('10d'!H$5:H$100,$A112,'10d'!$K$5:$K$100)+SUMIF('10e'!H$5:H$100,$A112,'10e'!$K$5:$K$100)+SUMIF('10f'!H$5:H$100,$A112,'10f'!$K$5:$K$100)+SUMIF('10g'!H$5:H$100,$A112,'10g'!$K$5:$K$100)+SUMIF('10h'!H$5:H$100,$A112,'10h'!$K$5:$K$100)+SUMIF('10i'!H$5:H$100,$A112,'10i'!$K$5:$K$100)+SUMIF('10j'!H$5:H$100,$A112,'10j'!$K$5:$K$100)+SUMIF('10k'!H$5:H$100,$A112,'10k'!$K$5:$K$100)+SUMIF('10l'!H$5:H$100,$A112,'10l'!$K$5:$K$100)+SUMIF('10m'!H$5:H$100,$A112,'10m'!$K$5:$K$100)+SUMIF('10 TOTAL'!H$5:H$100,$A112,'10 TOTAL'!$K$5:$K$100)</f>
        <v>0</v>
      </c>
      <c r="D112" s="1291">
        <f>SUMIF('4'!H$5:H$100,$A112,'4'!$I$5:$I$100)+SUMIF('4a'!H$5:H$100,$A112,'4a'!$I$5:$I$100)+SUMIF('4b'!H$5:H$100,$A112,'4b'!$I$5:$I$100)+SUMIF('4c'!H$5:H$100,$A112,'4c'!$I$5:$I$100)+SUMIF('5'!H$5:H$100,$A112,'5'!$I$5:$I$100)+SUMIF('6'!H$5:H$100,$A112,'6'!$I$5:$I$100)+SUMIF('7'!H$5:H$100,$A112,'7'!$I$5:$I$100)+SUMIF('7a'!H$5:H$100,$A112,'7a'!$I$5:$I$100)+SUMIF('7b'!H$5:H$100,$A112,'7b'!$I$5:$I$100)+SUMIF('8'!H$5:H$100,$A112,'8'!$I$5:$I$100)+SUMIF('9'!H$5:H$100,$A112,'9'!$I$5:$I$100)+SUMIF('9a'!H$5:H$100,$A112,'9a'!$I$5:$I$100)+SUMIF('9b'!H$5:H$100,$A112,'9b'!$I$5:$I$100)+SUMIF('9c'!H$5:H$100,$A112,'9c'!$I$5:$I$100)+SUMIF('9d'!H$5:H$100,$A112,'9d'!$I$5:$I$100)+SUMIF('9e'!H$5:H$100,$A112,'9e'!$I$5:$I$100)+SUMIF('9f'!H$5:H$100,$A112,'9f'!$I$5:$I$100)+SUMIF('9g'!H$5:H$100,$A112,'9g'!$I$5:$I$100)+SUMIF('9h'!H$5:H$100,$A112,'9h'!$I$5:$I$100)+SUMIF('9 TOTAL'!H$5:H$100,$A112,'9 TOTAL'!$I$5:$I$100)
+SUMIF('10'!H$5:H$100,$A112,'10'!$I$5:$I$100)+SUMIF('10a'!H$5:H$100,$A112,'10a'!$I$5:$I$100)+SUMIF('10b'!H$5:H$100,$A112,'10b'!$I$5:$I$100)+SUMIF('10c'!H$5:H$100,$A112,'10c'!$I$5:$I$100)+SUMIF('10d'!H$5:H$100,$A112,'10d'!$I$5:$I$100)+SUMIF('10e'!H$5:H$100,$A112,'10e'!$I$5:$I$100)+SUMIF('10f'!H$5:H$100,$A112,'10f'!$I$5:$I$100)+SUMIF('10g'!H$5:H$100,$A112,'10g'!$I$5:$I$100)+SUMIF('10h'!H$5:H$100,$A112,'10h'!$I$5:$I$100)+SUMIF('10i'!H$5:H$100,$A112,'10i'!$I$5:$I$100)+SUMIF('10j'!H$5:H$100,$A112,'10j'!$I$5:$I$100)+SUMIF('10k'!H$5:H$100,$A112,'10k'!$I$5:$I$100)+SUMIF('10l'!H$5:H$100,$A112,'10l'!$I$5:$I$100)+SUMIF('10m'!H$5:H$100,$A112,'10m'!$I$5:$I$100)+SUMIF('10 TOTAL'!H$5:H$100,$A112,'10 TOTAL'!$I$5:$I$100)</f>
        <v>0</v>
      </c>
      <c r="E112"/>
      <c r="F112"/>
      <c r="G112"/>
      <c r="H112"/>
      <c r="I112"/>
      <c r="J112"/>
      <c r="K112"/>
      <c r="L112"/>
      <c r="M112"/>
      <c r="N112"/>
      <c r="O112"/>
      <c r="P112"/>
      <c r="Q112"/>
      <c r="R112"/>
      <c r="S112" s="1307">
        <f t="shared" si="1"/>
        <v>0</v>
      </c>
      <c r="T112"/>
    </row>
    <row r="113" spans="1:20" ht="12.75" customHeight="1" x14ac:dyDescent="0.2">
      <c r="A113" t="s">
        <v>3431</v>
      </c>
      <c r="B113" t="s">
        <v>5408</v>
      </c>
      <c r="C113" s="1291">
        <f>SUMIF('4'!H$5:H$100,$A113,'4'!$K$5:$K$100)+SUMIF('4a'!H$5:H$100,$A113,'4a'!$K$5:$K$100)+SUMIF('4b'!H$5:H$100,$A113,'4b'!$K$5:$K$100)+SUMIF('4c'!H$5:H$100,$A113,'4c'!$K$5:$K$100)+SUMIF('5'!H$5:H$100,$A113,'5'!$K$5:$K$100)+SUMIF('6'!H$5:H$100,$A113,'6'!$K$5:$K$100)+SUMIF('7'!H$5:H$100,$A113,'7'!$K$5:$K$100)+SUMIF('7a'!H$5:H$100,$A113,'7a'!$K$5:$K$100)+SUMIF('7b'!H$5:H$100,$A113,'7b'!$K$5:$K$100)+SUMIF('8'!H$5:H$100,$A113,'8'!$K$5:$K$100)+SUMIF('9'!H$5:H$100,$A113,'9'!$K$5:$K$100)+SUMIF('9a'!H$5:H$100,$A113,'9a'!$K$5:$K$100)+SUMIF('9b'!H$5:H$100,$A113,'9b'!$K$5:$K$100)+SUMIF('9c'!H$5:H$100,$A113,'9c'!$K$5:$K$100)+SUMIF('9d'!H$5:H$100,$A113,'9d'!$K$5:$K$100)+SUMIF('9e'!H$5:H$100,$A113,'9e'!$K$5:$K$100)+SUMIF('9f'!H$5:H$100,$A113,'9f'!$K$5:$K$100)+SUMIF('9g'!H$5:H$100,$A113,'9g'!$K$5:$K$100)+SUMIF('9h'!H$5:H$100,$A113,'9h'!$K$5:$K$100)+SUMIF('9 TOTAL'!H$5:H$100,$A113,'9 TOTAL'!$K$5:$K$100)
+SUMIF('10'!H$5:H$100,$A113,'10'!$K$5:$K$100)+SUMIF('10a'!H$5:H$100,$A113,'10a'!$K$5:$K$100)+SUMIF('10b'!H$5:H$100,$A113,'10b'!$K$5:$K$100)+SUMIF('10c'!H$5:H$100,$A113,'10c'!$K$5:$K$100)+SUMIF('10d'!H$5:H$100,$A113,'10d'!$K$5:$K$100)+SUMIF('10e'!H$5:H$100,$A113,'10e'!$K$5:$K$100)+SUMIF('10f'!H$5:H$100,$A113,'10f'!$K$5:$K$100)+SUMIF('10g'!H$5:H$100,$A113,'10g'!$K$5:$K$100)+SUMIF('10h'!H$5:H$100,$A113,'10h'!$K$5:$K$100)+SUMIF('10i'!H$5:H$100,$A113,'10i'!$K$5:$K$100)+SUMIF('10j'!H$5:H$100,$A113,'10j'!$K$5:$K$100)+SUMIF('10k'!H$5:H$100,$A113,'10k'!$K$5:$K$100)+SUMIF('10l'!H$5:H$100,$A113,'10l'!$K$5:$K$100)+SUMIF('10m'!H$5:H$100,$A113,'10m'!$K$5:$K$100)+SUMIF('10 TOTAL'!H$5:H$100,$A113,'10 TOTAL'!$K$5:$K$100)</f>
        <v>0</v>
      </c>
      <c r="D113" s="1291">
        <f>SUMIF('4'!H$5:H$100,$A113,'4'!$I$5:$I$100)+SUMIF('4a'!H$5:H$100,$A113,'4a'!$I$5:$I$100)+SUMIF('4b'!H$5:H$100,$A113,'4b'!$I$5:$I$100)+SUMIF('4c'!H$5:H$100,$A113,'4c'!$I$5:$I$100)+SUMIF('5'!H$5:H$100,$A113,'5'!$I$5:$I$100)+SUMIF('6'!H$5:H$100,$A113,'6'!$I$5:$I$100)+SUMIF('7'!H$5:H$100,$A113,'7'!$I$5:$I$100)+SUMIF('7a'!H$5:H$100,$A113,'7a'!$I$5:$I$100)+SUMIF('7b'!H$5:H$100,$A113,'7b'!$I$5:$I$100)+SUMIF('8'!H$5:H$100,$A113,'8'!$I$5:$I$100)+SUMIF('9'!H$5:H$100,$A113,'9'!$I$5:$I$100)+SUMIF('9a'!H$5:H$100,$A113,'9a'!$I$5:$I$100)+SUMIF('9b'!H$5:H$100,$A113,'9b'!$I$5:$I$100)+SUMIF('9c'!H$5:H$100,$A113,'9c'!$I$5:$I$100)+SUMIF('9d'!H$5:H$100,$A113,'9d'!$I$5:$I$100)+SUMIF('9e'!H$5:H$100,$A113,'9e'!$I$5:$I$100)+SUMIF('9f'!H$5:H$100,$A113,'9f'!$I$5:$I$100)+SUMIF('9g'!H$5:H$100,$A113,'9g'!$I$5:$I$100)+SUMIF('9h'!H$5:H$100,$A113,'9h'!$I$5:$I$100)+SUMIF('9 TOTAL'!H$5:H$100,$A113,'9 TOTAL'!$I$5:$I$100)
+SUMIF('10'!H$5:H$100,$A113,'10'!$I$5:$I$100)+SUMIF('10a'!H$5:H$100,$A113,'10a'!$I$5:$I$100)+SUMIF('10b'!H$5:H$100,$A113,'10b'!$I$5:$I$100)+SUMIF('10c'!H$5:H$100,$A113,'10c'!$I$5:$I$100)+SUMIF('10d'!H$5:H$100,$A113,'10d'!$I$5:$I$100)+SUMIF('10e'!H$5:H$100,$A113,'10e'!$I$5:$I$100)+SUMIF('10f'!H$5:H$100,$A113,'10f'!$I$5:$I$100)+SUMIF('10g'!H$5:H$100,$A113,'10g'!$I$5:$I$100)+SUMIF('10h'!H$5:H$100,$A113,'10h'!$I$5:$I$100)+SUMIF('10i'!H$5:H$100,$A113,'10i'!$I$5:$I$100)+SUMIF('10j'!H$5:H$100,$A113,'10j'!$I$5:$I$100)+SUMIF('10k'!H$5:H$100,$A113,'10k'!$I$5:$I$100)+SUMIF('10l'!H$5:H$100,$A113,'10l'!$I$5:$I$100)+SUMIF('10m'!H$5:H$100,$A113,'10m'!$I$5:$I$100)+SUMIF('10 TOTAL'!H$5:H$100,$A113,'10 TOTAL'!$I$5:$I$100)</f>
        <v>0</v>
      </c>
      <c r="E113"/>
      <c r="F113"/>
      <c r="G113"/>
      <c r="H113"/>
      <c r="I113"/>
      <c r="J113"/>
      <c r="K113"/>
      <c r="L113"/>
      <c r="M113"/>
      <c r="N113"/>
      <c r="O113"/>
      <c r="P113"/>
      <c r="Q113"/>
      <c r="R113"/>
      <c r="S113" s="1307">
        <f t="shared" si="1"/>
        <v>0</v>
      </c>
      <c r="T113"/>
    </row>
    <row r="114" spans="1:20" ht="12.75" customHeight="1" x14ac:dyDescent="0.2">
      <c r="A114"/>
      <c r="B114" t="s">
        <v>5427</v>
      </c>
      <c r="C114" s="1291">
        <f>SUM(C115:C121)</f>
        <v>0</v>
      </c>
      <c r="D114" s="1291">
        <f>SUM(D115:D121)</f>
        <v>0</v>
      </c>
      <c r="E114"/>
      <c r="F114"/>
      <c r="G114"/>
      <c r="H114"/>
      <c r="I114"/>
      <c r="J114"/>
      <c r="K114"/>
      <c r="L114"/>
      <c r="M114"/>
      <c r="N114"/>
      <c r="O114"/>
      <c r="P114"/>
      <c r="Q114"/>
      <c r="R114"/>
      <c r="S114" s="1307">
        <f t="shared" si="1"/>
        <v>0</v>
      </c>
      <c r="T114"/>
    </row>
    <row r="115" spans="1:20" ht="12.75" customHeight="1" outlineLevel="1" x14ac:dyDescent="0.2">
      <c r="A115" t="s">
        <v>3432</v>
      </c>
      <c r="B115" t="s">
        <v>5409</v>
      </c>
      <c r="C115" s="1291">
        <f>SUMIF('4'!H$5:H$100,$A115,'4'!$K$5:$K$100)+SUMIF('4a'!H$5:H$100,$A115,'4a'!$K$5:$K$100)+SUMIF('4b'!H$5:H$100,$A115,'4b'!$K$5:$K$100)+SUMIF('4c'!H$5:H$100,$A115,'4c'!$K$5:$K$100)+SUMIF('5'!H$5:H$100,$A115,'5'!$K$5:$K$100)+SUMIF('6'!H$5:H$100,$A115,'6'!$K$5:$K$100)+SUMIF('7'!H$5:H$100,$A115,'7'!$K$5:$K$100)+SUMIF('7a'!H$5:H$100,$A115,'7a'!$K$5:$K$100)+SUMIF('7b'!H$5:H$100,$A115,'7b'!$K$5:$K$100)+SUMIF('8'!H$5:H$100,$A115,'8'!$K$5:$K$100)+SUMIF('9'!H$5:H$100,$A115,'9'!$K$5:$K$100)+SUMIF('9a'!H$5:H$100,$A115,'9a'!$K$5:$K$100)+SUMIF('9b'!H$5:H$100,$A115,'9b'!$K$5:$K$100)+SUMIF('9c'!H$5:H$100,$A115,'9c'!$K$5:$K$100)+SUMIF('9d'!H$5:H$100,$A115,'9d'!$K$5:$K$100)+SUMIF('9e'!H$5:H$100,$A115,'9e'!$K$5:$K$100)+SUMIF('9f'!H$5:H$100,$A115,'9f'!$K$5:$K$100)+SUMIF('9g'!H$5:H$100,$A115,'9g'!$K$5:$K$100)+SUMIF('9h'!H$5:H$100,$A115,'9h'!$K$5:$K$100)+SUMIF('9 TOTAL'!H$5:H$100,$A115,'9 TOTAL'!$K$5:$K$100)
+SUMIF('10'!H$5:H$100,$A115,'10'!$K$5:$K$100)+SUMIF('10a'!H$5:H$100,$A115,'10a'!$K$5:$K$100)+SUMIF('10b'!H$5:H$100,$A115,'10b'!$K$5:$K$100)+SUMIF('10c'!H$5:H$100,$A115,'10c'!$K$5:$K$100)+SUMIF('10d'!H$5:H$100,$A115,'10d'!$K$5:$K$100)+SUMIF('10e'!H$5:H$100,$A115,'10e'!$K$5:$K$100)+SUMIF('10f'!H$5:H$100,$A115,'10f'!$K$5:$K$100)+SUMIF('10g'!H$5:H$100,$A115,'10g'!$K$5:$K$100)+SUMIF('10h'!H$5:H$100,$A115,'10h'!$K$5:$K$100)+SUMIF('10i'!H$5:H$100,$A115,'10i'!$K$5:$K$100)+SUMIF('10j'!H$5:H$100,$A115,'10j'!$K$5:$K$100)+SUMIF('10k'!H$5:H$100,$A115,'10k'!$K$5:$K$100)+SUMIF('10l'!H$5:H$100,$A115,'10l'!$K$5:$K$100)+SUMIF('10m'!H$5:H$100,$A115,'10m'!$K$5:$K$100)+SUMIF('10 TOTAL'!H$5:H$100,$A115,'10 TOTAL'!$K$5:$K$100)</f>
        <v>0</v>
      </c>
      <c r="D115" s="1291">
        <f>SUMIF('4'!H$5:H$100,$A115,'4'!$I$5:$I$100)+SUMIF('4a'!H$5:H$100,$A115,'4a'!$I$5:$I$100)+SUMIF('4b'!H$5:H$100,$A115,'4b'!$I$5:$I$100)+SUMIF('4c'!H$5:H$100,$A115,'4c'!$I$5:$I$100)+SUMIF('5'!H$5:H$100,$A115,'5'!$I$5:$I$100)+SUMIF('6'!H$5:H$100,$A115,'6'!$I$5:$I$100)+SUMIF('7'!H$5:H$100,$A115,'7'!$I$5:$I$100)+SUMIF('7a'!H$5:H$100,$A115,'7a'!$I$5:$I$100)+SUMIF('7b'!H$5:H$100,$A115,'7b'!$I$5:$I$100)+SUMIF('8'!H$5:H$100,$A115,'8'!$I$5:$I$100)+SUMIF('9'!H$5:H$100,$A115,'9'!$I$5:$I$100)+SUMIF('9a'!H$5:H$100,$A115,'9a'!$I$5:$I$100)+SUMIF('9b'!H$5:H$100,$A115,'9b'!$I$5:$I$100)+SUMIF('9c'!H$5:H$100,$A115,'9c'!$I$5:$I$100)+SUMIF('9d'!H$5:H$100,$A115,'9d'!$I$5:$I$100)+SUMIF('9e'!H$5:H$100,$A115,'9e'!$I$5:$I$100)+SUMIF('9f'!H$5:H$100,$A115,'9f'!$I$5:$I$100)+SUMIF('9g'!H$5:H$100,$A115,'9g'!$I$5:$I$100)+SUMIF('9h'!H$5:H$100,$A115,'9h'!$I$5:$I$100)+SUMIF('9 TOTAL'!H$5:H$100,$A115,'9 TOTAL'!$I$5:$I$100)
+SUMIF('10'!H$5:H$100,$A115,'10'!$I$5:$I$100)+SUMIF('10a'!H$5:H$100,$A115,'10a'!$I$5:$I$100)+SUMIF('10b'!H$5:H$100,$A115,'10b'!$I$5:$I$100)+SUMIF('10c'!H$5:H$100,$A115,'10c'!$I$5:$I$100)+SUMIF('10d'!H$5:H$100,$A115,'10d'!$I$5:$I$100)+SUMIF('10e'!H$5:H$100,$A115,'10e'!$I$5:$I$100)+SUMIF('10f'!H$5:H$100,$A115,'10f'!$I$5:$I$100)+SUMIF('10g'!H$5:H$100,$A115,'10g'!$I$5:$I$100)+SUMIF('10h'!H$5:H$100,$A115,'10h'!$I$5:$I$100)+SUMIF('10i'!H$5:H$100,$A115,'10i'!$I$5:$I$100)+SUMIF('10j'!H$5:H$100,$A115,'10j'!$I$5:$I$100)+SUMIF('10k'!H$5:H$100,$A115,'10k'!$I$5:$I$100)+SUMIF('10l'!H$5:H$100,$A115,'10l'!$I$5:$I$100)+SUMIF('10m'!H$5:H$100,$A115,'10m'!$I$5:$I$100)+SUMIF('10 TOTAL'!H$5:H$100,$A115,'10 TOTAL'!$I$5:$I$100)</f>
        <v>0</v>
      </c>
      <c r="E115"/>
      <c r="F115"/>
      <c r="G115"/>
      <c r="H115"/>
      <c r="I115"/>
      <c r="J115"/>
      <c r="K115"/>
      <c r="L115"/>
      <c r="M115"/>
      <c r="N115"/>
      <c r="O115"/>
      <c r="P115"/>
      <c r="Q115"/>
      <c r="R115"/>
      <c r="S115" s="1307">
        <f t="shared" si="1"/>
        <v>0</v>
      </c>
      <c r="T115"/>
    </row>
    <row r="116" spans="1:20" ht="12.75" customHeight="1" outlineLevel="1" x14ac:dyDescent="0.2">
      <c r="A116" t="s">
        <v>3433</v>
      </c>
      <c r="B116" t="s">
        <v>5409</v>
      </c>
      <c r="C116" s="1291">
        <f>SUMIF('4'!H$5:H$100,$A116,'4'!$K$5:$K$100)+SUMIF('4a'!H$5:H$100,$A116,'4a'!$K$5:$K$100)+SUMIF('4b'!H$5:H$100,$A116,'4b'!$K$5:$K$100)+SUMIF('4c'!H$5:H$100,$A116,'4c'!$K$5:$K$100)+SUMIF('5'!H$5:H$100,$A116,'5'!$K$5:$K$100)+SUMIF('6'!H$5:H$100,$A116,'6'!$K$5:$K$100)+SUMIF('7'!H$5:H$100,$A116,'7'!$K$5:$K$100)+SUMIF('7a'!H$5:H$100,$A116,'7a'!$K$5:$K$100)+SUMIF('7b'!H$5:H$100,$A116,'7b'!$K$5:$K$100)+SUMIF('8'!H$5:H$100,$A116,'8'!$K$5:$K$100)+SUMIF('9'!H$5:H$100,$A116,'9'!$K$5:$K$100)+SUMIF('9a'!H$5:H$100,$A116,'9a'!$K$5:$K$100)+SUMIF('9b'!H$5:H$100,$A116,'9b'!$K$5:$K$100)+SUMIF('9c'!H$5:H$100,$A116,'9c'!$K$5:$K$100)+SUMIF('9d'!H$5:H$100,$A116,'9d'!$K$5:$K$100)+SUMIF('9e'!H$5:H$100,$A116,'9e'!$K$5:$K$100)+SUMIF('9f'!H$5:H$100,$A116,'9f'!$K$5:$K$100)+SUMIF('9g'!H$5:H$100,$A116,'9g'!$K$5:$K$100)+SUMIF('9h'!H$5:H$100,$A116,'9h'!$K$5:$K$100)+SUMIF('9 TOTAL'!H$5:H$100,$A116,'9 TOTAL'!$K$5:$K$100)
+SUMIF('10'!H$5:H$100,$A116,'10'!$K$5:$K$100)+SUMIF('10a'!H$5:H$100,$A116,'10a'!$K$5:$K$100)+SUMIF('10b'!H$5:H$100,$A116,'10b'!$K$5:$K$100)+SUMIF('10c'!H$5:H$100,$A116,'10c'!$K$5:$K$100)+SUMIF('10d'!H$5:H$100,$A116,'10d'!$K$5:$K$100)+SUMIF('10e'!H$5:H$100,$A116,'10e'!$K$5:$K$100)+SUMIF('10f'!H$5:H$100,$A116,'10f'!$K$5:$K$100)+SUMIF('10g'!H$5:H$100,$A116,'10g'!$K$5:$K$100)+SUMIF('10h'!H$5:H$100,$A116,'10h'!$K$5:$K$100)+SUMIF('10i'!H$5:H$100,$A116,'10i'!$K$5:$K$100)+SUMIF('10j'!H$5:H$100,$A116,'10j'!$K$5:$K$100)+SUMIF('10k'!H$5:H$100,$A116,'10k'!$K$5:$K$100)+SUMIF('10l'!H$5:H$100,$A116,'10l'!$K$5:$K$100)+SUMIF('10m'!H$5:H$100,$A116,'10m'!$K$5:$K$100)+SUMIF('10 TOTAL'!H$5:H$100,$A116,'10 TOTAL'!$K$5:$K$100)</f>
        <v>0</v>
      </c>
      <c r="D116" s="1291">
        <f>SUMIF('4'!H$5:H$100,$A116,'4'!$I$5:$I$100)+SUMIF('4a'!H$5:H$100,$A116,'4a'!$I$5:$I$100)+SUMIF('4b'!H$5:H$100,$A116,'4b'!$I$5:$I$100)+SUMIF('4c'!H$5:H$100,$A116,'4c'!$I$5:$I$100)+SUMIF('5'!H$5:H$100,$A116,'5'!$I$5:$I$100)+SUMIF('6'!H$5:H$100,$A116,'6'!$I$5:$I$100)+SUMIF('7'!H$5:H$100,$A116,'7'!$I$5:$I$100)+SUMIF('7a'!H$5:H$100,$A116,'7a'!$I$5:$I$100)+SUMIF('7b'!H$5:H$100,$A116,'7b'!$I$5:$I$100)+SUMIF('8'!H$5:H$100,$A116,'8'!$I$5:$I$100)+SUMIF('9'!H$5:H$100,$A116,'9'!$I$5:$I$100)+SUMIF('9a'!H$5:H$100,$A116,'9a'!$I$5:$I$100)+SUMIF('9b'!H$5:H$100,$A116,'9b'!$I$5:$I$100)+SUMIF('9c'!H$5:H$100,$A116,'9c'!$I$5:$I$100)+SUMIF('9d'!H$5:H$100,$A116,'9d'!$I$5:$I$100)+SUMIF('9e'!H$5:H$100,$A116,'9e'!$I$5:$I$100)+SUMIF('9f'!H$5:H$100,$A116,'9f'!$I$5:$I$100)+SUMIF('9g'!H$5:H$100,$A116,'9g'!$I$5:$I$100)+SUMIF('9h'!H$5:H$100,$A116,'9h'!$I$5:$I$100)+SUMIF('9 TOTAL'!H$5:H$100,$A116,'9 TOTAL'!$I$5:$I$100)
+SUMIF('10'!H$5:H$100,$A116,'10'!$I$5:$I$100)+SUMIF('10a'!H$5:H$100,$A116,'10a'!$I$5:$I$100)+SUMIF('10b'!H$5:H$100,$A116,'10b'!$I$5:$I$100)+SUMIF('10c'!H$5:H$100,$A116,'10c'!$I$5:$I$100)+SUMIF('10d'!H$5:H$100,$A116,'10d'!$I$5:$I$100)+SUMIF('10e'!H$5:H$100,$A116,'10e'!$I$5:$I$100)+SUMIF('10f'!H$5:H$100,$A116,'10f'!$I$5:$I$100)+SUMIF('10g'!H$5:H$100,$A116,'10g'!$I$5:$I$100)+SUMIF('10h'!H$5:H$100,$A116,'10h'!$I$5:$I$100)+SUMIF('10i'!H$5:H$100,$A116,'10i'!$I$5:$I$100)+SUMIF('10j'!H$5:H$100,$A116,'10j'!$I$5:$I$100)+SUMIF('10k'!H$5:H$100,$A116,'10k'!$I$5:$I$100)+SUMIF('10l'!H$5:H$100,$A116,'10l'!$I$5:$I$100)+SUMIF('10m'!H$5:H$100,$A116,'10m'!$I$5:$I$100)+SUMIF('10 TOTAL'!H$5:H$100,$A116,'10 TOTAL'!$I$5:$I$100)</f>
        <v>0</v>
      </c>
      <c r="E116"/>
      <c r="F116"/>
      <c r="G116"/>
      <c r="H116"/>
      <c r="I116"/>
      <c r="J116"/>
      <c r="K116"/>
      <c r="L116"/>
      <c r="M116"/>
      <c r="N116"/>
      <c r="O116"/>
      <c r="P116"/>
      <c r="Q116"/>
      <c r="R116"/>
      <c r="S116" s="1307">
        <f t="shared" si="1"/>
        <v>0</v>
      </c>
      <c r="T116"/>
    </row>
    <row r="117" spans="1:20" ht="12.75" customHeight="1" outlineLevel="1" x14ac:dyDescent="0.2">
      <c r="A117" t="s">
        <v>3434</v>
      </c>
      <c r="B117" t="s">
        <v>5409</v>
      </c>
      <c r="C117" s="1291">
        <f>SUMIF('4'!H$5:H$100,$A117,'4'!$K$5:$K$100)+SUMIF('4a'!H$5:H$100,$A117,'4a'!$K$5:$K$100)+SUMIF('4b'!H$5:H$100,$A117,'4b'!$K$5:$K$100)+SUMIF('4c'!H$5:H$100,$A117,'4c'!$K$5:$K$100)+SUMIF('5'!H$5:H$100,$A117,'5'!$K$5:$K$100)+SUMIF('6'!H$5:H$100,$A117,'6'!$K$5:$K$100)+SUMIF('7'!H$5:H$100,$A117,'7'!$K$5:$K$100)+SUMIF('7a'!H$5:H$100,$A117,'7a'!$K$5:$K$100)+SUMIF('7b'!H$5:H$100,$A117,'7b'!$K$5:$K$100)+SUMIF('8'!H$5:H$100,$A117,'8'!$K$5:$K$100)+SUMIF('9'!H$5:H$100,$A117,'9'!$K$5:$K$100)+SUMIF('9a'!H$5:H$100,$A117,'9a'!$K$5:$K$100)+SUMIF('9b'!H$5:H$100,$A117,'9b'!$K$5:$K$100)+SUMIF('9c'!H$5:H$100,$A117,'9c'!$K$5:$K$100)+SUMIF('9d'!H$5:H$100,$A117,'9d'!$K$5:$K$100)+SUMIF('9e'!H$5:H$100,$A117,'9e'!$K$5:$K$100)+SUMIF('9f'!H$5:H$100,$A117,'9f'!$K$5:$K$100)+SUMIF('9g'!H$5:H$100,$A117,'9g'!$K$5:$K$100)+SUMIF('9h'!H$5:H$100,$A117,'9h'!$K$5:$K$100)+SUMIF('9 TOTAL'!H$5:H$100,$A117,'9 TOTAL'!$K$5:$K$100)
+SUMIF('10'!H$5:H$100,$A117,'10'!$K$5:$K$100)+SUMIF('10a'!H$5:H$100,$A117,'10a'!$K$5:$K$100)+SUMIF('10b'!H$5:H$100,$A117,'10b'!$K$5:$K$100)+SUMIF('10c'!H$5:H$100,$A117,'10c'!$K$5:$K$100)+SUMIF('10d'!H$5:H$100,$A117,'10d'!$K$5:$K$100)+SUMIF('10e'!H$5:H$100,$A117,'10e'!$K$5:$K$100)+SUMIF('10f'!H$5:H$100,$A117,'10f'!$K$5:$K$100)+SUMIF('10g'!H$5:H$100,$A117,'10g'!$K$5:$K$100)+SUMIF('10h'!H$5:H$100,$A117,'10h'!$K$5:$K$100)+SUMIF('10i'!H$5:H$100,$A117,'10i'!$K$5:$K$100)+SUMIF('10j'!H$5:H$100,$A117,'10j'!$K$5:$K$100)+SUMIF('10k'!H$5:H$100,$A117,'10k'!$K$5:$K$100)+SUMIF('10l'!H$5:H$100,$A117,'10l'!$K$5:$K$100)+SUMIF('10m'!H$5:H$100,$A117,'10m'!$K$5:$K$100)+SUMIF('10 TOTAL'!H$5:H$100,$A117,'10 TOTAL'!$K$5:$K$100)</f>
        <v>0</v>
      </c>
      <c r="D117" s="1291">
        <f>SUMIF('4'!H$5:H$100,$A117,'4'!$I$5:$I$100)+SUMIF('4a'!H$5:H$100,$A117,'4a'!$I$5:$I$100)+SUMIF('4b'!H$5:H$100,$A117,'4b'!$I$5:$I$100)+SUMIF('4c'!H$5:H$100,$A117,'4c'!$I$5:$I$100)+SUMIF('5'!H$5:H$100,$A117,'5'!$I$5:$I$100)+SUMIF('6'!H$5:H$100,$A117,'6'!$I$5:$I$100)+SUMIF('7'!H$5:H$100,$A117,'7'!$I$5:$I$100)+SUMIF('7a'!H$5:H$100,$A117,'7a'!$I$5:$I$100)+SUMIF('7b'!H$5:H$100,$A117,'7b'!$I$5:$I$100)+SUMIF('8'!H$5:H$100,$A117,'8'!$I$5:$I$100)+SUMIF('9'!H$5:H$100,$A117,'9'!$I$5:$I$100)+SUMIF('9a'!H$5:H$100,$A117,'9a'!$I$5:$I$100)+SUMIF('9b'!H$5:H$100,$A117,'9b'!$I$5:$I$100)+SUMIF('9c'!H$5:H$100,$A117,'9c'!$I$5:$I$100)+SUMIF('9d'!H$5:H$100,$A117,'9d'!$I$5:$I$100)+SUMIF('9e'!H$5:H$100,$A117,'9e'!$I$5:$I$100)+SUMIF('9f'!H$5:H$100,$A117,'9f'!$I$5:$I$100)+SUMIF('9g'!H$5:H$100,$A117,'9g'!$I$5:$I$100)+SUMIF('9h'!H$5:H$100,$A117,'9h'!$I$5:$I$100)+SUMIF('9 TOTAL'!H$5:H$100,$A117,'9 TOTAL'!$I$5:$I$100)
+SUMIF('10'!H$5:H$100,$A117,'10'!$I$5:$I$100)+SUMIF('10a'!H$5:H$100,$A117,'10a'!$I$5:$I$100)+SUMIF('10b'!H$5:H$100,$A117,'10b'!$I$5:$I$100)+SUMIF('10c'!H$5:H$100,$A117,'10c'!$I$5:$I$100)+SUMIF('10d'!H$5:H$100,$A117,'10d'!$I$5:$I$100)+SUMIF('10e'!H$5:H$100,$A117,'10e'!$I$5:$I$100)+SUMIF('10f'!H$5:H$100,$A117,'10f'!$I$5:$I$100)+SUMIF('10g'!H$5:H$100,$A117,'10g'!$I$5:$I$100)+SUMIF('10h'!H$5:H$100,$A117,'10h'!$I$5:$I$100)+SUMIF('10i'!H$5:H$100,$A117,'10i'!$I$5:$I$100)+SUMIF('10j'!H$5:H$100,$A117,'10j'!$I$5:$I$100)+SUMIF('10k'!H$5:H$100,$A117,'10k'!$I$5:$I$100)+SUMIF('10l'!H$5:H$100,$A117,'10l'!$I$5:$I$100)+SUMIF('10m'!H$5:H$100,$A117,'10m'!$I$5:$I$100)+SUMIF('10 TOTAL'!H$5:H$100,$A117,'10 TOTAL'!$I$5:$I$100)</f>
        <v>0</v>
      </c>
      <c r="E117"/>
      <c r="F117"/>
      <c r="G117"/>
      <c r="H117"/>
      <c r="I117"/>
      <c r="J117"/>
      <c r="K117"/>
      <c r="L117"/>
      <c r="M117"/>
      <c r="N117"/>
      <c r="O117"/>
      <c r="P117"/>
      <c r="Q117"/>
      <c r="R117"/>
      <c r="S117" s="1307">
        <f t="shared" si="1"/>
        <v>0</v>
      </c>
      <c r="T117"/>
    </row>
    <row r="118" spans="1:20" ht="12.75" customHeight="1" outlineLevel="1" x14ac:dyDescent="0.2">
      <c r="A118" t="s">
        <v>3436</v>
      </c>
      <c r="B118" t="s">
        <v>5409</v>
      </c>
      <c r="C118" s="1291">
        <f>SUMIF('4'!H$5:H$100,$A118,'4'!$K$5:$K$100)+SUMIF('4a'!H$5:H$100,$A118,'4a'!$K$5:$K$100)+SUMIF('4b'!H$5:H$100,$A118,'4b'!$K$5:$K$100)+SUMIF('4c'!H$5:H$100,$A118,'4c'!$K$5:$K$100)+SUMIF('5'!H$5:H$100,$A118,'5'!$K$5:$K$100)+SUMIF('6'!H$5:H$100,$A118,'6'!$K$5:$K$100)+SUMIF('7'!H$5:H$100,$A118,'7'!$K$5:$K$100)+SUMIF('7a'!H$5:H$100,$A118,'7a'!$K$5:$K$100)+SUMIF('7b'!H$5:H$100,$A118,'7b'!$K$5:$K$100)+SUMIF('8'!H$5:H$100,$A118,'8'!$K$5:$K$100)+SUMIF('9'!H$5:H$100,$A118,'9'!$K$5:$K$100)+SUMIF('9a'!H$5:H$100,$A118,'9a'!$K$5:$K$100)+SUMIF('9b'!H$5:H$100,$A118,'9b'!$K$5:$K$100)+SUMIF('9c'!H$5:H$100,$A118,'9c'!$K$5:$K$100)+SUMIF('9d'!H$5:H$100,$A118,'9d'!$K$5:$K$100)+SUMIF('9e'!H$5:H$100,$A118,'9e'!$K$5:$K$100)+SUMIF('9f'!H$5:H$100,$A118,'9f'!$K$5:$K$100)+SUMIF('9g'!H$5:H$100,$A118,'9g'!$K$5:$K$100)+SUMIF('9h'!H$5:H$100,$A118,'9h'!$K$5:$K$100)+SUMIF('9 TOTAL'!H$5:H$100,$A118,'9 TOTAL'!$K$5:$K$100)
+SUMIF('10'!H$5:H$100,$A118,'10'!$K$5:$K$100)+SUMIF('10a'!H$5:H$100,$A118,'10a'!$K$5:$K$100)+SUMIF('10b'!H$5:H$100,$A118,'10b'!$K$5:$K$100)+SUMIF('10c'!H$5:H$100,$A118,'10c'!$K$5:$K$100)+SUMIF('10d'!H$5:H$100,$A118,'10d'!$K$5:$K$100)+SUMIF('10e'!H$5:H$100,$A118,'10e'!$K$5:$K$100)+SUMIF('10f'!H$5:H$100,$A118,'10f'!$K$5:$K$100)+SUMIF('10g'!H$5:H$100,$A118,'10g'!$K$5:$K$100)+SUMIF('10h'!H$5:H$100,$A118,'10h'!$K$5:$K$100)+SUMIF('10i'!H$5:H$100,$A118,'10i'!$K$5:$K$100)+SUMIF('10j'!H$5:H$100,$A118,'10j'!$K$5:$K$100)+SUMIF('10k'!H$5:H$100,$A118,'10k'!$K$5:$K$100)+SUMIF('10l'!H$5:H$100,$A118,'10l'!$K$5:$K$100)+SUMIF('10m'!H$5:H$100,$A118,'10m'!$K$5:$K$100)+SUMIF('10 TOTAL'!H$5:H$100,$A118,'10 TOTAL'!$K$5:$K$100)</f>
        <v>0</v>
      </c>
      <c r="D118" s="1291">
        <f>SUMIF('4'!H$5:H$100,$A118,'4'!$I$5:$I$100)+SUMIF('4a'!H$5:H$100,$A118,'4a'!$I$5:$I$100)+SUMIF('4b'!H$5:H$100,$A118,'4b'!$I$5:$I$100)+SUMIF('4c'!H$5:H$100,$A118,'4c'!$I$5:$I$100)+SUMIF('5'!H$5:H$100,$A118,'5'!$I$5:$I$100)+SUMIF('6'!H$5:H$100,$A118,'6'!$I$5:$I$100)+SUMIF('7'!H$5:H$100,$A118,'7'!$I$5:$I$100)+SUMIF('7a'!H$5:H$100,$A118,'7a'!$I$5:$I$100)+SUMIF('7b'!H$5:H$100,$A118,'7b'!$I$5:$I$100)+SUMIF('8'!H$5:H$100,$A118,'8'!$I$5:$I$100)+SUMIF('9'!H$5:H$100,$A118,'9'!$I$5:$I$100)+SUMIF('9a'!H$5:H$100,$A118,'9a'!$I$5:$I$100)+SUMIF('9b'!H$5:H$100,$A118,'9b'!$I$5:$I$100)+SUMIF('9c'!H$5:H$100,$A118,'9c'!$I$5:$I$100)+SUMIF('9d'!H$5:H$100,$A118,'9d'!$I$5:$I$100)+SUMIF('9e'!H$5:H$100,$A118,'9e'!$I$5:$I$100)+SUMIF('9f'!H$5:H$100,$A118,'9f'!$I$5:$I$100)+SUMIF('9g'!H$5:H$100,$A118,'9g'!$I$5:$I$100)+SUMIF('9h'!H$5:H$100,$A118,'9h'!$I$5:$I$100)+SUMIF('9 TOTAL'!H$5:H$100,$A118,'9 TOTAL'!$I$5:$I$100)
+SUMIF('10'!H$5:H$100,$A118,'10'!$I$5:$I$100)+SUMIF('10a'!H$5:H$100,$A118,'10a'!$I$5:$I$100)+SUMIF('10b'!H$5:H$100,$A118,'10b'!$I$5:$I$100)+SUMIF('10c'!H$5:H$100,$A118,'10c'!$I$5:$I$100)+SUMIF('10d'!H$5:H$100,$A118,'10d'!$I$5:$I$100)+SUMIF('10e'!H$5:H$100,$A118,'10e'!$I$5:$I$100)+SUMIF('10f'!H$5:H$100,$A118,'10f'!$I$5:$I$100)+SUMIF('10g'!H$5:H$100,$A118,'10g'!$I$5:$I$100)+SUMIF('10h'!H$5:H$100,$A118,'10h'!$I$5:$I$100)+SUMIF('10i'!H$5:H$100,$A118,'10i'!$I$5:$I$100)+SUMIF('10j'!H$5:H$100,$A118,'10j'!$I$5:$I$100)+SUMIF('10k'!H$5:H$100,$A118,'10k'!$I$5:$I$100)+SUMIF('10l'!H$5:H$100,$A118,'10l'!$I$5:$I$100)+SUMIF('10m'!H$5:H$100,$A118,'10m'!$I$5:$I$100)+SUMIF('10 TOTAL'!H$5:H$100,$A118,'10 TOTAL'!$I$5:$I$100)</f>
        <v>0</v>
      </c>
      <c r="E118"/>
      <c r="F118"/>
      <c r="G118"/>
      <c r="H118"/>
      <c r="I118"/>
      <c r="J118"/>
      <c r="K118"/>
      <c r="L118"/>
      <c r="M118"/>
      <c r="N118"/>
      <c r="O118"/>
      <c r="P118"/>
      <c r="Q118"/>
      <c r="R118"/>
      <c r="S118" s="1307">
        <f t="shared" si="1"/>
        <v>0</v>
      </c>
      <c r="T118"/>
    </row>
    <row r="119" spans="1:20" ht="12.75" customHeight="1" outlineLevel="1" x14ac:dyDescent="0.2">
      <c r="A119" t="s">
        <v>3438</v>
      </c>
      <c r="B119" t="s">
        <v>5409</v>
      </c>
      <c r="C119" s="1291">
        <f>SUMIF('4'!H$5:H$100,$A119,'4'!$K$5:$K$100)+SUMIF('4a'!H$5:H$100,$A119,'4a'!$K$5:$K$100)+SUMIF('4b'!H$5:H$100,$A119,'4b'!$K$5:$K$100)+SUMIF('4c'!H$5:H$100,$A119,'4c'!$K$5:$K$100)+SUMIF('5'!H$5:H$100,$A119,'5'!$K$5:$K$100)+SUMIF('6'!H$5:H$100,$A119,'6'!$K$5:$K$100)+SUMIF('7'!H$5:H$100,$A119,'7'!$K$5:$K$100)+SUMIF('7a'!H$5:H$100,$A119,'7a'!$K$5:$K$100)+SUMIF('7b'!H$5:H$100,$A119,'7b'!$K$5:$K$100)+SUMIF('8'!H$5:H$100,$A119,'8'!$K$5:$K$100)+SUMIF('9'!H$5:H$100,$A119,'9'!$K$5:$K$100)+SUMIF('9a'!H$5:H$100,$A119,'9a'!$K$5:$K$100)+SUMIF('9b'!H$5:H$100,$A119,'9b'!$K$5:$K$100)+SUMIF('9c'!H$5:H$100,$A119,'9c'!$K$5:$K$100)+SUMIF('9d'!H$5:H$100,$A119,'9d'!$K$5:$K$100)+SUMIF('9e'!H$5:H$100,$A119,'9e'!$K$5:$K$100)+SUMIF('9f'!H$5:H$100,$A119,'9f'!$K$5:$K$100)+SUMIF('9g'!H$5:H$100,$A119,'9g'!$K$5:$K$100)+SUMIF('9h'!H$5:H$100,$A119,'9h'!$K$5:$K$100)+SUMIF('9 TOTAL'!H$5:H$100,$A119,'9 TOTAL'!$K$5:$K$100)
+SUMIF('10'!H$5:H$100,$A119,'10'!$K$5:$K$100)+SUMIF('10a'!H$5:H$100,$A119,'10a'!$K$5:$K$100)+SUMIF('10b'!H$5:H$100,$A119,'10b'!$K$5:$K$100)+SUMIF('10c'!H$5:H$100,$A119,'10c'!$K$5:$K$100)+SUMIF('10d'!H$5:H$100,$A119,'10d'!$K$5:$K$100)+SUMIF('10e'!H$5:H$100,$A119,'10e'!$K$5:$K$100)+SUMIF('10f'!H$5:H$100,$A119,'10f'!$K$5:$K$100)+SUMIF('10g'!H$5:H$100,$A119,'10g'!$K$5:$K$100)+SUMIF('10h'!H$5:H$100,$A119,'10h'!$K$5:$K$100)+SUMIF('10i'!H$5:H$100,$A119,'10i'!$K$5:$K$100)+SUMIF('10j'!H$5:H$100,$A119,'10j'!$K$5:$K$100)+SUMIF('10k'!H$5:H$100,$A119,'10k'!$K$5:$K$100)+SUMIF('10l'!H$5:H$100,$A119,'10l'!$K$5:$K$100)+SUMIF('10m'!H$5:H$100,$A119,'10m'!$K$5:$K$100)+SUMIF('10 TOTAL'!H$5:H$100,$A119,'10 TOTAL'!$K$5:$K$100)</f>
        <v>0</v>
      </c>
      <c r="D119" s="1291">
        <f>SUMIF('4'!H$5:H$100,$A119,'4'!$I$5:$I$100)+SUMIF('4a'!H$5:H$100,$A119,'4a'!$I$5:$I$100)+SUMIF('4b'!H$5:H$100,$A119,'4b'!$I$5:$I$100)+SUMIF('4c'!H$5:H$100,$A119,'4c'!$I$5:$I$100)+SUMIF('5'!H$5:H$100,$A119,'5'!$I$5:$I$100)+SUMIF('6'!H$5:H$100,$A119,'6'!$I$5:$I$100)+SUMIF('7'!H$5:H$100,$A119,'7'!$I$5:$I$100)+SUMIF('7a'!H$5:H$100,$A119,'7a'!$I$5:$I$100)+SUMIF('7b'!H$5:H$100,$A119,'7b'!$I$5:$I$100)+SUMIF('8'!H$5:H$100,$A119,'8'!$I$5:$I$100)+SUMIF('9'!H$5:H$100,$A119,'9'!$I$5:$I$100)+SUMIF('9a'!H$5:H$100,$A119,'9a'!$I$5:$I$100)+SUMIF('9b'!H$5:H$100,$A119,'9b'!$I$5:$I$100)+SUMIF('9c'!H$5:H$100,$A119,'9c'!$I$5:$I$100)+SUMIF('9d'!H$5:H$100,$A119,'9d'!$I$5:$I$100)+SUMIF('9e'!H$5:H$100,$A119,'9e'!$I$5:$I$100)+SUMIF('9f'!H$5:H$100,$A119,'9f'!$I$5:$I$100)+SUMIF('9g'!H$5:H$100,$A119,'9g'!$I$5:$I$100)+SUMIF('9h'!H$5:H$100,$A119,'9h'!$I$5:$I$100)+SUMIF('9 TOTAL'!H$5:H$100,$A119,'9 TOTAL'!$I$5:$I$100)
+SUMIF('10'!H$5:H$100,$A119,'10'!$I$5:$I$100)+SUMIF('10a'!H$5:H$100,$A119,'10a'!$I$5:$I$100)+SUMIF('10b'!H$5:H$100,$A119,'10b'!$I$5:$I$100)+SUMIF('10c'!H$5:H$100,$A119,'10c'!$I$5:$I$100)+SUMIF('10d'!H$5:H$100,$A119,'10d'!$I$5:$I$100)+SUMIF('10e'!H$5:H$100,$A119,'10e'!$I$5:$I$100)+SUMIF('10f'!H$5:H$100,$A119,'10f'!$I$5:$I$100)+SUMIF('10g'!H$5:H$100,$A119,'10g'!$I$5:$I$100)+SUMIF('10h'!H$5:H$100,$A119,'10h'!$I$5:$I$100)+SUMIF('10i'!H$5:H$100,$A119,'10i'!$I$5:$I$100)+SUMIF('10j'!H$5:H$100,$A119,'10j'!$I$5:$I$100)+SUMIF('10k'!H$5:H$100,$A119,'10k'!$I$5:$I$100)+SUMIF('10l'!H$5:H$100,$A119,'10l'!$I$5:$I$100)+SUMIF('10m'!H$5:H$100,$A119,'10m'!$I$5:$I$100)+SUMIF('10 TOTAL'!H$5:H$100,$A119,'10 TOTAL'!$I$5:$I$100)</f>
        <v>0</v>
      </c>
      <c r="E119"/>
      <c r="F119"/>
      <c r="G119"/>
      <c r="H119"/>
      <c r="I119"/>
      <c r="J119"/>
      <c r="K119"/>
      <c r="L119"/>
      <c r="M119"/>
      <c r="N119"/>
      <c r="O119"/>
      <c r="P119"/>
      <c r="Q119"/>
      <c r="R119"/>
      <c r="S119" s="1307">
        <f t="shared" si="1"/>
        <v>0</v>
      </c>
      <c r="T119"/>
    </row>
    <row r="120" spans="1:20" outlineLevel="1" collapsed="1" x14ac:dyDescent="0.2">
      <c r="A120" t="s">
        <v>3440</v>
      </c>
      <c r="B120" t="s">
        <v>5409</v>
      </c>
      <c r="C120" s="1291">
        <f>SUMIF('4'!H$5:H$100,$A120,'4'!$K$5:$K$100)+SUMIF('4a'!H$5:H$100,$A120,'4a'!$K$5:$K$100)+SUMIF('4b'!H$5:H$100,$A120,'4b'!$K$5:$K$100)+SUMIF('4c'!H$5:H$100,$A120,'4c'!$K$5:$K$100)+SUMIF('5'!H$5:H$100,$A120,'5'!$K$5:$K$100)+SUMIF('6'!H$5:H$100,$A120,'6'!$K$5:$K$100)+SUMIF('7'!H$5:H$100,$A120,'7'!$K$5:$K$100)+SUMIF('7a'!H$5:H$100,$A120,'7a'!$K$5:$K$100)+SUMIF('7b'!H$5:H$100,$A120,'7b'!$K$5:$K$100)+SUMIF('8'!H$5:H$100,$A120,'8'!$K$5:$K$100)+SUMIF('9'!H$5:H$100,$A120,'9'!$K$5:$K$100)+SUMIF('9a'!H$5:H$100,$A120,'9a'!$K$5:$K$100)+SUMIF('9b'!H$5:H$100,$A120,'9b'!$K$5:$K$100)+SUMIF('9c'!H$5:H$100,$A120,'9c'!$K$5:$K$100)+SUMIF('9d'!H$5:H$100,$A120,'9d'!$K$5:$K$100)+SUMIF('9e'!H$5:H$100,$A120,'9e'!$K$5:$K$100)+SUMIF('9f'!H$5:H$100,$A120,'9f'!$K$5:$K$100)+SUMIF('9g'!H$5:H$100,$A120,'9g'!$K$5:$K$100)+SUMIF('9h'!H$5:H$100,$A120,'9h'!$K$5:$K$100)+SUMIF('9 TOTAL'!H$5:H$100,$A120,'9 TOTAL'!$K$5:$K$100)
+SUMIF('10'!H$5:H$100,$A120,'10'!$K$5:$K$100)+SUMIF('10a'!H$5:H$100,$A120,'10a'!$K$5:$K$100)+SUMIF('10b'!H$5:H$100,$A120,'10b'!$K$5:$K$100)+SUMIF('10c'!H$5:H$100,$A120,'10c'!$K$5:$K$100)+SUMIF('10d'!H$5:H$100,$A120,'10d'!$K$5:$K$100)+SUMIF('10e'!H$5:H$100,$A120,'10e'!$K$5:$K$100)+SUMIF('10f'!H$5:H$100,$A120,'10f'!$K$5:$K$100)+SUMIF('10g'!H$5:H$100,$A120,'10g'!$K$5:$K$100)+SUMIF('10h'!H$5:H$100,$A120,'10h'!$K$5:$K$100)+SUMIF('10i'!H$5:H$100,$A120,'10i'!$K$5:$K$100)+SUMIF('10j'!H$5:H$100,$A120,'10j'!$K$5:$K$100)+SUMIF('10k'!H$5:H$100,$A120,'10k'!$K$5:$K$100)+SUMIF('10l'!H$5:H$100,$A120,'10l'!$K$5:$K$100)+SUMIF('10m'!H$5:H$100,$A120,'10m'!$K$5:$K$100)+SUMIF('10 TOTAL'!H$5:H$100,$A120,'10 TOTAL'!$K$5:$K$100)</f>
        <v>0</v>
      </c>
      <c r="D120" s="1291">
        <f>SUMIF('4'!H$5:H$100,$A120,'4'!$I$5:$I$100)+SUMIF('4a'!H$5:H$100,$A120,'4a'!$I$5:$I$100)+SUMIF('4b'!H$5:H$100,$A120,'4b'!$I$5:$I$100)+SUMIF('4c'!H$5:H$100,$A120,'4c'!$I$5:$I$100)+SUMIF('5'!H$5:H$100,$A120,'5'!$I$5:$I$100)+SUMIF('6'!H$5:H$100,$A120,'6'!$I$5:$I$100)+SUMIF('7'!H$5:H$100,$A120,'7'!$I$5:$I$100)+SUMIF('7a'!H$5:H$100,$A120,'7a'!$I$5:$I$100)+SUMIF('7b'!H$5:H$100,$A120,'7b'!$I$5:$I$100)+SUMIF('8'!H$5:H$100,$A120,'8'!$I$5:$I$100)+SUMIF('9'!H$5:H$100,$A120,'9'!$I$5:$I$100)+SUMIF('9a'!H$5:H$100,$A120,'9a'!$I$5:$I$100)+SUMIF('9b'!H$5:H$100,$A120,'9b'!$I$5:$I$100)+SUMIF('9c'!H$5:H$100,$A120,'9c'!$I$5:$I$100)+SUMIF('9d'!H$5:H$100,$A120,'9d'!$I$5:$I$100)+SUMIF('9e'!H$5:H$100,$A120,'9e'!$I$5:$I$100)+SUMIF('9f'!H$5:H$100,$A120,'9f'!$I$5:$I$100)+SUMIF('9g'!H$5:H$100,$A120,'9g'!$I$5:$I$100)+SUMIF('9h'!H$5:H$100,$A120,'9h'!$I$5:$I$100)+SUMIF('9 TOTAL'!H$5:H$100,$A120,'9 TOTAL'!$I$5:$I$100)
+SUMIF('10'!H$5:H$100,$A120,'10'!$I$5:$I$100)+SUMIF('10a'!H$5:H$100,$A120,'10a'!$I$5:$I$100)+SUMIF('10b'!H$5:H$100,$A120,'10b'!$I$5:$I$100)+SUMIF('10c'!H$5:H$100,$A120,'10c'!$I$5:$I$100)+SUMIF('10d'!H$5:H$100,$A120,'10d'!$I$5:$I$100)+SUMIF('10e'!H$5:H$100,$A120,'10e'!$I$5:$I$100)+SUMIF('10f'!H$5:H$100,$A120,'10f'!$I$5:$I$100)+SUMIF('10g'!H$5:H$100,$A120,'10g'!$I$5:$I$100)+SUMIF('10h'!H$5:H$100,$A120,'10h'!$I$5:$I$100)+SUMIF('10i'!H$5:H$100,$A120,'10i'!$I$5:$I$100)+SUMIF('10j'!H$5:H$100,$A120,'10j'!$I$5:$I$100)+SUMIF('10k'!H$5:H$100,$A120,'10k'!$I$5:$I$100)+SUMIF('10l'!H$5:H$100,$A120,'10l'!$I$5:$I$100)+SUMIF('10m'!H$5:H$100,$A120,'10m'!$I$5:$I$100)+SUMIF('10 TOTAL'!H$5:H$100,$A120,'10 TOTAL'!$I$5:$I$100)</f>
        <v>0</v>
      </c>
      <c r="E120"/>
      <c r="F120"/>
      <c r="G120"/>
      <c r="H120"/>
      <c r="I120"/>
      <c r="J120"/>
      <c r="K120"/>
      <c r="L120"/>
      <c r="M120"/>
      <c r="N120"/>
      <c r="O120"/>
      <c r="P120"/>
      <c r="Q120"/>
      <c r="R120"/>
      <c r="S120" s="1307">
        <f t="shared" si="1"/>
        <v>0</v>
      </c>
      <c r="T120"/>
    </row>
    <row r="121" spans="1:20" outlineLevel="1" x14ac:dyDescent="0.2">
      <c r="A121" t="s">
        <v>3442</v>
      </c>
      <c r="B121" t="s">
        <v>5409</v>
      </c>
      <c r="C121" s="1291">
        <f>SUMIF('4'!H$5:H$100,$A121,'4'!$K$5:$K$100)+SUMIF('4a'!H$5:H$100,$A121,'4a'!$K$5:$K$100)+SUMIF('4b'!H$5:H$100,$A121,'4b'!$K$5:$K$100)+SUMIF('4c'!H$5:H$100,$A121,'4c'!$K$5:$K$100)+SUMIF('5'!H$5:H$100,$A121,'5'!$K$5:$K$100)+SUMIF('6'!H$5:H$100,$A121,'6'!$K$5:$K$100)+SUMIF('7'!H$5:H$100,$A121,'7'!$K$5:$K$100)+SUMIF('7a'!H$5:H$100,$A121,'7a'!$K$5:$K$100)+SUMIF('7b'!H$5:H$100,$A121,'7b'!$K$5:$K$100)+SUMIF('8'!H$5:H$100,$A121,'8'!$K$5:$K$100)+SUMIF('9'!H$5:H$100,$A121,'9'!$K$5:$K$100)+SUMIF('9a'!H$5:H$100,$A121,'9a'!$K$5:$K$100)+SUMIF('9b'!H$5:H$100,$A121,'9b'!$K$5:$K$100)+SUMIF('9c'!H$5:H$100,$A121,'9c'!$K$5:$K$100)+SUMIF('9d'!H$5:H$100,$A121,'9d'!$K$5:$K$100)+SUMIF('9e'!H$5:H$100,$A121,'9e'!$K$5:$K$100)+SUMIF('9f'!H$5:H$100,$A121,'9f'!$K$5:$K$100)+SUMIF('9g'!H$5:H$100,$A121,'9g'!$K$5:$K$100)+SUMIF('9h'!H$5:H$100,$A121,'9h'!$K$5:$K$100)+SUMIF('9 TOTAL'!H$5:H$100,$A121,'9 TOTAL'!$K$5:$K$100)
+SUMIF('10'!H$5:H$100,$A121,'10'!$K$5:$K$100)+SUMIF('10a'!H$5:H$100,$A121,'10a'!$K$5:$K$100)+SUMIF('10b'!H$5:H$100,$A121,'10b'!$K$5:$K$100)+SUMIF('10c'!H$5:H$100,$A121,'10c'!$K$5:$K$100)+SUMIF('10d'!H$5:H$100,$A121,'10d'!$K$5:$K$100)+SUMIF('10e'!H$5:H$100,$A121,'10e'!$K$5:$K$100)+SUMIF('10f'!H$5:H$100,$A121,'10f'!$K$5:$K$100)+SUMIF('10g'!H$5:H$100,$A121,'10g'!$K$5:$K$100)+SUMIF('10h'!H$5:H$100,$A121,'10h'!$K$5:$K$100)+SUMIF('10i'!H$5:H$100,$A121,'10i'!$K$5:$K$100)+SUMIF('10j'!H$5:H$100,$A121,'10j'!$K$5:$K$100)+SUMIF('10k'!H$5:H$100,$A121,'10k'!$K$5:$K$100)+SUMIF('10l'!H$5:H$100,$A121,'10l'!$K$5:$K$100)+SUMIF('10m'!H$5:H$100,$A121,'10m'!$K$5:$K$100)+SUMIF('10 TOTAL'!H$5:H$100,$A121,'10 TOTAL'!$K$5:$K$100)</f>
        <v>0</v>
      </c>
      <c r="D121" s="1291">
        <f>SUMIF('4'!H$5:H$100,$A121,'4'!$I$5:$I$100)+SUMIF('4a'!H$5:H$100,$A121,'4a'!$I$5:$I$100)+SUMIF('4b'!H$5:H$100,$A121,'4b'!$I$5:$I$100)+SUMIF('4c'!H$5:H$100,$A121,'4c'!$I$5:$I$100)+SUMIF('5'!H$5:H$100,$A121,'5'!$I$5:$I$100)+SUMIF('6'!H$5:H$100,$A121,'6'!$I$5:$I$100)+SUMIF('7'!H$5:H$100,$A121,'7'!$I$5:$I$100)+SUMIF('7a'!H$5:H$100,$A121,'7a'!$I$5:$I$100)+SUMIF('7b'!H$5:H$100,$A121,'7b'!$I$5:$I$100)+SUMIF('8'!H$5:H$100,$A121,'8'!$I$5:$I$100)+SUMIF('9'!H$5:H$100,$A121,'9'!$I$5:$I$100)+SUMIF('9a'!H$5:H$100,$A121,'9a'!$I$5:$I$100)+SUMIF('9b'!H$5:H$100,$A121,'9b'!$I$5:$I$100)+SUMIF('9c'!H$5:H$100,$A121,'9c'!$I$5:$I$100)+SUMIF('9d'!H$5:H$100,$A121,'9d'!$I$5:$I$100)+SUMIF('9e'!H$5:H$100,$A121,'9e'!$I$5:$I$100)+SUMIF('9f'!H$5:H$100,$A121,'9f'!$I$5:$I$100)+SUMIF('9g'!H$5:H$100,$A121,'9g'!$I$5:$I$100)+SUMIF('9h'!H$5:H$100,$A121,'9h'!$I$5:$I$100)+SUMIF('9 TOTAL'!H$5:H$100,$A121,'9 TOTAL'!$I$5:$I$100)
+SUMIF('10'!H$5:H$100,$A121,'10'!$I$5:$I$100)+SUMIF('10a'!H$5:H$100,$A121,'10a'!$I$5:$I$100)+SUMIF('10b'!H$5:H$100,$A121,'10b'!$I$5:$I$100)+SUMIF('10c'!H$5:H$100,$A121,'10c'!$I$5:$I$100)+SUMIF('10d'!H$5:H$100,$A121,'10d'!$I$5:$I$100)+SUMIF('10e'!H$5:H$100,$A121,'10e'!$I$5:$I$100)+SUMIF('10f'!H$5:H$100,$A121,'10f'!$I$5:$I$100)+SUMIF('10g'!H$5:H$100,$A121,'10g'!$I$5:$I$100)+SUMIF('10h'!H$5:H$100,$A121,'10h'!$I$5:$I$100)+SUMIF('10i'!H$5:H$100,$A121,'10i'!$I$5:$I$100)+SUMIF('10j'!H$5:H$100,$A121,'10j'!$I$5:$I$100)+SUMIF('10k'!H$5:H$100,$A121,'10k'!$I$5:$I$100)+SUMIF('10l'!H$5:H$100,$A121,'10l'!$I$5:$I$100)+SUMIF('10m'!H$5:H$100,$A121,'10m'!$I$5:$I$100)+SUMIF('10 TOTAL'!H$5:H$100,$A121,'10 TOTAL'!$I$5:$I$100)</f>
        <v>0</v>
      </c>
      <c r="E121"/>
      <c r="F121"/>
      <c r="G121"/>
      <c r="H121"/>
      <c r="I121"/>
      <c r="J121"/>
      <c r="K121"/>
      <c r="L121"/>
      <c r="M121"/>
      <c r="N121"/>
      <c r="O121"/>
      <c r="P121"/>
      <c r="Q121"/>
      <c r="R121"/>
      <c r="S121" s="1307">
        <f t="shared" si="1"/>
        <v>0</v>
      </c>
      <c r="T121"/>
    </row>
    <row r="122" spans="1:20" x14ac:dyDescent="0.2">
      <c r="A122" s="217"/>
      <c r="B122" s="1305" t="s">
        <v>5581</v>
      </c>
      <c r="C122" s="1290">
        <f>SUM(C97:C114)</f>
        <v>0</v>
      </c>
      <c r="D122" s="1290">
        <f>SUM(D97:D114)</f>
        <v>0</v>
      </c>
      <c r="E122"/>
      <c r="F122"/>
      <c r="G122"/>
      <c r="H122"/>
      <c r="I122"/>
      <c r="J122"/>
      <c r="K122"/>
      <c r="L122"/>
      <c r="M122"/>
      <c r="N122"/>
      <c r="O122"/>
      <c r="P122"/>
      <c r="Q122"/>
      <c r="R122"/>
      <c r="S122" s="1307"/>
      <c r="T122"/>
    </row>
    <row r="123" spans="1:20" x14ac:dyDescent="0.2">
      <c r="A123" s="217"/>
      <c r="B123"/>
      <c r="C123" s="1318"/>
      <c r="D123" s="1318"/>
      <c r="E123"/>
      <c r="F123"/>
      <c r="G123"/>
      <c r="H123"/>
      <c r="I123"/>
      <c r="J123"/>
      <c r="K123"/>
      <c r="L123"/>
      <c r="M123"/>
      <c r="N123"/>
      <c r="O123"/>
      <c r="P123"/>
      <c r="Q123"/>
      <c r="R123"/>
      <c r="S123" s="1307"/>
      <c r="T123"/>
    </row>
    <row r="124" spans="1:20" x14ac:dyDescent="0.2">
      <c r="A124" s="106" t="s">
        <v>5434</v>
      </c>
      <c r="B124" s="5"/>
      <c r="C124" s="75"/>
      <c r="D124" s="75"/>
      <c r="E124"/>
      <c r="F124"/>
      <c r="G124"/>
      <c r="H124"/>
      <c r="I124"/>
      <c r="J124"/>
      <c r="K124"/>
      <c r="L124"/>
      <c r="M124"/>
      <c r="N124"/>
      <c r="O124"/>
      <c r="P124"/>
      <c r="Q124"/>
      <c r="R124"/>
      <c r="S124" s="1307"/>
      <c r="T124"/>
    </row>
    <row r="125" spans="1:20" x14ac:dyDescent="0.2">
      <c r="A125" t="s">
        <v>5359</v>
      </c>
      <c r="B125" t="s">
        <v>5410</v>
      </c>
      <c r="C125" s="1291">
        <f>SUMIF('4'!H$5:H$100,$A125,'4'!$K$5:$K$100)+SUMIF('4a'!H$5:H$100,$A125,'4a'!$K$5:$K$100)+SUMIF('4b'!H$5:H$100,$A125,'4b'!$K$5:$K$100)+SUMIF('4c'!H$5:H$100,$A125,'4c'!$K$5:$K$100)+SUMIF('5'!H$5:H$100,$A125,'5'!$K$5:$K$100)+SUMIF('6'!H$5:H$100,$A125,'6'!$K$5:$K$100)+SUMIF('7'!H$5:H$100,$A125,'7'!$K$5:$K$100)+SUMIF('7a'!H$5:H$100,$A125,'7a'!$K$5:$K$100)+SUMIF('7b'!H$5:H$100,$A125,'7b'!$K$5:$K$100)+SUMIF('8'!H$5:H$100,$A125,'8'!$K$5:$K$100)+SUMIF('9'!H$5:H$100,$A125,'9'!$K$5:$K$100)+SUMIF('9a'!H$5:H$100,$A125,'9a'!$K$5:$K$100)+SUMIF('9b'!H$5:H$100,$A125,'9b'!$K$5:$K$100)+SUMIF('9c'!H$5:H$100,$A125,'9c'!$K$5:$K$100)+SUMIF('9d'!H$5:H$100,$A125,'9d'!$K$5:$K$100)+SUMIF('9e'!H$5:H$100,$A125,'9e'!$K$5:$K$100)+SUMIF('9f'!H$5:H$100,$A125,'9f'!$K$5:$K$100)+SUMIF('9g'!H$5:H$100,$A125,'9g'!$K$5:$K$100)+SUMIF('9h'!H$5:H$100,$A125,'9h'!$K$5:$K$100)+SUMIF('9 TOTAL'!H$5:H$100,$A125,'9 TOTAL'!$K$5:$K$100)
+SUMIF('10'!H$5:H$100,$A125,'10'!$K$5:$K$100)+SUMIF('10a'!H$5:H$100,$A125,'10a'!$K$5:$K$100)+SUMIF('10b'!H$5:H$100,$A125,'10b'!$K$5:$K$100)+SUMIF('10c'!H$5:H$100,$A125,'10c'!$K$5:$K$100)+SUMIF('10d'!H$5:H$100,$A125,'10d'!$K$5:$K$100)+SUMIF('10e'!H$5:H$100,$A125,'10e'!$K$5:$K$100)+SUMIF('10f'!H$5:H$100,$A125,'10f'!$K$5:$K$100)+SUMIF('10g'!H$5:H$100,$A125,'10g'!$K$5:$K$100)+SUMIF('10h'!H$5:H$100,$A125,'10h'!$K$5:$K$100)+SUMIF('10i'!H$5:H$100,$A125,'10i'!$K$5:$K$100)+SUMIF('10j'!H$5:H$100,$A125,'10j'!$K$5:$K$100)+SUMIF('10k'!H$5:H$100,$A125,'10k'!$K$5:$K$100)+SUMIF('10l'!H$5:H$100,$A125,'10l'!$K$5:$K$100)+SUMIF('10m'!H$5:H$100,$A125,'10m'!$K$5:$K$100)+SUMIF('10 TOTAL'!H$5:H$100,$A125,'10 TOTAL'!$K$5:$K$100)</f>
        <v>0</v>
      </c>
      <c r="D125" s="1291">
        <f>SUMIF('4'!H$5:H$100,$A125,'4'!$I$5:$I$100)+SUMIF('4a'!H$5:H$100,$A125,'4a'!$I$5:$I$100)+SUMIF('4b'!H$5:H$100,$A125,'4b'!$I$5:$I$100)+SUMIF('4c'!H$5:H$100,$A125,'4c'!$I$5:$I$100)+SUMIF('5'!H$5:H$100,$A125,'5'!$I$5:$I$100)+SUMIF('6'!H$5:H$100,$A125,'6'!$I$5:$I$100)+SUMIF('7'!H$5:H$100,$A125,'7'!$I$5:$I$100)+SUMIF('7a'!H$5:H$100,$A125,'7a'!$I$5:$I$100)+SUMIF('7b'!H$5:H$100,$A125,'7b'!$I$5:$I$100)+SUMIF('8'!H$5:H$100,$A125,'8'!$I$5:$I$100)+SUMIF('9'!H$5:H$100,$A125,'9'!$I$5:$I$100)+SUMIF('9a'!H$5:H$100,$A125,'9a'!$I$5:$I$100)+SUMIF('9b'!H$5:H$100,$A125,'9b'!$I$5:$I$100)+SUMIF('9c'!H$5:H$100,$A125,'9c'!$I$5:$I$100)+SUMIF('9d'!H$5:H$100,$A125,'9d'!$I$5:$I$100)+SUMIF('9e'!H$5:H$100,$A125,'9e'!$I$5:$I$100)+SUMIF('9f'!H$5:H$100,$A125,'9f'!$I$5:$I$100)+SUMIF('9g'!H$5:H$100,$A125,'9g'!$I$5:$I$100)+SUMIF('9h'!H$5:H$100,$A125,'9h'!$I$5:$I$100)+SUMIF('9 TOTAL'!H$5:H$100,$A125,'9 TOTAL'!$I$5:$I$100)
+SUMIF('10'!H$5:H$100,$A125,'10'!$I$5:$I$100)+SUMIF('10a'!H$5:H$100,$A125,'10a'!$I$5:$I$100)+SUMIF('10b'!H$5:H$100,$A125,'10b'!$I$5:$I$100)+SUMIF('10c'!H$5:H$100,$A125,'10c'!$I$5:$I$100)+SUMIF('10d'!H$5:H$100,$A125,'10d'!$I$5:$I$100)+SUMIF('10e'!H$5:H$100,$A125,'10e'!$I$5:$I$100)+SUMIF('10f'!H$5:H$100,$A125,'10f'!$I$5:$I$100)+SUMIF('10g'!H$5:H$100,$A125,'10g'!$I$5:$I$100)+SUMIF('10h'!H$5:H$100,$A125,'10h'!$I$5:$I$100)+SUMIF('10i'!H$5:H$100,$A125,'10i'!$I$5:$I$100)+SUMIF('10j'!H$5:H$100,$A125,'10j'!$I$5:$I$100)+SUMIF('10k'!H$5:H$100,$A125,'10k'!$I$5:$I$100)+SUMIF('10l'!H$5:H$100,$A125,'10l'!$I$5:$I$100)+SUMIF('10m'!H$5:H$100,$A125,'10m'!$I$5:$I$100)+SUMIF('10 TOTAL'!H$5:H$100,$A125,'10 TOTAL'!$I$5:$I$100)</f>
        <v>0</v>
      </c>
      <c r="E125"/>
      <c r="F125"/>
      <c r="G125"/>
      <c r="H125"/>
      <c r="I125"/>
      <c r="J125"/>
      <c r="K125"/>
      <c r="L125"/>
      <c r="M125"/>
      <c r="N125"/>
      <c r="O125"/>
      <c r="P125"/>
      <c r="Q125"/>
      <c r="R125"/>
      <c r="S125" s="1307">
        <f t="shared" si="1"/>
        <v>0</v>
      </c>
      <c r="T125"/>
    </row>
    <row r="126" spans="1:20" x14ac:dyDescent="0.2">
      <c r="A126" t="s">
        <v>5360</v>
      </c>
      <c r="B126" t="s">
        <v>5411</v>
      </c>
      <c r="C126" s="1291">
        <f>SUMIF('4'!H$5:H$100,$A126,'4'!$K$5:$K$100)+SUMIF('4a'!H$5:H$100,$A126,'4a'!$K$5:$K$100)+SUMIF('4b'!H$5:H$100,$A126,'4b'!$K$5:$K$100)+SUMIF('4c'!H$5:H$100,$A126,'4c'!$K$5:$K$100)+SUMIF('5'!H$5:H$100,$A126,'5'!$K$5:$K$100)+SUMIF('6'!H$5:H$100,$A126,'6'!$K$5:$K$100)+SUMIF('7'!H$5:H$100,$A126,'7'!$K$5:$K$100)+SUMIF('7a'!H$5:H$100,$A126,'7a'!$K$5:$K$100)+SUMIF('7b'!H$5:H$100,$A126,'7b'!$K$5:$K$100)+SUMIF('8'!H$5:H$100,$A126,'8'!$K$5:$K$100)+SUMIF('9'!H$5:H$100,$A126,'9'!$K$5:$K$100)+SUMIF('9a'!H$5:H$100,$A126,'9a'!$K$5:$K$100)+SUMIF('9b'!H$5:H$100,$A126,'9b'!$K$5:$K$100)+SUMIF('9c'!H$5:H$100,$A126,'9c'!$K$5:$K$100)+SUMIF('9d'!H$5:H$100,$A126,'9d'!$K$5:$K$100)+SUMIF('9e'!H$5:H$100,$A126,'9e'!$K$5:$K$100)+SUMIF('9f'!H$5:H$100,$A126,'9f'!$K$5:$K$100)+SUMIF('9g'!H$5:H$100,$A126,'9g'!$K$5:$K$100)+SUMIF('9h'!H$5:H$100,$A126,'9h'!$K$5:$K$100)+SUMIF('9 TOTAL'!H$5:H$100,$A126,'9 TOTAL'!$K$5:$K$100)
+SUMIF('10'!H$5:H$100,$A126,'10'!$K$5:$K$100)+SUMIF('10a'!H$5:H$100,$A126,'10a'!$K$5:$K$100)+SUMIF('10b'!H$5:H$100,$A126,'10b'!$K$5:$K$100)+SUMIF('10c'!H$5:H$100,$A126,'10c'!$K$5:$K$100)+SUMIF('10d'!H$5:H$100,$A126,'10d'!$K$5:$K$100)+SUMIF('10e'!H$5:H$100,$A126,'10e'!$K$5:$K$100)+SUMIF('10f'!H$5:H$100,$A126,'10f'!$K$5:$K$100)+SUMIF('10g'!H$5:H$100,$A126,'10g'!$K$5:$K$100)+SUMIF('10h'!H$5:H$100,$A126,'10h'!$K$5:$K$100)+SUMIF('10i'!H$5:H$100,$A126,'10i'!$K$5:$K$100)+SUMIF('10j'!H$5:H$100,$A126,'10j'!$K$5:$K$100)+SUMIF('10k'!H$5:H$100,$A126,'10k'!$K$5:$K$100)+SUMIF('10l'!H$5:H$100,$A126,'10l'!$K$5:$K$100)+SUMIF('10m'!H$5:H$100,$A126,'10m'!$K$5:$K$100)+SUMIF('10 TOTAL'!H$5:H$100,$A126,'10 TOTAL'!$K$5:$K$100)</f>
        <v>0</v>
      </c>
      <c r="D126" s="1291">
        <f>SUMIF('4'!H$5:H$100,$A126,'4'!$I$5:$I$100)+SUMIF('4a'!H$5:H$100,$A126,'4a'!$I$5:$I$100)+SUMIF('4b'!H$5:H$100,$A126,'4b'!$I$5:$I$100)+SUMIF('4c'!H$5:H$100,$A126,'4c'!$I$5:$I$100)+SUMIF('5'!H$5:H$100,$A126,'5'!$I$5:$I$100)+SUMIF('6'!H$5:H$100,$A126,'6'!$I$5:$I$100)+SUMIF('7'!H$5:H$100,$A126,'7'!$I$5:$I$100)+SUMIF('7a'!H$5:H$100,$A126,'7a'!$I$5:$I$100)+SUMIF('7b'!H$5:H$100,$A126,'7b'!$I$5:$I$100)+SUMIF('8'!H$5:H$100,$A126,'8'!$I$5:$I$100)+SUMIF('9'!H$5:H$100,$A126,'9'!$I$5:$I$100)+SUMIF('9a'!H$5:H$100,$A126,'9a'!$I$5:$I$100)+SUMIF('9b'!H$5:H$100,$A126,'9b'!$I$5:$I$100)+SUMIF('9c'!H$5:H$100,$A126,'9c'!$I$5:$I$100)+SUMIF('9d'!H$5:H$100,$A126,'9d'!$I$5:$I$100)+SUMIF('9e'!H$5:H$100,$A126,'9e'!$I$5:$I$100)+SUMIF('9f'!H$5:H$100,$A126,'9f'!$I$5:$I$100)+SUMIF('9g'!H$5:H$100,$A126,'9g'!$I$5:$I$100)+SUMIF('9h'!H$5:H$100,$A126,'9h'!$I$5:$I$100)+SUMIF('9 TOTAL'!H$5:H$100,$A126,'9 TOTAL'!$I$5:$I$100)
+SUMIF('10'!H$5:H$100,$A126,'10'!$I$5:$I$100)+SUMIF('10a'!H$5:H$100,$A126,'10a'!$I$5:$I$100)+SUMIF('10b'!H$5:H$100,$A126,'10b'!$I$5:$I$100)+SUMIF('10c'!H$5:H$100,$A126,'10c'!$I$5:$I$100)+SUMIF('10d'!H$5:H$100,$A126,'10d'!$I$5:$I$100)+SUMIF('10e'!H$5:H$100,$A126,'10e'!$I$5:$I$100)+SUMIF('10f'!H$5:H$100,$A126,'10f'!$I$5:$I$100)+SUMIF('10g'!H$5:H$100,$A126,'10g'!$I$5:$I$100)+SUMIF('10h'!H$5:H$100,$A126,'10h'!$I$5:$I$100)+SUMIF('10i'!H$5:H$100,$A126,'10i'!$I$5:$I$100)+SUMIF('10j'!H$5:H$100,$A126,'10j'!$I$5:$I$100)+SUMIF('10k'!H$5:H$100,$A126,'10k'!$I$5:$I$100)+SUMIF('10l'!H$5:H$100,$A126,'10l'!$I$5:$I$100)+SUMIF('10m'!H$5:H$100,$A126,'10m'!$I$5:$I$100)+SUMIF('10 TOTAL'!H$5:H$100,$A126,'10 TOTAL'!$I$5:$I$100)</f>
        <v>0</v>
      </c>
      <c r="E126"/>
      <c r="F126"/>
      <c r="G126"/>
      <c r="H126"/>
      <c r="I126"/>
      <c r="J126"/>
      <c r="K126"/>
      <c r="L126"/>
      <c r="M126"/>
      <c r="N126"/>
      <c r="O126"/>
      <c r="P126"/>
      <c r="Q126"/>
      <c r="R126"/>
      <c r="S126" s="1307">
        <f t="shared" si="1"/>
        <v>0</v>
      </c>
      <c r="T126"/>
    </row>
    <row r="127" spans="1:20" x14ac:dyDescent="0.2">
      <c r="A127" t="s">
        <v>5361</v>
      </c>
      <c r="B127" s="784" t="s">
        <v>5437</v>
      </c>
      <c r="C127" s="1291">
        <f>SUMIF('4'!H$5:H$100,$A127,'4'!$K$5:$K$100)+SUMIF('4a'!H$5:H$100,$A127,'4a'!$K$5:$K$100)+SUMIF('4b'!H$5:H$100,$A127,'4b'!$K$5:$K$100)+SUMIF('4c'!H$5:H$100,$A127,'4c'!$K$5:$K$100)+SUMIF('5'!H$5:H$100,$A127,'5'!$K$5:$K$100)+SUMIF('6'!H$5:H$100,$A127,'6'!$K$5:$K$100)+SUMIF('7'!H$5:H$100,$A127,'7'!$K$5:$K$100)+SUMIF('7a'!H$5:H$100,$A127,'7a'!$K$5:$K$100)+SUMIF('7b'!H$5:H$100,$A127,'7b'!$K$5:$K$100)+SUMIF('8'!H$5:H$100,$A127,'8'!$K$5:$K$100)+SUMIF('9'!H$5:H$100,$A127,'9'!$K$5:$K$100)+SUMIF('9a'!H$5:H$100,$A127,'9a'!$K$5:$K$100)+SUMIF('9b'!H$5:H$100,$A127,'9b'!$K$5:$K$100)+SUMIF('9c'!H$5:H$100,$A127,'9c'!$K$5:$K$100)+SUMIF('9d'!H$5:H$100,$A127,'9d'!$K$5:$K$100)+SUMIF('9e'!H$5:H$100,$A127,'9e'!$K$5:$K$100)+SUMIF('9f'!H$5:H$100,$A127,'9f'!$K$5:$K$100)+SUMIF('9g'!H$5:H$100,$A127,'9g'!$K$5:$K$100)+SUMIF('9h'!H$5:H$100,$A127,'9h'!$K$5:$K$100)+SUMIF('9 TOTAL'!H$5:H$100,$A127,'9 TOTAL'!$K$5:$K$100)
+SUMIF('10'!H$5:H$100,$A127,'10'!$K$5:$K$100)+SUMIF('10a'!H$5:H$100,$A127,'10a'!$K$5:$K$100)+SUMIF('10b'!H$5:H$100,$A127,'10b'!$K$5:$K$100)+SUMIF('10c'!H$5:H$100,$A127,'10c'!$K$5:$K$100)+SUMIF('10d'!H$5:H$100,$A127,'10d'!$K$5:$K$100)+SUMIF('10e'!H$5:H$100,$A127,'10e'!$K$5:$K$100)+SUMIF('10f'!H$5:H$100,$A127,'10f'!$K$5:$K$100)+SUMIF('10g'!H$5:H$100,$A127,'10g'!$K$5:$K$100)+SUMIF('10h'!H$5:H$100,$A127,'10h'!$K$5:$K$100)+SUMIF('10i'!H$5:H$100,$A127,'10i'!$K$5:$K$100)+SUMIF('10j'!H$5:H$100,$A127,'10j'!$K$5:$K$100)+SUMIF('10k'!H$5:H$100,$A127,'10k'!$K$5:$K$100)+SUMIF('10l'!H$5:H$100,$A127,'10l'!$K$5:$K$100)+SUMIF('10m'!H$5:H$100,$A127,'10m'!$K$5:$K$100)+SUMIF('10 TOTAL'!H$5:H$100,$A127,'10 TOTAL'!$K$5:$K$100)</f>
        <v>0</v>
      </c>
      <c r="D127" s="1291">
        <f>SUMIF('4'!H$5:H$100,$A127,'4'!$I$5:$I$100)+SUMIF('4a'!H$5:H$100,$A127,'4a'!$I$5:$I$100)+SUMIF('4b'!H$5:H$100,$A127,'4b'!$I$5:$I$100)+SUMIF('4c'!H$5:H$100,$A127,'4c'!$I$5:$I$100)+SUMIF('5'!H$5:H$100,$A127,'5'!$I$5:$I$100)+SUMIF('6'!H$5:H$100,$A127,'6'!$I$5:$I$100)+SUMIF('7'!H$5:H$100,$A127,'7'!$I$5:$I$100)+SUMIF('7a'!H$5:H$100,$A127,'7a'!$I$5:$I$100)+SUMIF('7b'!H$5:H$100,$A127,'7b'!$I$5:$I$100)+SUMIF('8'!H$5:H$100,$A127,'8'!$I$5:$I$100)+SUMIF('9'!H$5:H$100,$A127,'9'!$I$5:$I$100)+SUMIF('9a'!H$5:H$100,$A127,'9a'!$I$5:$I$100)+SUMIF('9b'!H$5:H$100,$A127,'9b'!$I$5:$I$100)+SUMIF('9c'!H$5:H$100,$A127,'9c'!$I$5:$I$100)+SUMIF('9d'!H$5:H$100,$A127,'9d'!$I$5:$I$100)+SUMIF('9e'!H$5:H$100,$A127,'9e'!$I$5:$I$100)+SUMIF('9f'!H$5:H$100,$A127,'9f'!$I$5:$I$100)+SUMIF('9g'!H$5:H$100,$A127,'9g'!$I$5:$I$100)+SUMIF('9h'!H$5:H$100,$A127,'9h'!$I$5:$I$100)+SUMIF('9 TOTAL'!H$5:H$100,$A127,'9 TOTAL'!$I$5:$I$100)
+SUMIF('10'!H$5:H$100,$A127,'10'!$I$5:$I$100)+SUMIF('10a'!H$5:H$100,$A127,'10a'!$I$5:$I$100)+SUMIF('10b'!H$5:H$100,$A127,'10b'!$I$5:$I$100)+SUMIF('10c'!H$5:H$100,$A127,'10c'!$I$5:$I$100)+SUMIF('10d'!H$5:H$100,$A127,'10d'!$I$5:$I$100)+SUMIF('10e'!H$5:H$100,$A127,'10e'!$I$5:$I$100)+SUMIF('10f'!H$5:H$100,$A127,'10f'!$I$5:$I$100)+SUMIF('10g'!H$5:H$100,$A127,'10g'!$I$5:$I$100)+SUMIF('10h'!H$5:H$100,$A127,'10h'!$I$5:$I$100)+SUMIF('10i'!H$5:H$100,$A127,'10i'!$I$5:$I$100)+SUMIF('10j'!H$5:H$100,$A127,'10j'!$I$5:$I$100)+SUMIF('10k'!H$5:H$100,$A127,'10k'!$I$5:$I$100)+SUMIF('10l'!H$5:H$100,$A127,'10l'!$I$5:$I$100)+SUMIF('10m'!H$5:H$100,$A127,'10m'!$I$5:$I$100)+SUMIF('10 TOTAL'!H$5:H$100,$A127,'10 TOTAL'!$I$5:$I$100)</f>
        <v>0</v>
      </c>
      <c r="E127"/>
      <c r="F127"/>
      <c r="G127"/>
      <c r="H127"/>
      <c r="I127"/>
      <c r="J127"/>
      <c r="K127"/>
      <c r="L127"/>
      <c r="M127"/>
      <c r="N127"/>
      <c r="O127"/>
      <c r="P127"/>
      <c r="Q127"/>
      <c r="R127"/>
      <c r="S127" s="1307">
        <f t="shared" si="1"/>
        <v>0</v>
      </c>
      <c r="T127"/>
    </row>
    <row r="128" spans="1:20" x14ac:dyDescent="0.2">
      <c r="A128"/>
      <c r="B128" s="1305" t="str">
        <f>"Total- "&amp;A124</f>
        <v>Total- Additional Revenues Offset by Appropriations</v>
      </c>
      <c r="C128" s="1290">
        <f>SUM(C125:C127)</f>
        <v>0</v>
      </c>
      <c r="D128" s="1290">
        <f>SUM(D125:D127)</f>
        <v>0</v>
      </c>
      <c r="E128"/>
      <c r="F128"/>
      <c r="G128"/>
      <c r="H128"/>
      <c r="I128"/>
      <c r="J128"/>
      <c r="K128"/>
      <c r="L128"/>
      <c r="M128"/>
      <c r="N128"/>
      <c r="O128"/>
      <c r="P128"/>
      <c r="Q128"/>
      <c r="R128"/>
      <c r="S128" s="1307"/>
      <c r="T128"/>
    </row>
    <row r="129" spans="1:20" x14ac:dyDescent="0.2">
      <c r="A129"/>
      <c r="B129" s="1305"/>
      <c r="C129" s="1290"/>
      <c r="D129" s="1290"/>
      <c r="E129"/>
      <c r="F129"/>
      <c r="G129"/>
      <c r="H129"/>
      <c r="I129"/>
      <c r="J129"/>
      <c r="K129"/>
      <c r="L129"/>
      <c r="M129"/>
      <c r="N129"/>
      <c r="O129"/>
      <c r="P129"/>
      <c r="Q129"/>
      <c r="R129"/>
      <c r="S129" s="1307"/>
      <c r="T129"/>
    </row>
    <row r="130" spans="1:20" x14ac:dyDescent="0.2">
      <c r="A130" s="106" t="s">
        <v>5600</v>
      </c>
      <c r="B130" s="5"/>
      <c r="C130" s="75"/>
      <c r="D130" s="75"/>
      <c r="E130"/>
      <c r="F130"/>
      <c r="G130"/>
      <c r="H130"/>
      <c r="I130"/>
      <c r="J130"/>
      <c r="K130"/>
      <c r="L130"/>
      <c r="M130"/>
      <c r="N130"/>
      <c r="O130"/>
      <c r="P130"/>
      <c r="Q130"/>
      <c r="R130"/>
      <c r="S130" s="1307"/>
      <c r="T130"/>
    </row>
    <row r="131" spans="1:20" x14ac:dyDescent="0.2">
      <c r="A131"/>
      <c r="B131" s="784" t="s">
        <v>5353</v>
      </c>
      <c r="C131" s="1291">
        <f>'11'!K16</f>
        <v>5119.84</v>
      </c>
      <c r="D131" s="1291">
        <f>'11'!I16</f>
        <v>5119.84</v>
      </c>
      <c r="E131"/>
      <c r="F131"/>
      <c r="G131"/>
      <c r="H131"/>
      <c r="I131"/>
      <c r="J131"/>
      <c r="K131"/>
      <c r="L131"/>
      <c r="M131"/>
      <c r="N131"/>
      <c r="O131"/>
      <c r="P131"/>
      <c r="Q131"/>
      <c r="R131"/>
      <c r="S131" s="1307">
        <f t="shared" si="1"/>
        <v>10239.68</v>
      </c>
      <c r="T131"/>
    </row>
    <row r="132" spans="1:20" x14ac:dyDescent="0.2">
      <c r="A132"/>
      <c r="B132" s="1305" t="str">
        <f>"Total- "&amp;A130</f>
        <v>Total- Public and Private Revenues (Grants)</v>
      </c>
      <c r="C132" s="1290">
        <f>C131</f>
        <v>5119.84</v>
      </c>
      <c r="D132" s="1290">
        <f>D131</f>
        <v>5119.84</v>
      </c>
      <c r="E132"/>
      <c r="F132"/>
      <c r="G132"/>
      <c r="H132"/>
      <c r="I132"/>
      <c r="J132"/>
      <c r="K132"/>
      <c r="L132"/>
      <c r="M132"/>
      <c r="N132"/>
      <c r="O132"/>
      <c r="P132"/>
      <c r="Q132"/>
      <c r="R132"/>
      <c r="S132" s="1307"/>
      <c r="T132"/>
    </row>
    <row r="133" spans="1:20" x14ac:dyDescent="0.2">
      <c r="A133"/>
      <c r="B133"/>
      <c r="C133" s="1291"/>
      <c r="D133" s="1291"/>
      <c r="E133"/>
      <c r="F133"/>
      <c r="G133"/>
      <c r="H133"/>
      <c r="I133"/>
      <c r="J133"/>
      <c r="K133"/>
      <c r="L133"/>
      <c r="M133"/>
      <c r="N133"/>
      <c r="O133"/>
      <c r="P133"/>
      <c r="Q133"/>
      <c r="R133"/>
      <c r="S133" s="1307"/>
      <c r="T133"/>
    </row>
    <row r="134" spans="1:20" x14ac:dyDescent="0.2">
      <c r="A134" s="106" t="s">
        <v>5435</v>
      </c>
      <c r="B134" s="5"/>
      <c r="C134" s="75"/>
      <c r="D134" s="75"/>
      <c r="E134"/>
      <c r="F134"/>
      <c r="G134"/>
      <c r="H134"/>
      <c r="I134"/>
      <c r="J134"/>
      <c r="K134"/>
      <c r="L134"/>
      <c r="M134"/>
      <c r="N134"/>
      <c r="O134"/>
      <c r="P134"/>
      <c r="Q134"/>
      <c r="R134"/>
      <c r="S134" s="1307"/>
      <c r="T134"/>
    </row>
    <row r="135" spans="1:20" x14ac:dyDescent="0.2">
      <c r="A135" t="s">
        <v>517</v>
      </c>
      <c r="B135" t="s">
        <v>5412</v>
      </c>
      <c r="C135" s="1291">
        <f>SUMIF('4'!H$8:H$100,$A135,'4'!$K$8:$K$100)+SUMIF('4a'!H$5:H$100,$A135,'4a'!$K$5:$K$100)+SUMIF('4b'!H$5:H$100,$A135,'4b'!$K$5:$K$100)+SUMIF('4c'!H$5:H$100,$A135,'4c'!$K$5:$K$100)+SUMIF('5'!H$5:H$100,$A135,'5'!$K$5:$K$100)+SUMIF('6'!H$5:H$100,$A135,'6'!$K$5:$K$100)+SUMIF('7'!H$5:H$100,$A135,'7'!$K$5:$K$100)+SUMIF('7a'!H$5:H$100,$A135,'7a'!$K$5:$K$100)+SUMIF('7b'!H$5:H$100,$A135,'7b'!$K$5:$K$100)+SUMIF('8'!H$5:H$100,$A135,'8'!$K$5:$K$100)+SUMIF('9'!H$5:H$100,$A135,'9'!$K$5:$K$100)+SUMIF('9a'!H$5:H$100,$A135,'9a'!$K$5:$K$100)+SUMIF('9b'!H$5:H$100,$A135,'9b'!$K$5:$K$100)+SUMIF('9c'!H$5:H$100,$A135,'9c'!$K$5:$K$100)+SUMIF('9d'!H$5:H$100,$A135,'9d'!$K$5:$K$100)+SUMIF('9e'!H$5:H$100,$A135,'9e'!$K$5:$K$100)+SUMIF('9f'!H$5:H$100,$A135,'9f'!$K$5:$K$100)+SUMIF('9g'!H$5:H$100,$A135,'9g'!$K$5:$K$100)+SUMIF('9h'!H$5:H$100,$A135,'9h'!$K$5:$K$100)+SUMIF('9 TOTAL'!H$5:H$100,$A135,'9 TOTAL'!$K$5:$K$100)
+SUMIF('10'!H$5:H$100,$A135,'10'!$K$5:$K$100)+SUMIF('10a'!H$5:H$100,$A135,'10a'!$K$5:$K$100)+SUMIF('10b'!H$5:H$100,$A135,'10b'!$K$5:$K$100)+SUMIF('10c'!H$5:H$100,$A135,'10c'!$K$5:$K$100)+SUMIF('10d'!H$5:H$100,$A135,'10d'!$K$5:$K$100)+SUMIF('10e'!H$5:H$100,$A135,'10e'!$K$5:$K$100)+SUMIF('10f'!H$5:H$100,$A135,'10f'!$K$5:$K$100)+SUMIF('10g'!H$5:H$100,$A135,'10g'!$K$5:$K$100)+SUMIF('10h'!H$5:H$100,$A135,'10h'!$K$5:$K$100)+SUMIF('10i'!H$5:H$100,$A135,'10i'!$K$5:$K$100)+SUMIF('10j'!H$5:H$100,$A135,'10j'!$K$5:$K$100)+SUMIF('10k'!H$5:H$100,$A135,'10k'!$K$5:$K$100)+SUMIF('10l'!H$5:H$100,$A135,'10l'!$K$5:$K$100)+SUMIF('10m'!H$5:H$100,$A135,'10m'!$K$5:$K$100)+SUMIF('10 TOTAL'!H$5:H$100,$A135,'10 TOTAL'!$K$5:$K$100)</f>
        <v>0</v>
      </c>
      <c r="D135" s="1291">
        <f>SUMIF('4'!H$8:H$100,$A135,'4'!$I$8:$I$100)+SUMIF('4a'!H$5:H$100,$A135,'4a'!$I$5:$I$100)+SUMIF('4b'!H$5:H$100,$A135,'4b'!$I$5:$I$100)+SUMIF('4c'!H$5:H$100,$A135,'4c'!$I$5:$I$100)+SUMIF('5'!H$5:H$100,$A135,'5'!$I$5:$I$100)+SUMIF('6'!H$5:H$100,$A135,'6'!$I$5:$I$100)+SUMIF('7'!H$5:H$100,$A135,'7'!$I$5:$I$100)+SUMIF('7a'!H$5:H$100,$A135,'7a'!$I$5:$I$100)+SUMIF('7b'!H$5:H$100,$A135,'7b'!$I$5:$I$100)+SUMIF('8'!H$5:H$100,$A135,'8'!$I$5:$I$100)+SUMIF('9'!H$5:H$100,$A135,'9'!$I$5:$I$100)+SUMIF('9a'!H$5:H$100,$A135,'9a'!$I$5:$I$100)+SUMIF('9b'!H$5:H$100,$A135,'9b'!$I$5:$I$100)+SUMIF('9c'!H$5:H$100,$A135,'9c'!$I$5:$I$100)+SUMIF('9d'!H$5:H$100,$A135,'9d'!$I$5:$I$100)+SUMIF('9e'!H$5:H$100,$A135,'9e'!$I$5:$I$100)+SUMIF('9f'!H$5:H$100,$A135,'9f'!$I$5:$I$100)+SUMIF('9g'!H$5:H$100,$A135,'9g'!$I$5:$I$100)+SUMIF('9h'!H$5:H$100,$A135,'9h'!$I$5:$I$100)+SUMIF('9 TOTAL'!H$5:H$100,$A135,'9 TOTAL'!$I$5:$I$100)
+SUMIF('10'!H$5:H$100,$A135,'10'!$I$5:$I$100)+SUMIF('10a'!H$5:H$100,$A135,'10a'!$I$5:$I$100)+SUMIF('10b'!H$5:H$100,$A135,'10b'!$I$5:$I$100)+SUMIF('10c'!H$5:H$100,$A135,'10c'!$I$5:$I$100)+SUMIF('10d'!H$5:H$100,$A135,'10d'!$I$5:$I$100)+SUMIF('10e'!H$5:H$100,$A135,'10e'!$I$5:$I$100)+SUMIF('10f'!H$5:H$100,$A135,'10f'!$I$5:$I$100)+SUMIF('10g'!H$5:H$100,$A135,'10g'!$I$5:$I$100)+SUMIF('10h'!H$5:H$100,$A135,'10h'!$I$5:$I$100)+SUMIF('10i'!H$5:H$100,$A135,'10i'!$I$5:$I$100)+SUMIF('10j'!H$5:H$100,$A135,'10j'!$I$5:$I$100)+SUMIF('10k'!H$5:H$100,$A135,'10k'!$I$5:$I$100)+SUMIF('10l'!H$5:H$100,$A135,'10l'!$I$5:$I$100)+SUMIF('10m'!H$5:H$100,$A135,'10m'!$I$5:$I$100)+SUMIF('10 TOTAL'!H$5:H$100,$A135,'10 TOTAL'!$I$5:$I$100)</f>
        <v>0</v>
      </c>
      <c r="E135"/>
      <c r="F135"/>
      <c r="G135"/>
      <c r="H135"/>
      <c r="I135"/>
      <c r="J135"/>
      <c r="K135"/>
      <c r="L135"/>
      <c r="M135"/>
      <c r="N135"/>
      <c r="O135"/>
      <c r="P135"/>
      <c r="Q135"/>
      <c r="R135"/>
      <c r="S135" s="1307">
        <f t="shared" si="1"/>
        <v>0</v>
      </c>
      <c r="T135"/>
    </row>
    <row r="136" spans="1:20" x14ac:dyDescent="0.2">
      <c r="A136" t="s">
        <v>5264</v>
      </c>
      <c r="B136" t="s">
        <v>5413</v>
      </c>
      <c r="C136" s="1291">
        <f>SUMIF('4'!H$8:H$100,$A136,'4'!$K$8:$K$100)+SUMIF('4a'!H$5:H$100,$A136,'4a'!$K$5:$K$100)+SUMIF('4b'!H$5:H$100,$A136,'4b'!$K$5:$K$100)+SUMIF('4c'!H$5:H$100,$A136,'4c'!$K$5:$K$100)+SUMIF('5'!H$5:H$100,$A136,'5'!$K$5:$K$100)+SUMIF('6'!H$5:H$100,$A136,'6'!$K$5:$K$100)+SUMIF('7'!H$5:H$100,$A136,'7'!$K$5:$K$100)+SUMIF('7a'!H$5:H$100,$A136,'7a'!$K$5:$K$100)+SUMIF('7b'!H$5:H$100,$A136,'7b'!$K$5:$K$100)+SUMIF('8'!H$5:H$100,$A136,'8'!$K$5:$K$100)+SUMIF('9'!H$5:H$100,$A136,'9'!$K$5:$K$100)+SUMIF('9a'!H$5:H$100,$A136,'9a'!$K$5:$K$100)+SUMIF('9b'!H$5:H$100,$A136,'9b'!$K$5:$K$100)+SUMIF('9c'!H$5:H$100,$A136,'9c'!$K$5:$K$100)+SUMIF('9d'!H$5:H$100,$A136,'9d'!$K$5:$K$100)+SUMIF('9e'!H$5:H$100,$A136,'9e'!$K$5:$K$100)+SUMIF('9f'!H$5:H$100,$A136,'9f'!$K$5:$K$100)+SUMIF('9g'!H$5:H$100,$A136,'9g'!$K$5:$K$100)+SUMIF('9h'!H$5:H$100,$A136,'9h'!$K$5:$K$100)+SUMIF('9 TOTAL'!H$5:H$100,$A136,'9 TOTAL'!$K$5:$K$100)
+SUMIF('10'!H$5:H$100,$A136,'10'!$K$5:$K$100)+SUMIF('10a'!H$5:H$100,$A136,'10a'!$K$5:$K$100)+SUMIF('10b'!H$5:H$100,$A136,'10b'!$K$5:$K$100)+SUMIF('10c'!H$5:H$100,$A136,'10c'!$K$5:$K$100)+SUMIF('10d'!H$5:H$100,$A136,'10d'!$K$5:$K$100)+SUMIF('10e'!H$5:H$100,$A136,'10e'!$K$5:$K$100)+SUMIF('10f'!H$5:H$100,$A136,'10f'!$K$5:$K$100)+SUMIF('10g'!H$5:H$100,$A136,'10g'!$K$5:$K$100)+SUMIF('10h'!H$5:H$100,$A136,'10h'!$K$5:$K$100)+SUMIF('10i'!H$5:H$100,$A136,'10i'!$K$5:$K$100)+SUMIF('10j'!H$5:H$100,$A136,'10j'!$K$5:$K$100)+SUMIF('10k'!H$5:H$100,$A136,'10k'!$K$5:$K$100)+SUMIF('10l'!H$5:H$100,$A136,'10l'!$K$5:$K$100)+SUMIF('10m'!H$5:H$100,$A136,'10m'!$K$5:$K$100)+SUMIF('10 TOTAL'!H$5:H$100,$A136,'10 TOTAL'!$K$5:$K$100)</f>
        <v>0</v>
      </c>
      <c r="D136" s="1291">
        <f>SUMIF('4'!H$8:H$100,$A136,'4'!$I$8:$I$100)+SUMIF('4a'!H$5:H$100,$A136,'4a'!$I$5:$I$100)+SUMIF('4b'!H$5:H$100,$A136,'4b'!$I$5:$I$100)+SUMIF('4c'!H$5:H$100,$A136,'4c'!$I$5:$I$100)+SUMIF('5'!H$5:H$100,$A136,'5'!$I$5:$I$100)+SUMIF('6'!H$5:H$100,$A136,'6'!$I$5:$I$100)+SUMIF('7'!H$5:H$100,$A136,'7'!$I$5:$I$100)+SUMIF('7a'!H$5:H$100,$A136,'7a'!$I$5:$I$100)+SUMIF('7b'!H$5:H$100,$A136,'7b'!$I$5:$I$100)+SUMIF('8'!H$5:H$100,$A136,'8'!$I$5:$I$100)+SUMIF('9'!H$5:H$100,$A136,'9'!$I$5:$I$100)+SUMIF('9a'!H$5:H$100,$A136,'9a'!$I$5:$I$100)+SUMIF('9b'!H$5:H$100,$A136,'9b'!$I$5:$I$100)+SUMIF('9c'!H$5:H$100,$A136,'9c'!$I$5:$I$100)+SUMIF('9d'!H$5:H$100,$A136,'9d'!$I$5:$I$100)+SUMIF('9e'!H$5:H$100,$A136,'9e'!$I$5:$I$100)+SUMIF('9f'!H$5:H$100,$A136,'9f'!$I$5:$I$100)+SUMIF('9g'!H$5:H$100,$A136,'9g'!$I$5:$I$100)+SUMIF('9h'!H$5:H$100,$A136,'9h'!$I$5:$I$100)+SUMIF('9 TOTAL'!H$5:H$100,$A136,'9 TOTAL'!$I$5:$I$100)
+SUMIF('10'!H$5:H$100,$A136,'10'!$I$5:$I$100)+SUMIF('10a'!H$5:H$100,$A136,'10a'!$I$5:$I$100)+SUMIF('10b'!H$5:H$100,$A136,'10b'!$I$5:$I$100)+SUMIF('10c'!H$5:H$100,$A136,'10c'!$I$5:$I$100)+SUMIF('10d'!H$5:H$100,$A136,'10d'!$I$5:$I$100)+SUMIF('10e'!H$5:H$100,$A136,'10e'!$I$5:$I$100)+SUMIF('10f'!H$5:H$100,$A136,'10f'!$I$5:$I$100)+SUMIF('10g'!H$5:H$100,$A136,'10g'!$I$5:$I$100)+SUMIF('10h'!H$5:H$100,$A136,'10h'!$I$5:$I$100)+SUMIF('10i'!H$5:H$100,$A136,'10i'!$I$5:$I$100)+SUMIF('10j'!H$5:H$100,$A136,'10j'!$I$5:$I$100)+SUMIF('10k'!H$5:H$100,$A136,'10k'!$I$5:$I$100)+SUMIF('10l'!H$5:H$100,$A136,'10l'!$I$5:$I$100)+SUMIF('10m'!H$5:H$100,$A136,'10m'!$I$5:$I$100)+SUMIF('10 TOTAL'!H$5:H$100,$A136,'10 TOTAL'!$I$5:$I$100)</f>
        <v>0</v>
      </c>
      <c r="E136"/>
      <c r="F136"/>
      <c r="G136"/>
      <c r="H136"/>
      <c r="I136"/>
      <c r="J136"/>
      <c r="K136"/>
      <c r="L136"/>
      <c r="M136"/>
      <c r="N136"/>
      <c r="O136"/>
      <c r="P136"/>
      <c r="Q136"/>
      <c r="R136"/>
      <c r="S136" s="1307">
        <f t="shared" si="1"/>
        <v>0</v>
      </c>
      <c r="T136"/>
    </row>
    <row r="137" spans="1:20" x14ac:dyDescent="0.2">
      <c r="A137" t="s">
        <v>3394</v>
      </c>
      <c r="B137" t="s">
        <v>5228</v>
      </c>
      <c r="C137" s="1291">
        <f>SUMIF('4'!H$8:H$100,$A137,'4'!$K$8:$K$100)+SUMIF('4a'!H$5:H$100,$A137,'4a'!$K$5:$K$100)+SUMIF('4b'!H$5:H$100,$A137,'4b'!$K$5:$K$100)+SUMIF('4c'!H$5:H$100,$A137,'4c'!$K$5:$K$100)+SUMIF('5'!H$5:H$100,$A137,'5'!$K$5:$K$100)+SUMIF('6'!H$5:H$100,$A137,'6'!$K$5:$K$100)+SUMIF('7'!H$5:H$100,$A137,'7'!$K$5:$K$100)+SUMIF('7a'!H$5:H$100,$A137,'7a'!$K$5:$K$100)+SUMIF('7b'!H$5:H$100,$A137,'7b'!$K$5:$K$100)+SUMIF('8'!H$5:H$100,$A137,'8'!$K$5:$K$100)+SUMIF('9'!H$5:H$100,$A137,'9'!$K$5:$K$100)+SUMIF('9a'!H$5:H$100,$A137,'9a'!$K$5:$K$100)+SUMIF('9b'!H$5:H$100,$A137,'9b'!$K$5:$K$100)+SUMIF('9c'!H$5:H$100,$A137,'9c'!$K$5:$K$100)+SUMIF('9d'!H$5:H$100,$A137,'9d'!$K$5:$K$100)+SUMIF('9e'!H$5:H$100,$A137,'9e'!$K$5:$K$100)+SUMIF('9f'!H$5:H$100,$A137,'9f'!$K$5:$K$100)+SUMIF('9g'!H$5:H$100,$A137,'9g'!$K$5:$K$100)+SUMIF('9h'!H$5:H$100,$A137,'9h'!$K$5:$K$100)+SUMIF('9 TOTAL'!H$5:H$100,$A137,'9 TOTAL'!$K$5:$K$100)
+SUMIF('10'!H$5:H$100,$A137,'10'!$K$5:$K$100)+SUMIF('10a'!H$5:H$100,$A137,'10a'!$K$5:$K$100)+SUMIF('10b'!H$5:H$100,$A137,'10b'!$K$5:$K$100)+SUMIF('10c'!H$5:H$100,$A137,'10c'!$K$5:$K$100)+SUMIF('10d'!H$5:H$100,$A137,'10d'!$K$5:$K$100)+SUMIF('10e'!H$5:H$100,$A137,'10e'!$K$5:$K$100)+SUMIF('10f'!H$5:H$100,$A137,'10f'!$K$5:$K$100)+SUMIF('10g'!H$5:H$100,$A137,'10g'!$K$5:$K$100)+SUMIF('10h'!H$5:H$100,$A137,'10h'!$K$5:$K$100)+SUMIF('10i'!H$5:H$100,$A137,'10i'!$K$5:$K$100)+SUMIF('10j'!H$5:H$100,$A137,'10j'!$K$5:$K$100)+SUMIF('10k'!H$5:H$100,$A137,'10k'!$K$5:$K$100)+SUMIF('10l'!H$5:H$100,$A137,'10l'!$K$5:$K$100)+SUMIF('10m'!H$5:H$100,$A137,'10m'!$K$5:$K$100)+SUMIF('10 TOTAL'!H$5:H$100,$A137,'10 TOTAL'!$K$5:$K$100)</f>
        <v>0</v>
      </c>
      <c r="D137" s="1291">
        <f>SUMIF('4'!H$8:H$100,$A137,'4'!$I$8:$I$100)+SUMIF('4a'!H$5:H$100,$A137,'4a'!$I$5:$I$100)+SUMIF('4b'!H$5:H$100,$A137,'4b'!$I$5:$I$100)+SUMIF('4c'!H$5:H$100,$A137,'4c'!$I$5:$I$100)+SUMIF('5'!H$5:H$100,$A137,'5'!$I$5:$I$100)+SUMIF('6'!H$5:H$100,$A137,'6'!$I$5:$I$100)+SUMIF('7'!H$5:H$100,$A137,'7'!$I$5:$I$100)+SUMIF('7a'!H$5:H$100,$A137,'7a'!$I$5:$I$100)+SUMIF('7b'!H$5:H$100,$A137,'7b'!$I$5:$I$100)+SUMIF('8'!H$5:H$100,$A137,'8'!$I$5:$I$100)+SUMIF('9'!H$5:H$100,$A137,'9'!$I$5:$I$100)+SUMIF('9a'!H$5:H$100,$A137,'9a'!$I$5:$I$100)+SUMIF('9b'!H$5:H$100,$A137,'9b'!$I$5:$I$100)+SUMIF('9c'!H$5:H$100,$A137,'9c'!$I$5:$I$100)+SUMIF('9d'!H$5:H$100,$A137,'9d'!$I$5:$I$100)+SUMIF('9e'!H$5:H$100,$A137,'9e'!$I$5:$I$100)+SUMIF('9f'!H$5:H$100,$A137,'9f'!$I$5:$I$100)+SUMIF('9g'!H$5:H$100,$A137,'9g'!$I$5:$I$100)+SUMIF('9h'!H$5:H$100,$A137,'9h'!$I$5:$I$100)+SUMIF('9 TOTAL'!H$5:H$100,$A137,'9 TOTAL'!$I$5:$I$100)
+SUMIF('10'!H$5:H$100,$A137,'10'!$I$5:$I$100)+SUMIF('10a'!H$5:H$100,$A137,'10a'!$I$5:$I$100)+SUMIF('10b'!H$5:H$100,$A137,'10b'!$I$5:$I$100)+SUMIF('10c'!H$5:H$100,$A137,'10c'!$I$5:$I$100)+SUMIF('10d'!H$5:H$100,$A137,'10d'!$I$5:$I$100)+SUMIF('10e'!H$5:H$100,$A137,'10e'!$I$5:$I$100)+SUMIF('10f'!H$5:H$100,$A137,'10f'!$I$5:$I$100)+SUMIF('10g'!H$5:H$100,$A137,'10g'!$I$5:$I$100)+SUMIF('10h'!H$5:H$100,$A137,'10h'!$I$5:$I$100)+SUMIF('10i'!H$5:H$100,$A137,'10i'!$I$5:$I$100)+SUMIF('10j'!H$5:H$100,$A137,'10j'!$I$5:$I$100)+SUMIF('10k'!H$5:H$100,$A137,'10k'!$I$5:$I$100)+SUMIF('10l'!H$5:H$100,$A137,'10l'!$I$5:$I$100)+SUMIF('10m'!H$5:H$100,$A137,'10m'!$I$5:$I$100)+SUMIF('10 TOTAL'!H$5:H$100,$A137,'10 TOTAL'!$I$5:$I$100)</f>
        <v>0</v>
      </c>
      <c r="E137"/>
      <c r="F137"/>
      <c r="G137"/>
      <c r="H137"/>
      <c r="I137"/>
      <c r="J137"/>
      <c r="K137"/>
      <c r="L137"/>
      <c r="M137"/>
      <c r="N137"/>
      <c r="O137"/>
      <c r="P137"/>
      <c r="Q137"/>
      <c r="R137"/>
      <c r="S137" s="1307">
        <f t="shared" si="1"/>
        <v>0</v>
      </c>
      <c r="T137"/>
    </row>
    <row r="138" spans="1:20" x14ac:dyDescent="0.2">
      <c r="A138" t="s">
        <v>3398</v>
      </c>
      <c r="B138" t="s">
        <v>5414</v>
      </c>
      <c r="C138" s="1291">
        <f>SUMIF('4'!H$8:H$100,$A138,'4'!$K$8:$K$100)+SUMIF('4a'!H$5:H$100,$A138,'4a'!$K$5:$K$100)+SUMIF('4b'!H$5:H$100,$A138,'4b'!$K$5:$K$100)+SUMIF('4c'!H$5:H$100,$A138,'4c'!$K$5:$K$100)+SUMIF('5'!H$5:H$100,$A138,'5'!$K$5:$K$100)+SUMIF('6'!H$5:H$100,$A138,'6'!$K$5:$K$100)+SUMIF('7'!H$5:H$100,$A138,'7'!$K$5:$K$100)+SUMIF('7a'!H$5:H$100,$A138,'7a'!$K$5:$K$100)+SUMIF('7b'!H$5:H$100,$A138,'7b'!$K$5:$K$100)+SUMIF('8'!H$5:H$100,$A138,'8'!$K$5:$K$100)+SUMIF('9'!H$5:H$100,$A138,'9'!$K$5:$K$100)+SUMIF('9a'!H$5:H$100,$A138,'9a'!$K$5:$K$100)+SUMIF('9b'!H$5:H$100,$A138,'9b'!$K$5:$K$100)+SUMIF('9c'!H$5:H$100,$A138,'9c'!$K$5:$K$100)+SUMIF('9d'!H$5:H$100,$A138,'9d'!$K$5:$K$100)+SUMIF('9e'!H$5:H$100,$A138,'9e'!$K$5:$K$100)+SUMIF('9f'!H$5:H$100,$A138,'9f'!$K$5:$K$100)+SUMIF('9g'!H$5:H$100,$A138,'9g'!$K$5:$K$100)+SUMIF('9h'!H$5:H$100,$A138,'9h'!$K$5:$K$100)+SUMIF('9 TOTAL'!H$5:H$100,$A138,'9 TOTAL'!$K$5:$K$100)
+SUMIF('10'!H$5:H$100,$A138,'10'!$K$5:$K$100)+SUMIF('10a'!H$5:H$100,$A138,'10a'!$K$5:$K$100)+SUMIF('10b'!H$5:H$100,$A138,'10b'!$K$5:$K$100)+SUMIF('10c'!H$5:H$100,$A138,'10c'!$K$5:$K$100)+SUMIF('10d'!H$5:H$100,$A138,'10d'!$K$5:$K$100)+SUMIF('10e'!H$5:H$100,$A138,'10e'!$K$5:$K$100)+SUMIF('10f'!H$5:H$100,$A138,'10f'!$K$5:$K$100)+SUMIF('10g'!H$5:H$100,$A138,'10g'!$K$5:$K$100)+SUMIF('10h'!H$5:H$100,$A138,'10h'!$K$5:$K$100)+SUMIF('10i'!H$5:H$100,$A138,'10i'!$K$5:$K$100)+SUMIF('10j'!H$5:H$100,$A138,'10j'!$K$5:$K$100)+SUMIF('10k'!H$5:H$100,$A138,'10k'!$K$5:$K$100)+SUMIF('10l'!H$5:H$100,$A138,'10l'!$K$5:$K$100)+SUMIF('10m'!H$5:H$100,$A138,'10m'!$K$5:$K$100)+SUMIF('10 TOTAL'!H$5:H$100,$A138,'10 TOTAL'!$K$5:$K$100)</f>
        <v>0</v>
      </c>
      <c r="D138" s="1291">
        <f>SUMIF('4'!H$8:H$100,$A138,'4'!$I$8:$I$100)+SUMIF('4a'!H$5:H$100,$A138,'4a'!$I$5:$I$100)+SUMIF('4b'!H$5:H$100,$A138,'4b'!$I$5:$I$100)+SUMIF('4c'!H$5:H$100,$A138,'4c'!$I$5:$I$100)+SUMIF('5'!H$5:H$100,$A138,'5'!$I$5:$I$100)+SUMIF('6'!H$5:H$100,$A138,'6'!$I$5:$I$100)+SUMIF('7'!H$5:H$100,$A138,'7'!$I$5:$I$100)+SUMIF('7a'!H$5:H$100,$A138,'7a'!$I$5:$I$100)+SUMIF('7b'!H$5:H$100,$A138,'7b'!$I$5:$I$100)+SUMIF('8'!H$5:H$100,$A138,'8'!$I$5:$I$100)+SUMIF('9'!H$5:H$100,$A138,'9'!$I$5:$I$100)+SUMIF('9a'!H$5:H$100,$A138,'9a'!$I$5:$I$100)+SUMIF('9b'!H$5:H$100,$A138,'9b'!$I$5:$I$100)+SUMIF('9c'!H$5:H$100,$A138,'9c'!$I$5:$I$100)+SUMIF('9d'!H$5:H$100,$A138,'9d'!$I$5:$I$100)+SUMIF('9e'!H$5:H$100,$A138,'9e'!$I$5:$I$100)+SUMIF('9f'!H$5:H$100,$A138,'9f'!$I$5:$I$100)+SUMIF('9g'!H$5:H$100,$A138,'9g'!$I$5:$I$100)+SUMIF('9h'!H$5:H$100,$A138,'9h'!$I$5:$I$100)+SUMIF('9 TOTAL'!H$5:H$100,$A138,'9 TOTAL'!$I$5:$I$100)
+SUMIF('10'!H$5:H$100,$A138,'10'!$I$5:$I$100)+SUMIF('10a'!H$5:H$100,$A138,'10a'!$I$5:$I$100)+SUMIF('10b'!H$5:H$100,$A138,'10b'!$I$5:$I$100)+SUMIF('10c'!H$5:H$100,$A138,'10c'!$I$5:$I$100)+SUMIF('10d'!H$5:H$100,$A138,'10d'!$I$5:$I$100)+SUMIF('10e'!H$5:H$100,$A138,'10e'!$I$5:$I$100)+SUMIF('10f'!H$5:H$100,$A138,'10f'!$I$5:$I$100)+SUMIF('10g'!H$5:H$100,$A138,'10g'!$I$5:$I$100)+SUMIF('10h'!H$5:H$100,$A138,'10h'!$I$5:$I$100)+SUMIF('10i'!H$5:H$100,$A138,'10i'!$I$5:$I$100)+SUMIF('10j'!H$5:H$100,$A138,'10j'!$I$5:$I$100)+SUMIF('10k'!H$5:H$100,$A138,'10k'!$I$5:$I$100)+SUMIF('10l'!H$5:H$100,$A138,'10l'!$I$5:$I$100)+SUMIF('10m'!H$5:H$100,$A138,'10m'!$I$5:$I$100)+SUMIF('10 TOTAL'!H$5:H$100,$A138,'10 TOTAL'!$I$5:$I$100)</f>
        <v>0</v>
      </c>
      <c r="E138"/>
      <c r="F138"/>
      <c r="G138"/>
      <c r="H138"/>
      <c r="I138"/>
      <c r="J138"/>
      <c r="K138"/>
      <c r="L138"/>
      <c r="M138"/>
      <c r="N138"/>
      <c r="O138"/>
      <c r="P138"/>
      <c r="Q138"/>
      <c r="R138"/>
      <c r="S138" s="1307">
        <f t="shared" si="1"/>
        <v>0</v>
      </c>
      <c r="T138"/>
    </row>
    <row r="139" spans="1:20" x14ac:dyDescent="0.2">
      <c r="A139" t="s">
        <v>3408</v>
      </c>
      <c r="B139" t="s">
        <v>5415</v>
      </c>
      <c r="C139" s="1291">
        <f>SUMIF('4'!H$8:H$100,$A139,'4'!$K$8:$K$100)+SUMIF('4a'!H$5:H$100,$A139,'4a'!$K$5:$K$100)+SUMIF('4b'!H$5:H$100,$A139,'4b'!$K$5:$K$100)+SUMIF('4c'!H$5:H$100,$A139,'4c'!$K$5:$K$100)+SUMIF('5'!H$5:H$100,$A139,'5'!$K$5:$K$100)+SUMIF('6'!H$5:H$100,$A139,'6'!$K$5:$K$100)+SUMIF('7'!H$5:H$100,$A139,'7'!$K$5:$K$100)+SUMIF('7a'!H$5:H$100,$A139,'7a'!$K$5:$K$100)+SUMIF('7b'!H$5:H$100,$A139,'7b'!$K$5:$K$100)+SUMIF('8'!H$5:H$100,$A139,'8'!$K$5:$K$100)+SUMIF('9'!H$5:H$100,$A139,'9'!$K$5:$K$100)+SUMIF('9a'!H$5:H$100,$A139,'9a'!$K$5:$K$100)+SUMIF('9b'!H$5:H$100,$A139,'9b'!$K$5:$K$100)+SUMIF('9c'!H$5:H$100,$A139,'9c'!$K$5:$K$100)+SUMIF('9d'!H$5:H$100,$A139,'9d'!$K$5:$K$100)+SUMIF('9e'!H$5:H$100,$A139,'9e'!$K$5:$K$100)+SUMIF('9f'!H$5:H$100,$A139,'9f'!$K$5:$K$100)+SUMIF('9g'!H$5:H$100,$A139,'9g'!$K$5:$K$100)+SUMIF('9h'!H$5:H$100,$A139,'9h'!$K$5:$K$100)+SUMIF('9 TOTAL'!H$5:H$100,$A139,'9 TOTAL'!$K$5:$K$100)
+SUMIF('10'!H$5:H$100,$A139,'10'!$K$5:$K$100)+SUMIF('10a'!H$5:H$100,$A139,'10a'!$K$5:$K$100)+SUMIF('10b'!H$5:H$100,$A139,'10b'!$K$5:$K$100)+SUMIF('10c'!H$5:H$100,$A139,'10c'!$K$5:$K$100)+SUMIF('10d'!H$5:H$100,$A139,'10d'!$K$5:$K$100)+SUMIF('10e'!H$5:H$100,$A139,'10e'!$K$5:$K$100)+SUMIF('10f'!H$5:H$100,$A139,'10f'!$K$5:$K$100)+SUMIF('10g'!H$5:H$100,$A139,'10g'!$K$5:$K$100)+SUMIF('10h'!H$5:H$100,$A139,'10h'!$K$5:$K$100)+SUMIF('10i'!H$5:H$100,$A139,'10i'!$K$5:$K$100)+SUMIF('10j'!H$5:H$100,$A139,'10j'!$K$5:$K$100)+SUMIF('10k'!H$5:H$100,$A139,'10k'!$K$5:$K$100)+SUMIF('10l'!H$5:H$100,$A139,'10l'!$K$5:$K$100)+SUMIF('10m'!H$5:H$100,$A139,'10m'!$K$5:$K$100)+SUMIF('10 TOTAL'!H$5:H$100,$A139,'10 TOTAL'!$K$5:$K$100)</f>
        <v>0</v>
      </c>
      <c r="D139" s="1291">
        <f>SUMIF('4'!H$8:H$100,$A139,'4'!$I$8:$I$100)+SUMIF('4a'!H$5:H$100,$A139,'4a'!$I$5:$I$100)+SUMIF('4b'!H$5:H$100,$A139,'4b'!$I$5:$I$100)+SUMIF('4c'!H$5:H$100,$A139,'4c'!$I$5:$I$100)+SUMIF('5'!H$5:H$100,$A139,'5'!$I$5:$I$100)+SUMIF('6'!H$5:H$100,$A139,'6'!$I$5:$I$100)+SUMIF('7'!H$5:H$100,$A139,'7'!$I$5:$I$100)+SUMIF('7a'!H$5:H$100,$A139,'7a'!$I$5:$I$100)+SUMIF('7b'!H$5:H$100,$A139,'7b'!$I$5:$I$100)+SUMIF('8'!H$5:H$100,$A139,'8'!$I$5:$I$100)+SUMIF('9'!H$5:H$100,$A139,'9'!$I$5:$I$100)+SUMIF('9a'!H$5:H$100,$A139,'9a'!$I$5:$I$100)+SUMIF('9b'!H$5:H$100,$A139,'9b'!$I$5:$I$100)+SUMIF('9c'!H$5:H$100,$A139,'9c'!$I$5:$I$100)+SUMIF('9d'!H$5:H$100,$A139,'9d'!$I$5:$I$100)+SUMIF('9e'!H$5:H$100,$A139,'9e'!$I$5:$I$100)+SUMIF('9f'!H$5:H$100,$A139,'9f'!$I$5:$I$100)+SUMIF('9g'!H$5:H$100,$A139,'9g'!$I$5:$I$100)+SUMIF('9h'!H$5:H$100,$A139,'9h'!$I$5:$I$100)+SUMIF('9 TOTAL'!H$5:H$100,$A139,'9 TOTAL'!$I$5:$I$100)
+SUMIF('10'!H$5:H$100,$A139,'10'!$I$5:$I$100)+SUMIF('10a'!H$5:H$100,$A139,'10a'!$I$5:$I$100)+SUMIF('10b'!H$5:H$100,$A139,'10b'!$I$5:$I$100)+SUMIF('10c'!H$5:H$100,$A139,'10c'!$I$5:$I$100)+SUMIF('10d'!H$5:H$100,$A139,'10d'!$I$5:$I$100)+SUMIF('10e'!H$5:H$100,$A139,'10e'!$I$5:$I$100)+SUMIF('10f'!H$5:H$100,$A139,'10f'!$I$5:$I$100)+SUMIF('10g'!H$5:H$100,$A139,'10g'!$I$5:$I$100)+SUMIF('10h'!H$5:H$100,$A139,'10h'!$I$5:$I$100)+SUMIF('10i'!H$5:H$100,$A139,'10i'!$I$5:$I$100)+SUMIF('10j'!H$5:H$100,$A139,'10j'!$I$5:$I$100)+SUMIF('10k'!H$5:H$100,$A139,'10k'!$I$5:$I$100)+SUMIF('10l'!H$5:H$100,$A139,'10l'!$I$5:$I$100)+SUMIF('10m'!H$5:H$100,$A139,'10m'!$I$5:$I$100)+SUMIF('10 TOTAL'!H$5:H$100,$A139,'10 TOTAL'!$I$5:$I$100)</f>
        <v>0</v>
      </c>
      <c r="E139"/>
      <c r="F139"/>
      <c r="G139"/>
      <c r="H139"/>
      <c r="I139"/>
      <c r="J139"/>
      <c r="K139"/>
      <c r="L139"/>
      <c r="M139"/>
      <c r="N139"/>
      <c r="O139"/>
      <c r="P139"/>
      <c r="Q139"/>
      <c r="R139"/>
      <c r="S139" s="1307">
        <f t="shared" si="1"/>
        <v>0</v>
      </c>
      <c r="T139"/>
    </row>
    <row r="140" spans="1:20" x14ac:dyDescent="0.2">
      <c r="A140" t="s">
        <v>3415</v>
      </c>
      <c r="B140" t="s">
        <v>5416</v>
      </c>
      <c r="C140" s="1291">
        <f>SUMIF('4'!H$8:H$100,$A140,'4'!$K$8:$K$100)+SUMIF('4a'!H$5:H$100,$A140,'4a'!$K$5:$K$100)+SUMIF('4b'!H$5:H$100,$A140,'4b'!$K$5:$K$100)+SUMIF('4c'!H$5:H$100,$A140,'4c'!$K$5:$K$100)+SUMIF('5'!H$5:H$100,$A140,'5'!$K$5:$K$100)+SUMIF('6'!H$5:H$100,$A140,'6'!$K$5:$K$100)+SUMIF('7'!H$5:H$100,$A140,'7'!$K$5:$K$100)+SUMIF('7a'!H$5:H$100,$A140,'7a'!$K$5:$K$100)+SUMIF('7b'!H$5:H$100,$A140,'7b'!$K$5:$K$100)+SUMIF('8'!H$5:H$100,$A140,'8'!$K$5:$K$100)+SUMIF('9'!H$5:H$100,$A140,'9'!$K$5:$K$100)+SUMIF('9a'!H$5:H$100,$A140,'9a'!$K$5:$K$100)+SUMIF('9b'!H$5:H$100,$A140,'9b'!$K$5:$K$100)+SUMIF('9c'!H$5:H$100,$A140,'9c'!$K$5:$K$100)+SUMIF('9d'!H$5:H$100,$A140,'9d'!$K$5:$K$100)+SUMIF('9e'!H$5:H$100,$A140,'9e'!$K$5:$K$100)+SUMIF('9f'!H$5:H$100,$A140,'9f'!$K$5:$K$100)+SUMIF('9g'!H$5:H$100,$A140,'9g'!$K$5:$K$100)+SUMIF('9h'!H$5:H$100,$A140,'9h'!$K$5:$K$100)+SUMIF('9 TOTAL'!H$5:H$100,$A140,'9 TOTAL'!$K$5:$K$100)
+SUMIF('10'!H$5:H$100,$A140,'10'!$K$5:$K$100)+SUMIF('10a'!H$5:H$100,$A140,'10a'!$K$5:$K$100)+SUMIF('10b'!H$5:H$100,$A140,'10b'!$K$5:$K$100)+SUMIF('10c'!H$5:H$100,$A140,'10c'!$K$5:$K$100)+SUMIF('10d'!H$5:H$100,$A140,'10d'!$K$5:$K$100)+SUMIF('10e'!H$5:H$100,$A140,'10e'!$K$5:$K$100)+SUMIF('10f'!H$5:H$100,$A140,'10f'!$K$5:$K$100)+SUMIF('10g'!H$5:H$100,$A140,'10g'!$K$5:$K$100)+SUMIF('10h'!H$5:H$100,$A140,'10h'!$K$5:$K$100)+SUMIF('10i'!H$5:H$100,$A140,'10i'!$K$5:$K$100)+SUMIF('10j'!H$5:H$100,$A140,'10j'!$K$5:$K$100)+SUMIF('10k'!H$5:H$100,$A140,'10k'!$K$5:$K$100)+SUMIF('10l'!H$5:H$100,$A140,'10l'!$K$5:$K$100)+SUMIF('10m'!H$5:H$100,$A140,'10m'!$K$5:$K$100)+SUMIF('10 TOTAL'!H$5:H$100,$A140,'10 TOTAL'!$K$5:$K$100)</f>
        <v>0</v>
      </c>
      <c r="D140" s="1291">
        <f>SUMIF('4'!H$8:H$100,$A140,'4'!$I$8:$I$100)+SUMIF('4a'!H$5:H$100,$A140,'4a'!$I$5:$I$100)+SUMIF('4b'!H$5:H$100,$A140,'4b'!$I$5:$I$100)+SUMIF('4c'!H$5:H$100,$A140,'4c'!$I$5:$I$100)+SUMIF('5'!H$5:H$100,$A140,'5'!$I$5:$I$100)+SUMIF('6'!H$5:H$100,$A140,'6'!$I$5:$I$100)+SUMIF('7'!H$5:H$100,$A140,'7'!$I$5:$I$100)+SUMIF('7a'!H$5:H$100,$A140,'7a'!$I$5:$I$100)+SUMIF('7b'!H$5:H$100,$A140,'7b'!$I$5:$I$100)+SUMIF('8'!H$5:H$100,$A140,'8'!$I$5:$I$100)+SUMIF('9'!H$5:H$100,$A140,'9'!$I$5:$I$100)+SUMIF('9a'!H$5:H$100,$A140,'9a'!$I$5:$I$100)+SUMIF('9b'!H$5:H$100,$A140,'9b'!$I$5:$I$100)+SUMIF('9c'!H$5:H$100,$A140,'9c'!$I$5:$I$100)+SUMIF('9d'!H$5:H$100,$A140,'9d'!$I$5:$I$100)+SUMIF('9e'!H$5:H$100,$A140,'9e'!$I$5:$I$100)+SUMIF('9f'!H$5:H$100,$A140,'9f'!$I$5:$I$100)+SUMIF('9g'!H$5:H$100,$A140,'9g'!$I$5:$I$100)+SUMIF('9h'!H$5:H$100,$A140,'9h'!$I$5:$I$100)+SUMIF('9 TOTAL'!H$5:H$100,$A140,'9 TOTAL'!$I$5:$I$100)
+SUMIF('10'!H$5:H$100,$A140,'10'!$I$5:$I$100)+SUMIF('10a'!H$5:H$100,$A140,'10a'!$I$5:$I$100)+SUMIF('10b'!H$5:H$100,$A140,'10b'!$I$5:$I$100)+SUMIF('10c'!H$5:H$100,$A140,'10c'!$I$5:$I$100)+SUMIF('10d'!H$5:H$100,$A140,'10d'!$I$5:$I$100)+SUMIF('10e'!H$5:H$100,$A140,'10e'!$I$5:$I$100)+SUMIF('10f'!H$5:H$100,$A140,'10f'!$I$5:$I$100)+SUMIF('10g'!H$5:H$100,$A140,'10g'!$I$5:$I$100)+SUMIF('10h'!H$5:H$100,$A140,'10h'!$I$5:$I$100)+SUMIF('10i'!H$5:H$100,$A140,'10i'!$I$5:$I$100)+SUMIF('10j'!H$5:H$100,$A140,'10j'!$I$5:$I$100)+SUMIF('10k'!H$5:H$100,$A140,'10k'!$I$5:$I$100)+SUMIF('10l'!H$5:H$100,$A140,'10l'!$I$5:$I$100)+SUMIF('10m'!H$5:H$100,$A140,'10m'!$I$5:$I$100)+SUMIF('10 TOTAL'!H$5:H$100,$A140,'10 TOTAL'!$I$5:$I$100)</f>
        <v>0</v>
      </c>
      <c r="E140"/>
      <c r="F140"/>
      <c r="G140"/>
      <c r="H140"/>
      <c r="I140"/>
      <c r="J140"/>
      <c r="K140"/>
      <c r="L140"/>
      <c r="M140"/>
      <c r="N140"/>
      <c r="O140"/>
      <c r="P140"/>
      <c r="Q140"/>
      <c r="R140"/>
      <c r="S140" s="1307">
        <f t="shared" si="1"/>
        <v>0</v>
      </c>
      <c r="T140"/>
    </row>
    <row r="141" spans="1:20" x14ac:dyDescent="0.2">
      <c r="A141" t="s">
        <v>3422</v>
      </c>
      <c r="B141" t="s">
        <v>5417</v>
      </c>
      <c r="C141" s="1291">
        <f>SUMIF('4'!H$8:H$100,$A141,'4'!$K$8:$K$100)+SUMIF('4a'!H$5:H$100,$A141,'4a'!$K$5:$K$100)+SUMIF('4b'!H$5:H$100,$A141,'4b'!$K$5:$K$100)+SUMIF('4c'!H$5:H$100,$A141,'4c'!$K$5:$K$100)+SUMIF('5'!H$5:H$100,$A141,'5'!$K$5:$K$100)+SUMIF('6'!H$5:H$100,$A141,'6'!$K$5:$K$100)+SUMIF('7'!H$5:H$100,$A141,'7'!$K$5:$K$100)+SUMIF('7a'!H$5:H$100,$A141,'7a'!$K$5:$K$100)+SUMIF('7b'!H$5:H$100,$A141,'7b'!$K$5:$K$100)+SUMIF('8'!H$5:H$100,$A141,'8'!$K$5:$K$100)+SUMIF('9'!H$5:H$100,$A141,'9'!$K$5:$K$100)+SUMIF('9a'!H$5:H$100,$A141,'9a'!$K$5:$K$100)+SUMIF('9b'!H$5:H$100,$A141,'9b'!$K$5:$K$100)+SUMIF('9c'!H$5:H$100,$A141,'9c'!$K$5:$K$100)+SUMIF('9d'!H$5:H$100,$A141,'9d'!$K$5:$K$100)+SUMIF('9e'!H$5:H$100,$A141,'9e'!$K$5:$K$100)+SUMIF('9f'!H$5:H$100,$A141,'9f'!$K$5:$K$100)+SUMIF('9g'!H$5:H$100,$A141,'9g'!$K$5:$K$100)+SUMIF('9h'!H$5:H$100,$A141,'9h'!$K$5:$K$100)+SUMIF('9 TOTAL'!H$5:H$100,$A141,'9 TOTAL'!$K$5:$K$100)
+SUMIF('10'!H$5:H$100,$A141,'10'!$K$5:$K$100)+SUMIF('10a'!H$5:H$100,$A141,'10a'!$K$5:$K$100)+SUMIF('10b'!H$5:H$100,$A141,'10b'!$K$5:$K$100)+SUMIF('10c'!H$5:H$100,$A141,'10c'!$K$5:$K$100)+SUMIF('10d'!H$5:H$100,$A141,'10d'!$K$5:$K$100)+SUMIF('10e'!H$5:H$100,$A141,'10e'!$K$5:$K$100)+SUMIF('10f'!H$5:H$100,$A141,'10f'!$K$5:$K$100)+SUMIF('10g'!H$5:H$100,$A141,'10g'!$K$5:$K$100)+SUMIF('10h'!H$5:H$100,$A141,'10h'!$K$5:$K$100)+SUMIF('10i'!H$5:H$100,$A141,'10i'!$K$5:$K$100)+SUMIF('10j'!H$5:H$100,$A141,'10j'!$K$5:$K$100)+SUMIF('10k'!H$5:H$100,$A141,'10k'!$K$5:$K$100)+SUMIF('10l'!H$5:H$100,$A141,'10l'!$K$5:$K$100)+SUMIF('10m'!H$5:H$100,$A141,'10m'!$K$5:$K$100)+SUMIF('10 TOTAL'!H$5:H$100,$A141,'10 TOTAL'!$K$5:$K$100)</f>
        <v>0</v>
      </c>
      <c r="D141" s="1291">
        <f>SUMIF('4'!H$8:H$100,$A141,'4'!$I$8:$I$100)+SUMIF('4a'!H$5:H$100,$A141,'4a'!$I$5:$I$100)+SUMIF('4b'!H$5:H$100,$A141,'4b'!$I$5:$I$100)+SUMIF('4c'!H$5:H$100,$A141,'4c'!$I$5:$I$100)+SUMIF('5'!H$5:H$100,$A141,'5'!$I$5:$I$100)+SUMIF('6'!H$5:H$100,$A141,'6'!$I$5:$I$100)+SUMIF('7'!H$5:H$100,$A141,'7'!$I$5:$I$100)+SUMIF('7a'!H$5:H$100,$A141,'7a'!$I$5:$I$100)+SUMIF('7b'!H$5:H$100,$A141,'7b'!$I$5:$I$100)+SUMIF('8'!H$5:H$100,$A141,'8'!$I$5:$I$100)+SUMIF('9'!H$5:H$100,$A141,'9'!$I$5:$I$100)+SUMIF('9a'!H$5:H$100,$A141,'9a'!$I$5:$I$100)+SUMIF('9b'!H$5:H$100,$A141,'9b'!$I$5:$I$100)+SUMIF('9c'!H$5:H$100,$A141,'9c'!$I$5:$I$100)+SUMIF('9d'!H$5:H$100,$A141,'9d'!$I$5:$I$100)+SUMIF('9e'!H$5:H$100,$A141,'9e'!$I$5:$I$100)+SUMIF('9f'!H$5:H$100,$A141,'9f'!$I$5:$I$100)+SUMIF('9g'!H$5:H$100,$A141,'9g'!$I$5:$I$100)+SUMIF('9h'!H$5:H$100,$A141,'9h'!$I$5:$I$100)+SUMIF('9 TOTAL'!H$5:H$100,$A141,'9 TOTAL'!$I$5:$I$100)
+SUMIF('10'!H$5:H$100,$A141,'10'!$I$5:$I$100)+SUMIF('10a'!H$5:H$100,$A141,'10a'!$I$5:$I$100)+SUMIF('10b'!H$5:H$100,$A141,'10b'!$I$5:$I$100)+SUMIF('10c'!H$5:H$100,$A141,'10c'!$I$5:$I$100)+SUMIF('10d'!H$5:H$100,$A141,'10d'!$I$5:$I$100)+SUMIF('10e'!H$5:H$100,$A141,'10e'!$I$5:$I$100)+SUMIF('10f'!H$5:H$100,$A141,'10f'!$I$5:$I$100)+SUMIF('10g'!H$5:H$100,$A141,'10g'!$I$5:$I$100)+SUMIF('10h'!H$5:H$100,$A141,'10h'!$I$5:$I$100)+SUMIF('10i'!H$5:H$100,$A141,'10i'!$I$5:$I$100)+SUMIF('10j'!H$5:H$100,$A141,'10j'!$I$5:$I$100)+SUMIF('10k'!H$5:H$100,$A141,'10k'!$I$5:$I$100)+SUMIF('10l'!H$5:H$100,$A141,'10l'!$I$5:$I$100)+SUMIF('10m'!H$5:H$100,$A141,'10m'!$I$5:$I$100)+SUMIF('10 TOTAL'!H$5:H$100,$A141,'10 TOTAL'!$I$5:$I$100)</f>
        <v>0</v>
      </c>
      <c r="E141"/>
      <c r="F141"/>
      <c r="G141"/>
      <c r="H141"/>
      <c r="I141"/>
      <c r="J141"/>
      <c r="K141"/>
      <c r="L141"/>
      <c r="M141"/>
      <c r="N141"/>
      <c r="O141"/>
      <c r="P141"/>
      <c r="Q141"/>
      <c r="R141"/>
      <c r="S141" s="1307">
        <f t="shared" si="1"/>
        <v>0</v>
      </c>
      <c r="T141"/>
    </row>
    <row r="142" spans="1:20" x14ac:dyDescent="0.2">
      <c r="A142" t="s">
        <v>3425</v>
      </c>
      <c r="B142" s="784" t="s">
        <v>5418</v>
      </c>
      <c r="C142" s="1291">
        <f>SUMIF('4'!H$8:H$100,$A142,'4'!$K$8:$K$100)+SUMIF('4a'!H$5:H$100,$A142,'4a'!$K$5:$K$100)+SUMIF('4b'!H$5:H$100,$A142,'4b'!$K$5:$K$100)+SUMIF('4c'!H$5:H$100,$A142,'4c'!$K$5:$K$100)+SUMIF('5'!H$5:H$100,$A142,'5'!$K$5:$K$100)+SUMIF('6'!H$5:H$100,$A142,'6'!$K$5:$K$100)+SUMIF('7'!H$5:H$100,$A142,'7'!$K$5:$K$100)+SUMIF('7a'!H$5:H$100,$A142,'7a'!$K$5:$K$100)+SUMIF('7b'!H$5:H$100,$A142,'7b'!$K$5:$K$100)+SUMIF('8'!H$5:H$100,$A142,'8'!$K$5:$K$100)+SUMIF('9'!H$5:H$100,$A142,'9'!$K$5:$K$100)+SUMIF('9a'!H$5:H$100,$A142,'9a'!$K$5:$K$100)+SUMIF('9b'!H$5:H$100,$A142,'9b'!$K$5:$K$100)+SUMIF('9c'!H$5:H$100,$A142,'9c'!$K$5:$K$100)+SUMIF('9d'!H$5:H$100,$A142,'9d'!$K$5:$K$100)+SUMIF('9e'!H$5:H$100,$A142,'9e'!$K$5:$K$100)+SUMIF('9f'!H$5:H$100,$A142,'9f'!$K$5:$K$100)+SUMIF('9g'!H$5:H$100,$A142,'9g'!$K$5:$K$100)+SUMIF('9h'!H$5:H$100,$A142,'9h'!$K$5:$K$100)+SUMIF('9 TOTAL'!H$5:H$100,$A142,'9 TOTAL'!$K$5:$K$100)
+SUMIF('10'!H$5:H$100,$A142,'10'!$K$5:$K$100)+SUMIF('10a'!H$5:H$100,$A142,'10a'!$K$5:$K$100)+SUMIF('10b'!H$5:H$100,$A142,'10b'!$K$5:$K$100)+SUMIF('10c'!H$5:H$100,$A142,'10c'!$K$5:$K$100)+SUMIF('10d'!H$5:H$100,$A142,'10d'!$K$5:$K$100)+SUMIF('10e'!H$5:H$100,$A142,'10e'!$K$5:$K$100)+SUMIF('10f'!H$5:H$100,$A142,'10f'!$K$5:$K$100)+SUMIF('10g'!H$5:H$100,$A142,'10g'!$K$5:$K$100)+SUMIF('10h'!H$5:H$100,$A142,'10h'!$K$5:$K$100)+SUMIF('10i'!H$5:H$100,$A142,'10i'!$K$5:$K$100)+SUMIF('10j'!H$5:H$100,$A142,'10j'!$K$5:$K$100)+SUMIF('10k'!H$5:H$100,$A142,'10k'!$K$5:$K$100)+SUMIF('10l'!H$5:H$100,$A142,'10l'!$K$5:$K$100)+SUMIF('10m'!H$5:H$100,$A142,'10m'!$K$5:$K$100)+SUMIF('10 TOTAL'!H$5:H$100,$A142,'10 TOTAL'!$K$5:$K$100)</f>
        <v>0</v>
      </c>
      <c r="D142" s="1291">
        <f>SUMIF('4'!H$8:H$100,$A142,'4'!$I$8:$I$100)+SUMIF('4a'!H$5:H$100,$A142,'4a'!$I$5:$I$100)+SUMIF('4b'!H$5:H$100,$A142,'4b'!$I$5:$I$100)+SUMIF('4c'!H$5:H$100,$A142,'4c'!$I$5:$I$100)+SUMIF('5'!H$5:H$100,$A142,'5'!$I$5:$I$100)+SUMIF('6'!H$5:H$100,$A142,'6'!$I$5:$I$100)+SUMIF('7'!H$5:H$100,$A142,'7'!$I$5:$I$100)+SUMIF('7a'!H$5:H$100,$A142,'7a'!$I$5:$I$100)+SUMIF('7b'!H$5:H$100,$A142,'7b'!$I$5:$I$100)+SUMIF('8'!H$5:H$100,$A142,'8'!$I$5:$I$100)+SUMIF('9'!H$5:H$100,$A142,'9'!$I$5:$I$100)+SUMIF('9a'!H$5:H$100,$A142,'9a'!$I$5:$I$100)+SUMIF('9b'!H$5:H$100,$A142,'9b'!$I$5:$I$100)+SUMIF('9c'!H$5:H$100,$A142,'9c'!$I$5:$I$100)+SUMIF('9d'!H$5:H$100,$A142,'9d'!$I$5:$I$100)+SUMIF('9e'!H$5:H$100,$A142,'9e'!$I$5:$I$100)+SUMIF('9f'!H$5:H$100,$A142,'9f'!$I$5:$I$100)+SUMIF('9g'!H$5:H$100,$A142,'9g'!$I$5:$I$100)+SUMIF('9h'!H$5:H$100,$A142,'9h'!$I$5:$I$100)+SUMIF('9 TOTAL'!H$5:H$100,$A142,'9 TOTAL'!$I$5:$I$100)
+SUMIF('10'!H$5:H$100,$A142,'10'!$I$5:$I$100)+SUMIF('10a'!H$5:H$100,$A142,'10a'!$I$5:$I$100)+SUMIF('10b'!H$5:H$100,$A142,'10b'!$I$5:$I$100)+SUMIF('10c'!H$5:H$100,$A142,'10c'!$I$5:$I$100)+SUMIF('10d'!H$5:H$100,$A142,'10d'!$I$5:$I$100)+SUMIF('10e'!H$5:H$100,$A142,'10e'!$I$5:$I$100)+SUMIF('10f'!H$5:H$100,$A142,'10f'!$I$5:$I$100)+SUMIF('10g'!H$5:H$100,$A142,'10g'!$I$5:$I$100)+SUMIF('10h'!H$5:H$100,$A142,'10h'!$I$5:$I$100)+SUMIF('10i'!H$5:H$100,$A142,'10i'!$I$5:$I$100)+SUMIF('10j'!H$5:H$100,$A142,'10j'!$I$5:$I$100)+SUMIF('10k'!H$5:H$100,$A142,'10k'!$I$5:$I$100)+SUMIF('10l'!H$5:H$100,$A142,'10l'!$I$5:$I$100)+SUMIF('10m'!H$5:H$100,$A142,'10m'!$I$5:$I$100)+SUMIF('10 TOTAL'!H$5:H$100,$A142,'10 TOTAL'!$I$5:$I$100)</f>
        <v>0</v>
      </c>
      <c r="E142"/>
      <c r="F142"/>
      <c r="G142"/>
      <c r="H142"/>
      <c r="I142"/>
      <c r="J142"/>
      <c r="K142"/>
      <c r="L142"/>
      <c r="M142"/>
      <c r="N142"/>
      <c r="O142"/>
      <c r="P142"/>
      <c r="Q142"/>
      <c r="R142"/>
      <c r="S142" s="1307">
        <f t="shared" si="1"/>
        <v>0</v>
      </c>
      <c r="T142"/>
    </row>
    <row r="143" spans="1:20" x14ac:dyDescent="0.2">
      <c r="A143" t="s">
        <v>3427</v>
      </c>
      <c r="B143" t="s">
        <v>5419</v>
      </c>
      <c r="C143" s="1291">
        <f>SUMIF('4'!H$8:H$100,$A143,'4'!$K$8:$K$100)+SUMIF('4a'!H$5:H$100,$A143,'4a'!$K$5:$K$100)+SUMIF('4b'!H$5:H$100,$A143,'4b'!$K$5:$K$100)+SUMIF('4c'!H$5:H$100,$A143,'4c'!$K$5:$K$100)+SUMIF('5'!H$5:H$100,$A143,'5'!$K$5:$K$100)+SUMIF('6'!H$5:H$100,$A143,'6'!$K$5:$K$100)+SUMIF('7'!H$5:H$100,$A143,'7'!$K$5:$K$100)+SUMIF('7a'!H$5:H$100,$A143,'7a'!$K$5:$K$100)+SUMIF('7b'!H$5:H$100,$A143,'7b'!$K$5:$K$100)+SUMIF('8'!H$5:H$100,$A143,'8'!$K$5:$K$100)+SUMIF('9'!H$5:H$100,$A143,'9'!$K$5:$K$100)+SUMIF('9a'!H$5:H$100,$A143,'9a'!$K$5:$K$100)+SUMIF('9b'!H$5:H$100,$A143,'9b'!$K$5:$K$100)+SUMIF('9c'!H$5:H$100,$A143,'9c'!$K$5:$K$100)+SUMIF('9d'!H$5:H$100,$A143,'9d'!$K$5:$K$100)+SUMIF('9e'!H$5:H$100,$A143,'9e'!$K$5:$K$100)+SUMIF('9f'!H$5:H$100,$A143,'9f'!$K$5:$K$100)+SUMIF('9g'!H$5:H$100,$A143,'9g'!$K$5:$K$100)+SUMIF('9h'!H$5:H$100,$A143,'9h'!$K$5:$K$100)+SUMIF('9 TOTAL'!H$5:H$100,$A143,'9 TOTAL'!$K$5:$K$100)
+SUMIF('10'!H$5:H$100,$A143,'10'!$K$5:$K$100)+SUMIF('10a'!H$5:H$100,$A143,'10a'!$K$5:$K$100)+SUMIF('10b'!H$5:H$100,$A143,'10b'!$K$5:$K$100)+SUMIF('10c'!H$5:H$100,$A143,'10c'!$K$5:$K$100)+SUMIF('10d'!H$5:H$100,$A143,'10d'!$K$5:$K$100)+SUMIF('10e'!H$5:H$100,$A143,'10e'!$K$5:$K$100)+SUMIF('10f'!H$5:H$100,$A143,'10f'!$K$5:$K$100)+SUMIF('10g'!H$5:H$100,$A143,'10g'!$K$5:$K$100)+SUMIF('10h'!H$5:H$100,$A143,'10h'!$K$5:$K$100)+SUMIF('10i'!H$5:H$100,$A143,'10i'!$K$5:$K$100)+SUMIF('10j'!H$5:H$100,$A143,'10j'!$K$5:$K$100)+SUMIF('10k'!H$5:H$100,$A143,'10k'!$K$5:$K$100)+SUMIF('10l'!H$5:H$100,$A143,'10l'!$K$5:$K$100)+SUMIF('10m'!H$5:H$100,$A143,'10m'!$K$5:$K$100)+SUMIF('10 TOTAL'!H$5:H$100,$A143,'10 TOTAL'!$K$5:$K$100)</f>
        <v>0</v>
      </c>
      <c r="D143" s="1291">
        <f>SUMIF('4'!H$8:H$100,$A143,'4'!$I$8:$I$100)+SUMIF('4a'!H$5:H$100,$A143,'4a'!$I$5:$I$100)+SUMIF('4b'!H$5:H$100,$A143,'4b'!$I$5:$I$100)+SUMIF('4c'!H$5:H$100,$A143,'4c'!$I$5:$I$100)+SUMIF('5'!H$5:H$100,$A143,'5'!$I$5:$I$100)+SUMIF('6'!H$5:H$100,$A143,'6'!$I$5:$I$100)+SUMIF('7'!H$5:H$100,$A143,'7'!$I$5:$I$100)+SUMIF('7a'!H$5:H$100,$A143,'7a'!$I$5:$I$100)+SUMIF('7b'!H$5:H$100,$A143,'7b'!$I$5:$I$100)+SUMIF('8'!H$5:H$100,$A143,'8'!$I$5:$I$100)+SUMIF('9'!H$5:H$100,$A143,'9'!$I$5:$I$100)+SUMIF('9a'!H$5:H$100,$A143,'9a'!$I$5:$I$100)+SUMIF('9b'!H$5:H$100,$A143,'9b'!$I$5:$I$100)+SUMIF('9c'!H$5:H$100,$A143,'9c'!$I$5:$I$100)+SUMIF('9d'!H$5:H$100,$A143,'9d'!$I$5:$I$100)+SUMIF('9e'!H$5:H$100,$A143,'9e'!$I$5:$I$100)+SUMIF('9f'!H$5:H$100,$A143,'9f'!$I$5:$I$100)+SUMIF('9g'!H$5:H$100,$A143,'9g'!$I$5:$I$100)+SUMIF('9h'!H$5:H$100,$A143,'9h'!$I$5:$I$100)+SUMIF('9 TOTAL'!H$5:H$100,$A143,'9 TOTAL'!$I$5:$I$100)
+SUMIF('10'!H$5:H$100,$A143,'10'!$I$5:$I$100)+SUMIF('10a'!H$5:H$100,$A143,'10a'!$I$5:$I$100)+SUMIF('10b'!H$5:H$100,$A143,'10b'!$I$5:$I$100)+SUMIF('10c'!H$5:H$100,$A143,'10c'!$I$5:$I$100)+SUMIF('10d'!H$5:H$100,$A143,'10d'!$I$5:$I$100)+SUMIF('10e'!H$5:H$100,$A143,'10e'!$I$5:$I$100)+SUMIF('10f'!H$5:H$100,$A143,'10f'!$I$5:$I$100)+SUMIF('10g'!H$5:H$100,$A143,'10g'!$I$5:$I$100)+SUMIF('10h'!H$5:H$100,$A143,'10h'!$I$5:$I$100)+SUMIF('10i'!H$5:H$100,$A143,'10i'!$I$5:$I$100)+SUMIF('10j'!H$5:H$100,$A143,'10j'!$I$5:$I$100)+SUMIF('10k'!H$5:H$100,$A143,'10k'!$I$5:$I$100)+SUMIF('10l'!H$5:H$100,$A143,'10l'!$I$5:$I$100)+SUMIF('10m'!H$5:H$100,$A143,'10m'!$I$5:$I$100)+SUMIF('10 TOTAL'!H$5:H$100,$A143,'10 TOTAL'!$I$5:$I$100)</f>
        <v>0</v>
      </c>
      <c r="E143"/>
      <c r="F143"/>
      <c r="G143"/>
      <c r="H143"/>
      <c r="I143"/>
      <c r="J143"/>
      <c r="K143"/>
      <c r="L143"/>
      <c r="M143"/>
      <c r="N143"/>
      <c r="O143"/>
      <c r="P143"/>
      <c r="Q143"/>
      <c r="R143"/>
      <c r="S143" s="1307">
        <f t="shared" si="1"/>
        <v>0</v>
      </c>
      <c r="T143"/>
    </row>
    <row r="144" spans="1:20" x14ac:dyDescent="0.2">
      <c r="A144" t="s">
        <v>3429</v>
      </c>
      <c r="B144" t="s">
        <v>5420</v>
      </c>
      <c r="C144" s="1291">
        <f>SUMIF('4'!H$8:H$100,$A144,'4'!$K$8:$K$100)+SUMIF('4a'!H$5:H$100,$A144,'4a'!$K$5:$K$100)+SUMIF('4b'!H$5:H$100,$A144,'4b'!$K$5:$K$100)+SUMIF('4c'!H$5:H$100,$A144,'4c'!$K$5:$K$100)+SUMIF('5'!H$5:H$100,$A144,'5'!$K$5:$K$100)+SUMIF('6'!H$5:H$100,$A144,'6'!$K$5:$K$100)+SUMIF('7'!H$5:H$100,$A144,'7'!$K$5:$K$100)+SUMIF('7a'!H$5:H$100,$A144,'7a'!$K$5:$K$100)+SUMIF('7b'!H$5:H$100,$A144,'7b'!$K$5:$K$100)+SUMIF('8'!H$5:H$100,$A144,'8'!$K$5:$K$100)+SUMIF('9'!H$5:H$100,$A144,'9'!$K$5:$K$100)+SUMIF('9a'!H$5:H$100,$A144,'9a'!$K$5:$K$100)+SUMIF('9b'!H$5:H$100,$A144,'9b'!$K$5:$K$100)+SUMIF('9c'!H$5:H$100,$A144,'9c'!$K$5:$K$100)+SUMIF('9d'!H$5:H$100,$A144,'9d'!$K$5:$K$100)+SUMIF('9e'!H$5:H$100,$A144,'9e'!$K$5:$K$100)+SUMIF('9f'!H$5:H$100,$A144,'9f'!$K$5:$K$100)+SUMIF('9g'!H$5:H$100,$A144,'9g'!$K$5:$K$100)+SUMIF('9h'!H$5:H$100,$A144,'9h'!$K$5:$K$100)+SUMIF('9 TOTAL'!H$5:H$100,$A144,'9 TOTAL'!$K$5:$K$100)
+SUMIF('10'!H$5:H$100,$A144,'10'!$K$5:$K$100)+SUMIF('10a'!H$5:H$100,$A144,'10a'!$K$5:$K$100)+SUMIF('10b'!H$5:H$100,$A144,'10b'!$K$5:$K$100)+SUMIF('10c'!H$5:H$100,$A144,'10c'!$K$5:$K$100)+SUMIF('10d'!H$5:H$100,$A144,'10d'!$K$5:$K$100)+SUMIF('10e'!H$5:H$100,$A144,'10e'!$K$5:$K$100)+SUMIF('10f'!H$5:H$100,$A144,'10f'!$K$5:$K$100)+SUMIF('10g'!H$5:H$100,$A144,'10g'!$K$5:$K$100)+SUMIF('10h'!H$5:H$100,$A144,'10h'!$K$5:$K$100)+SUMIF('10i'!H$5:H$100,$A144,'10i'!$K$5:$K$100)+SUMIF('10j'!H$5:H$100,$A144,'10j'!$K$5:$K$100)+SUMIF('10k'!H$5:H$100,$A144,'10k'!$K$5:$K$100)+SUMIF('10l'!H$5:H$100,$A144,'10l'!$K$5:$K$100)+SUMIF('10m'!H$5:H$100,$A144,'10m'!$K$5:$K$100)+SUMIF('10 TOTAL'!H$5:H$100,$A144,'10 TOTAL'!$K$5:$K$100)</f>
        <v>0</v>
      </c>
      <c r="D144" s="1291">
        <f>SUMIF('4'!H$8:H$100,$A144,'4'!$I$8:$I$100)+SUMIF('4a'!H$5:H$100,$A144,'4a'!$I$5:$I$100)+SUMIF('4b'!H$5:H$100,$A144,'4b'!$I$5:$I$100)+SUMIF('4c'!H$5:H$100,$A144,'4c'!$I$5:$I$100)+SUMIF('5'!H$5:H$100,$A144,'5'!$I$5:$I$100)+SUMIF('6'!H$5:H$100,$A144,'6'!$I$5:$I$100)+SUMIF('7'!H$5:H$100,$A144,'7'!$I$5:$I$100)+SUMIF('7a'!H$5:H$100,$A144,'7a'!$I$5:$I$100)+SUMIF('7b'!H$5:H$100,$A144,'7b'!$I$5:$I$100)+SUMIF('8'!H$5:H$100,$A144,'8'!$I$5:$I$100)+SUMIF('9'!H$5:H$100,$A144,'9'!$I$5:$I$100)+SUMIF('9a'!H$5:H$100,$A144,'9a'!$I$5:$I$100)+SUMIF('9b'!H$5:H$100,$A144,'9b'!$I$5:$I$100)+SUMIF('9c'!H$5:H$100,$A144,'9c'!$I$5:$I$100)+SUMIF('9d'!H$5:H$100,$A144,'9d'!$I$5:$I$100)+SUMIF('9e'!H$5:H$100,$A144,'9e'!$I$5:$I$100)+SUMIF('9f'!H$5:H$100,$A144,'9f'!$I$5:$I$100)+SUMIF('9g'!H$5:H$100,$A144,'9g'!$I$5:$I$100)+SUMIF('9h'!H$5:H$100,$A144,'9h'!$I$5:$I$100)+SUMIF('9 TOTAL'!H$5:H$100,$A144,'9 TOTAL'!$I$5:$I$100)
+SUMIF('10'!H$5:H$100,$A144,'10'!$I$5:$I$100)+SUMIF('10a'!H$5:H$100,$A144,'10a'!$I$5:$I$100)+SUMIF('10b'!H$5:H$100,$A144,'10b'!$I$5:$I$100)+SUMIF('10c'!H$5:H$100,$A144,'10c'!$I$5:$I$100)+SUMIF('10d'!H$5:H$100,$A144,'10d'!$I$5:$I$100)+SUMIF('10e'!H$5:H$100,$A144,'10e'!$I$5:$I$100)+SUMIF('10f'!H$5:H$100,$A144,'10f'!$I$5:$I$100)+SUMIF('10g'!H$5:H$100,$A144,'10g'!$I$5:$I$100)+SUMIF('10h'!H$5:H$100,$A144,'10h'!$I$5:$I$100)+SUMIF('10i'!H$5:H$100,$A144,'10i'!$I$5:$I$100)+SUMIF('10j'!H$5:H$100,$A144,'10j'!$I$5:$I$100)+SUMIF('10k'!H$5:H$100,$A144,'10k'!$I$5:$I$100)+SUMIF('10l'!H$5:H$100,$A144,'10l'!$I$5:$I$100)+SUMIF('10m'!H$5:H$100,$A144,'10m'!$I$5:$I$100)+SUMIF('10 TOTAL'!H$5:H$100,$A144,'10 TOTAL'!$I$5:$I$100)</f>
        <v>0</v>
      </c>
      <c r="E144"/>
      <c r="F144"/>
      <c r="G144"/>
      <c r="H144"/>
      <c r="I144"/>
      <c r="J144"/>
      <c r="K144"/>
      <c r="L144"/>
      <c r="M144"/>
      <c r="N144"/>
      <c r="O144"/>
      <c r="P144"/>
      <c r="Q144"/>
      <c r="R144"/>
      <c r="S144" s="1307">
        <f t="shared" si="1"/>
        <v>0</v>
      </c>
      <c r="T144"/>
    </row>
    <row r="145" spans="1:20" x14ac:dyDescent="0.2">
      <c r="A145" t="s">
        <v>3435</v>
      </c>
      <c r="B145" t="s">
        <v>5421</v>
      </c>
      <c r="C145" s="1291">
        <f>SUMIF('4'!H$8:H$100,$A145,'4'!$K$8:$K$100)+SUMIF('4a'!H$5:H$100,$A145,'4a'!$K$5:$K$100)+SUMIF('4b'!H$5:H$100,$A145,'4b'!$K$5:$K$100)+SUMIF('4c'!H$5:H$100,$A145,'4c'!$K$5:$K$100)+SUMIF('5'!H$5:H$100,$A145,'5'!$K$5:$K$100)+SUMIF('6'!H$5:H$100,$A145,'6'!$K$5:$K$100)+SUMIF('7'!H$5:H$100,$A145,'7'!$K$5:$K$100)+SUMIF('7a'!H$5:H$100,$A145,'7a'!$K$5:$K$100)+SUMIF('7b'!H$5:H$100,$A145,'7b'!$K$5:$K$100)+SUMIF('8'!H$5:H$100,$A145,'8'!$K$5:$K$100)+SUMIF('9'!H$5:H$100,$A145,'9'!$K$5:$K$100)+SUMIF('9a'!H$5:H$100,$A145,'9a'!$K$5:$K$100)+SUMIF('9b'!H$5:H$100,$A145,'9b'!$K$5:$K$100)+SUMIF('9c'!H$5:H$100,$A145,'9c'!$K$5:$K$100)+SUMIF('9d'!H$5:H$100,$A145,'9d'!$K$5:$K$100)+SUMIF('9e'!H$5:H$100,$A145,'9e'!$K$5:$K$100)+SUMIF('9f'!H$5:H$100,$A145,'9f'!$K$5:$K$100)+SUMIF('9g'!H$5:H$100,$A145,'9g'!$K$5:$K$100)+SUMIF('9h'!H$5:H$100,$A145,'9h'!$K$5:$K$100)+SUMIF('9 TOTAL'!H$5:H$100,$A145,'9 TOTAL'!$K$5:$K$100)
+SUMIF('10'!H$5:H$100,$A145,'10'!$K$5:$K$100)+SUMIF('10a'!H$5:H$100,$A145,'10a'!$K$5:$K$100)+SUMIF('10b'!H$5:H$100,$A145,'10b'!$K$5:$K$100)+SUMIF('10c'!H$5:H$100,$A145,'10c'!$K$5:$K$100)+SUMIF('10d'!H$5:H$100,$A145,'10d'!$K$5:$K$100)+SUMIF('10e'!H$5:H$100,$A145,'10e'!$K$5:$K$100)+SUMIF('10f'!H$5:H$100,$A145,'10f'!$K$5:$K$100)+SUMIF('10g'!H$5:H$100,$A145,'10g'!$K$5:$K$100)+SUMIF('10h'!H$5:H$100,$A145,'10h'!$K$5:$K$100)+SUMIF('10i'!H$5:H$100,$A145,'10i'!$K$5:$K$100)+SUMIF('10j'!H$5:H$100,$A145,'10j'!$K$5:$K$100)+SUMIF('10k'!H$5:H$100,$A145,'10k'!$K$5:$K$100)+SUMIF('10l'!H$5:H$100,$A145,'10l'!$K$5:$K$100)+SUMIF('10m'!H$5:H$100,$A145,'10m'!$K$5:$K$100)+SUMIF('10 TOTAL'!H$5:H$100,$A145,'10 TOTAL'!$K$5:$K$100)</f>
        <v>0</v>
      </c>
      <c r="D145" s="1291">
        <f>SUMIF('4'!H$8:H$100,$A145,'4'!$I$8:$I$100)+SUMIF('4a'!H$5:H$100,$A145,'4a'!$I$5:$I$100)+SUMIF('4b'!H$5:H$100,$A145,'4b'!$I$5:$I$100)+SUMIF('4c'!H$5:H$100,$A145,'4c'!$I$5:$I$100)+SUMIF('5'!H$5:H$100,$A145,'5'!$I$5:$I$100)+SUMIF('6'!H$5:H$100,$A145,'6'!$I$5:$I$100)+SUMIF('7'!H$5:H$100,$A145,'7'!$I$5:$I$100)+SUMIF('7a'!H$5:H$100,$A145,'7a'!$I$5:$I$100)+SUMIF('7b'!H$5:H$100,$A145,'7b'!$I$5:$I$100)+SUMIF('8'!H$5:H$100,$A145,'8'!$I$5:$I$100)+SUMIF('9'!H$5:H$100,$A145,'9'!$I$5:$I$100)+SUMIF('9a'!H$5:H$100,$A145,'9a'!$I$5:$I$100)+SUMIF('9b'!H$5:H$100,$A145,'9b'!$I$5:$I$100)+SUMIF('9c'!H$5:H$100,$A145,'9c'!$I$5:$I$100)+SUMIF('9d'!H$5:H$100,$A145,'9d'!$I$5:$I$100)+SUMIF('9e'!H$5:H$100,$A145,'9e'!$I$5:$I$100)+SUMIF('9f'!H$5:H$100,$A145,'9f'!$I$5:$I$100)+SUMIF('9g'!H$5:H$100,$A145,'9g'!$I$5:$I$100)+SUMIF('9h'!H$5:H$100,$A145,'9h'!$I$5:$I$100)+SUMIF('9 TOTAL'!H$5:H$100,$A145,'9 TOTAL'!$I$5:$I$100)
+SUMIF('10'!H$5:H$100,$A145,'10'!$I$5:$I$100)+SUMIF('10a'!H$5:H$100,$A145,'10a'!$I$5:$I$100)+SUMIF('10b'!H$5:H$100,$A145,'10b'!$I$5:$I$100)+SUMIF('10c'!H$5:H$100,$A145,'10c'!$I$5:$I$100)+SUMIF('10d'!H$5:H$100,$A145,'10d'!$I$5:$I$100)+SUMIF('10e'!H$5:H$100,$A145,'10e'!$I$5:$I$100)+SUMIF('10f'!H$5:H$100,$A145,'10f'!$I$5:$I$100)+SUMIF('10g'!H$5:H$100,$A145,'10g'!$I$5:$I$100)+SUMIF('10h'!H$5:H$100,$A145,'10h'!$I$5:$I$100)+SUMIF('10i'!H$5:H$100,$A145,'10i'!$I$5:$I$100)+SUMIF('10j'!H$5:H$100,$A145,'10j'!$I$5:$I$100)+SUMIF('10k'!H$5:H$100,$A145,'10k'!$I$5:$I$100)+SUMIF('10l'!H$5:H$100,$A145,'10l'!$I$5:$I$100)+SUMIF('10m'!H$5:H$100,$A145,'10m'!$I$5:$I$100)+SUMIF('10 TOTAL'!H$5:H$100,$A145,'10 TOTAL'!$I$5:$I$100)</f>
        <v>0</v>
      </c>
      <c r="E145"/>
      <c r="F145"/>
      <c r="G145"/>
      <c r="H145"/>
      <c r="I145"/>
      <c r="J145"/>
      <c r="K145"/>
      <c r="L145"/>
      <c r="M145"/>
      <c r="N145"/>
      <c r="O145"/>
      <c r="P145"/>
      <c r="Q145"/>
      <c r="R145"/>
      <c r="S145" s="1307">
        <f t="shared" si="1"/>
        <v>0</v>
      </c>
      <c r="T145"/>
    </row>
    <row r="146" spans="1:20" x14ac:dyDescent="0.2">
      <c r="A146" t="s">
        <v>3437</v>
      </c>
      <c r="B146" t="s">
        <v>5422</v>
      </c>
      <c r="C146" s="1291">
        <f>SUMIF('4'!H$8:H$100,$A146,'4'!$K$8:$K$100)+SUMIF('4a'!H$5:H$100,$A146,'4a'!$K$5:$K$100)+SUMIF('4b'!H$5:H$100,$A146,'4b'!$K$5:$K$100)+SUMIF('4c'!H$5:H$100,$A146,'4c'!$K$5:$K$100)+SUMIF('5'!H$5:H$100,$A146,'5'!$K$5:$K$100)+SUMIF('6'!H$5:H$100,$A146,'6'!$K$5:$K$100)+SUMIF('7'!H$5:H$100,$A146,'7'!$K$5:$K$100)+SUMIF('7a'!H$5:H$100,$A146,'7a'!$K$5:$K$100)+SUMIF('7b'!H$5:H$100,$A146,'7b'!$K$5:$K$100)+SUMIF('8'!H$5:H$100,$A146,'8'!$K$5:$K$100)+SUMIF('9'!H$5:H$100,$A146,'9'!$K$5:$K$100)+SUMIF('9a'!H$5:H$100,$A146,'9a'!$K$5:$K$100)+SUMIF('9b'!H$5:H$100,$A146,'9b'!$K$5:$K$100)+SUMIF('9c'!H$5:H$100,$A146,'9c'!$K$5:$K$100)+SUMIF('9d'!H$5:H$100,$A146,'9d'!$K$5:$K$100)+SUMIF('9e'!H$5:H$100,$A146,'9e'!$K$5:$K$100)+SUMIF('9f'!H$5:H$100,$A146,'9f'!$K$5:$K$100)+SUMIF('9g'!H$5:H$100,$A146,'9g'!$K$5:$K$100)+SUMIF('9h'!H$5:H$100,$A146,'9h'!$K$5:$K$100)+SUMIF('9 TOTAL'!H$5:H$100,$A146,'9 TOTAL'!$K$5:$K$100)
+SUMIF('10'!H$5:H$100,$A146,'10'!$K$5:$K$100)+SUMIF('10a'!H$5:H$100,$A146,'10a'!$K$5:$K$100)+SUMIF('10b'!H$5:H$100,$A146,'10b'!$K$5:$K$100)+SUMIF('10c'!H$5:H$100,$A146,'10c'!$K$5:$K$100)+SUMIF('10d'!H$5:H$100,$A146,'10d'!$K$5:$K$100)+SUMIF('10e'!H$5:H$100,$A146,'10e'!$K$5:$K$100)+SUMIF('10f'!H$5:H$100,$A146,'10f'!$K$5:$K$100)+SUMIF('10g'!H$5:H$100,$A146,'10g'!$K$5:$K$100)+SUMIF('10h'!H$5:H$100,$A146,'10h'!$K$5:$K$100)+SUMIF('10i'!H$5:H$100,$A146,'10i'!$K$5:$K$100)+SUMIF('10j'!H$5:H$100,$A146,'10j'!$K$5:$K$100)+SUMIF('10k'!H$5:H$100,$A146,'10k'!$K$5:$K$100)+SUMIF('10l'!H$5:H$100,$A146,'10l'!$K$5:$K$100)+SUMIF('10m'!H$5:H$100,$A146,'10m'!$K$5:$K$100)+SUMIF('10 TOTAL'!H$5:H$100,$A146,'10 TOTAL'!$K$5:$K$100)</f>
        <v>0</v>
      </c>
      <c r="D146" s="1291">
        <f>SUMIF('4'!H$8:H$100,$A146,'4'!$I$8:$I$100)+SUMIF('4a'!H$5:H$100,$A146,'4a'!$I$5:$I$100)+SUMIF('4b'!H$5:H$100,$A146,'4b'!$I$5:$I$100)+SUMIF('4c'!H$5:H$100,$A146,'4c'!$I$5:$I$100)+SUMIF('5'!H$5:H$100,$A146,'5'!$I$5:$I$100)+SUMIF('6'!H$5:H$100,$A146,'6'!$I$5:$I$100)+SUMIF('7'!H$5:H$100,$A146,'7'!$I$5:$I$100)+SUMIF('7a'!H$5:H$100,$A146,'7a'!$I$5:$I$100)+SUMIF('7b'!H$5:H$100,$A146,'7b'!$I$5:$I$100)+SUMIF('8'!H$5:H$100,$A146,'8'!$I$5:$I$100)+SUMIF('9'!H$5:H$100,$A146,'9'!$I$5:$I$100)+SUMIF('9a'!H$5:H$100,$A146,'9a'!$I$5:$I$100)+SUMIF('9b'!H$5:H$100,$A146,'9b'!$I$5:$I$100)+SUMIF('9c'!H$5:H$100,$A146,'9c'!$I$5:$I$100)+SUMIF('9d'!H$5:H$100,$A146,'9d'!$I$5:$I$100)+SUMIF('9e'!H$5:H$100,$A146,'9e'!$I$5:$I$100)+SUMIF('9f'!H$5:H$100,$A146,'9f'!$I$5:$I$100)+SUMIF('9g'!H$5:H$100,$A146,'9g'!$I$5:$I$100)+SUMIF('9h'!H$5:H$100,$A146,'9h'!$I$5:$I$100)+SUMIF('9 TOTAL'!H$5:H$100,$A146,'9 TOTAL'!$I$5:$I$100)
+SUMIF('10'!H$5:H$100,$A146,'10'!$I$5:$I$100)+SUMIF('10a'!H$5:H$100,$A146,'10a'!$I$5:$I$100)+SUMIF('10b'!H$5:H$100,$A146,'10b'!$I$5:$I$100)+SUMIF('10c'!H$5:H$100,$A146,'10c'!$I$5:$I$100)+SUMIF('10d'!H$5:H$100,$A146,'10d'!$I$5:$I$100)+SUMIF('10e'!H$5:H$100,$A146,'10e'!$I$5:$I$100)+SUMIF('10f'!H$5:H$100,$A146,'10f'!$I$5:$I$100)+SUMIF('10g'!H$5:H$100,$A146,'10g'!$I$5:$I$100)+SUMIF('10h'!H$5:H$100,$A146,'10h'!$I$5:$I$100)+SUMIF('10i'!H$5:H$100,$A146,'10i'!$I$5:$I$100)+SUMIF('10j'!H$5:H$100,$A146,'10j'!$I$5:$I$100)+SUMIF('10k'!H$5:H$100,$A146,'10k'!$I$5:$I$100)+SUMIF('10l'!H$5:H$100,$A146,'10l'!$I$5:$I$100)+SUMIF('10m'!H$5:H$100,$A146,'10m'!$I$5:$I$100)+SUMIF('10 TOTAL'!H$5:H$100,$A146,'10 TOTAL'!$I$5:$I$100)</f>
        <v>0</v>
      </c>
      <c r="E146"/>
      <c r="F146"/>
      <c r="G146"/>
      <c r="H146"/>
      <c r="I146"/>
      <c r="J146"/>
      <c r="K146"/>
      <c r="L146"/>
      <c r="M146"/>
      <c r="N146"/>
      <c r="O146"/>
      <c r="P146"/>
      <c r="Q146"/>
      <c r="R146"/>
      <c r="S146" s="1307">
        <f t="shared" si="1"/>
        <v>0</v>
      </c>
      <c r="T146"/>
    </row>
    <row r="147" spans="1:20" ht="12.75" customHeight="1" x14ac:dyDescent="0.2">
      <c r="A147" t="s">
        <v>3439</v>
      </c>
      <c r="B147" t="s">
        <v>5423</v>
      </c>
      <c r="C147" s="1291">
        <f>SUMIF('4'!H$8:H$100,$A147,'4'!$K$8:$K$100)+SUMIF('4a'!H$5:H$100,$A147,'4a'!$K$5:$K$100)+SUMIF('4b'!H$5:H$100,$A147,'4b'!$K$5:$K$100)+SUMIF('4c'!H$5:H$100,$A147,'4c'!$K$5:$K$100)+SUMIF('5'!H$5:H$100,$A147,'5'!$K$5:$K$100)+SUMIF('6'!H$5:H$100,$A147,'6'!$K$5:$K$100)+SUMIF('7'!H$5:H$100,$A147,'7'!$K$5:$K$100)+SUMIF('7a'!H$5:H$100,$A147,'7a'!$K$5:$K$100)+SUMIF('7b'!H$5:H$100,$A147,'7b'!$K$5:$K$100)+SUMIF('8'!H$5:H$100,$A147,'8'!$K$5:$K$100)+SUMIF('9'!H$5:H$100,$A147,'9'!$K$5:$K$100)+SUMIF('9a'!H$5:H$100,$A147,'9a'!$K$5:$K$100)+SUMIF('9b'!H$5:H$100,$A147,'9b'!$K$5:$K$100)+SUMIF('9c'!H$5:H$100,$A147,'9c'!$K$5:$K$100)+SUMIF('9d'!H$5:H$100,$A147,'9d'!$K$5:$K$100)+SUMIF('9e'!H$5:H$100,$A147,'9e'!$K$5:$K$100)+SUMIF('9f'!H$5:H$100,$A147,'9f'!$K$5:$K$100)+SUMIF('9g'!H$5:H$100,$A147,'9g'!$K$5:$K$100)+SUMIF('9h'!H$5:H$100,$A147,'9h'!$K$5:$K$100)+SUMIF('9 TOTAL'!H$5:H$100,$A147,'9 TOTAL'!$K$5:$K$100)
+SUMIF('10'!H$5:H$100,$A147,'10'!$K$5:$K$100)+SUMIF('10a'!H$5:H$100,$A147,'10a'!$K$5:$K$100)+SUMIF('10b'!H$5:H$100,$A147,'10b'!$K$5:$K$100)+SUMIF('10c'!H$5:H$100,$A147,'10c'!$K$5:$K$100)+SUMIF('10d'!H$5:H$100,$A147,'10d'!$K$5:$K$100)+SUMIF('10e'!H$5:H$100,$A147,'10e'!$K$5:$K$100)+SUMIF('10f'!H$5:H$100,$A147,'10f'!$K$5:$K$100)+SUMIF('10g'!H$5:H$100,$A147,'10g'!$K$5:$K$100)+SUMIF('10h'!H$5:H$100,$A147,'10h'!$K$5:$K$100)+SUMIF('10i'!H$5:H$100,$A147,'10i'!$K$5:$K$100)+SUMIF('10j'!H$5:H$100,$A147,'10j'!$K$5:$K$100)+SUMIF('10k'!H$5:H$100,$A147,'10k'!$K$5:$K$100)+SUMIF('10l'!H$5:H$100,$A147,'10l'!$K$5:$K$100)+SUMIF('10m'!H$5:H$100,$A147,'10m'!$K$5:$K$100)+SUMIF('10 TOTAL'!H$5:H$100,$A147,'10 TOTAL'!$K$5:$K$100)</f>
        <v>0</v>
      </c>
      <c r="D147" s="1291">
        <f>SUMIF('4'!H$8:H$100,$A147,'4'!$I$8:$I$100)+SUMIF('4a'!H$5:H$100,$A147,'4a'!$I$5:$I$100)+SUMIF('4b'!H$5:H$100,$A147,'4b'!$I$5:$I$100)+SUMIF('4c'!H$5:H$100,$A147,'4c'!$I$5:$I$100)+SUMIF('5'!H$5:H$100,$A147,'5'!$I$5:$I$100)+SUMIF('6'!H$5:H$100,$A147,'6'!$I$5:$I$100)+SUMIF('7'!H$5:H$100,$A147,'7'!$I$5:$I$100)+SUMIF('7a'!H$5:H$100,$A147,'7a'!$I$5:$I$100)+SUMIF('7b'!H$5:H$100,$A147,'7b'!$I$5:$I$100)+SUMIF('8'!H$5:H$100,$A147,'8'!$I$5:$I$100)+SUMIF('9'!H$5:H$100,$A147,'9'!$I$5:$I$100)+SUMIF('9a'!H$5:H$100,$A147,'9a'!$I$5:$I$100)+SUMIF('9b'!H$5:H$100,$A147,'9b'!$I$5:$I$100)+SUMIF('9c'!H$5:H$100,$A147,'9c'!$I$5:$I$100)+SUMIF('9d'!H$5:H$100,$A147,'9d'!$I$5:$I$100)+SUMIF('9e'!H$5:H$100,$A147,'9e'!$I$5:$I$100)+SUMIF('9f'!H$5:H$100,$A147,'9f'!$I$5:$I$100)+SUMIF('9g'!H$5:H$100,$A147,'9g'!$I$5:$I$100)+SUMIF('9h'!H$5:H$100,$A147,'9h'!$I$5:$I$100)+SUMIF('9 TOTAL'!H$5:H$100,$A147,'9 TOTAL'!$I$5:$I$100)
+SUMIF('10'!H$5:H$100,$A147,'10'!$I$5:$I$100)+SUMIF('10a'!H$5:H$100,$A147,'10a'!$I$5:$I$100)+SUMIF('10b'!H$5:H$100,$A147,'10b'!$I$5:$I$100)+SUMIF('10c'!H$5:H$100,$A147,'10c'!$I$5:$I$100)+SUMIF('10d'!H$5:H$100,$A147,'10d'!$I$5:$I$100)+SUMIF('10e'!H$5:H$100,$A147,'10e'!$I$5:$I$100)+SUMIF('10f'!H$5:H$100,$A147,'10f'!$I$5:$I$100)+SUMIF('10g'!H$5:H$100,$A147,'10g'!$I$5:$I$100)+SUMIF('10h'!H$5:H$100,$A147,'10h'!$I$5:$I$100)+SUMIF('10i'!H$5:H$100,$A147,'10i'!$I$5:$I$100)+SUMIF('10j'!H$5:H$100,$A147,'10j'!$I$5:$I$100)+SUMIF('10k'!H$5:H$100,$A147,'10k'!$I$5:$I$100)+SUMIF('10l'!H$5:H$100,$A147,'10l'!$I$5:$I$100)+SUMIF('10m'!H$5:H$100,$A147,'10m'!$I$5:$I$100)+SUMIF('10 TOTAL'!H$5:H$100,$A147,'10 TOTAL'!$I$5:$I$100)</f>
        <v>0</v>
      </c>
      <c r="E147"/>
      <c r="F147"/>
      <c r="G147"/>
      <c r="H147"/>
      <c r="I147"/>
      <c r="J147"/>
      <c r="K147"/>
      <c r="L147"/>
      <c r="M147"/>
      <c r="N147"/>
      <c r="O147"/>
      <c r="P147"/>
      <c r="Q147"/>
      <c r="R147"/>
      <c r="S147" s="1307">
        <f t="shared" si="1"/>
        <v>0</v>
      </c>
      <c r="T147"/>
    </row>
    <row r="148" spans="1:20" ht="12.75" customHeight="1" x14ac:dyDescent="0.2">
      <c r="A148"/>
      <c r="B148" t="s">
        <v>5426</v>
      </c>
      <c r="C148" s="1291">
        <f>SUM(C149:C159)</f>
        <v>0</v>
      </c>
      <c r="D148" s="1291">
        <f>SUM(D149:D159)</f>
        <v>0</v>
      </c>
      <c r="E148"/>
      <c r="F148"/>
      <c r="G148"/>
      <c r="H148"/>
      <c r="I148"/>
      <c r="J148"/>
      <c r="K148"/>
      <c r="L148"/>
      <c r="M148"/>
      <c r="N148"/>
      <c r="O148"/>
      <c r="P148"/>
      <c r="Q148"/>
      <c r="R148"/>
      <c r="S148" s="1307">
        <f t="shared" si="1"/>
        <v>0</v>
      </c>
      <c r="T148"/>
    </row>
    <row r="149" spans="1:20" ht="12.75" customHeight="1" outlineLevel="1" x14ac:dyDescent="0.2">
      <c r="A149" t="s">
        <v>3443</v>
      </c>
      <c r="B149" t="s">
        <v>5424</v>
      </c>
      <c r="C149" s="1291">
        <f>SUMIF('4'!H$8:H$100,$A149,'4'!$K$8:$K$100)+SUMIF('4a'!H$5:H$100,$A149,'4a'!$K$5:$K$100)+SUMIF('4b'!H$5:H$100,$A149,'4b'!$K$5:$K$100)+SUMIF('4c'!H$5:H$100,$A149,'4c'!$K$5:$K$100)+SUMIF('5'!H$5:H$100,$A149,'5'!$K$5:$K$100)+SUMIF('6'!H$5:H$100,$A149,'6'!$K$5:$K$100)+SUMIF('7'!H$5:H$100,$A149,'7'!$K$5:$K$100)+SUMIF('7a'!H$5:H$100,$A149,'7a'!$K$5:$K$100)+SUMIF('7b'!H$5:H$100,$A149,'7b'!$K$5:$K$100)+SUMIF('8'!H$5:H$100,$A149,'8'!$K$5:$K$100)+SUMIF('9'!H$5:H$100,$A149,'9'!$K$5:$K$100)+SUMIF('9a'!H$5:H$100,$A149,'9a'!$K$5:$K$100)+SUMIF('9b'!H$5:H$100,$A149,'9b'!$K$5:$K$100)+SUMIF('9c'!H$5:H$100,$A149,'9c'!$K$5:$K$100)+SUMIF('9d'!H$5:H$100,$A149,'9d'!$K$5:$K$100)+SUMIF('9e'!H$5:H$100,$A149,'9e'!$K$5:$K$100)+SUMIF('9f'!H$5:H$100,$A149,'9f'!$K$5:$K$100)+SUMIF('9g'!H$5:H$100,$A149,'9g'!$K$5:$K$100)+SUMIF('9h'!H$5:H$100,$A149,'9h'!$K$5:$K$100)+SUMIF('9 TOTAL'!H$5:H$100,$A149,'9 TOTAL'!$K$5:$K$100)
+SUMIF('10'!H$5:H$100,$A149,'10'!$K$5:$K$100)+SUMIF('10a'!H$5:H$100,$A149,'10a'!$K$5:$K$100)+SUMIF('10b'!H$5:H$100,$A149,'10b'!$K$5:$K$100)+SUMIF('10c'!H$5:H$100,$A149,'10c'!$K$5:$K$100)+SUMIF('10d'!H$5:H$100,$A149,'10d'!$K$5:$K$100)+SUMIF('10e'!H$5:H$100,$A149,'10e'!$K$5:$K$100)+SUMIF('10f'!H$5:H$100,$A149,'10f'!$K$5:$K$100)+SUMIF('10g'!H$5:H$100,$A149,'10g'!$K$5:$K$100)+SUMIF('10h'!H$5:H$100,$A149,'10h'!$K$5:$K$100)+SUMIF('10i'!H$5:H$100,$A149,'10i'!$K$5:$K$100)+SUMIF('10j'!H$5:H$100,$A149,'10j'!$K$5:$K$100)+SUMIF('10k'!H$5:H$100,$A149,'10k'!$K$5:$K$100)+SUMIF('10l'!H$5:H$100,$A149,'10l'!$K$5:$K$100)+SUMIF('10m'!H$5:H$100,$A149,'10m'!$K$5:$K$100)+SUMIF('10 TOTAL'!H$5:H$100,$A149,'10 TOTAL'!$K$5:$K$100)</f>
        <v>0</v>
      </c>
      <c r="D149" s="1291">
        <f>SUMIF('4'!H$8:H$100,$A149,'4'!$I$8:$I$100)+SUMIF('4a'!H$5:H$100,$A149,'4a'!$I$5:$I$100)+SUMIF('4b'!H$5:H$100,$A149,'4b'!$I$5:$I$100)+SUMIF('4c'!H$5:H$100,$A149,'4c'!$I$5:$I$100)+SUMIF('5'!H$5:H$100,$A149,'5'!$I$5:$I$100)+SUMIF('6'!H$5:H$100,$A149,'6'!$I$5:$I$100)+SUMIF('7'!H$5:H$100,$A149,'7'!$I$5:$I$100)+SUMIF('7a'!H$5:H$100,$A149,'7a'!$I$5:$I$100)+SUMIF('7b'!H$5:H$100,$A149,'7b'!$I$5:$I$100)+SUMIF('8'!H$5:H$100,$A149,'8'!$I$5:$I$100)+SUMIF('9'!H$5:H$100,$A149,'9'!$I$5:$I$100)+SUMIF('9a'!H$5:H$100,$A149,'9a'!$I$5:$I$100)+SUMIF('9b'!H$5:H$100,$A149,'9b'!$I$5:$I$100)+SUMIF('9c'!H$5:H$100,$A149,'9c'!$I$5:$I$100)+SUMIF('9d'!H$5:H$100,$A149,'9d'!$I$5:$I$100)+SUMIF('9e'!H$5:H$100,$A149,'9e'!$I$5:$I$100)+SUMIF('9f'!H$5:H$100,$A149,'9f'!$I$5:$I$100)+SUMIF('9g'!H$5:H$100,$A149,'9g'!$I$5:$I$100)+SUMIF('9h'!H$5:H$100,$A149,'9h'!$I$5:$I$100)+SUMIF('9 TOTAL'!H$5:H$100,$A149,'9 TOTAL'!$I$5:$I$100)
+SUMIF('10'!H$5:H$100,$A149,'10'!$I$5:$I$100)+SUMIF('10a'!H$5:H$100,$A149,'10a'!$I$5:$I$100)+SUMIF('10b'!H$5:H$100,$A149,'10b'!$I$5:$I$100)+SUMIF('10c'!H$5:H$100,$A149,'10c'!$I$5:$I$100)+SUMIF('10d'!H$5:H$100,$A149,'10d'!$I$5:$I$100)+SUMIF('10e'!H$5:H$100,$A149,'10e'!$I$5:$I$100)+SUMIF('10f'!H$5:H$100,$A149,'10f'!$I$5:$I$100)+SUMIF('10g'!H$5:H$100,$A149,'10g'!$I$5:$I$100)+SUMIF('10h'!H$5:H$100,$A149,'10h'!$I$5:$I$100)+SUMIF('10i'!H$5:H$100,$A149,'10i'!$I$5:$I$100)+SUMIF('10j'!H$5:H$100,$A149,'10j'!$I$5:$I$100)+SUMIF('10k'!H$5:H$100,$A149,'10k'!$I$5:$I$100)+SUMIF('10l'!H$5:H$100,$A149,'10l'!$I$5:$I$100)+SUMIF('10m'!H$5:H$100,$A149,'10m'!$I$5:$I$100)+SUMIF('10 TOTAL'!H$5:H$100,$A149,'10 TOTAL'!$I$5:$I$100)</f>
        <v>0</v>
      </c>
      <c r="E149"/>
      <c r="F149"/>
      <c r="G149"/>
      <c r="H149"/>
      <c r="I149"/>
      <c r="J149"/>
      <c r="K149"/>
      <c r="L149"/>
      <c r="M149"/>
      <c r="N149"/>
      <c r="O149"/>
      <c r="P149"/>
      <c r="Q149"/>
      <c r="R149"/>
      <c r="S149" s="1307">
        <f t="shared" si="1"/>
        <v>0</v>
      </c>
      <c r="T149"/>
    </row>
    <row r="150" spans="1:20" ht="12.75" customHeight="1" outlineLevel="1" x14ac:dyDescent="0.2">
      <c r="A150" t="s">
        <v>3445</v>
      </c>
      <c r="B150" t="s">
        <v>5424</v>
      </c>
      <c r="C150" s="1291">
        <f>SUMIF('4'!H$8:H$100,$A150,'4'!$K$8:$K$100)+SUMIF('4a'!H$5:H$100,$A150,'4a'!$K$5:$K$100)+SUMIF('4b'!H$5:H$100,$A150,'4b'!$K$5:$K$100)+SUMIF('4c'!H$5:H$100,$A150,'4c'!$K$5:$K$100)+SUMIF('5'!H$5:H$100,$A150,'5'!$K$5:$K$100)+SUMIF('6'!H$5:H$100,$A150,'6'!$K$5:$K$100)+SUMIF('7'!H$5:H$100,$A150,'7'!$K$5:$K$100)+SUMIF('7a'!H$5:H$100,$A150,'7a'!$K$5:$K$100)+SUMIF('7b'!H$5:H$100,$A150,'7b'!$K$5:$K$100)+SUMIF('8'!H$5:H$100,$A150,'8'!$K$5:$K$100)+SUMIF('9'!H$5:H$100,$A150,'9'!$K$5:$K$100)+SUMIF('9a'!H$5:H$100,$A150,'9a'!$K$5:$K$100)+SUMIF('9b'!H$5:H$100,$A150,'9b'!$K$5:$K$100)+SUMIF('9c'!H$5:H$100,$A150,'9c'!$K$5:$K$100)+SUMIF('9d'!H$5:H$100,$A150,'9d'!$K$5:$K$100)+SUMIF('9e'!H$5:H$100,$A150,'9e'!$K$5:$K$100)+SUMIF('9f'!H$5:H$100,$A150,'9f'!$K$5:$K$100)+SUMIF('9g'!H$5:H$100,$A150,'9g'!$K$5:$K$100)+SUMIF('9h'!H$5:H$100,$A150,'9h'!$K$5:$K$100)+SUMIF('9 TOTAL'!H$5:H$100,$A150,'9 TOTAL'!$K$5:$K$100)
+SUMIF('10'!H$5:H$100,$A150,'10'!$K$5:$K$100)+SUMIF('10a'!H$5:H$100,$A150,'10a'!$K$5:$K$100)+SUMIF('10b'!H$5:H$100,$A150,'10b'!$K$5:$K$100)+SUMIF('10c'!H$5:H$100,$A150,'10c'!$K$5:$K$100)+SUMIF('10d'!H$5:H$100,$A150,'10d'!$K$5:$K$100)+SUMIF('10e'!H$5:H$100,$A150,'10e'!$K$5:$K$100)+SUMIF('10f'!H$5:H$100,$A150,'10f'!$K$5:$K$100)+SUMIF('10g'!H$5:H$100,$A150,'10g'!$K$5:$K$100)+SUMIF('10h'!H$5:H$100,$A150,'10h'!$K$5:$K$100)+SUMIF('10i'!H$5:H$100,$A150,'10i'!$K$5:$K$100)+SUMIF('10j'!H$5:H$100,$A150,'10j'!$K$5:$K$100)+SUMIF('10k'!H$5:H$100,$A150,'10k'!$K$5:$K$100)+SUMIF('10l'!H$5:H$100,$A150,'10l'!$K$5:$K$100)+SUMIF('10m'!H$5:H$100,$A150,'10m'!$K$5:$K$100)+SUMIF('10 TOTAL'!H$5:H$100,$A150,'10 TOTAL'!$K$5:$K$100)</f>
        <v>0</v>
      </c>
      <c r="D150" s="1291">
        <f>SUMIF('4'!H$8:H$100,$A150,'4'!$I$8:$I$100)+SUMIF('4a'!H$5:H$100,$A150,'4a'!$I$5:$I$100)+SUMIF('4b'!H$5:H$100,$A150,'4b'!$I$5:$I$100)+SUMIF('4c'!H$5:H$100,$A150,'4c'!$I$5:$I$100)+SUMIF('5'!H$5:H$100,$A150,'5'!$I$5:$I$100)+SUMIF('6'!H$5:H$100,$A150,'6'!$I$5:$I$100)+SUMIF('7'!H$5:H$100,$A150,'7'!$I$5:$I$100)+SUMIF('7a'!H$5:H$100,$A150,'7a'!$I$5:$I$100)+SUMIF('7b'!H$5:H$100,$A150,'7b'!$I$5:$I$100)+SUMIF('8'!H$5:H$100,$A150,'8'!$I$5:$I$100)+SUMIF('9'!H$5:H$100,$A150,'9'!$I$5:$I$100)+SUMIF('9a'!H$5:H$100,$A150,'9a'!$I$5:$I$100)+SUMIF('9b'!H$5:H$100,$A150,'9b'!$I$5:$I$100)+SUMIF('9c'!H$5:H$100,$A150,'9c'!$I$5:$I$100)+SUMIF('9d'!H$5:H$100,$A150,'9d'!$I$5:$I$100)+SUMIF('9e'!H$5:H$100,$A150,'9e'!$I$5:$I$100)+SUMIF('9f'!H$5:H$100,$A150,'9f'!$I$5:$I$100)+SUMIF('9g'!H$5:H$100,$A150,'9g'!$I$5:$I$100)+SUMIF('9h'!H$5:H$100,$A150,'9h'!$I$5:$I$100)+SUMIF('9 TOTAL'!H$5:H$100,$A150,'9 TOTAL'!$I$5:$I$100)
+SUMIF('10'!H$5:H$100,$A150,'10'!$I$5:$I$100)+SUMIF('10a'!H$5:H$100,$A150,'10a'!$I$5:$I$100)+SUMIF('10b'!H$5:H$100,$A150,'10b'!$I$5:$I$100)+SUMIF('10c'!H$5:H$100,$A150,'10c'!$I$5:$I$100)+SUMIF('10d'!H$5:H$100,$A150,'10d'!$I$5:$I$100)+SUMIF('10e'!H$5:H$100,$A150,'10e'!$I$5:$I$100)+SUMIF('10f'!H$5:H$100,$A150,'10f'!$I$5:$I$100)+SUMIF('10g'!H$5:H$100,$A150,'10g'!$I$5:$I$100)+SUMIF('10h'!H$5:H$100,$A150,'10h'!$I$5:$I$100)+SUMIF('10i'!H$5:H$100,$A150,'10i'!$I$5:$I$100)+SUMIF('10j'!H$5:H$100,$A150,'10j'!$I$5:$I$100)+SUMIF('10k'!H$5:H$100,$A150,'10k'!$I$5:$I$100)+SUMIF('10l'!H$5:H$100,$A150,'10l'!$I$5:$I$100)+SUMIF('10m'!H$5:H$100,$A150,'10m'!$I$5:$I$100)+SUMIF('10 TOTAL'!H$5:H$100,$A150,'10 TOTAL'!$I$5:$I$100)</f>
        <v>0</v>
      </c>
      <c r="E150"/>
      <c r="F150"/>
      <c r="G150"/>
      <c r="H150"/>
      <c r="I150"/>
      <c r="J150"/>
      <c r="K150"/>
      <c r="L150"/>
      <c r="M150"/>
      <c r="N150"/>
      <c r="O150"/>
      <c r="P150"/>
      <c r="Q150"/>
      <c r="R150"/>
      <c r="S150" s="1307">
        <f t="shared" si="1"/>
        <v>0</v>
      </c>
      <c r="T150"/>
    </row>
    <row r="151" spans="1:20" ht="12.75" customHeight="1" outlineLevel="1" x14ac:dyDescent="0.2">
      <c r="A151" t="s">
        <v>3447</v>
      </c>
      <c r="B151" t="s">
        <v>5424</v>
      </c>
      <c r="C151" s="1291">
        <f>SUMIF('4'!H$8:H$100,$A151,'4'!$K$8:$K$100)+SUMIF('4a'!H$5:H$100,$A151,'4a'!$K$5:$K$100)+SUMIF('4b'!H$5:H$100,$A151,'4b'!$K$5:$K$100)+SUMIF('4c'!H$5:H$100,$A151,'4c'!$K$5:$K$100)+SUMIF('5'!H$5:H$100,$A151,'5'!$K$5:$K$100)+SUMIF('6'!H$5:H$100,$A151,'6'!$K$5:$K$100)+SUMIF('7'!H$5:H$100,$A151,'7'!$K$5:$K$100)+SUMIF('7a'!H$5:H$100,$A151,'7a'!$K$5:$K$100)+SUMIF('7b'!H$5:H$100,$A151,'7b'!$K$5:$K$100)+SUMIF('8'!H$5:H$100,$A151,'8'!$K$5:$K$100)+SUMIF('9'!H$5:H$100,$A151,'9'!$K$5:$K$100)+SUMIF('9a'!H$5:H$100,$A151,'9a'!$K$5:$K$100)+SUMIF('9b'!H$5:H$100,$A151,'9b'!$K$5:$K$100)+SUMIF('9c'!H$5:H$100,$A151,'9c'!$K$5:$K$100)+SUMIF('9d'!H$5:H$100,$A151,'9d'!$K$5:$K$100)+SUMIF('9e'!H$5:H$100,$A151,'9e'!$K$5:$K$100)+SUMIF('9f'!H$5:H$100,$A151,'9f'!$K$5:$K$100)+SUMIF('9g'!H$5:H$100,$A151,'9g'!$K$5:$K$100)+SUMIF('9h'!H$5:H$100,$A151,'9h'!$K$5:$K$100)+SUMIF('9 TOTAL'!H$5:H$100,$A151,'9 TOTAL'!$K$5:$K$100)
+SUMIF('10'!H$5:H$100,$A151,'10'!$K$5:$K$100)+SUMIF('10a'!H$5:H$100,$A151,'10a'!$K$5:$K$100)+SUMIF('10b'!H$5:H$100,$A151,'10b'!$K$5:$K$100)+SUMIF('10c'!H$5:H$100,$A151,'10c'!$K$5:$K$100)+SUMIF('10d'!H$5:H$100,$A151,'10d'!$K$5:$K$100)+SUMIF('10e'!H$5:H$100,$A151,'10e'!$K$5:$K$100)+SUMIF('10f'!H$5:H$100,$A151,'10f'!$K$5:$K$100)+SUMIF('10g'!H$5:H$100,$A151,'10g'!$K$5:$K$100)+SUMIF('10h'!H$5:H$100,$A151,'10h'!$K$5:$K$100)+SUMIF('10i'!H$5:H$100,$A151,'10i'!$K$5:$K$100)+SUMIF('10j'!H$5:H$100,$A151,'10j'!$K$5:$K$100)+SUMIF('10k'!H$5:H$100,$A151,'10k'!$K$5:$K$100)+SUMIF('10l'!H$5:H$100,$A151,'10l'!$K$5:$K$100)+SUMIF('10m'!H$5:H$100,$A151,'10m'!$K$5:$K$100)+SUMIF('10 TOTAL'!H$5:H$100,$A151,'10 TOTAL'!$K$5:$K$100)</f>
        <v>0</v>
      </c>
      <c r="D151" s="1291">
        <f>SUMIF('4'!H$8:H$100,$A151,'4'!$I$8:$I$100)+SUMIF('4a'!H$5:H$100,$A151,'4a'!$I$5:$I$100)+SUMIF('4b'!H$5:H$100,$A151,'4b'!$I$5:$I$100)+SUMIF('4c'!H$5:H$100,$A151,'4c'!$I$5:$I$100)+SUMIF('5'!H$5:H$100,$A151,'5'!$I$5:$I$100)+SUMIF('6'!H$5:H$100,$A151,'6'!$I$5:$I$100)+SUMIF('7'!H$5:H$100,$A151,'7'!$I$5:$I$100)+SUMIF('7a'!H$5:H$100,$A151,'7a'!$I$5:$I$100)+SUMIF('7b'!H$5:H$100,$A151,'7b'!$I$5:$I$100)+SUMIF('8'!H$5:H$100,$A151,'8'!$I$5:$I$100)+SUMIF('9'!H$5:H$100,$A151,'9'!$I$5:$I$100)+SUMIF('9a'!H$5:H$100,$A151,'9a'!$I$5:$I$100)+SUMIF('9b'!H$5:H$100,$A151,'9b'!$I$5:$I$100)+SUMIF('9c'!H$5:H$100,$A151,'9c'!$I$5:$I$100)+SUMIF('9d'!H$5:H$100,$A151,'9d'!$I$5:$I$100)+SUMIF('9e'!H$5:H$100,$A151,'9e'!$I$5:$I$100)+SUMIF('9f'!H$5:H$100,$A151,'9f'!$I$5:$I$100)+SUMIF('9g'!H$5:H$100,$A151,'9g'!$I$5:$I$100)+SUMIF('9h'!H$5:H$100,$A151,'9h'!$I$5:$I$100)+SUMIF('9 TOTAL'!H$5:H$100,$A151,'9 TOTAL'!$I$5:$I$100)
+SUMIF('10'!H$5:H$100,$A151,'10'!$I$5:$I$100)+SUMIF('10a'!H$5:H$100,$A151,'10a'!$I$5:$I$100)+SUMIF('10b'!H$5:H$100,$A151,'10b'!$I$5:$I$100)+SUMIF('10c'!H$5:H$100,$A151,'10c'!$I$5:$I$100)+SUMIF('10d'!H$5:H$100,$A151,'10d'!$I$5:$I$100)+SUMIF('10e'!H$5:H$100,$A151,'10e'!$I$5:$I$100)+SUMIF('10f'!H$5:H$100,$A151,'10f'!$I$5:$I$100)+SUMIF('10g'!H$5:H$100,$A151,'10g'!$I$5:$I$100)+SUMIF('10h'!H$5:H$100,$A151,'10h'!$I$5:$I$100)+SUMIF('10i'!H$5:H$100,$A151,'10i'!$I$5:$I$100)+SUMIF('10j'!H$5:H$100,$A151,'10j'!$I$5:$I$100)+SUMIF('10k'!H$5:H$100,$A151,'10k'!$I$5:$I$100)+SUMIF('10l'!H$5:H$100,$A151,'10l'!$I$5:$I$100)+SUMIF('10m'!H$5:H$100,$A151,'10m'!$I$5:$I$100)+SUMIF('10 TOTAL'!H$5:H$100,$A151,'10 TOTAL'!$I$5:$I$100)</f>
        <v>0</v>
      </c>
      <c r="E151"/>
      <c r="F151"/>
      <c r="G151"/>
      <c r="H151"/>
      <c r="I151"/>
      <c r="J151"/>
      <c r="K151"/>
      <c r="L151"/>
      <c r="M151"/>
      <c r="N151"/>
      <c r="O151"/>
      <c r="P151"/>
      <c r="Q151"/>
      <c r="R151"/>
      <c r="S151" s="1307">
        <f t="shared" si="1"/>
        <v>0</v>
      </c>
      <c r="T151"/>
    </row>
    <row r="152" spans="1:20" ht="12.75" customHeight="1" outlineLevel="1" x14ac:dyDescent="0.2">
      <c r="A152" t="s">
        <v>3449</v>
      </c>
      <c r="B152" t="s">
        <v>5424</v>
      </c>
      <c r="C152" s="1291">
        <f>SUMIF('4'!H$8:H$100,$A152,'4'!$K$8:$K$100)+SUMIF('4a'!H$5:H$100,$A152,'4a'!$K$5:$K$100)+SUMIF('4b'!H$5:H$100,$A152,'4b'!$K$5:$K$100)+SUMIF('4c'!H$5:H$100,$A152,'4c'!$K$5:$K$100)+SUMIF('5'!H$5:H$100,$A152,'5'!$K$5:$K$100)+SUMIF('6'!H$5:H$100,$A152,'6'!$K$5:$K$100)+SUMIF('7'!H$5:H$100,$A152,'7'!$K$5:$K$100)+SUMIF('7a'!H$5:H$100,$A152,'7a'!$K$5:$K$100)+SUMIF('7b'!H$5:H$100,$A152,'7b'!$K$5:$K$100)+SUMIF('8'!H$5:H$100,$A152,'8'!$K$5:$K$100)+SUMIF('9'!H$5:H$100,$A152,'9'!$K$5:$K$100)+SUMIF('9a'!H$5:H$100,$A152,'9a'!$K$5:$K$100)+SUMIF('9b'!H$5:H$100,$A152,'9b'!$K$5:$K$100)+SUMIF('9c'!H$5:H$100,$A152,'9c'!$K$5:$K$100)+SUMIF('9d'!H$5:H$100,$A152,'9d'!$K$5:$K$100)+SUMIF('9e'!H$5:H$100,$A152,'9e'!$K$5:$K$100)+SUMIF('9f'!H$5:H$100,$A152,'9f'!$K$5:$K$100)+SUMIF('9g'!H$5:H$100,$A152,'9g'!$K$5:$K$100)+SUMIF('9h'!H$5:H$100,$A152,'9h'!$K$5:$K$100)+SUMIF('9 TOTAL'!H$5:H$100,$A152,'9 TOTAL'!$K$5:$K$100)
+SUMIF('10'!H$5:H$100,$A152,'10'!$K$5:$K$100)+SUMIF('10a'!H$5:H$100,$A152,'10a'!$K$5:$K$100)+SUMIF('10b'!H$5:H$100,$A152,'10b'!$K$5:$K$100)+SUMIF('10c'!H$5:H$100,$A152,'10c'!$K$5:$K$100)+SUMIF('10d'!H$5:H$100,$A152,'10d'!$K$5:$K$100)+SUMIF('10e'!H$5:H$100,$A152,'10e'!$K$5:$K$100)+SUMIF('10f'!H$5:H$100,$A152,'10f'!$K$5:$K$100)+SUMIF('10g'!H$5:H$100,$A152,'10g'!$K$5:$K$100)+SUMIF('10h'!H$5:H$100,$A152,'10h'!$K$5:$K$100)+SUMIF('10i'!H$5:H$100,$A152,'10i'!$K$5:$K$100)+SUMIF('10j'!H$5:H$100,$A152,'10j'!$K$5:$K$100)+SUMIF('10k'!H$5:H$100,$A152,'10k'!$K$5:$K$100)+SUMIF('10l'!H$5:H$100,$A152,'10l'!$K$5:$K$100)+SUMIF('10m'!H$5:H$100,$A152,'10m'!$K$5:$K$100)+SUMIF('10 TOTAL'!H$5:H$100,$A152,'10 TOTAL'!$K$5:$K$100)</f>
        <v>0</v>
      </c>
      <c r="D152" s="1291">
        <f>SUMIF('4'!H$8:H$100,$A152,'4'!$I$8:$I$100)+SUMIF('4a'!H$5:H$100,$A152,'4a'!$I$5:$I$100)+SUMIF('4b'!H$5:H$100,$A152,'4b'!$I$5:$I$100)+SUMIF('4c'!H$5:H$100,$A152,'4c'!$I$5:$I$100)+SUMIF('5'!H$5:H$100,$A152,'5'!$I$5:$I$100)+SUMIF('6'!H$5:H$100,$A152,'6'!$I$5:$I$100)+SUMIF('7'!H$5:H$100,$A152,'7'!$I$5:$I$100)+SUMIF('7a'!H$5:H$100,$A152,'7a'!$I$5:$I$100)+SUMIF('7b'!H$5:H$100,$A152,'7b'!$I$5:$I$100)+SUMIF('8'!H$5:H$100,$A152,'8'!$I$5:$I$100)+SUMIF('9'!H$5:H$100,$A152,'9'!$I$5:$I$100)+SUMIF('9a'!H$5:H$100,$A152,'9a'!$I$5:$I$100)+SUMIF('9b'!H$5:H$100,$A152,'9b'!$I$5:$I$100)+SUMIF('9c'!H$5:H$100,$A152,'9c'!$I$5:$I$100)+SUMIF('9d'!H$5:H$100,$A152,'9d'!$I$5:$I$100)+SUMIF('9e'!H$5:H$100,$A152,'9e'!$I$5:$I$100)+SUMIF('9f'!H$5:H$100,$A152,'9f'!$I$5:$I$100)+SUMIF('9g'!H$5:H$100,$A152,'9g'!$I$5:$I$100)+SUMIF('9h'!H$5:H$100,$A152,'9h'!$I$5:$I$100)+SUMIF('9 TOTAL'!H$5:H$100,$A152,'9 TOTAL'!$I$5:$I$100)
+SUMIF('10'!H$5:H$100,$A152,'10'!$I$5:$I$100)+SUMIF('10a'!H$5:H$100,$A152,'10a'!$I$5:$I$100)+SUMIF('10b'!H$5:H$100,$A152,'10b'!$I$5:$I$100)+SUMIF('10c'!H$5:H$100,$A152,'10c'!$I$5:$I$100)+SUMIF('10d'!H$5:H$100,$A152,'10d'!$I$5:$I$100)+SUMIF('10e'!H$5:H$100,$A152,'10e'!$I$5:$I$100)+SUMIF('10f'!H$5:H$100,$A152,'10f'!$I$5:$I$100)+SUMIF('10g'!H$5:H$100,$A152,'10g'!$I$5:$I$100)+SUMIF('10h'!H$5:H$100,$A152,'10h'!$I$5:$I$100)+SUMIF('10i'!H$5:H$100,$A152,'10i'!$I$5:$I$100)+SUMIF('10j'!H$5:H$100,$A152,'10j'!$I$5:$I$100)+SUMIF('10k'!H$5:H$100,$A152,'10k'!$I$5:$I$100)+SUMIF('10l'!H$5:H$100,$A152,'10l'!$I$5:$I$100)+SUMIF('10m'!H$5:H$100,$A152,'10m'!$I$5:$I$100)+SUMIF('10 TOTAL'!H$5:H$100,$A152,'10 TOTAL'!$I$5:$I$100)</f>
        <v>0</v>
      </c>
      <c r="E152"/>
      <c r="F152"/>
      <c r="G152"/>
      <c r="H152"/>
      <c r="I152"/>
      <c r="J152"/>
      <c r="K152"/>
      <c r="L152"/>
      <c r="M152"/>
      <c r="N152"/>
      <c r="O152"/>
      <c r="P152"/>
      <c r="Q152"/>
      <c r="R152"/>
      <c r="S152" s="1307">
        <f t="shared" ref="S152:S215" si="2">SUM(C152:J152)</f>
        <v>0</v>
      </c>
      <c r="T152"/>
    </row>
    <row r="153" spans="1:20" ht="12.75" customHeight="1" outlineLevel="1" x14ac:dyDescent="0.2">
      <c r="A153" t="s">
        <v>3451</v>
      </c>
      <c r="B153" t="s">
        <v>5424</v>
      </c>
      <c r="C153" s="1291">
        <f>SUMIF('4'!H$8:H$100,$A153,'4'!$K$8:$K$100)+SUMIF('4a'!H$5:H$100,$A153,'4a'!$K$5:$K$100)+SUMIF('4b'!H$5:H$100,$A153,'4b'!$K$5:$K$100)+SUMIF('4c'!H$5:H$100,$A153,'4c'!$K$5:$K$100)+SUMIF('5'!H$5:H$100,$A153,'5'!$K$5:$K$100)+SUMIF('6'!H$5:H$100,$A153,'6'!$K$5:$K$100)+SUMIF('7'!H$5:H$100,$A153,'7'!$K$5:$K$100)+SUMIF('7a'!H$5:H$100,$A153,'7a'!$K$5:$K$100)+SUMIF('7b'!H$5:H$100,$A153,'7b'!$K$5:$K$100)+SUMIF('8'!H$5:H$100,$A153,'8'!$K$5:$K$100)+SUMIF('9'!H$5:H$100,$A153,'9'!$K$5:$K$100)+SUMIF('9a'!H$5:H$100,$A153,'9a'!$K$5:$K$100)+SUMIF('9b'!H$5:H$100,$A153,'9b'!$K$5:$K$100)+SUMIF('9c'!H$5:H$100,$A153,'9c'!$K$5:$K$100)+SUMIF('9d'!H$5:H$100,$A153,'9d'!$K$5:$K$100)+SUMIF('9e'!H$5:H$100,$A153,'9e'!$K$5:$K$100)+SUMIF('9f'!H$5:H$100,$A153,'9f'!$K$5:$K$100)+SUMIF('9g'!H$5:H$100,$A153,'9g'!$K$5:$K$100)+SUMIF('9h'!H$5:H$100,$A153,'9h'!$K$5:$K$100)+SUMIF('9 TOTAL'!H$5:H$100,$A153,'9 TOTAL'!$K$5:$K$100)
+SUMIF('10'!H$5:H$100,$A153,'10'!$K$5:$K$100)+SUMIF('10a'!H$5:H$100,$A153,'10a'!$K$5:$K$100)+SUMIF('10b'!H$5:H$100,$A153,'10b'!$K$5:$K$100)+SUMIF('10c'!H$5:H$100,$A153,'10c'!$K$5:$K$100)+SUMIF('10d'!H$5:H$100,$A153,'10d'!$K$5:$K$100)+SUMIF('10e'!H$5:H$100,$A153,'10e'!$K$5:$K$100)+SUMIF('10f'!H$5:H$100,$A153,'10f'!$K$5:$K$100)+SUMIF('10g'!H$5:H$100,$A153,'10g'!$K$5:$K$100)+SUMIF('10h'!H$5:H$100,$A153,'10h'!$K$5:$K$100)+SUMIF('10i'!H$5:H$100,$A153,'10i'!$K$5:$K$100)+SUMIF('10j'!H$5:H$100,$A153,'10j'!$K$5:$K$100)+SUMIF('10k'!H$5:H$100,$A153,'10k'!$K$5:$K$100)+SUMIF('10l'!H$5:H$100,$A153,'10l'!$K$5:$K$100)+SUMIF('10m'!H$5:H$100,$A153,'10m'!$K$5:$K$100)+SUMIF('10 TOTAL'!H$5:H$100,$A153,'10 TOTAL'!$K$5:$K$100)</f>
        <v>0</v>
      </c>
      <c r="D153" s="1291">
        <f>SUMIF('4'!H$8:H$100,$A153,'4'!$I$8:$I$100)+SUMIF('4a'!H$5:H$100,$A153,'4a'!$I$5:$I$100)+SUMIF('4b'!H$5:H$100,$A153,'4b'!$I$5:$I$100)+SUMIF('4c'!H$5:H$100,$A153,'4c'!$I$5:$I$100)+SUMIF('5'!H$5:H$100,$A153,'5'!$I$5:$I$100)+SUMIF('6'!H$5:H$100,$A153,'6'!$I$5:$I$100)+SUMIF('7'!H$5:H$100,$A153,'7'!$I$5:$I$100)+SUMIF('7a'!H$5:H$100,$A153,'7a'!$I$5:$I$100)+SUMIF('7b'!H$5:H$100,$A153,'7b'!$I$5:$I$100)+SUMIF('8'!H$5:H$100,$A153,'8'!$I$5:$I$100)+SUMIF('9'!H$5:H$100,$A153,'9'!$I$5:$I$100)+SUMIF('9a'!H$5:H$100,$A153,'9a'!$I$5:$I$100)+SUMIF('9b'!H$5:H$100,$A153,'9b'!$I$5:$I$100)+SUMIF('9c'!H$5:H$100,$A153,'9c'!$I$5:$I$100)+SUMIF('9d'!H$5:H$100,$A153,'9d'!$I$5:$I$100)+SUMIF('9e'!H$5:H$100,$A153,'9e'!$I$5:$I$100)+SUMIF('9f'!H$5:H$100,$A153,'9f'!$I$5:$I$100)+SUMIF('9g'!H$5:H$100,$A153,'9g'!$I$5:$I$100)+SUMIF('9h'!H$5:H$100,$A153,'9h'!$I$5:$I$100)+SUMIF('9 TOTAL'!H$5:H$100,$A153,'9 TOTAL'!$I$5:$I$100)
+SUMIF('10'!H$5:H$100,$A153,'10'!$I$5:$I$100)+SUMIF('10a'!H$5:H$100,$A153,'10a'!$I$5:$I$100)+SUMIF('10b'!H$5:H$100,$A153,'10b'!$I$5:$I$100)+SUMIF('10c'!H$5:H$100,$A153,'10c'!$I$5:$I$100)+SUMIF('10d'!H$5:H$100,$A153,'10d'!$I$5:$I$100)+SUMIF('10e'!H$5:H$100,$A153,'10e'!$I$5:$I$100)+SUMIF('10f'!H$5:H$100,$A153,'10f'!$I$5:$I$100)+SUMIF('10g'!H$5:H$100,$A153,'10g'!$I$5:$I$100)+SUMIF('10h'!H$5:H$100,$A153,'10h'!$I$5:$I$100)+SUMIF('10i'!H$5:H$100,$A153,'10i'!$I$5:$I$100)+SUMIF('10j'!H$5:H$100,$A153,'10j'!$I$5:$I$100)+SUMIF('10k'!H$5:H$100,$A153,'10k'!$I$5:$I$100)+SUMIF('10l'!H$5:H$100,$A153,'10l'!$I$5:$I$100)+SUMIF('10m'!H$5:H$100,$A153,'10m'!$I$5:$I$100)+SUMIF('10 TOTAL'!H$5:H$100,$A153,'10 TOTAL'!$I$5:$I$100)</f>
        <v>0</v>
      </c>
      <c r="E153"/>
      <c r="F153"/>
      <c r="G153"/>
      <c r="H153"/>
      <c r="I153"/>
      <c r="J153"/>
      <c r="K153"/>
      <c r="L153"/>
      <c r="M153"/>
      <c r="N153"/>
      <c r="O153"/>
      <c r="P153"/>
      <c r="Q153"/>
      <c r="R153"/>
      <c r="S153" s="1307">
        <f t="shared" si="2"/>
        <v>0</v>
      </c>
      <c r="T153"/>
    </row>
    <row r="154" spans="1:20" ht="12.75" customHeight="1" outlineLevel="1" x14ac:dyDescent="0.2">
      <c r="A154" t="s">
        <v>3453</v>
      </c>
      <c r="B154" t="s">
        <v>5424</v>
      </c>
      <c r="C154" s="1291">
        <f>SUMIF('4'!H$8:H$100,$A154,'4'!$K$8:$K$100)+SUMIF('4a'!H$5:H$100,$A154,'4a'!$K$5:$K$100)+SUMIF('4b'!H$5:H$100,$A154,'4b'!$K$5:$K$100)+SUMIF('4c'!H$5:H$100,$A154,'4c'!$K$5:$K$100)+SUMIF('5'!H$5:H$100,$A154,'5'!$K$5:$K$100)+SUMIF('6'!H$5:H$100,$A154,'6'!$K$5:$K$100)+SUMIF('7'!H$5:H$100,$A154,'7'!$K$5:$K$100)+SUMIF('7a'!H$5:H$100,$A154,'7a'!$K$5:$K$100)+SUMIF('7b'!H$5:H$100,$A154,'7b'!$K$5:$K$100)+SUMIF('8'!H$5:H$100,$A154,'8'!$K$5:$K$100)+SUMIF('9'!H$5:H$100,$A154,'9'!$K$5:$K$100)+SUMIF('9a'!H$5:H$100,$A154,'9a'!$K$5:$K$100)+SUMIF('9b'!H$5:H$100,$A154,'9b'!$K$5:$K$100)+SUMIF('9c'!H$5:H$100,$A154,'9c'!$K$5:$K$100)+SUMIF('9d'!H$5:H$100,$A154,'9d'!$K$5:$K$100)+SUMIF('9e'!H$5:H$100,$A154,'9e'!$K$5:$K$100)+SUMIF('9f'!H$5:H$100,$A154,'9f'!$K$5:$K$100)+SUMIF('9g'!H$5:H$100,$A154,'9g'!$K$5:$K$100)+SUMIF('9h'!H$5:H$100,$A154,'9h'!$K$5:$K$100)+SUMIF('9 TOTAL'!H$5:H$100,$A154,'9 TOTAL'!$K$5:$K$100)
+SUMIF('10'!H$5:H$100,$A154,'10'!$K$5:$K$100)+SUMIF('10a'!H$5:H$100,$A154,'10a'!$K$5:$K$100)+SUMIF('10b'!H$5:H$100,$A154,'10b'!$K$5:$K$100)+SUMIF('10c'!H$5:H$100,$A154,'10c'!$K$5:$K$100)+SUMIF('10d'!H$5:H$100,$A154,'10d'!$K$5:$K$100)+SUMIF('10e'!H$5:H$100,$A154,'10e'!$K$5:$K$100)+SUMIF('10f'!H$5:H$100,$A154,'10f'!$K$5:$K$100)+SUMIF('10g'!H$5:H$100,$A154,'10g'!$K$5:$K$100)+SUMIF('10h'!H$5:H$100,$A154,'10h'!$K$5:$K$100)+SUMIF('10i'!H$5:H$100,$A154,'10i'!$K$5:$K$100)+SUMIF('10j'!H$5:H$100,$A154,'10j'!$K$5:$K$100)+SUMIF('10k'!H$5:H$100,$A154,'10k'!$K$5:$K$100)+SUMIF('10l'!H$5:H$100,$A154,'10l'!$K$5:$K$100)+SUMIF('10m'!H$5:H$100,$A154,'10m'!$K$5:$K$100)+SUMIF('10 TOTAL'!H$5:H$100,$A154,'10 TOTAL'!$K$5:$K$100)</f>
        <v>0</v>
      </c>
      <c r="D154" s="1291">
        <f>SUMIF('4'!H$8:H$100,$A154,'4'!$I$8:$I$100)+SUMIF('4a'!H$5:H$100,$A154,'4a'!$I$5:$I$100)+SUMIF('4b'!H$5:H$100,$A154,'4b'!$I$5:$I$100)+SUMIF('4c'!H$5:H$100,$A154,'4c'!$I$5:$I$100)+SUMIF('5'!H$5:H$100,$A154,'5'!$I$5:$I$100)+SUMIF('6'!H$5:H$100,$A154,'6'!$I$5:$I$100)+SUMIF('7'!H$5:H$100,$A154,'7'!$I$5:$I$100)+SUMIF('7a'!H$5:H$100,$A154,'7a'!$I$5:$I$100)+SUMIF('7b'!H$5:H$100,$A154,'7b'!$I$5:$I$100)+SUMIF('8'!H$5:H$100,$A154,'8'!$I$5:$I$100)+SUMIF('9'!H$5:H$100,$A154,'9'!$I$5:$I$100)+SUMIF('9a'!H$5:H$100,$A154,'9a'!$I$5:$I$100)+SUMIF('9b'!H$5:H$100,$A154,'9b'!$I$5:$I$100)+SUMIF('9c'!H$5:H$100,$A154,'9c'!$I$5:$I$100)+SUMIF('9d'!H$5:H$100,$A154,'9d'!$I$5:$I$100)+SUMIF('9e'!H$5:H$100,$A154,'9e'!$I$5:$I$100)+SUMIF('9f'!H$5:H$100,$A154,'9f'!$I$5:$I$100)+SUMIF('9g'!H$5:H$100,$A154,'9g'!$I$5:$I$100)+SUMIF('9h'!H$5:H$100,$A154,'9h'!$I$5:$I$100)+SUMIF('9 TOTAL'!H$5:H$100,$A154,'9 TOTAL'!$I$5:$I$100)
+SUMIF('10'!H$5:H$100,$A154,'10'!$I$5:$I$100)+SUMIF('10a'!H$5:H$100,$A154,'10a'!$I$5:$I$100)+SUMIF('10b'!H$5:H$100,$A154,'10b'!$I$5:$I$100)+SUMIF('10c'!H$5:H$100,$A154,'10c'!$I$5:$I$100)+SUMIF('10d'!H$5:H$100,$A154,'10d'!$I$5:$I$100)+SUMIF('10e'!H$5:H$100,$A154,'10e'!$I$5:$I$100)+SUMIF('10f'!H$5:H$100,$A154,'10f'!$I$5:$I$100)+SUMIF('10g'!H$5:H$100,$A154,'10g'!$I$5:$I$100)+SUMIF('10h'!H$5:H$100,$A154,'10h'!$I$5:$I$100)+SUMIF('10i'!H$5:H$100,$A154,'10i'!$I$5:$I$100)+SUMIF('10j'!H$5:H$100,$A154,'10j'!$I$5:$I$100)+SUMIF('10k'!H$5:H$100,$A154,'10k'!$I$5:$I$100)+SUMIF('10l'!H$5:H$100,$A154,'10l'!$I$5:$I$100)+SUMIF('10m'!H$5:H$100,$A154,'10m'!$I$5:$I$100)+SUMIF('10 TOTAL'!H$5:H$100,$A154,'10 TOTAL'!$I$5:$I$100)</f>
        <v>0</v>
      </c>
      <c r="E154"/>
      <c r="F154"/>
      <c r="G154"/>
      <c r="H154"/>
      <c r="I154"/>
      <c r="J154"/>
      <c r="K154"/>
      <c r="L154"/>
      <c r="M154"/>
      <c r="N154"/>
      <c r="O154"/>
      <c r="P154"/>
      <c r="Q154"/>
      <c r="R154"/>
      <c r="S154" s="1307">
        <f t="shared" si="2"/>
        <v>0</v>
      </c>
      <c r="T154"/>
    </row>
    <row r="155" spans="1:20" ht="12.75" customHeight="1" outlineLevel="1" x14ac:dyDescent="0.2">
      <c r="A155" t="s">
        <v>3455</v>
      </c>
      <c r="B155" t="s">
        <v>5424</v>
      </c>
      <c r="C155" s="1291">
        <f>SUMIF('4'!H$8:H$100,$A155,'4'!$K$8:$K$100)+SUMIF('4a'!H$5:H$100,$A155,'4a'!$K$5:$K$100)+SUMIF('4b'!H$5:H$100,$A155,'4b'!$K$5:$K$100)+SUMIF('4c'!H$5:H$100,$A155,'4c'!$K$5:$K$100)+SUMIF('5'!H$5:H$100,$A155,'5'!$K$5:$K$100)+SUMIF('6'!H$5:H$100,$A155,'6'!$K$5:$K$100)+SUMIF('7'!H$5:H$100,$A155,'7'!$K$5:$K$100)+SUMIF('7a'!H$5:H$100,$A155,'7a'!$K$5:$K$100)+SUMIF('7b'!H$5:H$100,$A155,'7b'!$K$5:$K$100)+SUMIF('8'!H$5:H$100,$A155,'8'!$K$5:$K$100)+SUMIF('9'!H$5:H$100,$A155,'9'!$K$5:$K$100)+SUMIF('9a'!H$5:H$100,$A155,'9a'!$K$5:$K$100)+SUMIF('9b'!H$5:H$100,$A155,'9b'!$K$5:$K$100)+SUMIF('9c'!H$5:H$100,$A155,'9c'!$K$5:$K$100)+SUMIF('9d'!H$5:H$100,$A155,'9d'!$K$5:$K$100)+SUMIF('9e'!H$5:H$100,$A155,'9e'!$K$5:$K$100)+SUMIF('9f'!H$5:H$100,$A155,'9f'!$K$5:$K$100)+SUMIF('9g'!H$5:H$100,$A155,'9g'!$K$5:$K$100)+SUMIF('9h'!H$5:H$100,$A155,'9h'!$K$5:$K$100)+SUMIF('9 TOTAL'!H$5:H$100,$A155,'9 TOTAL'!$K$5:$K$100)
+SUMIF('10'!H$5:H$100,$A155,'10'!$K$5:$K$100)+SUMIF('10a'!H$5:H$100,$A155,'10a'!$K$5:$K$100)+SUMIF('10b'!H$5:H$100,$A155,'10b'!$K$5:$K$100)+SUMIF('10c'!H$5:H$100,$A155,'10c'!$K$5:$K$100)+SUMIF('10d'!H$5:H$100,$A155,'10d'!$K$5:$K$100)+SUMIF('10e'!H$5:H$100,$A155,'10e'!$K$5:$K$100)+SUMIF('10f'!H$5:H$100,$A155,'10f'!$K$5:$K$100)+SUMIF('10g'!H$5:H$100,$A155,'10g'!$K$5:$K$100)+SUMIF('10h'!H$5:H$100,$A155,'10h'!$K$5:$K$100)+SUMIF('10i'!H$5:H$100,$A155,'10i'!$K$5:$K$100)+SUMIF('10j'!H$5:H$100,$A155,'10j'!$K$5:$K$100)+SUMIF('10k'!H$5:H$100,$A155,'10k'!$K$5:$K$100)+SUMIF('10l'!H$5:H$100,$A155,'10l'!$K$5:$K$100)+SUMIF('10m'!H$5:H$100,$A155,'10m'!$K$5:$K$100)+SUMIF('10 TOTAL'!H$5:H$100,$A155,'10 TOTAL'!$K$5:$K$100)</f>
        <v>0</v>
      </c>
      <c r="D155" s="1291">
        <f>SUMIF('4'!H$8:H$100,$A155,'4'!$I$8:$I$100)+SUMIF('4a'!H$5:H$100,$A155,'4a'!$I$5:$I$100)+SUMIF('4b'!H$5:H$100,$A155,'4b'!$I$5:$I$100)+SUMIF('4c'!H$5:H$100,$A155,'4c'!$I$5:$I$100)+SUMIF('5'!H$5:H$100,$A155,'5'!$I$5:$I$100)+SUMIF('6'!H$5:H$100,$A155,'6'!$I$5:$I$100)+SUMIF('7'!H$5:H$100,$A155,'7'!$I$5:$I$100)+SUMIF('7a'!H$5:H$100,$A155,'7a'!$I$5:$I$100)+SUMIF('7b'!H$5:H$100,$A155,'7b'!$I$5:$I$100)+SUMIF('8'!H$5:H$100,$A155,'8'!$I$5:$I$100)+SUMIF('9'!H$5:H$100,$A155,'9'!$I$5:$I$100)+SUMIF('9a'!H$5:H$100,$A155,'9a'!$I$5:$I$100)+SUMIF('9b'!H$5:H$100,$A155,'9b'!$I$5:$I$100)+SUMIF('9c'!H$5:H$100,$A155,'9c'!$I$5:$I$100)+SUMIF('9d'!H$5:H$100,$A155,'9d'!$I$5:$I$100)+SUMIF('9e'!H$5:H$100,$A155,'9e'!$I$5:$I$100)+SUMIF('9f'!H$5:H$100,$A155,'9f'!$I$5:$I$100)+SUMIF('9g'!H$5:H$100,$A155,'9g'!$I$5:$I$100)+SUMIF('9h'!H$5:H$100,$A155,'9h'!$I$5:$I$100)+SUMIF('9 TOTAL'!H$5:H$100,$A155,'9 TOTAL'!$I$5:$I$100)
+SUMIF('10'!H$5:H$100,$A155,'10'!$I$5:$I$100)+SUMIF('10a'!H$5:H$100,$A155,'10a'!$I$5:$I$100)+SUMIF('10b'!H$5:H$100,$A155,'10b'!$I$5:$I$100)+SUMIF('10c'!H$5:H$100,$A155,'10c'!$I$5:$I$100)+SUMIF('10d'!H$5:H$100,$A155,'10d'!$I$5:$I$100)+SUMIF('10e'!H$5:H$100,$A155,'10e'!$I$5:$I$100)+SUMIF('10f'!H$5:H$100,$A155,'10f'!$I$5:$I$100)+SUMIF('10g'!H$5:H$100,$A155,'10g'!$I$5:$I$100)+SUMIF('10h'!H$5:H$100,$A155,'10h'!$I$5:$I$100)+SUMIF('10i'!H$5:H$100,$A155,'10i'!$I$5:$I$100)+SUMIF('10j'!H$5:H$100,$A155,'10j'!$I$5:$I$100)+SUMIF('10k'!H$5:H$100,$A155,'10k'!$I$5:$I$100)+SUMIF('10l'!H$5:H$100,$A155,'10l'!$I$5:$I$100)+SUMIF('10m'!H$5:H$100,$A155,'10m'!$I$5:$I$100)+SUMIF('10 TOTAL'!H$5:H$100,$A155,'10 TOTAL'!$I$5:$I$100)</f>
        <v>0</v>
      </c>
      <c r="E155"/>
      <c r="F155"/>
      <c r="G155"/>
      <c r="H155"/>
      <c r="I155"/>
      <c r="J155"/>
      <c r="K155"/>
      <c r="L155"/>
      <c r="M155"/>
      <c r="N155"/>
      <c r="O155"/>
      <c r="P155"/>
      <c r="Q155"/>
      <c r="R155"/>
      <c r="S155" s="1307">
        <f t="shared" si="2"/>
        <v>0</v>
      </c>
      <c r="T155"/>
    </row>
    <row r="156" spans="1:20" ht="12.75" customHeight="1" outlineLevel="1" x14ac:dyDescent="0.2">
      <c r="A156" t="s">
        <v>3457</v>
      </c>
      <c r="B156" t="s">
        <v>5424</v>
      </c>
      <c r="C156" s="1291">
        <f>SUMIF('4'!H$8:H$100,$A156,'4'!$K$8:$K$100)+SUMIF('4a'!H$5:H$100,$A156,'4a'!$K$5:$K$100)+SUMIF('4b'!H$5:H$100,$A156,'4b'!$K$5:$K$100)+SUMIF('4c'!H$5:H$100,$A156,'4c'!$K$5:$K$100)+SUMIF('5'!H$5:H$100,$A156,'5'!$K$5:$K$100)+SUMIF('6'!H$5:H$100,$A156,'6'!$K$5:$K$100)+SUMIF('7'!H$5:H$100,$A156,'7'!$K$5:$K$100)+SUMIF('7a'!H$5:H$100,$A156,'7a'!$K$5:$K$100)+SUMIF('7b'!H$5:H$100,$A156,'7b'!$K$5:$K$100)+SUMIF('8'!H$5:H$100,$A156,'8'!$K$5:$K$100)+SUMIF('9'!H$5:H$100,$A156,'9'!$K$5:$K$100)+SUMIF('9a'!H$5:H$100,$A156,'9a'!$K$5:$K$100)+SUMIF('9b'!H$5:H$100,$A156,'9b'!$K$5:$K$100)+SUMIF('9c'!H$5:H$100,$A156,'9c'!$K$5:$K$100)+SUMIF('9d'!H$5:H$100,$A156,'9d'!$K$5:$K$100)+SUMIF('9e'!H$5:H$100,$A156,'9e'!$K$5:$K$100)+SUMIF('9f'!H$5:H$100,$A156,'9f'!$K$5:$K$100)+SUMIF('9g'!H$5:H$100,$A156,'9g'!$K$5:$K$100)+SUMIF('9h'!H$5:H$100,$A156,'9h'!$K$5:$K$100)+SUMIF('9 TOTAL'!H$5:H$100,$A156,'9 TOTAL'!$K$5:$K$100)
+SUMIF('10'!H$5:H$100,$A156,'10'!$K$5:$K$100)+SUMIF('10a'!H$5:H$100,$A156,'10a'!$K$5:$K$100)+SUMIF('10b'!H$5:H$100,$A156,'10b'!$K$5:$K$100)+SUMIF('10c'!H$5:H$100,$A156,'10c'!$K$5:$K$100)+SUMIF('10d'!H$5:H$100,$A156,'10d'!$K$5:$K$100)+SUMIF('10e'!H$5:H$100,$A156,'10e'!$K$5:$K$100)+SUMIF('10f'!H$5:H$100,$A156,'10f'!$K$5:$K$100)+SUMIF('10g'!H$5:H$100,$A156,'10g'!$K$5:$K$100)+SUMIF('10h'!H$5:H$100,$A156,'10h'!$K$5:$K$100)+SUMIF('10i'!H$5:H$100,$A156,'10i'!$K$5:$K$100)+SUMIF('10j'!H$5:H$100,$A156,'10j'!$K$5:$K$100)+SUMIF('10k'!H$5:H$100,$A156,'10k'!$K$5:$K$100)+SUMIF('10l'!H$5:H$100,$A156,'10l'!$K$5:$K$100)+SUMIF('10m'!H$5:H$100,$A156,'10m'!$K$5:$K$100)+SUMIF('10 TOTAL'!H$5:H$100,$A156,'10 TOTAL'!$K$5:$K$100)</f>
        <v>0</v>
      </c>
      <c r="D156" s="1291">
        <f>SUMIF('4'!H$8:H$100,$A156,'4'!$I$8:$I$100)+SUMIF('4a'!H$5:H$100,$A156,'4a'!$I$5:$I$100)+SUMIF('4b'!H$5:H$100,$A156,'4b'!$I$5:$I$100)+SUMIF('4c'!H$5:H$100,$A156,'4c'!$I$5:$I$100)+SUMIF('5'!H$5:H$100,$A156,'5'!$I$5:$I$100)+SUMIF('6'!H$5:H$100,$A156,'6'!$I$5:$I$100)+SUMIF('7'!H$5:H$100,$A156,'7'!$I$5:$I$100)+SUMIF('7a'!H$5:H$100,$A156,'7a'!$I$5:$I$100)+SUMIF('7b'!H$5:H$100,$A156,'7b'!$I$5:$I$100)+SUMIF('8'!H$5:H$100,$A156,'8'!$I$5:$I$100)+SUMIF('9'!H$5:H$100,$A156,'9'!$I$5:$I$100)+SUMIF('9a'!H$5:H$100,$A156,'9a'!$I$5:$I$100)+SUMIF('9b'!H$5:H$100,$A156,'9b'!$I$5:$I$100)+SUMIF('9c'!H$5:H$100,$A156,'9c'!$I$5:$I$100)+SUMIF('9d'!H$5:H$100,$A156,'9d'!$I$5:$I$100)+SUMIF('9e'!H$5:H$100,$A156,'9e'!$I$5:$I$100)+SUMIF('9f'!H$5:H$100,$A156,'9f'!$I$5:$I$100)+SUMIF('9g'!H$5:H$100,$A156,'9g'!$I$5:$I$100)+SUMIF('9h'!H$5:H$100,$A156,'9h'!$I$5:$I$100)+SUMIF('9 TOTAL'!H$5:H$100,$A156,'9 TOTAL'!$I$5:$I$100)
+SUMIF('10'!H$5:H$100,$A156,'10'!$I$5:$I$100)+SUMIF('10a'!H$5:H$100,$A156,'10a'!$I$5:$I$100)+SUMIF('10b'!H$5:H$100,$A156,'10b'!$I$5:$I$100)+SUMIF('10c'!H$5:H$100,$A156,'10c'!$I$5:$I$100)+SUMIF('10d'!H$5:H$100,$A156,'10d'!$I$5:$I$100)+SUMIF('10e'!H$5:H$100,$A156,'10e'!$I$5:$I$100)+SUMIF('10f'!H$5:H$100,$A156,'10f'!$I$5:$I$100)+SUMIF('10g'!H$5:H$100,$A156,'10g'!$I$5:$I$100)+SUMIF('10h'!H$5:H$100,$A156,'10h'!$I$5:$I$100)+SUMIF('10i'!H$5:H$100,$A156,'10i'!$I$5:$I$100)+SUMIF('10j'!H$5:H$100,$A156,'10j'!$I$5:$I$100)+SUMIF('10k'!H$5:H$100,$A156,'10k'!$I$5:$I$100)+SUMIF('10l'!H$5:H$100,$A156,'10l'!$I$5:$I$100)+SUMIF('10m'!H$5:H$100,$A156,'10m'!$I$5:$I$100)+SUMIF('10 TOTAL'!H$5:H$100,$A156,'10 TOTAL'!$I$5:$I$100)</f>
        <v>0</v>
      </c>
      <c r="E156"/>
      <c r="F156"/>
      <c r="G156"/>
      <c r="H156"/>
      <c r="I156"/>
      <c r="J156"/>
      <c r="K156"/>
      <c r="L156"/>
      <c r="M156"/>
      <c r="N156"/>
      <c r="O156"/>
      <c r="P156"/>
      <c r="Q156"/>
      <c r="R156"/>
      <c r="S156" s="1307">
        <f t="shared" si="2"/>
        <v>0</v>
      </c>
      <c r="T156"/>
    </row>
    <row r="157" spans="1:20" ht="12.75" customHeight="1" outlineLevel="1" x14ac:dyDescent="0.2">
      <c r="A157" t="s">
        <v>3459</v>
      </c>
      <c r="B157" t="s">
        <v>5424</v>
      </c>
      <c r="C157" s="1291">
        <f>SUMIF('4'!H$8:H$100,$A157,'4'!$K$8:$K$100)+SUMIF('4a'!H$5:H$100,$A157,'4a'!$K$5:$K$100)+SUMIF('4b'!H$5:H$100,$A157,'4b'!$K$5:$K$100)+SUMIF('4c'!H$5:H$100,$A157,'4c'!$K$5:$K$100)+SUMIF('5'!H$5:H$100,$A157,'5'!$K$5:$K$100)+SUMIF('6'!H$5:H$100,$A157,'6'!$K$5:$K$100)+SUMIF('7'!H$5:H$100,$A157,'7'!$K$5:$K$100)+SUMIF('7a'!H$5:H$100,$A157,'7a'!$K$5:$K$100)+SUMIF('7b'!H$5:H$100,$A157,'7b'!$K$5:$K$100)+SUMIF('8'!H$5:H$100,$A157,'8'!$K$5:$K$100)+SUMIF('9'!H$5:H$100,$A157,'9'!$K$5:$K$100)+SUMIF('9a'!H$5:H$100,$A157,'9a'!$K$5:$K$100)+SUMIF('9b'!H$5:H$100,$A157,'9b'!$K$5:$K$100)+SUMIF('9c'!H$5:H$100,$A157,'9c'!$K$5:$K$100)+SUMIF('9d'!H$5:H$100,$A157,'9d'!$K$5:$K$100)+SUMIF('9e'!H$5:H$100,$A157,'9e'!$K$5:$K$100)+SUMIF('9f'!H$5:H$100,$A157,'9f'!$K$5:$K$100)+SUMIF('9g'!H$5:H$100,$A157,'9g'!$K$5:$K$100)+SUMIF('9h'!H$5:H$100,$A157,'9h'!$K$5:$K$100)+SUMIF('9 TOTAL'!H$5:H$100,$A157,'9 TOTAL'!$K$5:$K$100)
+SUMIF('10'!H$5:H$100,$A157,'10'!$K$5:$K$100)+SUMIF('10a'!H$5:H$100,$A157,'10a'!$K$5:$K$100)+SUMIF('10b'!H$5:H$100,$A157,'10b'!$K$5:$K$100)+SUMIF('10c'!H$5:H$100,$A157,'10c'!$K$5:$K$100)+SUMIF('10d'!H$5:H$100,$A157,'10d'!$K$5:$K$100)+SUMIF('10e'!H$5:H$100,$A157,'10e'!$K$5:$K$100)+SUMIF('10f'!H$5:H$100,$A157,'10f'!$K$5:$K$100)+SUMIF('10g'!H$5:H$100,$A157,'10g'!$K$5:$K$100)+SUMIF('10h'!H$5:H$100,$A157,'10h'!$K$5:$K$100)+SUMIF('10i'!H$5:H$100,$A157,'10i'!$K$5:$K$100)+SUMIF('10j'!H$5:H$100,$A157,'10j'!$K$5:$K$100)+SUMIF('10k'!H$5:H$100,$A157,'10k'!$K$5:$K$100)+SUMIF('10l'!H$5:H$100,$A157,'10l'!$K$5:$K$100)+SUMIF('10m'!H$5:H$100,$A157,'10m'!$K$5:$K$100)+SUMIF('10 TOTAL'!H$5:H$100,$A157,'10 TOTAL'!$K$5:$K$100)</f>
        <v>0</v>
      </c>
      <c r="D157" s="1291">
        <f>SUMIF('4'!H$8:H$100,$A157,'4'!$I$8:$I$100)+SUMIF('4a'!H$5:H$100,$A157,'4a'!$I$5:$I$100)+SUMIF('4b'!H$5:H$100,$A157,'4b'!$I$5:$I$100)+SUMIF('4c'!H$5:H$100,$A157,'4c'!$I$5:$I$100)+SUMIF('5'!H$5:H$100,$A157,'5'!$I$5:$I$100)+SUMIF('6'!H$5:H$100,$A157,'6'!$I$5:$I$100)+SUMIF('7'!H$5:H$100,$A157,'7'!$I$5:$I$100)+SUMIF('7a'!H$5:H$100,$A157,'7a'!$I$5:$I$100)+SUMIF('7b'!H$5:H$100,$A157,'7b'!$I$5:$I$100)+SUMIF('8'!H$5:H$100,$A157,'8'!$I$5:$I$100)+SUMIF('9'!H$5:H$100,$A157,'9'!$I$5:$I$100)+SUMIF('9a'!H$5:H$100,$A157,'9a'!$I$5:$I$100)+SUMIF('9b'!H$5:H$100,$A157,'9b'!$I$5:$I$100)+SUMIF('9c'!H$5:H$100,$A157,'9c'!$I$5:$I$100)+SUMIF('9d'!H$5:H$100,$A157,'9d'!$I$5:$I$100)+SUMIF('9e'!H$5:H$100,$A157,'9e'!$I$5:$I$100)+SUMIF('9f'!H$5:H$100,$A157,'9f'!$I$5:$I$100)+SUMIF('9g'!H$5:H$100,$A157,'9g'!$I$5:$I$100)+SUMIF('9h'!H$5:H$100,$A157,'9h'!$I$5:$I$100)+SUMIF('9 TOTAL'!H$5:H$100,$A157,'9 TOTAL'!$I$5:$I$100)
+SUMIF('10'!H$5:H$100,$A157,'10'!$I$5:$I$100)+SUMIF('10a'!H$5:H$100,$A157,'10a'!$I$5:$I$100)+SUMIF('10b'!H$5:H$100,$A157,'10b'!$I$5:$I$100)+SUMIF('10c'!H$5:H$100,$A157,'10c'!$I$5:$I$100)+SUMIF('10d'!H$5:H$100,$A157,'10d'!$I$5:$I$100)+SUMIF('10e'!H$5:H$100,$A157,'10e'!$I$5:$I$100)+SUMIF('10f'!H$5:H$100,$A157,'10f'!$I$5:$I$100)+SUMIF('10g'!H$5:H$100,$A157,'10g'!$I$5:$I$100)+SUMIF('10h'!H$5:H$100,$A157,'10h'!$I$5:$I$100)+SUMIF('10i'!H$5:H$100,$A157,'10i'!$I$5:$I$100)+SUMIF('10j'!H$5:H$100,$A157,'10j'!$I$5:$I$100)+SUMIF('10k'!H$5:H$100,$A157,'10k'!$I$5:$I$100)+SUMIF('10l'!H$5:H$100,$A157,'10l'!$I$5:$I$100)+SUMIF('10m'!H$5:H$100,$A157,'10m'!$I$5:$I$100)+SUMIF('10 TOTAL'!H$5:H$100,$A157,'10 TOTAL'!$I$5:$I$100)</f>
        <v>0</v>
      </c>
      <c r="E157"/>
      <c r="F157"/>
      <c r="G157"/>
      <c r="H157"/>
      <c r="I157"/>
      <c r="J157"/>
      <c r="K157"/>
      <c r="L157"/>
      <c r="M157"/>
      <c r="N157"/>
      <c r="O157"/>
      <c r="P157"/>
      <c r="Q157"/>
      <c r="R157"/>
      <c r="S157" s="1307">
        <f t="shared" si="2"/>
        <v>0</v>
      </c>
      <c r="T157"/>
    </row>
    <row r="158" spans="1:20" outlineLevel="1" x14ac:dyDescent="0.2">
      <c r="A158" t="s">
        <v>3461</v>
      </c>
      <c r="B158" t="s">
        <v>5424</v>
      </c>
      <c r="C158" s="1291">
        <f>SUMIF('4'!H$8:H$100,$A158,'4'!$K$8:$K$100)+SUMIF('4a'!H$5:H$100,$A158,'4a'!$K$5:$K$100)+SUMIF('4b'!H$5:H$100,$A158,'4b'!$K$5:$K$100)+SUMIF('4c'!H$5:H$100,$A158,'4c'!$K$5:$K$100)+SUMIF('5'!H$5:H$100,$A158,'5'!$K$5:$K$100)+SUMIF('6'!H$5:H$100,$A158,'6'!$K$5:$K$100)+SUMIF('7'!H$5:H$100,$A158,'7'!$K$5:$K$100)+SUMIF('7a'!H$5:H$100,$A158,'7a'!$K$5:$K$100)+SUMIF('7b'!H$5:H$100,$A158,'7b'!$K$5:$K$100)+SUMIF('8'!H$5:H$100,$A158,'8'!$K$5:$K$100)+SUMIF('9'!H$5:H$100,$A158,'9'!$K$5:$K$100)+SUMIF('9a'!H$5:H$100,$A158,'9a'!$K$5:$K$100)+SUMIF('9b'!H$5:H$100,$A158,'9b'!$K$5:$K$100)+SUMIF('9c'!H$5:H$100,$A158,'9c'!$K$5:$K$100)+SUMIF('9d'!H$5:H$100,$A158,'9d'!$K$5:$K$100)+SUMIF('9e'!H$5:H$100,$A158,'9e'!$K$5:$K$100)+SUMIF('9f'!H$5:H$100,$A158,'9f'!$K$5:$K$100)+SUMIF('9g'!H$5:H$100,$A158,'9g'!$K$5:$K$100)+SUMIF('9h'!H$5:H$100,$A158,'9h'!$K$5:$K$100)+SUMIF('9 TOTAL'!H$5:H$100,$A158,'9 TOTAL'!$K$5:$K$100)
+SUMIF('10'!H$5:H$100,$A158,'10'!$K$5:$K$100)+SUMIF('10a'!H$5:H$100,$A158,'10a'!$K$5:$K$100)+SUMIF('10b'!H$5:H$100,$A158,'10b'!$K$5:$K$100)+SUMIF('10c'!H$5:H$100,$A158,'10c'!$K$5:$K$100)+SUMIF('10d'!H$5:H$100,$A158,'10d'!$K$5:$K$100)+SUMIF('10e'!H$5:H$100,$A158,'10e'!$K$5:$K$100)+SUMIF('10f'!H$5:H$100,$A158,'10f'!$K$5:$K$100)+SUMIF('10g'!H$5:H$100,$A158,'10g'!$K$5:$K$100)+SUMIF('10h'!H$5:H$100,$A158,'10h'!$K$5:$K$100)+SUMIF('10i'!H$5:H$100,$A158,'10i'!$K$5:$K$100)+SUMIF('10j'!H$5:H$100,$A158,'10j'!$K$5:$K$100)+SUMIF('10k'!H$5:H$100,$A158,'10k'!$K$5:$K$100)+SUMIF('10l'!H$5:H$100,$A158,'10l'!$K$5:$K$100)+SUMIF('10m'!H$5:H$100,$A158,'10m'!$K$5:$K$100)+SUMIF('10 TOTAL'!H$5:H$100,$A158,'10 TOTAL'!$K$5:$K$100)</f>
        <v>0</v>
      </c>
      <c r="D158" s="1291">
        <f>SUMIF('4'!H$8:H$100,$A158,'4'!$I$8:$I$100)+SUMIF('4a'!H$5:H$100,$A158,'4a'!$I$5:$I$100)+SUMIF('4b'!H$5:H$100,$A158,'4b'!$I$5:$I$100)+SUMIF('4c'!H$5:H$100,$A158,'4c'!$I$5:$I$100)+SUMIF('5'!H$5:H$100,$A158,'5'!$I$5:$I$100)+SUMIF('6'!H$5:H$100,$A158,'6'!$I$5:$I$100)+SUMIF('7'!H$5:H$100,$A158,'7'!$I$5:$I$100)+SUMIF('7a'!H$5:H$100,$A158,'7a'!$I$5:$I$100)+SUMIF('7b'!H$5:H$100,$A158,'7b'!$I$5:$I$100)+SUMIF('8'!H$5:H$100,$A158,'8'!$I$5:$I$100)+SUMIF('9'!H$5:H$100,$A158,'9'!$I$5:$I$100)+SUMIF('9a'!H$5:H$100,$A158,'9a'!$I$5:$I$100)+SUMIF('9b'!H$5:H$100,$A158,'9b'!$I$5:$I$100)+SUMIF('9c'!H$5:H$100,$A158,'9c'!$I$5:$I$100)+SUMIF('9d'!H$5:H$100,$A158,'9d'!$I$5:$I$100)+SUMIF('9e'!H$5:H$100,$A158,'9e'!$I$5:$I$100)+SUMIF('9f'!H$5:H$100,$A158,'9f'!$I$5:$I$100)+SUMIF('9g'!H$5:H$100,$A158,'9g'!$I$5:$I$100)+SUMIF('9h'!H$5:H$100,$A158,'9h'!$I$5:$I$100)+SUMIF('9 TOTAL'!H$5:H$100,$A158,'9 TOTAL'!$I$5:$I$100)
+SUMIF('10'!H$5:H$100,$A158,'10'!$I$5:$I$100)+SUMIF('10a'!H$5:H$100,$A158,'10a'!$I$5:$I$100)+SUMIF('10b'!H$5:H$100,$A158,'10b'!$I$5:$I$100)+SUMIF('10c'!H$5:H$100,$A158,'10c'!$I$5:$I$100)+SUMIF('10d'!H$5:H$100,$A158,'10d'!$I$5:$I$100)+SUMIF('10e'!H$5:H$100,$A158,'10e'!$I$5:$I$100)+SUMIF('10f'!H$5:H$100,$A158,'10f'!$I$5:$I$100)+SUMIF('10g'!H$5:H$100,$A158,'10g'!$I$5:$I$100)+SUMIF('10h'!H$5:H$100,$A158,'10h'!$I$5:$I$100)+SUMIF('10i'!H$5:H$100,$A158,'10i'!$I$5:$I$100)+SUMIF('10j'!H$5:H$100,$A158,'10j'!$I$5:$I$100)+SUMIF('10k'!H$5:H$100,$A158,'10k'!$I$5:$I$100)+SUMIF('10l'!H$5:H$100,$A158,'10l'!$I$5:$I$100)+SUMIF('10m'!H$5:H$100,$A158,'10m'!$I$5:$I$100)+SUMIF('10 TOTAL'!H$5:H$100,$A158,'10 TOTAL'!$I$5:$I$100)</f>
        <v>0</v>
      </c>
      <c r="E158"/>
      <c r="F158"/>
      <c r="G158"/>
      <c r="H158"/>
      <c r="I158"/>
      <c r="J158"/>
      <c r="K158"/>
      <c r="L158"/>
      <c r="M158"/>
      <c r="N158"/>
      <c r="O158"/>
      <c r="P158"/>
      <c r="Q158"/>
      <c r="R158"/>
      <c r="S158" s="1307">
        <f t="shared" si="2"/>
        <v>0</v>
      </c>
      <c r="T158"/>
    </row>
    <row r="159" spans="1:20" outlineLevel="1" x14ac:dyDescent="0.2">
      <c r="A159" t="s">
        <v>3463</v>
      </c>
      <c r="B159" t="s">
        <v>5424</v>
      </c>
      <c r="C159" s="1291">
        <f>SUMIF('4'!H$8:H$100,$A159,'4'!$K$8:$K$100)+SUMIF('4a'!H$5:H$100,$A159,'4a'!$K$5:$K$100)+SUMIF('4b'!H$5:H$100,$A159,'4b'!$K$5:$K$100)+SUMIF('4c'!H$5:H$100,$A159,'4c'!$K$5:$K$100)+SUMIF('5'!H$5:H$100,$A159,'5'!$K$5:$K$100)+SUMIF('6'!H$5:H$100,$A159,'6'!$K$5:$K$100)+SUMIF('7'!H$5:H$100,$A159,'7'!$K$5:$K$100)+SUMIF('7a'!H$5:H$100,$A159,'7a'!$K$5:$K$100)+SUMIF('7b'!H$5:H$100,$A159,'7b'!$K$5:$K$100)+SUMIF('8'!H$5:H$100,$A159,'8'!$K$5:$K$100)+SUMIF('9'!H$5:H$100,$A159,'9'!$K$5:$K$100)+SUMIF('9a'!H$5:H$100,$A159,'9a'!$K$5:$K$100)+SUMIF('9b'!H$5:H$100,$A159,'9b'!$K$5:$K$100)+SUMIF('9c'!H$5:H$100,$A159,'9c'!$K$5:$K$100)+SUMIF('9d'!H$5:H$100,$A159,'9d'!$K$5:$K$100)+SUMIF('9e'!H$5:H$100,$A159,'9e'!$K$5:$K$100)+SUMIF('9f'!H$5:H$100,$A159,'9f'!$K$5:$K$100)+SUMIF('9g'!H$5:H$100,$A159,'9g'!$K$5:$K$100)+SUMIF('9h'!H$5:H$100,$A159,'9h'!$K$5:$K$100)+SUMIF('9 TOTAL'!H$5:H$100,$A159,'9 TOTAL'!$K$5:$K$100)
+SUMIF('10'!H$5:H$100,$A159,'10'!$K$5:$K$100)+SUMIF('10a'!H$5:H$100,$A159,'10a'!$K$5:$K$100)+SUMIF('10b'!H$5:H$100,$A159,'10b'!$K$5:$K$100)+SUMIF('10c'!H$5:H$100,$A159,'10c'!$K$5:$K$100)+SUMIF('10d'!H$5:H$100,$A159,'10d'!$K$5:$K$100)+SUMIF('10e'!H$5:H$100,$A159,'10e'!$K$5:$K$100)+SUMIF('10f'!H$5:H$100,$A159,'10f'!$K$5:$K$100)+SUMIF('10g'!H$5:H$100,$A159,'10g'!$K$5:$K$100)+SUMIF('10h'!H$5:H$100,$A159,'10h'!$K$5:$K$100)+SUMIF('10i'!H$5:H$100,$A159,'10i'!$K$5:$K$100)+SUMIF('10j'!H$5:H$100,$A159,'10j'!$K$5:$K$100)+SUMIF('10k'!H$5:H$100,$A159,'10k'!$K$5:$K$100)+SUMIF('10l'!H$5:H$100,$A159,'10l'!$K$5:$K$100)+SUMIF('10m'!H$5:H$100,$A159,'10m'!$K$5:$K$100)+SUMIF('10 TOTAL'!H$5:H$100,$A159,'10 TOTAL'!$K$5:$K$100)</f>
        <v>0</v>
      </c>
      <c r="D159" s="1291">
        <f>SUMIF('4'!H$8:H$100,$A159,'4'!$I$8:$I$100)+SUMIF('4a'!H$5:H$100,$A159,'4a'!$I$5:$I$100)+SUMIF('4b'!H$5:H$100,$A159,'4b'!$I$5:$I$100)+SUMIF('4c'!H$5:H$100,$A159,'4c'!$I$5:$I$100)+SUMIF('5'!H$5:H$100,$A159,'5'!$I$5:$I$100)+SUMIF('6'!H$5:H$100,$A159,'6'!$I$5:$I$100)+SUMIF('7'!H$5:H$100,$A159,'7'!$I$5:$I$100)+SUMIF('7a'!H$5:H$100,$A159,'7a'!$I$5:$I$100)+SUMIF('7b'!H$5:H$100,$A159,'7b'!$I$5:$I$100)+SUMIF('8'!H$5:H$100,$A159,'8'!$I$5:$I$100)+SUMIF('9'!H$5:H$100,$A159,'9'!$I$5:$I$100)+SUMIF('9a'!H$5:H$100,$A159,'9a'!$I$5:$I$100)+SUMIF('9b'!H$5:H$100,$A159,'9b'!$I$5:$I$100)+SUMIF('9c'!H$5:H$100,$A159,'9c'!$I$5:$I$100)+SUMIF('9d'!H$5:H$100,$A159,'9d'!$I$5:$I$100)+SUMIF('9e'!H$5:H$100,$A159,'9e'!$I$5:$I$100)+SUMIF('9f'!H$5:H$100,$A159,'9f'!$I$5:$I$100)+SUMIF('9g'!H$5:H$100,$A159,'9g'!$I$5:$I$100)+SUMIF('9h'!H$5:H$100,$A159,'9h'!$I$5:$I$100)+SUMIF('9 TOTAL'!H$5:H$100,$A159,'9 TOTAL'!$I$5:$I$100)
+SUMIF('10'!H$5:H$100,$A159,'10'!$I$5:$I$100)+SUMIF('10a'!H$5:H$100,$A159,'10a'!$I$5:$I$100)+SUMIF('10b'!H$5:H$100,$A159,'10b'!$I$5:$I$100)+SUMIF('10c'!H$5:H$100,$A159,'10c'!$I$5:$I$100)+SUMIF('10d'!H$5:H$100,$A159,'10d'!$I$5:$I$100)+SUMIF('10e'!H$5:H$100,$A159,'10e'!$I$5:$I$100)+SUMIF('10f'!H$5:H$100,$A159,'10f'!$I$5:$I$100)+SUMIF('10g'!H$5:H$100,$A159,'10g'!$I$5:$I$100)+SUMIF('10h'!H$5:H$100,$A159,'10h'!$I$5:$I$100)+SUMIF('10i'!H$5:H$100,$A159,'10i'!$I$5:$I$100)+SUMIF('10j'!H$5:H$100,$A159,'10j'!$I$5:$I$100)+SUMIF('10k'!H$5:H$100,$A159,'10k'!$I$5:$I$100)+SUMIF('10l'!H$5:H$100,$A159,'10l'!$I$5:$I$100)+SUMIF('10m'!H$5:H$100,$A159,'10m'!$I$5:$I$100)+SUMIF('10 TOTAL'!H$5:H$100,$A159,'10 TOTAL'!$I$5:$I$100)</f>
        <v>0</v>
      </c>
      <c r="E159"/>
      <c r="F159"/>
      <c r="G159"/>
      <c r="H159"/>
      <c r="I159"/>
      <c r="J159"/>
      <c r="K159"/>
      <c r="L159"/>
      <c r="M159"/>
      <c r="N159"/>
      <c r="O159"/>
      <c r="P159"/>
      <c r="Q159"/>
      <c r="R159"/>
      <c r="S159" s="1307">
        <f t="shared" si="2"/>
        <v>0</v>
      </c>
      <c r="T159"/>
    </row>
    <row r="160" spans="1:20" x14ac:dyDescent="0.2">
      <c r="A160"/>
      <c r="B160" s="1305" t="str">
        <f>"Total- "&amp;A134</f>
        <v>Total- Other Special Items of Revenue</v>
      </c>
      <c r="C160" s="1290">
        <f>SUM(C135:C147,C148)</f>
        <v>0</v>
      </c>
      <c r="D160" s="1290">
        <f>SUM(D135:D147,D148)</f>
        <v>0</v>
      </c>
      <c r="E160"/>
      <c r="F160"/>
      <c r="G160"/>
      <c r="H160"/>
      <c r="I160"/>
      <c r="J160"/>
      <c r="K160"/>
      <c r="L160"/>
      <c r="M160"/>
      <c r="N160"/>
      <c r="O160"/>
      <c r="P160"/>
      <c r="Q160"/>
      <c r="R160"/>
      <c r="S160" s="1307"/>
      <c r="T160"/>
    </row>
    <row r="161" spans="1:20" x14ac:dyDescent="0.2">
      <c r="A161"/>
      <c r="B161"/>
      <c r="C161" s="1318"/>
      <c r="D161" s="1318"/>
      <c r="E161"/>
      <c r="F161"/>
      <c r="G161"/>
      <c r="H161"/>
      <c r="I161"/>
      <c r="J161"/>
      <c r="K161"/>
      <c r="L161"/>
      <c r="M161"/>
      <c r="N161"/>
      <c r="O161"/>
      <c r="P161"/>
      <c r="Q161"/>
      <c r="R161"/>
      <c r="S161" s="1307"/>
      <c r="T161"/>
    </row>
    <row r="162" spans="1:20" x14ac:dyDescent="0.2">
      <c r="A162" s="106"/>
      <c r="B162" s="106" t="s">
        <v>5436</v>
      </c>
      <c r="C162" s="1293">
        <f>C160+C128+C94+C88+C25+C122+C67+C132+C30</f>
        <v>1006164.4200000002</v>
      </c>
      <c r="D162" s="1293">
        <f>D160+D128+D94+D88+D25+D122+D67+D132+D30</f>
        <v>828754.4911582591</v>
      </c>
      <c r="E162"/>
      <c r="F162"/>
      <c r="G162"/>
      <c r="H162"/>
      <c r="I162"/>
      <c r="J162"/>
      <c r="K162"/>
      <c r="L162"/>
      <c r="M162"/>
      <c r="N162"/>
      <c r="O162"/>
      <c r="P162"/>
      <c r="Q162"/>
      <c r="R162"/>
      <c r="S162" s="1307"/>
      <c r="T162"/>
    </row>
    <row r="163" spans="1:20" x14ac:dyDescent="0.2">
      <c r="A163"/>
      <c r="B163"/>
      <c r="C163"/>
      <c r="D163"/>
      <c r="E163"/>
      <c r="F163"/>
      <c r="G163"/>
      <c r="H163"/>
      <c r="I163"/>
      <c r="J163"/>
      <c r="K163"/>
      <c r="L163"/>
      <c r="M163"/>
      <c r="N163"/>
      <c r="O163"/>
      <c r="P163"/>
      <c r="Q163"/>
      <c r="R163"/>
      <c r="S163" s="1307"/>
      <c r="T163"/>
    </row>
    <row r="164" spans="1:20" ht="16.5" thickBot="1" x14ac:dyDescent="0.3">
      <c r="A164" s="1" t="s">
        <v>5438</v>
      </c>
      <c r="B164"/>
      <c r="C164"/>
      <c r="D164"/>
      <c r="E164"/>
      <c r="F164"/>
      <c r="G164"/>
      <c r="H164"/>
      <c r="I164"/>
      <c r="J164"/>
      <c r="K164"/>
      <c r="L164"/>
      <c r="M164"/>
      <c r="N164"/>
      <c r="O164"/>
      <c r="P164"/>
      <c r="Q164"/>
      <c r="R164"/>
      <c r="S164" s="1307"/>
      <c r="T164"/>
    </row>
    <row r="165" spans="1:20" ht="15" x14ac:dyDescent="0.25">
      <c r="A165"/>
      <c r="B165"/>
      <c r="C165" s="1538" t="str">
        <f>'Key Inputs'!E34-1&amp;" Realized"</f>
        <v>2020 Realized</v>
      </c>
      <c r="D165" s="1539"/>
      <c r="E165" s="1539"/>
      <c r="F165" s="1540"/>
      <c r="G165" s="1538" t="str">
        <f>'Key Inputs'!E34&amp;" Budgeted"</f>
        <v>2021 Budgeted</v>
      </c>
      <c r="H165" s="1539"/>
      <c r="I165" s="1539"/>
      <c r="J165" s="1540"/>
      <c r="K165"/>
      <c r="L165"/>
      <c r="M165"/>
      <c r="N165"/>
      <c r="O165"/>
      <c r="P165"/>
      <c r="Q165"/>
      <c r="R165"/>
      <c r="S165" s="1307"/>
      <c r="T165"/>
    </row>
    <row r="166" spans="1:20" x14ac:dyDescent="0.2">
      <c r="A166"/>
      <c r="B166"/>
      <c r="C166" s="1319" t="s">
        <v>205</v>
      </c>
      <c r="D166" s="1313" t="s">
        <v>314</v>
      </c>
      <c r="E166" s="1313" t="s">
        <v>5447</v>
      </c>
      <c r="F166" s="1320" t="s">
        <v>509</v>
      </c>
      <c r="G166" s="1319" t="s">
        <v>205</v>
      </c>
      <c r="H166" s="1313" t="s">
        <v>314</v>
      </c>
      <c r="I166" s="1313" t="s">
        <v>5447</v>
      </c>
      <c r="J166" s="1320" t="s">
        <v>509</v>
      </c>
      <c r="K166"/>
      <c r="L166"/>
      <c r="M166"/>
      <c r="N166"/>
      <c r="O166"/>
      <c r="P166"/>
      <c r="Q166"/>
      <c r="R166"/>
      <c r="S166" s="1307"/>
      <c r="T166"/>
    </row>
    <row r="167" spans="1:20" x14ac:dyDescent="0.2">
      <c r="A167" s="106" t="s">
        <v>5439</v>
      </c>
      <c r="B167" s="5"/>
      <c r="C167" s="1321"/>
      <c r="D167" s="5"/>
      <c r="E167" s="5"/>
      <c r="F167" s="1322"/>
      <c r="G167" s="1321"/>
      <c r="H167" s="5"/>
      <c r="I167" s="5"/>
      <c r="J167" s="1322"/>
      <c r="K167"/>
      <c r="L167"/>
      <c r="M167"/>
      <c r="N167"/>
      <c r="O167"/>
      <c r="P167"/>
      <c r="Q167"/>
      <c r="R167"/>
      <c r="S167" s="1307"/>
      <c r="T167"/>
    </row>
    <row r="168" spans="1:20" ht="12.75" customHeight="1" x14ac:dyDescent="0.2">
      <c r="A168" t="s">
        <v>5065</v>
      </c>
      <c r="B168" t="s">
        <v>5464</v>
      </c>
      <c r="C168" s="1295">
        <f>SUMIFS('12'!$N$7:$N$100,'12'!$H$7:$H$100,$A168,'12'!$I$7:$I$100,1)+SUMIFS('13'!$N$7:$N$100,'13'!$H$7:$H$100,$A168,'13'!$I$7:$I$100,1)+SUMIFS('14'!$N$7:$N$100,'14'!$H$7:$H$100,$A168,'14'!$I$7:$I$100,1)+SUMIFS('15'!$N$7:$N$100,'15'!$H$7:$H$100,$A168,'15'!$I$7:$I$100,1)+SUMIFS('15a'!$N$7:$N$100,'15a'!$H$7:$H$100,$A168,'15a'!$I$7:$I$100,1)+SUMIFS('15b'!$N$7:$N$100,'15b'!$H$7:$H$100,$A168,'15b'!$I$7:$I$100,1)+SUMIFS('15c'!$N$7:$N$100,'15c'!$H$7:$H$100,$A168,'15c'!$I$7:$I$100,1)+SUMIFS('15d'!$N$7:$N$100,'15d'!$H$7:$H$100,$A168,'15d'!$I$7:$I$100,1)+SUMIFS('15e'!$N$7:$N$100,'15e'!$H$7:$H$100,$A168,'15e'!$I$7:$I$100,1)+SUMIFS('15f'!$N$7:$N$100,'15f'!$H$7:$H$100,$A168,'15f'!$I$7:$I$100,1)+SUMIFS('15g'!$N$7:$N$100,'15g'!$H$7:$H$100,$A168,'15g'!$I$7:$I$100,1)+SUMIFS('15h'!$N$7:$N$100,'15h'!$H$7:$H$100,$A168,'15h'!$I$7:$I$100,1)+SUMIFS('15i'!$N$7:$N$100,'15i'!$H$7:$H$100,$A168,'15i'!$I$7:$I$100,1)+SUMIFS('15j'!$N$7:$N$100,'15j'!$H$7:$H$100,$A168,'15j'!$I$7:$I$100,1)+SUMIFS('15k'!$N$7:$N$100,'15k'!$H$7:$H$100,$A168,'15k'!$I$7:$I$100,1)+SUMIFS('15l'!$N$7:$N$100,'15l'!$H$7:$H$100,$A168,'15l'!$I$7:$I$100,1)+SUMIFS('15m'!$N$7:$N$100,'15m'!$H$7:$H$100,$A168,'15m'!$I$7:$I$100,1)+SUMIFS('15n'!$N$7:$N$100,'15n'!$H$7:$H$100,$A168,'15n'!$I$7:$I$100,1)+SUMIFS('16'!$N$7:$N$100,'16'!$H$7:$H$100,$A168,'16'!$I$7:$I$100,1)+SUMIFS('16a'!$N$7:$N$100,'16a'!$H$7:$H$100,$A168,'16a'!$I$7:$I$100,1)+SUMIFS('17'!$N$7:$N$100,'17'!$H$7:$H$100,$A168,'17'!$I$7:$I$100,1)+SUMIFS('17a'!$N$7:$N$100,'17a'!$H$7:$H$100,$A168,'17a'!$I$7:$I$100,1)+SUMIFS('18'!$N$7:$N$100,'18'!$H$7:$H$100,$A168,'18'!$I$7:$I$100,1)+SUMIFS('18a'!$N$7:$N$100,'18a'!$H$7:$H$100,$A168,'18a'!$I$7:$I$100,1)
+SUMIFS('19'!$N$7:$N$100,'19'!$H$7:$H$100,$A168,'19'!$I$7:$I$100,1)+SUMIFS('20'!$N$7:$N$100,'20'!$H$7:$H$100,$A168,'20'!$I$7:$I$100,1)+SUMIFS('20a'!$N$7:$N$100,'20a'!$H$7:$H$100,$A168,'20a'!$I$7:$I$100,1)+SUMIFS('21'!$N$7:$N$100,'21'!$H$7:$H$100,$A168,'21'!$I$7:$I$100,1)+SUMIFS('22'!$N$7:$N$100,'22'!$H$7:$H$100,$A168,'22'!$I$7:$I$100,1)+SUMIFS('22a'!$N$7:$N$100,'22a'!$H$7:$H$100,$A168,'22a'!$I$7:$I$100,1)+SUMIFS('22b'!$N$7:$N$100,'22b'!$H$7:$H$100,$A168,'22b'!$I$7:$I$100,1)+SUMIFS('23'!$N$7:$N$100,'23'!$H$7:$H$100,$A168,'23'!$I$7:$I$100,1)+SUMIFS('24'!$N$7:$N$100,'24'!$H$7:$H$100,$A168,'24'!$I$7:$I$100,1)+SUMIFS('24a'!$N$7:$N$100,'24a'!$H$7:$H$100,$A168,'24a'!$I$7:$I$100,1)+SUMIFS('24b'!$N$7:$N$100,'24b'!$H$7:$H$100,$A168,'24b'!$I$7:$I$100,1)+SUMIFS('24c'!$N$7:$N$100,'24c'!$H$7:$H$100,$A168,'24c'!$I$7:$I$100,1)+SUMIFS('24d'!$N$7:$N$100,'24d'!$H$7:$H$100,$A168,'24d'!$I$7:$I$100,1)+SUMIFS('24e'!$N$7:$N$100,'24e'!$H$7:$H$100,$A168,'24e'!$I$7:$I$100,1)+SUMIFS('24f'!$N$7:$N$100,'24f'!$H$7:$H$100,$A168,'24f'!$I$7:$I$100,1)+SUMIFS('24g'!$N$7:$N$100,'24g'!$H$7:$H$100,$A168,'24g'!$I$7:$I$100,1)+SUMIFS('24h'!$N$7:$N$100,'24h'!$H$7:$H$100,$A168,'24h'!$I$7:$I$100,1)+SUMIFS('24i'!$N$7:$N$100,'24i'!$H$7:$H$100,$A168,'24i'!$I$7:$I$100,1)+SUMIFS('25'!$N$7:$N$100,'25'!$H$7:$H$100,$A168,'25'!$I$7:$I$100,1)+SUMIFS('26'!$N$7:$N$100,'26'!$H$7:$H$100,$A168,'26'!$I$7:$I$100,1)+SUMIFS('26a'!$N$7:$N$100,'26a'!$H$7:$H$100,$A168,'26a'!$I$7:$I$100,1)+SUMIFS('27'!$N$7:$N$100,'27'!$H$7:$H$100,$A168,'27'!$I$7:$I$100,1)+SUMIFS('27a'!$N$7:$N$100,'27a'!$H$7:$H$100,$A168,'27a'!$I$7:$I$100,1)+SUMIFS('28'!$N$7:$N$100,'28'!$H$7:$H$100,$A168,'28'!$I$7:$I$100,1)+SUMIFS('29'!$N$7:$N$100,'29'!$H$7:$H$100,$A168,'29'!$I$7:$I$100,1)</f>
        <v>0</v>
      </c>
      <c r="D168" s="1315">
        <f>SUMIFS('12'!$N$7:$N$100,'12'!$H$7:$H$100,$A168,'12'!$I$7:$I$100,2)+SUMIFS('13'!$N$7:$N$100,'13'!$H$7:$H$100,$A168,'13'!$I$7:$I$100,2)+SUMIFS('14'!$N$7:$N$100,'14'!$H$7:$H$100,$A168,'14'!$I$7:$I$100,2)+SUMIFS('15'!$N$7:$N$100,'15'!$H$7:$H$100,$A168,'15'!$I$7:$I$100,2)+SUMIFS('15a'!$N$7:$N$100,'15a'!$H$7:$H$100,$A168,'15a'!$I$7:$I$100,2)+SUMIFS('15b'!$N$7:$N$100,'15b'!$H$7:$H$100,$A168,'15b'!$I$7:$I$100,2)+SUMIFS('15c'!$N$7:$N$100,'15c'!$H$7:$H$100,$A168,'15c'!$I$7:$I$100,2)+SUMIFS('15d'!$N$7:$N$100,'15d'!$H$7:$H$100,$A168,'15d'!$I$7:$I$100,2)+SUMIFS('15e'!$N$7:$N$100,'15e'!$H$7:$H$100,$A168,'15e'!$I$7:$I$100,2)+SUMIFS('15f'!$N$7:$N$100,'15f'!$H$7:$H$100,$A168,'15f'!$I$7:$I$100,2)+SUMIFS('15g'!$N$7:$N$100,'15g'!$H$7:$H$100,$A168,'15g'!$I$7:$I$100,2)+SUMIFS('15h'!$N$7:$N$100,'15h'!$H$7:$H$100,$A168,'15h'!$I$7:$I$100,2)+SUMIFS('15i'!$N$7:$N$100,'15i'!$H$7:$H$100,$A168,'15i'!$I$7:$I$100,2)+SUMIFS('15j'!$N$7:$N$100,'15j'!$H$7:$H$100,$A168,'15j'!$I$7:$I$100,2)+SUMIFS('15k'!$N$7:$N$100,'15k'!$H$7:$H$100,$A168,'15k'!$I$7:$I$100,2)+SUMIFS('15l'!$N$7:$N$100,'15l'!$H$7:$H$100,$A168,'15l'!$I$7:$I$100,2)+SUMIFS('15m'!$N$7:$N$100,'15m'!$H$7:$H$100,$A168,'15m'!$I$7:$I$100,2)+SUMIFS('15n'!$N$7:$N$100,'15n'!$H$7:$H$100,$A168,'15n'!$I$7:$I$100,2)+SUMIFS('16'!$N$7:$N$100,'16'!$H$7:$H$100,$A168,'16'!$I$7:$I$100,2)+SUMIFS('16a'!$N$7:$N$100,'16a'!$H$7:$H$100,$A168,'16a'!$I$7:$I$100,2)+SUMIFS('17'!$N$7:$N$100,'17'!$H$7:$H$100,$A168,'17'!$I$7:$I$100,2)+SUMIFS('17a'!$N$7:$N$100,'17a'!$H$7:$H$100,$A168,'17a'!$I$7:$I$100,2)+SUMIFS('18'!$N$7:$N$100,'18'!$H$7:$H$100,$A168,'18'!$I$7:$I$100,2)+SUMIFS('18a'!$N$7:$N$100,'18a'!$H$7:$H$100,$A168,'18a'!$I$7:$I$100,2)
+SUMIFS('19'!$N$7:$N$100,'19'!$H$7:$H$100,$A168,'19'!$I$7:$I$100,2)+SUMIFS('20'!$N$7:$N$100,'20'!$H$7:$H$100,$A168,'20'!$I$7:$I$100,2)+SUMIFS('20a'!$N$7:$N$100,'20a'!$H$7:$H$100,$A168,'20a'!$I$7:$I$100,2)+SUMIFS('21'!$N$7:$N$100,'21'!$H$7:$H$100,$A168,'21'!$I$7:$I$100,2)+SUMIFS('22'!$N$7:$N$100,'22'!$H$7:$H$100,$A168,'22'!$I$7:$I$100,2)+SUMIFS('22a'!$N$7:$N$100,'22a'!$H$7:$H$100,$A168,'22a'!$I$7:$I$100,2)+SUMIFS('22b'!$N$7:$N$100,'22b'!$H$7:$H$100,$A168,'22b'!$I$7:$I$100,2)+SUMIFS('23'!$N$7:$N$100,'23'!$H$7:$H$100,$A168,'23'!$I$7:$I$100,2)+SUMIFS('24'!$N$7:$N$100,'24'!$H$7:$H$100,$A168,'24'!$I$7:$I$100,2)+SUMIFS('24a'!$N$7:$N$100,'24a'!$H$7:$H$100,$A168,'24a'!$I$7:$I$100,2)+SUMIFS('24b'!$N$7:$N$100,'24b'!$H$7:$H$100,$A168,'24b'!$I$7:$I$100,2)+SUMIFS('24c'!$N$7:$N$100,'24c'!$H$7:$H$100,$A168,'24c'!$I$7:$I$100,2)+SUMIFS('24d'!$N$7:$N$100,'24d'!$H$7:$H$100,$A168,'24d'!$I$7:$I$100,2)+SUMIFS('24e'!$N$7:$N$100,'24e'!$H$7:$H$100,$A168,'24e'!$I$7:$I$100,2)+SUMIFS('24f'!$N$7:$N$100,'24f'!$H$7:$H$100,$A168,'24f'!$I$7:$I$100,2)+SUMIFS('24g'!$N$7:$N$100,'24g'!$H$7:$H$100,$A168,'24g'!$I$7:$I$100,2)+SUMIFS('24h'!$N$7:$N$100,'24h'!$H$7:$H$100,$A168,'24h'!$I$7:$I$100,2)+SUMIFS('24i'!$N$7:$N$100,'24i'!$H$7:$H$100,$A168,'24i'!$I$7:$I$100,2)+SUMIFS('25'!$N$7:$N$100,'25'!$H$7:$H$100,$A168,'25'!$I$7:$I$100,2)+SUMIFS('26'!$N$7:$N$100,'26'!$H$7:$H$100,$A168,'26'!$I$7:$I$100,2)+SUMIFS('26a'!$N$7:$N$100,'26a'!$H$7:$H$100,$A168,'26a'!$I$7:$I$100,2)+SUMIFS('27'!$N$7:$N$100,'27'!$H$7:$H$100,$A168,'27'!$I$7:$I$100,2)+SUMIFS('27a'!$N$7:$N$100,'27a'!$H$7:$H$100,$A168,'27a'!$I$7:$I$100,2)+SUMIFS('28'!$N$7:$N$100,'28'!$H$7:$H$100,$A168,'28'!$I$7:$I$100,2)+SUMIFS('29'!$N$7:$N$100,'29'!$H$7:$H$100,$A168,'29'!$I$7:$I$100,2)</f>
        <v>0</v>
      </c>
      <c r="E168" s="1315">
        <f>SUMIFS('12'!$N$7:$N$100,'12'!$H$7:$H$100,$A168,'12'!$I$7:$I$100,"")+SUMIFS('13'!$N$7:$N$100,'13'!$H$7:$H$100,$A168,'13'!$I$7:$I$100,"")+SUMIFS('14'!$N$7:$N$100,'14'!$H$7:$H$100,$A168,'14'!$I$7:$I$100,"")+SUMIFS('15'!$N$7:$N$100,'15'!$H$7:$H$100,$A168,'15'!$I$7:$I$100,"")+SUMIFS('15a'!$N$7:$N$100,'15a'!$H$7:$H$100,$A168,'15a'!$I$7:$I$100,"")+SUMIFS('15b'!$N$7:$N$100,'15b'!$H$7:$H$100,$A168,'15b'!$I$7:$I$100,"")+SUMIFS('15c'!$N$7:$N$100,'15c'!$H$7:$H$100,$A168,'15c'!$I$7:$I$100,"")+SUMIFS('15d'!$N$7:$N$100,'15d'!$H$7:$H$100,$A168,'15d'!$I$7:$I$100,"")+SUMIFS('15e'!$N$7:$N$100,'15e'!$H$7:$H$100,$A168,'15e'!$I$7:$I$100,"")+SUMIFS('15f'!$N$7:$N$100,'15f'!$H$7:$H$100,$A168,'15f'!$I$7:$I$100,"")+SUMIFS('15g'!$N$7:$N$100,'15g'!$H$7:$H$100,$A168,'15g'!$I$7:$I$100,"")+SUMIFS('15h'!$N$7:$N$100,'15h'!$H$7:$H$100,$A168,'15h'!$I$7:$I$100,"")+SUMIFS('15i'!$N$7:$N$100,'15i'!$H$7:$H$100,$A168,'15i'!$I$7:$I$100,"")+SUMIFS('15j'!$N$7:$N$100,'15j'!$H$7:$H$100,$A168,'15j'!$I$7:$I$100,"")+SUMIFS('15k'!$N$7:$N$100,'15k'!$H$7:$H$100,$A168,'15k'!$I$7:$I$100,"")+SUMIFS('15l'!$N$7:$N$100,'15l'!$H$7:$H$100,$A168,'15l'!$I$7:$I$100,"")+SUMIFS('15m'!$N$7:$N$100,'15m'!$H$7:$H$100,$A168,'15m'!$I$7:$I$100,"")+SUMIFS('15n'!$N$7:$N$100,'15n'!$H$7:$H$100,$A168,'15n'!$I$7:$I$100,"")+SUMIFS('16'!$N$7:$N$100,'16'!$H$7:$H$100,$A168,'16'!$I$7:$I$100,"")+SUMIFS('16a'!$N$7:$N$100,'16a'!$H$7:$H$100,$A168,'16a'!$I$7:$I$100,"")+SUMIFS('17'!$N$7:$N$100,'17'!$H$7:$H$100,$A168,'17'!$I$7:$I$100,"")+SUMIFS('17a'!$N$7:$N$100,'17a'!$H$7:$H$100,$A168,'17a'!$I$7:$I$100,"")+SUMIFS('18'!$N$7:$N$100,'18'!$H$7:$H$100,$A168,'18'!$I$7:$I$100,"")+SUMIFS('18a'!$N$7:$N$100,'18a'!$H$7:$H$100,$A168,'18a'!$I$7:$I$100,"")
+SUMIFS('19'!$N$7:$N$100,'19'!$H$7:$H$100,$A168,'19'!$I$7:$I$100,"")+SUMIFS('20'!$N$7:$N$100,'20'!$H$7:$H$100,$A168,'20'!$I$7:$I$100,"")+SUMIFS('20a'!$N$7:$N$100,'20a'!$H$7:$H$100,$A168,'20a'!$I$7:$I$100,"")+SUMIFS('21'!$N$7:$N$100,'21'!$H$7:$H$100,$A168,'21'!$I$7:$I$100,"")+SUMIFS('22'!$N$7:$N$100,'22'!$H$7:$H$100,$A168,'22'!$I$7:$I$100,"")+SUMIFS('22a'!$N$7:$N$100,'22a'!$H$7:$H$100,$A168,'22a'!$I$7:$I$100,"")+SUMIFS('22b'!$N$7:$N$100,'22b'!$H$7:$H$100,$A168,'22b'!$I$7:$I$100,"")+SUMIFS('23'!$N$7:$N$100,'23'!$H$7:$H$100,$A168,'23'!$I$7:$I$100,"")+SUMIFS('24'!$N$7:$N$100,'24'!$H$7:$H$100,$A168,'24'!$I$7:$I$100,"")+SUMIFS('24a'!$N$7:$N$100,'24a'!$H$7:$H$100,$A168,'24a'!$I$7:$I$100,"")+SUMIFS('24b'!$N$7:$N$100,'24b'!$H$7:$H$100,$A168,'24b'!$I$7:$I$100,"")+SUMIFS('24c'!$N$7:$N$100,'24c'!$H$7:$H$100,$A168,'24c'!$I$7:$I$100,"")+SUMIFS('24d'!$N$7:$N$100,'24d'!$H$7:$H$100,$A168,'24d'!$I$7:$I$100,"")+SUMIFS('24e'!$N$7:$N$100,'24e'!$H$7:$H$100,$A168,'24e'!$I$7:$I$100,"")+SUMIFS('24f'!$N$7:$N$100,'24f'!$H$7:$H$100,$A168,'24f'!$I$7:$I$100,"")+SUMIFS('24g'!$N$7:$N$100,'24g'!$H$7:$H$100,$A168,'24g'!$I$7:$I$100,"")+SUMIFS('24h'!$N$7:$N$100,'24h'!$H$7:$H$100,$A168,'24h'!$I$7:$I$100,"")+SUMIFS('24i'!$N$7:$N$100,'24i'!$H$7:$H$100,$A168,'24i'!$I$7:$I$100,"")+SUMIFS('25'!$N$7:$N$100,'25'!$H$7:$H$100,$A168,'25'!$I$7:$I$100,"")+SUMIFS('26'!$N$7:$N$100,'26'!$H$7:$H$100,$A168,'26'!$I$7:$I$100,"")+SUMIFS('26a'!$N$7:$N$100,'26a'!$H$7:$H$100,$A168,'26a'!$I$7:$I$100,"")+SUMIFS('27'!$N$7:$N$100,'27'!$H$7:$H$100,$A168,'27'!$I$7:$I$100,"")+SUMIFS('27a'!$N$7:$N$100,'27a'!$H$7:$H$100,$A168,'27a'!$I$7:$I$100,"")+SUMIFS('28'!$N$7:$N$100,'28'!$H$7:$H$100,$A168,'28'!$I$7:$I$100,"")+SUMIFS('29'!$N$7:$N$100,'29'!$H$7:$H$100,$A168,'29'!$I$7:$I$100,"")</f>
        <v>0</v>
      </c>
      <c r="F168" s="1296">
        <f>SUM(C168:E168)</f>
        <v>0</v>
      </c>
      <c r="G168" s="1295">
        <f>SUMIFS('12'!$J$7:$J$100,'12'!$H$7:$H$100,$A168,'12'!$I$7:$I$100,1)+SUMIFS('13'!$J$7:$J$100,'13'!$H$7:$H$100,$A168,'13'!$I$7:$I$100,1)+SUMIFS('14'!$J$7:$J$100,'14'!$H$7:$H$100,$A168,'14'!$I$7:$I$100,1)+SUMIFS('15'!$J$7:$J$100,'15'!$H$7:$H$100,$A168,'15'!$I$7:$I$100,1)+SUMIFS('15a'!$J$7:$J$100,'15a'!$H$7:$H$100,$A168,'15a'!$I$7:$I$100,1)+SUMIFS('15b'!$J$7:$J$100,'15b'!$H$7:$H$100,$A168,'15b'!$I$7:$I$100,1)+SUMIFS('15c'!$J$7:$J$100,'15c'!$H$7:$H$100,$A168,'15c'!$I$7:$I$100,1)+SUMIFS('15d'!$J$7:$J$100,'15d'!$H$7:$H$100,$A168,'15d'!$I$7:$I$100,1)+SUMIFS('15e'!$J$7:$J$100,'15e'!$H$7:$H$100,$A168,'15e'!$I$7:$I$100,1)+SUMIFS('15f'!$J$7:$J$100,'15f'!$H$7:$H$100,$A168,'15f'!$I$7:$I$100,1)+SUMIFS('15g'!$J$7:$J$100,'15g'!$H$7:$H$100,$A168,'15g'!$I$7:$I$100,1)+SUMIFS('15h'!$J$7:$J$100,'15h'!$H$7:$H$100,$A168,'15h'!$I$7:$I$100,1)+SUMIFS('15i'!$J$7:$J$100,'15i'!$H$7:$H$100,$A168,'15i'!$I$7:$I$100,1)+SUMIFS('15j'!$J$7:$J$100,'15j'!$H$7:$H$100,$A168,'15j'!$I$7:$I$100,1)+SUMIFS('15k'!$J$7:$J$100,'15k'!$H$7:$H$100,$A168,'15k'!$I$7:$I$100,1)+SUMIFS('15l'!$J$7:$J$100,'15l'!$H$7:$H$100,$A168,'15l'!$I$7:$I$100,1)+SUMIFS('15m'!$J$7:$J$100,'15m'!$H$7:$H$100,$A168,'15m'!$I$7:$I$100,1)+SUMIFS('15n'!$J$7:$J$100,'15n'!$H$7:$H$100,$A168,'15n'!$I$7:$I$100,1)+SUMIFS('16'!$J$7:$J$100,'16'!$H$7:$H$100,$A168,'16'!$I$7:$I$100,1)+SUMIFS('16a'!$J$7:$J$100,'16a'!$H$7:$H$100,$A168,'16a'!$I$7:$I$100,1)+SUMIFS('17'!$J$7:$J$100,'17'!$H$7:$H$100,$A168,'17'!$I$7:$I$100,1)+SUMIFS('17a'!$J$7:$J$100,'17a'!$H$7:$H$100,$A168,'17a'!$I$7:$I$100,1)+SUMIFS('18'!$J$7:$J$100,'18'!$H$7:$H$100,$A168,'18'!$I$7:$I$100,1)+SUMIFS('18a'!$J$7:$J$100,'18a'!$H$7:$H$100,$A168,'18a'!$I$7:$I$100,1)
+SUMIFS('19'!$J$7:$J$100,'19'!$H$7:$H$100,$A168,'19'!$I$7:$I$100,1)+SUMIFS('20'!$J$7:$J$100,'20'!$H$7:$H$100,$A168,'20'!$I$7:$I$100,1)+SUMIFS('20a'!$J$7:$J$100,'20a'!$H$7:$H$100,$A168,'20a'!$I$7:$I$100,1)+SUMIFS('21'!$J$7:$J$100,'21'!$H$7:$H$100,$A168,'21'!$I$7:$I$100,1)+SUMIFS('22'!$J$7:$J$100,'22'!$H$7:$H$100,$A168,'22'!$I$7:$I$100,1)+SUMIFS('22a'!$J$7:$J$100,'22a'!$H$7:$H$100,$A168,'22a'!$I$7:$I$100,1)+SUMIFS('22b'!$J$7:$J$100,'22b'!$H$7:$H$100,$A168,'22b'!$I$7:$I$100,1)+SUMIFS('23'!$J$7:$J$100,'23'!$H$7:$H$100,$A168,'23'!$I$7:$I$100,1)+SUMIFS('24'!$J$7:$J$100,'24'!$H$7:$H$100,$A168,'24'!$I$7:$I$100,1)+SUMIFS('24a'!$J$7:$J$100,'24a'!$H$7:$H$100,$A168,'24a'!$I$7:$I$100,1)+SUMIFS('24b'!$J$7:$J$100,'24b'!$H$7:$H$100,$A168,'24b'!$I$7:$I$100,1)+SUMIFS('24c'!$J$7:$J$100,'24c'!$H$7:$H$100,$A168,'24c'!$I$7:$I$100,1)+SUMIFS('24d'!$J$7:$J$100,'24d'!$H$7:$H$100,$A168,'24d'!$I$7:$I$100,1)+SUMIFS('24e'!$J$7:$J$100,'24e'!$H$7:$H$100,$A168,'24e'!$I$7:$I$100,1)+SUMIFS('24f'!$J$7:$J$100,'24f'!$H$7:$H$100,$A168,'24f'!$I$7:$I$100,1)+SUMIFS('24g'!$J$7:$J$100,'24g'!$H$7:$H$100,$A168,'24g'!$I$7:$I$100,1)+SUMIFS('24h'!$J$7:$J$100,'24h'!$H$7:$H$100,$A168,'24h'!$I$7:$I$100,1)+SUMIFS('24i'!$J$7:$J$100,'24i'!$H$7:$H$100,$A168,'24i'!$I$7:$I$100,1)+SUMIFS('25'!$J$7:$J$100,'25'!$H$7:$H$100,$A168,'25'!$I$7:$I$100,1)+SUMIFS('26'!$J$7:$J$100,'26'!$H$7:$H$100,$A168,'26'!$I$7:$I$100,1)+SUMIFS('26a'!$J$7:$J$100,'26a'!$H$7:$H$100,$A168,'26a'!$I$7:$I$100,1)+SUMIFS('27'!$J$7:$J$100,'27'!$H$7:$H$100,$A168,'27'!$I$7:$I$100,1)+SUMIFS('27a'!$J$7:$J$100,'27a'!$H$7:$H$100,$A168,'27a'!$I$7:$I$100,1)+SUMIFS('28'!$J$7:$J$100,'28'!$H$7:$H$100,$A168,'28'!$I$7:$I$100,1)+SUMIFS('29'!$J$7:$J$100,'29'!$H$7:$H$100,$A168,'29'!$I$7:$I$100,1)</f>
        <v>0</v>
      </c>
      <c r="H168" s="1315">
        <f>SUMIFS('12'!$J$7:$J$100,'12'!$H$7:$H$100,$A168,'12'!$I$7:$I$100,2)+SUMIFS('13'!$J$7:$J$100,'13'!$H$7:$H$100,$A168,'13'!$I$7:$I$100,2)+SUMIFS('14'!$J$7:$J$100,'14'!$H$7:$H$100,$A168,'14'!$I$7:$I$100,2)+SUMIFS('15'!$J$7:$J$100,'15'!$H$7:$H$100,$A168,'15'!$I$7:$I$100,2)+SUMIFS('15a'!$J$7:$J$100,'15a'!$H$7:$H$100,$A168,'15a'!$I$7:$I$100,2)+SUMIFS('15b'!$J$7:$J$100,'15b'!$H$7:$H$100,$A168,'15b'!$I$7:$I$100,2)+SUMIFS('15c'!$J$7:$J$100,'15c'!$H$7:$H$100,$A168,'15c'!$I$7:$I$100,2)+SUMIFS('15d'!$J$7:$J$100,'15d'!$H$7:$H$100,$A168,'15d'!$I$7:$I$100,2)+SUMIFS('15e'!$J$7:$J$100,'15e'!$H$7:$H$100,$A168,'15e'!$I$7:$I$100,2)+SUMIFS('15f'!$J$7:$J$100,'15f'!$H$7:$H$100,$A168,'15f'!$I$7:$I$100,2)+SUMIFS('15g'!$J$7:$J$100,'15g'!$H$7:$H$100,$A168,'15g'!$I$7:$I$100,2)+SUMIFS('15h'!$J$7:$J$100,'15h'!$H$7:$H$100,$A168,'15h'!$I$7:$I$100,2)+SUMIFS('15i'!$J$7:$J$100,'15i'!$H$7:$H$100,$A168,'15i'!$I$7:$I$100,2)+SUMIFS('15j'!$J$7:$J$100,'15j'!$H$7:$H$100,$A168,'15j'!$I$7:$I$100,2)+SUMIFS('15k'!$J$7:$J$100,'15k'!$H$7:$H$100,$A168,'15k'!$I$7:$I$100,2)+SUMIFS('15l'!$J$7:$J$100,'15l'!$H$7:$H$100,$A168,'15l'!$I$7:$I$100,2)+SUMIFS('15m'!$J$7:$J$100,'15m'!$H$7:$H$100,$A168,'15m'!$I$7:$I$100,2)+SUMIFS('15n'!$J$7:$J$100,'15n'!$H$7:$H$100,$A168,'15n'!$I$7:$I$100,2)+SUMIFS('16'!$J$7:$J$100,'16'!$H$7:$H$100,$A168,'16'!$I$7:$I$100,2)+SUMIFS('16a'!$J$7:$J$100,'16a'!$H$7:$H$100,$A168,'16a'!$I$7:$I$100,2)+SUMIFS('17'!$J$7:$J$100,'17'!$H$7:$H$100,$A168,'17'!$I$7:$I$100,2)+SUMIFS('17a'!$J$7:$J$100,'17a'!$H$7:$H$100,$A168,'17a'!$I$7:$I$100,2)+SUMIFS('18'!$J$7:$J$100,'18'!$H$7:$H$100,$A168,'18'!$I$7:$I$100,2)+SUMIFS('18a'!$J$7:$J$100,'18a'!$H$7:$H$100,$A168,'18a'!$I$7:$I$100,2)
+SUMIFS('19'!$J$7:$J$100,'19'!$H$7:$H$100,$A168,'19'!$I$7:$I$100,2)+SUMIFS('20'!$J$7:$J$100,'20'!$H$7:$H$100,$A168,'20'!$I$7:$I$100,2)+SUMIFS('20a'!$J$7:$J$100,'20a'!$H$7:$H$100,$A168,'20a'!$I$7:$I$100,2)+SUMIFS('21'!$J$7:$J$100,'21'!$H$7:$H$100,$A168,'21'!$I$7:$I$100,2)+SUMIFS('22'!$J$7:$J$100,'22'!$H$7:$H$100,$A168,'22'!$I$7:$I$100,2)+SUMIFS('22a'!$J$7:$J$100,'22a'!$H$7:$H$100,$A168,'22a'!$I$7:$I$100,2)+SUMIFS('22b'!$J$7:$J$100,'22b'!$H$7:$H$100,$A168,'22b'!$I$7:$I$100,2)+SUMIFS('23'!$J$7:$J$100,'23'!$H$7:$H$100,$A168,'23'!$I$7:$I$100,2)+SUMIFS('24'!$J$7:$J$100,'24'!$H$7:$H$100,$A168,'24'!$I$7:$I$100,2)+SUMIFS('24a'!$J$7:$J$100,'24a'!$H$7:$H$100,$A168,'24a'!$I$7:$I$100,2)+SUMIFS('24b'!$J$7:$J$100,'24b'!$H$7:$H$100,$A168,'24b'!$I$7:$I$100,2)+SUMIFS('24c'!$J$7:$J$100,'24c'!$H$7:$H$100,$A168,'24c'!$I$7:$I$100,2)+SUMIFS('24d'!$J$7:$J$100,'24d'!$H$7:$H$100,$A168,'24d'!$I$7:$I$100,2)+SUMIFS('24e'!$J$7:$J$100,'24e'!$H$7:$H$100,$A168,'24e'!$I$7:$I$100,2)+SUMIFS('24f'!$J$7:$J$100,'24f'!$H$7:$H$100,$A168,'24f'!$I$7:$I$100,2)+SUMIFS('24g'!$J$7:$J$100,'24g'!$H$7:$H$100,$A168,'24g'!$I$7:$I$100,2)+SUMIFS('24h'!$J$7:$J$100,'24h'!$H$7:$H$100,$A168,'24h'!$I$7:$I$100,2)+SUMIFS('24i'!$J$7:$J$100,'24i'!$H$7:$H$100,$A168,'24i'!$I$7:$I$100,2)+SUMIFS('25'!$J$7:$J$100,'25'!$H$7:$H$100,$A168,'25'!$I$7:$I$100,2)+SUMIFS('26'!$J$7:$J$100,'26'!$H$7:$H$100,$A168,'26'!$I$7:$I$100,2)+SUMIFS('26a'!$J$7:$J$100,'26a'!$H$7:$H$100,$A168,'26a'!$I$7:$I$100,2)+SUMIFS('27'!$J$7:$J$100,'27'!$H$7:$H$100,$A168,'27'!$I$7:$I$100,2)+SUMIFS('27a'!$J$7:$J$100,'27a'!$H$7:$H$100,$A168,'27a'!$I$7:$I$100,2)+SUMIFS('28'!$J$7:$J$100,'28'!$H$7:$H$100,$A168,'28'!$I$7:$I$100,2)+SUMIFS('29'!$J$7:$J$100,'29'!$H$7:$H$100,$A168,'29'!$I$7:$I$100,2)</f>
        <v>100</v>
      </c>
      <c r="I168" s="1315">
        <f>SUMIFS('12'!$J$7:$J$100,'12'!$H$7:$H$100,$A168,'12'!$I$7:$I$100,"")+SUMIFS('13'!$J$7:$J$100,'13'!$H$7:$H$100,$A168,'13'!$I$7:$I$100,"")+SUMIFS('14'!$J$7:$J$100,'14'!$H$7:$H$100,$A168,'14'!$I$7:$I$100,"")+SUMIFS('15'!$J$7:$J$100,'15'!$H$7:$H$100,$A168,'15'!$I$7:$I$100,"")+SUMIFS('15a'!$J$7:$J$100,'15a'!$H$7:$H$100,$A168,'15a'!$I$7:$I$100,"")+SUMIFS('15b'!$J$7:$J$100,'15b'!$H$7:$H$100,$A168,'15b'!$I$7:$I$100,"")+SUMIFS('15c'!$J$7:$J$100,'15c'!$H$7:$H$100,$A168,'15c'!$I$7:$I$100,"")+SUMIFS('15d'!$J$7:$J$100,'15d'!$H$7:$H$100,$A168,'15d'!$I$7:$I$100,"")+SUMIFS('15e'!$J$7:$J$100,'15e'!$H$7:$H$100,$A168,'15e'!$I$7:$I$100,"")+SUMIFS('15f'!$J$7:$J$100,'15f'!$H$7:$H$100,$A168,'15f'!$I$7:$I$100,"")+SUMIFS('15g'!$J$7:$J$100,'15g'!$H$7:$H$100,$A168,'15g'!$I$7:$I$100,"")+SUMIFS('15h'!$J$7:$J$100,'15h'!$H$7:$H$100,$A168,'15h'!$I$7:$I$100,"")+SUMIFS('15i'!$J$7:$J$100,'15i'!$H$7:$H$100,$A168,'15i'!$I$7:$I$100,"")+SUMIFS('15j'!$J$7:$J$100,'15j'!$H$7:$H$100,$A168,'15j'!$I$7:$I$100,"")+SUMIFS('15k'!$J$7:$J$100,'15k'!$H$7:$H$100,$A168,'15k'!$I$7:$I$100,"")+SUMIFS('15l'!$J$7:$J$100,'15l'!$H$7:$H$100,$A168,'15l'!$I$7:$I$100,"")+SUMIFS('15m'!$J$7:$J$100,'15m'!$H$7:$H$100,$A168,'15m'!$I$7:$I$100,"")+SUMIFS('15n'!$J$7:$J$100,'15n'!$H$7:$H$100,$A168,'15n'!$I$7:$I$100,"")+SUMIFS('16'!$J$7:$J$100,'16'!$H$7:$H$100,$A168,'16'!$I$7:$I$100,"")+SUMIFS('16a'!$J$7:$J$100,'16a'!$H$7:$H$100,$A168,'16a'!$I$7:$I$100,"")+SUMIFS('17'!$J$7:$J$100,'17'!$H$7:$H$100,$A168,'17'!$I$7:$I$100,"")+SUMIFS('17a'!$J$7:$J$100,'17a'!$H$7:$H$100,$A168,'17a'!$I$7:$I$100,"")+SUMIFS('18'!$J$7:$J$100,'18'!$H$7:$H$100,$A168,'18'!$I$7:$I$100,"")+SUMIFS('18a'!$J$7:$J$100,'18a'!$H$7:$H$100,$A168,'18a'!$I$7:$I$100,"")
+SUMIFS('19'!$J$7:$J$100,'19'!$H$7:$H$100,$A168,'19'!$I$7:$I$100,"")+SUMIFS('20'!$J$7:$J$100,'20'!$H$7:$H$100,$A168,'20'!$I$7:$I$100,"")+SUMIFS('20a'!$J$7:$J$100,'20a'!$H$7:$H$100,$A168,'20a'!$I$7:$I$100,"")+SUMIFS('21'!$J$7:$J$100,'21'!$H$7:$H$100,$A168,'21'!$I$7:$I$100,"")+SUMIFS('22'!$J$7:$J$100,'22'!$H$7:$H$100,$A168,'22'!$I$7:$I$100,"")+SUMIFS('22a'!$J$7:$J$100,'22a'!$H$7:$H$100,$A168,'22a'!$I$7:$I$100,"")+SUMIFS('22b'!$J$7:$J$100,'22b'!$H$7:$H$100,$A168,'22b'!$I$7:$I$100,"")+SUMIFS('23'!$J$7:$J$100,'23'!$H$7:$H$100,$A168,'23'!$I$7:$I$100,"")+SUMIFS('24'!$J$7:$J$100,'24'!$H$7:$H$100,$A168,'24'!$I$7:$I$100,"")+SUMIFS('24a'!$J$7:$J$100,'24a'!$H$7:$H$100,$A168,'24a'!$I$7:$I$100,"")+SUMIFS('24b'!$J$7:$J$100,'24b'!$H$7:$H$100,$A168,'24b'!$I$7:$I$100,"")+SUMIFS('24c'!$J$7:$J$100,'24c'!$H$7:$H$100,$A168,'24c'!$I$7:$I$100,"")+SUMIFS('24d'!$J$7:$J$100,'24d'!$H$7:$H$100,$A168,'24d'!$I$7:$I$100,"")+SUMIFS('24e'!$J$7:$J$100,'24e'!$H$7:$H$100,$A168,'24e'!$I$7:$I$100,"")+SUMIFS('24f'!$J$7:$J$100,'24f'!$H$7:$H$100,$A168,'24f'!$I$7:$I$100,"")+SUMIFS('24g'!$J$7:$J$100,'24g'!$H$7:$H$100,$A168,'24g'!$I$7:$I$100,"")+SUMIFS('24h'!$J$7:$J$100,'24h'!$H$7:$H$100,$A168,'24h'!$I$7:$I$100,"")+SUMIFS('24i'!$J$7:$J$100,'24i'!$H$7:$H$100,$A168,'24i'!$I$7:$I$100,"")+SUMIFS('25'!$J$7:$J$100,'25'!$H$7:$H$100,$A168,'25'!$I$7:$I$100,"")+SUMIFS('26'!$J$7:$J$100,'26'!$H$7:$H$100,$A168,'26'!$I$7:$I$100,"")+SUMIFS('26a'!$J$7:$J$100,'26a'!$H$7:$H$100,$A168,'26a'!$I$7:$I$100,"")+SUMIFS('27'!$J$7:$J$100,'27'!$H$7:$H$100,$A168,'27'!$I$7:$I$100,"")+SUMIFS('27a'!$J$7:$J$100,'27a'!$H$7:$H$100,$A168,'27a'!$I$7:$I$100,"")+SUMIFS('28'!$J$7:$J$100,'28'!$H$7:$H$100,$A168,'28'!$I$7:$I$100,"")+SUMIFS('29'!$J$7:$J$100,'29'!$H$7:$H$100,$A168,'29'!$I$7:$I$100,"")</f>
        <v>0</v>
      </c>
      <c r="J168" s="1296">
        <f>SUM(G168:I168)</f>
        <v>100</v>
      </c>
      <c r="K168"/>
      <c r="L168"/>
      <c r="M168"/>
      <c r="N168"/>
      <c r="O168"/>
      <c r="P168"/>
      <c r="Q168"/>
      <c r="R168"/>
      <c r="S168" s="1307">
        <f t="shared" si="2"/>
        <v>200</v>
      </c>
      <c r="T168"/>
    </row>
    <row r="169" spans="1:20" ht="12.75" customHeight="1" x14ac:dyDescent="0.2">
      <c r="A169"/>
      <c r="B169" s="784" t="s">
        <v>5568</v>
      </c>
      <c r="C169" s="1295">
        <f>SUM(C170:C173)</f>
        <v>0</v>
      </c>
      <c r="D169" s="1315">
        <f t="shared" ref="D169:J169" si="3">SUM(D170:D173)</f>
        <v>0</v>
      </c>
      <c r="E169" s="1315">
        <f t="shared" si="3"/>
        <v>0</v>
      </c>
      <c r="F169" s="1296">
        <f t="shared" si="3"/>
        <v>0</v>
      </c>
      <c r="G169" s="1295">
        <f t="shared" si="3"/>
        <v>0</v>
      </c>
      <c r="H169" s="1315">
        <f t="shared" si="3"/>
        <v>0</v>
      </c>
      <c r="I169" s="1315">
        <f t="shared" si="3"/>
        <v>0</v>
      </c>
      <c r="J169" s="1296">
        <f t="shared" si="3"/>
        <v>0</v>
      </c>
      <c r="K169"/>
      <c r="L169"/>
      <c r="M169"/>
      <c r="N169"/>
      <c r="O169"/>
      <c r="P169"/>
      <c r="Q169"/>
      <c r="R169"/>
      <c r="S169" s="1307">
        <f t="shared" si="2"/>
        <v>0</v>
      </c>
      <c r="T169"/>
    </row>
    <row r="170" spans="1:20" ht="12.75" customHeight="1" outlineLevel="1" x14ac:dyDescent="0.2">
      <c r="A170" t="s">
        <v>5074</v>
      </c>
      <c r="B170" t="s">
        <v>5465</v>
      </c>
      <c r="C170" s="1295">
        <f>SUMIFS('12'!$N$7:$N$100,'12'!$H$7:$H$100,$A170,'12'!$I$7:$I$100,1)+SUMIFS('13'!$N$7:$N$100,'13'!$H$7:$H$100,$A170,'13'!$I$7:$I$100,1)+SUMIFS('14'!$N$7:$N$100,'14'!$H$7:$H$100,$A170,'14'!$I$7:$I$100,1)+SUMIFS('15'!$N$7:$N$100,'15'!$H$7:$H$100,$A170,'15'!$I$7:$I$100,1)+SUMIFS('15a'!$N$7:$N$100,'15a'!$H$7:$H$100,$A170,'15a'!$I$7:$I$100,1)+SUMIFS('15b'!$N$7:$N$100,'15b'!$H$7:$H$100,$A170,'15b'!$I$7:$I$100,1)+SUMIFS('15c'!$N$7:$N$100,'15c'!$H$7:$H$100,$A170,'15c'!$I$7:$I$100,1)+SUMIFS('15d'!$N$7:$N$100,'15d'!$H$7:$H$100,$A170,'15d'!$I$7:$I$100,1)+SUMIFS('15e'!$N$7:$N$100,'15e'!$H$7:$H$100,$A170,'15e'!$I$7:$I$100,1)+SUMIFS('15f'!$N$7:$N$100,'15f'!$H$7:$H$100,$A170,'15f'!$I$7:$I$100,1)+SUMIFS('15g'!$N$7:$N$100,'15g'!$H$7:$H$100,$A170,'15g'!$I$7:$I$100,1)+SUMIFS('15h'!$N$7:$N$100,'15h'!$H$7:$H$100,$A170,'15h'!$I$7:$I$100,1)+SUMIFS('15i'!$N$7:$N$100,'15i'!$H$7:$H$100,$A170,'15i'!$I$7:$I$100,1)+SUMIFS('15j'!$N$7:$N$100,'15j'!$H$7:$H$100,$A170,'15j'!$I$7:$I$100,1)+SUMIFS('15k'!$N$7:$N$100,'15k'!$H$7:$H$100,$A170,'15k'!$I$7:$I$100,1)+SUMIFS('15l'!$N$7:$N$100,'15l'!$H$7:$H$100,$A170,'15l'!$I$7:$I$100,1)+SUMIFS('15m'!$N$7:$N$100,'15m'!$H$7:$H$100,$A170,'15m'!$I$7:$I$100,1)+SUMIFS('15n'!$N$7:$N$100,'15n'!$H$7:$H$100,$A170,'15n'!$I$7:$I$100,1)+SUMIFS('16'!$N$7:$N$100,'16'!$H$7:$H$100,$A170,'16'!$I$7:$I$100,1)+SUMIFS('16a'!$N$7:$N$100,'16a'!$H$7:$H$100,$A170,'16a'!$I$7:$I$100,1)+SUMIFS('17'!$N$7:$N$100,'17'!$H$7:$H$100,$A170,'17'!$I$7:$I$100,1)+SUMIFS('17a'!$N$7:$N$100,'17a'!$H$7:$H$100,$A170,'17a'!$I$7:$I$100,1)+SUMIFS('18'!$N$7:$N$100,'18'!$H$7:$H$100,$A170,'18'!$I$7:$I$100,1)+SUMIFS('18a'!$N$7:$N$100,'18a'!$H$7:$H$100,$A170,'18a'!$I$7:$I$100,1)
+SUMIFS('19'!$N$7:$N$100,'19'!$H$7:$H$100,$A170,'19'!$I$7:$I$100,1)+SUMIFS('20'!$N$7:$N$100,'20'!$H$7:$H$100,$A170,'20'!$I$7:$I$100,1)+SUMIFS('20a'!$N$7:$N$100,'20a'!$H$7:$H$100,$A170,'20a'!$I$7:$I$100,1)+SUMIFS('21'!$N$7:$N$100,'21'!$H$7:$H$100,$A170,'21'!$I$7:$I$100,1)+SUMIFS('22'!$N$7:$N$100,'22'!$H$7:$H$100,$A170,'22'!$I$7:$I$100,1)+SUMIFS('22a'!$N$7:$N$100,'22a'!$H$7:$H$100,$A170,'22a'!$I$7:$I$100,1)+SUMIFS('22b'!$N$7:$N$100,'22b'!$H$7:$H$100,$A170,'22b'!$I$7:$I$100,1)+SUMIFS('23'!$N$7:$N$100,'23'!$H$7:$H$100,$A170,'23'!$I$7:$I$100,1)+SUMIFS('24'!$N$7:$N$100,'24'!$H$7:$H$100,$A170,'24'!$I$7:$I$100,1)+SUMIFS('24a'!$N$7:$N$100,'24a'!$H$7:$H$100,$A170,'24a'!$I$7:$I$100,1)+SUMIFS('24b'!$N$7:$N$100,'24b'!$H$7:$H$100,$A170,'24b'!$I$7:$I$100,1)+SUMIFS('24c'!$N$7:$N$100,'24c'!$H$7:$H$100,$A170,'24c'!$I$7:$I$100,1)+SUMIFS('24d'!$N$7:$N$100,'24d'!$H$7:$H$100,$A170,'24d'!$I$7:$I$100,1)+SUMIFS('24e'!$N$7:$N$100,'24e'!$H$7:$H$100,$A170,'24e'!$I$7:$I$100,1)+SUMIFS('24f'!$N$7:$N$100,'24f'!$H$7:$H$100,$A170,'24f'!$I$7:$I$100,1)+SUMIFS('24g'!$N$7:$N$100,'24g'!$H$7:$H$100,$A170,'24g'!$I$7:$I$100,1)+SUMIFS('24h'!$N$7:$N$100,'24h'!$H$7:$H$100,$A170,'24h'!$I$7:$I$100,1)+SUMIFS('24i'!$N$7:$N$100,'24i'!$H$7:$H$100,$A170,'24i'!$I$7:$I$100,1)+SUMIFS('25'!$N$7:$N$100,'25'!$H$7:$H$100,$A170,'25'!$I$7:$I$100,1)+SUMIFS('26'!$N$7:$N$100,'26'!$H$7:$H$100,$A170,'26'!$I$7:$I$100,1)+SUMIFS('26a'!$N$7:$N$100,'26a'!$H$7:$H$100,$A170,'26a'!$I$7:$I$100,1)+SUMIFS('27'!$N$7:$N$100,'27'!$H$7:$H$100,$A170,'27'!$I$7:$I$100,1)+SUMIFS('27a'!$N$7:$N$100,'27a'!$H$7:$H$100,$A170,'27a'!$I$7:$I$100,1)+SUMIFS('28'!$N$7:$N$100,'28'!$H$7:$H$100,$A170,'28'!$I$7:$I$100,1)+SUMIFS('29'!$N$7:$N$100,'29'!$H$7:$H$100,$A170,'29'!$I$7:$I$100,1)</f>
        <v>0</v>
      </c>
      <c r="D170" s="1315">
        <f>SUMIFS('12'!$N$7:$N$100,'12'!$H$7:$H$100,$A170,'12'!$I$7:$I$100,2)+SUMIFS('13'!$N$7:$N$100,'13'!$H$7:$H$100,$A170,'13'!$I$7:$I$100,2)+SUMIFS('14'!$N$7:$N$100,'14'!$H$7:$H$100,$A170,'14'!$I$7:$I$100,2)+SUMIFS('15'!$N$7:$N$100,'15'!$H$7:$H$100,$A170,'15'!$I$7:$I$100,2)+SUMIFS('15a'!$N$7:$N$100,'15a'!$H$7:$H$100,$A170,'15a'!$I$7:$I$100,2)+SUMIFS('15b'!$N$7:$N$100,'15b'!$H$7:$H$100,$A170,'15b'!$I$7:$I$100,2)+SUMIFS('15c'!$N$7:$N$100,'15c'!$H$7:$H$100,$A170,'15c'!$I$7:$I$100,2)+SUMIFS('15d'!$N$7:$N$100,'15d'!$H$7:$H$100,$A170,'15d'!$I$7:$I$100,2)+SUMIFS('15e'!$N$7:$N$100,'15e'!$H$7:$H$100,$A170,'15e'!$I$7:$I$100,2)+SUMIFS('15f'!$N$7:$N$100,'15f'!$H$7:$H$100,$A170,'15f'!$I$7:$I$100,2)+SUMIFS('15g'!$N$7:$N$100,'15g'!$H$7:$H$100,$A170,'15g'!$I$7:$I$100,2)+SUMIFS('15h'!$N$7:$N$100,'15h'!$H$7:$H$100,$A170,'15h'!$I$7:$I$100,2)+SUMIFS('15i'!$N$7:$N$100,'15i'!$H$7:$H$100,$A170,'15i'!$I$7:$I$100,2)+SUMIFS('15j'!$N$7:$N$100,'15j'!$H$7:$H$100,$A170,'15j'!$I$7:$I$100,2)+SUMIFS('15k'!$N$7:$N$100,'15k'!$H$7:$H$100,$A170,'15k'!$I$7:$I$100,2)+SUMIFS('15l'!$N$7:$N$100,'15l'!$H$7:$H$100,$A170,'15l'!$I$7:$I$100,2)+SUMIFS('15m'!$N$7:$N$100,'15m'!$H$7:$H$100,$A170,'15m'!$I$7:$I$100,2)+SUMIFS('15n'!$N$7:$N$100,'15n'!$H$7:$H$100,$A170,'15n'!$I$7:$I$100,2)+SUMIFS('16'!$N$7:$N$100,'16'!$H$7:$H$100,$A170,'16'!$I$7:$I$100,2)+SUMIFS('16a'!$N$7:$N$100,'16a'!$H$7:$H$100,$A170,'16a'!$I$7:$I$100,2)+SUMIFS('17'!$N$7:$N$100,'17'!$H$7:$H$100,$A170,'17'!$I$7:$I$100,2)+SUMIFS('17a'!$N$7:$N$100,'17a'!$H$7:$H$100,$A170,'17a'!$I$7:$I$100,2)+SUMIFS('18'!$N$7:$N$100,'18'!$H$7:$H$100,$A170,'18'!$I$7:$I$100,2)+SUMIFS('18a'!$N$7:$N$100,'18a'!$H$7:$H$100,$A170,'18a'!$I$7:$I$100,2)
+SUMIFS('19'!$N$7:$N$100,'19'!$H$7:$H$100,$A170,'19'!$I$7:$I$100,2)+SUMIFS('20'!$N$7:$N$100,'20'!$H$7:$H$100,$A170,'20'!$I$7:$I$100,2)+SUMIFS('20a'!$N$7:$N$100,'20a'!$H$7:$H$100,$A170,'20a'!$I$7:$I$100,2)+SUMIFS('21'!$N$7:$N$100,'21'!$H$7:$H$100,$A170,'21'!$I$7:$I$100,2)+SUMIFS('22'!$N$7:$N$100,'22'!$H$7:$H$100,$A170,'22'!$I$7:$I$100,2)+SUMIFS('22a'!$N$7:$N$100,'22a'!$H$7:$H$100,$A170,'22a'!$I$7:$I$100,2)+SUMIFS('22b'!$N$7:$N$100,'22b'!$H$7:$H$100,$A170,'22b'!$I$7:$I$100,2)+SUMIFS('23'!$N$7:$N$100,'23'!$H$7:$H$100,$A170,'23'!$I$7:$I$100,2)+SUMIFS('24'!$N$7:$N$100,'24'!$H$7:$H$100,$A170,'24'!$I$7:$I$100,2)+SUMIFS('24a'!$N$7:$N$100,'24a'!$H$7:$H$100,$A170,'24a'!$I$7:$I$100,2)+SUMIFS('24b'!$N$7:$N$100,'24b'!$H$7:$H$100,$A170,'24b'!$I$7:$I$100,2)+SUMIFS('24c'!$N$7:$N$100,'24c'!$H$7:$H$100,$A170,'24c'!$I$7:$I$100,2)+SUMIFS('24d'!$N$7:$N$100,'24d'!$H$7:$H$100,$A170,'24d'!$I$7:$I$100,2)+SUMIFS('24e'!$N$7:$N$100,'24e'!$H$7:$H$100,$A170,'24e'!$I$7:$I$100,2)+SUMIFS('24f'!$N$7:$N$100,'24f'!$H$7:$H$100,$A170,'24f'!$I$7:$I$100,2)+SUMIFS('24g'!$N$7:$N$100,'24g'!$H$7:$H$100,$A170,'24g'!$I$7:$I$100,2)+SUMIFS('24h'!$N$7:$N$100,'24h'!$H$7:$H$100,$A170,'24h'!$I$7:$I$100,2)+SUMIFS('24i'!$N$7:$N$100,'24i'!$H$7:$H$100,$A170,'24i'!$I$7:$I$100,2)+SUMIFS('25'!$N$7:$N$100,'25'!$H$7:$H$100,$A170,'25'!$I$7:$I$100,2)+SUMIFS('26'!$N$7:$N$100,'26'!$H$7:$H$100,$A170,'26'!$I$7:$I$100,2)+SUMIFS('26a'!$N$7:$N$100,'26a'!$H$7:$H$100,$A170,'26a'!$I$7:$I$100,2)+SUMIFS('27'!$N$7:$N$100,'27'!$H$7:$H$100,$A170,'27'!$I$7:$I$100,2)+SUMIFS('27a'!$N$7:$N$100,'27a'!$H$7:$H$100,$A170,'27a'!$I$7:$I$100,2)+SUMIFS('28'!$N$7:$N$100,'28'!$H$7:$H$100,$A170,'28'!$I$7:$I$100,2)+SUMIFS('29'!$N$7:$N$100,'29'!$H$7:$H$100,$A170,'29'!$I$7:$I$100,2)</f>
        <v>0</v>
      </c>
      <c r="E170" s="1315">
        <f>SUMIFS('12'!$N$7:$N$100,'12'!$H$7:$H$100,$A170,'12'!$I$7:$I$100,"")+SUMIFS('13'!$N$7:$N$100,'13'!$H$7:$H$100,$A170,'13'!$I$7:$I$100,"")+SUMIFS('14'!$N$7:$N$100,'14'!$H$7:$H$100,$A170,'14'!$I$7:$I$100,"")+SUMIFS('15'!$N$7:$N$100,'15'!$H$7:$H$100,$A170,'15'!$I$7:$I$100,"")+SUMIFS('15a'!$N$7:$N$100,'15a'!$H$7:$H$100,$A170,'15a'!$I$7:$I$100,"")+SUMIFS('15b'!$N$7:$N$100,'15b'!$H$7:$H$100,$A170,'15b'!$I$7:$I$100,"")+SUMIFS('15c'!$N$7:$N$100,'15c'!$H$7:$H$100,$A170,'15c'!$I$7:$I$100,"")+SUMIFS('15d'!$N$7:$N$100,'15d'!$H$7:$H$100,$A170,'15d'!$I$7:$I$100,"")+SUMIFS('15e'!$N$7:$N$100,'15e'!$H$7:$H$100,$A170,'15e'!$I$7:$I$100,"")+SUMIFS('15f'!$N$7:$N$100,'15f'!$H$7:$H$100,$A170,'15f'!$I$7:$I$100,"")+SUMIFS('15g'!$N$7:$N$100,'15g'!$H$7:$H$100,$A170,'15g'!$I$7:$I$100,"")+SUMIFS('15h'!$N$7:$N$100,'15h'!$H$7:$H$100,$A170,'15h'!$I$7:$I$100,"")+SUMIFS('15i'!$N$7:$N$100,'15i'!$H$7:$H$100,$A170,'15i'!$I$7:$I$100,"")+SUMIFS('15j'!$N$7:$N$100,'15j'!$H$7:$H$100,$A170,'15j'!$I$7:$I$100,"")+SUMIFS('15k'!$N$7:$N$100,'15k'!$H$7:$H$100,$A170,'15k'!$I$7:$I$100,"")+SUMIFS('15l'!$N$7:$N$100,'15l'!$H$7:$H$100,$A170,'15l'!$I$7:$I$100,"")+SUMIFS('15m'!$N$7:$N$100,'15m'!$H$7:$H$100,$A170,'15m'!$I$7:$I$100,"")+SUMIFS('15n'!$N$7:$N$100,'15n'!$H$7:$H$100,$A170,'15n'!$I$7:$I$100,"")+SUMIFS('16'!$N$7:$N$100,'16'!$H$7:$H$100,$A170,'16'!$I$7:$I$100,"")+SUMIFS('16a'!$N$7:$N$100,'16a'!$H$7:$H$100,$A170,'16a'!$I$7:$I$100,"")+SUMIFS('17'!$N$7:$N$100,'17'!$H$7:$H$100,$A170,'17'!$I$7:$I$100,"")+SUMIFS('17a'!$N$7:$N$100,'17a'!$H$7:$H$100,$A170,'17a'!$I$7:$I$100,"")+SUMIFS('18'!$N$7:$N$100,'18'!$H$7:$H$100,$A170,'18'!$I$7:$I$100,"")+SUMIFS('18a'!$N$7:$N$100,'18a'!$H$7:$H$100,$A170,'18a'!$I$7:$I$100,"")
+SUMIFS('19'!$N$7:$N$100,'19'!$H$7:$H$100,$A170,'19'!$I$7:$I$100,"")+SUMIFS('20'!$N$7:$N$100,'20'!$H$7:$H$100,$A170,'20'!$I$7:$I$100,"")+SUMIFS('20a'!$N$7:$N$100,'20a'!$H$7:$H$100,$A170,'20a'!$I$7:$I$100,"")+SUMIFS('21'!$N$7:$N$100,'21'!$H$7:$H$100,$A170,'21'!$I$7:$I$100,"")+SUMIFS('22'!$N$7:$N$100,'22'!$H$7:$H$100,$A170,'22'!$I$7:$I$100,"")+SUMIFS('22a'!$N$7:$N$100,'22a'!$H$7:$H$100,$A170,'22a'!$I$7:$I$100,"")+SUMIFS('22b'!$N$7:$N$100,'22b'!$H$7:$H$100,$A170,'22b'!$I$7:$I$100,"")+SUMIFS('23'!$N$7:$N$100,'23'!$H$7:$H$100,$A170,'23'!$I$7:$I$100,"")+SUMIFS('24'!$N$7:$N$100,'24'!$H$7:$H$100,$A170,'24'!$I$7:$I$100,"")+SUMIFS('24a'!$N$7:$N$100,'24a'!$H$7:$H$100,$A170,'24a'!$I$7:$I$100,"")+SUMIFS('24b'!$N$7:$N$100,'24b'!$H$7:$H$100,$A170,'24b'!$I$7:$I$100,"")+SUMIFS('24c'!$N$7:$N$100,'24c'!$H$7:$H$100,$A170,'24c'!$I$7:$I$100,"")+SUMIFS('24d'!$N$7:$N$100,'24d'!$H$7:$H$100,$A170,'24d'!$I$7:$I$100,"")+SUMIFS('24e'!$N$7:$N$100,'24e'!$H$7:$H$100,$A170,'24e'!$I$7:$I$100,"")+SUMIFS('24f'!$N$7:$N$100,'24f'!$H$7:$H$100,$A170,'24f'!$I$7:$I$100,"")+SUMIFS('24g'!$N$7:$N$100,'24g'!$H$7:$H$100,$A170,'24g'!$I$7:$I$100,"")+SUMIFS('24h'!$N$7:$N$100,'24h'!$H$7:$H$100,$A170,'24h'!$I$7:$I$100,"")+SUMIFS('24i'!$N$7:$N$100,'24i'!$H$7:$H$100,$A170,'24i'!$I$7:$I$100,"")+SUMIFS('25'!$N$7:$N$100,'25'!$H$7:$H$100,$A170,'25'!$I$7:$I$100,"")+SUMIFS('26'!$N$7:$N$100,'26'!$H$7:$H$100,$A170,'26'!$I$7:$I$100,"")+SUMIFS('26a'!$N$7:$N$100,'26a'!$H$7:$H$100,$A170,'26a'!$I$7:$I$100,"")+SUMIFS('27'!$N$7:$N$100,'27'!$H$7:$H$100,$A170,'27'!$I$7:$I$100,"")+SUMIFS('27a'!$N$7:$N$100,'27a'!$H$7:$H$100,$A170,'27a'!$I$7:$I$100,"")+SUMIFS('28'!$N$7:$N$100,'28'!$H$7:$H$100,$A170,'28'!$I$7:$I$100,"")+SUMIFS('29'!$N$7:$N$100,'29'!$H$7:$H$100,$A170,'29'!$I$7:$I$100,"")</f>
        <v>0</v>
      </c>
      <c r="F170" s="1296">
        <f t="shared" ref="F170:F186" si="4">SUM(C170:E170)</f>
        <v>0</v>
      </c>
      <c r="G170" s="1295">
        <f>SUMIFS('12'!$J$7:$J$100,'12'!$H$7:$H$100,$A170,'12'!$I$7:$I$100,1)+SUMIFS('13'!$J$7:$J$100,'13'!$H$7:$H$100,$A170,'13'!$I$7:$I$100,1)+SUMIFS('14'!$J$7:$J$100,'14'!$H$7:$H$100,$A170,'14'!$I$7:$I$100,1)+SUMIFS('15'!$J$7:$J$100,'15'!$H$7:$H$100,$A170,'15'!$I$7:$I$100,1)+SUMIFS('15a'!$J$7:$J$100,'15a'!$H$7:$H$100,$A170,'15a'!$I$7:$I$100,1)+SUMIFS('15b'!$J$7:$J$100,'15b'!$H$7:$H$100,$A170,'15b'!$I$7:$I$100,1)+SUMIFS('15c'!$J$7:$J$100,'15c'!$H$7:$H$100,$A170,'15c'!$I$7:$I$100,1)+SUMIFS('15d'!$J$7:$J$100,'15d'!$H$7:$H$100,$A170,'15d'!$I$7:$I$100,1)+SUMIFS('15e'!$J$7:$J$100,'15e'!$H$7:$H$100,$A170,'15e'!$I$7:$I$100,1)+SUMIFS('15f'!$J$7:$J$100,'15f'!$H$7:$H$100,$A170,'15f'!$I$7:$I$100,1)+SUMIFS('15g'!$J$7:$J$100,'15g'!$H$7:$H$100,$A170,'15g'!$I$7:$I$100,1)+SUMIFS('15h'!$J$7:$J$100,'15h'!$H$7:$H$100,$A170,'15h'!$I$7:$I$100,1)+SUMIFS('15i'!$J$7:$J$100,'15i'!$H$7:$H$100,$A170,'15i'!$I$7:$I$100,1)+SUMIFS('15j'!$J$7:$J$100,'15j'!$H$7:$H$100,$A170,'15j'!$I$7:$I$100,1)+SUMIFS('15k'!$J$7:$J$100,'15k'!$H$7:$H$100,$A170,'15k'!$I$7:$I$100,1)+SUMIFS('15l'!$J$7:$J$100,'15l'!$H$7:$H$100,$A170,'15l'!$I$7:$I$100,1)+SUMIFS('15m'!$J$7:$J$100,'15m'!$H$7:$H$100,$A170,'15m'!$I$7:$I$100,1)+SUMIFS('15n'!$J$7:$J$100,'15n'!$H$7:$H$100,$A170,'15n'!$I$7:$I$100,1)+SUMIFS('16'!$J$7:$J$100,'16'!$H$7:$H$100,$A170,'16'!$I$7:$I$100,1)+SUMIFS('16a'!$J$7:$J$100,'16a'!$H$7:$H$100,$A170,'16a'!$I$7:$I$100,1)+SUMIFS('17'!$J$7:$J$100,'17'!$H$7:$H$100,$A170,'17'!$I$7:$I$100,1)+SUMIFS('17a'!$J$7:$J$100,'17a'!$H$7:$H$100,$A170,'17a'!$I$7:$I$100,1)+SUMIFS('18'!$J$7:$J$100,'18'!$H$7:$H$100,$A170,'18'!$I$7:$I$100,1)+SUMIFS('18a'!$J$7:$J$100,'18a'!$H$7:$H$100,$A170,'18a'!$I$7:$I$100,1)
+SUMIFS('19'!$J$7:$J$100,'19'!$H$7:$H$100,$A170,'19'!$I$7:$I$100,1)+SUMIFS('20'!$J$7:$J$100,'20'!$H$7:$H$100,$A170,'20'!$I$7:$I$100,1)+SUMIFS('20a'!$J$7:$J$100,'20a'!$H$7:$H$100,$A170,'20a'!$I$7:$I$100,1)+SUMIFS('21'!$J$7:$J$100,'21'!$H$7:$H$100,$A170,'21'!$I$7:$I$100,1)+SUMIFS('22'!$J$7:$J$100,'22'!$H$7:$H$100,$A170,'22'!$I$7:$I$100,1)+SUMIFS('22a'!$J$7:$J$100,'22a'!$H$7:$H$100,$A170,'22a'!$I$7:$I$100,1)+SUMIFS('22b'!$J$7:$J$100,'22b'!$H$7:$H$100,$A170,'22b'!$I$7:$I$100,1)+SUMIFS('23'!$J$7:$J$100,'23'!$H$7:$H$100,$A170,'23'!$I$7:$I$100,1)+SUMIFS('24'!$J$7:$J$100,'24'!$H$7:$H$100,$A170,'24'!$I$7:$I$100,1)+SUMIFS('24a'!$J$7:$J$100,'24a'!$H$7:$H$100,$A170,'24a'!$I$7:$I$100,1)+SUMIFS('24b'!$J$7:$J$100,'24b'!$H$7:$H$100,$A170,'24b'!$I$7:$I$100,1)+SUMIFS('24c'!$J$7:$J$100,'24c'!$H$7:$H$100,$A170,'24c'!$I$7:$I$100,1)+SUMIFS('24d'!$J$7:$J$100,'24d'!$H$7:$H$100,$A170,'24d'!$I$7:$I$100,1)+SUMIFS('24e'!$J$7:$J$100,'24e'!$H$7:$H$100,$A170,'24e'!$I$7:$I$100,1)+SUMIFS('24f'!$J$7:$J$100,'24f'!$H$7:$H$100,$A170,'24f'!$I$7:$I$100,1)+SUMIFS('24g'!$J$7:$J$100,'24g'!$H$7:$H$100,$A170,'24g'!$I$7:$I$100,1)+SUMIFS('24h'!$J$7:$J$100,'24h'!$H$7:$H$100,$A170,'24h'!$I$7:$I$100,1)+SUMIFS('24i'!$J$7:$J$100,'24i'!$H$7:$H$100,$A170,'24i'!$I$7:$I$100,1)+SUMIFS('25'!$J$7:$J$100,'25'!$H$7:$H$100,$A170,'25'!$I$7:$I$100,1)+SUMIFS('26'!$J$7:$J$100,'26'!$H$7:$H$100,$A170,'26'!$I$7:$I$100,1)+SUMIFS('26a'!$J$7:$J$100,'26a'!$H$7:$H$100,$A170,'26a'!$I$7:$I$100,1)+SUMIFS('27'!$J$7:$J$100,'27'!$H$7:$H$100,$A170,'27'!$I$7:$I$100,1)+SUMIFS('27a'!$J$7:$J$100,'27a'!$H$7:$H$100,$A170,'27a'!$I$7:$I$100,1)+SUMIFS('28'!$J$7:$J$100,'28'!$H$7:$H$100,$A170,'28'!$I$7:$I$100,1)+SUMIFS('29'!$J$7:$J$100,'29'!$H$7:$H$100,$A170,'29'!$I$7:$I$100,1)</f>
        <v>0</v>
      </c>
      <c r="H170" s="1315">
        <f>SUMIFS('12'!$J$7:$J$100,'12'!$H$7:$H$100,$A170,'12'!$I$7:$I$100,2)+SUMIFS('13'!$J$7:$J$100,'13'!$H$7:$H$100,$A170,'13'!$I$7:$I$100,2)+SUMIFS('14'!$J$7:$J$100,'14'!$H$7:$H$100,$A170,'14'!$I$7:$I$100,2)+SUMIFS('15'!$J$7:$J$100,'15'!$H$7:$H$100,$A170,'15'!$I$7:$I$100,2)+SUMIFS('15a'!$J$7:$J$100,'15a'!$H$7:$H$100,$A170,'15a'!$I$7:$I$100,2)+SUMIFS('15b'!$J$7:$J$100,'15b'!$H$7:$H$100,$A170,'15b'!$I$7:$I$100,2)+SUMIFS('15c'!$J$7:$J$100,'15c'!$H$7:$H$100,$A170,'15c'!$I$7:$I$100,2)+SUMIFS('15d'!$J$7:$J$100,'15d'!$H$7:$H$100,$A170,'15d'!$I$7:$I$100,2)+SUMIFS('15e'!$J$7:$J$100,'15e'!$H$7:$H$100,$A170,'15e'!$I$7:$I$100,2)+SUMIFS('15f'!$J$7:$J$100,'15f'!$H$7:$H$100,$A170,'15f'!$I$7:$I$100,2)+SUMIFS('15g'!$J$7:$J$100,'15g'!$H$7:$H$100,$A170,'15g'!$I$7:$I$100,2)+SUMIFS('15h'!$J$7:$J$100,'15h'!$H$7:$H$100,$A170,'15h'!$I$7:$I$100,2)+SUMIFS('15i'!$J$7:$J$100,'15i'!$H$7:$H$100,$A170,'15i'!$I$7:$I$100,2)+SUMIFS('15j'!$J$7:$J$100,'15j'!$H$7:$H$100,$A170,'15j'!$I$7:$I$100,2)+SUMIFS('15k'!$J$7:$J$100,'15k'!$H$7:$H$100,$A170,'15k'!$I$7:$I$100,2)+SUMIFS('15l'!$J$7:$J$100,'15l'!$H$7:$H$100,$A170,'15l'!$I$7:$I$100,2)+SUMIFS('15m'!$J$7:$J$100,'15m'!$H$7:$H$100,$A170,'15m'!$I$7:$I$100,2)+SUMIFS('15n'!$J$7:$J$100,'15n'!$H$7:$H$100,$A170,'15n'!$I$7:$I$100,2)+SUMIFS('16'!$J$7:$J$100,'16'!$H$7:$H$100,$A170,'16'!$I$7:$I$100,2)+SUMIFS('16a'!$J$7:$J$100,'16a'!$H$7:$H$100,$A170,'16a'!$I$7:$I$100,2)+SUMIFS('17'!$J$7:$J$100,'17'!$H$7:$H$100,$A170,'17'!$I$7:$I$100,2)+SUMIFS('17a'!$J$7:$J$100,'17a'!$H$7:$H$100,$A170,'17a'!$I$7:$I$100,2)+SUMIFS('18'!$J$7:$J$100,'18'!$H$7:$H$100,$A170,'18'!$I$7:$I$100,2)+SUMIFS('18a'!$J$7:$J$100,'18a'!$H$7:$H$100,$A170,'18a'!$I$7:$I$100,2)
+SUMIFS('19'!$J$7:$J$100,'19'!$H$7:$H$100,$A170,'19'!$I$7:$I$100,2)+SUMIFS('20'!$J$7:$J$100,'20'!$H$7:$H$100,$A170,'20'!$I$7:$I$100,2)+SUMIFS('20a'!$J$7:$J$100,'20a'!$H$7:$H$100,$A170,'20a'!$I$7:$I$100,2)+SUMIFS('21'!$J$7:$J$100,'21'!$H$7:$H$100,$A170,'21'!$I$7:$I$100,2)+SUMIFS('22'!$J$7:$J$100,'22'!$H$7:$H$100,$A170,'22'!$I$7:$I$100,2)+SUMIFS('22a'!$J$7:$J$100,'22a'!$H$7:$H$100,$A170,'22a'!$I$7:$I$100,2)+SUMIFS('22b'!$J$7:$J$100,'22b'!$H$7:$H$100,$A170,'22b'!$I$7:$I$100,2)+SUMIFS('23'!$J$7:$J$100,'23'!$H$7:$H$100,$A170,'23'!$I$7:$I$100,2)+SUMIFS('24'!$J$7:$J$100,'24'!$H$7:$H$100,$A170,'24'!$I$7:$I$100,2)+SUMIFS('24a'!$J$7:$J$100,'24a'!$H$7:$H$100,$A170,'24a'!$I$7:$I$100,2)+SUMIFS('24b'!$J$7:$J$100,'24b'!$H$7:$H$100,$A170,'24b'!$I$7:$I$100,2)+SUMIFS('24c'!$J$7:$J$100,'24c'!$H$7:$H$100,$A170,'24c'!$I$7:$I$100,2)+SUMIFS('24d'!$J$7:$J$100,'24d'!$H$7:$H$100,$A170,'24d'!$I$7:$I$100,2)+SUMIFS('24e'!$J$7:$J$100,'24e'!$H$7:$H$100,$A170,'24e'!$I$7:$I$100,2)+SUMIFS('24f'!$J$7:$J$100,'24f'!$H$7:$H$100,$A170,'24f'!$I$7:$I$100,2)+SUMIFS('24g'!$J$7:$J$100,'24g'!$H$7:$H$100,$A170,'24g'!$I$7:$I$100,2)+SUMIFS('24h'!$J$7:$J$100,'24h'!$H$7:$H$100,$A170,'24h'!$I$7:$I$100,2)+SUMIFS('24i'!$J$7:$J$100,'24i'!$H$7:$H$100,$A170,'24i'!$I$7:$I$100,2)+SUMIFS('25'!$J$7:$J$100,'25'!$H$7:$H$100,$A170,'25'!$I$7:$I$100,2)+SUMIFS('26'!$J$7:$J$100,'26'!$H$7:$H$100,$A170,'26'!$I$7:$I$100,2)+SUMIFS('26a'!$J$7:$J$100,'26a'!$H$7:$H$100,$A170,'26a'!$I$7:$I$100,2)+SUMIFS('27'!$J$7:$J$100,'27'!$H$7:$H$100,$A170,'27'!$I$7:$I$100,2)+SUMIFS('27a'!$J$7:$J$100,'27a'!$H$7:$H$100,$A170,'27a'!$I$7:$I$100,2)+SUMIFS('28'!$J$7:$J$100,'28'!$H$7:$H$100,$A170,'28'!$I$7:$I$100,2)+SUMIFS('29'!$J$7:$J$100,'29'!$H$7:$H$100,$A170,'29'!$I$7:$I$100,2)</f>
        <v>0</v>
      </c>
      <c r="I170" s="1315">
        <f>SUMIFS('12'!$J$7:$J$100,'12'!$H$7:$H$100,$A170,'12'!$I$7:$I$100,"")+SUMIFS('13'!$J$7:$J$100,'13'!$H$7:$H$100,$A170,'13'!$I$7:$I$100,"")+SUMIFS('14'!$J$7:$J$100,'14'!$H$7:$H$100,$A170,'14'!$I$7:$I$100,"")+SUMIFS('15'!$J$7:$J$100,'15'!$H$7:$H$100,$A170,'15'!$I$7:$I$100,"")+SUMIFS('15a'!$J$7:$J$100,'15a'!$H$7:$H$100,$A170,'15a'!$I$7:$I$100,"")+SUMIFS('15b'!$J$7:$J$100,'15b'!$H$7:$H$100,$A170,'15b'!$I$7:$I$100,"")+SUMIFS('15c'!$J$7:$J$100,'15c'!$H$7:$H$100,$A170,'15c'!$I$7:$I$100,"")+SUMIFS('15d'!$J$7:$J$100,'15d'!$H$7:$H$100,$A170,'15d'!$I$7:$I$100,"")+SUMIFS('15e'!$J$7:$J$100,'15e'!$H$7:$H$100,$A170,'15e'!$I$7:$I$100,"")+SUMIFS('15f'!$J$7:$J$100,'15f'!$H$7:$H$100,$A170,'15f'!$I$7:$I$100,"")+SUMIFS('15g'!$J$7:$J$100,'15g'!$H$7:$H$100,$A170,'15g'!$I$7:$I$100,"")+SUMIFS('15h'!$J$7:$J$100,'15h'!$H$7:$H$100,$A170,'15h'!$I$7:$I$100,"")+SUMIFS('15i'!$J$7:$J$100,'15i'!$H$7:$H$100,$A170,'15i'!$I$7:$I$100,"")+SUMIFS('15j'!$J$7:$J$100,'15j'!$H$7:$H$100,$A170,'15j'!$I$7:$I$100,"")+SUMIFS('15k'!$J$7:$J$100,'15k'!$H$7:$H$100,$A170,'15k'!$I$7:$I$100,"")+SUMIFS('15l'!$J$7:$J$100,'15l'!$H$7:$H$100,$A170,'15l'!$I$7:$I$100,"")+SUMIFS('15m'!$J$7:$J$100,'15m'!$H$7:$H$100,$A170,'15m'!$I$7:$I$100,"")+SUMIFS('15n'!$J$7:$J$100,'15n'!$H$7:$H$100,$A170,'15n'!$I$7:$I$100,"")+SUMIFS('16'!$J$7:$J$100,'16'!$H$7:$H$100,$A170,'16'!$I$7:$I$100,"")+SUMIFS('16a'!$J$7:$J$100,'16a'!$H$7:$H$100,$A170,'16a'!$I$7:$I$100,"")+SUMIFS('17'!$J$7:$J$100,'17'!$H$7:$H$100,$A170,'17'!$I$7:$I$100,"")+SUMIFS('17a'!$J$7:$J$100,'17a'!$H$7:$H$100,$A170,'17a'!$I$7:$I$100,"")+SUMIFS('18'!$J$7:$J$100,'18'!$H$7:$H$100,$A170,'18'!$I$7:$I$100,"")+SUMIFS('18a'!$J$7:$J$100,'18a'!$H$7:$H$100,$A170,'18a'!$I$7:$I$100,"")
+SUMIFS('19'!$J$7:$J$100,'19'!$H$7:$H$100,$A170,'19'!$I$7:$I$100,"")+SUMIFS('20'!$J$7:$J$100,'20'!$H$7:$H$100,$A170,'20'!$I$7:$I$100,"")+SUMIFS('20a'!$J$7:$J$100,'20a'!$H$7:$H$100,$A170,'20a'!$I$7:$I$100,"")+SUMIFS('21'!$J$7:$J$100,'21'!$H$7:$H$100,$A170,'21'!$I$7:$I$100,"")+SUMIFS('22'!$J$7:$J$100,'22'!$H$7:$H$100,$A170,'22'!$I$7:$I$100,"")+SUMIFS('22a'!$J$7:$J$100,'22a'!$H$7:$H$100,$A170,'22a'!$I$7:$I$100,"")+SUMIFS('22b'!$J$7:$J$100,'22b'!$H$7:$H$100,$A170,'22b'!$I$7:$I$100,"")+SUMIFS('23'!$J$7:$J$100,'23'!$H$7:$H$100,$A170,'23'!$I$7:$I$100,"")+SUMIFS('24'!$J$7:$J$100,'24'!$H$7:$H$100,$A170,'24'!$I$7:$I$100,"")+SUMIFS('24a'!$J$7:$J$100,'24a'!$H$7:$H$100,$A170,'24a'!$I$7:$I$100,"")+SUMIFS('24b'!$J$7:$J$100,'24b'!$H$7:$H$100,$A170,'24b'!$I$7:$I$100,"")+SUMIFS('24c'!$J$7:$J$100,'24c'!$H$7:$H$100,$A170,'24c'!$I$7:$I$100,"")+SUMIFS('24d'!$J$7:$J$100,'24d'!$H$7:$H$100,$A170,'24d'!$I$7:$I$100,"")+SUMIFS('24e'!$J$7:$J$100,'24e'!$H$7:$H$100,$A170,'24e'!$I$7:$I$100,"")+SUMIFS('24f'!$J$7:$J$100,'24f'!$H$7:$H$100,$A170,'24f'!$I$7:$I$100,"")+SUMIFS('24g'!$J$7:$J$100,'24g'!$H$7:$H$100,$A170,'24g'!$I$7:$I$100,"")+SUMIFS('24h'!$J$7:$J$100,'24h'!$H$7:$H$100,$A170,'24h'!$I$7:$I$100,"")+SUMIFS('24i'!$J$7:$J$100,'24i'!$H$7:$H$100,$A170,'24i'!$I$7:$I$100,"")+SUMIFS('25'!$J$7:$J$100,'25'!$H$7:$H$100,$A170,'25'!$I$7:$I$100,"")+SUMIFS('26'!$J$7:$J$100,'26'!$H$7:$H$100,$A170,'26'!$I$7:$I$100,"")+SUMIFS('26a'!$J$7:$J$100,'26a'!$H$7:$H$100,$A170,'26a'!$I$7:$I$100,"")+SUMIFS('27'!$J$7:$J$100,'27'!$H$7:$H$100,$A170,'27'!$I$7:$I$100,"")+SUMIFS('27a'!$J$7:$J$100,'27a'!$H$7:$H$100,$A170,'27a'!$I$7:$I$100,"")+SUMIFS('28'!$J$7:$J$100,'28'!$H$7:$H$100,$A170,'28'!$I$7:$I$100,"")+SUMIFS('29'!$J$7:$J$100,'29'!$H$7:$H$100,$A170,'29'!$I$7:$I$100,"")</f>
        <v>0</v>
      </c>
      <c r="J170" s="1296">
        <f t="shared" ref="J170:J186" si="5">SUM(G170:I170)</f>
        <v>0</v>
      </c>
      <c r="K170"/>
      <c r="L170"/>
      <c r="M170"/>
      <c r="N170"/>
      <c r="O170"/>
      <c r="P170"/>
      <c r="Q170"/>
      <c r="R170"/>
      <c r="S170" s="1307">
        <f t="shared" si="2"/>
        <v>0</v>
      </c>
      <c r="T170"/>
    </row>
    <row r="171" spans="1:20" ht="12.75" customHeight="1" outlineLevel="1" x14ac:dyDescent="0.2">
      <c r="A171" t="s">
        <v>5081</v>
      </c>
      <c r="B171" t="s">
        <v>5465</v>
      </c>
      <c r="C171" s="1295">
        <f>SUMIFS('12'!$N$7:$N$100,'12'!$H$7:$H$100,$A171,'12'!$I$7:$I$100,1)+SUMIFS('13'!$N$7:$N$100,'13'!$H$7:$H$100,$A171,'13'!$I$7:$I$100,1)+SUMIFS('14'!$N$7:$N$100,'14'!$H$7:$H$100,$A171,'14'!$I$7:$I$100,1)+SUMIFS('15'!$N$7:$N$100,'15'!$H$7:$H$100,$A171,'15'!$I$7:$I$100,1)+SUMIFS('15a'!$N$7:$N$100,'15a'!$H$7:$H$100,$A171,'15a'!$I$7:$I$100,1)+SUMIFS('15b'!$N$7:$N$100,'15b'!$H$7:$H$100,$A171,'15b'!$I$7:$I$100,1)+SUMIFS('15c'!$N$7:$N$100,'15c'!$H$7:$H$100,$A171,'15c'!$I$7:$I$100,1)+SUMIFS('15d'!$N$7:$N$100,'15d'!$H$7:$H$100,$A171,'15d'!$I$7:$I$100,1)+SUMIFS('15e'!$N$7:$N$100,'15e'!$H$7:$H$100,$A171,'15e'!$I$7:$I$100,1)+SUMIFS('15f'!$N$7:$N$100,'15f'!$H$7:$H$100,$A171,'15f'!$I$7:$I$100,1)+SUMIFS('15g'!$N$7:$N$100,'15g'!$H$7:$H$100,$A171,'15g'!$I$7:$I$100,1)+SUMIFS('15h'!$N$7:$N$100,'15h'!$H$7:$H$100,$A171,'15h'!$I$7:$I$100,1)+SUMIFS('15i'!$N$7:$N$100,'15i'!$H$7:$H$100,$A171,'15i'!$I$7:$I$100,1)+SUMIFS('15j'!$N$7:$N$100,'15j'!$H$7:$H$100,$A171,'15j'!$I$7:$I$100,1)+SUMIFS('15k'!$N$7:$N$100,'15k'!$H$7:$H$100,$A171,'15k'!$I$7:$I$100,1)+SUMIFS('15l'!$N$7:$N$100,'15l'!$H$7:$H$100,$A171,'15l'!$I$7:$I$100,1)+SUMIFS('15m'!$N$7:$N$100,'15m'!$H$7:$H$100,$A171,'15m'!$I$7:$I$100,1)+SUMIFS('15n'!$N$7:$N$100,'15n'!$H$7:$H$100,$A171,'15n'!$I$7:$I$100,1)+SUMIFS('16'!$N$7:$N$100,'16'!$H$7:$H$100,$A171,'16'!$I$7:$I$100,1)+SUMIFS('16a'!$N$7:$N$100,'16a'!$H$7:$H$100,$A171,'16a'!$I$7:$I$100,1)+SUMIFS('17'!$N$7:$N$100,'17'!$H$7:$H$100,$A171,'17'!$I$7:$I$100,1)+SUMIFS('17a'!$N$7:$N$100,'17a'!$H$7:$H$100,$A171,'17a'!$I$7:$I$100,1)+SUMIFS('18'!$N$7:$N$100,'18'!$H$7:$H$100,$A171,'18'!$I$7:$I$100,1)+SUMIFS('18a'!$N$7:$N$100,'18a'!$H$7:$H$100,$A171,'18a'!$I$7:$I$100,1)
+SUMIFS('19'!$N$7:$N$100,'19'!$H$7:$H$100,$A171,'19'!$I$7:$I$100,1)+SUMIFS('20'!$N$7:$N$100,'20'!$H$7:$H$100,$A171,'20'!$I$7:$I$100,1)+SUMIFS('20a'!$N$7:$N$100,'20a'!$H$7:$H$100,$A171,'20a'!$I$7:$I$100,1)+SUMIFS('21'!$N$7:$N$100,'21'!$H$7:$H$100,$A171,'21'!$I$7:$I$100,1)+SUMIFS('22'!$N$7:$N$100,'22'!$H$7:$H$100,$A171,'22'!$I$7:$I$100,1)+SUMIFS('22a'!$N$7:$N$100,'22a'!$H$7:$H$100,$A171,'22a'!$I$7:$I$100,1)+SUMIFS('22b'!$N$7:$N$100,'22b'!$H$7:$H$100,$A171,'22b'!$I$7:$I$100,1)+SUMIFS('23'!$N$7:$N$100,'23'!$H$7:$H$100,$A171,'23'!$I$7:$I$100,1)+SUMIFS('24'!$N$7:$N$100,'24'!$H$7:$H$100,$A171,'24'!$I$7:$I$100,1)+SUMIFS('24a'!$N$7:$N$100,'24a'!$H$7:$H$100,$A171,'24a'!$I$7:$I$100,1)+SUMIFS('24b'!$N$7:$N$100,'24b'!$H$7:$H$100,$A171,'24b'!$I$7:$I$100,1)+SUMIFS('24c'!$N$7:$N$100,'24c'!$H$7:$H$100,$A171,'24c'!$I$7:$I$100,1)+SUMIFS('24d'!$N$7:$N$100,'24d'!$H$7:$H$100,$A171,'24d'!$I$7:$I$100,1)+SUMIFS('24e'!$N$7:$N$100,'24e'!$H$7:$H$100,$A171,'24e'!$I$7:$I$100,1)+SUMIFS('24f'!$N$7:$N$100,'24f'!$H$7:$H$100,$A171,'24f'!$I$7:$I$100,1)+SUMIFS('24g'!$N$7:$N$100,'24g'!$H$7:$H$100,$A171,'24g'!$I$7:$I$100,1)+SUMIFS('24h'!$N$7:$N$100,'24h'!$H$7:$H$100,$A171,'24h'!$I$7:$I$100,1)+SUMIFS('24i'!$N$7:$N$100,'24i'!$H$7:$H$100,$A171,'24i'!$I$7:$I$100,1)+SUMIFS('25'!$N$7:$N$100,'25'!$H$7:$H$100,$A171,'25'!$I$7:$I$100,1)+SUMIFS('26'!$N$7:$N$100,'26'!$H$7:$H$100,$A171,'26'!$I$7:$I$100,1)+SUMIFS('26a'!$N$7:$N$100,'26a'!$H$7:$H$100,$A171,'26a'!$I$7:$I$100,1)+SUMIFS('27'!$N$7:$N$100,'27'!$H$7:$H$100,$A171,'27'!$I$7:$I$100,1)+SUMIFS('27a'!$N$7:$N$100,'27a'!$H$7:$H$100,$A171,'27a'!$I$7:$I$100,1)+SUMIFS('28'!$N$7:$N$100,'28'!$H$7:$H$100,$A171,'28'!$I$7:$I$100,1)+SUMIFS('29'!$N$7:$N$100,'29'!$H$7:$H$100,$A171,'29'!$I$7:$I$100,1)</f>
        <v>0</v>
      </c>
      <c r="D171" s="1315">
        <f>SUMIFS('12'!$N$7:$N$100,'12'!$H$7:$H$100,$A171,'12'!$I$7:$I$100,2)+SUMIFS('13'!$N$7:$N$100,'13'!$H$7:$H$100,$A171,'13'!$I$7:$I$100,2)+SUMIFS('14'!$N$7:$N$100,'14'!$H$7:$H$100,$A171,'14'!$I$7:$I$100,2)+SUMIFS('15'!$N$7:$N$100,'15'!$H$7:$H$100,$A171,'15'!$I$7:$I$100,2)+SUMIFS('15a'!$N$7:$N$100,'15a'!$H$7:$H$100,$A171,'15a'!$I$7:$I$100,2)+SUMIFS('15b'!$N$7:$N$100,'15b'!$H$7:$H$100,$A171,'15b'!$I$7:$I$100,2)+SUMIFS('15c'!$N$7:$N$100,'15c'!$H$7:$H$100,$A171,'15c'!$I$7:$I$100,2)+SUMIFS('15d'!$N$7:$N$100,'15d'!$H$7:$H$100,$A171,'15d'!$I$7:$I$100,2)+SUMIFS('15e'!$N$7:$N$100,'15e'!$H$7:$H$100,$A171,'15e'!$I$7:$I$100,2)+SUMIFS('15f'!$N$7:$N$100,'15f'!$H$7:$H$100,$A171,'15f'!$I$7:$I$100,2)+SUMIFS('15g'!$N$7:$N$100,'15g'!$H$7:$H$100,$A171,'15g'!$I$7:$I$100,2)+SUMIFS('15h'!$N$7:$N$100,'15h'!$H$7:$H$100,$A171,'15h'!$I$7:$I$100,2)+SUMIFS('15i'!$N$7:$N$100,'15i'!$H$7:$H$100,$A171,'15i'!$I$7:$I$100,2)+SUMIFS('15j'!$N$7:$N$100,'15j'!$H$7:$H$100,$A171,'15j'!$I$7:$I$100,2)+SUMIFS('15k'!$N$7:$N$100,'15k'!$H$7:$H$100,$A171,'15k'!$I$7:$I$100,2)+SUMIFS('15l'!$N$7:$N$100,'15l'!$H$7:$H$100,$A171,'15l'!$I$7:$I$100,2)+SUMIFS('15m'!$N$7:$N$100,'15m'!$H$7:$H$100,$A171,'15m'!$I$7:$I$100,2)+SUMIFS('15n'!$N$7:$N$100,'15n'!$H$7:$H$100,$A171,'15n'!$I$7:$I$100,2)+SUMIFS('16'!$N$7:$N$100,'16'!$H$7:$H$100,$A171,'16'!$I$7:$I$100,2)+SUMIFS('16a'!$N$7:$N$100,'16a'!$H$7:$H$100,$A171,'16a'!$I$7:$I$100,2)+SUMIFS('17'!$N$7:$N$100,'17'!$H$7:$H$100,$A171,'17'!$I$7:$I$100,2)+SUMIFS('17a'!$N$7:$N$100,'17a'!$H$7:$H$100,$A171,'17a'!$I$7:$I$100,2)+SUMIFS('18'!$N$7:$N$100,'18'!$H$7:$H$100,$A171,'18'!$I$7:$I$100,2)+SUMIFS('18a'!$N$7:$N$100,'18a'!$H$7:$H$100,$A171,'18a'!$I$7:$I$100,2)
+SUMIFS('19'!$N$7:$N$100,'19'!$H$7:$H$100,$A171,'19'!$I$7:$I$100,2)+SUMIFS('20'!$N$7:$N$100,'20'!$H$7:$H$100,$A171,'20'!$I$7:$I$100,2)+SUMIFS('20a'!$N$7:$N$100,'20a'!$H$7:$H$100,$A171,'20a'!$I$7:$I$100,2)+SUMIFS('21'!$N$7:$N$100,'21'!$H$7:$H$100,$A171,'21'!$I$7:$I$100,2)+SUMIFS('22'!$N$7:$N$100,'22'!$H$7:$H$100,$A171,'22'!$I$7:$I$100,2)+SUMIFS('22a'!$N$7:$N$100,'22a'!$H$7:$H$100,$A171,'22a'!$I$7:$I$100,2)+SUMIFS('22b'!$N$7:$N$100,'22b'!$H$7:$H$100,$A171,'22b'!$I$7:$I$100,2)+SUMIFS('23'!$N$7:$N$100,'23'!$H$7:$H$100,$A171,'23'!$I$7:$I$100,2)+SUMIFS('24'!$N$7:$N$100,'24'!$H$7:$H$100,$A171,'24'!$I$7:$I$100,2)+SUMIFS('24a'!$N$7:$N$100,'24a'!$H$7:$H$100,$A171,'24a'!$I$7:$I$100,2)+SUMIFS('24b'!$N$7:$N$100,'24b'!$H$7:$H$100,$A171,'24b'!$I$7:$I$100,2)+SUMIFS('24c'!$N$7:$N$100,'24c'!$H$7:$H$100,$A171,'24c'!$I$7:$I$100,2)+SUMIFS('24d'!$N$7:$N$100,'24d'!$H$7:$H$100,$A171,'24d'!$I$7:$I$100,2)+SUMIFS('24e'!$N$7:$N$100,'24e'!$H$7:$H$100,$A171,'24e'!$I$7:$I$100,2)+SUMIFS('24f'!$N$7:$N$100,'24f'!$H$7:$H$100,$A171,'24f'!$I$7:$I$100,2)+SUMIFS('24g'!$N$7:$N$100,'24g'!$H$7:$H$100,$A171,'24g'!$I$7:$I$100,2)+SUMIFS('24h'!$N$7:$N$100,'24h'!$H$7:$H$100,$A171,'24h'!$I$7:$I$100,2)+SUMIFS('24i'!$N$7:$N$100,'24i'!$H$7:$H$100,$A171,'24i'!$I$7:$I$100,2)+SUMIFS('25'!$N$7:$N$100,'25'!$H$7:$H$100,$A171,'25'!$I$7:$I$100,2)+SUMIFS('26'!$N$7:$N$100,'26'!$H$7:$H$100,$A171,'26'!$I$7:$I$100,2)+SUMIFS('26a'!$N$7:$N$100,'26a'!$H$7:$H$100,$A171,'26a'!$I$7:$I$100,2)+SUMIFS('27'!$N$7:$N$100,'27'!$H$7:$H$100,$A171,'27'!$I$7:$I$100,2)+SUMIFS('27a'!$N$7:$N$100,'27a'!$H$7:$H$100,$A171,'27a'!$I$7:$I$100,2)+SUMIFS('28'!$N$7:$N$100,'28'!$H$7:$H$100,$A171,'28'!$I$7:$I$100,2)+SUMIFS('29'!$N$7:$N$100,'29'!$H$7:$H$100,$A171,'29'!$I$7:$I$100,2)</f>
        <v>0</v>
      </c>
      <c r="E171" s="1315">
        <f>SUMIFS('12'!$N$7:$N$100,'12'!$H$7:$H$100,$A171,'12'!$I$7:$I$100,"")+SUMIFS('13'!$N$7:$N$100,'13'!$H$7:$H$100,$A171,'13'!$I$7:$I$100,"")+SUMIFS('14'!$N$7:$N$100,'14'!$H$7:$H$100,$A171,'14'!$I$7:$I$100,"")+SUMIFS('15'!$N$7:$N$100,'15'!$H$7:$H$100,$A171,'15'!$I$7:$I$100,"")+SUMIFS('15a'!$N$7:$N$100,'15a'!$H$7:$H$100,$A171,'15a'!$I$7:$I$100,"")+SUMIFS('15b'!$N$7:$N$100,'15b'!$H$7:$H$100,$A171,'15b'!$I$7:$I$100,"")+SUMIFS('15c'!$N$7:$N$100,'15c'!$H$7:$H$100,$A171,'15c'!$I$7:$I$100,"")+SUMIFS('15d'!$N$7:$N$100,'15d'!$H$7:$H$100,$A171,'15d'!$I$7:$I$100,"")+SUMIFS('15e'!$N$7:$N$100,'15e'!$H$7:$H$100,$A171,'15e'!$I$7:$I$100,"")+SUMIFS('15f'!$N$7:$N$100,'15f'!$H$7:$H$100,$A171,'15f'!$I$7:$I$100,"")+SUMIFS('15g'!$N$7:$N$100,'15g'!$H$7:$H$100,$A171,'15g'!$I$7:$I$100,"")+SUMIFS('15h'!$N$7:$N$100,'15h'!$H$7:$H$100,$A171,'15h'!$I$7:$I$100,"")+SUMIFS('15i'!$N$7:$N$100,'15i'!$H$7:$H$100,$A171,'15i'!$I$7:$I$100,"")+SUMIFS('15j'!$N$7:$N$100,'15j'!$H$7:$H$100,$A171,'15j'!$I$7:$I$100,"")+SUMIFS('15k'!$N$7:$N$100,'15k'!$H$7:$H$100,$A171,'15k'!$I$7:$I$100,"")+SUMIFS('15l'!$N$7:$N$100,'15l'!$H$7:$H$100,$A171,'15l'!$I$7:$I$100,"")+SUMIFS('15m'!$N$7:$N$100,'15m'!$H$7:$H$100,$A171,'15m'!$I$7:$I$100,"")+SUMIFS('15n'!$N$7:$N$100,'15n'!$H$7:$H$100,$A171,'15n'!$I$7:$I$100,"")+SUMIFS('16'!$N$7:$N$100,'16'!$H$7:$H$100,$A171,'16'!$I$7:$I$100,"")+SUMIFS('16a'!$N$7:$N$100,'16a'!$H$7:$H$100,$A171,'16a'!$I$7:$I$100,"")+SUMIFS('17'!$N$7:$N$100,'17'!$H$7:$H$100,$A171,'17'!$I$7:$I$100,"")+SUMIFS('17a'!$N$7:$N$100,'17a'!$H$7:$H$100,$A171,'17a'!$I$7:$I$100,"")+SUMIFS('18'!$N$7:$N$100,'18'!$H$7:$H$100,$A171,'18'!$I$7:$I$100,"")+SUMIFS('18a'!$N$7:$N$100,'18a'!$H$7:$H$100,$A171,'18a'!$I$7:$I$100,"")
+SUMIFS('19'!$N$7:$N$100,'19'!$H$7:$H$100,$A171,'19'!$I$7:$I$100,"")+SUMIFS('20'!$N$7:$N$100,'20'!$H$7:$H$100,$A171,'20'!$I$7:$I$100,"")+SUMIFS('20a'!$N$7:$N$100,'20a'!$H$7:$H$100,$A171,'20a'!$I$7:$I$100,"")+SUMIFS('21'!$N$7:$N$100,'21'!$H$7:$H$100,$A171,'21'!$I$7:$I$100,"")+SUMIFS('22'!$N$7:$N$100,'22'!$H$7:$H$100,$A171,'22'!$I$7:$I$100,"")+SUMIFS('22a'!$N$7:$N$100,'22a'!$H$7:$H$100,$A171,'22a'!$I$7:$I$100,"")+SUMIFS('22b'!$N$7:$N$100,'22b'!$H$7:$H$100,$A171,'22b'!$I$7:$I$100,"")+SUMIFS('23'!$N$7:$N$100,'23'!$H$7:$H$100,$A171,'23'!$I$7:$I$100,"")+SUMIFS('24'!$N$7:$N$100,'24'!$H$7:$H$100,$A171,'24'!$I$7:$I$100,"")+SUMIFS('24a'!$N$7:$N$100,'24a'!$H$7:$H$100,$A171,'24a'!$I$7:$I$100,"")+SUMIFS('24b'!$N$7:$N$100,'24b'!$H$7:$H$100,$A171,'24b'!$I$7:$I$100,"")+SUMIFS('24c'!$N$7:$N$100,'24c'!$H$7:$H$100,$A171,'24c'!$I$7:$I$100,"")+SUMIFS('24d'!$N$7:$N$100,'24d'!$H$7:$H$100,$A171,'24d'!$I$7:$I$100,"")+SUMIFS('24e'!$N$7:$N$100,'24e'!$H$7:$H$100,$A171,'24e'!$I$7:$I$100,"")+SUMIFS('24f'!$N$7:$N$100,'24f'!$H$7:$H$100,$A171,'24f'!$I$7:$I$100,"")+SUMIFS('24g'!$N$7:$N$100,'24g'!$H$7:$H$100,$A171,'24g'!$I$7:$I$100,"")+SUMIFS('24h'!$N$7:$N$100,'24h'!$H$7:$H$100,$A171,'24h'!$I$7:$I$100,"")+SUMIFS('24i'!$N$7:$N$100,'24i'!$H$7:$H$100,$A171,'24i'!$I$7:$I$100,"")+SUMIFS('25'!$N$7:$N$100,'25'!$H$7:$H$100,$A171,'25'!$I$7:$I$100,"")+SUMIFS('26'!$N$7:$N$100,'26'!$H$7:$H$100,$A171,'26'!$I$7:$I$100,"")+SUMIFS('26a'!$N$7:$N$100,'26a'!$H$7:$H$100,$A171,'26a'!$I$7:$I$100,"")+SUMIFS('27'!$N$7:$N$100,'27'!$H$7:$H$100,$A171,'27'!$I$7:$I$100,"")+SUMIFS('27a'!$N$7:$N$100,'27a'!$H$7:$H$100,$A171,'27a'!$I$7:$I$100,"")+SUMIFS('28'!$N$7:$N$100,'28'!$H$7:$H$100,$A171,'28'!$I$7:$I$100,"")+SUMIFS('29'!$N$7:$N$100,'29'!$H$7:$H$100,$A171,'29'!$I$7:$I$100,"")</f>
        <v>0</v>
      </c>
      <c r="F171" s="1296">
        <f t="shared" si="4"/>
        <v>0</v>
      </c>
      <c r="G171" s="1295">
        <f>SUMIFS('12'!$J$7:$J$100,'12'!$H$7:$H$100,$A171,'12'!$I$7:$I$100,1)+SUMIFS('13'!$J$7:$J$100,'13'!$H$7:$H$100,$A171,'13'!$I$7:$I$100,1)+SUMIFS('14'!$J$7:$J$100,'14'!$H$7:$H$100,$A171,'14'!$I$7:$I$100,1)+SUMIFS('15'!$J$7:$J$100,'15'!$H$7:$H$100,$A171,'15'!$I$7:$I$100,1)+SUMIFS('15a'!$J$7:$J$100,'15a'!$H$7:$H$100,$A171,'15a'!$I$7:$I$100,1)+SUMIFS('15b'!$J$7:$J$100,'15b'!$H$7:$H$100,$A171,'15b'!$I$7:$I$100,1)+SUMIFS('15c'!$J$7:$J$100,'15c'!$H$7:$H$100,$A171,'15c'!$I$7:$I$100,1)+SUMIFS('15d'!$J$7:$J$100,'15d'!$H$7:$H$100,$A171,'15d'!$I$7:$I$100,1)+SUMIFS('15e'!$J$7:$J$100,'15e'!$H$7:$H$100,$A171,'15e'!$I$7:$I$100,1)+SUMIFS('15f'!$J$7:$J$100,'15f'!$H$7:$H$100,$A171,'15f'!$I$7:$I$100,1)+SUMIFS('15g'!$J$7:$J$100,'15g'!$H$7:$H$100,$A171,'15g'!$I$7:$I$100,1)+SUMIFS('15h'!$J$7:$J$100,'15h'!$H$7:$H$100,$A171,'15h'!$I$7:$I$100,1)+SUMIFS('15i'!$J$7:$J$100,'15i'!$H$7:$H$100,$A171,'15i'!$I$7:$I$100,1)+SUMIFS('15j'!$J$7:$J$100,'15j'!$H$7:$H$100,$A171,'15j'!$I$7:$I$100,1)+SUMIFS('15k'!$J$7:$J$100,'15k'!$H$7:$H$100,$A171,'15k'!$I$7:$I$100,1)+SUMIFS('15l'!$J$7:$J$100,'15l'!$H$7:$H$100,$A171,'15l'!$I$7:$I$100,1)+SUMIFS('15m'!$J$7:$J$100,'15m'!$H$7:$H$100,$A171,'15m'!$I$7:$I$100,1)+SUMIFS('15n'!$J$7:$J$100,'15n'!$H$7:$H$100,$A171,'15n'!$I$7:$I$100,1)+SUMIFS('16'!$J$7:$J$100,'16'!$H$7:$H$100,$A171,'16'!$I$7:$I$100,1)+SUMIFS('16a'!$J$7:$J$100,'16a'!$H$7:$H$100,$A171,'16a'!$I$7:$I$100,1)+SUMIFS('17'!$J$7:$J$100,'17'!$H$7:$H$100,$A171,'17'!$I$7:$I$100,1)+SUMIFS('17a'!$J$7:$J$100,'17a'!$H$7:$H$100,$A171,'17a'!$I$7:$I$100,1)+SUMIFS('18'!$J$7:$J$100,'18'!$H$7:$H$100,$A171,'18'!$I$7:$I$100,1)+SUMIFS('18a'!$J$7:$J$100,'18a'!$H$7:$H$100,$A171,'18a'!$I$7:$I$100,1)
+SUMIFS('19'!$J$7:$J$100,'19'!$H$7:$H$100,$A171,'19'!$I$7:$I$100,1)+SUMIFS('20'!$J$7:$J$100,'20'!$H$7:$H$100,$A171,'20'!$I$7:$I$100,1)+SUMIFS('20a'!$J$7:$J$100,'20a'!$H$7:$H$100,$A171,'20a'!$I$7:$I$100,1)+SUMIFS('21'!$J$7:$J$100,'21'!$H$7:$H$100,$A171,'21'!$I$7:$I$100,1)+SUMIFS('22'!$J$7:$J$100,'22'!$H$7:$H$100,$A171,'22'!$I$7:$I$100,1)+SUMIFS('22a'!$J$7:$J$100,'22a'!$H$7:$H$100,$A171,'22a'!$I$7:$I$100,1)+SUMIFS('22b'!$J$7:$J$100,'22b'!$H$7:$H$100,$A171,'22b'!$I$7:$I$100,1)+SUMIFS('23'!$J$7:$J$100,'23'!$H$7:$H$100,$A171,'23'!$I$7:$I$100,1)+SUMIFS('24'!$J$7:$J$100,'24'!$H$7:$H$100,$A171,'24'!$I$7:$I$100,1)+SUMIFS('24a'!$J$7:$J$100,'24a'!$H$7:$H$100,$A171,'24a'!$I$7:$I$100,1)+SUMIFS('24b'!$J$7:$J$100,'24b'!$H$7:$H$100,$A171,'24b'!$I$7:$I$100,1)+SUMIFS('24c'!$J$7:$J$100,'24c'!$H$7:$H$100,$A171,'24c'!$I$7:$I$100,1)+SUMIFS('24d'!$J$7:$J$100,'24d'!$H$7:$H$100,$A171,'24d'!$I$7:$I$100,1)+SUMIFS('24e'!$J$7:$J$100,'24e'!$H$7:$H$100,$A171,'24e'!$I$7:$I$100,1)+SUMIFS('24f'!$J$7:$J$100,'24f'!$H$7:$H$100,$A171,'24f'!$I$7:$I$100,1)+SUMIFS('24g'!$J$7:$J$100,'24g'!$H$7:$H$100,$A171,'24g'!$I$7:$I$100,1)+SUMIFS('24h'!$J$7:$J$100,'24h'!$H$7:$H$100,$A171,'24h'!$I$7:$I$100,1)+SUMIFS('24i'!$J$7:$J$100,'24i'!$H$7:$H$100,$A171,'24i'!$I$7:$I$100,1)+SUMIFS('25'!$J$7:$J$100,'25'!$H$7:$H$100,$A171,'25'!$I$7:$I$100,1)+SUMIFS('26'!$J$7:$J$100,'26'!$H$7:$H$100,$A171,'26'!$I$7:$I$100,1)+SUMIFS('26a'!$J$7:$J$100,'26a'!$H$7:$H$100,$A171,'26a'!$I$7:$I$100,1)+SUMIFS('27'!$J$7:$J$100,'27'!$H$7:$H$100,$A171,'27'!$I$7:$I$100,1)+SUMIFS('27a'!$J$7:$J$100,'27a'!$H$7:$H$100,$A171,'27a'!$I$7:$I$100,1)+SUMIFS('28'!$J$7:$J$100,'28'!$H$7:$H$100,$A171,'28'!$I$7:$I$100,1)+SUMIFS('29'!$J$7:$J$100,'29'!$H$7:$H$100,$A171,'29'!$I$7:$I$100,1)</f>
        <v>0</v>
      </c>
      <c r="H171" s="1315">
        <f>SUMIFS('12'!$J$7:$J$100,'12'!$H$7:$H$100,$A171,'12'!$I$7:$I$100,2)+SUMIFS('13'!$J$7:$J$100,'13'!$H$7:$H$100,$A171,'13'!$I$7:$I$100,2)+SUMIFS('14'!$J$7:$J$100,'14'!$H$7:$H$100,$A171,'14'!$I$7:$I$100,2)+SUMIFS('15'!$J$7:$J$100,'15'!$H$7:$H$100,$A171,'15'!$I$7:$I$100,2)+SUMIFS('15a'!$J$7:$J$100,'15a'!$H$7:$H$100,$A171,'15a'!$I$7:$I$100,2)+SUMIFS('15b'!$J$7:$J$100,'15b'!$H$7:$H$100,$A171,'15b'!$I$7:$I$100,2)+SUMIFS('15c'!$J$7:$J$100,'15c'!$H$7:$H$100,$A171,'15c'!$I$7:$I$100,2)+SUMIFS('15d'!$J$7:$J$100,'15d'!$H$7:$H$100,$A171,'15d'!$I$7:$I$100,2)+SUMIFS('15e'!$J$7:$J$100,'15e'!$H$7:$H$100,$A171,'15e'!$I$7:$I$100,2)+SUMIFS('15f'!$J$7:$J$100,'15f'!$H$7:$H$100,$A171,'15f'!$I$7:$I$100,2)+SUMIFS('15g'!$J$7:$J$100,'15g'!$H$7:$H$100,$A171,'15g'!$I$7:$I$100,2)+SUMIFS('15h'!$J$7:$J$100,'15h'!$H$7:$H$100,$A171,'15h'!$I$7:$I$100,2)+SUMIFS('15i'!$J$7:$J$100,'15i'!$H$7:$H$100,$A171,'15i'!$I$7:$I$100,2)+SUMIFS('15j'!$J$7:$J$100,'15j'!$H$7:$H$100,$A171,'15j'!$I$7:$I$100,2)+SUMIFS('15k'!$J$7:$J$100,'15k'!$H$7:$H$100,$A171,'15k'!$I$7:$I$100,2)+SUMIFS('15l'!$J$7:$J$100,'15l'!$H$7:$H$100,$A171,'15l'!$I$7:$I$100,2)+SUMIFS('15m'!$J$7:$J$100,'15m'!$H$7:$H$100,$A171,'15m'!$I$7:$I$100,2)+SUMIFS('15n'!$J$7:$J$100,'15n'!$H$7:$H$100,$A171,'15n'!$I$7:$I$100,2)+SUMIFS('16'!$J$7:$J$100,'16'!$H$7:$H$100,$A171,'16'!$I$7:$I$100,2)+SUMIFS('16a'!$J$7:$J$100,'16a'!$H$7:$H$100,$A171,'16a'!$I$7:$I$100,2)+SUMIFS('17'!$J$7:$J$100,'17'!$H$7:$H$100,$A171,'17'!$I$7:$I$100,2)+SUMIFS('17a'!$J$7:$J$100,'17a'!$H$7:$H$100,$A171,'17a'!$I$7:$I$100,2)+SUMIFS('18'!$J$7:$J$100,'18'!$H$7:$H$100,$A171,'18'!$I$7:$I$100,2)+SUMIFS('18a'!$J$7:$J$100,'18a'!$H$7:$H$100,$A171,'18a'!$I$7:$I$100,2)
+SUMIFS('19'!$J$7:$J$100,'19'!$H$7:$H$100,$A171,'19'!$I$7:$I$100,2)+SUMIFS('20'!$J$7:$J$100,'20'!$H$7:$H$100,$A171,'20'!$I$7:$I$100,2)+SUMIFS('20a'!$J$7:$J$100,'20a'!$H$7:$H$100,$A171,'20a'!$I$7:$I$100,2)+SUMIFS('21'!$J$7:$J$100,'21'!$H$7:$H$100,$A171,'21'!$I$7:$I$100,2)+SUMIFS('22'!$J$7:$J$100,'22'!$H$7:$H$100,$A171,'22'!$I$7:$I$100,2)+SUMIFS('22a'!$J$7:$J$100,'22a'!$H$7:$H$100,$A171,'22a'!$I$7:$I$100,2)+SUMIFS('22b'!$J$7:$J$100,'22b'!$H$7:$H$100,$A171,'22b'!$I$7:$I$100,2)+SUMIFS('23'!$J$7:$J$100,'23'!$H$7:$H$100,$A171,'23'!$I$7:$I$100,2)+SUMIFS('24'!$J$7:$J$100,'24'!$H$7:$H$100,$A171,'24'!$I$7:$I$100,2)+SUMIFS('24a'!$J$7:$J$100,'24a'!$H$7:$H$100,$A171,'24a'!$I$7:$I$100,2)+SUMIFS('24b'!$J$7:$J$100,'24b'!$H$7:$H$100,$A171,'24b'!$I$7:$I$100,2)+SUMIFS('24c'!$J$7:$J$100,'24c'!$H$7:$H$100,$A171,'24c'!$I$7:$I$100,2)+SUMIFS('24d'!$J$7:$J$100,'24d'!$H$7:$H$100,$A171,'24d'!$I$7:$I$100,2)+SUMIFS('24e'!$J$7:$J$100,'24e'!$H$7:$H$100,$A171,'24e'!$I$7:$I$100,2)+SUMIFS('24f'!$J$7:$J$100,'24f'!$H$7:$H$100,$A171,'24f'!$I$7:$I$100,2)+SUMIFS('24g'!$J$7:$J$100,'24g'!$H$7:$H$100,$A171,'24g'!$I$7:$I$100,2)+SUMIFS('24h'!$J$7:$J$100,'24h'!$H$7:$H$100,$A171,'24h'!$I$7:$I$100,2)+SUMIFS('24i'!$J$7:$J$100,'24i'!$H$7:$H$100,$A171,'24i'!$I$7:$I$100,2)+SUMIFS('25'!$J$7:$J$100,'25'!$H$7:$H$100,$A171,'25'!$I$7:$I$100,2)+SUMIFS('26'!$J$7:$J$100,'26'!$H$7:$H$100,$A171,'26'!$I$7:$I$100,2)+SUMIFS('26a'!$J$7:$J$100,'26a'!$H$7:$H$100,$A171,'26a'!$I$7:$I$100,2)+SUMIFS('27'!$J$7:$J$100,'27'!$H$7:$H$100,$A171,'27'!$I$7:$I$100,2)+SUMIFS('27a'!$J$7:$J$100,'27a'!$H$7:$H$100,$A171,'27a'!$I$7:$I$100,2)+SUMIFS('28'!$J$7:$J$100,'28'!$H$7:$H$100,$A171,'28'!$I$7:$I$100,2)+SUMIFS('29'!$J$7:$J$100,'29'!$H$7:$H$100,$A171,'29'!$I$7:$I$100,2)</f>
        <v>0</v>
      </c>
      <c r="I171" s="1315">
        <f>SUMIFS('12'!$J$7:$J$100,'12'!$H$7:$H$100,$A171,'12'!$I$7:$I$100,"")+SUMIFS('13'!$J$7:$J$100,'13'!$H$7:$H$100,$A171,'13'!$I$7:$I$100,"")+SUMIFS('14'!$J$7:$J$100,'14'!$H$7:$H$100,$A171,'14'!$I$7:$I$100,"")+SUMIFS('15'!$J$7:$J$100,'15'!$H$7:$H$100,$A171,'15'!$I$7:$I$100,"")+SUMIFS('15a'!$J$7:$J$100,'15a'!$H$7:$H$100,$A171,'15a'!$I$7:$I$100,"")+SUMIFS('15b'!$J$7:$J$100,'15b'!$H$7:$H$100,$A171,'15b'!$I$7:$I$100,"")+SUMIFS('15c'!$J$7:$J$100,'15c'!$H$7:$H$100,$A171,'15c'!$I$7:$I$100,"")+SUMIFS('15d'!$J$7:$J$100,'15d'!$H$7:$H$100,$A171,'15d'!$I$7:$I$100,"")+SUMIFS('15e'!$J$7:$J$100,'15e'!$H$7:$H$100,$A171,'15e'!$I$7:$I$100,"")+SUMIFS('15f'!$J$7:$J$100,'15f'!$H$7:$H$100,$A171,'15f'!$I$7:$I$100,"")+SUMIFS('15g'!$J$7:$J$100,'15g'!$H$7:$H$100,$A171,'15g'!$I$7:$I$100,"")+SUMIFS('15h'!$J$7:$J$100,'15h'!$H$7:$H$100,$A171,'15h'!$I$7:$I$100,"")+SUMIFS('15i'!$J$7:$J$100,'15i'!$H$7:$H$100,$A171,'15i'!$I$7:$I$100,"")+SUMIFS('15j'!$J$7:$J$100,'15j'!$H$7:$H$100,$A171,'15j'!$I$7:$I$100,"")+SUMIFS('15k'!$J$7:$J$100,'15k'!$H$7:$H$100,$A171,'15k'!$I$7:$I$100,"")+SUMIFS('15l'!$J$7:$J$100,'15l'!$H$7:$H$100,$A171,'15l'!$I$7:$I$100,"")+SUMIFS('15m'!$J$7:$J$100,'15m'!$H$7:$H$100,$A171,'15m'!$I$7:$I$100,"")+SUMIFS('15n'!$J$7:$J$100,'15n'!$H$7:$H$100,$A171,'15n'!$I$7:$I$100,"")+SUMIFS('16'!$J$7:$J$100,'16'!$H$7:$H$100,$A171,'16'!$I$7:$I$100,"")+SUMIFS('16a'!$J$7:$J$100,'16a'!$H$7:$H$100,$A171,'16a'!$I$7:$I$100,"")+SUMIFS('17'!$J$7:$J$100,'17'!$H$7:$H$100,$A171,'17'!$I$7:$I$100,"")+SUMIFS('17a'!$J$7:$J$100,'17a'!$H$7:$H$100,$A171,'17a'!$I$7:$I$100,"")+SUMIFS('18'!$J$7:$J$100,'18'!$H$7:$H$100,$A171,'18'!$I$7:$I$100,"")+SUMIFS('18a'!$J$7:$J$100,'18a'!$H$7:$H$100,$A171,'18a'!$I$7:$I$100,"")
+SUMIFS('19'!$J$7:$J$100,'19'!$H$7:$H$100,$A171,'19'!$I$7:$I$100,"")+SUMIFS('20'!$J$7:$J$100,'20'!$H$7:$H$100,$A171,'20'!$I$7:$I$100,"")+SUMIFS('20a'!$J$7:$J$100,'20a'!$H$7:$H$100,$A171,'20a'!$I$7:$I$100,"")+SUMIFS('21'!$J$7:$J$100,'21'!$H$7:$H$100,$A171,'21'!$I$7:$I$100,"")+SUMIFS('22'!$J$7:$J$100,'22'!$H$7:$H$100,$A171,'22'!$I$7:$I$100,"")+SUMIFS('22a'!$J$7:$J$100,'22a'!$H$7:$H$100,$A171,'22a'!$I$7:$I$100,"")+SUMIFS('22b'!$J$7:$J$100,'22b'!$H$7:$H$100,$A171,'22b'!$I$7:$I$100,"")+SUMIFS('23'!$J$7:$J$100,'23'!$H$7:$H$100,$A171,'23'!$I$7:$I$100,"")+SUMIFS('24'!$J$7:$J$100,'24'!$H$7:$H$100,$A171,'24'!$I$7:$I$100,"")+SUMIFS('24a'!$J$7:$J$100,'24a'!$H$7:$H$100,$A171,'24a'!$I$7:$I$100,"")+SUMIFS('24b'!$J$7:$J$100,'24b'!$H$7:$H$100,$A171,'24b'!$I$7:$I$100,"")+SUMIFS('24c'!$J$7:$J$100,'24c'!$H$7:$H$100,$A171,'24c'!$I$7:$I$100,"")+SUMIFS('24d'!$J$7:$J$100,'24d'!$H$7:$H$100,$A171,'24d'!$I$7:$I$100,"")+SUMIFS('24e'!$J$7:$J$100,'24e'!$H$7:$H$100,$A171,'24e'!$I$7:$I$100,"")+SUMIFS('24f'!$J$7:$J$100,'24f'!$H$7:$H$100,$A171,'24f'!$I$7:$I$100,"")+SUMIFS('24g'!$J$7:$J$100,'24g'!$H$7:$H$100,$A171,'24g'!$I$7:$I$100,"")+SUMIFS('24h'!$J$7:$J$100,'24h'!$H$7:$H$100,$A171,'24h'!$I$7:$I$100,"")+SUMIFS('24i'!$J$7:$J$100,'24i'!$H$7:$H$100,$A171,'24i'!$I$7:$I$100,"")+SUMIFS('25'!$J$7:$J$100,'25'!$H$7:$H$100,$A171,'25'!$I$7:$I$100,"")+SUMIFS('26'!$J$7:$J$100,'26'!$H$7:$H$100,$A171,'26'!$I$7:$I$100,"")+SUMIFS('26a'!$J$7:$J$100,'26a'!$H$7:$H$100,$A171,'26a'!$I$7:$I$100,"")+SUMIFS('27'!$J$7:$J$100,'27'!$H$7:$H$100,$A171,'27'!$I$7:$I$100,"")+SUMIFS('27a'!$J$7:$J$100,'27a'!$H$7:$H$100,$A171,'27a'!$I$7:$I$100,"")+SUMIFS('28'!$J$7:$J$100,'28'!$H$7:$H$100,$A171,'28'!$I$7:$I$100,"")+SUMIFS('29'!$J$7:$J$100,'29'!$H$7:$H$100,$A171,'29'!$I$7:$I$100,"")</f>
        <v>0</v>
      </c>
      <c r="J171" s="1296">
        <f t="shared" si="5"/>
        <v>0</v>
      </c>
      <c r="K171"/>
      <c r="L171"/>
      <c r="M171"/>
      <c r="N171"/>
      <c r="O171"/>
      <c r="P171"/>
      <c r="Q171"/>
      <c r="R171"/>
      <c r="S171" s="1307">
        <f t="shared" si="2"/>
        <v>0</v>
      </c>
      <c r="T171"/>
    </row>
    <row r="172" spans="1:20" outlineLevel="1" x14ac:dyDescent="0.2">
      <c r="A172" t="s">
        <v>5088</v>
      </c>
      <c r="B172" t="s">
        <v>5465</v>
      </c>
      <c r="C172" s="1295">
        <f>SUMIFS('12'!$N$7:$N$100,'12'!$H$7:$H$100,$A172,'12'!$I$7:$I$100,1)+SUMIFS('13'!$N$7:$N$100,'13'!$H$7:$H$100,$A172,'13'!$I$7:$I$100,1)+SUMIFS('14'!$N$7:$N$100,'14'!$H$7:$H$100,$A172,'14'!$I$7:$I$100,1)+SUMIFS('15'!$N$7:$N$100,'15'!$H$7:$H$100,$A172,'15'!$I$7:$I$100,1)+SUMIFS('15a'!$N$7:$N$100,'15a'!$H$7:$H$100,$A172,'15a'!$I$7:$I$100,1)+SUMIFS('15b'!$N$7:$N$100,'15b'!$H$7:$H$100,$A172,'15b'!$I$7:$I$100,1)+SUMIFS('15c'!$N$7:$N$100,'15c'!$H$7:$H$100,$A172,'15c'!$I$7:$I$100,1)+SUMIFS('15d'!$N$7:$N$100,'15d'!$H$7:$H$100,$A172,'15d'!$I$7:$I$100,1)+SUMIFS('15e'!$N$7:$N$100,'15e'!$H$7:$H$100,$A172,'15e'!$I$7:$I$100,1)+SUMIFS('15f'!$N$7:$N$100,'15f'!$H$7:$H$100,$A172,'15f'!$I$7:$I$100,1)+SUMIFS('15g'!$N$7:$N$100,'15g'!$H$7:$H$100,$A172,'15g'!$I$7:$I$100,1)+SUMIFS('15h'!$N$7:$N$100,'15h'!$H$7:$H$100,$A172,'15h'!$I$7:$I$100,1)+SUMIFS('15i'!$N$7:$N$100,'15i'!$H$7:$H$100,$A172,'15i'!$I$7:$I$100,1)+SUMIFS('15j'!$N$7:$N$100,'15j'!$H$7:$H$100,$A172,'15j'!$I$7:$I$100,1)+SUMIFS('15k'!$N$7:$N$100,'15k'!$H$7:$H$100,$A172,'15k'!$I$7:$I$100,1)+SUMIFS('15l'!$N$7:$N$100,'15l'!$H$7:$H$100,$A172,'15l'!$I$7:$I$100,1)+SUMIFS('15m'!$N$7:$N$100,'15m'!$H$7:$H$100,$A172,'15m'!$I$7:$I$100,1)+SUMIFS('15n'!$N$7:$N$100,'15n'!$H$7:$H$100,$A172,'15n'!$I$7:$I$100,1)+SUMIFS('16'!$N$7:$N$100,'16'!$H$7:$H$100,$A172,'16'!$I$7:$I$100,1)+SUMIFS('16a'!$N$7:$N$100,'16a'!$H$7:$H$100,$A172,'16a'!$I$7:$I$100,1)+SUMIFS('17'!$N$7:$N$100,'17'!$H$7:$H$100,$A172,'17'!$I$7:$I$100,1)+SUMIFS('17a'!$N$7:$N$100,'17a'!$H$7:$H$100,$A172,'17a'!$I$7:$I$100,1)+SUMIFS('18'!$N$7:$N$100,'18'!$H$7:$H$100,$A172,'18'!$I$7:$I$100,1)+SUMIFS('18a'!$N$7:$N$100,'18a'!$H$7:$H$100,$A172,'18a'!$I$7:$I$100,1)
+SUMIFS('19'!$N$7:$N$100,'19'!$H$7:$H$100,$A172,'19'!$I$7:$I$100,1)+SUMIFS('20'!$N$7:$N$100,'20'!$H$7:$H$100,$A172,'20'!$I$7:$I$100,1)+SUMIFS('20a'!$N$7:$N$100,'20a'!$H$7:$H$100,$A172,'20a'!$I$7:$I$100,1)+SUMIFS('21'!$N$7:$N$100,'21'!$H$7:$H$100,$A172,'21'!$I$7:$I$100,1)+SUMIFS('22'!$N$7:$N$100,'22'!$H$7:$H$100,$A172,'22'!$I$7:$I$100,1)+SUMIFS('22a'!$N$7:$N$100,'22a'!$H$7:$H$100,$A172,'22a'!$I$7:$I$100,1)+SUMIFS('22b'!$N$7:$N$100,'22b'!$H$7:$H$100,$A172,'22b'!$I$7:$I$100,1)+SUMIFS('23'!$N$7:$N$100,'23'!$H$7:$H$100,$A172,'23'!$I$7:$I$100,1)+SUMIFS('24'!$N$7:$N$100,'24'!$H$7:$H$100,$A172,'24'!$I$7:$I$100,1)+SUMIFS('24a'!$N$7:$N$100,'24a'!$H$7:$H$100,$A172,'24a'!$I$7:$I$100,1)+SUMIFS('24b'!$N$7:$N$100,'24b'!$H$7:$H$100,$A172,'24b'!$I$7:$I$100,1)+SUMIFS('24c'!$N$7:$N$100,'24c'!$H$7:$H$100,$A172,'24c'!$I$7:$I$100,1)+SUMIFS('24d'!$N$7:$N$100,'24d'!$H$7:$H$100,$A172,'24d'!$I$7:$I$100,1)+SUMIFS('24e'!$N$7:$N$100,'24e'!$H$7:$H$100,$A172,'24e'!$I$7:$I$100,1)+SUMIFS('24f'!$N$7:$N$100,'24f'!$H$7:$H$100,$A172,'24f'!$I$7:$I$100,1)+SUMIFS('24g'!$N$7:$N$100,'24g'!$H$7:$H$100,$A172,'24g'!$I$7:$I$100,1)+SUMIFS('24h'!$N$7:$N$100,'24h'!$H$7:$H$100,$A172,'24h'!$I$7:$I$100,1)+SUMIFS('24i'!$N$7:$N$100,'24i'!$H$7:$H$100,$A172,'24i'!$I$7:$I$100,1)+SUMIFS('25'!$N$7:$N$100,'25'!$H$7:$H$100,$A172,'25'!$I$7:$I$100,1)+SUMIFS('26'!$N$7:$N$100,'26'!$H$7:$H$100,$A172,'26'!$I$7:$I$100,1)+SUMIFS('26a'!$N$7:$N$100,'26a'!$H$7:$H$100,$A172,'26a'!$I$7:$I$100,1)+SUMIFS('27'!$N$7:$N$100,'27'!$H$7:$H$100,$A172,'27'!$I$7:$I$100,1)+SUMIFS('27a'!$N$7:$N$100,'27a'!$H$7:$H$100,$A172,'27a'!$I$7:$I$100,1)+SUMIFS('28'!$N$7:$N$100,'28'!$H$7:$H$100,$A172,'28'!$I$7:$I$100,1)+SUMIFS('29'!$N$7:$N$100,'29'!$H$7:$H$100,$A172,'29'!$I$7:$I$100,1)</f>
        <v>0</v>
      </c>
      <c r="D172" s="1315">
        <f>SUMIFS('12'!$N$7:$N$100,'12'!$H$7:$H$100,$A172,'12'!$I$7:$I$100,2)+SUMIFS('13'!$N$7:$N$100,'13'!$H$7:$H$100,$A172,'13'!$I$7:$I$100,2)+SUMIFS('14'!$N$7:$N$100,'14'!$H$7:$H$100,$A172,'14'!$I$7:$I$100,2)+SUMIFS('15'!$N$7:$N$100,'15'!$H$7:$H$100,$A172,'15'!$I$7:$I$100,2)+SUMIFS('15a'!$N$7:$N$100,'15a'!$H$7:$H$100,$A172,'15a'!$I$7:$I$100,2)+SUMIFS('15b'!$N$7:$N$100,'15b'!$H$7:$H$100,$A172,'15b'!$I$7:$I$100,2)+SUMIFS('15c'!$N$7:$N$100,'15c'!$H$7:$H$100,$A172,'15c'!$I$7:$I$100,2)+SUMIFS('15d'!$N$7:$N$100,'15d'!$H$7:$H$100,$A172,'15d'!$I$7:$I$100,2)+SUMIFS('15e'!$N$7:$N$100,'15e'!$H$7:$H$100,$A172,'15e'!$I$7:$I$100,2)+SUMIFS('15f'!$N$7:$N$100,'15f'!$H$7:$H$100,$A172,'15f'!$I$7:$I$100,2)+SUMIFS('15g'!$N$7:$N$100,'15g'!$H$7:$H$100,$A172,'15g'!$I$7:$I$100,2)+SUMIFS('15h'!$N$7:$N$100,'15h'!$H$7:$H$100,$A172,'15h'!$I$7:$I$100,2)+SUMIFS('15i'!$N$7:$N$100,'15i'!$H$7:$H$100,$A172,'15i'!$I$7:$I$100,2)+SUMIFS('15j'!$N$7:$N$100,'15j'!$H$7:$H$100,$A172,'15j'!$I$7:$I$100,2)+SUMIFS('15k'!$N$7:$N$100,'15k'!$H$7:$H$100,$A172,'15k'!$I$7:$I$100,2)+SUMIFS('15l'!$N$7:$N$100,'15l'!$H$7:$H$100,$A172,'15l'!$I$7:$I$100,2)+SUMIFS('15m'!$N$7:$N$100,'15m'!$H$7:$H$100,$A172,'15m'!$I$7:$I$100,2)+SUMIFS('15n'!$N$7:$N$100,'15n'!$H$7:$H$100,$A172,'15n'!$I$7:$I$100,2)+SUMIFS('16'!$N$7:$N$100,'16'!$H$7:$H$100,$A172,'16'!$I$7:$I$100,2)+SUMIFS('16a'!$N$7:$N$100,'16a'!$H$7:$H$100,$A172,'16a'!$I$7:$I$100,2)+SUMIFS('17'!$N$7:$N$100,'17'!$H$7:$H$100,$A172,'17'!$I$7:$I$100,2)+SUMIFS('17a'!$N$7:$N$100,'17a'!$H$7:$H$100,$A172,'17a'!$I$7:$I$100,2)+SUMIFS('18'!$N$7:$N$100,'18'!$H$7:$H$100,$A172,'18'!$I$7:$I$100,2)+SUMIFS('18a'!$N$7:$N$100,'18a'!$H$7:$H$100,$A172,'18a'!$I$7:$I$100,2)
+SUMIFS('19'!$N$7:$N$100,'19'!$H$7:$H$100,$A172,'19'!$I$7:$I$100,2)+SUMIFS('20'!$N$7:$N$100,'20'!$H$7:$H$100,$A172,'20'!$I$7:$I$100,2)+SUMIFS('20a'!$N$7:$N$100,'20a'!$H$7:$H$100,$A172,'20a'!$I$7:$I$100,2)+SUMIFS('21'!$N$7:$N$100,'21'!$H$7:$H$100,$A172,'21'!$I$7:$I$100,2)+SUMIFS('22'!$N$7:$N$100,'22'!$H$7:$H$100,$A172,'22'!$I$7:$I$100,2)+SUMIFS('22a'!$N$7:$N$100,'22a'!$H$7:$H$100,$A172,'22a'!$I$7:$I$100,2)+SUMIFS('22b'!$N$7:$N$100,'22b'!$H$7:$H$100,$A172,'22b'!$I$7:$I$100,2)+SUMIFS('23'!$N$7:$N$100,'23'!$H$7:$H$100,$A172,'23'!$I$7:$I$100,2)+SUMIFS('24'!$N$7:$N$100,'24'!$H$7:$H$100,$A172,'24'!$I$7:$I$100,2)+SUMIFS('24a'!$N$7:$N$100,'24a'!$H$7:$H$100,$A172,'24a'!$I$7:$I$100,2)+SUMIFS('24b'!$N$7:$N$100,'24b'!$H$7:$H$100,$A172,'24b'!$I$7:$I$100,2)+SUMIFS('24c'!$N$7:$N$100,'24c'!$H$7:$H$100,$A172,'24c'!$I$7:$I$100,2)+SUMIFS('24d'!$N$7:$N$100,'24d'!$H$7:$H$100,$A172,'24d'!$I$7:$I$100,2)+SUMIFS('24e'!$N$7:$N$100,'24e'!$H$7:$H$100,$A172,'24e'!$I$7:$I$100,2)+SUMIFS('24f'!$N$7:$N$100,'24f'!$H$7:$H$100,$A172,'24f'!$I$7:$I$100,2)+SUMIFS('24g'!$N$7:$N$100,'24g'!$H$7:$H$100,$A172,'24g'!$I$7:$I$100,2)+SUMIFS('24h'!$N$7:$N$100,'24h'!$H$7:$H$100,$A172,'24h'!$I$7:$I$100,2)+SUMIFS('24i'!$N$7:$N$100,'24i'!$H$7:$H$100,$A172,'24i'!$I$7:$I$100,2)+SUMIFS('25'!$N$7:$N$100,'25'!$H$7:$H$100,$A172,'25'!$I$7:$I$100,2)+SUMIFS('26'!$N$7:$N$100,'26'!$H$7:$H$100,$A172,'26'!$I$7:$I$100,2)+SUMIFS('26a'!$N$7:$N$100,'26a'!$H$7:$H$100,$A172,'26a'!$I$7:$I$100,2)+SUMIFS('27'!$N$7:$N$100,'27'!$H$7:$H$100,$A172,'27'!$I$7:$I$100,2)+SUMIFS('27a'!$N$7:$N$100,'27a'!$H$7:$H$100,$A172,'27a'!$I$7:$I$100,2)+SUMIFS('28'!$N$7:$N$100,'28'!$H$7:$H$100,$A172,'28'!$I$7:$I$100,2)+SUMIFS('29'!$N$7:$N$100,'29'!$H$7:$H$100,$A172,'29'!$I$7:$I$100,2)</f>
        <v>0</v>
      </c>
      <c r="E172" s="1315">
        <f>SUMIFS('12'!$N$7:$N$100,'12'!$H$7:$H$100,$A172,'12'!$I$7:$I$100,"")+SUMIFS('13'!$N$7:$N$100,'13'!$H$7:$H$100,$A172,'13'!$I$7:$I$100,"")+SUMIFS('14'!$N$7:$N$100,'14'!$H$7:$H$100,$A172,'14'!$I$7:$I$100,"")+SUMIFS('15'!$N$7:$N$100,'15'!$H$7:$H$100,$A172,'15'!$I$7:$I$100,"")+SUMIFS('15a'!$N$7:$N$100,'15a'!$H$7:$H$100,$A172,'15a'!$I$7:$I$100,"")+SUMIFS('15b'!$N$7:$N$100,'15b'!$H$7:$H$100,$A172,'15b'!$I$7:$I$100,"")+SUMIFS('15c'!$N$7:$N$100,'15c'!$H$7:$H$100,$A172,'15c'!$I$7:$I$100,"")+SUMIFS('15d'!$N$7:$N$100,'15d'!$H$7:$H$100,$A172,'15d'!$I$7:$I$100,"")+SUMIFS('15e'!$N$7:$N$100,'15e'!$H$7:$H$100,$A172,'15e'!$I$7:$I$100,"")+SUMIFS('15f'!$N$7:$N$100,'15f'!$H$7:$H$100,$A172,'15f'!$I$7:$I$100,"")+SUMIFS('15g'!$N$7:$N$100,'15g'!$H$7:$H$100,$A172,'15g'!$I$7:$I$100,"")+SUMIFS('15h'!$N$7:$N$100,'15h'!$H$7:$H$100,$A172,'15h'!$I$7:$I$100,"")+SUMIFS('15i'!$N$7:$N$100,'15i'!$H$7:$H$100,$A172,'15i'!$I$7:$I$100,"")+SUMIFS('15j'!$N$7:$N$100,'15j'!$H$7:$H$100,$A172,'15j'!$I$7:$I$100,"")+SUMIFS('15k'!$N$7:$N$100,'15k'!$H$7:$H$100,$A172,'15k'!$I$7:$I$100,"")+SUMIFS('15l'!$N$7:$N$100,'15l'!$H$7:$H$100,$A172,'15l'!$I$7:$I$100,"")+SUMIFS('15m'!$N$7:$N$100,'15m'!$H$7:$H$100,$A172,'15m'!$I$7:$I$100,"")+SUMIFS('15n'!$N$7:$N$100,'15n'!$H$7:$H$100,$A172,'15n'!$I$7:$I$100,"")+SUMIFS('16'!$N$7:$N$100,'16'!$H$7:$H$100,$A172,'16'!$I$7:$I$100,"")+SUMIFS('16a'!$N$7:$N$100,'16a'!$H$7:$H$100,$A172,'16a'!$I$7:$I$100,"")+SUMIFS('17'!$N$7:$N$100,'17'!$H$7:$H$100,$A172,'17'!$I$7:$I$100,"")+SUMIFS('17a'!$N$7:$N$100,'17a'!$H$7:$H$100,$A172,'17a'!$I$7:$I$100,"")+SUMIFS('18'!$N$7:$N$100,'18'!$H$7:$H$100,$A172,'18'!$I$7:$I$100,"")+SUMIFS('18a'!$N$7:$N$100,'18a'!$H$7:$H$100,$A172,'18a'!$I$7:$I$100,"")
+SUMIFS('19'!$N$7:$N$100,'19'!$H$7:$H$100,$A172,'19'!$I$7:$I$100,"")+SUMIFS('20'!$N$7:$N$100,'20'!$H$7:$H$100,$A172,'20'!$I$7:$I$100,"")+SUMIFS('20a'!$N$7:$N$100,'20a'!$H$7:$H$100,$A172,'20a'!$I$7:$I$100,"")+SUMIFS('21'!$N$7:$N$100,'21'!$H$7:$H$100,$A172,'21'!$I$7:$I$100,"")+SUMIFS('22'!$N$7:$N$100,'22'!$H$7:$H$100,$A172,'22'!$I$7:$I$100,"")+SUMIFS('22a'!$N$7:$N$100,'22a'!$H$7:$H$100,$A172,'22a'!$I$7:$I$100,"")+SUMIFS('22b'!$N$7:$N$100,'22b'!$H$7:$H$100,$A172,'22b'!$I$7:$I$100,"")+SUMIFS('23'!$N$7:$N$100,'23'!$H$7:$H$100,$A172,'23'!$I$7:$I$100,"")+SUMIFS('24'!$N$7:$N$100,'24'!$H$7:$H$100,$A172,'24'!$I$7:$I$100,"")+SUMIFS('24a'!$N$7:$N$100,'24a'!$H$7:$H$100,$A172,'24a'!$I$7:$I$100,"")+SUMIFS('24b'!$N$7:$N$100,'24b'!$H$7:$H$100,$A172,'24b'!$I$7:$I$100,"")+SUMIFS('24c'!$N$7:$N$100,'24c'!$H$7:$H$100,$A172,'24c'!$I$7:$I$100,"")+SUMIFS('24d'!$N$7:$N$100,'24d'!$H$7:$H$100,$A172,'24d'!$I$7:$I$100,"")+SUMIFS('24e'!$N$7:$N$100,'24e'!$H$7:$H$100,$A172,'24e'!$I$7:$I$100,"")+SUMIFS('24f'!$N$7:$N$100,'24f'!$H$7:$H$100,$A172,'24f'!$I$7:$I$100,"")+SUMIFS('24g'!$N$7:$N$100,'24g'!$H$7:$H$100,$A172,'24g'!$I$7:$I$100,"")+SUMIFS('24h'!$N$7:$N$100,'24h'!$H$7:$H$100,$A172,'24h'!$I$7:$I$100,"")+SUMIFS('24i'!$N$7:$N$100,'24i'!$H$7:$H$100,$A172,'24i'!$I$7:$I$100,"")+SUMIFS('25'!$N$7:$N$100,'25'!$H$7:$H$100,$A172,'25'!$I$7:$I$100,"")+SUMIFS('26'!$N$7:$N$100,'26'!$H$7:$H$100,$A172,'26'!$I$7:$I$100,"")+SUMIFS('26a'!$N$7:$N$100,'26a'!$H$7:$H$100,$A172,'26a'!$I$7:$I$100,"")+SUMIFS('27'!$N$7:$N$100,'27'!$H$7:$H$100,$A172,'27'!$I$7:$I$100,"")+SUMIFS('27a'!$N$7:$N$100,'27a'!$H$7:$H$100,$A172,'27a'!$I$7:$I$100,"")+SUMIFS('28'!$N$7:$N$100,'28'!$H$7:$H$100,$A172,'28'!$I$7:$I$100,"")+SUMIFS('29'!$N$7:$N$100,'29'!$H$7:$H$100,$A172,'29'!$I$7:$I$100,"")</f>
        <v>0</v>
      </c>
      <c r="F172" s="1296">
        <f t="shared" si="4"/>
        <v>0</v>
      </c>
      <c r="G172" s="1295">
        <f>SUMIFS('12'!$J$7:$J$100,'12'!$H$7:$H$100,$A172,'12'!$I$7:$I$100,1)+SUMIFS('13'!$J$7:$J$100,'13'!$H$7:$H$100,$A172,'13'!$I$7:$I$100,1)+SUMIFS('14'!$J$7:$J$100,'14'!$H$7:$H$100,$A172,'14'!$I$7:$I$100,1)+SUMIFS('15'!$J$7:$J$100,'15'!$H$7:$H$100,$A172,'15'!$I$7:$I$100,1)+SUMIFS('15a'!$J$7:$J$100,'15a'!$H$7:$H$100,$A172,'15a'!$I$7:$I$100,1)+SUMIFS('15b'!$J$7:$J$100,'15b'!$H$7:$H$100,$A172,'15b'!$I$7:$I$100,1)+SUMIFS('15c'!$J$7:$J$100,'15c'!$H$7:$H$100,$A172,'15c'!$I$7:$I$100,1)+SUMIFS('15d'!$J$7:$J$100,'15d'!$H$7:$H$100,$A172,'15d'!$I$7:$I$100,1)+SUMIFS('15e'!$J$7:$J$100,'15e'!$H$7:$H$100,$A172,'15e'!$I$7:$I$100,1)+SUMIFS('15f'!$J$7:$J$100,'15f'!$H$7:$H$100,$A172,'15f'!$I$7:$I$100,1)+SUMIFS('15g'!$J$7:$J$100,'15g'!$H$7:$H$100,$A172,'15g'!$I$7:$I$100,1)+SUMIFS('15h'!$J$7:$J$100,'15h'!$H$7:$H$100,$A172,'15h'!$I$7:$I$100,1)+SUMIFS('15i'!$J$7:$J$100,'15i'!$H$7:$H$100,$A172,'15i'!$I$7:$I$100,1)+SUMIFS('15j'!$J$7:$J$100,'15j'!$H$7:$H$100,$A172,'15j'!$I$7:$I$100,1)+SUMIFS('15k'!$J$7:$J$100,'15k'!$H$7:$H$100,$A172,'15k'!$I$7:$I$100,1)+SUMIFS('15l'!$J$7:$J$100,'15l'!$H$7:$H$100,$A172,'15l'!$I$7:$I$100,1)+SUMIFS('15m'!$J$7:$J$100,'15m'!$H$7:$H$100,$A172,'15m'!$I$7:$I$100,1)+SUMIFS('15n'!$J$7:$J$100,'15n'!$H$7:$H$100,$A172,'15n'!$I$7:$I$100,1)+SUMIFS('16'!$J$7:$J$100,'16'!$H$7:$H$100,$A172,'16'!$I$7:$I$100,1)+SUMIFS('16a'!$J$7:$J$100,'16a'!$H$7:$H$100,$A172,'16a'!$I$7:$I$100,1)+SUMIFS('17'!$J$7:$J$100,'17'!$H$7:$H$100,$A172,'17'!$I$7:$I$100,1)+SUMIFS('17a'!$J$7:$J$100,'17a'!$H$7:$H$100,$A172,'17a'!$I$7:$I$100,1)+SUMIFS('18'!$J$7:$J$100,'18'!$H$7:$H$100,$A172,'18'!$I$7:$I$100,1)+SUMIFS('18a'!$J$7:$J$100,'18a'!$H$7:$H$100,$A172,'18a'!$I$7:$I$100,1)
+SUMIFS('19'!$J$7:$J$100,'19'!$H$7:$H$100,$A172,'19'!$I$7:$I$100,1)+SUMIFS('20'!$J$7:$J$100,'20'!$H$7:$H$100,$A172,'20'!$I$7:$I$100,1)+SUMIFS('20a'!$J$7:$J$100,'20a'!$H$7:$H$100,$A172,'20a'!$I$7:$I$100,1)+SUMIFS('21'!$J$7:$J$100,'21'!$H$7:$H$100,$A172,'21'!$I$7:$I$100,1)+SUMIFS('22'!$J$7:$J$100,'22'!$H$7:$H$100,$A172,'22'!$I$7:$I$100,1)+SUMIFS('22a'!$J$7:$J$100,'22a'!$H$7:$H$100,$A172,'22a'!$I$7:$I$100,1)+SUMIFS('22b'!$J$7:$J$100,'22b'!$H$7:$H$100,$A172,'22b'!$I$7:$I$100,1)+SUMIFS('23'!$J$7:$J$100,'23'!$H$7:$H$100,$A172,'23'!$I$7:$I$100,1)+SUMIFS('24'!$J$7:$J$100,'24'!$H$7:$H$100,$A172,'24'!$I$7:$I$100,1)+SUMIFS('24a'!$J$7:$J$100,'24a'!$H$7:$H$100,$A172,'24a'!$I$7:$I$100,1)+SUMIFS('24b'!$J$7:$J$100,'24b'!$H$7:$H$100,$A172,'24b'!$I$7:$I$100,1)+SUMIFS('24c'!$J$7:$J$100,'24c'!$H$7:$H$100,$A172,'24c'!$I$7:$I$100,1)+SUMIFS('24d'!$J$7:$J$100,'24d'!$H$7:$H$100,$A172,'24d'!$I$7:$I$100,1)+SUMIFS('24e'!$J$7:$J$100,'24e'!$H$7:$H$100,$A172,'24e'!$I$7:$I$100,1)+SUMIFS('24f'!$J$7:$J$100,'24f'!$H$7:$H$100,$A172,'24f'!$I$7:$I$100,1)+SUMIFS('24g'!$J$7:$J$100,'24g'!$H$7:$H$100,$A172,'24g'!$I$7:$I$100,1)+SUMIFS('24h'!$J$7:$J$100,'24h'!$H$7:$H$100,$A172,'24h'!$I$7:$I$100,1)+SUMIFS('24i'!$J$7:$J$100,'24i'!$H$7:$H$100,$A172,'24i'!$I$7:$I$100,1)+SUMIFS('25'!$J$7:$J$100,'25'!$H$7:$H$100,$A172,'25'!$I$7:$I$100,1)+SUMIFS('26'!$J$7:$J$100,'26'!$H$7:$H$100,$A172,'26'!$I$7:$I$100,1)+SUMIFS('26a'!$J$7:$J$100,'26a'!$H$7:$H$100,$A172,'26a'!$I$7:$I$100,1)+SUMIFS('27'!$J$7:$J$100,'27'!$H$7:$H$100,$A172,'27'!$I$7:$I$100,1)+SUMIFS('27a'!$J$7:$J$100,'27a'!$H$7:$H$100,$A172,'27a'!$I$7:$I$100,1)+SUMIFS('28'!$J$7:$J$100,'28'!$H$7:$H$100,$A172,'28'!$I$7:$I$100,1)+SUMIFS('29'!$J$7:$J$100,'29'!$H$7:$H$100,$A172,'29'!$I$7:$I$100,1)</f>
        <v>0</v>
      </c>
      <c r="H172" s="1315">
        <f>SUMIFS('12'!$J$7:$J$100,'12'!$H$7:$H$100,$A172,'12'!$I$7:$I$100,2)+SUMIFS('13'!$J$7:$J$100,'13'!$H$7:$H$100,$A172,'13'!$I$7:$I$100,2)+SUMIFS('14'!$J$7:$J$100,'14'!$H$7:$H$100,$A172,'14'!$I$7:$I$100,2)+SUMIFS('15'!$J$7:$J$100,'15'!$H$7:$H$100,$A172,'15'!$I$7:$I$100,2)+SUMIFS('15a'!$J$7:$J$100,'15a'!$H$7:$H$100,$A172,'15a'!$I$7:$I$100,2)+SUMIFS('15b'!$J$7:$J$100,'15b'!$H$7:$H$100,$A172,'15b'!$I$7:$I$100,2)+SUMIFS('15c'!$J$7:$J$100,'15c'!$H$7:$H$100,$A172,'15c'!$I$7:$I$100,2)+SUMIFS('15d'!$J$7:$J$100,'15d'!$H$7:$H$100,$A172,'15d'!$I$7:$I$100,2)+SUMIFS('15e'!$J$7:$J$100,'15e'!$H$7:$H$100,$A172,'15e'!$I$7:$I$100,2)+SUMIFS('15f'!$J$7:$J$100,'15f'!$H$7:$H$100,$A172,'15f'!$I$7:$I$100,2)+SUMIFS('15g'!$J$7:$J$100,'15g'!$H$7:$H$100,$A172,'15g'!$I$7:$I$100,2)+SUMIFS('15h'!$J$7:$J$100,'15h'!$H$7:$H$100,$A172,'15h'!$I$7:$I$100,2)+SUMIFS('15i'!$J$7:$J$100,'15i'!$H$7:$H$100,$A172,'15i'!$I$7:$I$100,2)+SUMIFS('15j'!$J$7:$J$100,'15j'!$H$7:$H$100,$A172,'15j'!$I$7:$I$100,2)+SUMIFS('15k'!$J$7:$J$100,'15k'!$H$7:$H$100,$A172,'15k'!$I$7:$I$100,2)+SUMIFS('15l'!$J$7:$J$100,'15l'!$H$7:$H$100,$A172,'15l'!$I$7:$I$100,2)+SUMIFS('15m'!$J$7:$J$100,'15m'!$H$7:$H$100,$A172,'15m'!$I$7:$I$100,2)+SUMIFS('15n'!$J$7:$J$100,'15n'!$H$7:$H$100,$A172,'15n'!$I$7:$I$100,2)+SUMIFS('16'!$J$7:$J$100,'16'!$H$7:$H$100,$A172,'16'!$I$7:$I$100,2)+SUMIFS('16a'!$J$7:$J$100,'16a'!$H$7:$H$100,$A172,'16a'!$I$7:$I$100,2)+SUMIFS('17'!$J$7:$J$100,'17'!$H$7:$H$100,$A172,'17'!$I$7:$I$100,2)+SUMIFS('17a'!$J$7:$J$100,'17a'!$H$7:$H$100,$A172,'17a'!$I$7:$I$100,2)+SUMIFS('18'!$J$7:$J$100,'18'!$H$7:$H$100,$A172,'18'!$I$7:$I$100,2)+SUMIFS('18a'!$J$7:$J$100,'18a'!$H$7:$H$100,$A172,'18a'!$I$7:$I$100,2)
+SUMIFS('19'!$J$7:$J$100,'19'!$H$7:$H$100,$A172,'19'!$I$7:$I$100,2)+SUMIFS('20'!$J$7:$J$100,'20'!$H$7:$H$100,$A172,'20'!$I$7:$I$100,2)+SUMIFS('20a'!$J$7:$J$100,'20a'!$H$7:$H$100,$A172,'20a'!$I$7:$I$100,2)+SUMIFS('21'!$J$7:$J$100,'21'!$H$7:$H$100,$A172,'21'!$I$7:$I$100,2)+SUMIFS('22'!$J$7:$J$100,'22'!$H$7:$H$100,$A172,'22'!$I$7:$I$100,2)+SUMIFS('22a'!$J$7:$J$100,'22a'!$H$7:$H$100,$A172,'22a'!$I$7:$I$100,2)+SUMIFS('22b'!$J$7:$J$100,'22b'!$H$7:$H$100,$A172,'22b'!$I$7:$I$100,2)+SUMIFS('23'!$J$7:$J$100,'23'!$H$7:$H$100,$A172,'23'!$I$7:$I$100,2)+SUMIFS('24'!$J$7:$J$100,'24'!$H$7:$H$100,$A172,'24'!$I$7:$I$100,2)+SUMIFS('24a'!$J$7:$J$100,'24a'!$H$7:$H$100,$A172,'24a'!$I$7:$I$100,2)+SUMIFS('24b'!$J$7:$J$100,'24b'!$H$7:$H$100,$A172,'24b'!$I$7:$I$100,2)+SUMIFS('24c'!$J$7:$J$100,'24c'!$H$7:$H$100,$A172,'24c'!$I$7:$I$100,2)+SUMIFS('24d'!$J$7:$J$100,'24d'!$H$7:$H$100,$A172,'24d'!$I$7:$I$100,2)+SUMIFS('24e'!$J$7:$J$100,'24e'!$H$7:$H$100,$A172,'24e'!$I$7:$I$100,2)+SUMIFS('24f'!$J$7:$J$100,'24f'!$H$7:$H$100,$A172,'24f'!$I$7:$I$100,2)+SUMIFS('24g'!$J$7:$J$100,'24g'!$H$7:$H$100,$A172,'24g'!$I$7:$I$100,2)+SUMIFS('24h'!$J$7:$J$100,'24h'!$H$7:$H$100,$A172,'24h'!$I$7:$I$100,2)+SUMIFS('24i'!$J$7:$J$100,'24i'!$H$7:$H$100,$A172,'24i'!$I$7:$I$100,2)+SUMIFS('25'!$J$7:$J$100,'25'!$H$7:$H$100,$A172,'25'!$I$7:$I$100,2)+SUMIFS('26'!$J$7:$J$100,'26'!$H$7:$H$100,$A172,'26'!$I$7:$I$100,2)+SUMIFS('26a'!$J$7:$J$100,'26a'!$H$7:$H$100,$A172,'26a'!$I$7:$I$100,2)+SUMIFS('27'!$J$7:$J$100,'27'!$H$7:$H$100,$A172,'27'!$I$7:$I$100,2)+SUMIFS('27a'!$J$7:$J$100,'27a'!$H$7:$H$100,$A172,'27a'!$I$7:$I$100,2)+SUMIFS('28'!$J$7:$J$100,'28'!$H$7:$H$100,$A172,'28'!$I$7:$I$100,2)+SUMIFS('29'!$J$7:$J$100,'29'!$H$7:$H$100,$A172,'29'!$I$7:$I$100,2)</f>
        <v>0</v>
      </c>
      <c r="I172" s="1315">
        <f>SUMIFS('12'!$J$7:$J$100,'12'!$H$7:$H$100,$A172,'12'!$I$7:$I$100,"")+SUMIFS('13'!$J$7:$J$100,'13'!$H$7:$H$100,$A172,'13'!$I$7:$I$100,"")+SUMIFS('14'!$J$7:$J$100,'14'!$H$7:$H$100,$A172,'14'!$I$7:$I$100,"")+SUMIFS('15'!$J$7:$J$100,'15'!$H$7:$H$100,$A172,'15'!$I$7:$I$100,"")+SUMIFS('15a'!$J$7:$J$100,'15a'!$H$7:$H$100,$A172,'15a'!$I$7:$I$100,"")+SUMIFS('15b'!$J$7:$J$100,'15b'!$H$7:$H$100,$A172,'15b'!$I$7:$I$100,"")+SUMIFS('15c'!$J$7:$J$100,'15c'!$H$7:$H$100,$A172,'15c'!$I$7:$I$100,"")+SUMIFS('15d'!$J$7:$J$100,'15d'!$H$7:$H$100,$A172,'15d'!$I$7:$I$100,"")+SUMIFS('15e'!$J$7:$J$100,'15e'!$H$7:$H$100,$A172,'15e'!$I$7:$I$100,"")+SUMIFS('15f'!$J$7:$J$100,'15f'!$H$7:$H$100,$A172,'15f'!$I$7:$I$100,"")+SUMIFS('15g'!$J$7:$J$100,'15g'!$H$7:$H$100,$A172,'15g'!$I$7:$I$100,"")+SUMIFS('15h'!$J$7:$J$100,'15h'!$H$7:$H$100,$A172,'15h'!$I$7:$I$100,"")+SUMIFS('15i'!$J$7:$J$100,'15i'!$H$7:$H$100,$A172,'15i'!$I$7:$I$100,"")+SUMIFS('15j'!$J$7:$J$100,'15j'!$H$7:$H$100,$A172,'15j'!$I$7:$I$100,"")+SUMIFS('15k'!$J$7:$J$100,'15k'!$H$7:$H$100,$A172,'15k'!$I$7:$I$100,"")+SUMIFS('15l'!$J$7:$J$100,'15l'!$H$7:$H$100,$A172,'15l'!$I$7:$I$100,"")+SUMIFS('15m'!$J$7:$J$100,'15m'!$H$7:$H$100,$A172,'15m'!$I$7:$I$100,"")+SUMIFS('15n'!$J$7:$J$100,'15n'!$H$7:$H$100,$A172,'15n'!$I$7:$I$100,"")+SUMIFS('16'!$J$7:$J$100,'16'!$H$7:$H$100,$A172,'16'!$I$7:$I$100,"")+SUMIFS('16a'!$J$7:$J$100,'16a'!$H$7:$H$100,$A172,'16a'!$I$7:$I$100,"")+SUMIFS('17'!$J$7:$J$100,'17'!$H$7:$H$100,$A172,'17'!$I$7:$I$100,"")+SUMIFS('17a'!$J$7:$J$100,'17a'!$H$7:$H$100,$A172,'17a'!$I$7:$I$100,"")+SUMIFS('18'!$J$7:$J$100,'18'!$H$7:$H$100,$A172,'18'!$I$7:$I$100,"")+SUMIFS('18a'!$J$7:$J$100,'18a'!$H$7:$H$100,$A172,'18a'!$I$7:$I$100,"")
+SUMIFS('19'!$J$7:$J$100,'19'!$H$7:$H$100,$A172,'19'!$I$7:$I$100,"")+SUMIFS('20'!$J$7:$J$100,'20'!$H$7:$H$100,$A172,'20'!$I$7:$I$100,"")+SUMIFS('20a'!$J$7:$J$100,'20a'!$H$7:$H$100,$A172,'20a'!$I$7:$I$100,"")+SUMIFS('21'!$J$7:$J$100,'21'!$H$7:$H$100,$A172,'21'!$I$7:$I$100,"")+SUMIFS('22'!$J$7:$J$100,'22'!$H$7:$H$100,$A172,'22'!$I$7:$I$100,"")+SUMIFS('22a'!$J$7:$J$100,'22a'!$H$7:$H$100,$A172,'22a'!$I$7:$I$100,"")+SUMIFS('22b'!$J$7:$J$100,'22b'!$H$7:$H$100,$A172,'22b'!$I$7:$I$100,"")+SUMIFS('23'!$J$7:$J$100,'23'!$H$7:$H$100,$A172,'23'!$I$7:$I$100,"")+SUMIFS('24'!$J$7:$J$100,'24'!$H$7:$H$100,$A172,'24'!$I$7:$I$100,"")+SUMIFS('24a'!$J$7:$J$100,'24a'!$H$7:$H$100,$A172,'24a'!$I$7:$I$100,"")+SUMIFS('24b'!$J$7:$J$100,'24b'!$H$7:$H$100,$A172,'24b'!$I$7:$I$100,"")+SUMIFS('24c'!$J$7:$J$100,'24c'!$H$7:$H$100,$A172,'24c'!$I$7:$I$100,"")+SUMIFS('24d'!$J$7:$J$100,'24d'!$H$7:$H$100,$A172,'24d'!$I$7:$I$100,"")+SUMIFS('24e'!$J$7:$J$100,'24e'!$H$7:$H$100,$A172,'24e'!$I$7:$I$100,"")+SUMIFS('24f'!$J$7:$J$100,'24f'!$H$7:$H$100,$A172,'24f'!$I$7:$I$100,"")+SUMIFS('24g'!$J$7:$J$100,'24g'!$H$7:$H$100,$A172,'24g'!$I$7:$I$100,"")+SUMIFS('24h'!$J$7:$J$100,'24h'!$H$7:$H$100,$A172,'24h'!$I$7:$I$100,"")+SUMIFS('24i'!$J$7:$J$100,'24i'!$H$7:$H$100,$A172,'24i'!$I$7:$I$100,"")+SUMIFS('25'!$J$7:$J$100,'25'!$H$7:$H$100,$A172,'25'!$I$7:$I$100,"")+SUMIFS('26'!$J$7:$J$100,'26'!$H$7:$H$100,$A172,'26'!$I$7:$I$100,"")+SUMIFS('26a'!$J$7:$J$100,'26a'!$H$7:$H$100,$A172,'26a'!$I$7:$I$100,"")+SUMIFS('27'!$J$7:$J$100,'27'!$H$7:$H$100,$A172,'27'!$I$7:$I$100,"")+SUMIFS('27a'!$J$7:$J$100,'27a'!$H$7:$H$100,$A172,'27a'!$I$7:$I$100,"")+SUMIFS('28'!$J$7:$J$100,'28'!$H$7:$H$100,$A172,'28'!$I$7:$I$100,"")+SUMIFS('29'!$J$7:$J$100,'29'!$H$7:$H$100,$A172,'29'!$I$7:$I$100,"")</f>
        <v>0</v>
      </c>
      <c r="J172" s="1296">
        <f t="shared" si="5"/>
        <v>0</v>
      </c>
      <c r="K172"/>
      <c r="L172"/>
      <c r="M172"/>
      <c r="N172"/>
      <c r="O172"/>
      <c r="P172"/>
      <c r="Q172"/>
      <c r="R172"/>
      <c r="S172" s="1307">
        <f t="shared" si="2"/>
        <v>0</v>
      </c>
      <c r="T172"/>
    </row>
    <row r="173" spans="1:20" outlineLevel="1" x14ac:dyDescent="0.2">
      <c r="A173" t="s">
        <v>5094</v>
      </c>
      <c r="B173" t="s">
        <v>5465</v>
      </c>
      <c r="C173" s="1295">
        <f>SUMIFS('12'!$N$7:$N$100,'12'!$H$7:$H$100,$A173,'12'!$I$7:$I$100,1)+SUMIFS('13'!$N$7:$N$100,'13'!$H$7:$H$100,$A173,'13'!$I$7:$I$100,1)+SUMIFS('14'!$N$7:$N$100,'14'!$H$7:$H$100,$A173,'14'!$I$7:$I$100,1)+SUMIFS('15'!$N$7:$N$100,'15'!$H$7:$H$100,$A173,'15'!$I$7:$I$100,1)+SUMIFS('15a'!$N$7:$N$100,'15a'!$H$7:$H$100,$A173,'15a'!$I$7:$I$100,1)+SUMIFS('15b'!$N$7:$N$100,'15b'!$H$7:$H$100,$A173,'15b'!$I$7:$I$100,1)+SUMIFS('15c'!$N$7:$N$100,'15c'!$H$7:$H$100,$A173,'15c'!$I$7:$I$100,1)+SUMIFS('15d'!$N$7:$N$100,'15d'!$H$7:$H$100,$A173,'15d'!$I$7:$I$100,1)+SUMIFS('15e'!$N$7:$N$100,'15e'!$H$7:$H$100,$A173,'15e'!$I$7:$I$100,1)+SUMIFS('15f'!$N$7:$N$100,'15f'!$H$7:$H$100,$A173,'15f'!$I$7:$I$100,1)+SUMIFS('15g'!$N$7:$N$100,'15g'!$H$7:$H$100,$A173,'15g'!$I$7:$I$100,1)+SUMIFS('15h'!$N$7:$N$100,'15h'!$H$7:$H$100,$A173,'15h'!$I$7:$I$100,1)+SUMIFS('15i'!$N$7:$N$100,'15i'!$H$7:$H$100,$A173,'15i'!$I$7:$I$100,1)+SUMIFS('15j'!$N$7:$N$100,'15j'!$H$7:$H$100,$A173,'15j'!$I$7:$I$100,1)+SUMIFS('15k'!$N$7:$N$100,'15k'!$H$7:$H$100,$A173,'15k'!$I$7:$I$100,1)+SUMIFS('15l'!$N$7:$N$100,'15l'!$H$7:$H$100,$A173,'15l'!$I$7:$I$100,1)+SUMIFS('15m'!$N$7:$N$100,'15m'!$H$7:$H$100,$A173,'15m'!$I$7:$I$100,1)+SUMIFS('15n'!$N$7:$N$100,'15n'!$H$7:$H$100,$A173,'15n'!$I$7:$I$100,1)+SUMIFS('16'!$N$7:$N$100,'16'!$H$7:$H$100,$A173,'16'!$I$7:$I$100,1)+SUMIFS('16a'!$N$7:$N$100,'16a'!$H$7:$H$100,$A173,'16a'!$I$7:$I$100,1)+SUMIFS('17'!$N$7:$N$100,'17'!$H$7:$H$100,$A173,'17'!$I$7:$I$100,1)+SUMIFS('17a'!$N$7:$N$100,'17a'!$H$7:$H$100,$A173,'17a'!$I$7:$I$100,1)+SUMIFS('18'!$N$7:$N$100,'18'!$H$7:$H$100,$A173,'18'!$I$7:$I$100,1)+SUMIFS('18a'!$N$7:$N$100,'18a'!$H$7:$H$100,$A173,'18a'!$I$7:$I$100,1)
+SUMIFS('19'!$N$7:$N$100,'19'!$H$7:$H$100,$A173,'19'!$I$7:$I$100,1)+SUMIFS('20'!$N$7:$N$100,'20'!$H$7:$H$100,$A173,'20'!$I$7:$I$100,1)+SUMIFS('20a'!$N$7:$N$100,'20a'!$H$7:$H$100,$A173,'20a'!$I$7:$I$100,1)+SUMIFS('21'!$N$7:$N$100,'21'!$H$7:$H$100,$A173,'21'!$I$7:$I$100,1)+SUMIFS('22'!$N$7:$N$100,'22'!$H$7:$H$100,$A173,'22'!$I$7:$I$100,1)+SUMIFS('22a'!$N$7:$N$100,'22a'!$H$7:$H$100,$A173,'22a'!$I$7:$I$100,1)+SUMIFS('22b'!$N$7:$N$100,'22b'!$H$7:$H$100,$A173,'22b'!$I$7:$I$100,1)+SUMIFS('23'!$N$7:$N$100,'23'!$H$7:$H$100,$A173,'23'!$I$7:$I$100,1)+SUMIFS('24'!$N$7:$N$100,'24'!$H$7:$H$100,$A173,'24'!$I$7:$I$100,1)+SUMIFS('24a'!$N$7:$N$100,'24a'!$H$7:$H$100,$A173,'24a'!$I$7:$I$100,1)+SUMIFS('24b'!$N$7:$N$100,'24b'!$H$7:$H$100,$A173,'24b'!$I$7:$I$100,1)+SUMIFS('24c'!$N$7:$N$100,'24c'!$H$7:$H$100,$A173,'24c'!$I$7:$I$100,1)+SUMIFS('24d'!$N$7:$N$100,'24d'!$H$7:$H$100,$A173,'24d'!$I$7:$I$100,1)+SUMIFS('24e'!$N$7:$N$100,'24e'!$H$7:$H$100,$A173,'24e'!$I$7:$I$100,1)+SUMIFS('24f'!$N$7:$N$100,'24f'!$H$7:$H$100,$A173,'24f'!$I$7:$I$100,1)+SUMIFS('24g'!$N$7:$N$100,'24g'!$H$7:$H$100,$A173,'24g'!$I$7:$I$100,1)+SUMIFS('24h'!$N$7:$N$100,'24h'!$H$7:$H$100,$A173,'24h'!$I$7:$I$100,1)+SUMIFS('24i'!$N$7:$N$100,'24i'!$H$7:$H$100,$A173,'24i'!$I$7:$I$100,1)+SUMIFS('25'!$N$7:$N$100,'25'!$H$7:$H$100,$A173,'25'!$I$7:$I$100,1)+SUMIFS('26'!$N$7:$N$100,'26'!$H$7:$H$100,$A173,'26'!$I$7:$I$100,1)+SUMIFS('26a'!$N$7:$N$100,'26a'!$H$7:$H$100,$A173,'26a'!$I$7:$I$100,1)+SUMIFS('27'!$N$7:$N$100,'27'!$H$7:$H$100,$A173,'27'!$I$7:$I$100,1)+SUMIFS('27a'!$N$7:$N$100,'27a'!$H$7:$H$100,$A173,'27a'!$I$7:$I$100,1)+SUMIFS('28'!$N$7:$N$100,'28'!$H$7:$H$100,$A173,'28'!$I$7:$I$100,1)+SUMIFS('29'!$N$7:$N$100,'29'!$H$7:$H$100,$A173,'29'!$I$7:$I$100,1)</f>
        <v>0</v>
      </c>
      <c r="D173" s="1315">
        <f>SUMIFS('12'!$N$7:$N$100,'12'!$H$7:$H$100,$A173,'12'!$I$7:$I$100,2)+SUMIFS('13'!$N$7:$N$100,'13'!$H$7:$H$100,$A173,'13'!$I$7:$I$100,2)+SUMIFS('14'!$N$7:$N$100,'14'!$H$7:$H$100,$A173,'14'!$I$7:$I$100,2)+SUMIFS('15'!$N$7:$N$100,'15'!$H$7:$H$100,$A173,'15'!$I$7:$I$100,2)+SUMIFS('15a'!$N$7:$N$100,'15a'!$H$7:$H$100,$A173,'15a'!$I$7:$I$100,2)+SUMIFS('15b'!$N$7:$N$100,'15b'!$H$7:$H$100,$A173,'15b'!$I$7:$I$100,2)+SUMIFS('15c'!$N$7:$N$100,'15c'!$H$7:$H$100,$A173,'15c'!$I$7:$I$100,2)+SUMIFS('15d'!$N$7:$N$100,'15d'!$H$7:$H$100,$A173,'15d'!$I$7:$I$100,2)+SUMIFS('15e'!$N$7:$N$100,'15e'!$H$7:$H$100,$A173,'15e'!$I$7:$I$100,2)+SUMIFS('15f'!$N$7:$N$100,'15f'!$H$7:$H$100,$A173,'15f'!$I$7:$I$100,2)+SUMIFS('15g'!$N$7:$N$100,'15g'!$H$7:$H$100,$A173,'15g'!$I$7:$I$100,2)+SUMIFS('15h'!$N$7:$N$100,'15h'!$H$7:$H$100,$A173,'15h'!$I$7:$I$100,2)+SUMIFS('15i'!$N$7:$N$100,'15i'!$H$7:$H$100,$A173,'15i'!$I$7:$I$100,2)+SUMIFS('15j'!$N$7:$N$100,'15j'!$H$7:$H$100,$A173,'15j'!$I$7:$I$100,2)+SUMIFS('15k'!$N$7:$N$100,'15k'!$H$7:$H$100,$A173,'15k'!$I$7:$I$100,2)+SUMIFS('15l'!$N$7:$N$100,'15l'!$H$7:$H$100,$A173,'15l'!$I$7:$I$100,2)+SUMIFS('15m'!$N$7:$N$100,'15m'!$H$7:$H$100,$A173,'15m'!$I$7:$I$100,2)+SUMIFS('15n'!$N$7:$N$100,'15n'!$H$7:$H$100,$A173,'15n'!$I$7:$I$100,2)+SUMIFS('16'!$N$7:$N$100,'16'!$H$7:$H$100,$A173,'16'!$I$7:$I$100,2)+SUMIFS('16a'!$N$7:$N$100,'16a'!$H$7:$H$100,$A173,'16a'!$I$7:$I$100,2)+SUMIFS('17'!$N$7:$N$100,'17'!$H$7:$H$100,$A173,'17'!$I$7:$I$100,2)+SUMIFS('17a'!$N$7:$N$100,'17a'!$H$7:$H$100,$A173,'17a'!$I$7:$I$100,2)+SUMIFS('18'!$N$7:$N$100,'18'!$H$7:$H$100,$A173,'18'!$I$7:$I$100,2)+SUMIFS('18a'!$N$7:$N$100,'18a'!$H$7:$H$100,$A173,'18a'!$I$7:$I$100,2)
+SUMIFS('19'!$N$7:$N$100,'19'!$H$7:$H$100,$A173,'19'!$I$7:$I$100,2)+SUMIFS('20'!$N$7:$N$100,'20'!$H$7:$H$100,$A173,'20'!$I$7:$I$100,2)+SUMIFS('20a'!$N$7:$N$100,'20a'!$H$7:$H$100,$A173,'20a'!$I$7:$I$100,2)+SUMIFS('21'!$N$7:$N$100,'21'!$H$7:$H$100,$A173,'21'!$I$7:$I$100,2)+SUMIFS('22'!$N$7:$N$100,'22'!$H$7:$H$100,$A173,'22'!$I$7:$I$100,2)+SUMIFS('22a'!$N$7:$N$100,'22a'!$H$7:$H$100,$A173,'22a'!$I$7:$I$100,2)+SUMIFS('22b'!$N$7:$N$100,'22b'!$H$7:$H$100,$A173,'22b'!$I$7:$I$100,2)+SUMIFS('23'!$N$7:$N$100,'23'!$H$7:$H$100,$A173,'23'!$I$7:$I$100,2)+SUMIFS('24'!$N$7:$N$100,'24'!$H$7:$H$100,$A173,'24'!$I$7:$I$100,2)+SUMIFS('24a'!$N$7:$N$100,'24a'!$H$7:$H$100,$A173,'24a'!$I$7:$I$100,2)+SUMIFS('24b'!$N$7:$N$100,'24b'!$H$7:$H$100,$A173,'24b'!$I$7:$I$100,2)+SUMIFS('24c'!$N$7:$N$100,'24c'!$H$7:$H$100,$A173,'24c'!$I$7:$I$100,2)+SUMIFS('24d'!$N$7:$N$100,'24d'!$H$7:$H$100,$A173,'24d'!$I$7:$I$100,2)+SUMIFS('24e'!$N$7:$N$100,'24e'!$H$7:$H$100,$A173,'24e'!$I$7:$I$100,2)+SUMIFS('24f'!$N$7:$N$100,'24f'!$H$7:$H$100,$A173,'24f'!$I$7:$I$100,2)+SUMIFS('24g'!$N$7:$N$100,'24g'!$H$7:$H$100,$A173,'24g'!$I$7:$I$100,2)+SUMIFS('24h'!$N$7:$N$100,'24h'!$H$7:$H$100,$A173,'24h'!$I$7:$I$100,2)+SUMIFS('24i'!$N$7:$N$100,'24i'!$H$7:$H$100,$A173,'24i'!$I$7:$I$100,2)+SUMIFS('25'!$N$7:$N$100,'25'!$H$7:$H$100,$A173,'25'!$I$7:$I$100,2)+SUMIFS('26'!$N$7:$N$100,'26'!$H$7:$H$100,$A173,'26'!$I$7:$I$100,2)+SUMIFS('26a'!$N$7:$N$100,'26a'!$H$7:$H$100,$A173,'26a'!$I$7:$I$100,2)+SUMIFS('27'!$N$7:$N$100,'27'!$H$7:$H$100,$A173,'27'!$I$7:$I$100,2)+SUMIFS('27a'!$N$7:$N$100,'27a'!$H$7:$H$100,$A173,'27a'!$I$7:$I$100,2)+SUMIFS('28'!$N$7:$N$100,'28'!$H$7:$H$100,$A173,'28'!$I$7:$I$100,2)+SUMIFS('29'!$N$7:$N$100,'29'!$H$7:$H$100,$A173,'29'!$I$7:$I$100,2)</f>
        <v>0</v>
      </c>
      <c r="E173" s="1315">
        <f>SUMIFS('12'!$N$7:$N$100,'12'!$H$7:$H$100,$A173,'12'!$I$7:$I$100,"")+SUMIFS('13'!$N$7:$N$100,'13'!$H$7:$H$100,$A173,'13'!$I$7:$I$100,"")+SUMIFS('14'!$N$7:$N$100,'14'!$H$7:$H$100,$A173,'14'!$I$7:$I$100,"")+SUMIFS('15'!$N$7:$N$100,'15'!$H$7:$H$100,$A173,'15'!$I$7:$I$100,"")+SUMIFS('15a'!$N$7:$N$100,'15a'!$H$7:$H$100,$A173,'15a'!$I$7:$I$100,"")+SUMIFS('15b'!$N$7:$N$100,'15b'!$H$7:$H$100,$A173,'15b'!$I$7:$I$100,"")+SUMIFS('15c'!$N$7:$N$100,'15c'!$H$7:$H$100,$A173,'15c'!$I$7:$I$100,"")+SUMIFS('15d'!$N$7:$N$100,'15d'!$H$7:$H$100,$A173,'15d'!$I$7:$I$100,"")+SUMIFS('15e'!$N$7:$N$100,'15e'!$H$7:$H$100,$A173,'15e'!$I$7:$I$100,"")+SUMIFS('15f'!$N$7:$N$100,'15f'!$H$7:$H$100,$A173,'15f'!$I$7:$I$100,"")+SUMIFS('15g'!$N$7:$N$100,'15g'!$H$7:$H$100,$A173,'15g'!$I$7:$I$100,"")+SUMIFS('15h'!$N$7:$N$100,'15h'!$H$7:$H$100,$A173,'15h'!$I$7:$I$100,"")+SUMIFS('15i'!$N$7:$N$100,'15i'!$H$7:$H$100,$A173,'15i'!$I$7:$I$100,"")+SUMIFS('15j'!$N$7:$N$100,'15j'!$H$7:$H$100,$A173,'15j'!$I$7:$I$100,"")+SUMIFS('15k'!$N$7:$N$100,'15k'!$H$7:$H$100,$A173,'15k'!$I$7:$I$100,"")+SUMIFS('15l'!$N$7:$N$100,'15l'!$H$7:$H$100,$A173,'15l'!$I$7:$I$100,"")+SUMIFS('15m'!$N$7:$N$100,'15m'!$H$7:$H$100,$A173,'15m'!$I$7:$I$100,"")+SUMIFS('15n'!$N$7:$N$100,'15n'!$H$7:$H$100,$A173,'15n'!$I$7:$I$100,"")+SUMIFS('16'!$N$7:$N$100,'16'!$H$7:$H$100,$A173,'16'!$I$7:$I$100,"")+SUMIFS('16a'!$N$7:$N$100,'16a'!$H$7:$H$100,$A173,'16a'!$I$7:$I$100,"")+SUMIFS('17'!$N$7:$N$100,'17'!$H$7:$H$100,$A173,'17'!$I$7:$I$100,"")+SUMIFS('17a'!$N$7:$N$100,'17a'!$H$7:$H$100,$A173,'17a'!$I$7:$I$100,"")+SUMIFS('18'!$N$7:$N$100,'18'!$H$7:$H$100,$A173,'18'!$I$7:$I$100,"")+SUMIFS('18a'!$N$7:$N$100,'18a'!$H$7:$H$100,$A173,'18a'!$I$7:$I$100,"")
+SUMIFS('19'!$N$7:$N$100,'19'!$H$7:$H$100,$A173,'19'!$I$7:$I$100,"")+SUMIFS('20'!$N$7:$N$100,'20'!$H$7:$H$100,$A173,'20'!$I$7:$I$100,"")+SUMIFS('20a'!$N$7:$N$100,'20a'!$H$7:$H$100,$A173,'20a'!$I$7:$I$100,"")+SUMIFS('21'!$N$7:$N$100,'21'!$H$7:$H$100,$A173,'21'!$I$7:$I$100,"")+SUMIFS('22'!$N$7:$N$100,'22'!$H$7:$H$100,$A173,'22'!$I$7:$I$100,"")+SUMIFS('22a'!$N$7:$N$100,'22a'!$H$7:$H$100,$A173,'22a'!$I$7:$I$100,"")+SUMIFS('22b'!$N$7:$N$100,'22b'!$H$7:$H$100,$A173,'22b'!$I$7:$I$100,"")+SUMIFS('23'!$N$7:$N$100,'23'!$H$7:$H$100,$A173,'23'!$I$7:$I$100,"")+SUMIFS('24'!$N$7:$N$100,'24'!$H$7:$H$100,$A173,'24'!$I$7:$I$100,"")+SUMIFS('24a'!$N$7:$N$100,'24a'!$H$7:$H$100,$A173,'24a'!$I$7:$I$100,"")+SUMIFS('24b'!$N$7:$N$100,'24b'!$H$7:$H$100,$A173,'24b'!$I$7:$I$100,"")+SUMIFS('24c'!$N$7:$N$100,'24c'!$H$7:$H$100,$A173,'24c'!$I$7:$I$100,"")+SUMIFS('24d'!$N$7:$N$100,'24d'!$H$7:$H$100,$A173,'24d'!$I$7:$I$100,"")+SUMIFS('24e'!$N$7:$N$100,'24e'!$H$7:$H$100,$A173,'24e'!$I$7:$I$100,"")+SUMIFS('24f'!$N$7:$N$100,'24f'!$H$7:$H$100,$A173,'24f'!$I$7:$I$100,"")+SUMIFS('24g'!$N$7:$N$100,'24g'!$H$7:$H$100,$A173,'24g'!$I$7:$I$100,"")+SUMIFS('24h'!$N$7:$N$100,'24h'!$H$7:$H$100,$A173,'24h'!$I$7:$I$100,"")+SUMIFS('24i'!$N$7:$N$100,'24i'!$H$7:$H$100,$A173,'24i'!$I$7:$I$100,"")+SUMIFS('25'!$N$7:$N$100,'25'!$H$7:$H$100,$A173,'25'!$I$7:$I$100,"")+SUMIFS('26'!$N$7:$N$100,'26'!$H$7:$H$100,$A173,'26'!$I$7:$I$100,"")+SUMIFS('26a'!$N$7:$N$100,'26a'!$H$7:$H$100,$A173,'26a'!$I$7:$I$100,"")+SUMIFS('27'!$N$7:$N$100,'27'!$H$7:$H$100,$A173,'27'!$I$7:$I$100,"")+SUMIFS('27a'!$N$7:$N$100,'27a'!$H$7:$H$100,$A173,'27a'!$I$7:$I$100,"")+SUMIFS('28'!$N$7:$N$100,'28'!$H$7:$H$100,$A173,'28'!$I$7:$I$100,"")+SUMIFS('29'!$N$7:$N$100,'29'!$H$7:$H$100,$A173,'29'!$I$7:$I$100,"")</f>
        <v>0</v>
      </c>
      <c r="F173" s="1296">
        <f t="shared" si="4"/>
        <v>0</v>
      </c>
      <c r="G173" s="1295">
        <f>SUMIFS('12'!$J$7:$J$100,'12'!$H$7:$H$100,$A173,'12'!$I$7:$I$100,1)+SUMIFS('13'!$J$7:$J$100,'13'!$H$7:$H$100,$A173,'13'!$I$7:$I$100,1)+SUMIFS('14'!$J$7:$J$100,'14'!$H$7:$H$100,$A173,'14'!$I$7:$I$100,1)+SUMIFS('15'!$J$7:$J$100,'15'!$H$7:$H$100,$A173,'15'!$I$7:$I$100,1)+SUMIFS('15a'!$J$7:$J$100,'15a'!$H$7:$H$100,$A173,'15a'!$I$7:$I$100,1)+SUMIFS('15b'!$J$7:$J$100,'15b'!$H$7:$H$100,$A173,'15b'!$I$7:$I$100,1)+SUMIFS('15c'!$J$7:$J$100,'15c'!$H$7:$H$100,$A173,'15c'!$I$7:$I$100,1)+SUMIFS('15d'!$J$7:$J$100,'15d'!$H$7:$H$100,$A173,'15d'!$I$7:$I$100,1)+SUMIFS('15e'!$J$7:$J$100,'15e'!$H$7:$H$100,$A173,'15e'!$I$7:$I$100,1)+SUMIFS('15f'!$J$7:$J$100,'15f'!$H$7:$H$100,$A173,'15f'!$I$7:$I$100,1)+SUMIFS('15g'!$J$7:$J$100,'15g'!$H$7:$H$100,$A173,'15g'!$I$7:$I$100,1)+SUMIFS('15h'!$J$7:$J$100,'15h'!$H$7:$H$100,$A173,'15h'!$I$7:$I$100,1)+SUMIFS('15i'!$J$7:$J$100,'15i'!$H$7:$H$100,$A173,'15i'!$I$7:$I$100,1)+SUMIFS('15j'!$J$7:$J$100,'15j'!$H$7:$H$100,$A173,'15j'!$I$7:$I$100,1)+SUMIFS('15k'!$J$7:$J$100,'15k'!$H$7:$H$100,$A173,'15k'!$I$7:$I$100,1)+SUMIFS('15l'!$J$7:$J$100,'15l'!$H$7:$H$100,$A173,'15l'!$I$7:$I$100,1)+SUMIFS('15m'!$J$7:$J$100,'15m'!$H$7:$H$100,$A173,'15m'!$I$7:$I$100,1)+SUMIFS('15n'!$J$7:$J$100,'15n'!$H$7:$H$100,$A173,'15n'!$I$7:$I$100,1)+SUMIFS('16'!$J$7:$J$100,'16'!$H$7:$H$100,$A173,'16'!$I$7:$I$100,1)+SUMIFS('16a'!$J$7:$J$100,'16a'!$H$7:$H$100,$A173,'16a'!$I$7:$I$100,1)+SUMIFS('17'!$J$7:$J$100,'17'!$H$7:$H$100,$A173,'17'!$I$7:$I$100,1)+SUMIFS('17a'!$J$7:$J$100,'17a'!$H$7:$H$100,$A173,'17a'!$I$7:$I$100,1)+SUMIFS('18'!$J$7:$J$100,'18'!$H$7:$H$100,$A173,'18'!$I$7:$I$100,1)+SUMIFS('18a'!$J$7:$J$100,'18a'!$H$7:$H$100,$A173,'18a'!$I$7:$I$100,1)
+SUMIFS('19'!$J$7:$J$100,'19'!$H$7:$H$100,$A173,'19'!$I$7:$I$100,1)+SUMIFS('20'!$J$7:$J$100,'20'!$H$7:$H$100,$A173,'20'!$I$7:$I$100,1)+SUMIFS('20a'!$J$7:$J$100,'20a'!$H$7:$H$100,$A173,'20a'!$I$7:$I$100,1)+SUMIFS('21'!$J$7:$J$100,'21'!$H$7:$H$100,$A173,'21'!$I$7:$I$100,1)+SUMIFS('22'!$J$7:$J$100,'22'!$H$7:$H$100,$A173,'22'!$I$7:$I$100,1)+SUMIFS('22a'!$J$7:$J$100,'22a'!$H$7:$H$100,$A173,'22a'!$I$7:$I$100,1)+SUMIFS('22b'!$J$7:$J$100,'22b'!$H$7:$H$100,$A173,'22b'!$I$7:$I$100,1)+SUMIFS('23'!$J$7:$J$100,'23'!$H$7:$H$100,$A173,'23'!$I$7:$I$100,1)+SUMIFS('24'!$J$7:$J$100,'24'!$H$7:$H$100,$A173,'24'!$I$7:$I$100,1)+SUMIFS('24a'!$J$7:$J$100,'24a'!$H$7:$H$100,$A173,'24a'!$I$7:$I$100,1)+SUMIFS('24b'!$J$7:$J$100,'24b'!$H$7:$H$100,$A173,'24b'!$I$7:$I$100,1)+SUMIFS('24c'!$J$7:$J$100,'24c'!$H$7:$H$100,$A173,'24c'!$I$7:$I$100,1)+SUMIFS('24d'!$J$7:$J$100,'24d'!$H$7:$H$100,$A173,'24d'!$I$7:$I$100,1)+SUMIFS('24e'!$J$7:$J$100,'24e'!$H$7:$H$100,$A173,'24e'!$I$7:$I$100,1)+SUMIFS('24f'!$J$7:$J$100,'24f'!$H$7:$H$100,$A173,'24f'!$I$7:$I$100,1)+SUMIFS('24g'!$J$7:$J$100,'24g'!$H$7:$H$100,$A173,'24g'!$I$7:$I$100,1)+SUMIFS('24h'!$J$7:$J$100,'24h'!$H$7:$H$100,$A173,'24h'!$I$7:$I$100,1)+SUMIFS('24i'!$J$7:$J$100,'24i'!$H$7:$H$100,$A173,'24i'!$I$7:$I$100,1)+SUMIFS('25'!$J$7:$J$100,'25'!$H$7:$H$100,$A173,'25'!$I$7:$I$100,1)+SUMIFS('26'!$J$7:$J$100,'26'!$H$7:$H$100,$A173,'26'!$I$7:$I$100,1)+SUMIFS('26a'!$J$7:$J$100,'26a'!$H$7:$H$100,$A173,'26a'!$I$7:$I$100,1)+SUMIFS('27'!$J$7:$J$100,'27'!$H$7:$H$100,$A173,'27'!$I$7:$I$100,1)+SUMIFS('27a'!$J$7:$J$100,'27a'!$H$7:$H$100,$A173,'27a'!$I$7:$I$100,1)+SUMIFS('28'!$J$7:$J$100,'28'!$H$7:$H$100,$A173,'28'!$I$7:$I$100,1)+SUMIFS('29'!$J$7:$J$100,'29'!$H$7:$H$100,$A173,'29'!$I$7:$I$100,1)</f>
        <v>0</v>
      </c>
      <c r="H173" s="1315">
        <f>SUMIFS('12'!$J$7:$J$100,'12'!$H$7:$H$100,$A173,'12'!$I$7:$I$100,2)+SUMIFS('13'!$J$7:$J$100,'13'!$H$7:$H$100,$A173,'13'!$I$7:$I$100,2)+SUMIFS('14'!$J$7:$J$100,'14'!$H$7:$H$100,$A173,'14'!$I$7:$I$100,2)+SUMIFS('15'!$J$7:$J$100,'15'!$H$7:$H$100,$A173,'15'!$I$7:$I$100,2)+SUMIFS('15a'!$J$7:$J$100,'15a'!$H$7:$H$100,$A173,'15a'!$I$7:$I$100,2)+SUMIFS('15b'!$J$7:$J$100,'15b'!$H$7:$H$100,$A173,'15b'!$I$7:$I$100,2)+SUMIFS('15c'!$J$7:$J$100,'15c'!$H$7:$H$100,$A173,'15c'!$I$7:$I$100,2)+SUMIFS('15d'!$J$7:$J$100,'15d'!$H$7:$H$100,$A173,'15d'!$I$7:$I$100,2)+SUMIFS('15e'!$J$7:$J$100,'15e'!$H$7:$H$100,$A173,'15e'!$I$7:$I$100,2)+SUMIFS('15f'!$J$7:$J$100,'15f'!$H$7:$H$100,$A173,'15f'!$I$7:$I$100,2)+SUMIFS('15g'!$J$7:$J$100,'15g'!$H$7:$H$100,$A173,'15g'!$I$7:$I$100,2)+SUMIFS('15h'!$J$7:$J$100,'15h'!$H$7:$H$100,$A173,'15h'!$I$7:$I$100,2)+SUMIFS('15i'!$J$7:$J$100,'15i'!$H$7:$H$100,$A173,'15i'!$I$7:$I$100,2)+SUMIFS('15j'!$J$7:$J$100,'15j'!$H$7:$H$100,$A173,'15j'!$I$7:$I$100,2)+SUMIFS('15k'!$J$7:$J$100,'15k'!$H$7:$H$100,$A173,'15k'!$I$7:$I$100,2)+SUMIFS('15l'!$J$7:$J$100,'15l'!$H$7:$H$100,$A173,'15l'!$I$7:$I$100,2)+SUMIFS('15m'!$J$7:$J$100,'15m'!$H$7:$H$100,$A173,'15m'!$I$7:$I$100,2)+SUMIFS('15n'!$J$7:$J$100,'15n'!$H$7:$H$100,$A173,'15n'!$I$7:$I$100,2)+SUMIFS('16'!$J$7:$J$100,'16'!$H$7:$H$100,$A173,'16'!$I$7:$I$100,2)+SUMIFS('16a'!$J$7:$J$100,'16a'!$H$7:$H$100,$A173,'16a'!$I$7:$I$100,2)+SUMIFS('17'!$J$7:$J$100,'17'!$H$7:$H$100,$A173,'17'!$I$7:$I$100,2)+SUMIFS('17a'!$J$7:$J$100,'17a'!$H$7:$H$100,$A173,'17a'!$I$7:$I$100,2)+SUMIFS('18'!$J$7:$J$100,'18'!$H$7:$H$100,$A173,'18'!$I$7:$I$100,2)+SUMIFS('18a'!$J$7:$J$100,'18a'!$H$7:$H$100,$A173,'18a'!$I$7:$I$100,2)
+SUMIFS('19'!$J$7:$J$100,'19'!$H$7:$H$100,$A173,'19'!$I$7:$I$100,2)+SUMIFS('20'!$J$7:$J$100,'20'!$H$7:$H$100,$A173,'20'!$I$7:$I$100,2)+SUMIFS('20a'!$J$7:$J$100,'20a'!$H$7:$H$100,$A173,'20a'!$I$7:$I$100,2)+SUMIFS('21'!$J$7:$J$100,'21'!$H$7:$H$100,$A173,'21'!$I$7:$I$100,2)+SUMIFS('22'!$J$7:$J$100,'22'!$H$7:$H$100,$A173,'22'!$I$7:$I$100,2)+SUMIFS('22a'!$J$7:$J$100,'22a'!$H$7:$H$100,$A173,'22a'!$I$7:$I$100,2)+SUMIFS('22b'!$J$7:$J$100,'22b'!$H$7:$H$100,$A173,'22b'!$I$7:$I$100,2)+SUMIFS('23'!$J$7:$J$100,'23'!$H$7:$H$100,$A173,'23'!$I$7:$I$100,2)+SUMIFS('24'!$J$7:$J$100,'24'!$H$7:$H$100,$A173,'24'!$I$7:$I$100,2)+SUMIFS('24a'!$J$7:$J$100,'24a'!$H$7:$H$100,$A173,'24a'!$I$7:$I$100,2)+SUMIFS('24b'!$J$7:$J$100,'24b'!$H$7:$H$100,$A173,'24b'!$I$7:$I$100,2)+SUMIFS('24c'!$J$7:$J$100,'24c'!$H$7:$H$100,$A173,'24c'!$I$7:$I$100,2)+SUMIFS('24d'!$J$7:$J$100,'24d'!$H$7:$H$100,$A173,'24d'!$I$7:$I$100,2)+SUMIFS('24e'!$J$7:$J$100,'24e'!$H$7:$H$100,$A173,'24e'!$I$7:$I$100,2)+SUMIFS('24f'!$J$7:$J$100,'24f'!$H$7:$H$100,$A173,'24f'!$I$7:$I$100,2)+SUMIFS('24g'!$J$7:$J$100,'24g'!$H$7:$H$100,$A173,'24g'!$I$7:$I$100,2)+SUMIFS('24h'!$J$7:$J$100,'24h'!$H$7:$H$100,$A173,'24h'!$I$7:$I$100,2)+SUMIFS('24i'!$J$7:$J$100,'24i'!$H$7:$H$100,$A173,'24i'!$I$7:$I$100,2)+SUMIFS('25'!$J$7:$J$100,'25'!$H$7:$H$100,$A173,'25'!$I$7:$I$100,2)+SUMIFS('26'!$J$7:$J$100,'26'!$H$7:$H$100,$A173,'26'!$I$7:$I$100,2)+SUMIFS('26a'!$J$7:$J$100,'26a'!$H$7:$H$100,$A173,'26a'!$I$7:$I$100,2)+SUMIFS('27'!$J$7:$J$100,'27'!$H$7:$H$100,$A173,'27'!$I$7:$I$100,2)+SUMIFS('27a'!$J$7:$J$100,'27a'!$H$7:$H$100,$A173,'27a'!$I$7:$I$100,2)+SUMIFS('28'!$J$7:$J$100,'28'!$H$7:$H$100,$A173,'28'!$I$7:$I$100,2)+SUMIFS('29'!$J$7:$J$100,'29'!$H$7:$H$100,$A173,'29'!$I$7:$I$100,2)</f>
        <v>0</v>
      </c>
      <c r="I173" s="1315">
        <f>SUMIFS('12'!$J$7:$J$100,'12'!$H$7:$H$100,$A173,'12'!$I$7:$I$100,"")+SUMIFS('13'!$J$7:$J$100,'13'!$H$7:$H$100,$A173,'13'!$I$7:$I$100,"")+SUMIFS('14'!$J$7:$J$100,'14'!$H$7:$H$100,$A173,'14'!$I$7:$I$100,"")+SUMIFS('15'!$J$7:$J$100,'15'!$H$7:$H$100,$A173,'15'!$I$7:$I$100,"")+SUMIFS('15a'!$J$7:$J$100,'15a'!$H$7:$H$100,$A173,'15a'!$I$7:$I$100,"")+SUMIFS('15b'!$J$7:$J$100,'15b'!$H$7:$H$100,$A173,'15b'!$I$7:$I$100,"")+SUMIFS('15c'!$J$7:$J$100,'15c'!$H$7:$H$100,$A173,'15c'!$I$7:$I$100,"")+SUMIFS('15d'!$J$7:$J$100,'15d'!$H$7:$H$100,$A173,'15d'!$I$7:$I$100,"")+SUMIFS('15e'!$J$7:$J$100,'15e'!$H$7:$H$100,$A173,'15e'!$I$7:$I$100,"")+SUMIFS('15f'!$J$7:$J$100,'15f'!$H$7:$H$100,$A173,'15f'!$I$7:$I$100,"")+SUMIFS('15g'!$J$7:$J$100,'15g'!$H$7:$H$100,$A173,'15g'!$I$7:$I$100,"")+SUMIFS('15h'!$J$7:$J$100,'15h'!$H$7:$H$100,$A173,'15h'!$I$7:$I$100,"")+SUMIFS('15i'!$J$7:$J$100,'15i'!$H$7:$H$100,$A173,'15i'!$I$7:$I$100,"")+SUMIFS('15j'!$J$7:$J$100,'15j'!$H$7:$H$100,$A173,'15j'!$I$7:$I$100,"")+SUMIFS('15k'!$J$7:$J$100,'15k'!$H$7:$H$100,$A173,'15k'!$I$7:$I$100,"")+SUMIFS('15l'!$J$7:$J$100,'15l'!$H$7:$H$100,$A173,'15l'!$I$7:$I$100,"")+SUMIFS('15m'!$J$7:$J$100,'15m'!$H$7:$H$100,$A173,'15m'!$I$7:$I$100,"")+SUMIFS('15n'!$J$7:$J$100,'15n'!$H$7:$H$100,$A173,'15n'!$I$7:$I$100,"")+SUMIFS('16'!$J$7:$J$100,'16'!$H$7:$H$100,$A173,'16'!$I$7:$I$100,"")+SUMIFS('16a'!$J$7:$J$100,'16a'!$H$7:$H$100,$A173,'16a'!$I$7:$I$100,"")+SUMIFS('17'!$J$7:$J$100,'17'!$H$7:$H$100,$A173,'17'!$I$7:$I$100,"")+SUMIFS('17a'!$J$7:$J$100,'17a'!$H$7:$H$100,$A173,'17a'!$I$7:$I$100,"")+SUMIFS('18'!$J$7:$J$100,'18'!$H$7:$H$100,$A173,'18'!$I$7:$I$100,"")+SUMIFS('18a'!$J$7:$J$100,'18a'!$H$7:$H$100,$A173,'18a'!$I$7:$I$100,"")
+SUMIFS('19'!$J$7:$J$100,'19'!$H$7:$H$100,$A173,'19'!$I$7:$I$100,"")+SUMIFS('20'!$J$7:$J$100,'20'!$H$7:$H$100,$A173,'20'!$I$7:$I$100,"")+SUMIFS('20a'!$J$7:$J$100,'20a'!$H$7:$H$100,$A173,'20a'!$I$7:$I$100,"")+SUMIFS('21'!$J$7:$J$100,'21'!$H$7:$H$100,$A173,'21'!$I$7:$I$100,"")+SUMIFS('22'!$J$7:$J$100,'22'!$H$7:$H$100,$A173,'22'!$I$7:$I$100,"")+SUMIFS('22a'!$J$7:$J$100,'22a'!$H$7:$H$100,$A173,'22a'!$I$7:$I$100,"")+SUMIFS('22b'!$J$7:$J$100,'22b'!$H$7:$H$100,$A173,'22b'!$I$7:$I$100,"")+SUMIFS('23'!$J$7:$J$100,'23'!$H$7:$H$100,$A173,'23'!$I$7:$I$100,"")+SUMIFS('24'!$J$7:$J$100,'24'!$H$7:$H$100,$A173,'24'!$I$7:$I$100,"")+SUMIFS('24a'!$J$7:$J$100,'24a'!$H$7:$H$100,$A173,'24a'!$I$7:$I$100,"")+SUMIFS('24b'!$J$7:$J$100,'24b'!$H$7:$H$100,$A173,'24b'!$I$7:$I$100,"")+SUMIFS('24c'!$J$7:$J$100,'24c'!$H$7:$H$100,$A173,'24c'!$I$7:$I$100,"")+SUMIFS('24d'!$J$7:$J$100,'24d'!$H$7:$H$100,$A173,'24d'!$I$7:$I$100,"")+SUMIFS('24e'!$J$7:$J$100,'24e'!$H$7:$H$100,$A173,'24e'!$I$7:$I$100,"")+SUMIFS('24f'!$J$7:$J$100,'24f'!$H$7:$H$100,$A173,'24f'!$I$7:$I$100,"")+SUMIFS('24g'!$J$7:$J$100,'24g'!$H$7:$H$100,$A173,'24g'!$I$7:$I$100,"")+SUMIFS('24h'!$J$7:$J$100,'24h'!$H$7:$H$100,$A173,'24h'!$I$7:$I$100,"")+SUMIFS('24i'!$J$7:$J$100,'24i'!$H$7:$H$100,$A173,'24i'!$I$7:$I$100,"")+SUMIFS('25'!$J$7:$J$100,'25'!$H$7:$H$100,$A173,'25'!$I$7:$I$100,"")+SUMIFS('26'!$J$7:$J$100,'26'!$H$7:$H$100,$A173,'26'!$I$7:$I$100,"")+SUMIFS('26a'!$J$7:$J$100,'26a'!$H$7:$H$100,$A173,'26a'!$I$7:$I$100,"")+SUMIFS('27'!$J$7:$J$100,'27'!$H$7:$H$100,$A173,'27'!$I$7:$I$100,"")+SUMIFS('27a'!$J$7:$J$100,'27a'!$H$7:$H$100,$A173,'27a'!$I$7:$I$100,"")+SUMIFS('28'!$J$7:$J$100,'28'!$H$7:$H$100,$A173,'28'!$I$7:$I$100,"")+SUMIFS('29'!$J$7:$J$100,'29'!$H$7:$H$100,$A173,'29'!$I$7:$I$100,"")</f>
        <v>0</v>
      </c>
      <c r="J173" s="1296">
        <f t="shared" si="5"/>
        <v>0</v>
      </c>
      <c r="K173"/>
      <c r="L173"/>
      <c r="M173"/>
      <c r="N173"/>
      <c r="O173"/>
      <c r="P173"/>
      <c r="Q173"/>
      <c r="R173"/>
      <c r="S173" s="1307">
        <f t="shared" si="2"/>
        <v>0</v>
      </c>
      <c r="T173"/>
    </row>
    <row r="174" spans="1:20" x14ac:dyDescent="0.2">
      <c r="A174" t="s">
        <v>5100</v>
      </c>
      <c r="B174" t="s">
        <v>5466</v>
      </c>
      <c r="C174" s="1295">
        <f>SUMIFS('12'!$N$7:$N$100,'12'!$H$7:$H$100,$A174,'12'!$I$7:$I$100,1)+SUMIFS('13'!$N$7:$N$100,'13'!$H$7:$H$100,$A174,'13'!$I$7:$I$100,1)+SUMIFS('14'!$N$7:$N$100,'14'!$H$7:$H$100,$A174,'14'!$I$7:$I$100,1)+SUMIFS('15'!$N$7:$N$100,'15'!$H$7:$H$100,$A174,'15'!$I$7:$I$100,1)+SUMIFS('15a'!$N$7:$N$100,'15a'!$H$7:$H$100,$A174,'15a'!$I$7:$I$100,1)+SUMIFS('15b'!$N$7:$N$100,'15b'!$H$7:$H$100,$A174,'15b'!$I$7:$I$100,1)+SUMIFS('15c'!$N$7:$N$100,'15c'!$H$7:$H$100,$A174,'15c'!$I$7:$I$100,1)+SUMIFS('15d'!$N$7:$N$100,'15d'!$H$7:$H$100,$A174,'15d'!$I$7:$I$100,1)+SUMIFS('15e'!$N$7:$N$100,'15e'!$H$7:$H$100,$A174,'15e'!$I$7:$I$100,1)+SUMIFS('15f'!$N$7:$N$100,'15f'!$H$7:$H$100,$A174,'15f'!$I$7:$I$100,1)+SUMIFS('15g'!$N$7:$N$100,'15g'!$H$7:$H$100,$A174,'15g'!$I$7:$I$100,1)+SUMIFS('15h'!$N$7:$N$100,'15h'!$H$7:$H$100,$A174,'15h'!$I$7:$I$100,1)+SUMIFS('15i'!$N$7:$N$100,'15i'!$H$7:$H$100,$A174,'15i'!$I$7:$I$100,1)+SUMIFS('15j'!$N$7:$N$100,'15j'!$H$7:$H$100,$A174,'15j'!$I$7:$I$100,1)+SUMIFS('15k'!$N$7:$N$100,'15k'!$H$7:$H$100,$A174,'15k'!$I$7:$I$100,1)+SUMIFS('15l'!$N$7:$N$100,'15l'!$H$7:$H$100,$A174,'15l'!$I$7:$I$100,1)+SUMIFS('15m'!$N$7:$N$100,'15m'!$H$7:$H$100,$A174,'15m'!$I$7:$I$100,1)+SUMIFS('15n'!$N$7:$N$100,'15n'!$H$7:$H$100,$A174,'15n'!$I$7:$I$100,1)+SUMIFS('16'!$N$7:$N$100,'16'!$H$7:$H$100,$A174,'16'!$I$7:$I$100,1)+SUMIFS('16a'!$N$7:$N$100,'16a'!$H$7:$H$100,$A174,'16a'!$I$7:$I$100,1)+SUMIFS('17'!$N$7:$N$100,'17'!$H$7:$H$100,$A174,'17'!$I$7:$I$100,1)+SUMIFS('17a'!$N$7:$N$100,'17a'!$H$7:$H$100,$A174,'17a'!$I$7:$I$100,1)+SUMIFS('18'!$N$7:$N$100,'18'!$H$7:$H$100,$A174,'18'!$I$7:$I$100,1)+SUMIFS('18a'!$N$7:$N$100,'18a'!$H$7:$H$100,$A174,'18a'!$I$7:$I$100,1)
+SUMIFS('19'!$N$7:$N$100,'19'!$H$7:$H$100,$A174,'19'!$I$7:$I$100,1)+SUMIFS('20'!$N$7:$N$100,'20'!$H$7:$H$100,$A174,'20'!$I$7:$I$100,1)+SUMIFS('20a'!$N$7:$N$100,'20a'!$H$7:$H$100,$A174,'20a'!$I$7:$I$100,1)+SUMIFS('21'!$N$7:$N$100,'21'!$H$7:$H$100,$A174,'21'!$I$7:$I$100,1)+SUMIFS('22'!$N$7:$N$100,'22'!$H$7:$H$100,$A174,'22'!$I$7:$I$100,1)+SUMIFS('22a'!$N$7:$N$100,'22a'!$H$7:$H$100,$A174,'22a'!$I$7:$I$100,1)+SUMIFS('22b'!$N$7:$N$100,'22b'!$H$7:$H$100,$A174,'22b'!$I$7:$I$100,1)+SUMIFS('23'!$N$7:$N$100,'23'!$H$7:$H$100,$A174,'23'!$I$7:$I$100,1)+SUMIFS('24'!$N$7:$N$100,'24'!$H$7:$H$100,$A174,'24'!$I$7:$I$100,1)+SUMIFS('24a'!$N$7:$N$100,'24a'!$H$7:$H$100,$A174,'24a'!$I$7:$I$100,1)+SUMIFS('24b'!$N$7:$N$100,'24b'!$H$7:$H$100,$A174,'24b'!$I$7:$I$100,1)+SUMIFS('24c'!$N$7:$N$100,'24c'!$H$7:$H$100,$A174,'24c'!$I$7:$I$100,1)+SUMIFS('24d'!$N$7:$N$100,'24d'!$H$7:$H$100,$A174,'24d'!$I$7:$I$100,1)+SUMIFS('24e'!$N$7:$N$100,'24e'!$H$7:$H$100,$A174,'24e'!$I$7:$I$100,1)+SUMIFS('24f'!$N$7:$N$100,'24f'!$H$7:$H$100,$A174,'24f'!$I$7:$I$100,1)+SUMIFS('24g'!$N$7:$N$100,'24g'!$H$7:$H$100,$A174,'24g'!$I$7:$I$100,1)+SUMIFS('24h'!$N$7:$N$100,'24h'!$H$7:$H$100,$A174,'24h'!$I$7:$I$100,1)+SUMIFS('24i'!$N$7:$N$100,'24i'!$H$7:$H$100,$A174,'24i'!$I$7:$I$100,1)+SUMIFS('25'!$N$7:$N$100,'25'!$H$7:$H$100,$A174,'25'!$I$7:$I$100,1)+SUMIFS('26'!$N$7:$N$100,'26'!$H$7:$H$100,$A174,'26'!$I$7:$I$100,1)+SUMIFS('26a'!$N$7:$N$100,'26a'!$H$7:$H$100,$A174,'26a'!$I$7:$I$100,1)+SUMIFS('27'!$N$7:$N$100,'27'!$H$7:$H$100,$A174,'27'!$I$7:$I$100,1)+SUMIFS('27a'!$N$7:$N$100,'27a'!$H$7:$H$100,$A174,'27a'!$I$7:$I$100,1)+SUMIFS('28'!$N$7:$N$100,'28'!$H$7:$H$100,$A174,'28'!$I$7:$I$100,1)+SUMIFS('29'!$N$7:$N$100,'29'!$H$7:$H$100,$A174,'29'!$I$7:$I$100,1)</f>
        <v>0</v>
      </c>
      <c r="D174" s="1315">
        <f>SUMIFS('12'!$N$7:$N$100,'12'!$H$7:$H$100,$A174,'12'!$I$7:$I$100,2)+SUMIFS('13'!$N$7:$N$100,'13'!$H$7:$H$100,$A174,'13'!$I$7:$I$100,2)+SUMIFS('14'!$N$7:$N$100,'14'!$H$7:$H$100,$A174,'14'!$I$7:$I$100,2)+SUMIFS('15'!$N$7:$N$100,'15'!$H$7:$H$100,$A174,'15'!$I$7:$I$100,2)+SUMIFS('15a'!$N$7:$N$100,'15a'!$H$7:$H$100,$A174,'15a'!$I$7:$I$100,2)+SUMIFS('15b'!$N$7:$N$100,'15b'!$H$7:$H$100,$A174,'15b'!$I$7:$I$100,2)+SUMIFS('15c'!$N$7:$N$100,'15c'!$H$7:$H$100,$A174,'15c'!$I$7:$I$100,2)+SUMIFS('15d'!$N$7:$N$100,'15d'!$H$7:$H$100,$A174,'15d'!$I$7:$I$100,2)+SUMIFS('15e'!$N$7:$N$100,'15e'!$H$7:$H$100,$A174,'15e'!$I$7:$I$100,2)+SUMIFS('15f'!$N$7:$N$100,'15f'!$H$7:$H$100,$A174,'15f'!$I$7:$I$100,2)+SUMIFS('15g'!$N$7:$N$100,'15g'!$H$7:$H$100,$A174,'15g'!$I$7:$I$100,2)+SUMIFS('15h'!$N$7:$N$100,'15h'!$H$7:$H$100,$A174,'15h'!$I$7:$I$100,2)+SUMIFS('15i'!$N$7:$N$100,'15i'!$H$7:$H$100,$A174,'15i'!$I$7:$I$100,2)+SUMIFS('15j'!$N$7:$N$100,'15j'!$H$7:$H$100,$A174,'15j'!$I$7:$I$100,2)+SUMIFS('15k'!$N$7:$N$100,'15k'!$H$7:$H$100,$A174,'15k'!$I$7:$I$100,2)+SUMIFS('15l'!$N$7:$N$100,'15l'!$H$7:$H$100,$A174,'15l'!$I$7:$I$100,2)+SUMIFS('15m'!$N$7:$N$100,'15m'!$H$7:$H$100,$A174,'15m'!$I$7:$I$100,2)+SUMIFS('15n'!$N$7:$N$100,'15n'!$H$7:$H$100,$A174,'15n'!$I$7:$I$100,2)+SUMIFS('16'!$N$7:$N$100,'16'!$H$7:$H$100,$A174,'16'!$I$7:$I$100,2)+SUMIFS('16a'!$N$7:$N$100,'16a'!$H$7:$H$100,$A174,'16a'!$I$7:$I$100,2)+SUMIFS('17'!$N$7:$N$100,'17'!$H$7:$H$100,$A174,'17'!$I$7:$I$100,2)+SUMIFS('17a'!$N$7:$N$100,'17a'!$H$7:$H$100,$A174,'17a'!$I$7:$I$100,2)+SUMIFS('18'!$N$7:$N$100,'18'!$H$7:$H$100,$A174,'18'!$I$7:$I$100,2)+SUMIFS('18a'!$N$7:$N$100,'18a'!$H$7:$H$100,$A174,'18a'!$I$7:$I$100,2)
+SUMIFS('19'!$N$7:$N$100,'19'!$H$7:$H$100,$A174,'19'!$I$7:$I$100,2)+SUMIFS('20'!$N$7:$N$100,'20'!$H$7:$H$100,$A174,'20'!$I$7:$I$100,2)+SUMIFS('20a'!$N$7:$N$100,'20a'!$H$7:$H$100,$A174,'20a'!$I$7:$I$100,2)+SUMIFS('21'!$N$7:$N$100,'21'!$H$7:$H$100,$A174,'21'!$I$7:$I$100,2)+SUMIFS('22'!$N$7:$N$100,'22'!$H$7:$H$100,$A174,'22'!$I$7:$I$100,2)+SUMIFS('22a'!$N$7:$N$100,'22a'!$H$7:$H$100,$A174,'22a'!$I$7:$I$100,2)+SUMIFS('22b'!$N$7:$N$100,'22b'!$H$7:$H$100,$A174,'22b'!$I$7:$I$100,2)+SUMIFS('23'!$N$7:$N$100,'23'!$H$7:$H$100,$A174,'23'!$I$7:$I$100,2)+SUMIFS('24'!$N$7:$N$100,'24'!$H$7:$H$100,$A174,'24'!$I$7:$I$100,2)+SUMIFS('24a'!$N$7:$N$100,'24a'!$H$7:$H$100,$A174,'24a'!$I$7:$I$100,2)+SUMIFS('24b'!$N$7:$N$100,'24b'!$H$7:$H$100,$A174,'24b'!$I$7:$I$100,2)+SUMIFS('24c'!$N$7:$N$100,'24c'!$H$7:$H$100,$A174,'24c'!$I$7:$I$100,2)+SUMIFS('24d'!$N$7:$N$100,'24d'!$H$7:$H$100,$A174,'24d'!$I$7:$I$100,2)+SUMIFS('24e'!$N$7:$N$100,'24e'!$H$7:$H$100,$A174,'24e'!$I$7:$I$100,2)+SUMIFS('24f'!$N$7:$N$100,'24f'!$H$7:$H$100,$A174,'24f'!$I$7:$I$100,2)+SUMIFS('24g'!$N$7:$N$100,'24g'!$H$7:$H$100,$A174,'24g'!$I$7:$I$100,2)+SUMIFS('24h'!$N$7:$N$100,'24h'!$H$7:$H$100,$A174,'24h'!$I$7:$I$100,2)+SUMIFS('24i'!$N$7:$N$100,'24i'!$H$7:$H$100,$A174,'24i'!$I$7:$I$100,2)+SUMIFS('25'!$N$7:$N$100,'25'!$H$7:$H$100,$A174,'25'!$I$7:$I$100,2)+SUMIFS('26'!$N$7:$N$100,'26'!$H$7:$H$100,$A174,'26'!$I$7:$I$100,2)+SUMIFS('26a'!$N$7:$N$100,'26a'!$H$7:$H$100,$A174,'26a'!$I$7:$I$100,2)+SUMIFS('27'!$N$7:$N$100,'27'!$H$7:$H$100,$A174,'27'!$I$7:$I$100,2)+SUMIFS('27a'!$N$7:$N$100,'27a'!$H$7:$H$100,$A174,'27a'!$I$7:$I$100,2)+SUMIFS('28'!$N$7:$N$100,'28'!$H$7:$H$100,$A174,'28'!$I$7:$I$100,2)+SUMIFS('29'!$N$7:$N$100,'29'!$H$7:$H$100,$A174,'29'!$I$7:$I$100,2)</f>
        <v>0</v>
      </c>
      <c r="E174" s="1315">
        <f>SUMIFS('12'!$N$7:$N$100,'12'!$H$7:$H$100,$A174,'12'!$I$7:$I$100,"")+SUMIFS('13'!$N$7:$N$100,'13'!$H$7:$H$100,$A174,'13'!$I$7:$I$100,"")+SUMIFS('14'!$N$7:$N$100,'14'!$H$7:$H$100,$A174,'14'!$I$7:$I$100,"")+SUMIFS('15'!$N$7:$N$100,'15'!$H$7:$H$100,$A174,'15'!$I$7:$I$100,"")+SUMIFS('15a'!$N$7:$N$100,'15a'!$H$7:$H$100,$A174,'15a'!$I$7:$I$100,"")+SUMIFS('15b'!$N$7:$N$100,'15b'!$H$7:$H$100,$A174,'15b'!$I$7:$I$100,"")+SUMIFS('15c'!$N$7:$N$100,'15c'!$H$7:$H$100,$A174,'15c'!$I$7:$I$100,"")+SUMIFS('15d'!$N$7:$N$100,'15d'!$H$7:$H$100,$A174,'15d'!$I$7:$I$100,"")+SUMIFS('15e'!$N$7:$N$100,'15e'!$H$7:$H$100,$A174,'15e'!$I$7:$I$100,"")+SUMIFS('15f'!$N$7:$N$100,'15f'!$H$7:$H$100,$A174,'15f'!$I$7:$I$100,"")+SUMIFS('15g'!$N$7:$N$100,'15g'!$H$7:$H$100,$A174,'15g'!$I$7:$I$100,"")+SUMIFS('15h'!$N$7:$N$100,'15h'!$H$7:$H$100,$A174,'15h'!$I$7:$I$100,"")+SUMIFS('15i'!$N$7:$N$100,'15i'!$H$7:$H$100,$A174,'15i'!$I$7:$I$100,"")+SUMIFS('15j'!$N$7:$N$100,'15j'!$H$7:$H$100,$A174,'15j'!$I$7:$I$100,"")+SUMIFS('15k'!$N$7:$N$100,'15k'!$H$7:$H$100,$A174,'15k'!$I$7:$I$100,"")+SUMIFS('15l'!$N$7:$N$100,'15l'!$H$7:$H$100,$A174,'15l'!$I$7:$I$100,"")+SUMIFS('15m'!$N$7:$N$100,'15m'!$H$7:$H$100,$A174,'15m'!$I$7:$I$100,"")+SUMIFS('15n'!$N$7:$N$100,'15n'!$H$7:$H$100,$A174,'15n'!$I$7:$I$100,"")+SUMIFS('16'!$N$7:$N$100,'16'!$H$7:$H$100,$A174,'16'!$I$7:$I$100,"")+SUMIFS('16a'!$N$7:$N$100,'16a'!$H$7:$H$100,$A174,'16a'!$I$7:$I$100,"")+SUMIFS('17'!$N$7:$N$100,'17'!$H$7:$H$100,$A174,'17'!$I$7:$I$100,"")+SUMIFS('17a'!$N$7:$N$100,'17a'!$H$7:$H$100,$A174,'17a'!$I$7:$I$100,"")+SUMIFS('18'!$N$7:$N$100,'18'!$H$7:$H$100,$A174,'18'!$I$7:$I$100,"")+SUMIFS('18a'!$N$7:$N$100,'18a'!$H$7:$H$100,$A174,'18a'!$I$7:$I$100,"")
+SUMIFS('19'!$N$7:$N$100,'19'!$H$7:$H$100,$A174,'19'!$I$7:$I$100,"")+SUMIFS('20'!$N$7:$N$100,'20'!$H$7:$H$100,$A174,'20'!$I$7:$I$100,"")+SUMIFS('20a'!$N$7:$N$100,'20a'!$H$7:$H$100,$A174,'20a'!$I$7:$I$100,"")+SUMIFS('21'!$N$7:$N$100,'21'!$H$7:$H$100,$A174,'21'!$I$7:$I$100,"")+SUMIFS('22'!$N$7:$N$100,'22'!$H$7:$H$100,$A174,'22'!$I$7:$I$100,"")+SUMIFS('22a'!$N$7:$N$100,'22a'!$H$7:$H$100,$A174,'22a'!$I$7:$I$100,"")+SUMIFS('22b'!$N$7:$N$100,'22b'!$H$7:$H$100,$A174,'22b'!$I$7:$I$100,"")+SUMIFS('23'!$N$7:$N$100,'23'!$H$7:$H$100,$A174,'23'!$I$7:$I$100,"")+SUMIFS('24'!$N$7:$N$100,'24'!$H$7:$H$100,$A174,'24'!$I$7:$I$100,"")+SUMIFS('24a'!$N$7:$N$100,'24a'!$H$7:$H$100,$A174,'24a'!$I$7:$I$100,"")+SUMIFS('24b'!$N$7:$N$100,'24b'!$H$7:$H$100,$A174,'24b'!$I$7:$I$100,"")+SUMIFS('24c'!$N$7:$N$100,'24c'!$H$7:$H$100,$A174,'24c'!$I$7:$I$100,"")+SUMIFS('24d'!$N$7:$N$100,'24d'!$H$7:$H$100,$A174,'24d'!$I$7:$I$100,"")+SUMIFS('24e'!$N$7:$N$100,'24e'!$H$7:$H$100,$A174,'24e'!$I$7:$I$100,"")+SUMIFS('24f'!$N$7:$N$100,'24f'!$H$7:$H$100,$A174,'24f'!$I$7:$I$100,"")+SUMIFS('24g'!$N$7:$N$100,'24g'!$H$7:$H$100,$A174,'24g'!$I$7:$I$100,"")+SUMIFS('24h'!$N$7:$N$100,'24h'!$H$7:$H$100,$A174,'24h'!$I$7:$I$100,"")+SUMIFS('24i'!$N$7:$N$100,'24i'!$H$7:$H$100,$A174,'24i'!$I$7:$I$100,"")+SUMIFS('25'!$N$7:$N$100,'25'!$H$7:$H$100,$A174,'25'!$I$7:$I$100,"")+SUMIFS('26'!$N$7:$N$100,'26'!$H$7:$H$100,$A174,'26'!$I$7:$I$100,"")+SUMIFS('26a'!$N$7:$N$100,'26a'!$H$7:$H$100,$A174,'26a'!$I$7:$I$100,"")+SUMIFS('27'!$N$7:$N$100,'27'!$H$7:$H$100,$A174,'27'!$I$7:$I$100,"")+SUMIFS('27a'!$N$7:$N$100,'27a'!$H$7:$H$100,$A174,'27a'!$I$7:$I$100,"")+SUMIFS('28'!$N$7:$N$100,'28'!$H$7:$H$100,$A174,'28'!$I$7:$I$100,"")+SUMIFS('29'!$N$7:$N$100,'29'!$H$7:$H$100,$A174,'29'!$I$7:$I$100,"")</f>
        <v>0</v>
      </c>
      <c r="F174" s="1296">
        <f t="shared" si="4"/>
        <v>0</v>
      </c>
      <c r="G174" s="1295">
        <f>SUMIFS('12'!$J$7:$J$100,'12'!$H$7:$H$100,$A174,'12'!$I$7:$I$100,1)+SUMIFS('13'!$J$7:$J$100,'13'!$H$7:$H$100,$A174,'13'!$I$7:$I$100,1)+SUMIFS('14'!$J$7:$J$100,'14'!$H$7:$H$100,$A174,'14'!$I$7:$I$100,1)+SUMIFS('15'!$J$7:$J$100,'15'!$H$7:$H$100,$A174,'15'!$I$7:$I$100,1)+SUMIFS('15a'!$J$7:$J$100,'15a'!$H$7:$H$100,$A174,'15a'!$I$7:$I$100,1)+SUMIFS('15b'!$J$7:$J$100,'15b'!$H$7:$H$100,$A174,'15b'!$I$7:$I$100,1)+SUMIFS('15c'!$J$7:$J$100,'15c'!$H$7:$H$100,$A174,'15c'!$I$7:$I$100,1)+SUMIFS('15d'!$J$7:$J$100,'15d'!$H$7:$H$100,$A174,'15d'!$I$7:$I$100,1)+SUMIFS('15e'!$J$7:$J$100,'15e'!$H$7:$H$100,$A174,'15e'!$I$7:$I$100,1)+SUMIFS('15f'!$J$7:$J$100,'15f'!$H$7:$H$100,$A174,'15f'!$I$7:$I$100,1)+SUMIFS('15g'!$J$7:$J$100,'15g'!$H$7:$H$100,$A174,'15g'!$I$7:$I$100,1)+SUMIFS('15h'!$J$7:$J$100,'15h'!$H$7:$H$100,$A174,'15h'!$I$7:$I$100,1)+SUMIFS('15i'!$J$7:$J$100,'15i'!$H$7:$H$100,$A174,'15i'!$I$7:$I$100,1)+SUMIFS('15j'!$J$7:$J$100,'15j'!$H$7:$H$100,$A174,'15j'!$I$7:$I$100,1)+SUMIFS('15k'!$J$7:$J$100,'15k'!$H$7:$H$100,$A174,'15k'!$I$7:$I$100,1)+SUMIFS('15l'!$J$7:$J$100,'15l'!$H$7:$H$100,$A174,'15l'!$I$7:$I$100,1)+SUMIFS('15m'!$J$7:$J$100,'15m'!$H$7:$H$100,$A174,'15m'!$I$7:$I$100,1)+SUMIFS('15n'!$J$7:$J$100,'15n'!$H$7:$H$100,$A174,'15n'!$I$7:$I$100,1)+SUMIFS('16'!$J$7:$J$100,'16'!$H$7:$H$100,$A174,'16'!$I$7:$I$100,1)+SUMIFS('16a'!$J$7:$J$100,'16a'!$H$7:$H$100,$A174,'16a'!$I$7:$I$100,1)+SUMIFS('17'!$J$7:$J$100,'17'!$H$7:$H$100,$A174,'17'!$I$7:$I$100,1)+SUMIFS('17a'!$J$7:$J$100,'17a'!$H$7:$H$100,$A174,'17a'!$I$7:$I$100,1)+SUMIFS('18'!$J$7:$J$100,'18'!$H$7:$H$100,$A174,'18'!$I$7:$I$100,1)+SUMIFS('18a'!$J$7:$J$100,'18a'!$H$7:$H$100,$A174,'18a'!$I$7:$I$100,1)
+SUMIFS('19'!$J$7:$J$100,'19'!$H$7:$H$100,$A174,'19'!$I$7:$I$100,1)+SUMIFS('20'!$J$7:$J$100,'20'!$H$7:$H$100,$A174,'20'!$I$7:$I$100,1)+SUMIFS('20a'!$J$7:$J$100,'20a'!$H$7:$H$100,$A174,'20a'!$I$7:$I$100,1)+SUMIFS('21'!$J$7:$J$100,'21'!$H$7:$H$100,$A174,'21'!$I$7:$I$100,1)+SUMIFS('22'!$J$7:$J$100,'22'!$H$7:$H$100,$A174,'22'!$I$7:$I$100,1)+SUMIFS('22a'!$J$7:$J$100,'22a'!$H$7:$H$100,$A174,'22a'!$I$7:$I$100,1)+SUMIFS('22b'!$J$7:$J$100,'22b'!$H$7:$H$100,$A174,'22b'!$I$7:$I$100,1)+SUMIFS('23'!$J$7:$J$100,'23'!$H$7:$H$100,$A174,'23'!$I$7:$I$100,1)+SUMIFS('24'!$J$7:$J$100,'24'!$H$7:$H$100,$A174,'24'!$I$7:$I$100,1)+SUMIFS('24a'!$J$7:$J$100,'24a'!$H$7:$H$100,$A174,'24a'!$I$7:$I$100,1)+SUMIFS('24b'!$J$7:$J$100,'24b'!$H$7:$H$100,$A174,'24b'!$I$7:$I$100,1)+SUMIFS('24c'!$J$7:$J$100,'24c'!$H$7:$H$100,$A174,'24c'!$I$7:$I$100,1)+SUMIFS('24d'!$J$7:$J$100,'24d'!$H$7:$H$100,$A174,'24d'!$I$7:$I$100,1)+SUMIFS('24e'!$J$7:$J$100,'24e'!$H$7:$H$100,$A174,'24e'!$I$7:$I$100,1)+SUMIFS('24f'!$J$7:$J$100,'24f'!$H$7:$H$100,$A174,'24f'!$I$7:$I$100,1)+SUMIFS('24g'!$J$7:$J$100,'24g'!$H$7:$H$100,$A174,'24g'!$I$7:$I$100,1)+SUMIFS('24h'!$J$7:$J$100,'24h'!$H$7:$H$100,$A174,'24h'!$I$7:$I$100,1)+SUMIFS('24i'!$J$7:$J$100,'24i'!$H$7:$H$100,$A174,'24i'!$I$7:$I$100,1)+SUMIFS('25'!$J$7:$J$100,'25'!$H$7:$H$100,$A174,'25'!$I$7:$I$100,1)+SUMIFS('26'!$J$7:$J$100,'26'!$H$7:$H$100,$A174,'26'!$I$7:$I$100,1)+SUMIFS('26a'!$J$7:$J$100,'26a'!$H$7:$H$100,$A174,'26a'!$I$7:$I$100,1)+SUMIFS('27'!$J$7:$J$100,'27'!$H$7:$H$100,$A174,'27'!$I$7:$I$100,1)+SUMIFS('27a'!$J$7:$J$100,'27a'!$H$7:$H$100,$A174,'27a'!$I$7:$I$100,1)+SUMIFS('28'!$J$7:$J$100,'28'!$H$7:$H$100,$A174,'28'!$I$7:$I$100,1)+SUMIFS('29'!$J$7:$J$100,'29'!$H$7:$H$100,$A174,'29'!$I$7:$I$100,1)</f>
        <v>0</v>
      </c>
      <c r="H174" s="1315">
        <f>SUMIFS('12'!$J$7:$J$100,'12'!$H$7:$H$100,$A174,'12'!$I$7:$I$100,2)+SUMIFS('13'!$J$7:$J$100,'13'!$H$7:$H$100,$A174,'13'!$I$7:$I$100,2)+SUMIFS('14'!$J$7:$J$100,'14'!$H$7:$H$100,$A174,'14'!$I$7:$I$100,2)+SUMIFS('15'!$J$7:$J$100,'15'!$H$7:$H$100,$A174,'15'!$I$7:$I$100,2)+SUMIFS('15a'!$J$7:$J$100,'15a'!$H$7:$H$100,$A174,'15a'!$I$7:$I$100,2)+SUMIFS('15b'!$J$7:$J$100,'15b'!$H$7:$H$100,$A174,'15b'!$I$7:$I$100,2)+SUMIFS('15c'!$J$7:$J$100,'15c'!$H$7:$H$100,$A174,'15c'!$I$7:$I$100,2)+SUMIFS('15d'!$J$7:$J$100,'15d'!$H$7:$H$100,$A174,'15d'!$I$7:$I$100,2)+SUMIFS('15e'!$J$7:$J$100,'15e'!$H$7:$H$100,$A174,'15e'!$I$7:$I$100,2)+SUMIFS('15f'!$J$7:$J$100,'15f'!$H$7:$H$100,$A174,'15f'!$I$7:$I$100,2)+SUMIFS('15g'!$J$7:$J$100,'15g'!$H$7:$H$100,$A174,'15g'!$I$7:$I$100,2)+SUMIFS('15h'!$J$7:$J$100,'15h'!$H$7:$H$100,$A174,'15h'!$I$7:$I$100,2)+SUMIFS('15i'!$J$7:$J$100,'15i'!$H$7:$H$100,$A174,'15i'!$I$7:$I$100,2)+SUMIFS('15j'!$J$7:$J$100,'15j'!$H$7:$H$100,$A174,'15j'!$I$7:$I$100,2)+SUMIFS('15k'!$J$7:$J$100,'15k'!$H$7:$H$100,$A174,'15k'!$I$7:$I$100,2)+SUMIFS('15l'!$J$7:$J$100,'15l'!$H$7:$H$100,$A174,'15l'!$I$7:$I$100,2)+SUMIFS('15m'!$J$7:$J$100,'15m'!$H$7:$H$100,$A174,'15m'!$I$7:$I$100,2)+SUMIFS('15n'!$J$7:$J$100,'15n'!$H$7:$H$100,$A174,'15n'!$I$7:$I$100,2)+SUMIFS('16'!$J$7:$J$100,'16'!$H$7:$H$100,$A174,'16'!$I$7:$I$100,2)+SUMIFS('16a'!$J$7:$J$100,'16a'!$H$7:$H$100,$A174,'16a'!$I$7:$I$100,2)+SUMIFS('17'!$J$7:$J$100,'17'!$H$7:$H$100,$A174,'17'!$I$7:$I$100,2)+SUMIFS('17a'!$J$7:$J$100,'17a'!$H$7:$H$100,$A174,'17a'!$I$7:$I$100,2)+SUMIFS('18'!$J$7:$J$100,'18'!$H$7:$H$100,$A174,'18'!$I$7:$I$100,2)+SUMIFS('18a'!$J$7:$J$100,'18a'!$H$7:$H$100,$A174,'18a'!$I$7:$I$100,2)
+SUMIFS('19'!$J$7:$J$100,'19'!$H$7:$H$100,$A174,'19'!$I$7:$I$100,2)+SUMIFS('20'!$J$7:$J$100,'20'!$H$7:$H$100,$A174,'20'!$I$7:$I$100,2)+SUMIFS('20a'!$J$7:$J$100,'20a'!$H$7:$H$100,$A174,'20a'!$I$7:$I$100,2)+SUMIFS('21'!$J$7:$J$100,'21'!$H$7:$H$100,$A174,'21'!$I$7:$I$100,2)+SUMIFS('22'!$J$7:$J$100,'22'!$H$7:$H$100,$A174,'22'!$I$7:$I$100,2)+SUMIFS('22a'!$J$7:$J$100,'22a'!$H$7:$H$100,$A174,'22a'!$I$7:$I$100,2)+SUMIFS('22b'!$J$7:$J$100,'22b'!$H$7:$H$100,$A174,'22b'!$I$7:$I$100,2)+SUMIFS('23'!$J$7:$J$100,'23'!$H$7:$H$100,$A174,'23'!$I$7:$I$100,2)+SUMIFS('24'!$J$7:$J$100,'24'!$H$7:$H$100,$A174,'24'!$I$7:$I$100,2)+SUMIFS('24a'!$J$7:$J$100,'24a'!$H$7:$H$100,$A174,'24a'!$I$7:$I$100,2)+SUMIFS('24b'!$J$7:$J$100,'24b'!$H$7:$H$100,$A174,'24b'!$I$7:$I$100,2)+SUMIFS('24c'!$J$7:$J$100,'24c'!$H$7:$H$100,$A174,'24c'!$I$7:$I$100,2)+SUMIFS('24d'!$J$7:$J$100,'24d'!$H$7:$H$100,$A174,'24d'!$I$7:$I$100,2)+SUMIFS('24e'!$J$7:$J$100,'24e'!$H$7:$H$100,$A174,'24e'!$I$7:$I$100,2)+SUMIFS('24f'!$J$7:$J$100,'24f'!$H$7:$H$100,$A174,'24f'!$I$7:$I$100,2)+SUMIFS('24g'!$J$7:$J$100,'24g'!$H$7:$H$100,$A174,'24g'!$I$7:$I$100,2)+SUMIFS('24h'!$J$7:$J$100,'24h'!$H$7:$H$100,$A174,'24h'!$I$7:$I$100,2)+SUMIFS('24i'!$J$7:$J$100,'24i'!$H$7:$H$100,$A174,'24i'!$I$7:$I$100,2)+SUMIFS('25'!$J$7:$J$100,'25'!$H$7:$H$100,$A174,'25'!$I$7:$I$100,2)+SUMIFS('26'!$J$7:$J$100,'26'!$H$7:$H$100,$A174,'26'!$I$7:$I$100,2)+SUMIFS('26a'!$J$7:$J$100,'26a'!$H$7:$H$100,$A174,'26a'!$I$7:$I$100,2)+SUMIFS('27'!$J$7:$J$100,'27'!$H$7:$H$100,$A174,'27'!$I$7:$I$100,2)+SUMIFS('27a'!$J$7:$J$100,'27a'!$H$7:$H$100,$A174,'27a'!$I$7:$I$100,2)+SUMIFS('28'!$J$7:$J$100,'28'!$H$7:$H$100,$A174,'28'!$I$7:$I$100,2)+SUMIFS('29'!$J$7:$J$100,'29'!$H$7:$H$100,$A174,'29'!$I$7:$I$100,2)</f>
        <v>0</v>
      </c>
      <c r="I174" s="1315">
        <f>SUMIFS('12'!$J$7:$J$100,'12'!$H$7:$H$100,$A174,'12'!$I$7:$I$100,"")+SUMIFS('13'!$J$7:$J$100,'13'!$H$7:$H$100,$A174,'13'!$I$7:$I$100,"")+SUMIFS('14'!$J$7:$J$100,'14'!$H$7:$H$100,$A174,'14'!$I$7:$I$100,"")+SUMIFS('15'!$J$7:$J$100,'15'!$H$7:$H$100,$A174,'15'!$I$7:$I$100,"")+SUMIFS('15a'!$J$7:$J$100,'15a'!$H$7:$H$100,$A174,'15a'!$I$7:$I$100,"")+SUMIFS('15b'!$J$7:$J$100,'15b'!$H$7:$H$100,$A174,'15b'!$I$7:$I$100,"")+SUMIFS('15c'!$J$7:$J$100,'15c'!$H$7:$H$100,$A174,'15c'!$I$7:$I$100,"")+SUMIFS('15d'!$J$7:$J$100,'15d'!$H$7:$H$100,$A174,'15d'!$I$7:$I$100,"")+SUMIFS('15e'!$J$7:$J$100,'15e'!$H$7:$H$100,$A174,'15e'!$I$7:$I$100,"")+SUMIFS('15f'!$J$7:$J$100,'15f'!$H$7:$H$100,$A174,'15f'!$I$7:$I$100,"")+SUMIFS('15g'!$J$7:$J$100,'15g'!$H$7:$H$100,$A174,'15g'!$I$7:$I$100,"")+SUMIFS('15h'!$J$7:$J$100,'15h'!$H$7:$H$100,$A174,'15h'!$I$7:$I$100,"")+SUMIFS('15i'!$J$7:$J$100,'15i'!$H$7:$H$100,$A174,'15i'!$I$7:$I$100,"")+SUMIFS('15j'!$J$7:$J$100,'15j'!$H$7:$H$100,$A174,'15j'!$I$7:$I$100,"")+SUMIFS('15k'!$J$7:$J$100,'15k'!$H$7:$H$100,$A174,'15k'!$I$7:$I$100,"")+SUMIFS('15l'!$J$7:$J$100,'15l'!$H$7:$H$100,$A174,'15l'!$I$7:$I$100,"")+SUMIFS('15m'!$J$7:$J$100,'15m'!$H$7:$H$100,$A174,'15m'!$I$7:$I$100,"")+SUMIFS('15n'!$J$7:$J$100,'15n'!$H$7:$H$100,$A174,'15n'!$I$7:$I$100,"")+SUMIFS('16'!$J$7:$J$100,'16'!$H$7:$H$100,$A174,'16'!$I$7:$I$100,"")+SUMIFS('16a'!$J$7:$J$100,'16a'!$H$7:$H$100,$A174,'16a'!$I$7:$I$100,"")+SUMIFS('17'!$J$7:$J$100,'17'!$H$7:$H$100,$A174,'17'!$I$7:$I$100,"")+SUMIFS('17a'!$J$7:$J$100,'17a'!$H$7:$H$100,$A174,'17a'!$I$7:$I$100,"")+SUMIFS('18'!$J$7:$J$100,'18'!$H$7:$H$100,$A174,'18'!$I$7:$I$100,"")+SUMIFS('18a'!$J$7:$J$100,'18a'!$H$7:$H$100,$A174,'18a'!$I$7:$I$100,"")
+SUMIFS('19'!$J$7:$J$100,'19'!$H$7:$H$100,$A174,'19'!$I$7:$I$100,"")+SUMIFS('20'!$J$7:$J$100,'20'!$H$7:$H$100,$A174,'20'!$I$7:$I$100,"")+SUMIFS('20a'!$J$7:$J$100,'20a'!$H$7:$H$100,$A174,'20a'!$I$7:$I$100,"")+SUMIFS('21'!$J$7:$J$100,'21'!$H$7:$H$100,$A174,'21'!$I$7:$I$100,"")+SUMIFS('22'!$J$7:$J$100,'22'!$H$7:$H$100,$A174,'22'!$I$7:$I$100,"")+SUMIFS('22a'!$J$7:$J$100,'22a'!$H$7:$H$100,$A174,'22a'!$I$7:$I$100,"")+SUMIFS('22b'!$J$7:$J$100,'22b'!$H$7:$H$100,$A174,'22b'!$I$7:$I$100,"")+SUMIFS('23'!$J$7:$J$100,'23'!$H$7:$H$100,$A174,'23'!$I$7:$I$100,"")+SUMIFS('24'!$J$7:$J$100,'24'!$H$7:$H$100,$A174,'24'!$I$7:$I$100,"")+SUMIFS('24a'!$J$7:$J$100,'24a'!$H$7:$H$100,$A174,'24a'!$I$7:$I$100,"")+SUMIFS('24b'!$J$7:$J$100,'24b'!$H$7:$H$100,$A174,'24b'!$I$7:$I$100,"")+SUMIFS('24c'!$J$7:$J$100,'24c'!$H$7:$H$100,$A174,'24c'!$I$7:$I$100,"")+SUMIFS('24d'!$J$7:$J$100,'24d'!$H$7:$H$100,$A174,'24d'!$I$7:$I$100,"")+SUMIFS('24e'!$J$7:$J$100,'24e'!$H$7:$H$100,$A174,'24e'!$I$7:$I$100,"")+SUMIFS('24f'!$J$7:$J$100,'24f'!$H$7:$H$100,$A174,'24f'!$I$7:$I$100,"")+SUMIFS('24g'!$J$7:$J$100,'24g'!$H$7:$H$100,$A174,'24g'!$I$7:$I$100,"")+SUMIFS('24h'!$J$7:$J$100,'24h'!$H$7:$H$100,$A174,'24h'!$I$7:$I$100,"")+SUMIFS('24i'!$J$7:$J$100,'24i'!$H$7:$H$100,$A174,'24i'!$I$7:$I$100,"")+SUMIFS('25'!$J$7:$J$100,'25'!$H$7:$H$100,$A174,'25'!$I$7:$I$100,"")+SUMIFS('26'!$J$7:$J$100,'26'!$H$7:$H$100,$A174,'26'!$I$7:$I$100,"")+SUMIFS('26a'!$J$7:$J$100,'26a'!$H$7:$H$100,$A174,'26a'!$I$7:$I$100,"")+SUMIFS('27'!$J$7:$J$100,'27'!$H$7:$H$100,$A174,'27'!$I$7:$I$100,"")+SUMIFS('27a'!$J$7:$J$100,'27a'!$H$7:$H$100,$A174,'27a'!$I$7:$I$100,"")+SUMIFS('28'!$J$7:$J$100,'28'!$H$7:$H$100,$A174,'28'!$I$7:$I$100,"")+SUMIFS('29'!$J$7:$J$100,'29'!$H$7:$H$100,$A174,'29'!$I$7:$I$100,"")</f>
        <v>0</v>
      </c>
      <c r="J174" s="1296">
        <f t="shared" si="5"/>
        <v>0</v>
      </c>
      <c r="K174"/>
      <c r="L174"/>
      <c r="M174"/>
      <c r="N174"/>
      <c r="O174"/>
      <c r="P174"/>
      <c r="Q174"/>
      <c r="R174"/>
      <c r="S174" s="1307">
        <f t="shared" si="2"/>
        <v>0</v>
      </c>
      <c r="T174"/>
    </row>
    <row r="175" spans="1:20" x14ac:dyDescent="0.2">
      <c r="A175" t="s">
        <v>5105</v>
      </c>
      <c r="B175" s="784" t="s">
        <v>5582</v>
      </c>
      <c r="C175" s="1295">
        <f>SUMIFS('12'!$N$7:$N$100,'12'!$H$7:$H$100,$A175,'12'!$I$7:$I$100,1)+SUMIFS('13'!$N$7:$N$100,'13'!$H$7:$H$100,$A175,'13'!$I$7:$I$100,1)+SUMIFS('14'!$N$7:$N$100,'14'!$H$7:$H$100,$A175,'14'!$I$7:$I$100,1)+SUMIFS('15'!$N$7:$N$100,'15'!$H$7:$H$100,$A175,'15'!$I$7:$I$100,1)+SUMIFS('15a'!$N$7:$N$100,'15a'!$H$7:$H$100,$A175,'15a'!$I$7:$I$100,1)+SUMIFS('15b'!$N$7:$N$100,'15b'!$H$7:$H$100,$A175,'15b'!$I$7:$I$100,1)+SUMIFS('15c'!$N$7:$N$100,'15c'!$H$7:$H$100,$A175,'15c'!$I$7:$I$100,1)+SUMIFS('15d'!$N$7:$N$100,'15d'!$H$7:$H$100,$A175,'15d'!$I$7:$I$100,1)+SUMIFS('15e'!$N$7:$N$100,'15e'!$H$7:$H$100,$A175,'15e'!$I$7:$I$100,1)+SUMIFS('15f'!$N$7:$N$100,'15f'!$H$7:$H$100,$A175,'15f'!$I$7:$I$100,1)+SUMIFS('15g'!$N$7:$N$100,'15g'!$H$7:$H$100,$A175,'15g'!$I$7:$I$100,1)+SUMIFS('15h'!$N$7:$N$100,'15h'!$H$7:$H$100,$A175,'15h'!$I$7:$I$100,1)+SUMIFS('15i'!$N$7:$N$100,'15i'!$H$7:$H$100,$A175,'15i'!$I$7:$I$100,1)+SUMIFS('15j'!$N$7:$N$100,'15j'!$H$7:$H$100,$A175,'15j'!$I$7:$I$100,1)+SUMIFS('15k'!$N$7:$N$100,'15k'!$H$7:$H$100,$A175,'15k'!$I$7:$I$100,1)+SUMIFS('15l'!$N$7:$N$100,'15l'!$H$7:$H$100,$A175,'15l'!$I$7:$I$100,1)+SUMIFS('15m'!$N$7:$N$100,'15m'!$H$7:$H$100,$A175,'15m'!$I$7:$I$100,1)+SUMIFS('15n'!$N$7:$N$100,'15n'!$H$7:$H$100,$A175,'15n'!$I$7:$I$100,1)+SUMIFS('16'!$N$7:$N$100,'16'!$H$7:$H$100,$A175,'16'!$I$7:$I$100,1)+SUMIFS('16a'!$N$7:$N$100,'16a'!$H$7:$H$100,$A175,'16a'!$I$7:$I$100,1)+SUMIFS('17'!$N$7:$N$100,'17'!$H$7:$H$100,$A175,'17'!$I$7:$I$100,1)+SUMIFS('17a'!$N$7:$N$100,'17a'!$H$7:$H$100,$A175,'17a'!$I$7:$I$100,1)+SUMIFS('18'!$N$7:$N$100,'18'!$H$7:$H$100,$A175,'18'!$I$7:$I$100,1)+SUMIFS('18a'!$N$7:$N$100,'18a'!$H$7:$H$100,$A175,'18a'!$I$7:$I$100,1)
+SUMIFS('19'!$N$7:$N$100,'19'!$H$7:$H$100,$A175,'19'!$I$7:$I$100,1)+SUMIFS('20'!$N$7:$N$100,'20'!$H$7:$H$100,$A175,'20'!$I$7:$I$100,1)+SUMIFS('20a'!$N$7:$N$100,'20a'!$H$7:$H$100,$A175,'20a'!$I$7:$I$100,1)+SUMIFS('21'!$N$7:$N$100,'21'!$H$7:$H$100,$A175,'21'!$I$7:$I$100,1)+SUMIFS('22'!$N$7:$N$100,'22'!$H$7:$H$100,$A175,'22'!$I$7:$I$100,1)+SUMIFS('22a'!$N$7:$N$100,'22a'!$H$7:$H$100,$A175,'22a'!$I$7:$I$100,1)+SUMIFS('22b'!$N$7:$N$100,'22b'!$H$7:$H$100,$A175,'22b'!$I$7:$I$100,1)+SUMIFS('23'!$N$7:$N$100,'23'!$H$7:$H$100,$A175,'23'!$I$7:$I$100,1)+SUMIFS('24'!$N$7:$N$100,'24'!$H$7:$H$100,$A175,'24'!$I$7:$I$100,1)+SUMIFS('24a'!$N$7:$N$100,'24a'!$H$7:$H$100,$A175,'24a'!$I$7:$I$100,1)+SUMIFS('24b'!$N$7:$N$100,'24b'!$H$7:$H$100,$A175,'24b'!$I$7:$I$100,1)+SUMIFS('24c'!$N$7:$N$100,'24c'!$H$7:$H$100,$A175,'24c'!$I$7:$I$100,1)+SUMIFS('24d'!$N$7:$N$100,'24d'!$H$7:$H$100,$A175,'24d'!$I$7:$I$100,1)+SUMIFS('24e'!$N$7:$N$100,'24e'!$H$7:$H$100,$A175,'24e'!$I$7:$I$100,1)+SUMIFS('24f'!$N$7:$N$100,'24f'!$H$7:$H$100,$A175,'24f'!$I$7:$I$100,1)+SUMIFS('24g'!$N$7:$N$100,'24g'!$H$7:$H$100,$A175,'24g'!$I$7:$I$100,1)+SUMIFS('24h'!$N$7:$N$100,'24h'!$H$7:$H$100,$A175,'24h'!$I$7:$I$100,1)+SUMIFS('24i'!$N$7:$N$100,'24i'!$H$7:$H$100,$A175,'24i'!$I$7:$I$100,1)+SUMIFS('25'!$N$7:$N$100,'25'!$H$7:$H$100,$A175,'25'!$I$7:$I$100,1)+SUMIFS('26'!$N$7:$N$100,'26'!$H$7:$H$100,$A175,'26'!$I$7:$I$100,1)+SUMIFS('26a'!$N$7:$N$100,'26a'!$H$7:$H$100,$A175,'26a'!$I$7:$I$100,1)+SUMIFS('27'!$N$7:$N$100,'27'!$H$7:$H$100,$A175,'27'!$I$7:$I$100,1)+SUMIFS('27a'!$N$7:$N$100,'27a'!$H$7:$H$100,$A175,'27a'!$I$7:$I$100,1)+SUMIFS('28'!$N$7:$N$100,'28'!$H$7:$H$100,$A175,'28'!$I$7:$I$100,1)+SUMIFS('29'!$N$7:$N$100,'29'!$H$7:$H$100,$A175,'29'!$I$7:$I$100,1)</f>
        <v>6900</v>
      </c>
      <c r="D175" s="1315">
        <f>SUMIFS('12'!$N$7:$N$100,'12'!$H$7:$H$100,$A175,'12'!$I$7:$I$100,2)+SUMIFS('13'!$N$7:$N$100,'13'!$H$7:$H$100,$A175,'13'!$I$7:$I$100,2)+SUMIFS('14'!$N$7:$N$100,'14'!$H$7:$H$100,$A175,'14'!$I$7:$I$100,2)+SUMIFS('15'!$N$7:$N$100,'15'!$H$7:$H$100,$A175,'15'!$I$7:$I$100,2)+SUMIFS('15a'!$N$7:$N$100,'15a'!$H$7:$H$100,$A175,'15a'!$I$7:$I$100,2)+SUMIFS('15b'!$N$7:$N$100,'15b'!$H$7:$H$100,$A175,'15b'!$I$7:$I$100,2)+SUMIFS('15c'!$N$7:$N$100,'15c'!$H$7:$H$100,$A175,'15c'!$I$7:$I$100,2)+SUMIFS('15d'!$N$7:$N$100,'15d'!$H$7:$H$100,$A175,'15d'!$I$7:$I$100,2)+SUMIFS('15e'!$N$7:$N$100,'15e'!$H$7:$H$100,$A175,'15e'!$I$7:$I$100,2)+SUMIFS('15f'!$N$7:$N$100,'15f'!$H$7:$H$100,$A175,'15f'!$I$7:$I$100,2)+SUMIFS('15g'!$N$7:$N$100,'15g'!$H$7:$H$100,$A175,'15g'!$I$7:$I$100,2)+SUMIFS('15h'!$N$7:$N$100,'15h'!$H$7:$H$100,$A175,'15h'!$I$7:$I$100,2)+SUMIFS('15i'!$N$7:$N$100,'15i'!$H$7:$H$100,$A175,'15i'!$I$7:$I$100,2)+SUMIFS('15j'!$N$7:$N$100,'15j'!$H$7:$H$100,$A175,'15j'!$I$7:$I$100,2)+SUMIFS('15k'!$N$7:$N$100,'15k'!$H$7:$H$100,$A175,'15k'!$I$7:$I$100,2)+SUMIFS('15l'!$N$7:$N$100,'15l'!$H$7:$H$100,$A175,'15l'!$I$7:$I$100,2)+SUMIFS('15m'!$N$7:$N$100,'15m'!$H$7:$H$100,$A175,'15m'!$I$7:$I$100,2)+SUMIFS('15n'!$N$7:$N$100,'15n'!$H$7:$H$100,$A175,'15n'!$I$7:$I$100,2)+SUMIFS('16'!$N$7:$N$100,'16'!$H$7:$H$100,$A175,'16'!$I$7:$I$100,2)+SUMIFS('16a'!$N$7:$N$100,'16a'!$H$7:$H$100,$A175,'16a'!$I$7:$I$100,2)+SUMIFS('17'!$N$7:$N$100,'17'!$H$7:$H$100,$A175,'17'!$I$7:$I$100,2)+SUMIFS('17a'!$N$7:$N$100,'17a'!$H$7:$H$100,$A175,'17a'!$I$7:$I$100,2)+SUMIFS('18'!$N$7:$N$100,'18'!$H$7:$H$100,$A175,'18'!$I$7:$I$100,2)+SUMIFS('18a'!$N$7:$N$100,'18a'!$H$7:$H$100,$A175,'18a'!$I$7:$I$100,2)
+SUMIFS('19'!$N$7:$N$100,'19'!$H$7:$H$100,$A175,'19'!$I$7:$I$100,2)+SUMIFS('20'!$N$7:$N$100,'20'!$H$7:$H$100,$A175,'20'!$I$7:$I$100,2)+SUMIFS('20a'!$N$7:$N$100,'20a'!$H$7:$H$100,$A175,'20a'!$I$7:$I$100,2)+SUMIFS('21'!$N$7:$N$100,'21'!$H$7:$H$100,$A175,'21'!$I$7:$I$100,2)+SUMIFS('22'!$N$7:$N$100,'22'!$H$7:$H$100,$A175,'22'!$I$7:$I$100,2)+SUMIFS('22a'!$N$7:$N$100,'22a'!$H$7:$H$100,$A175,'22a'!$I$7:$I$100,2)+SUMIFS('22b'!$N$7:$N$100,'22b'!$H$7:$H$100,$A175,'22b'!$I$7:$I$100,2)+SUMIFS('23'!$N$7:$N$100,'23'!$H$7:$H$100,$A175,'23'!$I$7:$I$100,2)+SUMIFS('24'!$N$7:$N$100,'24'!$H$7:$H$100,$A175,'24'!$I$7:$I$100,2)+SUMIFS('24a'!$N$7:$N$100,'24a'!$H$7:$H$100,$A175,'24a'!$I$7:$I$100,2)+SUMIFS('24b'!$N$7:$N$100,'24b'!$H$7:$H$100,$A175,'24b'!$I$7:$I$100,2)+SUMIFS('24c'!$N$7:$N$100,'24c'!$H$7:$H$100,$A175,'24c'!$I$7:$I$100,2)+SUMIFS('24d'!$N$7:$N$100,'24d'!$H$7:$H$100,$A175,'24d'!$I$7:$I$100,2)+SUMIFS('24e'!$N$7:$N$100,'24e'!$H$7:$H$100,$A175,'24e'!$I$7:$I$100,2)+SUMIFS('24f'!$N$7:$N$100,'24f'!$H$7:$H$100,$A175,'24f'!$I$7:$I$100,2)+SUMIFS('24g'!$N$7:$N$100,'24g'!$H$7:$H$100,$A175,'24g'!$I$7:$I$100,2)+SUMIFS('24h'!$N$7:$N$100,'24h'!$H$7:$H$100,$A175,'24h'!$I$7:$I$100,2)+SUMIFS('24i'!$N$7:$N$100,'24i'!$H$7:$H$100,$A175,'24i'!$I$7:$I$100,2)+SUMIFS('25'!$N$7:$N$100,'25'!$H$7:$H$100,$A175,'25'!$I$7:$I$100,2)+SUMIFS('26'!$N$7:$N$100,'26'!$H$7:$H$100,$A175,'26'!$I$7:$I$100,2)+SUMIFS('26a'!$N$7:$N$100,'26a'!$H$7:$H$100,$A175,'26a'!$I$7:$I$100,2)+SUMIFS('27'!$N$7:$N$100,'27'!$H$7:$H$100,$A175,'27'!$I$7:$I$100,2)+SUMIFS('27a'!$N$7:$N$100,'27a'!$H$7:$H$100,$A175,'27a'!$I$7:$I$100,2)+SUMIFS('28'!$N$7:$N$100,'28'!$H$7:$H$100,$A175,'28'!$I$7:$I$100,2)+SUMIFS('29'!$N$7:$N$100,'29'!$H$7:$H$100,$A175,'29'!$I$7:$I$100,2)</f>
        <v>0</v>
      </c>
      <c r="E175" s="1315">
        <f>SUMIFS('12'!$N$7:$N$100,'12'!$H$7:$H$100,$A175,'12'!$I$7:$I$100,"")+SUMIFS('13'!$N$7:$N$100,'13'!$H$7:$H$100,$A175,'13'!$I$7:$I$100,"")+SUMIFS('14'!$N$7:$N$100,'14'!$H$7:$H$100,$A175,'14'!$I$7:$I$100,"")+SUMIFS('15'!$N$7:$N$100,'15'!$H$7:$H$100,$A175,'15'!$I$7:$I$100,"")+SUMIFS('15a'!$N$7:$N$100,'15a'!$H$7:$H$100,$A175,'15a'!$I$7:$I$100,"")+SUMIFS('15b'!$N$7:$N$100,'15b'!$H$7:$H$100,$A175,'15b'!$I$7:$I$100,"")+SUMIFS('15c'!$N$7:$N$100,'15c'!$H$7:$H$100,$A175,'15c'!$I$7:$I$100,"")+SUMIFS('15d'!$N$7:$N$100,'15d'!$H$7:$H$100,$A175,'15d'!$I$7:$I$100,"")+SUMIFS('15e'!$N$7:$N$100,'15e'!$H$7:$H$100,$A175,'15e'!$I$7:$I$100,"")+SUMIFS('15f'!$N$7:$N$100,'15f'!$H$7:$H$100,$A175,'15f'!$I$7:$I$100,"")+SUMIFS('15g'!$N$7:$N$100,'15g'!$H$7:$H$100,$A175,'15g'!$I$7:$I$100,"")+SUMIFS('15h'!$N$7:$N$100,'15h'!$H$7:$H$100,$A175,'15h'!$I$7:$I$100,"")+SUMIFS('15i'!$N$7:$N$100,'15i'!$H$7:$H$100,$A175,'15i'!$I$7:$I$100,"")+SUMIFS('15j'!$N$7:$N$100,'15j'!$H$7:$H$100,$A175,'15j'!$I$7:$I$100,"")+SUMIFS('15k'!$N$7:$N$100,'15k'!$H$7:$H$100,$A175,'15k'!$I$7:$I$100,"")+SUMIFS('15l'!$N$7:$N$100,'15l'!$H$7:$H$100,$A175,'15l'!$I$7:$I$100,"")+SUMIFS('15m'!$N$7:$N$100,'15m'!$H$7:$H$100,$A175,'15m'!$I$7:$I$100,"")+SUMIFS('15n'!$N$7:$N$100,'15n'!$H$7:$H$100,$A175,'15n'!$I$7:$I$100,"")+SUMIFS('16'!$N$7:$N$100,'16'!$H$7:$H$100,$A175,'16'!$I$7:$I$100,"")+SUMIFS('16a'!$N$7:$N$100,'16a'!$H$7:$H$100,$A175,'16a'!$I$7:$I$100,"")+SUMIFS('17'!$N$7:$N$100,'17'!$H$7:$H$100,$A175,'17'!$I$7:$I$100,"")+SUMIFS('17a'!$N$7:$N$100,'17a'!$H$7:$H$100,$A175,'17a'!$I$7:$I$100,"")+SUMIFS('18'!$N$7:$N$100,'18'!$H$7:$H$100,$A175,'18'!$I$7:$I$100,"")+SUMIFS('18a'!$N$7:$N$100,'18a'!$H$7:$H$100,$A175,'18a'!$I$7:$I$100,"")
+SUMIFS('19'!$N$7:$N$100,'19'!$H$7:$H$100,$A175,'19'!$I$7:$I$100,"")+SUMIFS('20'!$N$7:$N$100,'20'!$H$7:$H$100,$A175,'20'!$I$7:$I$100,"")+SUMIFS('20a'!$N$7:$N$100,'20a'!$H$7:$H$100,$A175,'20a'!$I$7:$I$100,"")+SUMIFS('21'!$N$7:$N$100,'21'!$H$7:$H$100,$A175,'21'!$I$7:$I$100,"")+SUMIFS('22'!$N$7:$N$100,'22'!$H$7:$H$100,$A175,'22'!$I$7:$I$100,"")+SUMIFS('22a'!$N$7:$N$100,'22a'!$H$7:$H$100,$A175,'22a'!$I$7:$I$100,"")+SUMIFS('22b'!$N$7:$N$100,'22b'!$H$7:$H$100,$A175,'22b'!$I$7:$I$100,"")+SUMIFS('23'!$N$7:$N$100,'23'!$H$7:$H$100,$A175,'23'!$I$7:$I$100,"")+SUMIFS('24'!$N$7:$N$100,'24'!$H$7:$H$100,$A175,'24'!$I$7:$I$100,"")+SUMIFS('24a'!$N$7:$N$100,'24a'!$H$7:$H$100,$A175,'24a'!$I$7:$I$100,"")+SUMIFS('24b'!$N$7:$N$100,'24b'!$H$7:$H$100,$A175,'24b'!$I$7:$I$100,"")+SUMIFS('24c'!$N$7:$N$100,'24c'!$H$7:$H$100,$A175,'24c'!$I$7:$I$100,"")+SUMIFS('24d'!$N$7:$N$100,'24d'!$H$7:$H$100,$A175,'24d'!$I$7:$I$100,"")+SUMIFS('24e'!$N$7:$N$100,'24e'!$H$7:$H$100,$A175,'24e'!$I$7:$I$100,"")+SUMIFS('24f'!$N$7:$N$100,'24f'!$H$7:$H$100,$A175,'24f'!$I$7:$I$100,"")+SUMIFS('24g'!$N$7:$N$100,'24g'!$H$7:$H$100,$A175,'24g'!$I$7:$I$100,"")+SUMIFS('24h'!$N$7:$N$100,'24h'!$H$7:$H$100,$A175,'24h'!$I$7:$I$100,"")+SUMIFS('24i'!$N$7:$N$100,'24i'!$H$7:$H$100,$A175,'24i'!$I$7:$I$100,"")+SUMIFS('25'!$N$7:$N$100,'25'!$H$7:$H$100,$A175,'25'!$I$7:$I$100,"")+SUMIFS('26'!$N$7:$N$100,'26'!$H$7:$H$100,$A175,'26'!$I$7:$I$100,"")+SUMIFS('26a'!$N$7:$N$100,'26a'!$H$7:$H$100,$A175,'26a'!$I$7:$I$100,"")+SUMIFS('27'!$N$7:$N$100,'27'!$H$7:$H$100,$A175,'27'!$I$7:$I$100,"")+SUMIFS('27a'!$N$7:$N$100,'27a'!$H$7:$H$100,$A175,'27a'!$I$7:$I$100,"")+SUMIFS('28'!$N$7:$N$100,'28'!$H$7:$H$100,$A175,'28'!$I$7:$I$100,"")+SUMIFS('29'!$N$7:$N$100,'29'!$H$7:$H$100,$A175,'29'!$I$7:$I$100,"")</f>
        <v>0</v>
      </c>
      <c r="F175" s="1296">
        <f t="shared" si="4"/>
        <v>6900</v>
      </c>
      <c r="G175" s="1295">
        <f>SUMIFS('12'!$J$7:$J$100,'12'!$H$7:$H$100,$A175,'12'!$I$7:$I$100,1)+SUMIFS('13'!$J$7:$J$100,'13'!$H$7:$H$100,$A175,'13'!$I$7:$I$100,1)+SUMIFS('14'!$J$7:$J$100,'14'!$H$7:$H$100,$A175,'14'!$I$7:$I$100,1)+SUMIFS('15'!$J$7:$J$100,'15'!$H$7:$H$100,$A175,'15'!$I$7:$I$100,1)+SUMIFS('15a'!$J$7:$J$100,'15a'!$H$7:$H$100,$A175,'15a'!$I$7:$I$100,1)+SUMIFS('15b'!$J$7:$J$100,'15b'!$H$7:$H$100,$A175,'15b'!$I$7:$I$100,1)+SUMIFS('15c'!$J$7:$J$100,'15c'!$H$7:$H$100,$A175,'15c'!$I$7:$I$100,1)+SUMIFS('15d'!$J$7:$J$100,'15d'!$H$7:$H$100,$A175,'15d'!$I$7:$I$100,1)+SUMIFS('15e'!$J$7:$J$100,'15e'!$H$7:$H$100,$A175,'15e'!$I$7:$I$100,1)+SUMIFS('15f'!$J$7:$J$100,'15f'!$H$7:$H$100,$A175,'15f'!$I$7:$I$100,1)+SUMIFS('15g'!$J$7:$J$100,'15g'!$H$7:$H$100,$A175,'15g'!$I$7:$I$100,1)+SUMIFS('15h'!$J$7:$J$100,'15h'!$H$7:$H$100,$A175,'15h'!$I$7:$I$100,1)+SUMIFS('15i'!$J$7:$J$100,'15i'!$H$7:$H$100,$A175,'15i'!$I$7:$I$100,1)+SUMIFS('15j'!$J$7:$J$100,'15j'!$H$7:$H$100,$A175,'15j'!$I$7:$I$100,1)+SUMIFS('15k'!$J$7:$J$100,'15k'!$H$7:$H$100,$A175,'15k'!$I$7:$I$100,1)+SUMIFS('15l'!$J$7:$J$100,'15l'!$H$7:$H$100,$A175,'15l'!$I$7:$I$100,1)+SUMIFS('15m'!$J$7:$J$100,'15m'!$H$7:$H$100,$A175,'15m'!$I$7:$I$100,1)+SUMIFS('15n'!$J$7:$J$100,'15n'!$H$7:$H$100,$A175,'15n'!$I$7:$I$100,1)+SUMIFS('16'!$J$7:$J$100,'16'!$H$7:$H$100,$A175,'16'!$I$7:$I$100,1)+SUMIFS('16a'!$J$7:$J$100,'16a'!$H$7:$H$100,$A175,'16a'!$I$7:$I$100,1)+SUMIFS('17'!$J$7:$J$100,'17'!$H$7:$H$100,$A175,'17'!$I$7:$I$100,1)+SUMIFS('17a'!$J$7:$J$100,'17a'!$H$7:$H$100,$A175,'17a'!$I$7:$I$100,1)+SUMIFS('18'!$J$7:$J$100,'18'!$H$7:$H$100,$A175,'18'!$I$7:$I$100,1)+SUMIFS('18a'!$J$7:$J$100,'18a'!$H$7:$H$100,$A175,'18a'!$I$7:$I$100,1)
+SUMIFS('19'!$J$7:$J$100,'19'!$H$7:$H$100,$A175,'19'!$I$7:$I$100,1)+SUMIFS('20'!$J$7:$J$100,'20'!$H$7:$H$100,$A175,'20'!$I$7:$I$100,1)+SUMIFS('20a'!$J$7:$J$100,'20a'!$H$7:$H$100,$A175,'20a'!$I$7:$I$100,1)+SUMIFS('21'!$J$7:$J$100,'21'!$H$7:$H$100,$A175,'21'!$I$7:$I$100,1)+SUMIFS('22'!$J$7:$J$100,'22'!$H$7:$H$100,$A175,'22'!$I$7:$I$100,1)+SUMIFS('22a'!$J$7:$J$100,'22a'!$H$7:$H$100,$A175,'22a'!$I$7:$I$100,1)+SUMIFS('22b'!$J$7:$J$100,'22b'!$H$7:$H$100,$A175,'22b'!$I$7:$I$100,1)+SUMIFS('23'!$J$7:$J$100,'23'!$H$7:$H$100,$A175,'23'!$I$7:$I$100,1)+SUMIFS('24'!$J$7:$J$100,'24'!$H$7:$H$100,$A175,'24'!$I$7:$I$100,1)+SUMIFS('24a'!$J$7:$J$100,'24a'!$H$7:$H$100,$A175,'24a'!$I$7:$I$100,1)+SUMIFS('24b'!$J$7:$J$100,'24b'!$H$7:$H$100,$A175,'24b'!$I$7:$I$100,1)+SUMIFS('24c'!$J$7:$J$100,'24c'!$H$7:$H$100,$A175,'24c'!$I$7:$I$100,1)+SUMIFS('24d'!$J$7:$J$100,'24d'!$H$7:$H$100,$A175,'24d'!$I$7:$I$100,1)+SUMIFS('24e'!$J$7:$J$100,'24e'!$H$7:$H$100,$A175,'24e'!$I$7:$I$100,1)+SUMIFS('24f'!$J$7:$J$100,'24f'!$H$7:$H$100,$A175,'24f'!$I$7:$I$100,1)+SUMIFS('24g'!$J$7:$J$100,'24g'!$H$7:$H$100,$A175,'24g'!$I$7:$I$100,1)+SUMIFS('24h'!$J$7:$J$100,'24h'!$H$7:$H$100,$A175,'24h'!$I$7:$I$100,1)+SUMIFS('24i'!$J$7:$J$100,'24i'!$H$7:$H$100,$A175,'24i'!$I$7:$I$100,1)+SUMIFS('25'!$J$7:$J$100,'25'!$H$7:$H$100,$A175,'25'!$I$7:$I$100,1)+SUMIFS('26'!$J$7:$J$100,'26'!$H$7:$H$100,$A175,'26'!$I$7:$I$100,1)+SUMIFS('26a'!$J$7:$J$100,'26a'!$H$7:$H$100,$A175,'26a'!$I$7:$I$100,1)+SUMIFS('27'!$J$7:$J$100,'27'!$H$7:$H$100,$A175,'27'!$I$7:$I$100,1)+SUMIFS('27a'!$J$7:$J$100,'27a'!$H$7:$H$100,$A175,'27a'!$I$7:$I$100,1)+SUMIFS('28'!$J$7:$J$100,'28'!$H$7:$H$100,$A175,'28'!$I$7:$I$100,1)+SUMIFS('29'!$J$7:$J$100,'29'!$H$7:$H$100,$A175,'29'!$I$7:$I$100,1)</f>
        <v>7000</v>
      </c>
      <c r="H175" s="1315">
        <f>SUMIFS('12'!$J$7:$J$100,'12'!$H$7:$H$100,$A175,'12'!$I$7:$I$100,2)+SUMIFS('13'!$J$7:$J$100,'13'!$H$7:$H$100,$A175,'13'!$I$7:$I$100,2)+SUMIFS('14'!$J$7:$J$100,'14'!$H$7:$H$100,$A175,'14'!$I$7:$I$100,2)+SUMIFS('15'!$J$7:$J$100,'15'!$H$7:$H$100,$A175,'15'!$I$7:$I$100,2)+SUMIFS('15a'!$J$7:$J$100,'15a'!$H$7:$H$100,$A175,'15a'!$I$7:$I$100,2)+SUMIFS('15b'!$J$7:$J$100,'15b'!$H$7:$H$100,$A175,'15b'!$I$7:$I$100,2)+SUMIFS('15c'!$J$7:$J$100,'15c'!$H$7:$H$100,$A175,'15c'!$I$7:$I$100,2)+SUMIFS('15d'!$J$7:$J$100,'15d'!$H$7:$H$100,$A175,'15d'!$I$7:$I$100,2)+SUMIFS('15e'!$J$7:$J$100,'15e'!$H$7:$H$100,$A175,'15e'!$I$7:$I$100,2)+SUMIFS('15f'!$J$7:$J$100,'15f'!$H$7:$H$100,$A175,'15f'!$I$7:$I$100,2)+SUMIFS('15g'!$J$7:$J$100,'15g'!$H$7:$H$100,$A175,'15g'!$I$7:$I$100,2)+SUMIFS('15h'!$J$7:$J$100,'15h'!$H$7:$H$100,$A175,'15h'!$I$7:$I$100,2)+SUMIFS('15i'!$J$7:$J$100,'15i'!$H$7:$H$100,$A175,'15i'!$I$7:$I$100,2)+SUMIFS('15j'!$J$7:$J$100,'15j'!$H$7:$H$100,$A175,'15j'!$I$7:$I$100,2)+SUMIFS('15k'!$J$7:$J$100,'15k'!$H$7:$H$100,$A175,'15k'!$I$7:$I$100,2)+SUMIFS('15l'!$J$7:$J$100,'15l'!$H$7:$H$100,$A175,'15l'!$I$7:$I$100,2)+SUMIFS('15m'!$J$7:$J$100,'15m'!$H$7:$H$100,$A175,'15m'!$I$7:$I$100,2)+SUMIFS('15n'!$J$7:$J$100,'15n'!$H$7:$H$100,$A175,'15n'!$I$7:$I$100,2)+SUMIFS('16'!$J$7:$J$100,'16'!$H$7:$H$100,$A175,'16'!$I$7:$I$100,2)+SUMIFS('16a'!$J$7:$J$100,'16a'!$H$7:$H$100,$A175,'16a'!$I$7:$I$100,2)+SUMIFS('17'!$J$7:$J$100,'17'!$H$7:$H$100,$A175,'17'!$I$7:$I$100,2)+SUMIFS('17a'!$J$7:$J$100,'17a'!$H$7:$H$100,$A175,'17a'!$I$7:$I$100,2)+SUMIFS('18'!$J$7:$J$100,'18'!$H$7:$H$100,$A175,'18'!$I$7:$I$100,2)+SUMIFS('18a'!$J$7:$J$100,'18a'!$H$7:$H$100,$A175,'18a'!$I$7:$I$100,2)
+SUMIFS('19'!$J$7:$J$100,'19'!$H$7:$H$100,$A175,'19'!$I$7:$I$100,2)+SUMIFS('20'!$J$7:$J$100,'20'!$H$7:$H$100,$A175,'20'!$I$7:$I$100,2)+SUMIFS('20a'!$J$7:$J$100,'20a'!$H$7:$H$100,$A175,'20a'!$I$7:$I$100,2)+SUMIFS('21'!$J$7:$J$100,'21'!$H$7:$H$100,$A175,'21'!$I$7:$I$100,2)+SUMIFS('22'!$J$7:$J$100,'22'!$H$7:$H$100,$A175,'22'!$I$7:$I$100,2)+SUMIFS('22a'!$J$7:$J$100,'22a'!$H$7:$H$100,$A175,'22a'!$I$7:$I$100,2)+SUMIFS('22b'!$J$7:$J$100,'22b'!$H$7:$H$100,$A175,'22b'!$I$7:$I$100,2)+SUMIFS('23'!$J$7:$J$100,'23'!$H$7:$H$100,$A175,'23'!$I$7:$I$100,2)+SUMIFS('24'!$J$7:$J$100,'24'!$H$7:$H$100,$A175,'24'!$I$7:$I$100,2)+SUMIFS('24a'!$J$7:$J$100,'24a'!$H$7:$H$100,$A175,'24a'!$I$7:$I$100,2)+SUMIFS('24b'!$J$7:$J$100,'24b'!$H$7:$H$100,$A175,'24b'!$I$7:$I$100,2)+SUMIFS('24c'!$J$7:$J$100,'24c'!$H$7:$H$100,$A175,'24c'!$I$7:$I$100,2)+SUMIFS('24d'!$J$7:$J$100,'24d'!$H$7:$H$100,$A175,'24d'!$I$7:$I$100,2)+SUMIFS('24e'!$J$7:$J$100,'24e'!$H$7:$H$100,$A175,'24e'!$I$7:$I$100,2)+SUMIFS('24f'!$J$7:$J$100,'24f'!$H$7:$H$100,$A175,'24f'!$I$7:$I$100,2)+SUMIFS('24g'!$J$7:$J$100,'24g'!$H$7:$H$100,$A175,'24g'!$I$7:$I$100,2)+SUMIFS('24h'!$J$7:$J$100,'24h'!$H$7:$H$100,$A175,'24h'!$I$7:$I$100,2)+SUMIFS('24i'!$J$7:$J$100,'24i'!$H$7:$H$100,$A175,'24i'!$I$7:$I$100,2)+SUMIFS('25'!$J$7:$J$100,'25'!$H$7:$H$100,$A175,'25'!$I$7:$I$100,2)+SUMIFS('26'!$J$7:$J$100,'26'!$H$7:$H$100,$A175,'26'!$I$7:$I$100,2)+SUMIFS('26a'!$J$7:$J$100,'26a'!$H$7:$H$100,$A175,'26a'!$I$7:$I$100,2)+SUMIFS('27'!$J$7:$J$100,'27'!$H$7:$H$100,$A175,'27'!$I$7:$I$100,2)+SUMIFS('27a'!$J$7:$J$100,'27a'!$H$7:$H$100,$A175,'27a'!$I$7:$I$100,2)+SUMIFS('28'!$J$7:$J$100,'28'!$H$7:$H$100,$A175,'28'!$I$7:$I$100,2)+SUMIFS('29'!$J$7:$J$100,'29'!$H$7:$H$100,$A175,'29'!$I$7:$I$100,2)</f>
        <v>700</v>
      </c>
      <c r="I175" s="1315">
        <f>SUMIFS('12'!$J$7:$J$100,'12'!$H$7:$H$100,$A175,'12'!$I$7:$I$100,"")+SUMIFS('13'!$J$7:$J$100,'13'!$H$7:$H$100,$A175,'13'!$I$7:$I$100,"")+SUMIFS('14'!$J$7:$J$100,'14'!$H$7:$H$100,$A175,'14'!$I$7:$I$100,"")+SUMIFS('15'!$J$7:$J$100,'15'!$H$7:$H$100,$A175,'15'!$I$7:$I$100,"")+SUMIFS('15a'!$J$7:$J$100,'15a'!$H$7:$H$100,$A175,'15a'!$I$7:$I$100,"")+SUMIFS('15b'!$J$7:$J$100,'15b'!$H$7:$H$100,$A175,'15b'!$I$7:$I$100,"")+SUMIFS('15c'!$J$7:$J$100,'15c'!$H$7:$H$100,$A175,'15c'!$I$7:$I$100,"")+SUMIFS('15d'!$J$7:$J$100,'15d'!$H$7:$H$100,$A175,'15d'!$I$7:$I$100,"")+SUMIFS('15e'!$J$7:$J$100,'15e'!$H$7:$H$100,$A175,'15e'!$I$7:$I$100,"")+SUMIFS('15f'!$J$7:$J$100,'15f'!$H$7:$H$100,$A175,'15f'!$I$7:$I$100,"")+SUMIFS('15g'!$J$7:$J$100,'15g'!$H$7:$H$100,$A175,'15g'!$I$7:$I$100,"")+SUMIFS('15h'!$J$7:$J$100,'15h'!$H$7:$H$100,$A175,'15h'!$I$7:$I$100,"")+SUMIFS('15i'!$J$7:$J$100,'15i'!$H$7:$H$100,$A175,'15i'!$I$7:$I$100,"")+SUMIFS('15j'!$J$7:$J$100,'15j'!$H$7:$H$100,$A175,'15j'!$I$7:$I$100,"")+SUMIFS('15k'!$J$7:$J$100,'15k'!$H$7:$H$100,$A175,'15k'!$I$7:$I$100,"")+SUMIFS('15l'!$J$7:$J$100,'15l'!$H$7:$H$100,$A175,'15l'!$I$7:$I$100,"")+SUMIFS('15m'!$J$7:$J$100,'15m'!$H$7:$H$100,$A175,'15m'!$I$7:$I$100,"")+SUMIFS('15n'!$J$7:$J$100,'15n'!$H$7:$H$100,$A175,'15n'!$I$7:$I$100,"")+SUMIFS('16'!$J$7:$J$100,'16'!$H$7:$H$100,$A175,'16'!$I$7:$I$100,"")+SUMIFS('16a'!$J$7:$J$100,'16a'!$H$7:$H$100,$A175,'16a'!$I$7:$I$100,"")+SUMIFS('17'!$J$7:$J$100,'17'!$H$7:$H$100,$A175,'17'!$I$7:$I$100,"")+SUMIFS('17a'!$J$7:$J$100,'17a'!$H$7:$H$100,$A175,'17a'!$I$7:$I$100,"")+SUMIFS('18'!$J$7:$J$100,'18'!$H$7:$H$100,$A175,'18'!$I$7:$I$100,"")+SUMIFS('18a'!$J$7:$J$100,'18a'!$H$7:$H$100,$A175,'18a'!$I$7:$I$100,"")
+SUMIFS('19'!$J$7:$J$100,'19'!$H$7:$H$100,$A175,'19'!$I$7:$I$100,"")+SUMIFS('20'!$J$7:$J$100,'20'!$H$7:$H$100,$A175,'20'!$I$7:$I$100,"")+SUMIFS('20a'!$J$7:$J$100,'20a'!$H$7:$H$100,$A175,'20a'!$I$7:$I$100,"")+SUMIFS('21'!$J$7:$J$100,'21'!$H$7:$H$100,$A175,'21'!$I$7:$I$100,"")+SUMIFS('22'!$J$7:$J$100,'22'!$H$7:$H$100,$A175,'22'!$I$7:$I$100,"")+SUMIFS('22a'!$J$7:$J$100,'22a'!$H$7:$H$100,$A175,'22a'!$I$7:$I$100,"")+SUMIFS('22b'!$J$7:$J$100,'22b'!$H$7:$H$100,$A175,'22b'!$I$7:$I$100,"")+SUMIFS('23'!$J$7:$J$100,'23'!$H$7:$H$100,$A175,'23'!$I$7:$I$100,"")+SUMIFS('24'!$J$7:$J$100,'24'!$H$7:$H$100,$A175,'24'!$I$7:$I$100,"")+SUMIFS('24a'!$J$7:$J$100,'24a'!$H$7:$H$100,$A175,'24a'!$I$7:$I$100,"")+SUMIFS('24b'!$J$7:$J$100,'24b'!$H$7:$H$100,$A175,'24b'!$I$7:$I$100,"")+SUMIFS('24c'!$J$7:$J$100,'24c'!$H$7:$H$100,$A175,'24c'!$I$7:$I$100,"")+SUMIFS('24d'!$J$7:$J$100,'24d'!$H$7:$H$100,$A175,'24d'!$I$7:$I$100,"")+SUMIFS('24e'!$J$7:$J$100,'24e'!$H$7:$H$100,$A175,'24e'!$I$7:$I$100,"")+SUMIFS('24f'!$J$7:$J$100,'24f'!$H$7:$H$100,$A175,'24f'!$I$7:$I$100,"")+SUMIFS('24g'!$J$7:$J$100,'24g'!$H$7:$H$100,$A175,'24g'!$I$7:$I$100,"")+SUMIFS('24h'!$J$7:$J$100,'24h'!$H$7:$H$100,$A175,'24h'!$I$7:$I$100,"")+SUMIFS('24i'!$J$7:$J$100,'24i'!$H$7:$H$100,$A175,'24i'!$I$7:$I$100,"")+SUMIFS('25'!$J$7:$J$100,'25'!$H$7:$H$100,$A175,'25'!$I$7:$I$100,"")+SUMIFS('26'!$J$7:$J$100,'26'!$H$7:$H$100,$A175,'26'!$I$7:$I$100,"")+SUMIFS('26a'!$J$7:$J$100,'26a'!$H$7:$H$100,$A175,'26a'!$I$7:$I$100,"")+SUMIFS('27'!$J$7:$J$100,'27'!$H$7:$H$100,$A175,'27'!$I$7:$I$100,"")+SUMIFS('27a'!$J$7:$J$100,'27a'!$H$7:$H$100,$A175,'27a'!$I$7:$I$100,"")+SUMIFS('28'!$J$7:$J$100,'28'!$H$7:$H$100,$A175,'28'!$I$7:$I$100,"")+SUMIFS('29'!$J$7:$J$100,'29'!$H$7:$H$100,$A175,'29'!$I$7:$I$100,"")</f>
        <v>0</v>
      </c>
      <c r="J175" s="1296">
        <f t="shared" si="5"/>
        <v>7700</v>
      </c>
      <c r="K175"/>
      <c r="L175"/>
      <c r="M175"/>
      <c r="N175"/>
      <c r="O175"/>
      <c r="P175"/>
      <c r="Q175"/>
      <c r="R175"/>
      <c r="S175" s="1307">
        <f t="shared" si="2"/>
        <v>29200</v>
      </c>
      <c r="T175"/>
    </row>
    <row r="176" spans="1:20" x14ac:dyDescent="0.2">
      <c r="A176" t="s">
        <v>5108</v>
      </c>
      <c r="B176" s="784" t="s">
        <v>5583</v>
      </c>
      <c r="C176" s="1295">
        <f>SUMIFS('12'!$N$7:$N$100,'12'!$H$7:$H$100,$A176,'12'!$I$7:$I$100,1)+SUMIFS('13'!$N$7:$N$100,'13'!$H$7:$H$100,$A176,'13'!$I$7:$I$100,1)+SUMIFS('14'!$N$7:$N$100,'14'!$H$7:$H$100,$A176,'14'!$I$7:$I$100,1)+SUMIFS('15'!$N$7:$N$100,'15'!$H$7:$H$100,$A176,'15'!$I$7:$I$100,1)+SUMIFS('15a'!$N$7:$N$100,'15a'!$H$7:$H$100,$A176,'15a'!$I$7:$I$100,1)+SUMIFS('15b'!$N$7:$N$100,'15b'!$H$7:$H$100,$A176,'15b'!$I$7:$I$100,1)+SUMIFS('15c'!$N$7:$N$100,'15c'!$H$7:$H$100,$A176,'15c'!$I$7:$I$100,1)+SUMIFS('15d'!$N$7:$N$100,'15d'!$H$7:$H$100,$A176,'15d'!$I$7:$I$100,1)+SUMIFS('15e'!$N$7:$N$100,'15e'!$H$7:$H$100,$A176,'15e'!$I$7:$I$100,1)+SUMIFS('15f'!$N$7:$N$100,'15f'!$H$7:$H$100,$A176,'15f'!$I$7:$I$100,1)+SUMIFS('15g'!$N$7:$N$100,'15g'!$H$7:$H$100,$A176,'15g'!$I$7:$I$100,1)+SUMIFS('15h'!$N$7:$N$100,'15h'!$H$7:$H$100,$A176,'15h'!$I$7:$I$100,1)+SUMIFS('15i'!$N$7:$N$100,'15i'!$H$7:$H$100,$A176,'15i'!$I$7:$I$100,1)+SUMIFS('15j'!$N$7:$N$100,'15j'!$H$7:$H$100,$A176,'15j'!$I$7:$I$100,1)+SUMIFS('15k'!$N$7:$N$100,'15k'!$H$7:$H$100,$A176,'15k'!$I$7:$I$100,1)+SUMIFS('15l'!$N$7:$N$100,'15l'!$H$7:$H$100,$A176,'15l'!$I$7:$I$100,1)+SUMIFS('15m'!$N$7:$N$100,'15m'!$H$7:$H$100,$A176,'15m'!$I$7:$I$100,1)+SUMIFS('15n'!$N$7:$N$100,'15n'!$H$7:$H$100,$A176,'15n'!$I$7:$I$100,1)+SUMIFS('16'!$N$7:$N$100,'16'!$H$7:$H$100,$A176,'16'!$I$7:$I$100,1)+SUMIFS('16a'!$N$7:$N$100,'16a'!$H$7:$H$100,$A176,'16a'!$I$7:$I$100,1)+SUMIFS('17'!$N$7:$N$100,'17'!$H$7:$H$100,$A176,'17'!$I$7:$I$100,1)+SUMIFS('17a'!$N$7:$N$100,'17a'!$H$7:$H$100,$A176,'17a'!$I$7:$I$100,1)+SUMIFS('18'!$N$7:$N$100,'18'!$H$7:$H$100,$A176,'18'!$I$7:$I$100,1)+SUMIFS('18a'!$N$7:$N$100,'18a'!$H$7:$H$100,$A176,'18a'!$I$7:$I$100,1)
+SUMIFS('19'!$N$7:$N$100,'19'!$H$7:$H$100,$A176,'19'!$I$7:$I$100,1)+SUMIFS('20'!$N$7:$N$100,'20'!$H$7:$H$100,$A176,'20'!$I$7:$I$100,1)+SUMIFS('20a'!$N$7:$N$100,'20a'!$H$7:$H$100,$A176,'20a'!$I$7:$I$100,1)+SUMIFS('21'!$N$7:$N$100,'21'!$H$7:$H$100,$A176,'21'!$I$7:$I$100,1)+SUMIFS('22'!$N$7:$N$100,'22'!$H$7:$H$100,$A176,'22'!$I$7:$I$100,1)+SUMIFS('22a'!$N$7:$N$100,'22a'!$H$7:$H$100,$A176,'22a'!$I$7:$I$100,1)+SUMIFS('22b'!$N$7:$N$100,'22b'!$H$7:$H$100,$A176,'22b'!$I$7:$I$100,1)+SUMIFS('23'!$N$7:$N$100,'23'!$H$7:$H$100,$A176,'23'!$I$7:$I$100,1)+SUMIFS('24'!$N$7:$N$100,'24'!$H$7:$H$100,$A176,'24'!$I$7:$I$100,1)+SUMIFS('24a'!$N$7:$N$100,'24a'!$H$7:$H$100,$A176,'24a'!$I$7:$I$100,1)+SUMIFS('24b'!$N$7:$N$100,'24b'!$H$7:$H$100,$A176,'24b'!$I$7:$I$100,1)+SUMIFS('24c'!$N$7:$N$100,'24c'!$H$7:$H$100,$A176,'24c'!$I$7:$I$100,1)+SUMIFS('24d'!$N$7:$N$100,'24d'!$H$7:$H$100,$A176,'24d'!$I$7:$I$100,1)+SUMIFS('24e'!$N$7:$N$100,'24e'!$H$7:$H$100,$A176,'24e'!$I$7:$I$100,1)+SUMIFS('24f'!$N$7:$N$100,'24f'!$H$7:$H$100,$A176,'24f'!$I$7:$I$100,1)+SUMIFS('24g'!$N$7:$N$100,'24g'!$H$7:$H$100,$A176,'24g'!$I$7:$I$100,1)+SUMIFS('24h'!$N$7:$N$100,'24h'!$H$7:$H$100,$A176,'24h'!$I$7:$I$100,1)+SUMIFS('24i'!$N$7:$N$100,'24i'!$H$7:$H$100,$A176,'24i'!$I$7:$I$100,1)+SUMIFS('25'!$N$7:$N$100,'25'!$H$7:$H$100,$A176,'25'!$I$7:$I$100,1)+SUMIFS('26'!$N$7:$N$100,'26'!$H$7:$H$100,$A176,'26'!$I$7:$I$100,1)+SUMIFS('26a'!$N$7:$N$100,'26a'!$H$7:$H$100,$A176,'26a'!$I$7:$I$100,1)+SUMIFS('27'!$N$7:$N$100,'27'!$H$7:$H$100,$A176,'27'!$I$7:$I$100,1)+SUMIFS('27a'!$N$7:$N$100,'27a'!$H$7:$H$100,$A176,'27a'!$I$7:$I$100,1)+SUMIFS('28'!$N$7:$N$100,'28'!$H$7:$H$100,$A176,'28'!$I$7:$I$100,1)+SUMIFS('29'!$N$7:$N$100,'29'!$H$7:$H$100,$A176,'29'!$I$7:$I$100,1)</f>
        <v>8836</v>
      </c>
      <c r="D176" s="1315">
        <f>SUMIFS('12'!$N$7:$N$100,'12'!$H$7:$H$100,$A176,'12'!$I$7:$I$100,2)+SUMIFS('13'!$N$7:$N$100,'13'!$H$7:$H$100,$A176,'13'!$I$7:$I$100,2)+SUMIFS('14'!$N$7:$N$100,'14'!$H$7:$H$100,$A176,'14'!$I$7:$I$100,2)+SUMIFS('15'!$N$7:$N$100,'15'!$H$7:$H$100,$A176,'15'!$I$7:$I$100,2)+SUMIFS('15a'!$N$7:$N$100,'15a'!$H$7:$H$100,$A176,'15a'!$I$7:$I$100,2)+SUMIFS('15b'!$N$7:$N$100,'15b'!$H$7:$H$100,$A176,'15b'!$I$7:$I$100,2)+SUMIFS('15c'!$N$7:$N$100,'15c'!$H$7:$H$100,$A176,'15c'!$I$7:$I$100,2)+SUMIFS('15d'!$N$7:$N$100,'15d'!$H$7:$H$100,$A176,'15d'!$I$7:$I$100,2)+SUMIFS('15e'!$N$7:$N$100,'15e'!$H$7:$H$100,$A176,'15e'!$I$7:$I$100,2)+SUMIFS('15f'!$N$7:$N$100,'15f'!$H$7:$H$100,$A176,'15f'!$I$7:$I$100,2)+SUMIFS('15g'!$N$7:$N$100,'15g'!$H$7:$H$100,$A176,'15g'!$I$7:$I$100,2)+SUMIFS('15h'!$N$7:$N$100,'15h'!$H$7:$H$100,$A176,'15h'!$I$7:$I$100,2)+SUMIFS('15i'!$N$7:$N$100,'15i'!$H$7:$H$100,$A176,'15i'!$I$7:$I$100,2)+SUMIFS('15j'!$N$7:$N$100,'15j'!$H$7:$H$100,$A176,'15j'!$I$7:$I$100,2)+SUMIFS('15k'!$N$7:$N$100,'15k'!$H$7:$H$100,$A176,'15k'!$I$7:$I$100,2)+SUMIFS('15l'!$N$7:$N$100,'15l'!$H$7:$H$100,$A176,'15l'!$I$7:$I$100,2)+SUMIFS('15m'!$N$7:$N$100,'15m'!$H$7:$H$100,$A176,'15m'!$I$7:$I$100,2)+SUMIFS('15n'!$N$7:$N$100,'15n'!$H$7:$H$100,$A176,'15n'!$I$7:$I$100,2)+SUMIFS('16'!$N$7:$N$100,'16'!$H$7:$H$100,$A176,'16'!$I$7:$I$100,2)+SUMIFS('16a'!$N$7:$N$100,'16a'!$H$7:$H$100,$A176,'16a'!$I$7:$I$100,2)+SUMIFS('17'!$N$7:$N$100,'17'!$H$7:$H$100,$A176,'17'!$I$7:$I$100,2)+SUMIFS('17a'!$N$7:$N$100,'17a'!$H$7:$H$100,$A176,'17a'!$I$7:$I$100,2)+SUMIFS('18'!$N$7:$N$100,'18'!$H$7:$H$100,$A176,'18'!$I$7:$I$100,2)+SUMIFS('18a'!$N$7:$N$100,'18a'!$H$7:$H$100,$A176,'18a'!$I$7:$I$100,2)
+SUMIFS('19'!$N$7:$N$100,'19'!$H$7:$H$100,$A176,'19'!$I$7:$I$100,2)+SUMIFS('20'!$N$7:$N$100,'20'!$H$7:$H$100,$A176,'20'!$I$7:$I$100,2)+SUMIFS('20a'!$N$7:$N$100,'20a'!$H$7:$H$100,$A176,'20a'!$I$7:$I$100,2)+SUMIFS('21'!$N$7:$N$100,'21'!$H$7:$H$100,$A176,'21'!$I$7:$I$100,2)+SUMIFS('22'!$N$7:$N$100,'22'!$H$7:$H$100,$A176,'22'!$I$7:$I$100,2)+SUMIFS('22a'!$N$7:$N$100,'22a'!$H$7:$H$100,$A176,'22a'!$I$7:$I$100,2)+SUMIFS('22b'!$N$7:$N$100,'22b'!$H$7:$H$100,$A176,'22b'!$I$7:$I$100,2)+SUMIFS('23'!$N$7:$N$100,'23'!$H$7:$H$100,$A176,'23'!$I$7:$I$100,2)+SUMIFS('24'!$N$7:$N$100,'24'!$H$7:$H$100,$A176,'24'!$I$7:$I$100,2)+SUMIFS('24a'!$N$7:$N$100,'24a'!$H$7:$H$100,$A176,'24a'!$I$7:$I$100,2)+SUMIFS('24b'!$N$7:$N$100,'24b'!$H$7:$H$100,$A176,'24b'!$I$7:$I$100,2)+SUMIFS('24c'!$N$7:$N$100,'24c'!$H$7:$H$100,$A176,'24c'!$I$7:$I$100,2)+SUMIFS('24d'!$N$7:$N$100,'24d'!$H$7:$H$100,$A176,'24d'!$I$7:$I$100,2)+SUMIFS('24e'!$N$7:$N$100,'24e'!$H$7:$H$100,$A176,'24e'!$I$7:$I$100,2)+SUMIFS('24f'!$N$7:$N$100,'24f'!$H$7:$H$100,$A176,'24f'!$I$7:$I$100,2)+SUMIFS('24g'!$N$7:$N$100,'24g'!$H$7:$H$100,$A176,'24g'!$I$7:$I$100,2)+SUMIFS('24h'!$N$7:$N$100,'24h'!$H$7:$H$100,$A176,'24h'!$I$7:$I$100,2)+SUMIFS('24i'!$N$7:$N$100,'24i'!$H$7:$H$100,$A176,'24i'!$I$7:$I$100,2)+SUMIFS('25'!$N$7:$N$100,'25'!$H$7:$H$100,$A176,'25'!$I$7:$I$100,2)+SUMIFS('26'!$N$7:$N$100,'26'!$H$7:$H$100,$A176,'26'!$I$7:$I$100,2)+SUMIFS('26a'!$N$7:$N$100,'26a'!$H$7:$H$100,$A176,'26a'!$I$7:$I$100,2)+SUMIFS('27'!$N$7:$N$100,'27'!$H$7:$H$100,$A176,'27'!$I$7:$I$100,2)+SUMIFS('27a'!$N$7:$N$100,'27a'!$H$7:$H$100,$A176,'27a'!$I$7:$I$100,2)+SUMIFS('28'!$N$7:$N$100,'28'!$H$7:$H$100,$A176,'28'!$I$7:$I$100,2)+SUMIFS('29'!$N$7:$N$100,'29'!$H$7:$H$100,$A176,'29'!$I$7:$I$100,2)</f>
        <v>3075.1</v>
      </c>
      <c r="E176" s="1315">
        <f>SUMIFS('12'!$N$7:$N$100,'12'!$H$7:$H$100,$A176,'12'!$I$7:$I$100,"")+SUMIFS('13'!$N$7:$N$100,'13'!$H$7:$H$100,$A176,'13'!$I$7:$I$100,"")+SUMIFS('14'!$N$7:$N$100,'14'!$H$7:$H$100,$A176,'14'!$I$7:$I$100,"")+SUMIFS('15'!$N$7:$N$100,'15'!$H$7:$H$100,$A176,'15'!$I$7:$I$100,"")+SUMIFS('15a'!$N$7:$N$100,'15a'!$H$7:$H$100,$A176,'15a'!$I$7:$I$100,"")+SUMIFS('15b'!$N$7:$N$100,'15b'!$H$7:$H$100,$A176,'15b'!$I$7:$I$100,"")+SUMIFS('15c'!$N$7:$N$100,'15c'!$H$7:$H$100,$A176,'15c'!$I$7:$I$100,"")+SUMIFS('15d'!$N$7:$N$100,'15d'!$H$7:$H$100,$A176,'15d'!$I$7:$I$100,"")+SUMIFS('15e'!$N$7:$N$100,'15e'!$H$7:$H$100,$A176,'15e'!$I$7:$I$100,"")+SUMIFS('15f'!$N$7:$N$100,'15f'!$H$7:$H$100,$A176,'15f'!$I$7:$I$100,"")+SUMIFS('15g'!$N$7:$N$100,'15g'!$H$7:$H$100,$A176,'15g'!$I$7:$I$100,"")+SUMIFS('15h'!$N$7:$N$100,'15h'!$H$7:$H$100,$A176,'15h'!$I$7:$I$100,"")+SUMIFS('15i'!$N$7:$N$100,'15i'!$H$7:$H$100,$A176,'15i'!$I$7:$I$100,"")+SUMIFS('15j'!$N$7:$N$100,'15j'!$H$7:$H$100,$A176,'15j'!$I$7:$I$100,"")+SUMIFS('15k'!$N$7:$N$100,'15k'!$H$7:$H$100,$A176,'15k'!$I$7:$I$100,"")+SUMIFS('15l'!$N$7:$N$100,'15l'!$H$7:$H$100,$A176,'15l'!$I$7:$I$100,"")+SUMIFS('15m'!$N$7:$N$100,'15m'!$H$7:$H$100,$A176,'15m'!$I$7:$I$100,"")+SUMIFS('15n'!$N$7:$N$100,'15n'!$H$7:$H$100,$A176,'15n'!$I$7:$I$100,"")+SUMIFS('16'!$N$7:$N$100,'16'!$H$7:$H$100,$A176,'16'!$I$7:$I$100,"")+SUMIFS('16a'!$N$7:$N$100,'16a'!$H$7:$H$100,$A176,'16a'!$I$7:$I$100,"")+SUMIFS('17'!$N$7:$N$100,'17'!$H$7:$H$100,$A176,'17'!$I$7:$I$100,"")+SUMIFS('17a'!$N$7:$N$100,'17a'!$H$7:$H$100,$A176,'17a'!$I$7:$I$100,"")+SUMIFS('18'!$N$7:$N$100,'18'!$H$7:$H$100,$A176,'18'!$I$7:$I$100,"")+SUMIFS('18a'!$N$7:$N$100,'18a'!$H$7:$H$100,$A176,'18a'!$I$7:$I$100,"")
+SUMIFS('19'!$N$7:$N$100,'19'!$H$7:$H$100,$A176,'19'!$I$7:$I$100,"")+SUMIFS('20'!$N$7:$N$100,'20'!$H$7:$H$100,$A176,'20'!$I$7:$I$100,"")+SUMIFS('20a'!$N$7:$N$100,'20a'!$H$7:$H$100,$A176,'20a'!$I$7:$I$100,"")+SUMIFS('21'!$N$7:$N$100,'21'!$H$7:$H$100,$A176,'21'!$I$7:$I$100,"")+SUMIFS('22'!$N$7:$N$100,'22'!$H$7:$H$100,$A176,'22'!$I$7:$I$100,"")+SUMIFS('22a'!$N$7:$N$100,'22a'!$H$7:$H$100,$A176,'22a'!$I$7:$I$100,"")+SUMIFS('22b'!$N$7:$N$100,'22b'!$H$7:$H$100,$A176,'22b'!$I$7:$I$100,"")+SUMIFS('23'!$N$7:$N$100,'23'!$H$7:$H$100,$A176,'23'!$I$7:$I$100,"")+SUMIFS('24'!$N$7:$N$100,'24'!$H$7:$H$100,$A176,'24'!$I$7:$I$100,"")+SUMIFS('24a'!$N$7:$N$100,'24a'!$H$7:$H$100,$A176,'24a'!$I$7:$I$100,"")+SUMIFS('24b'!$N$7:$N$100,'24b'!$H$7:$H$100,$A176,'24b'!$I$7:$I$100,"")+SUMIFS('24c'!$N$7:$N$100,'24c'!$H$7:$H$100,$A176,'24c'!$I$7:$I$100,"")+SUMIFS('24d'!$N$7:$N$100,'24d'!$H$7:$H$100,$A176,'24d'!$I$7:$I$100,"")+SUMIFS('24e'!$N$7:$N$100,'24e'!$H$7:$H$100,$A176,'24e'!$I$7:$I$100,"")+SUMIFS('24f'!$N$7:$N$100,'24f'!$H$7:$H$100,$A176,'24f'!$I$7:$I$100,"")+SUMIFS('24g'!$N$7:$N$100,'24g'!$H$7:$H$100,$A176,'24g'!$I$7:$I$100,"")+SUMIFS('24h'!$N$7:$N$100,'24h'!$H$7:$H$100,$A176,'24h'!$I$7:$I$100,"")+SUMIFS('24i'!$N$7:$N$100,'24i'!$H$7:$H$100,$A176,'24i'!$I$7:$I$100,"")+SUMIFS('25'!$N$7:$N$100,'25'!$H$7:$H$100,$A176,'25'!$I$7:$I$100,"")+SUMIFS('26'!$N$7:$N$100,'26'!$H$7:$H$100,$A176,'26'!$I$7:$I$100,"")+SUMIFS('26a'!$N$7:$N$100,'26a'!$H$7:$H$100,$A176,'26a'!$I$7:$I$100,"")+SUMIFS('27'!$N$7:$N$100,'27'!$H$7:$H$100,$A176,'27'!$I$7:$I$100,"")+SUMIFS('27a'!$N$7:$N$100,'27a'!$H$7:$H$100,$A176,'27a'!$I$7:$I$100,"")+SUMIFS('28'!$N$7:$N$100,'28'!$H$7:$H$100,$A176,'28'!$I$7:$I$100,"")+SUMIFS('29'!$N$7:$N$100,'29'!$H$7:$H$100,$A176,'29'!$I$7:$I$100,"")</f>
        <v>0</v>
      </c>
      <c r="F176" s="1296">
        <f t="shared" si="4"/>
        <v>11911.1</v>
      </c>
      <c r="G176" s="1295">
        <f>SUMIFS('12'!$J$7:$J$100,'12'!$H$7:$H$100,$A176,'12'!$I$7:$I$100,1)+SUMIFS('13'!$J$7:$J$100,'13'!$H$7:$H$100,$A176,'13'!$I$7:$I$100,1)+SUMIFS('14'!$J$7:$J$100,'14'!$H$7:$H$100,$A176,'14'!$I$7:$I$100,1)+SUMIFS('15'!$J$7:$J$100,'15'!$H$7:$H$100,$A176,'15'!$I$7:$I$100,1)+SUMIFS('15a'!$J$7:$J$100,'15a'!$H$7:$H$100,$A176,'15a'!$I$7:$I$100,1)+SUMIFS('15b'!$J$7:$J$100,'15b'!$H$7:$H$100,$A176,'15b'!$I$7:$I$100,1)+SUMIFS('15c'!$J$7:$J$100,'15c'!$H$7:$H$100,$A176,'15c'!$I$7:$I$100,1)+SUMIFS('15d'!$J$7:$J$100,'15d'!$H$7:$H$100,$A176,'15d'!$I$7:$I$100,1)+SUMIFS('15e'!$J$7:$J$100,'15e'!$H$7:$H$100,$A176,'15e'!$I$7:$I$100,1)+SUMIFS('15f'!$J$7:$J$100,'15f'!$H$7:$H$100,$A176,'15f'!$I$7:$I$100,1)+SUMIFS('15g'!$J$7:$J$100,'15g'!$H$7:$H$100,$A176,'15g'!$I$7:$I$100,1)+SUMIFS('15h'!$J$7:$J$100,'15h'!$H$7:$H$100,$A176,'15h'!$I$7:$I$100,1)+SUMIFS('15i'!$J$7:$J$100,'15i'!$H$7:$H$100,$A176,'15i'!$I$7:$I$100,1)+SUMIFS('15j'!$J$7:$J$100,'15j'!$H$7:$H$100,$A176,'15j'!$I$7:$I$100,1)+SUMIFS('15k'!$J$7:$J$100,'15k'!$H$7:$H$100,$A176,'15k'!$I$7:$I$100,1)+SUMIFS('15l'!$J$7:$J$100,'15l'!$H$7:$H$100,$A176,'15l'!$I$7:$I$100,1)+SUMIFS('15m'!$J$7:$J$100,'15m'!$H$7:$H$100,$A176,'15m'!$I$7:$I$100,1)+SUMIFS('15n'!$J$7:$J$100,'15n'!$H$7:$H$100,$A176,'15n'!$I$7:$I$100,1)+SUMIFS('16'!$J$7:$J$100,'16'!$H$7:$H$100,$A176,'16'!$I$7:$I$100,1)+SUMIFS('16a'!$J$7:$J$100,'16a'!$H$7:$H$100,$A176,'16a'!$I$7:$I$100,1)+SUMIFS('17'!$J$7:$J$100,'17'!$H$7:$H$100,$A176,'17'!$I$7:$I$100,1)+SUMIFS('17a'!$J$7:$J$100,'17a'!$H$7:$H$100,$A176,'17a'!$I$7:$I$100,1)+SUMIFS('18'!$J$7:$J$100,'18'!$H$7:$H$100,$A176,'18'!$I$7:$I$100,1)+SUMIFS('18a'!$J$7:$J$100,'18a'!$H$7:$H$100,$A176,'18a'!$I$7:$I$100,1)
+SUMIFS('19'!$J$7:$J$100,'19'!$H$7:$H$100,$A176,'19'!$I$7:$I$100,1)+SUMIFS('20'!$J$7:$J$100,'20'!$H$7:$H$100,$A176,'20'!$I$7:$I$100,1)+SUMIFS('20a'!$J$7:$J$100,'20a'!$H$7:$H$100,$A176,'20a'!$I$7:$I$100,1)+SUMIFS('21'!$J$7:$J$100,'21'!$H$7:$H$100,$A176,'21'!$I$7:$I$100,1)+SUMIFS('22'!$J$7:$J$100,'22'!$H$7:$H$100,$A176,'22'!$I$7:$I$100,1)+SUMIFS('22a'!$J$7:$J$100,'22a'!$H$7:$H$100,$A176,'22a'!$I$7:$I$100,1)+SUMIFS('22b'!$J$7:$J$100,'22b'!$H$7:$H$100,$A176,'22b'!$I$7:$I$100,1)+SUMIFS('23'!$J$7:$J$100,'23'!$H$7:$H$100,$A176,'23'!$I$7:$I$100,1)+SUMIFS('24'!$J$7:$J$100,'24'!$H$7:$H$100,$A176,'24'!$I$7:$I$100,1)+SUMIFS('24a'!$J$7:$J$100,'24a'!$H$7:$H$100,$A176,'24a'!$I$7:$I$100,1)+SUMIFS('24b'!$J$7:$J$100,'24b'!$H$7:$H$100,$A176,'24b'!$I$7:$I$100,1)+SUMIFS('24c'!$J$7:$J$100,'24c'!$H$7:$H$100,$A176,'24c'!$I$7:$I$100,1)+SUMIFS('24d'!$J$7:$J$100,'24d'!$H$7:$H$100,$A176,'24d'!$I$7:$I$100,1)+SUMIFS('24e'!$J$7:$J$100,'24e'!$H$7:$H$100,$A176,'24e'!$I$7:$I$100,1)+SUMIFS('24f'!$J$7:$J$100,'24f'!$H$7:$H$100,$A176,'24f'!$I$7:$I$100,1)+SUMIFS('24g'!$J$7:$J$100,'24g'!$H$7:$H$100,$A176,'24g'!$I$7:$I$100,1)+SUMIFS('24h'!$J$7:$J$100,'24h'!$H$7:$H$100,$A176,'24h'!$I$7:$I$100,1)+SUMIFS('24i'!$J$7:$J$100,'24i'!$H$7:$H$100,$A176,'24i'!$I$7:$I$100,1)+SUMIFS('25'!$J$7:$J$100,'25'!$H$7:$H$100,$A176,'25'!$I$7:$I$100,1)+SUMIFS('26'!$J$7:$J$100,'26'!$H$7:$H$100,$A176,'26'!$I$7:$I$100,1)+SUMIFS('26a'!$J$7:$J$100,'26a'!$H$7:$H$100,$A176,'26a'!$I$7:$I$100,1)+SUMIFS('27'!$J$7:$J$100,'27'!$H$7:$H$100,$A176,'27'!$I$7:$I$100,1)+SUMIFS('27a'!$J$7:$J$100,'27a'!$H$7:$H$100,$A176,'27a'!$I$7:$I$100,1)+SUMIFS('28'!$J$7:$J$100,'28'!$H$7:$H$100,$A176,'28'!$I$7:$I$100,1)+SUMIFS('29'!$J$7:$J$100,'29'!$H$7:$H$100,$A176,'29'!$I$7:$I$100,1)</f>
        <v>10135</v>
      </c>
      <c r="H176" s="1315">
        <f>SUMIFS('12'!$J$7:$J$100,'12'!$H$7:$H$100,$A176,'12'!$I$7:$I$100,2)+SUMIFS('13'!$J$7:$J$100,'13'!$H$7:$H$100,$A176,'13'!$I$7:$I$100,2)+SUMIFS('14'!$J$7:$J$100,'14'!$H$7:$H$100,$A176,'14'!$I$7:$I$100,2)+SUMIFS('15'!$J$7:$J$100,'15'!$H$7:$H$100,$A176,'15'!$I$7:$I$100,2)+SUMIFS('15a'!$J$7:$J$100,'15a'!$H$7:$H$100,$A176,'15a'!$I$7:$I$100,2)+SUMIFS('15b'!$J$7:$J$100,'15b'!$H$7:$H$100,$A176,'15b'!$I$7:$I$100,2)+SUMIFS('15c'!$J$7:$J$100,'15c'!$H$7:$H$100,$A176,'15c'!$I$7:$I$100,2)+SUMIFS('15d'!$J$7:$J$100,'15d'!$H$7:$H$100,$A176,'15d'!$I$7:$I$100,2)+SUMIFS('15e'!$J$7:$J$100,'15e'!$H$7:$H$100,$A176,'15e'!$I$7:$I$100,2)+SUMIFS('15f'!$J$7:$J$100,'15f'!$H$7:$H$100,$A176,'15f'!$I$7:$I$100,2)+SUMIFS('15g'!$J$7:$J$100,'15g'!$H$7:$H$100,$A176,'15g'!$I$7:$I$100,2)+SUMIFS('15h'!$J$7:$J$100,'15h'!$H$7:$H$100,$A176,'15h'!$I$7:$I$100,2)+SUMIFS('15i'!$J$7:$J$100,'15i'!$H$7:$H$100,$A176,'15i'!$I$7:$I$100,2)+SUMIFS('15j'!$J$7:$J$100,'15j'!$H$7:$H$100,$A176,'15j'!$I$7:$I$100,2)+SUMIFS('15k'!$J$7:$J$100,'15k'!$H$7:$H$100,$A176,'15k'!$I$7:$I$100,2)+SUMIFS('15l'!$J$7:$J$100,'15l'!$H$7:$H$100,$A176,'15l'!$I$7:$I$100,2)+SUMIFS('15m'!$J$7:$J$100,'15m'!$H$7:$H$100,$A176,'15m'!$I$7:$I$100,2)+SUMIFS('15n'!$J$7:$J$100,'15n'!$H$7:$H$100,$A176,'15n'!$I$7:$I$100,2)+SUMIFS('16'!$J$7:$J$100,'16'!$H$7:$H$100,$A176,'16'!$I$7:$I$100,2)+SUMIFS('16a'!$J$7:$J$100,'16a'!$H$7:$H$100,$A176,'16a'!$I$7:$I$100,2)+SUMIFS('17'!$J$7:$J$100,'17'!$H$7:$H$100,$A176,'17'!$I$7:$I$100,2)+SUMIFS('17a'!$J$7:$J$100,'17a'!$H$7:$H$100,$A176,'17a'!$I$7:$I$100,2)+SUMIFS('18'!$J$7:$J$100,'18'!$H$7:$H$100,$A176,'18'!$I$7:$I$100,2)+SUMIFS('18a'!$J$7:$J$100,'18a'!$H$7:$H$100,$A176,'18a'!$I$7:$I$100,2)
+SUMIFS('19'!$J$7:$J$100,'19'!$H$7:$H$100,$A176,'19'!$I$7:$I$100,2)+SUMIFS('20'!$J$7:$J$100,'20'!$H$7:$H$100,$A176,'20'!$I$7:$I$100,2)+SUMIFS('20a'!$J$7:$J$100,'20a'!$H$7:$H$100,$A176,'20a'!$I$7:$I$100,2)+SUMIFS('21'!$J$7:$J$100,'21'!$H$7:$H$100,$A176,'21'!$I$7:$I$100,2)+SUMIFS('22'!$J$7:$J$100,'22'!$H$7:$H$100,$A176,'22'!$I$7:$I$100,2)+SUMIFS('22a'!$J$7:$J$100,'22a'!$H$7:$H$100,$A176,'22a'!$I$7:$I$100,2)+SUMIFS('22b'!$J$7:$J$100,'22b'!$H$7:$H$100,$A176,'22b'!$I$7:$I$100,2)+SUMIFS('23'!$J$7:$J$100,'23'!$H$7:$H$100,$A176,'23'!$I$7:$I$100,2)+SUMIFS('24'!$J$7:$J$100,'24'!$H$7:$H$100,$A176,'24'!$I$7:$I$100,2)+SUMIFS('24a'!$J$7:$J$100,'24a'!$H$7:$H$100,$A176,'24a'!$I$7:$I$100,2)+SUMIFS('24b'!$J$7:$J$100,'24b'!$H$7:$H$100,$A176,'24b'!$I$7:$I$100,2)+SUMIFS('24c'!$J$7:$J$100,'24c'!$H$7:$H$100,$A176,'24c'!$I$7:$I$100,2)+SUMIFS('24d'!$J$7:$J$100,'24d'!$H$7:$H$100,$A176,'24d'!$I$7:$I$100,2)+SUMIFS('24e'!$J$7:$J$100,'24e'!$H$7:$H$100,$A176,'24e'!$I$7:$I$100,2)+SUMIFS('24f'!$J$7:$J$100,'24f'!$H$7:$H$100,$A176,'24f'!$I$7:$I$100,2)+SUMIFS('24g'!$J$7:$J$100,'24g'!$H$7:$H$100,$A176,'24g'!$I$7:$I$100,2)+SUMIFS('24h'!$J$7:$J$100,'24h'!$H$7:$H$100,$A176,'24h'!$I$7:$I$100,2)+SUMIFS('24i'!$J$7:$J$100,'24i'!$H$7:$H$100,$A176,'24i'!$I$7:$I$100,2)+SUMIFS('25'!$J$7:$J$100,'25'!$H$7:$H$100,$A176,'25'!$I$7:$I$100,2)+SUMIFS('26'!$J$7:$J$100,'26'!$H$7:$H$100,$A176,'26'!$I$7:$I$100,2)+SUMIFS('26a'!$J$7:$J$100,'26a'!$H$7:$H$100,$A176,'26a'!$I$7:$I$100,2)+SUMIFS('27'!$J$7:$J$100,'27'!$H$7:$H$100,$A176,'27'!$I$7:$I$100,2)+SUMIFS('27a'!$J$7:$J$100,'27a'!$H$7:$H$100,$A176,'27a'!$I$7:$I$100,2)+SUMIFS('28'!$J$7:$J$100,'28'!$H$7:$H$100,$A176,'28'!$I$7:$I$100,2)+SUMIFS('29'!$J$7:$J$100,'29'!$H$7:$H$100,$A176,'29'!$I$7:$I$100,2)</f>
        <v>8700</v>
      </c>
      <c r="I176" s="1315">
        <f>SUMIFS('12'!$J$7:$J$100,'12'!$H$7:$H$100,$A176,'12'!$I$7:$I$100,"")+SUMIFS('13'!$J$7:$J$100,'13'!$H$7:$H$100,$A176,'13'!$I$7:$I$100,"")+SUMIFS('14'!$J$7:$J$100,'14'!$H$7:$H$100,$A176,'14'!$I$7:$I$100,"")+SUMIFS('15'!$J$7:$J$100,'15'!$H$7:$H$100,$A176,'15'!$I$7:$I$100,"")+SUMIFS('15a'!$J$7:$J$100,'15a'!$H$7:$H$100,$A176,'15a'!$I$7:$I$100,"")+SUMIFS('15b'!$J$7:$J$100,'15b'!$H$7:$H$100,$A176,'15b'!$I$7:$I$100,"")+SUMIFS('15c'!$J$7:$J$100,'15c'!$H$7:$H$100,$A176,'15c'!$I$7:$I$100,"")+SUMIFS('15d'!$J$7:$J$100,'15d'!$H$7:$H$100,$A176,'15d'!$I$7:$I$100,"")+SUMIFS('15e'!$J$7:$J$100,'15e'!$H$7:$H$100,$A176,'15e'!$I$7:$I$100,"")+SUMIFS('15f'!$J$7:$J$100,'15f'!$H$7:$H$100,$A176,'15f'!$I$7:$I$100,"")+SUMIFS('15g'!$J$7:$J$100,'15g'!$H$7:$H$100,$A176,'15g'!$I$7:$I$100,"")+SUMIFS('15h'!$J$7:$J$100,'15h'!$H$7:$H$100,$A176,'15h'!$I$7:$I$100,"")+SUMIFS('15i'!$J$7:$J$100,'15i'!$H$7:$H$100,$A176,'15i'!$I$7:$I$100,"")+SUMIFS('15j'!$J$7:$J$100,'15j'!$H$7:$H$100,$A176,'15j'!$I$7:$I$100,"")+SUMIFS('15k'!$J$7:$J$100,'15k'!$H$7:$H$100,$A176,'15k'!$I$7:$I$100,"")+SUMIFS('15l'!$J$7:$J$100,'15l'!$H$7:$H$100,$A176,'15l'!$I$7:$I$100,"")+SUMIFS('15m'!$J$7:$J$100,'15m'!$H$7:$H$100,$A176,'15m'!$I$7:$I$100,"")+SUMIFS('15n'!$J$7:$J$100,'15n'!$H$7:$H$100,$A176,'15n'!$I$7:$I$100,"")+SUMIFS('16'!$J$7:$J$100,'16'!$H$7:$H$100,$A176,'16'!$I$7:$I$100,"")+SUMIFS('16a'!$J$7:$J$100,'16a'!$H$7:$H$100,$A176,'16a'!$I$7:$I$100,"")+SUMIFS('17'!$J$7:$J$100,'17'!$H$7:$H$100,$A176,'17'!$I$7:$I$100,"")+SUMIFS('17a'!$J$7:$J$100,'17a'!$H$7:$H$100,$A176,'17a'!$I$7:$I$100,"")+SUMIFS('18'!$J$7:$J$100,'18'!$H$7:$H$100,$A176,'18'!$I$7:$I$100,"")+SUMIFS('18a'!$J$7:$J$100,'18a'!$H$7:$H$100,$A176,'18a'!$I$7:$I$100,"")
+SUMIFS('19'!$J$7:$J$100,'19'!$H$7:$H$100,$A176,'19'!$I$7:$I$100,"")+SUMIFS('20'!$J$7:$J$100,'20'!$H$7:$H$100,$A176,'20'!$I$7:$I$100,"")+SUMIFS('20a'!$J$7:$J$100,'20a'!$H$7:$H$100,$A176,'20a'!$I$7:$I$100,"")+SUMIFS('21'!$J$7:$J$100,'21'!$H$7:$H$100,$A176,'21'!$I$7:$I$100,"")+SUMIFS('22'!$J$7:$J$100,'22'!$H$7:$H$100,$A176,'22'!$I$7:$I$100,"")+SUMIFS('22a'!$J$7:$J$100,'22a'!$H$7:$H$100,$A176,'22a'!$I$7:$I$100,"")+SUMIFS('22b'!$J$7:$J$100,'22b'!$H$7:$H$100,$A176,'22b'!$I$7:$I$100,"")+SUMIFS('23'!$J$7:$J$100,'23'!$H$7:$H$100,$A176,'23'!$I$7:$I$100,"")+SUMIFS('24'!$J$7:$J$100,'24'!$H$7:$H$100,$A176,'24'!$I$7:$I$100,"")+SUMIFS('24a'!$J$7:$J$100,'24a'!$H$7:$H$100,$A176,'24a'!$I$7:$I$100,"")+SUMIFS('24b'!$J$7:$J$100,'24b'!$H$7:$H$100,$A176,'24b'!$I$7:$I$100,"")+SUMIFS('24c'!$J$7:$J$100,'24c'!$H$7:$H$100,$A176,'24c'!$I$7:$I$100,"")+SUMIFS('24d'!$J$7:$J$100,'24d'!$H$7:$H$100,$A176,'24d'!$I$7:$I$100,"")+SUMIFS('24e'!$J$7:$J$100,'24e'!$H$7:$H$100,$A176,'24e'!$I$7:$I$100,"")+SUMIFS('24f'!$J$7:$J$100,'24f'!$H$7:$H$100,$A176,'24f'!$I$7:$I$100,"")+SUMIFS('24g'!$J$7:$J$100,'24g'!$H$7:$H$100,$A176,'24g'!$I$7:$I$100,"")+SUMIFS('24h'!$J$7:$J$100,'24h'!$H$7:$H$100,$A176,'24h'!$I$7:$I$100,"")+SUMIFS('24i'!$J$7:$J$100,'24i'!$H$7:$H$100,$A176,'24i'!$I$7:$I$100,"")+SUMIFS('25'!$J$7:$J$100,'25'!$H$7:$H$100,$A176,'25'!$I$7:$I$100,"")+SUMIFS('26'!$J$7:$J$100,'26'!$H$7:$H$100,$A176,'26'!$I$7:$I$100,"")+SUMIFS('26a'!$J$7:$J$100,'26a'!$H$7:$H$100,$A176,'26a'!$I$7:$I$100,"")+SUMIFS('27'!$J$7:$J$100,'27'!$H$7:$H$100,$A176,'27'!$I$7:$I$100,"")+SUMIFS('27a'!$J$7:$J$100,'27a'!$H$7:$H$100,$A176,'27a'!$I$7:$I$100,"")+SUMIFS('28'!$J$7:$J$100,'28'!$H$7:$H$100,$A176,'28'!$I$7:$I$100,"")+SUMIFS('29'!$J$7:$J$100,'29'!$H$7:$H$100,$A176,'29'!$I$7:$I$100,"")</f>
        <v>0</v>
      </c>
      <c r="J176" s="1296">
        <f t="shared" si="5"/>
        <v>18835</v>
      </c>
      <c r="K176"/>
      <c r="L176"/>
      <c r="M176"/>
      <c r="N176"/>
      <c r="O176"/>
      <c r="P176"/>
      <c r="Q176"/>
      <c r="R176"/>
      <c r="S176" s="1307">
        <f t="shared" si="2"/>
        <v>61492.2</v>
      </c>
      <c r="T176"/>
    </row>
    <row r="177" spans="1:20" x14ac:dyDescent="0.2">
      <c r="A177" t="s">
        <v>5111</v>
      </c>
      <c r="B177" t="s">
        <v>5467</v>
      </c>
      <c r="C177" s="1295">
        <f>SUMIFS('12'!$N$7:$N$100,'12'!$H$7:$H$100,$A177,'12'!$I$7:$I$100,1)+SUMIFS('13'!$N$7:$N$100,'13'!$H$7:$H$100,$A177,'13'!$I$7:$I$100,1)+SUMIFS('14'!$N$7:$N$100,'14'!$H$7:$H$100,$A177,'14'!$I$7:$I$100,1)+SUMIFS('15'!$N$7:$N$100,'15'!$H$7:$H$100,$A177,'15'!$I$7:$I$100,1)+SUMIFS('15a'!$N$7:$N$100,'15a'!$H$7:$H$100,$A177,'15a'!$I$7:$I$100,1)+SUMIFS('15b'!$N$7:$N$100,'15b'!$H$7:$H$100,$A177,'15b'!$I$7:$I$100,1)+SUMIFS('15c'!$N$7:$N$100,'15c'!$H$7:$H$100,$A177,'15c'!$I$7:$I$100,1)+SUMIFS('15d'!$N$7:$N$100,'15d'!$H$7:$H$100,$A177,'15d'!$I$7:$I$100,1)+SUMIFS('15e'!$N$7:$N$100,'15e'!$H$7:$H$100,$A177,'15e'!$I$7:$I$100,1)+SUMIFS('15f'!$N$7:$N$100,'15f'!$H$7:$H$100,$A177,'15f'!$I$7:$I$100,1)+SUMIFS('15g'!$N$7:$N$100,'15g'!$H$7:$H$100,$A177,'15g'!$I$7:$I$100,1)+SUMIFS('15h'!$N$7:$N$100,'15h'!$H$7:$H$100,$A177,'15h'!$I$7:$I$100,1)+SUMIFS('15i'!$N$7:$N$100,'15i'!$H$7:$H$100,$A177,'15i'!$I$7:$I$100,1)+SUMIFS('15j'!$N$7:$N$100,'15j'!$H$7:$H$100,$A177,'15j'!$I$7:$I$100,1)+SUMIFS('15k'!$N$7:$N$100,'15k'!$H$7:$H$100,$A177,'15k'!$I$7:$I$100,1)+SUMIFS('15l'!$N$7:$N$100,'15l'!$H$7:$H$100,$A177,'15l'!$I$7:$I$100,1)+SUMIFS('15m'!$N$7:$N$100,'15m'!$H$7:$H$100,$A177,'15m'!$I$7:$I$100,1)+SUMIFS('15n'!$N$7:$N$100,'15n'!$H$7:$H$100,$A177,'15n'!$I$7:$I$100,1)+SUMIFS('16'!$N$7:$N$100,'16'!$H$7:$H$100,$A177,'16'!$I$7:$I$100,1)+SUMIFS('16a'!$N$7:$N$100,'16a'!$H$7:$H$100,$A177,'16a'!$I$7:$I$100,1)+SUMIFS('17'!$N$7:$N$100,'17'!$H$7:$H$100,$A177,'17'!$I$7:$I$100,1)+SUMIFS('17a'!$N$7:$N$100,'17a'!$H$7:$H$100,$A177,'17a'!$I$7:$I$100,1)+SUMIFS('18'!$N$7:$N$100,'18'!$H$7:$H$100,$A177,'18'!$I$7:$I$100,1)+SUMIFS('18a'!$N$7:$N$100,'18a'!$H$7:$H$100,$A177,'18a'!$I$7:$I$100,1)
+SUMIFS('19'!$N$7:$N$100,'19'!$H$7:$H$100,$A177,'19'!$I$7:$I$100,1)+SUMIFS('20'!$N$7:$N$100,'20'!$H$7:$H$100,$A177,'20'!$I$7:$I$100,1)+SUMIFS('20a'!$N$7:$N$100,'20a'!$H$7:$H$100,$A177,'20a'!$I$7:$I$100,1)+SUMIFS('21'!$N$7:$N$100,'21'!$H$7:$H$100,$A177,'21'!$I$7:$I$100,1)+SUMIFS('22'!$N$7:$N$100,'22'!$H$7:$H$100,$A177,'22'!$I$7:$I$100,1)+SUMIFS('22a'!$N$7:$N$100,'22a'!$H$7:$H$100,$A177,'22a'!$I$7:$I$100,1)+SUMIFS('22b'!$N$7:$N$100,'22b'!$H$7:$H$100,$A177,'22b'!$I$7:$I$100,1)+SUMIFS('23'!$N$7:$N$100,'23'!$H$7:$H$100,$A177,'23'!$I$7:$I$100,1)+SUMIFS('24'!$N$7:$N$100,'24'!$H$7:$H$100,$A177,'24'!$I$7:$I$100,1)+SUMIFS('24a'!$N$7:$N$100,'24a'!$H$7:$H$100,$A177,'24a'!$I$7:$I$100,1)+SUMIFS('24b'!$N$7:$N$100,'24b'!$H$7:$H$100,$A177,'24b'!$I$7:$I$100,1)+SUMIFS('24c'!$N$7:$N$100,'24c'!$H$7:$H$100,$A177,'24c'!$I$7:$I$100,1)+SUMIFS('24d'!$N$7:$N$100,'24d'!$H$7:$H$100,$A177,'24d'!$I$7:$I$100,1)+SUMIFS('24e'!$N$7:$N$100,'24e'!$H$7:$H$100,$A177,'24e'!$I$7:$I$100,1)+SUMIFS('24f'!$N$7:$N$100,'24f'!$H$7:$H$100,$A177,'24f'!$I$7:$I$100,1)+SUMIFS('24g'!$N$7:$N$100,'24g'!$H$7:$H$100,$A177,'24g'!$I$7:$I$100,1)+SUMIFS('24h'!$N$7:$N$100,'24h'!$H$7:$H$100,$A177,'24h'!$I$7:$I$100,1)+SUMIFS('24i'!$N$7:$N$100,'24i'!$H$7:$H$100,$A177,'24i'!$I$7:$I$100,1)+SUMIFS('25'!$N$7:$N$100,'25'!$H$7:$H$100,$A177,'25'!$I$7:$I$100,1)+SUMIFS('26'!$N$7:$N$100,'26'!$H$7:$H$100,$A177,'26'!$I$7:$I$100,1)+SUMIFS('26a'!$N$7:$N$100,'26a'!$H$7:$H$100,$A177,'26a'!$I$7:$I$100,1)+SUMIFS('27'!$N$7:$N$100,'27'!$H$7:$H$100,$A177,'27'!$I$7:$I$100,1)+SUMIFS('27a'!$N$7:$N$100,'27a'!$H$7:$H$100,$A177,'27a'!$I$7:$I$100,1)+SUMIFS('28'!$N$7:$N$100,'28'!$H$7:$H$100,$A177,'28'!$I$7:$I$100,1)+SUMIFS('29'!$N$7:$N$100,'29'!$H$7:$H$100,$A177,'29'!$I$7:$I$100,1)</f>
        <v>11592</v>
      </c>
      <c r="D177" s="1315">
        <f>SUMIFS('12'!$N$7:$N$100,'12'!$H$7:$H$100,$A177,'12'!$I$7:$I$100,2)+SUMIFS('13'!$N$7:$N$100,'13'!$H$7:$H$100,$A177,'13'!$I$7:$I$100,2)+SUMIFS('14'!$N$7:$N$100,'14'!$H$7:$H$100,$A177,'14'!$I$7:$I$100,2)+SUMIFS('15'!$N$7:$N$100,'15'!$H$7:$H$100,$A177,'15'!$I$7:$I$100,2)+SUMIFS('15a'!$N$7:$N$100,'15a'!$H$7:$H$100,$A177,'15a'!$I$7:$I$100,2)+SUMIFS('15b'!$N$7:$N$100,'15b'!$H$7:$H$100,$A177,'15b'!$I$7:$I$100,2)+SUMIFS('15c'!$N$7:$N$100,'15c'!$H$7:$H$100,$A177,'15c'!$I$7:$I$100,2)+SUMIFS('15d'!$N$7:$N$100,'15d'!$H$7:$H$100,$A177,'15d'!$I$7:$I$100,2)+SUMIFS('15e'!$N$7:$N$100,'15e'!$H$7:$H$100,$A177,'15e'!$I$7:$I$100,2)+SUMIFS('15f'!$N$7:$N$100,'15f'!$H$7:$H$100,$A177,'15f'!$I$7:$I$100,2)+SUMIFS('15g'!$N$7:$N$100,'15g'!$H$7:$H$100,$A177,'15g'!$I$7:$I$100,2)+SUMIFS('15h'!$N$7:$N$100,'15h'!$H$7:$H$100,$A177,'15h'!$I$7:$I$100,2)+SUMIFS('15i'!$N$7:$N$100,'15i'!$H$7:$H$100,$A177,'15i'!$I$7:$I$100,2)+SUMIFS('15j'!$N$7:$N$100,'15j'!$H$7:$H$100,$A177,'15j'!$I$7:$I$100,2)+SUMIFS('15k'!$N$7:$N$100,'15k'!$H$7:$H$100,$A177,'15k'!$I$7:$I$100,2)+SUMIFS('15l'!$N$7:$N$100,'15l'!$H$7:$H$100,$A177,'15l'!$I$7:$I$100,2)+SUMIFS('15m'!$N$7:$N$100,'15m'!$H$7:$H$100,$A177,'15m'!$I$7:$I$100,2)+SUMIFS('15n'!$N$7:$N$100,'15n'!$H$7:$H$100,$A177,'15n'!$I$7:$I$100,2)+SUMIFS('16'!$N$7:$N$100,'16'!$H$7:$H$100,$A177,'16'!$I$7:$I$100,2)+SUMIFS('16a'!$N$7:$N$100,'16a'!$H$7:$H$100,$A177,'16a'!$I$7:$I$100,2)+SUMIFS('17'!$N$7:$N$100,'17'!$H$7:$H$100,$A177,'17'!$I$7:$I$100,2)+SUMIFS('17a'!$N$7:$N$100,'17a'!$H$7:$H$100,$A177,'17a'!$I$7:$I$100,2)+SUMIFS('18'!$N$7:$N$100,'18'!$H$7:$H$100,$A177,'18'!$I$7:$I$100,2)+SUMIFS('18a'!$N$7:$N$100,'18a'!$H$7:$H$100,$A177,'18a'!$I$7:$I$100,2)
+SUMIFS('19'!$N$7:$N$100,'19'!$H$7:$H$100,$A177,'19'!$I$7:$I$100,2)+SUMIFS('20'!$N$7:$N$100,'20'!$H$7:$H$100,$A177,'20'!$I$7:$I$100,2)+SUMIFS('20a'!$N$7:$N$100,'20a'!$H$7:$H$100,$A177,'20a'!$I$7:$I$100,2)+SUMIFS('21'!$N$7:$N$100,'21'!$H$7:$H$100,$A177,'21'!$I$7:$I$100,2)+SUMIFS('22'!$N$7:$N$100,'22'!$H$7:$H$100,$A177,'22'!$I$7:$I$100,2)+SUMIFS('22a'!$N$7:$N$100,'22a'!$H$7:$H$100,$A177,'22a'!$I$7:$I$100,2)+SUMIFS('22b'!$N$7:$N$100,'22b'!$H$7:$H$100,$A177,'22b'!$I$7:$I$100,2)+SUMIFS('23'!$N$7:$N$100,'23'!$H$7:$H$100,$A177,'23'!$I$7:$I$100,2)+SUMIFS('24'!$N$7:$N$100,'24'!$H$7:$H$100,$A177,'24'!$I$7:$I$100,2)+SUMIFS('24a'!$N$7:$N$100,'24a'!$H$7:$H$100,$A177,'24a'!$I$7:$I$100,2)+SUMIFS('24b'!$N$7:$N$100,'24b'!$H$7:$H$100,$A177,'24b'!$I$7:$I$100,2)+SUMIFS('24c'!$N$7:$N$100,'24c'!$H$7:$H$100,$A177,'24c'!$I$7:$I$100,2)+SUMIFS('24d'!$N$7:$N$100,'24d'!$H$7:$H$100,$A177,'24d'!$I$7:$I$100,2)+SUMIFS('24e'!$N$7:$N$100,'24e'!$H$7:$H$100,$A177,'24e'!$I$7:$I$100,2)+SUMIFS('24f'!$N$7:$N$100,'24f'!$H$7:$H$100,$A177,'24f'!$I$7:$I$100,2)+SUMIFS('24g'!$N$7:$N$100,'24g'!$H$7:$H$100,$A177,'24g'!$I$7:$I$100,2)+SUMIFS('24h'!$N$7:$N$100,'24h'!$H$7:$H$100,$A177,'24h'!$I$7:$I$100,2)+SUMIFS('24i'!$N$7:$N$100,'24i'!$H$7:$H$100,$A177,'24i'!$I$7:$I$100,2)+SUMIFS('25'!$N$7:$N$100,'25'!$H$7:$H$100,$A177,'25'!$I$7:$I$100,2)+SUMIFS('26'!$N$7:$N$100,'26'!$H$7:$H$100,$A177,'26'!$I$7:$I$100,2)+SUMIFS('26a'!$N$7:$N$100,'26a'!$H$7:$H$100,$A177,'26a'!$I$7:$I$100,2)+SUMIFS('27'!$N$7:$N$100,'27'!$H$7:$H$100,$A177,'27'!$I$7:$I$100,2)+SUMIFS('27a'!$N$7:$N$100,'27a'!$H$7:$H$100,$A177,'27a'!$I$7:$I$100,2)+SUMIFS('28'!$N$7:$N$100,'28'!$H$7:$H$100,$A177,'28'!$I$7:$I$100,2)+SUMIFS('29'!$N$7:$N$100,'29'!$H$7:$H$100,$A177,'29'!$I$7:$I$100,2)</f>
        <v>1151.92</v>
      </c>
      <c r="E177" s="1315">
        <f>SUMIFS('12'!$N$7:$N$100,'12'!$H$7:$H$100,$A177,'12'!$I$7:$I$100,"")+SUMIFS('13'!$N$7:$N$100,'13'!$H$7:$H$100,$A177,'13'!$I$7:$I$100,"")+SUMIFS('14'!$N$7:$N$100,'14'!$H$7:$H$100,$A177,'14'!$I$7:$I$100,"")+SUMIFS('15'!$N$7:$N$100,'15'!$H$7:$H$100,$A177,'15'!$I$7:$I$100,"")+SUMIFS('15a'!$N$7:$N$100,'15a'!$H$7:$H$100,$A177,'15a'!$I$7:$I$100,"")+SUMIFS('15b'!$N$7:$N$100,'15b'!$H$7:$H$100,$A177,'15b'!$I$7:$I$100,"")+SUMIFS('15c'!$N$7:$N$100,'15c'!$H$7:$H$100,$A177,'15c'!$I$7:$I$100,"")+SUMIFS('15d'!$N$7:$N$100,'15d'!$H$7:$H$100,$A177,'15d'!$I$7:$I$100,"")+SUMIFS('15e'!$N$7:$N$100,'15e'!$H$7:$H$100,$A177,'15e'!$I$7:$I$100,"")+SUMIFS('15f'!$N$7:$N$100,'15f'!$H$7:$H$100,$A177,'15f'!$I$7:$I$100,"")+SUMIFS('15g'!$N$7:$N$100,'15g'!$H$7:$H$100,$A177,'15g'!$I$7:$I$100,"")+SUMIFS('15h'!$N$7:$N$100,'15h'!$H$7:$H$100,$A177,'15h'!$I$7:$I$100,"")+SUMIFS('15i'!$N$7:$N$100,'15i'!$H$7:$H$100,$A177,'15i'!$I$7:$I$100,"")+SUMIFS('15j'!$N$7:$N$100,'15j'!$H$7:$H$100,$A177,'15j'!$I$7:$I$100,"")+SUMIFS('15k'!$N$7:$N$100,'15k'!$H$7:$H$100,$A177,'15k'!$I$7:$I$100,"")+SUMIFS('15l'!$N$7:$N$100,'15l'!$H$7:$H$100,$A177,'15l'!$I$7:$I$100,"")+SUMIFS('15m'!$N$7:$N$100,'15m'!$H$7:$H$100,$A177,'15m'!$I$7:$I$100,"")+SUMIFS('15n'!$N$7:$N$100,'15n'!$H$7:$H$100,$A177,'15n'!$I$7:$I$100,"")+SUMIFS('16'!$N$7:$N$100,'16'!$H$7:$H$100,$A177,'16'!$I$7:$I$100,"")+SUMIFS('16a'!$N$7:$N$100,'16a'!$H$7:$H$100,$A177,'16a'!$I$7:$I$100,"")+SUMIFS('17'!$N$7:$N$100,'17'!$H$7:$H$100,$A177,'17'!$I$7:$I$100,"")+SUMIFS('17a'!$N$7:$N$100,'17a'!$H$7:$H$100,$A177,'17a'!$I$7:$I$100,"")+SUMIFS('18'!$N$7:$N$100,'18'!$H$7:$H$100,$A177,'18'!$I$7:$I$100,"")+SUMIFS('18a'!$N$7:$N$100,'18a'!$H$7:$H$100,$A177,'18a'!$I$7:$I$100,"")
+SUMIFS('19'!$N$7:$N$100,'19'!$H$7:$H$100,$A177,'19'!$I$7:$I$100,"")+SUMIFS('20'!$N$7:$N$100,'20'!$H$7:$H$100,$A177,'20'!$I$7:$I$100,"")+SUMIFS('20a'!$N$7:$N$100,'20a'!$H$7:$H$100,$A177,'20a'!$I$7:$I$100,"")+SUMIFS('21'!$N$7:$N$100,'21'!$H$7:$H$100,$A177,'21'!$I$7:$I$100,"")+SUMIFS('22'!$N$7:$N$100,'22'!$H$7:$H$100,$A177,'22'!$I$7:$I$100,"")+SUMIFS('22a'!$N$7:$N$100,'22a'!$H$7:$H$100,$A177,'22a'!$I$7:$I$100,"")+SUMIFS('22b'!$N$7:$N$100,'22b'!$H$7:$H$100,$A177,'22b'!$I$7:$I$100,"")+SUMIFS('23'!$N$7:$N$100,'23'!$H$7:$H$100,$A177,'23'!$I$7:$I$100,"")+SUMIFS('24'!$N$7:$N$100,'24'!$H$7:$H$100,$A177,'24'!$I$7:$I$100,"")+SUMIFS('24a'!$N$7:$N$100,'24a'!$H$7:$H$100,$A177,'24a'!$I$7:$I$100,"")+SUMIFS('24b'!$N$7:$N$100,'24b'!$H$7:$H$100,$A177,'24b'!$I$7:$I$100,"")+SUMIFS('24c'!$N$7:$N$100,'24c'!$H$7:$H$100,$A177,'24c'!$I$7:$I$100,"")+SUMIFS('24d'!$N$7:$N$100,'24d'!$H$7:$H$100,$A177,'24d'!$I$7:$I$100,"")+SUMIFS('24e'!$N$7:$N$100,'24e'!$H$7:$H$100,$A177,'24e'!$I$7:$I$100,"")+SUMIFS('24f'!$N$7:$N$100,'24f'!$H$7:$H$100,$A177,'24f'!$I$7:$I$100,"")+SUMIFS('24g'!$N$7:$N$100,'24g'!$H$7:$H$100,$A177,'24g'!$I$7:$I$100,"")+SUMIFS('24h'!$N$7:$N$100,'24h'!$H$7:$H$100,$A177,'24h'!$I$7:$I$100,"")+SUMIFS('24i'!$N$7:$N$100,'24i'!$H$7:$H$100,$A177,'24i'!$I$7:$I$100,"")+SUMIFS('25'!$N$7:$N$100,'25'!$H$7:$H$100,$A177,'25'!$I$7:$I$100,"")+SUMIFS('26'!$N$7:$N$100,'26'!$H$7:$H$100,$A177,'26'!$I$7:$I$100,"")+SUMIFS('26a'!$N$7:$N$100,'26a'!$H$7:$H$100,$A177,'26a'!$I$7:$I$100,"")+SUMIFS('27'!$N$7:$N$100,'27'!$H$7:$H$100,$A177,'27'!$I$7:$I$100,"")+SUMIFS('27a'!$N$7:$N$100,'27a'!$H$7:$H$100,$A177,'27a'!$I$7:$I$100,"")+SUMIFS('28'!$N$7:$N$100,'28'!$H$7:$H$100,$A177,'28'!$I$7:$I$100,"")+SUMIFS('29'!$N$7:$N$100,'29'!$H$7:$H$100,$A177,'29'!$I$7:$I$100,"")</f>
        <v>0</v>
      </c>
      <c r="F177" s="1296">
        <f t="shared" si="4"/>
        <v>12743.92</v>
      </c>
      <c r="G177" s="1295">
        <f>SUMIFS('12'!$J$7:$J$100,'12'!$H$7:$H$100,$A177,'12'!$I$7:$I$100,1)+SUMIFS('13'!$J$7:$J$100,'13'!$H$7:$H$100,$A177,'13'!$I$7:$I$100,1)+SUMIFS('14'!$J$7:$J$100,'14'!$H$7:$H$100,$A177,'14'!$I$7:$I$100,1)+SUMIFS('15'!$J$7:$J$100,'15'!$H$7:$H$100,$A177,'15'!$I$7:$I$100,1)+SUMIFS('15a'!$J$7:$J$100,'15a'!$H$7:$H$100,$A177,'15a'!$I$7:$I$100,1)+SUMIFS('15b'!$J$7:$J$100,'15b'!$H$7:$H$100,$A177,'15b'!$I$7:$I$100,1)+SUMIFS('15c'!$J$7:$J$100,'15c'!$H$7:$H$100,$A177,'15c'!$I$7:$I$100,1)+SUMIFS('15d'!$J$7:$J$100,'15d'!$H$7:$H$100,$A177,'15d'!$I$7:$I$100,1)+SUMIFS('15e'!$J$7:$J$100,'15e'!$H$7:$H$100,$A177,'15e'!$I$7:$I$100,1)+SUMIFS('15f'!$J$7:$J$100,'15f'!$H$7:$H$100,$A177,'15f'!$I$7:$I$100,1)+SUMIFS('15g'!$J$7:$J$100,'15g'!$H$7:$H$100,$A177,'15g'!$I$7:$I$100,1)+SUMIFS('15h'!$J$7:$J$100,'15h'!$H$7:$H$100,$A177,'15h'!$I$7:$I$100,1)+SUMIFS('15i'!$J$7:$J$100,'15i'!$H$7:$H$100,$A177,'15i'!$I$7:$I$100,1)+SUMIFS('15j'!$J$7:$J$100,'15j'!$H$7:$H$100,$A177,'15j'!$I$7:$I$100,1)+SUMIFS('15k'!$J$7:$J$100,'15k'!$H$7:$H$100,$A177,'15k'!$I$7:$I$100,1)+SUMIFS('15l'!$J$7:$J$100,'15l'!$H$7:$H$100,$A177,'15l'!$I$7:$I$100,1)+SUMIFS('15m'!$J$7:$J$100,'15m'!$H$7:$H$100,$A177,'15m'!$I$7:$I$100,1)+SUMIFS('15n'!$J$7:$J$100,'15n'!$H$7:$H$100,$A177,'15n'!$I$7:$I$100,1)+SUMIFS('16'!$J$7:$J$100,'16'!$H$7:$H$100,$A177,'16'!$I$7:$I$100,1)+SUMIFS('16a'!$J$7:$J$100,'16a'!$H$7:$H$100,$A177,'16a'!$I$7:$I$100,1)+SUMIFS('17'!$J$7:$J$100,'17'!$H$7:$H$100,$A177,'17'!$I$7:$I$100,1)+SUMIFS('17a'!$J$7:$J$100,'17a'!$H$7:$H$100,$A177,'17a'!$I$7:$I$100,1)+SUMIFS('18'!$J$7:$J$100,'18'!$H$7:$H$100,$A177,'18'!$I$7:$I$100,1)+SUMIFS('18a'!$J$7:$J$100,'18a'!$H$7:$H$100,$A177,'18a'!$I$7:$I$100,1)
+SUMIFS('19'!$J$7:$J$100,'19'!$H$7:$H$100,$A177,'19'!$I$7:$I$100,1)+SUMIFS('20'!$J$7:$J$100,'20'!$H$7:$H$100,$A177,'20'!$I$7:$I$100,1)+SUMIFS('20a'!$J$7:$J$100,'20a'!$H$7:$H$100,$A177,'20a'!$I$7:$I$100,1)+SUMIFS('21'!$J$7:$J$100,'21'!$H$7:$H$100,$A177,'21'!$I$7:$I$100,1)+SUMIFS('22'!$J$7:$J$100,'22'!$H$7:$H$100,$A177,'22'!$I$7:$I$100,1)+SUMIFS('22a'!$J$7:$J$100,'22a'!$H$7:$H$100,$A177,'22a'!$I$7:$I$100,1)+SUMIFS('22b'!$J$7:$J$100,'22b'!$H$7:$H$100,$A177,'22b'!$I$7:$I$100,1)+SUMIFS('23'!$J$7:$J$100,'23'!$H$7:$H$100,$A177,'23'!$I$7:$I$100,1)+SUMIFS('24'!$J$7:$J$100,'24'!$H$7:$H$100,$A177,'24'!$I$7:$I$100,1)+SUMIFS('24a'!$J$7:$J$100,'24a'!$H$7:$H$100,$A177,'24a'!$I$7:$I$100,1)+SUMIFS('24b'!$J$7:$J$100,'24b'!$H$7:$H$100,$A177,'24b'!$I$7:$I$100,1)+SUMIFS('24c'!$J$7:$J$100,'24c'!$H$7:$H$100,$A177,'24c'!$I$7:$I$100,1)+SUMIFS('24d'!$J$7:$J$100,'24d'!$H$7:$H$100,$A177,'24d'!$I$7:$I$100,1)+SUMIFS('24e'!$J$7:$J$100,'24e'!$H$7:$H$100,$A177,'24e'!$I$7:$I$100,1)+SUMIFS('24f'!$J$7:$J$100,'24f'!$H$7:$H$100,$A177,'24f'!$I$7:$I$100,1)+SUMIFS('24g'!$J$7:$J$100,'24g'!$H$7:$H$100,$A177,'24g'!$I$7:$I$100,1)+SUMIFS('24h'!$J$7:$J$100,'24h'!$H$7:$H$100,$A177,'24h'!$I$7:$I$100,1)+SUMIFS('24i'!$J$7:$J$100,'24i'!$H$7:$H$100,$A177,'24i'!$I$7:$I$100,1)+SUMIFS('25'!$J$7:$J$100,'25'!$H$7:$H$100,$A177,'25'!$I$7:$I$100,1)+SUMIFS('26'!$J$7:$J$100,'26'!$H$7:$H$100,$A177,'26'!$I$7:$I$100,1)+SUMIFS('26a'!$J$7:$J$100,'26a'!$H$7:$H$100,$A177,'26a'!$I$7:$I$100,1)+SUMIFS('27'!$J$7:$J$100,'27'!$H$7:$H$100,$A177,'27'!$I$7:$I$100,1)+SUMIFS('27a'!$J$7:$J$100,'27a'!$H$7:$H$100,$A177,'27a'!$I$7:$I$100,1)+SUMIFS('28'!$J$7:$J$100,'28'!$H$7:$H$100,$A177,'28'!$I$7:$I$100,1)+SUMIFS('29'!$J$7:$J$100,'29'!$H$7:$H$100,$A177,'29'!$I$7:$I$100,1)</f>
        <v>11824</v>
      </c>
      <c r="H177" s="1315">
        <f>SUMIFS('12'!$J$7:$J$100,'12'!$H$7:$H$100,$A177,'12'!$I$7:$I$100,2)+SUMIFS('13'!$J$7:$J$100,'13'!$H$7:$H$100,$A177,'13'!$I$7:$I$100,2)+SUMIFS('14'!$J$7:$J$100,'14'!$H$7:$H$100,$A177,'14'!$I$7:$I$100,2)+SUMIFS('15'!$J$7:$J$100,'15'!$H$7:$H$100,$A177,'15'!$I$7:$I$100,2)+SUMIFS('15a'!$J$7:$J$100,'15a'!$H$7:$H$100,$A177,'15a'!$I$7:$I$100,2)+SUMIFS('15b'!$J$7:$J$100,'15b'!$H$7:$H$100,$A177,'15b'!$I$7:$I$100,2)+SUMIFS('15c'!$J$7:$J$100,'15c'!$H$7:$H$100,$A177,'15c'!$I$7:$I$100,2)+SUMIFS('15d'!$J$7:$J$100,'15d'!$H$7:$H$100,$A177,'15d'!$I$7:$I$100,2)+SUMIFS('15e'!$J$7:$J$100,'15e'!$H$7:$H$100,$A177,'15e'!$I$7:$I$100,2)+SUMIFS('15f'!$J$7:$J$100,'15f'!$H$7:$H$100,$A177,'15f'!$I$7:$I$100,2)+SUMIFS('15g'!$J$7:$J$100,'15g'!$H$7:$H$100,$A177,'15g'!$I$7:$I$100,2)+SUMIFS('15h'!$J$7:$J$100,'15h'!$H$7:$H$100,$A177,'15h'!$I$7:$I$100,2)+SUMIFS('15i'!$J$7:$J$100,'15i'!$H$7:$H$100,$A177,'15i'!$I$7:$I$100,2)+SUMIFS('15j'!$J$7:$J$100,'15j'!$H$7:$H$100,$A177,'15j'!$I$7:$I$100,2)+SUMIFS('15k'!$J$7:$J$100,'15k'!$H$7:$H$100,$A177,'15k'!$I$7:$I$100,2)+SUMIFS('15l'!$J$7:$J$100,'15l'!$H$7:$H$100,$A177,'15l'!$I$7:$I$100,2)+SUMIFS('15m'!$J$7:$J$100,'15m'!$H$7:$H$100,$A177,'15m'!$I$7:$I$100,2)+SUMIFS('15n'!$J$7:$J$100,'15n'!$H$7:$H$100,$A177,'15n'!$I$7:$I$100,2)+SUMIFS('16'!$J$7:$J$100,'16'!$H$7:$H$100,$A177,'16'!$I$7:$I$100,2)+SUMIFS('16a'!$J$7:$J$100,'16a'!$H$7:$H$100,$A177,'16a'!$I$7:$I$100,2)+SUMIFS('17'!$J$7:$J$100,'17'!$H$7:$H$100,$A177,'17'!$I$7:$I$100,2)+SUMIFS('17a'!$J$7:$J$100,'17a'!$H$7:$H$100,$A177,'17a'!$I$7:$I$100,2)+SUMIFS('18'!$J$7:$J$100,'18'!$H$7:$H$100,$A177,'18'!$I$7:$I$100,2)+SUMIFS('18a'!$J$7:$J$100,'18a'!$H$7:$H$100,$A177,'18a'!$I$7:$I$100,2)
+SUMIFS('19'!$J$7:$J$100,'19'!$H$7:$H$100,$A177,'19'!$I$7:$I$100,2)+SUMIFS('20'!$J$7:$J$100,'20'!$H$7:$H$100,$A177,'20'!$I$7:$I$100,2)+SUMIFS('20a'!$J$7:$J$100,'20a'!$H$7:$H$100,$A177,'20a'!$I$7:$I$100,2)+SUMIFS('21'!$J$7:$J$100,'21'!$H$7:$H$100,$A177,'21'!$I$7:$I$100,2)+SUMIFS('22'!$J$7:$J$100,'22'!$H$7:$H$100,$A177,'22'!$I$7:$I$100,2)+SUMIFS('22a'!$J$7:$J$100,'22a'!$H$7:$H$100,$A177,'22a'!$I$7:$I$100,2)+SUMIFS('22b'!$J$7:$J$100,'22b'!$H$7:$H$100,$A177,'22b'!$I$7:$I$100,2)+SUMIFS('23'!$J$7:$J$100,'23'!$H$7:$H$100,$A177,'23'!$I$7:$I$100,2)+SUMIFS('24'!$J$7:$J$100,'24'!$H$7:$H$100,$A177,'24'!$I$7:$I$100,2)+SUMIFS('24a'!$J$7:$J$100,'24a'!$H$7:$H$100,$A177,'24a'!$I$7:$I$100,2)+SUMIFS('24b'!$J$7:$J$100,'24b'!$H$7:$H$100,$A177,'24b'!$I$7:$I$100,2)+SUMIFS('24c'!$J$7:$J$100,'24c'!$H$7:$H$100,$A177,'24c'!$I$7:$I$100,2)+SUMIFS('24d'!$J$7:$J$100,'24d'!$H$7:$H$100,$A177,'24d'!$I$7:$I$100,2)+SUMIFS('24e'!$J$7:$J$100,'24e'!$H$7:$H$100,$A177,'24e'!$I$7:$I$100,2)+SUMIFS('24f'!$J$7:$J$100,'24f'!$H$7:$H$100,$A177,'24f'!$I$7:$I$100,2)+SUMIFS('24g'!$J$7:$J$100,'24g'!$H$7:$H$100,$A177,'24g'!$I$7:$I$100,2)+SUMIFS('24h'!$J$7:$J$100,'24h'!$H$7:$H$100,$A177,'24h'!$I$7:$I$100,2)+SUMIFS('24i'!$J$7:$J$100,'24i'!$H$7:$H$100,$A177,'24i'!$I$7:$I$100,2)+SUMIFS('25'!$J$7:$J$100,'25'!$H$7:$H$100,$A177,'25'!$I$7:$I$100,2)+SUMIFS('26'!$J$7:$J$100,'26'!$H$7:$H$100,$A177,'26'!$I$7:$I$100,2)+SUMIFS('26a'!$J$7:$J$100,'26a'!$H$7:$H$100,$A177,'26a'!$I$7:$I$100,2)+SUMIFS('27'!$J$7:$J$100,'27'!$H$7:$H$100,$A177,'27'!$I$7:$I$100,2)+SUMIFS('27a'!$J$7:$J$100,'27a'!$H$7:$H$100,$A177,'27a'!$I$7:$I$100,2)+SUMIFS('28'!$J$7:$J$100,'28'!$H$7:$H$100,$A177,'28'!$I$7:$I$100,2)+SUMIFS('29'!$J$7:$J$100,'29'!$H$7:$H$100,$A177,'29'!$I$7:$I$100,2)</f>
        <v>3575</v>
      </c>
      <c r="I177" s="1315">
        <f>SUMIFS('12'!$J$7:$J$100,'12'!$H$7:$H$100,$A177,'12'!$I$7:$I$100,"")+SUMIFS('13'!$J$7:$J$100,'13'!$H$7:$H$100,$A177,'13'!$I$7:$I$100,"")+SUMIFS('14'!$J$7:$J$100,'14'!$H$7:$H$100,$A177,'14'!$I$7:$I$100,"")+SUMIFS('15'!$J$7:$J$100,'15'!$H$7:$H$100,$A177,'15'!$I$7:$I$100,"")+SUMIFS('15a'!$J$7:$J$100,'15a'!$H$7:$H$100,$A177,'15a'!$I$7:$I$100,"")+SUMIFS('15b'!$J$7:$J$100,'15b'!$H$7:$H$100,$A177,'15b'!$I$7:$I$100,"")+SUMIFS('15c'!$J$7:$J$100,'15c'!$H$7:$H$100,$A177,'15c'!$I$7:$I$100,"")+SUMIFS('15d'!$J$7:$J$100,'15d'!$H$7:$H$100,$A177,'15d'!$I$7:$I$100,"")+SUMIFS('15e'!$J$7:$J$100,'15e'!$H$7:$H$100,$A177,'15e'!$I$7:$I$100,"")+SUMIFS('15f'!$J$7:$J$100,'15f'!$H$7:$H$100,$A177,'15f'!$I$7:$I$100,"")+SUMIFS('15g'!$J$7:$J$100,'15g'!$H$7:$H$100,$A177,'15g'!$I$7:$I$100,"")+SUMIFS('15h'!$J$7:$J$100,'15h'!$H$7:$H$100,$A177,'15h'!$I$7:$I$100,"")+SUMIFS('15i'!$J$7:$J$100,'15i'!$H$7:$H$100,$A177,'15i'!$I$7:$I$100,"")+SUMIFS('15j'!$J$7:$J$100,'15j'!$H$7:$H$100,$A177,'15j'!$I$7:$I$100,"")+SUMIFS('15k'!$J$7:$J$100,'15k'!$H$7:$H$100,$A177,'15k'!$I$7:$I$100,"")+SUMIFS('15l'!$J$7:$J$100,'15l'!$H$7:$H$100,$A177,'15l'!$I$7:$I$100,"")+SUMIFS('15m'!$J$7:$J$100,'15m'!$H$7:$H$100,$A177,'15m'!$I$7:$I$100,"")+SUMIFS('15n'!$J$7:$J$100,'15n'!$H$7:$H$100,$A177,'15n'!$I$7:$I$100,"")+SUMIFS('16'!$J$7:$J$100,'16'!$H$7:$H$100,$A177,'16'!$I$7:$I$100,"")+SUMIFS('16a'!$J$7:$J$100,'16a'!$H$7:$H$100,$A177,'16a'!$I$7:$I$100,"")+SUMIFS('17'!$J$7:$J$100,'17'!$H$7:$H$100,$A177,'17'!$I$7:$I$100,"")+SUMIFS('17a'!$J$7:$J$100,'17a'!$H$7:$H$100,$A177,'17a'!$I$7:$I$100,"")+SUMIFS('18'!$J$7:$J$100,'18'!$H$7:$H$100,$A177,'18'!$I$7:$I$100,"")+SUMIFS('18a'!$J$7:$J$100,'18a'!$H$7:$H$100,$A177,'18a'!$I$7:$I$100,"")
+SUMIFS('19'!$J$7:$J$100,'19'!$H$7:$H$100,$A177,'19'!$I$7:$I$100,"")+SUMIFS('20'!$J$7:$J$100,'20'!$H$7:$H$100,$A177,'20'!$I$7:$I$100,"")+SUMIFS('20a'!$J$7:$J$100,'20a'!$H$7:$H$100,$A177,'20a'!$I$7:$I$100,"")+SUMIFS('21'!$J$7:$J$100,'21'!$H$7:$H$100,$A177,'21'!$I$7:$I$100,"")+SUMIFS('22'!$J$7:$J$100,'22'!$H$7:$H$100,$A177,'22'!$I$7:$I$100,"")+SUMIFS('22a'!$J$7:$J$100,'22a'!$H$7:$H$100,$A177,'22a'!$I$7:$I$100,"")+SUMIFS('22b'!$J$7:$J$100,'22b'!$H$7:$H$100,$A177,'22b'!$I$7:$I$100,"")+SUMIFS('23'!$J$7:$J$100,'23'!$H$7:$H$100,$A177,'23'!$I$7:$I$100,"")+SUMIFS('24'!$J$7:$J$100,'24'!$H$7:$H$100,$A177,'24'!$I$7:$I$100,"")+SUMIFS('24a'!$J$7:$J$100,'24a'!$H$7:$H$100,$A177,'24a'!$I$7:$I$100,"")+SUMIFS('24b'!$J$7:$J$100,'24b'!$H$7:$H$100,$A177,'24b'!$I$7:$I$100,"")+SUMIFS('24c'!$J$7:$J$100,'24c'!$H$7:$H$100,$A177,'24c'!$I$7:$I$100,"")+SUMIFS('24d'!$J$7:$J$100,'24d'!$H$7:$H$100,$A177,'24d'!$I$7:$I$100,"")+SUMIFS('24e'!$J$7:$J$100,'24e'!$H$7:$H$100,$A177,'24e'!$I$7:$I$100,"")+SUMIFS('24f'!$J$7:$J$100,'24f'!$H$7:$H$100,$A177,'24f'!$I$7:$I$100,"")+SUMIFS('24g'!$J$7:$J$100,'24g'!$H$7:$H$100,$A177,'24g'!$I$7:$I$100,"")+SUMIFS('24h'!$J$7:$J$100,'24h'!$H$7:$H$100,$A177,'24h'!$I$7:$I$100,"")+SUMIFS('24i'!$J$7:$J$100,'24i'!$H$7:$H$100,$A177,'24i'!$I$7:$I$100,"")+SUMIFS('25'!$J$7:$J$100,'25'!$H$7:$H$100,$A177,'25'!$I$7:$I$100,"")+SUMIFS('26'!$J$7:$J$100,'26'!$H$7:$H$100,$A177,'26'!$I$7:$I$100,"")+SUMIFS('26a'!$J$7:$J$100,'26a'!$H$7:$H$100,$A177,'26a'!$I$7:$I$100,"")+SUMIFS('27'!$J$7:$J$100,'27'!$H$7:$H$100,$A177,'27'!$I$7:$I$100,"")+SUMIFS('27a'!$J$7:$J$100,'27a'!$H$7:$H$100,$A177,'27a'!$I$7:$I$100,"")+SUMIFS('28'!$J$7:$J$100,'28'!$H$7:$H$100,$A177,'28'!$I$7:$I$100,"")+SUMIFS('29'!$J$7:$J$100,'29'!$H$7:$H$100,$A177,'29'!$I$7:$I$100,"")</f>
        <v>0</v>
      </c>
      <c r="J177" s="1296">
        <f t="shared" si="5"/>
        <v>15399</v>
      </c>
      <c r="K177"/>
      <c r="L177"/>
      <c r="M177"/>
      <c r="N177"/>
      <c r="O177"/>
      <c r="P177"/>
      <c r="Q177"/>
      <c r="R177"/>
      <c r="S177" s="1307">
        <f t="shared" si="2"/>
        <v>56285.84</v>
      </c>
      <c r="T177"/>
    </row>
    <row r="178" spans="1:20" x14ac:dyDescent="0.2">
      <c r="A178" t="s">
        <v>5114</v>
      </c>
      <c r="B178" t="s">
        <v>5468</v>
      </c>
      <c r="C178" s="1295">
        <f>SUMIFS('12'!$N$7:$N$100,'12'!$H$7:$H$100,$A178,'12'!$I$7:$I$100,1)+SUMIFS('13'!$N$7:$N$100,'13'!$H$7:$H$100,$A178,'13'!$I$7:$I$100,1)+SUMIFS('14'!$N$7:$N$100,'14'!$H$7:$H$100,$A178,'14'!$I$7:$I$100,1)+SUMIFS('15'!$N$7:$N$100,'15'!$H$7:$H$100,$A178,'15'!$I$7:$I$100,1)+SUMIFS('15a'!$N$7:$N$100,'15a'!$H$7:$H$100,$A178,'15a'!$I$7:$I$100,1)+SUMIFS('15b'!$N$7:$N$100,'15b'!$H$7:$H$100,$A178,'15b'!$I$7:$I$100,1)+SUMIFS('15c'!$N$7:$N$100,'15c'!$H$7:$H$100,$A178,'15c'!$I$7:$I$100,1)+SUMIFS('15d'!$N$7:$N$100,'15d'!$H$7:$H$100,$A178,'15d'!$I$7:$I$100,1)+SUMIFS('15e'!$N$7:$N$100,'15e'!$H$7:$H$100,$A178,'15e'!$I$7:$I$100,1)+SUMIFS('15f'!$N$7:$N$100,'15f'!$H$7:$H$100,$A178,'15f'!$I$7:$I$100,1)+SUMIFS('15g'!$N$7:$N$100,'15g'!$H$7:$H$100,$A178,'15g'!$I$7:$I$100,1)+SUMIFS('15h'!$N$7:$N$100,'15h'!$H$7:$H$100,$A178,'15h'!$I$7:$I$100,1)+SUMIFS('15i'!$N$7:$N$100,'15i'!$H$7:$H$100,$A178,'15i'!$I$7:$I$100,1)+SUMIFS('15j'!$N$7:$N$100,'15j'!$H$7:$H$100,$A178,'15j'!$I$7:$I$100,1)+SUMIFS('15k'!$N$7:$N$100,'15k'!$H$7:$H$100,$A178,'15k'!$I$7:$I$100,1)+SUMIFS('15l'!$N$7:$N$100,'15l'!$H$7:$H$100,$A178,'15l'!$I$7:$I$100,1)+SUMIFS('15m'!$N$7:$N$100,'15m'!$H$7:$H$100,$A178,'15m'!$I$7:$I$100,1)+SUMIFS('15n'!$N$7:$N$100,'15n'!$H$7:$H$100,$A178,'15n'!$I$7:$I$100,1)+SUMIFS('16'!$N$7:$N$100,'16'!$H$7:$H$100,$A178,'16'!$I$7:$I$100,1)+SUMIFS('16a'!$N$7:$N$100,'16a'!$H$7:$H$100,$A178,'16a'!$I$7:$I$100,1)+SUMIFS('17'!$N$7:$N$100,'17'!$H$7:$H$100,$A178,'17'!$I$7:$I$100,1)+SUMIFS('17a'!$N$7:$N$100,'17a'!$H$7:$H$100,$A178,'17a'!$I$7:$I$100,1)+SUMIFS('18'!$N$7:$N$100,'18'!$H$7:$H$100,$A178,'18'!$I$7:$I$100,1)+SUMIFS('18a'!$N$7:$N$100,'18a'!$H$7:$H$100,$A178,'18a'!$I$7:$I$100,1)
+SUMIFS('19'!$N$7:$N$100,'19'!$H$7:$H$100,$A178,'19'!$I$7:$I$100,1)+SUMIFS('20'!$N$7:$N$100,'20'!$H$7:$H$100,$A178,'20'!$I$7:$I$100,1)+SUMIFS('20a'!$N$7:$N$100,'20a'!$H$7:$H$100,$A178,'20a'!$I$7:$I$100,1)+SUMIFS('21'!$N$7:$N$100,'21'!$H$7:$H$100,$A178,'21'!$I$7:$I$100,1)+SUMIFS('22'!$N$7:$N$100,'22'!$H$7:$H$100,$A178,'22'!$I$7:$I$100,1)+SUMIFS('22a'!$N$7:$N$100,'22a'!$H$7:$H$100,$A178,'22a'!$I$7:$I$100,1)+SUMIFS('22b'!$N$7:$N$100,'22b'!$H$7:$H$100,$A178,'22b'!$I$7:$I$100,1)+SUMIFS('23'!$N$7:$N$100,'23'!$H$7:$H$100,$A178,'23'!$I$7:$I$100,1)+SUMIFS('24'!$N$7:$N$100,'24'!$H$7:$H$100,$A178,'24'!$I$7:$I$100,1)+SUMIFS('24a'!$N$7:$N$100,'24a'!$H$7:$H$100,$A178,'24a'!$I$7:$I$100,1)+SUMIFS('24b'!$N$7:$N$100,'24b'!$H$7:$H$100,$A178,'24b'!$I$7:$I$100,1)+SUMIFS('24c'!$N$7:$N$100,'24c'!$H$7:$H$100,$A178,'24c'!$I$7:$I$100,1)+SUMIFS('24d'!$N$7:$N$100,'24d'!$H$7:$H$100,$A178,'24d'!$I$7:$I$100,1)+SUMIFS('24e'!$N$7:$N$100,'24e'!$H$7:$H$100,$A178,'24e'!$I$7:$I$100,1)+SUMIFS('24f'!$N$7:$N$100,'24f'!$H$7:$H$100,$A178,'24f'!$I$7:$I$100,1)+SUMIFS('24g'!$N$7:$N$100,'24g'!$H$7:$H$100,$A178,'24g'!$I$7:$I$100,1)+SUMIFS('24h'!$N$7:$N$100,'24h'!$H$7:$H$100,$A178,'24h'!$I$7:$I$100,1)+SUMIFS('24i'!$N$7:$N$100,'24i'!$H$7:$H$100,$A178,'24i'!$I$7:$I$100,1)+SUMIFS('25'!$N$7:$N$100,'25'!$H$7:$H$100,$A178,'25'!$I$7:$I$100,1)+SUMIFS('26'!$N$7:$N$100,'26'!$H$7:$H$100,$A178,'26'!$I$7:$I$100,1)+SUMIFS('26a'!$N$7:$N$100,'26a'!$H$7:$H$100,$A178,'26a'!$I$7:$I$100,1)+SUMIFS('27'!$N$7:$N$100,'27'!$H$7:$H$100,$A178,'27'!$I$7:$I$100,1)+SUMIFS('27a'!$N$7:$N$100,'27a'!$H$7:$H$100,$A178,'27a'!$I$7:$I$100,1)+SUMIFS('28'!$N$7:$N$100,'28'!$H$7:$H$100,$A178,'28'!$I$7:$I$100,1)+SUMIFS('29'!$N$7:$N$100,'29'!$H$7:$H$100,$A178,'29'!$I$7:$I$100,1)</f>
        <v>0</v>
      </c>
      <c r="D178" s="1315">
        <f>SUMIFS('12'!$N$7:$N$100,'12'!$H$7:$H$100,$A178,'12'!$I$7:$I$100,2)+SUMIFS('13'!$N$7:$N$100,'13'!$H$7:$H$100,$A178,'13'!$I$7:$I$100,2)+SUMIFS('14'!$N$7:$N$100,'14'!$H$7:$H$100,$A178,'14'!$I$7:$I$100,2)+SUMIFS('15'!$N$7:$N$100,'15'!$H$7:$H$100,$A178,'15'!$I$7:$I$100,2)+SUMIFS('15a'!$N$7:$N$100,'15a'!$H$7:$H$100,$A178,'15a'!$I$7:$I$100,2)+SUMIFS('15b'!$N$7:$N$100,'15b'!$H$7:$H$100,$A178,'15b'!$I$7:$I$100,2)+SUMIFS('15c'!$N$7:$N$100,'15c'!$H$7:$H$100,$A178,'15c'!$I$7:$I$100,2)+SUMIFS('15d'!$N$7:$N$100,'15d'!$H$7:$H$100,$A178,'15d'!$I$7:$I$100,2)+SUMIFS('15e'!$N$7:$N$100,'15e'!$H$7:$H$100,$A178,'15e'!$I$7:$I$100,2)+SUMIFS('15f'!$N$7:$N$100,'15f'!$H$7:$H$100,$A178,'15f'!$I$7:$I$100,2)+SUMIFS('15g'!$N$7:$N$100,'15g'!$H$7:$H$100,$A178,'15g'!$I$7:$I$100,2)+SUMIFS('15h'!$N$7:$N$100,'15h'!$H$7:$H$100,$A178,'15h'!$I$7:$I$100,2)+SUMIFS('15i'!$N$7:$N$100,'15i'!$H$7:$H$100,$A178,'15i'!$I$7:$I$100,2)+SUMIFS('15j'!$N$7:$N$100,'15j'!$H$7:$H$100,$A178,'15j'!$I$7:$I$100,2)+SUMIFS('15k'!$N$7:$N$100,'15k'!$H$7:$H$100,$A178,'15k'!$I$7:$I$100,2)+SUMIFS('15l'!$N$7:$N$100,'15l'!$H$7:$H$100,$A178,'15l'!$I$7:$I$100,2)+SUMIFS('15m'!$N$7:$N$100,'15m'!$H$7:$H$100,$A178,'15m'!$I$7:$I$100,2)+SUMIFS('15n'!$N$7:$N$100,'15n'!$H$7:$H$100,$A178,'15n'!$I$7:$I$100,2)+SUMIFS('16'!$N$7:$N$100,'16'!$H$7:$H$100,$A178,'16'!$I$7:$I$100,2)+SUMIFS('16a'!$N$7:$N$100,'16a'!$H$7:$H$100,$A178,'16a'!$I$7:$I$100,2)+SUMIFS('17'!$N$7:$N$100,'17'!$H$7:$H$100,$A178,'17'!$I$7:$I$100,2)+SUMIFS('17a'!$N$7:$N$100,'17a'!$H$7:$H$100,$A178,'17a'!$I$7:$I$100,2)+SUMIFS('18'!$N$7:$N$100,'18'!$H$7:$H$100,$A178,'18'!$I$7:$I$100,2)+SUMIFS('18a'!$N$7:$N$100,'18a'!$H$7:$H$100,$A178,'18a'!$I$7:$I$100,2)
+SUMIFS('19'!$N$7:$N$100,'19'!$H$7:$H$100,$A178,'19'!$I$7:$I$100,2)+SUMIFS('20'!$N$7:$N$100,'20'!$H$7:$H$100,$A178,'20'!$I$7:$I$100,2)+SUMIFS('20a'!$N$7:$N$100,'20a'!$H$7:$H$100,$A178,'20a'!$I$7:$I$100,2)+SUMIFS('21'!$N$7:$N$100,'21'!$H$7:$H$100,$A178,'21'!$I$7:$I$100,2)+SUMIFS('22'!$N$7:$N$100,'22'!$H$7:$H$100,$A178,'22'!$I$7:$I$100,2)+SUMIFS('22a'!$N$7:$N$100,'22a'!$H$7:$H$100,$A178,'22a'!$I$7:$I$100,2)+SUMIFS('22b'!$N$7:$N$100,'22b'!$H$7:$H$100,$A178,'22b'!$I$7:$I$100,2)+SUMIFS('23'!$N$7:$N$100,'23'!$H$7:$H$100,$A178,'23'!$I$7:$I$100,2)+SUMIFS('24'!$N$7:$N$100,'24'!$H$7:$H$100,$A178,'24'!$I$7:$I$100,2)+SUMIFS('24a'!$N$7:$N$100,'24a'!$H$7:$H$100,$A178,'24a'!$I$7:$I$100,2)+SUMIFS('24b'!$N$7:$N$100,'24b'!$H$7:$H$100,$A178,'24b'!$I$7:$I$100,2)+SUMIFS('24c'!$N$7:$N$100,'24c'!$H$7:$H$100,$A178,'24c'!$I$7:$I$100,2)+SUMIFS('24d'!$N$7:$N$100,'24d'!$H$7:$H$100,$A178,'24d'!$I$7:$I$100,2)+SUMIFS('24e'!$N$7:$N$100,'24e'!$H$7:$H$100,$A178,'24e'!$I$7:$I$100,2)+SUMIFS('24f'!$N$7:$N$100,'24f'!$H$7:$H$100,$A178,'24f'!$I$7:$I$100,2)+SUMIFS('24g'!$N$7:$N$100,'24g'!$H$7:$H$100,$A178,'24g'!$I$7:$I$100,2)+SUMIFS('24h'!$N$7:$N$100,'24h'!$H$7:$H$100,$A178,'24h'!$I$7:$I$100,2)+SUMIFS('24i'!$N$7:$N$100,'24i'!$H$7:$H$100,$A178,'24i'!$I$7:$I$100,2)+SUMIFS('25'!$N$7:$N$100,'25'!$H$7:$H$100,$A178,'25'!$I$7:$I$100,2)+SUMIFS('26'!$N$7:$N$100,'26'!$H$7:$H$100,$A178,'26'!$I$7:$I$100,2)+SUMIFS('26a'!$N$7:$N$100,'26a'!$H$7:$H$100,$A178,'26a'!$I$7:$I$100,2)+SUMIFS('27'!$N$7:$N$100,'27'!$H$7:$H$100,$A178,'27'!$I$7:$I$100,2)+SUMIFS('27a'!$N$7:$N$100,'27a'!$H$7:$H$100,$A178,'27a'!$I$7:$I$100,2)+SUMIFS('28'!$N$7:$N$100,'28'!$H$7:$H$100,$A178,'28'!$I$7:$I$100,2)+SUMIFS('29'!$N$7:$N$100,'29'!$H$7:$H$100,$A178,'29'!$I$7:$I$100,2)</f>
        <v>20175</v>
      </c>
      <c r="E178" s="1315">
        <f>SUMIFS('12'!$N$7:$N$100,'12'!$H$7:$H$100,$A178,'12'!$I$7:$I$100,"")+SUMIFS('13'!$N$7:$N$100,'13'!$H$7:$H$100,$A178,'13'!$I$7:$I$100,"")+SUMIFS('14'!$N$7:$N$100,'14'!$H$7:$H$100,$A178,'14'!$I$7:$I$100,"")+SUMIFS('15'!$N$7:$N$100,'15'!$H$7:$H$100,$A178,'15'!$I$7:$I$100,"")+SUMIFS('15a'!$N$7:$N$100,'15a'!$H$7:$H$100,$A178,'15a'!$I$7:$I$100,"")+SUMIFS('15b'!$N$7:$N$100,'15b'!$H$7:$H$100,$A178,'15b'!$I$7:$I$100,"")+SUMIFS('15c'!$N$7:$N$100,'15c'!$H$7:$H$100,$A178,'15c'!$I$7:$I$100,"")+SUMIFS('15d'!$N$7:$N$100,'15d'!$H$7:$H$100,$A178,'15d'!$I$7:$I$100,"")+SUMIFS('15e'!$N$7:$N$100,'15e'!$H$7:$H$100,$A178,'15e'!$I$7:$I$100,"")+SUMIFS('15f'!$N$7:$N$100,'15f'!$H$7:$H$100,$A178,'15f'!$I$7:$I$100,"")+SUMIFS('15g'!$N$7:$N$100,'15g'!$H$7:$H$100,$A178,'15g'!$I$7:$I$100,"")+SUMIFS('15h'!$N$7:$N$100,'15h'!$H$7:$H$100,$A178,'15h'!$I$7:$I$100,"")+SUMIFS('15i'!$N$7:$N$100,'15i'!$H$7:$H$100,$A178,'15i'!$I$7:$I$100,"")+SUMIFS('15j'!$N$7:$N$100,'15j'!$H$7:$H$100,$A178,'15j'!$I$7:$I$100,"")+SUMIFS('15k'!$N$7:$N$100,'15k'!$H$7:$H$100,$A178,'15k'!$I$7:$I$100,"")+SUMIFS('15l'!$N$7:$N$100,'15l'!$H$7:$H$100,$A178,'15l'!$I$7:$I$100,"")+SUMIFS('15m'!$N$7:$N$100,'15m'!$H$7:$H$100,$A178,'15m'!$I$7:$I$100,"")+SUMIFS('15n'!$N$7:$N$100,'15n'!$H$7:$H$100,$A178,'15n'!$I$7:$I$100,"")+SUMIFS('16'!$N$7:$N$100,'16'!$H$7:$H$100,$A178,'16'!$I$7:$I$100,"")+SUMIFS('16a'!$N$7:$N$100,'16a'!$H$7:$H$100,$A178,'16a'!$I$7:$I$100,"")+SUMIFS('17'!$N$7:$N$100,'17'!$H$7:$H$100,$A178,'17'!$I$7:$I$100,"")+SUMIFS('17a'!$N$7:$N$100,'17a'!$H$7:$H$100,$A178,'17a'!$I$7:$I$100,"")+SUMIFS('18'!$N$7:$N$100,'18'!$H$7:$H$100,$A178,'18'!$I$7:$I$100,"")+SUMIFS('18a'!$N$7:$N$100,'18a'!$H$7:$H$100,$A178,'18a'!$I$7:$I$100,"")
+SUMIFS('19'!$N$7:$N$100,'19'!$H$7:$H$100,$A178,'19'!$I$7:$I$100,"")+SUMIFS('20'!$N$7:$N$100,'20'!$H$7:$H$100,$A178,'20'!$I$7:$I$100,"")+SUMIFS('20a'!$N$7:$N$100,'20a'!$H$7:$H$100,$A178,'20a'!$I$7:$I$100,"")+SUMIFS('21'!$N$7:$N$100,'21'!$H$7:$H$100,$A178,'21'!$I$7:$I$100,"")+SUMIFS('22'!$N$7:$N$100,'22'!$H$7:$H$100,$A178,'22'!$I$7:$I$100,"")+SUMIFS('22a'!$N$7:$N$100,'22a'!$H$7:$H$100,$A178,'22a'!$I$7:$I$100,"")+SUMIFS('22b'!$N$7:$N$100,'22b'!$H$7:$H$100,$A178,'22b'!$I$7:$I$100,"")+SUMIFS('23'!$N$7:$N$100,'23'!$H$7:$H$100,$A178,'23'!$I$7:$I$100,"")+SUMIFS('24'!$N$7:$N$100,'24'!$H$7:$H$100,$A178,'24'!$I$7:$I$100,"")+SUMIFS('24a'!$N$7:$N$100,'24a'!$H$7:$H$100,$A178,'24a'!$I$7:$I$100,"")+SUMIFS('24b'!$N$7:$N$100,'24b'!$H$7:$H$100,$A178,'24b'!$I$7:$I$100,"")+SUMIFS('24c'!$N$7:$N$100,'24c'!$H$7:$H$100,$A178,'24c'!$I$7:$I$100,"")+SUMIFS('24d'!$N$7:$N$100,'24d'!$H$7:$H$100,$A178,'24d'!$I$7:$I$100,"")+SUMIFS('24e'!$N$7:$N$100,'24e'!$H$7:$H$100,$A178,'24e'!$I$7:$I$100,"")+SUMIFS('24f'!$N$7:$N$100,'24f'!$H$7:$H$100,$A178,'24f'!$I$7:$I$100,"")+SUMIFS('24g'!$N$7:$N$100,'24g'!$H$7:$H$100,$A178,'24g'!$I$7:$I$100,"")+SUMIFS('24h'!$N$7:$N$100,'24h'!$H$7:$H$100,$A178,'24h'!$I$7:$I$100,"")+SUMIFS('24i'!$N$7:$N$100,'24i'!$H$7:$H$100,$A178,'24i'!$I$7:$I$100,"")+SUMIFS('25'!$N$7:$N$100,'25'!$H$7:$H$100,$A178,'25'!$I$7:$I$100,"")+SUMIFS('26'!$N$7:$N$100,'26'!$H$7:$H$100,$A178,'26'!$I$7:$I$100,"")+SUMIFS('26a'!$N$7:$N$100,'26a'!$H$7:$H$100,$A178,'26a'!$I$7:$I$100,"")+SUMIFS('27'!$N$7:$N$100,'27'!$H$7:$H$100,$A178,'27'!$I$7:$I$100,"")+SUMIFS('27a'!$N$7:$N$100,'27a'!$H$7:$H$100,$A178,'27a'!$I$7:$I$100,"")+SUMIFS('28'!$N$7:$N$100,'28'!$H$7:$H$100,$A178,'28'!$I$7:$I$100,"")+SUMIFS('29'!$N$7:$N$100,'29'!$H$7:$H$100,$A178,'29'!$I$7:$I$100,"")</f>
        <v>0</v>
      </c>
      <c r="F178" s="1296">
        <f t="shared" si="4"/>
        <v>20175</v>
      </c>
      <c r="G178" s="1295">
        <f>SUMIFS('12'!$J$7:$J$100,'12'!$H$7:$H$100,$A178,'12'!$I$7:$I$100,1)+SUMIFS('13'!$J$7:$J$100,'13'!$H$7:$H$100,$A178,'13'!$I$7:$I$100,1)+SUMIFS('14'!$J$7:$J$100,'14'!$H$7:$H$100,$A178,'14'!$I$7:$I$100,1)+SUMIFS('15'!$J$7:$J$100,'15'!$H$7:$H$100,$A178,'15'!$I$7:$I$100,1)+SUMIFS('15a'!$J$7:$J$100,'15a'!$H$7:$H$100,$A178,'15a'!$I$7:$I$100,1)+SUMIFS('15b'!$J$7:$J$100,'15b'!$H$7:$H$100,$A178,'15b'!$I$7:$I$100,1)+SUMIFS('15c'!$J$7:$J$100,'15c'!$H$7:$H$100,$A178,'15c'!$I$7:$I$100,1)+SUMIFS('15d'!$J$7:$J$100,'15d'!$H$7:$H$100,$A178,'15d'!$I$7:$I$100,1)+SUMIFS('15e'!$J$7:$J$100,'15e'!$H$7:$H$100,$A178,'15e'!$I$7:$I$100,1)+SUMIFS('15f'!$J$7:$J$100,'15f'!$H$7:$H$100,$A178,'15f'!$I$7:$I$100,1)+SUMIFS('15g'!$J$7:$J$100,'15g'!$H$7:$H$100,$A178,'15g'!$I$7:$I$100,1)+SUMIFS('15h'!$J$7:$J$100,'15h'!$H$7:$H$100,$A178,'15h'!$I$7:$I$100,1)+SUMIFS('15i'!$J$7:$J$100,'15i'!$H$7:$H$100,$A178,'15i'!$I$7:$I$100,1)+SUMIFS('15j'!$J$7:$J$100,'15j'!$H$7:$H$100,$A178,'15j'!$I$7:$I$100,1)+SUMIFS('15k'!$J$7:$J$100,'15k'!$H$7:$H$100,$A178,'15k'!$I$7:$I$100,1)+SUMIFS('15l'!$J$7:$J$100,'15l'!$H$7:$H$100,$A178,'15l'!$I$7:$I$100,1)+SUMIFS('15m'!$J$7:$J$100,'15m'!$H$7:$H$100,$A178,'15m'!$I$7:$I$100,1)+SUMIFS('15n'!$J$7:$J$100,'15n'!$H$7:$H$100,$A178,'15n'!$I$7:$I$100,1)+SUMIFS('16'!$J$7:$J$100,'16'!$H$7:$H$100,$A178,'16'!$I$7:$I$100,1)+SUMIFS('16a'!$J$7:$J$100,'16a'!$H$7:$H$100,$A178,'16a'!$I$7:$I$100,1)+SUMIFS('17'!$J$7:$J$100,'17'!$H$7:$H$100,$A178,'17'!$I$7:$I$100,1)+SUMIFS('17a'!$J$7:$J$100,'17a'!$H$7:$H$100,$A178,'17a'!$I$7:$I$100,1)+SUMIFS('18'!$J$7:$J$100,'18'!$H$7:$H$100,$A178,'18'!$I$7:$I$100,1)+SUMIFS('18a'!$J$7:$J$100,'18a'!$H$7:$H$100,$A178,'18a'!$I$7:$I$100,1)
+SUMIFS('19'!$J$7:$J$100,'19'!$H$7:$H$100,$A178,'19'!$I$7:$I$100,1)+SUMIFS('20'!$J$7:$J$100,'20'!$H$7:$H$100,$A178,'20'!$I$7:$I$100,1)+SUMIFS('20a'!$J$7:$J$100,'20a'!$H$7:$H$100,$A178,'20a'!$I$7:$I$100,1)+SUMIFS('21'!$J$7:$J$100,'21'!$H$7:$H$100,$A178,'21'!$I$7:$I$100,1)+SUMIFS('22'!$J$7:$J$100,'22'!$H$7:$H$100,$A178,'22'!$I$7:$I$100,1)+SUMIFS('22a'!$J$7:$J$100,'22a'!$H$7:$H$100,$A178,'22a'!$I$7:$I$100,1)+SUMIFS('22b'!$J$7:$J$100,'22b'!$H$7:$H$100,$A178,'22b'!$I$7:$I$100,1)+SUMIFS('23'!$J$7:$J$100,'23'!$H$7:$H$100,$A178,'23'!$I$7:$I$100,1)+SUMIFS('24'!$J$7:$J$100,'24'!$H$7:$H$100,$A178,'24'!$I$7:$I$100,1)+SUMIFS('24a'!$J$7:$J$100,'24a'!$H$7:$H$100,$A178,'24a'!$I$7:$I$100,1)+SUMIFS('24b'!$J$7:$J$100,'24b'!$H$7:$H$100,$A178,'24b'!$I$7:$I$100,1)+SUMIFS('24c'!$J$7:$J$100,'24c'!$H$7:$H$100,$A178,'24c'!$I$7:$I$100,1)+SUMIFS('24d'!$J$7:$J$100,'24d'!$H$7:$H$100,$A178,'24d'!$I$7:$I$100,1)+SUMIFS('24e'!$J$7:$J$100,'24e'!$H$7:$H$100,$A178,'24e'!$I$7:$I$100,1)+SUMIFS('24f'!$J$7:$J$100,'24f'!$H$7:$H$100,$A178,'24f'!$I$7:$I$100,1)+SUMIFS('24g'!$J$7:$J$100,'24g'!$H$7:$H$100,$A178,'24g'!$I$7:$I$100,1)+SUMIFS('24h'!$J$7:$J$100,'24h'!$H$7:$H$100,$A178,'24h'!$I$7:$I$100,1)+SUMIFS('24i'!$J$7:$J$100,'24i'!$H$7:$H$100,$A178,'24i'!$I$7:$I$100,1)+SUMIFS('25'!$J$7:$J$100,'25'!$H$7:$H$100,$A178,'25'!$I$7:$I$100,1)+SUMIFS('26'!$J$7:$J$100,'26'!$H$7:$H$100,$A178,'26'!$I$7:$I$100,1)+SUMIFS('26a'!$J$7:$J$100,'26a'!$H$7:$H$100,$A178,'26a'!$I$7:$I$100,1)+SUMIFS('27'!$J$7:$J$100,'27'!$H$7:$H$100,$A178,'27'!$I$7:$I$100,1)+SUMIFS('27a'!$J$7:$J$100,'27a'!$H$7:$H$100,$A178,'27a'!$I$7:$I$100,1)+SUMIFS('28'!$J$7:$J$100,'28'!$H$7:$H$100,$A178,'28'!$I$7:$I$100,1)+SUMIFS('29'!$J$7:$J$100,'29'!$H$7:$H$100,$A178,'29'!$I$7:$I$100,1)</f>
        <v>0</v>
      </c>
      <c r="H178" s="1315">
        <f>SUMIFS('12'!$J$7:$J$100,'12'!$H$7:$H$100,$A178,'12'!$I$7:$I$100,2)+SUMIFS('13'!$J$7:$J$100,'13'!$H$7:$H$100,$A178,'13'!$I$7:$I$100,2)+SUMIFS('14'!$J$7:$J$100,'14'!$H$7:$H$100,$A178,'14'!$I$7:$I$100,2)+SUMIFS('15'!$J$7:$J$100,'15'!$H$7:$H$100,$A178,'15'!$I$7:$I$100,2)+SUMIFS('15a'!$J$7:$J$100,'15a'!$H$7:$H$100,$A178,'15a'!$I$7:$I$100,2)+SUMIFS('15b'!$J$7:$J$100,'15b'!$H$7:$H$100,$A178,'15b'!$I$7:$I$100,2)+SUMIFS('15c'!$J$7:$J$100,'15c'!$H$7:$H$100,$A178,'15c'!$I$7:$I$100,2)+SUMIFS('15d'!$J$7:$J$100,'15d'!$H$7:$H$100,$A178,'15d'!$I$7:$I$100,2)+SUMIFS('15e'!$J$7:$J$100,'15e'!$H$7:$H$100,$A178,'15e'!$I$7:$I$100,2)+SUMIFS('15f'!$J$7:$J$100,'15f'!$H$7:$H$100,$A178,'15f'!$I$7:$I$100,2)+SUMIFS('15g'!$J$7:$J$100,'15g'!$H$7:$H$100,$A178,'15g'!$I$7:$I$100,2)+SUMIFS('15h'!$J$7:$J$100,'15h'!$H$7:$H$100,$A178,'15h'!$I$7:$I$100,2)+SUMIFS('15i'!$J$7:$J$100,'15i'!$H$7:$H$100,$A178,'15i'!$I$7:$I$100,2)+SUMIFS('15j'!$J$7:$J$100,'15j'!$H$7:$H$100,$A178,'15j'!$I$7:$I$100,2)+SUMIFS('15k'!$J$7:$J$100,'15k'!$H$7:$H$100,$A178,'15k'!$I$7:$I$100,2)+SUMIFS('15l'!$J$7:$J$100,'15l'!$H$7:$H$100,$A178,'15l'!$I$7:$I$100,2)+SUMIFS('15m'!$J$7:$J$100,'15m'!$H$7:$H$100,$A178,'15m'!$I$7:$I$100,2)+SUMIFS('15n'!$J$7:$J$100,'15n'!$H$7:$H$100,$A178,'15n'!$I$7:$I$100,2)+SUMIFS('16'!$J$7:$J$100,'16'!$H$7:$H$100,$A178,'16'!$I$7:$I$100,2)+SUMIFS('16a'!$J$7:$J$100,'16a'!$H$7:$H$100,$A178,'16a'!$I$7:$I$100,2)+SUMIFS('17'!$J$7:$J$100,'17'!$H$7:$H$100,$A178,'17'!$I$7:$I$100,2)+SUMIFS('17a'!$J$7:$J$100,'17a'!$H$7:$H$100,$A178,'17a'!$I$7:$I$100,2)+SUMIFS('18'!$J$7:$J$100,'18'!$H$7:$H$100,$A178,'18'!$I$7:$I$100,2)+SUMIFS('18a'!$J$7:$J$100,'18a'!$H$7:$H$100,$A178,'18a'!$I$7:$I$100,2)
+SUMIFS('19'!$J$7:$J$100,'19'!$H$7:$H$100,$A178,'19'!$I$7:$I$100,2)+SUMIFS('20'!$J$7:$J$100,'20'!$H$7:$H$100,$A178,'20'!$I$7:$I$100,2)+SUMIFS('20a'!$J$7:$J$100,'20a'!$H$7:$H$100,$A178,'20a'!$I$7:$I$100,2)+SUMIFS('21'!$J$7:$J$100,'21'!$H$7:$H$100,$A178,'21'!$I$7:$I$100,2)+SUMIFS('22'!$J$7:$J$100,'22'!$H$7:$H$100,$A178,'22'!$I$7:$I$100,2)+SUMIFS('22a'!$J$7:$J$100,'22a'!$H$7:$H$100,$A178,'22a'!$I$7:$I$100,2)+SUMIFS('22b'!$J$7:$J$100,'22b'!$H$7:$H$100,$A178,'22b'!$I$7:$I$100,2)+SUMIFS('23'!$J$7:$J$100,'23'!$H$7:$H$100,$A178,'23'!$I$7:$I$100,2)+SUMIFS('24'!$J$7:$J$100,'24'!$H$7:$H$100,$A178,'24'!$I$7:$I$100,2)+SUMIFS('24a'!$J$7:$J$100,'24a'!$H$7:$H$100,$A178,'24a'!$I$7:$I$100,2)+SUMIFS('24b'!$J$7:$J$100,'24b'!$H$7:$H$100,$A178,'24b'!$I$7:$I$100,2)+SUMIFS('24c'!$J$7:$J$100,'24c'!$H$7:$H$100,$A178,'24c'!$I$7:$I$100,2)+SUMIFS('24d'!$J$7:$J$100,'24d'!$H$7:$H$100,$A178,'24d'!$I$7:$I$100,2)+SUMIFS('24e'!$J$7:$J$100,'24e'!$H$7:$H$100,$A178,'24e'!$I$7:$I$100,2)+SUMIFS('24f'!$J$7:$J$100,'24f'!$H$7:$H$100,$A178,'24f'!$I$7:$I$100,2)+SUMIFS('24g'!$J$7:$J$100,'24g'!$H$7:$H$100,$A178,'24g'!$I$7:$I$100,2)+SUMIFS('24h'!$J$7:$J$100,'24h'!$H$7:$H$100,$A178,'24h'!$I$7:$I$100,2)+SUMIFS('24i'!$J$7:$J$100,'24i'!$H$7:$H$100,$A178,'24i'!$I$7:$I$100,2)+SUMIFS('25'!$J$7:$J$100,'25'!$H$7:$H$100,$A178,'25'!$I$7:$I$100,2)+SUMIFS('26'!$J$7:$J$100,'26'!$H$7:$H$100,$A178,'26'!$I$7:$I$100,2)+SUMIFS('26a'!$J$7:$J$100,'26a'!$H$7:$H$100,$A178,'26a'!$I$7:$I$100,2)+SUMIFS('27'!$J$7:$J$100,'27'!$H$7:$H$100,$A178,'27'!$I$7:$I$100,2)+SUMIFS('27a'!$J$7:$J$100,'27a'!$H$7:$H$100,$A178,'27a'!$I$7:$I$100,2)+SUMIFS('28'!$J$7:$J$100,'28'!$H$7:$H$100,$A178,'28'!$I$7:$I$100,2)+SUMIFS('29'!$J$7:$J$100,'29'!$H$7:$H$100,$A178,'29'!$I$7:$I$100,2)</f>
        <v>20600</v>
      </c>
      <c r="I178" s="1315">
        <f>SUMIFS('12'!$J$7:$J$100,'12'!$H$7:$H$100,$A178,'12'!$I$7:$I$100,"")+SUMIFS('13'!$J$7:$J$100,'13'!$H$7:$H$100,$A178,'13'!$I$7:$I$100,"")+SUMIFS('14'!$J$7:$J$100,'14'!$H$7:$H$100,$A178,'14'!$I$7:$I$100,"")+SUMIFS('15'!$J$7:$J$100,'15'!$H$7:$H$100,$A178,'15'!$I$7:$I$100,"")+SUMIFS('15a'!$J$7:$J$100,'15a'!$H$7:$H$100,$A178,'15a'!$I$7:$I$100,"")+SUMIFS('15b'!$J$7:$J$100,'15b'!$H$7:$H$100,$A178,'15b'!$I$7:$I$100,"")+SUMIFS('15c'!$J$7:$J$100,'15c'!$H$7:$H$100,$A178,'15c'!$I$7:$I$100,"")+SUMIFS('15d'!$J$7:$J$100,'15d'!$H$7:$H$100,$A178,'15d'!$I$7:$I$100,"")+SUMIFS('15e'!$J$7:$J$100,'15e'!$H$7:$H$100,$A178,'15e'!$I$7:$I$100,"")+SUMIFS('15f'!$J$7:$J$100,'15f'!$H$7:$H$100,$A178,'15f'!$I$7:$I$100,"")+SUMIFS('15g'!$J$7:$J$100,'15g'!$H$7:$H$100,$A178,'15g'!$I$7:$I$100,"")+SUMIFS('15h'!$J$7:$J$100,'15h'!$H$7:$H$100,$A178,'15h'!$I$7:$I$100,"")+SUMIFS('15i'!$J$7:$J$100,'15i'!$H$7:$H$100,$A178,'15i'!$I$7:$I$100,"")+SUMIFS('15j'!$J$7:$J$100,'15j'!$H$7:$H$100,$A178,'15j'!$I$7:$I$100,"")+SUMIFS('15k'!$J$7:$J$100,'15k'!$H$7:$H$100,$A178,'15k'!$I$7:$I$100,"")+SUMIFS('15l'!$J$7:$J$100,'15l'!$H$7:$H$100,$A178,'15l'!$I$7:$I$100,"")+SUMIFS('15m'!$J$7:$J$100,'15m'!$H$7:$H$100,$A178,'15m'!$I$7:$I$100,"")+SUMIFS('15n'!$J$7:$J$100,'15n'!$H$7:$H$100,$A178,'15n'!$I$7:$I$100,"")+SUMIFS('16'!$J$7:$J$100,'16'!$H$7:$H$100,$A178,'16'!$I$7:$I$100,"")+SUMIFS('16a'!$J$7:$J$100,'16a'!$H$7:$H$100,$A178,'16a'!$I$7:$I$100,"")+SUMIFS('17'!$J$7:$J$100,'17'!$H$7:$H$100,$A178,'17'!$I$7:$I$100,"")+SUMIFS('17a'!$J$7:$J$100,'17a'!$H$7:$H$100,$A178,'17a'!$I$7:$I$100,"")+SUMIFS('18'!$J$7:$J$100,'18'!$H$7:$H$100,$A178,'18'!$I$7:$I$100,"")+SUMIFS('18a'!$J$7:$J$100,'18a'!$H$7:$H$100,$A178,'18a'!$I$7:$I$100,"")
+SUMIFS('19'!$J$7:$J$100,'19'!$H$7:$H$100,$A178,'19'!$I$7:$I$100,"")+SUMIFS('20'!$J$7:$J$100,'20'!$H$7:$H$100,$A178,'20'!$I$7:$I$100,"")+SUMIFS('20a'!$J$7:$J$100,'20a'!$H$7:$H$100,$A178,'20a'!$I$7:$I$100,"")+SUMIFS('21'!$J$7:$J$100,'21'!$H$7:$H$100,$A178,'21'!$I$7:$I$100,"")+SUMIFS('22'!$J$7:$J$100,'22'!$H$7:$H$100,$A178,'22'!$I$7:$I$100,"")+SUMIFS('22a'!$J$7:$J$100,'22a'!$H$7:$H$100,$A178,'22a'!$I$7:$I$100,"")+SUMIFS('22b'!$J$7:$J$100,'22b'!$H$7:$H$100,$A178,'22b'!$I$7:$I$100,"")+SUMIFS('23'!$J$7:$J$100,'23'!$H$7:$H$100,$A178,'23'!$I$7:$I$100,"")+SUMIFS('24'!$J$7:$J$100,'24'!$H$7:$H$100,$A178,'24'!$I$7:$I$100,"")+SUMIFS('24a'!$J$7:$J$100,'24a'!$H$7:$H$100,$A178,'24a'!$I$7:$I$100,"")+SUMIFS('24b'!$J$7:$J$100,'24b'!$H$7:$H$100,$A178,'24b'!$I$7:$I$100,"")+SUMIFS('24c'!$J$7:$J$100,'24c'!$H$7:$H$100,$A178,'24c'!$I$7:$I$100,"")+SUMIFS('24d'!$J$7:$J$100,'24d'!$H$7:$H$100,$A178,'24d'!$I$7:$I$100,"")+SUMIFS('24e'!$J$7:$J$100,'24e'!$H$7:$H$100,$A178,'24e'!$I$7:$I$100,"")+SUMIFS('24f'!$J$7:$J$100,'24f'!$H$7:$H$100,$A178,'24f'!$I$7:$I$100,"")+SUMIFS('24g'!$J$7:$J$100,'24g'!$H$7:$H$100,$A178,'24g'!$I$7:$I$100,"")+SUMIFS('24h'!$J$7:$J$100,'24h'!$H$7:$H$100,$A178,'24h'!$I$7:$I$100,"")+SUMIFS('24i'!$J$7:$J$100,'24i'!$H$7:$H$100,$A178,'24i'!$I$7:$I$100,"")+SUMIFS('25'!$J$7:$J$100,'25'!$H$7:$H$100,$A178,'25'!$I$7:$I$100,"")+SUMIFS('26'!$J$7:$J$100,'26'!$H$7:$H$100,$A178,'26'!$I$7:$I$100,"")+SUMIFS('26a'!$J$7:$J$100,'26a'!$H$7:$H$100,$A178,'26a'!$I$7:$I$100,"")+SUMIFS('27'!$J$7:$J$100,'27'!$H$7:$H$100,$A178,'27'!$I$7:$I$100,"")+SUMIFS('27a'!$J$7:$J$100,'27a'!$H$7:$H$100,$A178,'27a'!$I$7:$I$100,"")+SUMIFS('28'!$J$7:$J$100,'28'!$H$7:$H$100,$A178,'28'!$I$7:$I$100,"")+SUMIFS('29'!$J$7:$J$100,'29'!$H$7:$H$100,$A178,'29'!$I$7:$I$100,"")</f>
        <v>0</v>
      </c>
      <c r="J178" s="1296">
        <f t="shared" si="5"/>
        <v>20600</v>
      </c>
      <c r="K178"/>
      <c r="L178"/>
      <c r="M178"/>
      <c r="N178"/>
      <c r="O178"/>
      <c r="P178"/>
      <c r="Q178"/>
      <c r="R178"/>
      <c r="S178" s="1307">
        <f t="shared" si="2"/>
        <v>81550</v>
      </c>
      <c r="T178"/>
    </row>
    <row r="179" spans="1:20" x14ac:dyDescent="0.2">
      <c r="A179" t="s">
        <v>5117</v>
      </c>
      <c r="B179" t="s">
        <v>5469</v>
      </c>
      <c r="C179" s="1295">
        <f>SUMIFS('12'!$N$7:$N$100,'12'!$H$7:$H$100,$A179,'12'!$I$7:$I$100,1)+SUMIFS('13'!$N$7:$N$100,'13'!$H$7:$H$100,$A179,'13'!$I$7:$I$100,1)+SUMIFS('14'!$N$7:$N$100,'14'!$H$7:$H$100,$A179,'14'!$I$7:$I$100,1)+SUMIFS('15'!$N$7:$N$100,'15'!$H$7:$H$100,$A179,'15'!$I$7:$I$100,1)+SUMIFS('15a'!$N$7:$N$100,'15a'!$H$7:$H$100,$A179,'15a'!$I$7:$I$100,1)+SUMIFS('15b'!$N$7:$N$100,'15b'!$H$7:$H$100,$A179,'15b'!$I$7:$I$100,1)+SUMIFS('15c'!$N$7:$N$100,'15c'!$H$7:$H$100,$A179,'15c'!$I$7:$I$100,1)+SUMIFS('15d'!$N$7:$N$100,'15d'!$H$7:$H$100,$A179,'15d'!$I$7:$I$100,1)+SUMIFS('15e'!$N$7:$N$100,'15e'!$H$7:$H$100,$A179,'15e'!$I$7:$I$100,1)+SUMIFS('15f'!$N$7:$N$100,'15f'!$H$7:$H$100,$A179,'15f'!$I$7:$I$100,1)+SUMIFS('15g'!$N$7:$N$100,'15g'!$H$7:$H$100,$A179,'15g'!$I$7:$I$100,1)+SUMIFS('15h'!$N$7:$N$100,'15h'!$H$7:$H$100,$A179,'15h'!$I$7:$I$100,1)+SUMIFS('15i'!$N$7:$N$100,'15i'!$H$7:$H$100,$A179,'15i'!$I$7:$I$100,1)+SUMIFS('15j'!$N$7:$N$100,'15j'!$H$7:$H$100,$A179,'15j'!$I$7:$I$100,1)+SUMIFS('15k'!$N$7:$N$100,'15k'!$H$7:$H$100,$A179,'15k'!$I$7:$I$100,1)+SUMIFS('15l'!$N$7:$N$100,'15l'!$H$7:$H$100,$A179,'15l'!$I$7:$I$100,1)+SUMIFS('15m'!$N$7:$N$100,'15m'!$H$7:$H$100,$A179,'15m'!$I$7:$I$100,1)+SUMIFS('15n'!$N$7:$N$100,'15n'!$H$7:$H$100,$A179,'15n'!$I$7:$I$100,1)+SUMIFS('16'!$N$7:$N$100,'16'!$H$7:$H$100,$A179,'16'!$I$7:$I$100,1)+SUMIFS('16a'!$N$7:$N$100,'16a'!$H$7:$H$100,$A179,'16a'!$I$7:$I$100,1)+SUMIFS('17'!$N$7:$N$100,'17'!$H$7:$H$100,$A179,'17'!$I$7:$I$100,1)+SUMIFS('17a'!$N$7:$N$100,'17a'!$H$7:$H$100,$A179,'17a'!$I$7:$I$100,1)+SUMIFS('18'!$N$7:$N$100,'18'!$H$7:$H$100,$A179,'18'!$I$7:$I$100,1)+SUMIFS('18a'!$N$7:$N$100,'18a'!$H$7:$H$100,$A179,'18a'!$I$7:$I$100,1)
+SUMIFS('19'!$N$7:$N$100,'19'!$H$7:$H$100,$A179,'19'!$I$7:$I$100,1)+SUMIFS('20'!$N$7:$N$100,'20'!$H$7:$H$100,$A179,'20'!$I$7:$I$100,1)+SUMIFS('20a'!$N$7:$N$100,'20a'!$H$7:$H$100,$A179,'20a'!$I$7:$I$100,1)+SUMIFS('21'!$N$7:$N$100,'21'!$H$7:$H$100,$A179,'21'!$I$7:$I$100,1)+SUMIFS('22'!$N$7:$N$100,'22'!$H$7:$H$100,$A179,'22'!$I$7:$I$100,1)+SUMIFS('22a'!$N$7:$N$100,'22a'!$H$7:$H$100,$A179,'22a'!$I$7:$I$100,1)+SUMIFS('22b'!$N$7:$N$100,'22b'!$H$7:$H$100,$A179,'22b'!$I$7:$I$100,1)+SUMIFS('23'!$N$7:$N$100,'23'!$H$7:$H$100,$A179,'23'!$I$7:$I$100,1)+SUMIFS('24'!$N$7:$N$100,'24'!$H$7:$H$100,$A179,'24'!$I$7:$I$100,1)+SUMIFS('24a'!$N$7:$N$100,'24a'!$H$7:$H$100,$A179,'24a'!$I$7:$I$100,1)+SUMIFS('24b'!$N$7:$N$100,'24b'!$H$7:$H$100,$A179,'24b'!$I$7:$I$100,1)+SUMIFS('24c'!$N$7:$N$100,'24c'!$H$7:$H$100,$A179,'24c'!$I$7:$I$100,1)+SUMIFS('24d'!$N$7:$N$100,'24d'!$H$7:$H$100,$A179,'24d'!$I$7:$I$100,1)+SUMIFS('24e'!$N$7:$N$100,'24e'!$H$7:$H$100,$A179,'24e'!$I$7:$I$100,1)+SUMIFS('24f'!$N$7:$N$100,'24f'!$H$7:$H$100,$A179,'24f'!$I$7:$I$100,1)+SUMIFS('24g'!$N$7:$N$100,'24g'!$H$7:$H$100,$A179,'24g'!$I$7:$I$100,1)+SUMIFS('24h'!$N$7:$N$100,'24h'!$H$7:$H$100,$A179,'24h'!$I$7:$I$100,1)+SUMIFS('24i'!$N$7:$N$100,'24i'!$H$7:$H$100,$A179,'24i'!$I$7:$I$100,1)+SUMIFS('25'!$N$7:$N$100,'25'!$H$7:$H$100,$A179,'25'!$I$7:$I$100,1)+SUMIFS('26'!$N$7:$N$100,'26'!$H$7:$H$100,$A179,'26'!$I$7:$I$100,1)+SUMIFS('26a'!$N$7:$N$100,'26a'!$H$7:$H$100,$A179,'26a'!$I$7:$I$100,1)+SUMIFS('27'!$N$7:$N$100,'27'!$H$7:$H$100,$A179,'27'!$I$7:$I$100,1)+SUMIFS('27a'!$N$7:$N$100,'27a'!$H$7:$H$100,$A179,'27a'!$I$7:$I$100,1)+SUMIFS('28'!$N$7:$N$100,'28'!$H$7:$H$100,$A179,'28'!$I$7:$I$100,1)+SUMIFS('29'!$N$7:$N$100,'29'!$H$7:$H$100,$A179,'29'!$I$7:$I$100,1)</f>
        <v>0</v>
      </c>
      <c r="D179" s="1315">
        <f>SUMIFS('12'!$N$7:$N$100,'12'!$H$7:$H$100,$A179,'12'!$I$7:$I$100,2)+SUMIFS('13'!$N$7:$N$100,'13'!$H$7:$H$100,$A179,'13'!$I$7:$I$100,2)+SUMIFS('14'!$N$7:$N$100,'14'!$H$7:$H$100,$A179,'14'!$I$7:$I$100,2)+SUMIFS('15'!$N$7:$N$100,'15'!$H$7:$H$100,$A179,'15'!$I$7:$I$100,2)+SUMIFS('15a'!$N$7:$N$100,'15a'!$H$7:$H$100,$A179,'15a'!$I$7:$I$100,2)+SUMIFS('15b'!$N$7:$N$100,'15b'!$H$7:$H$100,$A179,'15b'!$I$7:$I$100,2)+SUMIFS('15c'!$N$7:$N$100,'15c'!$H$7:$H$100,$A179,'15c'!$I$7:$I$100,2)+SUMIFS('15d'!$N$7:$N$100,'15d'!$H$7:$H$100,$A179,'15d'!$I$7:$I$100,2)+SUMIFS('15e'!$N$7:$N$100,'15e'!$H$7:$H$100,$A179,'15e'!$I$7:$I$100,2)+SUMIFS('15f'!$N$7:$N$100,'15f'!$H$7:$H$100,$A179,'15f'!$I$7:$I$100,2)+SUMIFS('15g'!$N$7:$N$100,'15g'!$H$7:$H$100,$A179,'15g'!$I$7:$I$100,2)+SUMIFS('15h'!$N$7:$N$100,'15h'!$H$7:$H$100,$A179,'15h'!$I$7:$I$100,2)+SUMIFS('15i'!$N$7:$N$100,'15i'!$H$7:$H$100,$A179,'15i'!$I$7:$I$100,2)+SUMIFS('15j'!$N$7:$N$100,'15j'!$H$7:$H$100,$A179,'15j'!$I$7:$I$100,2)+SUMIFS('15k'!$N$7:$N$100,'15k'!$H$7:$H$100,$A179,'15k'!$I$7:$I$100,2)+SUMIFS('15l'!$N$7:$N$100,'15l'!$H$7:$H$100,$A179,'15l'!$I$7:$I$100,2)+SUMIFS('15m'!$N$7:$N$100,'15m'!$H$7:$H$100,$A179,'15m'!$I$7:$I$100,2)+SUMIFS('15n'!$N$7:$N$100,'15n'!$H$7:$H$100,$A179,'15n'!$I$7:$I$100,2)+SUMIFS('16'!$N$7:$N$100,'16'!$H$7:$H$100,$A179,'16'!$I$7:$I$100,2)+SUMIFS('16a'!$N$7:$N$100,'16a'!$H$7:$H$100,$A179,'16a'!$I$7:$I$100,2)+SUMIFS('17'!$N$7:$N$100,'17'!$H$7:$H$100,$A179,'17'!$I$7:$I$100,2)+SUMIFS('17a'!$N$7:$N$100,'17a'!$H$7:$H$100,$A179,'17a'!$I$7:$I$100,2)+SUMIFS('18'!$N$7:$N$100,'18'!$H$7:$H$100,$A179,'18'!$I$7:$I$100,2)+SUMIFS('18a'!$N$7:$N$100,'18a'!$H$7:$H$100,$A179,'18a'!$I$7:$I$100,2)
+SUMIFS('19'!$N$7:$N$100,'19'!$H$7:$H$100,$A179,'19'!$I$7:$I$100,2)+SUMIFS('20'!$N$7:$N$100,'20'!$H$7:$H$100,$A179,'20'!$I$7:$I$100,2)+SUMIFS('20a'!$N$7:$N$100,'20a'!$H$7:$H$100,$A179,'20a'!$I$7:$I$100,2)+SUMIFS('21'!$N$7:$N$100,'21'!$H$7:$H$100,$A179,'21'!$I$7:$I$100,2)+SUMIFS('22'!$N$7:$N$100,'22'!$H$7:$H$100,$A179,'22'!$I$7:$I$100,2)+SUMIFS('22a'!$N$7:$N$100,'22a'!$H$7:$H$100,$A179,'22a'!$I$7:$I$100,2)+SUMIFS('22b'!$N$7:$N$100,'22b'!$H$7:$H$100,$A179,'22b'!$I$7:$I$100,2)+SUMIFS('23'!$N$7:$N$100,'23'!$H$7:$H$100,$A179,'23'!$I$7:$I$100,2)+SUMIFS('24'!$N$7:$N$100,'24'!$H$7:$H$100,$A179,'24'!$I$7:$I$100,2)+SUMIFS('24a'!$N$7:$N$100,'24a'!$H$7:$H$100,$A179,'24a'!$I$7:$I$100,2)+SUMIFS('24b'!$N$7:$N$100,'24b'!$H$7:$H$100,$A179,'24b'!$I$7:$I$100,2)+SUMIFS('24c'!$N$7:$N$100,'24c'!$H$7:$H$100,$A179,'24c'!$I$7:$I$100,2)+SUMIFS('24d'!$N$7:$N$100,'24d'!$H$7:$H$100,$A179,'24d'!$I$7:$I$100,2)+SUMIFS('24e'!$N$7:$N$100,'24e'!$H$7:$H$100,$A179,'24e'!$I$7:$I$100,2)+SUMIFS('24f'!$N$7:$N$100,'24f'!$H$7:$H$100,$A179,'24f'!$I$7:$I$100,2)+SUMIFS('24g'!$N$7:$N$100,'24g'!$H$7:$H$100,$A179,'24g'!$I$7:$I$100,2)+SUMIFS('24h'!$N$7:$N$100,'24h'!$H$7:$H$100,$A179,'24h'!$I$7:$I$100,2)+SUMIFS('24i'!$N$7:$N$100,'24i'!$H$7:$H$100,$A179,'24i'!$I$7:$I$100,2)+SUMIFS('25'!$N$7:$N$100,'25'!$H$7:$H$100,$A179,'25'!$I$7:$I$100,2)+SUMIFS('26'!$N$7:$N$100,'26'!$H$7:$H$100,$A179,'26'!$I$7:$I$100,2)+SUMIFS('26a'!$N$7:$N$100,'26a'!$H$7:$H$100,$A179,'26a'!$I$7:$I$100,2)+SUMIFS('27'!$N$7:$N$100,'27'!$H$7:$H$100,$A179,'27'!$I$7:$I$100,2)+SUMIFS('27a'!$N$7:$N$100,'27a'!$H$7:$H$100,$A179,'27a'!$I$7:$I$100,2)+SUMIFS('28'!$N$7:$N$100,'28'!$H$7:$H$100,$A179,'28'!$I$7:$I$100,2)+SUMIFS('29'!$N$7:$N$100,'29'!$H$7:$H$100,$A179,'29'!$I$7:$I$100,2)</f>
        <v>0</v>
      </c>
      <c r="E179" s="1315">
        <f>SUMIFS('12'!$N$7:$N$100,'12'!$H$7:$H$100,$A179,'12'!$I$7:$I$100,"")+SUMIFS('13'!$N$7:$N$100,'13'!$H$7:$H$100,$A179,'13'!$I$7:$I$100,"")+SUMIFS('14'!$N$7:$N$100,'14'!$H$7:$H$100,$A179,'14'!$I$7:$I$100,"")+SUMIFS('15'!$N$7:$N$100,'15'!$H$7:$H$100,$A179,'15'!$I$7:$I$100,"")+SUMIFS('15a'!$N$7:$N$100,'15a'!$H$7:$H$100,$A179,'15a'!$I$7:$I$100,"")+SUMIFS('15b'!$N$7:$N$100,'15b'!$H$7:$H$100,$A179,'15b'!$I$7:$I$100,"")+SUMIFS('15c'!$N$7:$N$100,'15c'!$H$7:$H$100,$A179,'15c'!$I$7:$I$100,"")+SUMIFS('15d'!$N$7:$N$100,'15d'!$H$7:$H$100,$A179,'15d'!$I$7:$I$100,"")+SUMIFS('15e'!$N$7:$N$100,'15e'!$H$7:$H$100,$A179,'15e'!$I$7:$I$100,"")+SUMIFS('15f'!$N$7:$N$100,'15f'!$H$7:$H$100,$A179,'15f'!$I$7:$I$100,"")+SUMIFS('15g'!$N$7:$N$100,'15g'!$H$7:$H$100,$A179,'15g'!$I$7:$I$100,"")+SUMIFS('15h'!$N$7:$N$100,'15h'!$H$7:$H$100,$A179,'15h'!$I$7:$I$100,"")+SUMIFS('15i'!$N$7:$N$100,'15i'!$H$7:$H$100,$A179,'15i'!$I$7:$I$100,"")+SUMIFS('15j'!$N$7:$N$100,'15j'!$H$7:$H$100,$A179,'15j'!$I$7:$I$100,"")+SUMIFS('15k'!$N$7:$N$100,'15k'!$H$7:$H$100,$A179,'15k'!$I$7:$I$100,"")+SUMIFS('15l'!$N$7:$N$100,'15l'!$H$7:$H$100,$A179,'15l'!$I$7:$I$100,"")+SUMIFS('15m'!$N$7:$N$100,'15m'!$H$7:$H$100,$A179,'15m'!$I$7:$I$100,"")+SUMIFS('15n'!$N$7:$N$100,'15n'!$H$7:$H$100,$A179,'15n'!$I$7:$I$100,"")+SUMIFS('16'!$N$7:$N$100,'16'!$H$7:$H$100,$A179,'16'!$I$7:$I$100,"")+SUMIFS('16a'!$N$7:$N$100,'16a'!$H$7:$H$100,$A179,'16a'!$I$7:$I$100,"")+SUMIFS('17'!$N$7:$N$100,'17'!$H$7:$H$100,$A179,'17'!$I$7:$I$100,"")+SUMIFS('17a'!$N$7:$N$100,'17a'!$H$7:$H$100,$A179,'17a'!$I$7:$I$100,"")+SUMIFS('18'!$N$7:$N$100,'18'!$H$7:$H$100,$A179,'18'!$I$7:$I$100,"")+SUMIFS('18a'!$N$7:$N$100,'18a'!$H$7:$H$100,$A179,'18a'!$I$7:$I$100,"")
+SUMIFS('19'!$N$7:$N$100,'19'!$H$7:$H$100,$A179,'19'!$I$7:$I$100,"")+SUMIFS('20'!$N$7:$N$100,'20'!$H$7:$H$100,$A179,'20'!$I$7:$I$100,"")+SUMIFS('20a'!$N$7:$N$100,'20a'!$H$7:$H$100,$A179,'20a'!$I$7:$I$100,"")+SUMIFS('21'!$N$7:$N$100,'21'!$H$7:$H$100,$A179,'21'!$I$7:$I$100,"")+SUMIFS('22'!$N$7:$N$100,'22'!$H$7:$H$100,$A179,'22'!$I$7:$I$100,"")+SUMIFS('22a'!$N$7:$N$100,'22a'!$H$7:$H$100,$A179,'22a'!$I$7:$I$100,"")+SUMIFS('22b'!$N$7:$N$100,'22b'!$H$7:$H$100,$A179,'22b'!$I$7:$I$100,"")+SUMIFS('23'!$N$7:$N$100,'23'!$H$7:$H$100,$A179,'23'!$I$7:$I$100,"")+SUMIFS('24'!$N$7:$N$100,'24'!$H$7:$H$100,$A179,'24'!$I$7:$I$100,"")+SUMIFS('24a'!$N$7:$N$100,'24a'!$H$7:$H$100,$A179,'24a'!$I$7:$I$100,"")+SUMIFS('24b'!$N$7:$N$100,'24b'!$H$7:$H$100,$A179,'24b'!$I$7:$I$100,"")+SUMIFS('24c'!$N$7:$N$100,'24c'!$H$7:$H$100,$A179,'24c'!$I$7:$I$100,"")+SUMIFS('24d'!$N$7:$N$100,'24d'!$H$7:$H$100,$A179,'24d'!$I$7:$I$100,"")+SUMIFS('24e'!$N$7:$N$100,'24e'!$H$7:$H$100,$A179,'24e'!$I$7:$I$100,"")+SUMIFS('24f'!$N$7:$N$100,'24f'!$H$7:$H$100,$A179,'24f'!$I$7:$I$100,"")+SUMIFS('24g'!$N$7:$N$100,'24g'!$H$7:$H$100,$A179,'24g'!$I$7:$I$100,"")+SUMIFS('24h'!$N$7:$N$100,'24h'!$H$7:$H$100,$A179,'24h'!$I$7:$I$100,"")+SUMIFS('24i'!$N$7:$N$100,'24i'!$H$7:$H$100,$A179,'24i'!$I$7:$I$100,"")+SUMIFS('25'!$N$7:$N$100,'25'!$H$7:$H$100,$A179,'25'!$I$7:$I$100,"")+SUMIFS('26'!$N$7:$N$100,'26'!$H$7:$H$100,$A179,'26'!$I$7:$I$100,"")+SUMIFS('26a'!$N$7:$N$100,'26a'!$H$7:$H$100,$A179,'26a'!$I$7:$I$100,"")+SUMIFS('27'!$N$7:$N$100,'27'!$H$7:$H$100,$A179,'27'!$I$7:$I$100,"")+SUMIFS('27a'!$N$7:$N$100,'27a'!$H$7:$H$100,$A179,'27a'!$I$7:$I$100,"")+SUMIFS('28'!$N$7:$N$100,'28'!$H$7:$H$100,$A179,'28'!$I$7:$I$100,"")+SUMIFS('29'!$N$7:$N$100,'29'!$H$7:$H$100,$A179,'29'!$I$7:$I$100,"")</f>
        <v>0</v>
      </c>
      <c r="F179" s="1296">
        <f t="shared" si="4"/>
        <v>0</v>
      </c>
      <c r="G179" s="1295">
        <f>SUMIFS('12'!$J$7:$J$100,'12'!$H$7:$H$100,$A179,'12'!$I$7:$I$100,1)+SUMIFS('13'!$J$7:$J$100,'13'!$H$7:$H$100,$A179,'13'!$I$7:$I$100,1)+SUMIFS('14'!$J$7:$J$100,'14'!$H$7:$H$100,$A179,'14'!$I$7:$I$100,1)+SUMIFS('15'!$J$7:$J$100,'15'!$H$7:$H$100,$A179,'15'!$I$7:$I$100,1)+SUMIFS('15a'!$J$7:$J$100,'15a'!$H$7:$H$100,$A179,'15a'!$I$7:$I$100,1)+SUMIFS('15b'!$J$7:$J$100,'15b'!$H$7:$H$100,$A179,'15b'!$I$7:$I$100,1)+SUMIFS('15c'!$J$7:$J$100,'15c'!$H$7:$H$100,$A179,'15c'!$I$7:$I$100,1)+SUMIFS('15d'!$J$7:$J$100,'15d'!$H$7:$H$100,$A179,'15d'!$I$7:$I$100,1)+SUMIFS('15e'!$J$7:$J$100,'15e'!$H$7:$H$100,$A179,'15e'!$I$7:$I$100,1)+SUMIFS('15f'!$J$7:$J$100,'15f'!$H$7:$H$100,$A179,'15f'!$I$7:$I$100,1)+SUMIFS('15g'!$J$7:$J$100,'15g'!$H$7:$H$100,$A179,'15g'!$I$7:$I$100,1)+SUMIFS('15h'!$J$7:$J$100,'15h'!$H$7:$H$100,$A179,'15h'!$I$7:$I$100,1)+SUMIFS('15i'!$J$7:$J$100,'15i'!$H$7:$H$100,$A179,'15i'!$I$7:$I$100,1)+SUMIFS('15j'!$J$7:$J$100,'15j'!$H$7:$H$100,$A179,'15j'!$I$7:$I$100,1)+SUMIFS('15k'!$J$7:$J$100,'15k'!$H$7:$H$100,$A179,'15k'!$I$7:$I$100,1)+SUMIFS('15l'!$J$7:$J$100,'15l'!$H$7:$H$100,$A179,'15l'!$I$7:$I$100,1)+SUMIFS('15m'!$J$7:$J$100,'15m'!$H$7:$H$100,$A179,'15m'!$I$7:$I$100,1)+SUMIFS('15n'!$J$7:$J$100,'15n'!$H$7:$H$100,$A179,'15n'!$I$7:$I$100,1)+SUMIFS('16'!$J$7:$J$100,'16'!$H$7:$H$100,$A179,'16'!$I$7:$I$100,1)+SUMIFS('16a'!$J$7:$J$100,'16a'!$H$7:$H$100,$A179,'16a'!$I$7:$I$100,1)+SUMIFS('17'!$J$7:$J$100,'17'!$H$7:$H$100,$A179,'17'!$I$7:$I$100,1)+SUMIFS('17a'!$J$7:$J$100,'17a'!$H$7:$H$100,$A179,'17a'!$I$7:$I$100,1)+SUMIFS('18'!$J$7:$J$100,'18'!$H$7:$H$100,$A179,'18'!$I$7:$I$100,1)+SUMIFS('18a'!$J$7:$J$100,'18a'!$H$7:$H$100,$A179,'18a'!$I$7:$I$100,1)
+SUMIFS('19'!$J$7:$J$100,'19'!$H$7:$H$100,$A179,'19'!$I$7:$I$100,1)+SUMIFS('20'!$J$7:$J$100,'20'!$H$7:$H$100,$A179,'20'!$I$7:$I$100,1)+SUMIFS('20a'!$J$7:$J$100,'20a'!$H$7:$H$100,$A179,'20a'!$I$7:$I$100,1)+SUMIFS('21'!$J$7:$J$100,'21'!$H$7:$H$100,$A179,'21'!$I$7:$I$100,1)+SUMIFS('22'!$J$7:$J$100,'22'!$H$7:$H$100,$A179,'22'!$I$7:$I$100,1)+SUMIFS('22a'!$J$7:$J$100,'22a'!$H$7:$H$100,$A179,'22a'!$I$7:$I$100,1)+SUMIFS('22b'!$J$7:$J$100,'22b'!$H$7:$H$100,$A179,'22b'!$I$7:$I$100,1)+SUMIFS('23'!$J$7:$J$100,'23'!$H$7:$H$100,$A179,'23'!$I$7:$I$100,1)+SUMIFS('24'!$J$7:$J$100,'24'!$H$7:$H$100,$A179,'24'!$I$7:$I$100,1)+SUMIFS('24a'!$J$7:$J$100,'24a'!$H$7:$H$100,$A179,'24a'!$I$7:$I$100,1)+SUMIFS('24b'!$J$7:$J$100,'24b'!$H$7:$H$100,$A179,'24b'!$I$7:$I$100,1)+SUMIFS('24c'!$J$7:$J$100,'24c'!$H$7:$H$100,$A179,'24c'!$I$7:$I$100,1)+SUMIFS('24d'!$J$7:$J$100,'24d'!$H$7:$H$100,$A179,'24d'!$I$7:$I$100,1)+SUMIFS('24e'!$J$7:$J$100,'24e'!$H$7:$H$100,$A179,'24e'!$I$7:$I$100,1)+SUMIFS('24f'!$J$7:$J$100,'24f'!$H$7:$H$100,$A179,'24f'!$I$7:$I$100,1)+SUMIFS('24g'!$J$7:$J$100,'24g'!$H$7:$H$100,$A179,'24g'!$I$7:$I$100,1)+SUMIFS('24h'!$J$7:$J$100,'24h'!$H$7:$H$100,$A179,'24h'!$I$7:$I$100,1)+SUMIFS('24i'!$J$7:$J$100,'24i'!$H$7:$H$100,$A179,'24i'!$I$7:$I$100,1)+SUMIFS('25'!$J$7:$J$100,'25'!$H$7:$H$100,$A179,'25'!$I$7:$I$100,1)+SUMIFS('26'!$J$7:$J$100,'26'!$H$7:$H$100,$A179,'26'!$I$7:$I$100,1)+SUMIFS('26a'!$J$7:$J$100,'26a'!$H$7:$H$100,$A179,'26a'!$I$7:$I$100,1)+SUMIFS('27'!$J$7:$J$100,'27'!$H$7:$H$100,$A179,'27'!$I$7:$I$100,1)+SUMIFS('27a'!$J$7:$J$100,'27a'!$H$7:$H$100,$A179,'27a'!$I$7:$I$100,1)+SUMIFS('28'!$J$7:$J$100,'28'!$H$7:$H$100,$A179,'28'!$I$7:$I$100,1)+SUMIFS('29'!$J$7:$J$100,'29'!$H$7:$H$100,$A179,'29'!$I$7:$I$100,1)</f>
        <v>0</v>
      </c>
      <c r="H179" s="1315">
        <f>SUMIFS('12'!$J$7:$J$100,'12'!$H$7:$H$100,$A179,'12'!$I$7:$I$100,2)+SUMIFS('13'!$J$7:$J$100,'13'!$H$7:$H$100,$A179,'13'!$I$7:$I$100,2)+SUMIFS('14'!$J$7:$J$100,'14'!$H$7:$H$100,$A179,'14'!$I$7:$I$100,2)+SUMIFS('15'!$J$7:$J$100,'15'!$H$7:$H$100,$A179,'15'!$I$7:$I$100,2)+SUMIFS('15a'!$J$7:$J$100,'15a'!$H$7:$H$100,$A179,'15a'!$I$7:$I$100,2)+SUMIFS('15b'!$J$7:$J$100,'15b'!$H$7:$H$100,$A179,'15b'!$I$7:$I$100,2)+SUMIFS('15c'!$J$7:$J$100,'15c'!$H$7:$H$100,$A179,'15c'!$I$7:$I$100,2)+SUMIFS('15d'!$J$7:$J$100,'15d'!$H$7:$H$100,$A179,'15d'!$I$7:$I$100,2)+SUMIFS('15e'!$J$7:$J$100,'15e'!$H$7:$H$100,$A179,'15e'!$I$7:$I$100,2)+SUMIFS('15f'!$J$7:$J$100,'15f'!$H$7:$H$100,$A179,'15f'!$I$7:$I$100,2)+SUMIFS('15g'!$J$7:$J$100,'15g'!$H$7:$H$100,$A179,'15g'!$I$7:$I$100,2)+SUMIFS('15h'!$J$7:$J$100,'15h'!$H$7:$H$100,$A179,'15h'!$I$7:$I$100,2)+SUMIFS('15i'!$J$7:$J$100,'15i'!$H$7:$H$100,$A179,'15i'!$I$7:$I$100,2)+SUMIFS('15j'!$J$7:$J$100,'15j'!$H$7:$H$100,$A179,'15j'!$I$7:$I$100,2)+SUMIFS('15k'!$J$7:$J$100,'15k'!$H$7:$H$100,$A179,'15k'!$I$7:$I$100,2)+SUMIFS('15l'!$J$7:$J$100,'15l'!$H$7:$H$100,$A179,'15l'!$I$7:$I$100,2)+SUMIFS('15m'!$J$7:$J$100,'15m'!$H$7:$H$100,$A179,'15m'!$I$7:$I$100,2)+SUMIFS('15n'!$J$7:$J$100,'15n'!$H$7:$H$100,$A179,'15n'!$I$7:$I$100,2)+SUMIFS('16'!$J$7:$J$100,'16'!$H$7:$H$100,$A179,'16'!$I$7:$I$100,2)+SUMIFS('16a'!$J$7:$J$100,'16a'!$H$7:$H$100,$A179,'16a'!$I$7:$I$100,2)+SUMIFS('17'!$J$7:$J$100,'17'!$H$7:$H$100,$A179,'17'!$I$7:$I$100,2)+SUMIFS('17a'!$J$7:$J$100,'17a'!$H$7:$H$100,$A179,'17a'!$I$7:$I$100,2)+SUMIFS('18'!$J$7:$J$100,'18'!$H$7:$H$100,$A179,'18'!$I$7:$I$100,2)+SUMIFS('18a'!$J$7:$J$100,'18a'!$H$7:$H$100,$A179,'18a'!$I$7:$I$100,2)
+SUMIFS('19'!$J$7:$J$100,'19'!$H$7:$H$100,$A179,'19'!$I$7:$I$100,2)+SUMIFS('20'!$J$7:$J$100,'20'!$H$7:$H$100,$A179,'20'!$I$7:$I$100,2)+SUMIFS('20a'!$J$7:$J$100,'20a'!$H$7:$H$100,$A179,'20a'!$I$7:$I$100,2)+SUMIFS('21'!$J$7:$J$100,'21'!$H$7:$H$100,$A179,'21'!$I$7:$I$100,2)+SUMIFS('22'!$J$7:$J$100,'22'!$H$7:$H$100,$A179,'22'!$I$7:$I$100,2)+SUMIFS('22a'!$J$7:$J$100,'22a'!$H$7:$H$100,$A179,'22a'!$I$7:$I$100,2)+SUMIFS('22b'!$J$7:$J$100,'22b'!$H$7:$H$100,$A179,'22b'!$I$7:$I$100,2)+SUMIFS('23'!$J$7:$J$100,'23'!$H$7:$H$100,$A179,'23'!$I$7:$I$100,2)+SUMIFS('24'!$J$7:$J$100,'24'!$H$7:$H$100,$A179,'24'!$I$7:$I$100,2)+SUMIFS('24a'!$J$7:$J$100,'24a'!$H$7:$H$100,$A179,'24a'!$I$7:$I$100,2)+SUMIFS('24b'!$J$7:$J$100,'24b'!$H$7:$H$100,$A179,'24b'!$I$7:$I$100,2)+SUMIFS('24c'!$J$7:$J$100,'24c'!$H$7:$H$100,$A179,'24c'!$I$7:$I$100,2)+SUMIFS('24d'!$J$7:$J$100,'24d'!$H$7:$H$100,$A179,'24d'!$I$7:$I$100,2)+SUMIFS('24e'!$J$7:$J$100,'24e'!$H$7:$H$100,$A179,'24e'!$I$7:$I$100,2)+SUMIFS('24f'!$J$7:$J$100,'24f'!$H$7:$H$100,$A179,'24f'!$I$7:$I$100,2)+SUMIFS('24g'!$J$7:$J$100,'24g'!$H$7:$H$100,$A179,'24g'!$I$7:$I$100,2)+SUMIFS('24h'!$J$7:$J$100,'24h'!$H$7:$H$100,$A179,'24h'!$I$7:$I$100,2)+SUMIFS('24i'!$J$7:$J$100,'24i'!$H$7:$H$100,$A179,'24i'!$I$7:$I$100,2)+SUMIFS('25'!$J$7:$J$100,'25'!$H$7:$H$100,$A179,'25'!$I$7:$I$100,2)+SUMIFS('26'!$J$7:$J$100,'26'!$H$7:$H$100,$A179,'26'!$I$7:$I$100,2)+SUMIFS('26a'!$J$7:$J$100,'26a'!$H$7:$H$100,$A179,'26a'!$I$7:$I$100,2)+SUMIFS('27'!$J$7:$J$100,'27'!$H$7:$H$100,$A179,'27'!$I$7:$I$100,2)+SUMIFS('27a'!$J$7:$J$100,'27a'!$H$7:$H$100,$A179,'27a'!$I$7:$I$100,2)+SUMIFS('28'!$J$7:$J$100,'28'!$H$7:$H$100,$A179,'28'!$I$7:$I$100,2)+SUMIFS('29'!$J$7:$J$100,'29'!$H$7:$H$100,$A179,'29'!$I$7:$I$100,2)</f>
        <v>0</v>
      </c>
      <c r="I179" s="1315">
        <f>SUMIFS('12'!$J$7:$J$100,'12'!$H$7:$H$100,$A179,'12'!$I$7:$I$100,"")+SUMIFS('13'!$J$7:$J$100,'13'!$H$7:$H$100,$A179,'13'!$I$7:$I$100,"")+SUMIFS('14'!$J$7:$J$100,'14'!$H$7:$H$100,$A179,'14'!$I$7:$I$100,"")+SUMIFS('15'!$J$7:$J$100,'15'!$H$7:$H$100,$A179,'15'!$I$7:$I$100,"")+SUMIFS('15a'!$J$7:$J$100,'15a'!$H$7:$H$100,$A179,'15a'!$I$7:$I$100,"")+SUMIFS('15b'!$J$7:$J$100,'15b'!$H$7:$H$100,$A179,'15b'!$I$7:$I$100,"")+SUMIFS('15c'!$J$7:$J$100,'15c'!$H$7:$H$100,$A179,'15c'!$I$7:$I$100,"")+SUMIFS('15d'!$J$7:$J$100,'15d'!$H$7:$H$100,$A179,'15d'!$I$7:$I$100,"")+SUMIFS('15e'!$J$7:$J$100,'15e'!$H$7:$H$100,$A179,'15e'!$I$7:$I$100,"")+SUMIFS('15f'!$J$7:$J$100,'15f'!$H$7:$H$100,$A179,'15f'!$I$7:$I$100,"")+SUMIFS('15g'!$J$7:$J$100,'15g'!$H$7:$H$100,$A179,'15g'!$I$7:$I$100,"")+SUMIFS('15h'!$J$7:$J$100,'15h'!$H$7:$H$100,$A179,'15h'!$I$7:$I$100,"")+SUMIFS('15i'!$J$7:$J$100,'15i'!$H$7:$H$100,$A179,'15i'!$I$7:$I$100,"")+SUMIFS('15j'!$J$7:$J$100,'15j'!$H$7:$H$100,$A179,'15j'!$I$7:$I$100,"")+SUMIFS('15k'!$J$7:$J$100,'15k'!$H$7:$H$100,$A179,'15k'!$I$7:$I$100,"")+SUMIFS('15l'!$J$7:$J$100,'15l'!$H$7:$H$100,$A179,'15l'!$I$7:$I$100,"")+SUMIFS('15m'!$J$7:$J$100,'15m'!$H$7:$H$100,$A179,'15m'!$I$7:$I$100,"")+SUMIFS('15n'!$J$7:$J$100,'15n'!$H$7:$H$100,$A179,'15n'!$I$7:$I$100,"")+SUMIFS('16'!$J$7:$J$100,'16'!$H$7:$H$100,$A179,'16'!$I$7:$I$100,"")+SUMIFS('16a'!$J$7:$J$100,'16a'!$H$7:$H$100,$A179,'16a'!$I$7:$I$100,"")+SUMIFS('17'!$J$7:$J$100,'17'!$H$7:$H$100,$A179,'17'!$I$7:$I$100,"")+SUMIFS('17a'!$J$7:$J$100,'17a'!$H$7:$H$100,$A179,'17a'!$I$7:$I$100,"")+SUMIFS('18'!$J$7:$J$100,'18'!$H$7:$H$100,$A179,'18'!$I$7:$I$100,"")+SUMIFS('18a'!$J$7:$J$100,'18a'!$H$7:$H$100,$A179,'18a'!$I$7:$I$100,"")
+SUMIFS('19'!$J$7:$J$100,'19'!$H$7:$H$100,$A179,'19'!$I$7:$I$100,"")+SUMIFS('20'!$J$7:$J$100,'20'!$H$7:$H$100,$A179,'20'!$I$7:$I$100,"")+SUMIFS('20a'!$J$7:$J$100,'20a'!$H$7:$H$100,$A179,'20a'!$I$7:$I$100,"")+SUMIFS('21'!$J$7:$J$100,'21'!$H$7:$H$100,$A179,'21'!$I$7:$I$100,"")+SUMIFS('22'!$J$7:$J$100,'22'!$H$7:$H$100,$A179,'22'!$I$7:$I$100,"")+SUMIFS('22a'!$J$7:$J$100,'22a'!$H$7:$H$100,$A179,'22a'!$I$7:$I$100,"")+SUMIFS('22b'!$J$7:$J$100,'22b'!$H$7:$H$100,$A179,'22b'!$I$7:$I$100,"")+SUMIFS('23'!$J$7:$J$100,'23'!$H$7:$H$100,$A179,'23'!$I$7:$I$100,"")+SUMIFS('24'!$J$7:$J$100,'24'!$H$7:$H$100,$A179,'24'!$I$7:$I$100,"")+SUMIFS('24a'!$J$7:$J$100,'24a'!$H$7:$H$100,$A179,'24a'!$I$7:$I$100,"")+SUMIFS('24b'!$J$7:$J$100,'24b'!$H$7:$H$100,$A179,'24b'!$I$7:$I$100,"")+SUMIFS('24c'!$J$7:$J$100,'24c'!$H$7:$H$100,$A179,'24c'!$I$7:$I$100,"")+SUMIFS('24d'!$J$7:$J$100,'24d'!$H$7:$H$100,$A179,'24d'!$I$7:$I$100,"")+SUMIFS('24e'!$J$7:$J$100,'24e'!$H$7:$H$100,$A179,'24e'!$I$7:$I$100,"")+SUMIFS('24f'!$J$7:$J$100,'24f'!$H$7:$H$100,$A179,'24f'!$I$7:$I$100,"")+SUMIFS('24g'!$J$7:$J$100,'24g'!$H$7:$H$100,$A179,'24g'!$I$7:$I$100,"")+SUMIFS('24h'!$J$7:$J$100,'24h'!$H$7:$H$100,$A179,'24h'!$I$7:$I$100,"")+SUMIFS('24i'!$J$7:$J$100,'24i'!$H$7:$H$100,$A179,'24i'!$I$7:$I$100,"")+SUMIFS('25'!$J$7:$J$100,'25'!$H$7:$H$100,$A179,'25'!$I$7:$I$100,"")+SUMIFS('26'!$J$7:$J$100,'26'!$H$7:$H$100,$A179,'26'!$I$7:$I$100,"")+SUMIFS('26a'!$J$7:$J$100,'26a'!$H$7:$H$100,$A179,'26a'!$I$7:$I$100,"")+SUMIFS('27'!$J$7:$J$100,'27'!$H$7:$H$100,$A179,'27'!$I$7:$I$100,"")+SUMIFS('27a'!$J$7:$J$100,'27a'!$H$7:$H$100,$A179,'27a'!$I$7:$I$100,"")+SUMIFS('28'!$J$7:$J$100,'28'!$H$7:$H$100,$A179,'28'!$I$7:$I$100,"")+SUMIFS('29'!$J$7:$J$100,'29'!$H$7:$H$100,$A179,'29'!$I$7:$I$100,"")</f>
        <v>0</v>
      </c>
      <c r="J179" s="1296">
        <f t="shared" si="5"/>
        <v>0</v>
      </c>
      <c r="K179"/>
      <c r="L179"/>
      <c r="M179"/>
      <c r="N179"/>
      <c r="O179"/>
      <c r="P179"/>
      <c r="Q179"/>
      <c r="R179"/>
      <c r="S179" s="1307">
        <f t="shared" si="2"/>
        <v>0</v>
      </c>
      <c r="T179"/>
    </row>
    <row r="180" spans="1:20" x14ac:dyDescent="0.2">
      <c r="A180" t="s">
        <v>5120</v>
      </c>
      <c r="B180" t="s">
        <v>5470</v>
      </c>
      <c r="C180" s="1295">
        <f>SUMIFS('12'!$N$7:$N$100,'12'!$H$7:$H$100,$A180,'12'!$I$7:$I$100,1)+SUMIFS('13'!$N$7:$N$100,'13'!$H$7:$H$100,$A180,'13'!$I$7:$I$100,1)+SUMIFS('14'!$N$7:$N$100,'14'!$H$7:$H$100,$A180,'14'!$I$7:$I$100,1)+SUMIFS('15'!$N$7:$N$100,'15'!$H$7:$H$100,$A180,'15'!$I$7:$I$100,1)+SUMIFS('15a'!$N$7:$N$100,'15a'!$H$7:$H$100,$A180,'15a'!$I$7:$I$100,1)+SUMIFS('15b'!$N$7:$N$100,'15b'!$H$7:$H$100,$A180,'15b'!$I$7:$I$100,1)+SUMIFS('15c'!$N$7:$N$100,'15c'!$H$7:$H$100,$A180,'15c'!$I$7:$I$100,1)+SUMIFS('15d'!$N$7:$N$100,'15d'!$H$7:$H$100,$A180,'15d'!$I$7:$I$100,1)+SUMIFS('15e'!$N$7:$N$100,'15e'!$H$7:$H$100,$A180,'15e'!$I$7:$I$100,1)+SUMIFS('15f'!$N$7:$N$100,'15f'!$H$7:$H$100,$A180,'15f'!$I$7:$I$100,1)+SUMIFS('15g'!$N$7:$N$100,'15g'!$H$7:$H$100,$A180,'15g'!$I$7:$I$100,1)+SUMIFS('15h'!$N$7:$N$100,'15h'!$H$7:$H$100,$A180,'15h'!$I$7:$I$100,1)+SUMIFS('15i'!$N$7:$N$100,'15i'!$H$7:$H$100,$A180,'15i'!$I$7:$I$100,1)+SUMIFS('15j'!$N$7:$N$100,'15j'!$H$7:$H$100,$A180,'15j'!$I$7:$I$100,1)+SUMIFS('15k'!$N$7:$N$100,'15k'!$H$7:$H$100,$A180,'15k'!$I$7:$I$100,1)+SUMIFS('15l'!$N$7:$N$100,'15l'!$H$7:$H$100,$A180,'15l'!$I$7:$I$100,1)+SUMIFS('15m'!$N$7:$N$100,'15m'!$H$7:$H$100,$A180,'15m'!$I$7:$I$100,1)+SUMIFS('15n'!$N$7:$N$100,'15n'!$H$7:$H$100,$A180,'15n'!$I$7:$I$100,1)+SUMIFS('16'!$N$7:$N$100,'16'!$H$7:$H$100,$A180,'16'!$I$7:$I$100,1)+SUMIFS('16a'!$N$7:$N$100,'16a'!$H$7:$H$100,$A180,'16a'!$I$7:$I$100,1)+SUMIFS('17'!$N$7:$N$100,'17'!$H$7:$H$100,$A180,'17'!$I$7:$I$100,1)+SUMIFS('17a'!$N$7:$N$100,'17a'!$H$7:$H$100,$A180,'17a'!$I$7:$I$100,1)+SUMIFS('18'!$N$7:$N$100,'18'!$H$7:$H$100,$A180,'18'!$I$7:$I$100,1)+SUMIFS('18a'!$N$7:$N$100,'18a'!$H$7:$H$100,$A180,'18a'!$I$7:$I$100,1)
+SUMIFS('19'!$N$7:$N$100,'19'!$H$7:$H$100,$A180,'19'!$I$7:$I$100,1)+SUMIFS('20'!$N$7:$N$100,'20'!$H$7:$H$100,$A180,'20'!$I$7:$I$100,1)+SUMIFS('20a'!$N$7:$N$100,'20a'!$H$7:$H$100,$A180,'20a'!$I$7:$I$100,1)+SUMIFS('21'!$N$7:$N$100,'21'!$H$7:$H$100,$A180,'21'!$I$7:$I$100,1)+SUMIFS('22'!$N$7:$N$100,'22'!$H$7:$H$100,$A180,'22'!$I$7:$I$100,1)+SUMIFS('22a'!$N$7:$N$100,'22a'!$H$7:$H$100,$A180,'22a'!$I$7:$I$100,1)+SUMIFS('22b'!$N$7:$N$100,'22b'!$H$7:$H$100,$A180,'22b'!$I$7:$I$100,1)+SUMIFS('23'!$N$7:$N$100,'23'!$H$7:$H$100,$A180,'23'!$I$7:$I$100,1)+SUMIFS('24'!$N$7:$N$100,'24'!$H$7:$H$100,$A180,'24'!$I$7:$I$100,1)+SUMIFS('24a'!$N$7:$N$100,'24a'!$H$7:$H$100,$A180,'24a'!$I$7:$I$100,1)+SUMIFS('24b'!$N$7:$N$100,'24b'!$H$7:$H$100,$A180,'24b'!$I$7:$I$100,1)+SUMIFS('24c'!$N$7:$N$100,'24c'!$H$7:$H$100,$A180,'24c'!$I$7:$I$100,1)+SUMIFS('24d'!$N$7:$N$100,'24d'!$H$7:$H$100,$A180,'24d'!$I$7:$I$100,1)+SUMIFS('24e'!$N$7:$N$100,'24e'!$H$7:$H$100,$A180,'24e'!$I$7:$I$100,1)+SUMIFS('24f'!$N$7:$N$100,'24f'!$H$7:$H$100,$A180,'24f'!$I$7:$I$100,1)+SUMIFS('24g'!$N$7:$N$100,'24g'!$H$7:$H$100,$A180,'24g'!$I$7:$I$100,1)+SUMIFS('24h'!$N$7:$N$100,'24h'!$H$7:$H$100,$A180,'24h'!$I$7:$I$100,1)+SUMIFS('24i'!$N$7:$N$100,'24i'!$H$7:$H$100,$A180,'24i'!$I$7:$I$100,1)+SUMIFS('25'!$N$7:$N$100,'25'!$H$7:$H$100,$A180,'25'!$I$7:$I$100,1)+SUMIFS('26'!$N$7:$N$100,'26'!$H$7:$H$100,$A180,'26'!$I$7:$I$100,1)+SUMIFS('26a'!$N$7:$N$100,'26a'!$H$7:$H$100,$A180,'26a'!$I$7:$I$100,1)+SUMIFS('27'!$N$7:$N$100,'27'!$H$7:$H$100,$A180,'27'!$I$7:$I$100,1)+SUMIFS('27a'!$N$7:$N$100,'27a'!$H$7:$H$100,$A180,'27a'!$I$7:$I$100,1)+SUMIFS('28'!$N$7:$N$100,'28'!$H$7:$H$100,$A180,'28'!$I$7:$I$100,1)+SUMIFS('29'!$N$7:$N$100,'29'!$H$7:$H$100,$A180,'29'!$I$7:$I$100,1)</f>
        <v>7761</v>
      </c>
      <c r="D180" s="1315">
        <f>SUMIFS('12'!$N$7:$N$100,'12'!$H$7:$H$100,$A180,'12'!$I$7:$I$100,2)+SUMIFS('13'!$N$7:$N$100,'13'!$H$7:$H$100,$A180,'13'!$I$7:$I$100,2)+SUMIFS('14'!$N$7:$N$100,'14'!$H$7:$H$100,$A180,'14'!$I$7:$I$100,2)+SUMIFS('15'!$N$7:$N$100,'15'!$H$7:$H$100,$A180,'15'!$I$7:$I$100,2)+SUMIFS('15a'!$N$7:$N$100,'15a'!$H$7:$H$100,$A180,'15a'!$I$7:$I$100,2)+SUMIFS('15b'!$N$7:$N$100,'15b'!$H$7:$H$100,$A180,'15b'!$I$7:$I$100,2)+SUMIFS('15c'!$N$7:$N$100,'15c'!$H$7:$H$100,$A180,'15c'!$I$7:$I$100,2)+SUMIFS('15d'!$N$7:$N$100,'15d'!$H$7:$H$100,$A180,'15d'!$I$7:$I$100,2)+SUMIFS('15e'!$N$7:$N$100,'15e'!$H$7:$H$100,$A180,'15e'!$I$7:$I$100,2)+SUMIFS('15f'!$N$7:$N$100,'15f'!$H$7:$H$100,$A180,'15f'!$I$7:$I$100,2)+SUMIFS('15g'!$N$7:$N$100,'15g'!$H$7:$H$100,$A180,'15g'!$I$7:$I$100,2)+SUMIFS('15h'!$N$7:$N$100,'15h'!$H$7:$H$100,$A180,'15h'!$I$7:$I$100,2)+SUMIFS('15i'!$N$7:$N$100,'15i'!$H$7:$H$100,$A180,'15i'!$I$7:$I$100,2)+SUMIFS('15j'!$N$7:$N$100,'15j'!$H$7:$H$100,$A180,'15j'!$I$7:$I$100,2)+SUMIFS('15k'!$N$7:$N$100,'15k'!$H$7:$H$100,$A180,'15k'!$I$7:$I$100,2)+SUMIFS('15l'!$N$7:$N$100,'15l'!$H$7:$H$100,$A180,'15l'!$I$7:$I$100,2)+SUMIFS('15m'!$N$7:$N$100,'15m'!$H$7:$H$100,$A180,'15m'!$I$7:$I$100,2)+SUMIFS('15n'!$N$7:$N$100,'15n'!$H$7:$H$100,$A180,'15n'!$I$7:$I$100,2)+SUMIFS('16'!$N$7:$N$100,'16'!$H$7:$H$100,$A180,'16'!$I$7:$I$100,2)+SUMIFS('16a'!$N$7:$N$100,'16a'!$H$7:$H$100,$A180,'16a'!$I$7:$I$100,2)+SUMIFS('17'!$N$7:$N$100,'17'!$H$7:$H$100,$A180,'17'!$I$7:$I$100,2)+SUMIFS('17a'!$N$7:$N$100,'17a'!$H$7:$H$100,$A180,'17a'!$I$7:$I$100,2)+SUMIFS('18'!$N$7:$N$100,'18'!$H$7:$H$100,$A180,'18'!$I$7:$I$100,2)+SUMIFS('18a'!$N$7:$N$100,'18a'!$H$7:$H$100,$A180,'18a'!$I$7:$I$100,2)
+SUMIFS('19'!$N$7:$N$100,'19'!$H$7:$H$100,$A180,'19'!$I$7:$I$100,2)+SUMIFS('20'!$N$7:$N$100,'20'!$H$7:$H$100,$A180,'20'!$I$7:$I$100,2)+SUMIFS('20a'!$N$7:$N$100,'20a'!$H$7:$H$100,$A180,'20a'!$I$7:$I$100,2)+SUMIFS('21'!$N$7:$N$100,'21'!$H$7:$H$100,$A180,'21'!$I$7:$I$100,2)+SUMIFS('22'!$N$7:$N$100,'22'!$H$7:$H$100,$A180,'22'!$I$7:$I$100,2)+SUMIFS('22a'!$N$7:$N$100,'22a'!$H$7:$H$100,$A180,'22a'!$I$7:$I$100,2)+SUMIFS('22b'!$N$7:$N$100,'22b'!$H$7:$H$100,$A180,'22b'!$I$7:$I$100,2)+SUMIFS('23'!$N$7:$N$100,'23'!$H$7:$H$100,$A180,'23'!$I$7:$I$100,2)+SUMIFS('24'!$N$7:$N$100,'24'!$H$7:$H$100,$A180,'24'!$I$7:$I$100,2)+SUMIFS('24a'!$N$7:$N$100,'24a'!$H$7:$H$100,$A180,'24a'!$I$7:$I$100,2)+SUMIFS('24b'!$N$7:$N$100,'24b'!$H$7:$H$100,$A180,'24b'!$I$7:$I$100,2)+SUMIFS('24c'!$N$7:$N$100,'24c'!$H$7:$H$100,$A180,'24c'!$I$7:$I$100,2)+SUMIFS('24d'!$N$7:$N$100,'24d'!$H$7:$H$100,$A180,'24d'!$I$7:$I$100,2)+SUMIFS('24e'!$N$7:$N$100,'24e'!$H$7:$H$100,$A180,'24e'!$I$7:$I$100,2)+SUMIFS('24f'!$N$7:$N$100,'24f'!$H$7:$H$100,$A180,'24f'!$I$7:$I$100,2)+SUMIFS('24g'!$N$7:$N$100,'24g'!$H$7:$H$100,$A180,'24g'!$I$7:$I$100,2)+SUMIFS('24h'!$N$7:$N$100,'24h'!$H$7:$H$100,$A180,'24h'!$I$7:$I$100,2)+SUMIFS('24i'!$N$7:$N$100,'24i'!$H$7:$H$100,$A180,'24i'!$I$7:$I$100,2)+SUMIFS('25'!$N$7:$N$100,'25'!$H$7:$H$100,$A180,'25'!$I$7:$I$100,2)+SUMIFS('26'!$N$7:$N$100,'26'!$H$7:$H$100,$A180,'26'!$I$7:$I$100,2)+SUMIFS('26a'!$N$7:$N$100,'26a'!$H$7:$H$100,$A180,'26a'!$I$7:$I$100,2)+SUMIFS('27'!$N$7:$N$100,'27'!$H$7:$H$100,$A180,'27'!$I$7:$I$100,2)+SUMIFS('27a'!$N$7:$N$100,'27a'!$H$7:$H$100,$A180,'27a'!$I$7:$I$100,2)+SUMIFS('28'!$N$7:$N$100,'28'!$H$7:$H$100,$A180,'28'!$I$7:$I$100,2)+SUMIFS('29'!$N$7:$N$100,'29'!$H$7:$H$100,$A180,'29'!$I$7:$I$100,2)</f>
        <v>1767</v>
      </c>
      <c r="E180" s="1315">
        <f>SUMIFS('12'!$N$7:$N$100,'12'!$H$7:$H$100,$A180,'12'!$I$7:$I$100,"")+SUMIFS('13'!$N$7:$N$100,'13'!$H$7:$H$100,$A180,'13'!$I$7:$I$100,"")+SUMIFS('14'!$N$7:$N$100,'14'!$H$7:$H$100,$A180,'14'!$I$7:$I$100,"")+SUMIFS('15'!$N$7:$N$100,'15'!$H$7:$H$100,$A180,'15'!$I$7:$I$100,"")+SUMIFS('15a'!$N$7:$N$100,'15a'!$H$7:$H$100,$A180,'15a'!$I$7:$I$100,"")+SUMIFS('15b'!$N$7:$N$100,'15b'!$H$7:$H$100,$A180,'15b'!$I$7:$I$100,"")+SUMIFS('15c'!$N$7:$N$100,'15c'!$H$7:$H$100,$A180,'15c'!$I$7:$I$100,"")+SUMIFS('15d'!$N$7:$N$100,'15d'!$H$7:$H$100,$A180,'15d'!$I$7:$I$100,"")+SUMIFS('15e'!$N$7:$N$100,'15e'!$H$7:$H$100,$A180,'15e'!$I$7:$I$100,"")+SUMIFS('15f'!$N$7:$N$100,'15f'!$H$7:$H$100,$A180,'15f'!$I$7:$I$100,"")+SUMIFS('15g'!$N$7:$N$100,'15g'!$H$7:$H$100,$A180,'15g'!$I$7:$I$100,"")+SUMIFS('15h'!$N$7:$N$100,'15h'!$H$7:$H$100,$A180,'15h'!$I$7:$I$100,"")+SUMIFS('15i'!$N$7:$N$100,'15i'!$H$7:$H$100,$A180,'15i'!$I$7:$I$100,"")+SUMIFS('15j'!$N$7:$N$100,'15j'!$H$7:$H$100,$A180,'15j'!$I$7:$I$100,"")+SUMIFS('15k'!$N$7:$N$100,'15k'!$H$7:$H$100,$A180,'15k'!$I$7:$I$100,"")+SUMIFS('15l'!$N$7:$N$100,'15l'!$H$7:$H$100,$A180,'15l'!$I$7:$I$100,"")+SUMIFS('15m'!$N$7:$N$100,'15m'!$H$7:$H$100,$A180,'15m'!$I$7:$I$100,"")+SUMIFS('15n'!$N$7:$N$100,'15n'!$H$7:$H$100,$A180,'15n'!$I$7:$I$100,"")+SUMIFS('16'!$N$7:$N$100,'16'!$H$7:$H$100,$A180,'16'!$I$7:$I$100,"")+SUMIFS('16a'!$N$7:$N$100,'16a'!$H$7:$H$100,$A180,'16a'!$I$7:$I$100,"")+SUMIFS('17'!$N$7:$N$100,'17'!$H$7:$H$100,$A180,'17'!$I$7:$I$100,"")+SUMIFS('17a'!$N$7:$N$100,'17a'!$H$7:$H$100,$A180,'17a'!$I$7:$I$100,"")+SUMIFS('18'!$N$7:$N$100,'18'!$H$7:$H$100,$A180,'18'!$I$7:$I$100,"")+SUMIFS('18a'!$N$7:$N$100,'18a'!$H$7:$H$100,$A180,'18a'!$I$7:$I$100,"")
+SUMIFS('19'!$N$7:$N$100,'19'!$H$7:$H$100,$A180,'19'!$I$7:$I$100,"")+SUMIFS('20'!$N$7:$N$100,'20'!$H$7:$H$100,$A180,'20'!$I$7:$I$100,"")+SUMIFS('20a'!$N$7:$N$100,'20a'!$H$7:$H$100,$A180,'20a'!$I$7:$I$100,"")+SUMIFS('21'!$N$7:$N$100,'21'!$H$7:$H$100,$A180,'21'!$I$7:$I$100,"")+SUMIFS('22'!$N$7:$N$100,'22'!$H$7:$H$100,$A180,'22'!$I$7:$I$100,"")+SUMIFS('22a'!$N$7:$N$100,'22a'!$H$7:$H$100,$A180,'22a'!$I$7:$I$100,"")+SUMIFS('22b'!$N$7:$N$100,'22b'!$H$7:$H$100,$A180,'22b'!$I$7:$I$100,"")+SUMIFS('23'!$N$7:$N$100,'23'!$H$7:$H$100,$A180,'23'!$I$7:$I$100,"")+SUMIFS('24'!$N$7:$N$100,'24'!$H$7:$H$100,$A180,'24'!$I$7:$I$100,"")+SUMIFS('24a'!$N$7:$N$100,'24a'!$H$7:$H$100,$A180,'24a'!$I$7:$I$100,"")+SUMIFS('24b'!$N$7:$N$100,'24b'!$H$7:$H$100,$A180,'24b'!$I$7:$I$100,"")+SUMIFS('24c'!$N$7:$N$100,'24c'!$H$7:$H$100,$A180,'24c'!$I$7:$I$100,"")+SUMIFS('24d'!$N$7:$N$100,'24d'!$H$7:$H$100,$A180,'24d'!$I$7:$I$100,"")+SUMIFS('24e'!$N$7:$N$100,'24e'!$H$7:$H$100,$A180,'24e'!$I$7:$I$100,"")+SUMIFS('24f'!$N$7:$N$100,'24f'!$H$7:$H$100,$A180,'24f'!$I$7:$I$100,"")+SUMIFS('24g'!$N$7:$N$100,'24g'!$H$7:$H$100,$A180,'24g'!$I$7:$I$100,"")+SUMIFS('24h'!$N$7:$N$100,'24h'!$H$7:$H$100,$A180,'24h'!$I$7:$I$100,"")+SUMIFS('24i'!$N$7:$N$100,'24i'!$H$7:$H$100,$A180,'24i'!$I$7:$I$100,"")+SUMIFS('25'!$N$7:$N$100,'25'!$H$7:$H$100,$A180,'25'!$I$7:$I$100,"")+SUMIFS('26'!$N$7:$N$100,'26'!$H$7:$H$100,$A180,'26'!$I$7:$I$100,"")+SUMIFS('26a'!$N$7:$N$100,'26a'!$H$7:$H$100,$A180,'26a'!$I$7:$I$100,"")+SUMIFS('27'!$N$7:$N$100,'27'!$H$7:$H$100,$A180,'27'!$I$7:$I$100,"")+SUMIFS('27a'!$N$7:$N$100,'27a'!$H$7:$H$100,$A180,'27a'!$I$7:$I$100,"")+SUMIFS('28'!$N$7:$N$100,'28'!$H$7:$H$100,$A180,'28'!$I$7:$I$100,"")+SUMIFS('29'!$N$7:$N$100,'29'!$H$7:$H$100,$A180,'29'!$I$7:$I$100,"")</f>
        <v>0</v>
      </c>
      <c r="F180" s="1296">
        <f t="shared" si="4"/>
        <v>9528</v>
      </c>
      <c r="G180" s="1295">
        <f>SUMIFS('12'!$J$7:$J$100,'12'!$H$7:$H$100,$A180,'12'!$I$7:$I$100,1)+SUMIFS('13'!$J$7:$J$100,'13'!$H$7:$H$100,$A180,'13'!$I$7:$I$100,1)+SUMIFS('14'!$J$7:$J$100,'14'!$H$7:$H$100,$A180,'14'!$I$7:$I$100,1)+SUMIFS('15'!$J$7:$J$100,'15'!$H$7:$H$100,$A180,'15'!$I$7:$I$100,1)+SUMIFS('15a'!$J$7:$J$100,'15a'!$H$7:$H$100,$A180,'15a'!$I$7:$I$100,1)+SUMIFS('15b'!$J$7:$J$100,'15b'!$H$7:$H$100,$A180,'15b'!$I$7:$I$100,1)+SUMIFS('15c'!$J$7:$J$100,'15c'!$H$7:$H$100,$A180,'15c'!$I$7:$I$100,1)+SUMIFS('15d'!$J$7:$J$100,'15d'!$H$7:$H$100,$A180,'15d'!$I$7:$I$100,1)+SUMIFS('15e'!$J$7:$J$100,'15e'!$H$7:$H$100,$A180,'15e'!$I$7:$I$100,1)+SUMIFS('15f'!$J$7:$J$100,'15f'!$H$7:$H$100,$A180,'15f'!$I$7:$I$100,1)+SUMIFS('15g'!$J$7:$J$100,'15g'!$H$7:$H$100,$A180,'15g'!$I$7:$I$100,1)+SUMIFS('15h'!$J$7:$J$100,'15h'!$H$7:$H$100,$A180,'15h'!$I$7:$I$100,1)+SUMIFS('15i'!$J$7:$J$100,'15i'!$H$7:$H$100,$A180,'15i'!$I$7:$I$100,1)+SUMIFS('15j'!$J$7:$J$100,'15j'!$H$7:$H$100,$A180,'15j'!$I$7:$I$100,1)+SUMIFS('15k'!$J$7:$J$100,'15k'!$H$7:$H$100,$A180,'15k'!$I$7:$I$100,1)+SUMIFS('15l'!$J$7:$J$100,'15l'!$H$7:$H$100,$A180,'15l'!$I$7:$I$100,1)+SUMIFS('15m'!$J$7:$J$100,'15m'!$H$7:$H$100,$A180,'15m'!$I$7:$I$100,1)+SUMIFS('15n'!$J$7:$J$100,'15n'!$H$7:$H$100,$A180,'15n'!$I$7:$I$100,1)+SUMIFS('16'!$J$7:$J$100,'16'!$H$7:$H$100,$A180,'16'!$I$7:$I$100,1)+SUMIFS('16a'!$J$7:$J$100,'16a'!$H$7:$H$100,$A180,'16a'!$I$7:$I$100,1)+SUMIFS('17'!$J$7:$J$100,'17'!$H$7:$H$100,$A180,'17'!$I$7:$I$100,1)+SUMIFS('17a'!$J$7:$J$100,'17a'!$H$7:$H$100,$A180,'17a'!$I$7:$I$100,1)+SUMIFS('18'!$J$7:$J$100,'18'!$H$7:$H$100,$A180,'18'!$I$7:$I$100,1)+SUMIFS('18a'!$J$7:$J$100,'18a'!$H$7:$H$100,$A180,'18a'!$I$7:$I$100,1)
+SUMIFS('19'!$J$7:$J$100,'19'!$H$7:$H$100,$A180,'19'!$I$7:$I$100,1)+SUMIFS('20'!$J$7:$J$100,'20'!$H$7:$H$100,$A180,'20'!$I$7:$I$100,1)+SUMIFS('20a'!$J$7:$J$100,'20a'!$H$7:$H$100,$A180,'20a'!$I$7:$I$100,1)+SUMIFS('21'!$J$7:$J$100,'21'!$H$7:$H$100,$A180,'21'!$I$7:$I$100,1)+SUMIFS('22'!$J$7:$J$100,'22'!$H$7:$H$100,$A180,'22'!$I$7:$I$100,1)+SUMIFS('22a'!$J$7:$J$100,'22a'!$H$7:$H$100,$A180,'22a'!$I$7:$I$100,1)+SUMIFS('22b'!$J$7:$J$100,'22b'!$H$7:$H$100,$A180,'22b'!$I$7:$I$100,1)+SUMIFS('23'!$J$7:$J$100,'23'!$H$7:$H$100,$A180,'23'!$I$7:$I$100,1)+SUMIFS('24'!$J$7:$J$100,'24'!$H$7:$H$100,$A180,'24'!$I$7:$I$100,1)+SUMIFS('24a'!$J$7:$J$100,'24a'!$H$7:$H$100,$A180,'24a'!$I$7:$I$100,1)+SUMIFS('24b'!$J$7:$J$100,'24b'!$H$7:$H$100,$A180,'24b'!$I$7:$I$100,1)+SUMIFS('24c'!$J$7:$J$100,'24c'!$H$7:$H$100,$A180,'24c'!$I$7:$I$100,1)+SUMIFS('24d'!$J$7:$J$100,'24d'!$H$7:$H$100,$A180,'24d'!$I$7:$I$100,1)+SUMIFS('24e'!$J$7:$J$100,'24e'!$H$7:$H$100,$A180,'24e'!$I$7:$I$100,1)+SUMIFS('24f'!$J$7:$J$100,'24f'!$H$7:$H$100,$A180,'24f'!$I$7:$I$100,1)+SUMIFS('24g'!$J$7:$J$100,'24g'!$H$7:$H$100,$A180,'24g'!$I$7:$I$100,1)+SUMIFS('24h'!$J$7:$J$100,'24h'!$H$7:$H$100,$A180,'24h'!$I$7:$I$100,1)+SUMIFS('24i'!$J$7:$J$100,'24i'!$H$7:$H$100,$A180,'24i'!$I$7:$I$100,1)+SUMIFS('25'!$J$7:$J$100,'25'!$H$7:$H$100,$A180,'25'!$I$7:$I$100,1)+SUMIFS('26'!$J$7:$J$100,'26'!$H$7:$H$100,$A180,'26'!$I$7:$I$100,1)+SUMIFS('26a'!$J$7:$J$100,'26a'!$H$7:$H$100,$A180,'26a'!$I$7:$I$100,1)+SUMIFS('27'!$J$7:$J$100,'27'!$H$7:$H$100,$A180,'27'!$I$7:$I$100,1)+SUMIFS('27a'!$J$7:$J$100,'27a'!$H$7:$H$100,$A180,'27a'!$I$7:$I$100,1)+SUMIFS('28'!$J$7:$J$100,'28'!$H$7:$H$100,$A180,'28'!$I$7:$I$100,1)+SUMIFS('29'!$J$7:$J$100,'29'!$H$7:$H$100,$A180,'29'!$I$7:$I$100,1)</f>
        <v>7917.45</v>
      </c>
      <c r="H180" s="1315">
        <f>SUMIFS('12'!$J$7:$J$100,'12'!$H$7:$H$100,$A180,'12'!$I$7:$I$100,2)+SUMIFS('13'!$J$7:$J$100,'13'!$H$7:$H$100,$A180,'13'!$I$7:$I$100,2)+SUMIFS('14'!$J$7:$J$100,'14'!$H$7:$H$100,$A180,'14'!$I$7:$I$100,2)+SUMIFS('15'!$J$7:$J$100,'15'!$H$7:$H$100,$A180,'15'!$I$7:$I$100,2)+SUMIFS('15a'!$J$7:$J$100,'15a'!$H$7:$H$100,$A180,'15a'!$I$7:$I$100,2)+SUMIFS('15b'!$J$7:$J$100,'15b'!$H$7:$H$100,$A180,'15b'!$I$7:$I$100,2)+SUMIFS('15c'!$J$7:$J$100,'15c'!$H$7:$H$100,$A180,'15c'!$I$7:$I$100,2)+SUMIFS('15d'!$J$7:$J$100,'15d'!$H$7:$H$100,$A180,'15d'!$I$7:$I$100,2)+SUMIFS('15e'!$J$7:$J$100,'15e'!$H$7:$H$100,$A180,'15e'!$I$7:$I$100,2)+SUMIFS('15f'!$J$7:$J$100,'15f'!$H$7:$H$100,$A180,'15f'!$I$7:$I$100,2)+SUMIFS('15g'!$J$7:$J$100,'15g'!$H$7:$H$100,$A180,'15g'!$I$7:$I$100,2)+SUMIFS('15h'!$J$7:$J$100,'15h'!$H$7:$H$100,$A180,'15h'!$I$7:$I$100,2)+SUMIFS('15i'!$J$7:$J$100,'15i'!$H$7:$H$100,$A180,'15i'!$I$7:$I$100,2)+SUMIFS('15j'!$J$7:$J$100,'15j'!$H$7:$H$100,$A180,'15j'!$I$7:$I$100,2)+SUMIFS('15k'!$J$7:$J$100,'15k'!$H$7:$H$100,$A180,'15k'!$I$7:$I$100,2)+SUMIFS('15l'!$J$7:$J$100,'15l'!$H$7:$H$100,$A180,'15l'!$I$7:$I$100,2)+SUMIFS('15m'!$J$7:$J$100,'15m'!$H$7:$H$100,$A180,'15m'!$I$7:$I$100,2)+SUMIFS('15n'!$J$7:$J$100,'15n'!$H$7:$H$100,$A180,'15n'!$I$7:$I$100,2)+SUMIFS('16'!$J$7:$J$100,'16'!$H$7:$H$100,$A180,'16'!$I$7:$I$100,2)+SUMIFS('16a'!$J$7:$J$100,'16a'!$H$7:$H$100,$A180,'16a'!$I$7:$I$100,2)+SUMIFS('17'!$J$7:$J$100,'17'!$H$7:$H$100,$A180,'17'!$I$7:$I$100,2)+SUMIFS('17a'!$J$7:$J$100,'17a'!$H$7:$H$100,$A180,'17a'!$I$7:$I$100,2)+SUMIFS('18'!$J$7:$J$100,'18'!$H$7:$H$100,$A180,'18'!$I$7:$I$100,2)+SUMIFS('18a'!$J$7:$J$100,'18a'!$H$7:$H$100,$A180,'18a'!$I$7:$I$100,2)
+SUMIFS('19'!$J$7:$J$100,'19'!$H$7:$H$100,$A180,'19'!$I$7:$I$100,2)+SUMIFS('20'!$J$7:$J$100,'20'!$H$7:$H$100,$A180,'20'!$I$7:$I$100,2)+SUMIFS('20a'!$J$7:$J$100,'20a'!$H$7:$H$100,$A180,'20a'!$I$7:$I$100,2)+SUMIFS('21'!$J$7:$J$100,'21'!$H$7:$H$100,$A180,'21'!$I$7:$I$100,2)+SUMIFS('22'!$J$7:$J$100,'22'!$H$7:$H$100,$A180,'22'!$I$7:$I$100,2)+SUMIFS('22a'!$J$7:$J$100,'22a'!$H$7:$H$100,$A180,'22a'!$I$7:$I$100,2)+SUMIFS('22b'!$J$7:$J$100,'22b'!$H$7:$H$100,$A180,'22b'!$I$7:$I$100,2)+SUMIFS('23'!$J$7:$J$100,'23'!$H$7:$H$100,$A180,'23'!$I$7:$I$100,2)+SUMIFS('24'!$J$7:$J$100,'24'!$H$7:$H$100,$A180,'24'!$I$7:$I$100,2)+SUMIFS('24a'!$J$7:$J$100,'24a'!$H$7:$H$100,$A180,'24a'!$I$7:$I$100,2)+SUMIFS('24b'!$J$7:$J$100,'24b'!$H$7:$H$100,$A180,'24b'!$I$7:$I$100,2)+SUMIFS('24c'!$J$7:$J$100,'24c'!$H$7:$H$100,$A180,'24c'!$I$7:$I$100,2)+SUMIFS('24d'!$J$7:$J$100,'24d'!$H$7:$H$100,$A180,'24d'!$I$7:$I$100,2)+SUMIFS('24e'!$J$7:$J$100,'24e'!$H$7:$H$100,$A180,'24e'!$I$7:$I$100,2)+SUMIFS('24f'!$J$7:$J$100,'24f'!$H$7:$H$100,$A180,'24f'!$I$7:$I$100,2)+SUMIFS('24g'!$J$7:$J$100,'24g'!$H$7:$H$100,$A180,'24g'!$I$7:$I$100,2)+SUMIFS('24h'!$J$7:$J$100,'24h'!$H$7:$H$100,$A180,'24h'!$I$7:$I$100,2)+SUMIFS('24i'!$J$7:$J$100,'24i'!$H$7:$H$100,$A180,'24i'!$I$7:$I$100,2)+SUMIFS('25'!$J$7:$J$100,'25'!$H$7:$H$100,$A180,'25'!$I$7:$I$100,2)+SUMIFS('26'!$J$7:$J$100,'26'!$H$7:$H$100,$A180,'26'!$I$7:$I$100,2)+SUMIFS('26a'!$J$7:$J$100,'26a'!$H$7:$H$100,$A180,'26a'!$I$7:$I$100,2)+SUMIFS('27'!$J$7:$J$100,'27'!$H$7:$H$100,$A180,'27'!$I$7:$I$100,2)+SUMIFS('27a'!$J$7:$J$100,'27a'!$H$7:$H$100,$A180,'27a'!$I$7:$I$100,2)+SUMIFS('28'!$J$7:$J$100,'28'!$H$7:$H$100,$A180,'28'!$I$7:$I$100,2)+SUMIFS('29'!$J$7:$J$100,'29'!$H$7:$H$100,$A180,'29'!$I$7:$I$100,2)</f>
        <v>7321.67</v>
      </c>
      <c r="I180" s="1315">
        <f>SUMIFS('12'!$J$7:$J$100,'12'!$H$7:$H$100,$A180,'12'!$I$7:$I$100,"")+SUMIFS('13'!$J$7:$J$100,'13'!$H$7:$H$100,$A180,'13'!$I$7:$I$100,"")+SUMIFS('14'!$J$7:$J$100,'14'!$H$7:$H$100,$A180,'14'!$I$7:$I$100,"")+SUMIFS('15'!$J$7:$J$100,'15'!$H$7:$H$100,$A180,'15'!$I$7:$I$100,"")+SUMIFS('15a'!$J$7:$J$100,'15a'!$H$7:$H$100,$A180,'15a'!$I$7:$I$100,"")+SUMIFS('15b'!$J$7:$J$100,'15b'!$H$7:$H$100,$A180,'15b'!$I$7:$I$100,"")+SUMIFS('15c'!$J$7:$J$100,'15c'!$H$7:$H$100,$A180,'15c'!$I$7:$I$100,"")+SUMIFS('15d'!$J$7:$J$100,'15d'!$H$7:$H$100,$A180,'15d'!$I$7:$I$100,"")+SUMIFS('15e'!$J$7:$J$100,'15e'!$H$7:$H$100,$A180,'15e'!$I$7:$I$100,"")+SUMIFS('15f'!$J$7:$J$100,'15f'!$H$7:$H$100,$A180,'15f'!$I$7:$I$100,"")+SUMIFS('15g'!$J$7:$J$100,'15g'!$H$7:$H$100,$A180,'15g'!$I$7:$I$100,"")+SUMIFS('15h'!$J$7:$J$100,'15h'!$H$7:$H$100,$A180,'15h'!$I$7:$I$100,"")+SUMIFS('15i'!$J$7:$J$100,'15i'!$H$7:$H$100,$A180,'15i'!$I$7:$I$100,"")+SUMIFS('15j'!$J$7:$J$100,'15j'!$H$7:$H$100,$A180,'15j'!$I$7:$I$100,"")+SUMIFS('15k'!$J$7:$J$100,'15k'!$H$7:$H$100,$A180,'15k'!$I$7:$I$100,"")+SUMIFS('15l'!$J$7:$J$100,'15l'!$H$7:$H$100,$A180,'15l'!$I$7:$I$100,"")+SUMIFS('15m'!$J$7:$J$100,'15m'!$H$7:$H$100,$A180,'15m'!$I$7:$I$100,"")+SUMIFS('15n'!$J$7:$J$100,'15n'!$H$7:$H$100,$A180,'15n'!$I$7:$I$100,"")+SUMIFS('16'!$J$7:$J$100,'16'!$H$7:$H$100,$A180,'16'!$I$7:$I$100,"")+SUMIFS('16a'!$J$7:$J$100,'16a'!$H$7:$H$100,$A180,'16a'!$I$7:$I$100,"")+SUMIFS('17'!$J$7:$J$100,'17'!$H$7:$H$100,$A180,'17'!$I$7:$I$100,"")+SUMIFS('17a'!$J$7:$J$100,'17a'!$H$7:$H$100,$A180,'17a'!$I$7:$I$100,"")+SUMIFS('18'!$J$7:$J$100,'18'!$H$7:$H$100,$A180,'18'!$I$7:$I$100,"")+SUMIFS('18a'!$J$7:$J$100,'18a'!$H$7:$H$100,$A180,'18a'!$I$7:$I$100,"")
+SUMIFS('19'!$J$7:$J$100,'19'!$H$7:$H$100,$A180,'19'!$I$7:$I$100,"")+SUMIFS('20'!$J$7:$J$100,'20'!$H$7:$H$100,$A180,'20'!$I$7:$I$100,"")+SUMIFS('20a'!$J$7:$J$100,'20a'!$H$7:$H$100,$A180,'20a'!$I$7:$I$100,"")+SUMIFS('21'!$J$7:$J$100,'21'!$H$7:$H$100,$A180,'21'!$I$7:$I$100,"")+SUMIFS('22'!$J$7:$J$100,'22'!$H$7:$H$100,$A180,'22'!$I$7:$I$100,"")+SUMIFS('22a'!$J$7:$J$100,'22a'!$H$7:$H$100,$A180,'22a'!$I$7:$I$100,"")+SUMIFS('22b'!$J$7:$J$100,'22b'!$H$7:$H$100,$A180,'22b'!$I$7:$I$100,"")+SUMIFS('23'!$J$7:$J$100,'23'!$H$7:$H$100,$A180,'23'!$I$7:$I$100,"")+SUMIFS('24'!$J$7:$J$100,'24'!$H$7:$H$100,$A180,'24'!$I$7:$I$100,"")+SUMIFS('24a'!$J$7:$J$100,'24a'!$H$7:$H$100,$A180,'24a'!$I$7:$I$100,"")+SUMIFS('24b'!$J$7:$J$100,'24b'!$H$7:$H$100,$A180,'24b'!$I$7:$I$100,"")+SUMIFS('24c'!$J$7:$J$100,'24c'!$H$7:$H$100,$A180,'24c'!$I$7:$I$100,"")+SUMIFS('24d'!$J$7:$J$100,'24d'!$H$7:$H$100,$A180,'24d'!$I$7:$I$100,"")+SUMIFS('24e'!$J$7:$J$100,'24e'!$H$7:$H$100,$A180,'24e'!$I$7:$I$100,"")+SUMIFS('24f'!$J$7:$J$100,'24f'!$H$7:$H$100,$A180,'24f'!$I$7:$I$100,"")+SUMIFS('24g'!$J$7:$J$100,'24g'!$H$7:$H$100,$A180,'24g'!$I$7:$I$100,"")+SUMIFS('24h'!$J$7:$J$100,'24h'!$H$7:$H$100,$A180,'24h'!$I$7:$I$100,"")+SUMIFS('24i'!$J$7:$J$100,'24i'!$H$7:$H$100,$A180,'24i'!$I$7:$I$100,"")+SUMIFS('25'!$J$7:$J$100,'25'!$H$7:$H$100,$A180,'25'!$I$7:$I$100,"")+SUMIFS('26'!$J$7:$J$100,'26'!$H$7:$H$100,$A180,'26'!$I$7:$I$100,"")+SUMIFS('26a'!$J$7:$J$100,'26a'!$H$7:$H$100,$A180,'26a'!$I$7:$I$100,"")+SUMIFS('27'!$J$7:$J$100,'27'!$H$7:$H$100,$A180,'27'!$I$7:$I$100,"")+SUMIFS('27a'!$J$7:$J$100,'27a'!$H$7:$H$100,$A180,'27a'!$I$7:$I$100,"")+SUMIFS('28'!$J$7:$J$100,'28'!$H$7:$H$100,$A180,'28'!$I$7:$I$100,"")+SUMIFS('29'!$J$7:$J$100,'29'!$H$7:$H$100,$A180,'29'!$I$7:$I$100,"")</f>
        <v>0</v>
      </c>
      <c r="J180" s="1296">
        <f t="shared" si="5"/>
        <v>15239.119999999999</v>
      </c>
      <c r="K180"/>
      <c r="L180"/>
      <c r="M180"/>
      <c r="N180"/>
      <c r="O180"/>
      <c r="P180"/>
      <c r="Q180"/>
      <c r="R180"/>
      <c r="S180" s="1307">
        <f t="shared" si="2"/>
        <v>49534.240000000005</v>
      </c>
      <c r="T180"/>
    </row>
    <row r="181" spans="1:20" x14ac:dyDescent="0.2">
      <c r="A181" t="s">
        <v>5066</v>
      </c>
      <c r="B181" s="784" t="s">
        <v>5584</v>
      </c>
      <c r="C181" s="1295">
        <f>SUMIFS('12'!$N$7:$N$100,'12'!$H$7:$H$100,$A181,'12'!$I$7:$I$100,1)+SUMIFS('13'!$N$7:$N$100,'13'!$H$7:$H$100,$A181,'13'!$I$7:$I$100,1)+SUMIFS('14'!$N$7:$N$100,'14'!$H$7:$H$100,$A181,'14'!$I$7:$I$100,1)+SUMIFS('15'!$N$7:$N$100,'15'!$H$7:$H$100,$A181,'15'!$I$7:$I$100,1)+SUMIFS('15a'!$N$7:$N$100,'15a'!$H$7:$H$100,$A181,'15a'!$I$7:$I$100,1)+SUMIFS('15b'!$N$7:$N$100,'15b'!$H$7:$H$100,$A181,'15b'!$I$7:$I$100,1)+SUMIFS('15c'!$N$7:$N$100,'15c'!$H$7:$H$100,$A181,'15c'!$I$7:$I$100,1)+SUMIFS('15d'!$N$7:$N$100,'15d'!$H$7:$H$100,$A181,'15d'!$I$7:$I$100,1)+SUMIFS('15e'!$N$7:$N$100,'15e'!$H$7:$H$100,$A181,'15e'!$I$7:$I$100,1)+SUMIFS('15f'!$N$7:$N$100,'15f'!$H$7:$H$100,$A181,'15f'!$I$7:$I$100,1)+SUMIFS('15g'!$N$7:$N$100,'15g'!$H$7:$H$100,$A181,'15g'!$I$7:$I$100,1)+SUMIFS('15h'!$N$7:$N$100,'15h'!$H$7:$H$100,$A181,'15h'!$I$7:$I$100,1)+SUMIFS('15i'!$N$7:$N$100,'15i'!$H$7:$H$100,$A181,'15i'!$I$7:$I$100,1)+SUMIFS('15j'!$N$7:$N$100,'15j'!$H$7:$H$100,$A181,'15j'!$I$7:$I$100,1)+SUMIFS('15k'!$N$7:$N$100,'15k'!$H$7:$H$100,$A181,'15k'!$I$7:$I$100,1)+SUMIFS('15l'!$N$7:$N$100,'15l'!$H$7:$H$100,$A181,'15l'!$I$7:$I$100,1)+SUMIFS('15m'!$N$7:$N$100,'15m'!$H$7:$H$100,$A181,'15m'!$I$7:$I$100,1)+SUMIFS('15n'!$N$7:$N$100,'15n'!$H$7:$H$100,$A181,'15n'!$I$7:$I$100,1)+SUMIFS('16'!$N$7:$N$100,'16'!$H$7:$H$100,$A181,'16'!$I$7:$I$100,1)+SUMIFS('16a'!$N$7:$N$100,'16a'!$H$7:$H$100,$A181,'16a'!$I$7:$I$100,1)+SUMIFS('17'!$N$7:$N$100,'17'!$H$7:$H$100,$A181,'17'!$I$7:$I$100,1)+SUMIFS('17a'!$N$7:$N$100,'17a'!$H$7:$H$100,$A181,'17a'!$I$7:$I$100,1)+SUMIFS('18'!$N$7:$N$100,'18'!$H$7:$H$100,$A181,'18'!$I$7:$I$100,1)+SUMIFS('18a'!$N$7:$N$100,'18a'!$H$7:$H$100,$A181,'18a'!$I$7:$I$100,1)
+SUMIFS('19'!$N$7:$N$100,'19'!$H$7:$H$100,$A181,'19'!$I$7:$I$100,1)+SUMIFS('20'!$N$7:$N$100,'20'!$H$7:$H$100,$A181,'20'!$I$7:$I$100,1)+SUMIFS('20a'!$N$7:$N$100,'20a'!$H$7:$H$100,$A181,'20a'!$I$7:$I$100,1)+SUMIFS('21'!$N$7:$N$100,'21'!$H$7:$H$100,$A181,'21'!$I$7:$I$100,1)+SUMIFS('22'!$N$7:$N$100,'22'!$H$7:$H$100,$A181,'22'!$I$7:$I$100,1)+SUMIFS('22a'!$N$7:$N$100,'22a'!$H$7:$H$100,$A181,'22a'!$I$7:$I$100,1)+SUMIFS('22b'!$N$7:$N$100,'22b'!$H$7:$H$100,$A181,'22b'!$I$7:$I$100,1)+SUMIFS('23'!$N$7:$N$100,'23'!$H$7:$H$100,$A181,'23'!$I$7:$I$100,1)+SUMIFS('24'!$N$7:$N$100,'24'!$H$7:$H$100,$A181,'24'!$I$7:$I$100,1)+SUMIFS('24a'!$N$7:$N$100,'24a'!$H$7:$H$100,$A181,'24a'!$I$7:$I$100,1)+SUMIFS('24b'!$N$7:$N$100,'24b'!$H$7:$H$100,$A181,'24b'!$I$7:$I$100,1)+SUMIFS('24c'!$N$7:$N$100,'24c'!$H$7:$H$100,$A181,'24c'!$I$7:$I$100,1)+SUMIFS('24d'!$N$7:$N$100,'24d'!$H$7:$H$100,$A181,'24d'!$I$7:$I$100,1)+SUMIFS('24e'!$N$7:$N$100,'24e'!$H$7:$H$100,$A181,'24e'!$I$7:$I$100,1)+SUMIFS('24f'!$N$7:$N$100,'24f'!$H$7:$H$100,$A181,'24f'!$I$7:$I$100,1)+SUMIFS('24g'!$N$7:$N$100,'24g'!$H$7:$H$100,$A181,'24g'!$I$7:$I$100,1)+SUMIFS('24h'!$N$7:$N$100,'24h'!$H$7:$H$100,$A181,'24h'!$I$7:$I$100,1)+SUMIFS('24i'!$N$7:$N$100,'24i'!$H$7:$H$100,$A181,'24i'!$I$7:$I$100,1)+SUMIFS('25'!$N$7:$N$100,'25'!$H$7:$H$100,$A181,'25'!$I$7:$I$100,1)+SUMIFS('26'!$N$7:$N$100,'26'!$H$7:$H$100,$A181,'26'!$I$7:$I$100,1)+SUMIFS('26a'!$N$7:$N$100,'26a'!$H$7:$H$100,$A181,'26a'!$I$7:$I$100,1)+SUMIFS('27'!$N$7:$N$100,'27'!$H$7:$H$100,$A181,'27'!$I$7:$I$100,1)+SUMIFS('27a'!$N$7:$N$100,'27a'!$H$7:$H$100,$A181,'27a'!$I$7:$I$100,1)+SUMIFS('28'!$N$7:$N$100,'28'!$H$7:$H$100,$A181,'28'!$I$7:$I$100,1)+SUMIFS('29'!$N$7:$N$100,'29'!$H$7:$H$100,$A181,'29'!$I$7:$I$100,1)</f>
        <v>5311</v>
      </c>
      <c r="D181" s="1315">
        <f>SUMIFS('12'!$N$7:$N$100,'12'!$H$7:$H$100,$A181,'12'!$I$7:$I$100,2)+SUMIFS('13'!$N$7:$N$100,'13'!$H$7:$H$100,$A181,'13'!$I$7:$I$100,2)+SUMIFS('14'!$N$7:$N$100,'14'!$H$7:$H$100,$A181,'14'!$I$7:$I$100,2)+SUMIFS('15'!$N$7:$N$100,'15'!$H$7:$H$100,$A181,'15'!$I$7:$I$100,2)+SUMIFS('15a'!$N$7:$N$100,'15a'!$H$7:$H$100,$A181,'15a'!$I$7:$I$100,2)+SUMIFS('15b'!$N$7:$N$100,'15b'!$H$7:$H$100,$A181,'15b'!$I$7:$I$100,2)+SUMIFS('15c'!$N$7:$N$100,'15c'!$H$7:$H$100,$A181,'15c'!$I$7:$I$100,2)+SUMIFS('15d'!$N$7:$N$100,'15d'!$H$7:$H$100,$A181,'15d'!$I$7:$I$100,2)+SUMIFS('15e'!$N$7:$N$100,'15e'!$H$7:$H$100,$A181,'15e'!$I$7:$I$100,2)+SUMIFS('15f'!$N$7:$N$100,'15f'!$H$7:$H$100,$A181,'15f'!$I$7:$I$100,2)+SUMIFS('15g'!$N$7:$N$100,'15g'!$H$7:$H$100,$A181,'15g'!$I$7:$I$100,2)+SUMIFS('15h'!$N$7:$N$100,'15h'!$H$7:$H$100,$A181,'15h'!$I$7:$I$100,2)+SUMIFS('15i'!$N$7:$N$100,'15i'!$H$7:$H$100,$A181,'15i'!$I$7:$I$100,2)+SUMIFS('15j'!$N$7:$N$100,'15j'!$H$7:$H$100,$A181,'15j'!$I$7:$I$100,2)+SUMIFS('15k'!$N$7:$N$100,'15k'!$H$7:$H$100,$A181,'15k'!$I$7:$I$100,2)+SUMIFS('15l'!$N$7:$N$100,'15l'!$H$7:$H$100,$A181,'15l'!$I$7:$I$100,2)+SUMIFS('15m'!$N$7:$N$100,'15m'!$H$7:$H$100,$A181,'15m'!$I$7:$I$100,2)+SUMIFS('15n'!$N$7:$N$100,'15n'!$H$7:$H$100,$A181,'15n'!$I$7:$I$100,2)+SUMIFS('16'!$N$7:$N$100,'16'!$H$7:$H$100,$A181,'16'!$I$7:$I$100,2)+SUMIFS('16a'!$N$7:$N$100,'16a'!$H$7:$H$100,$A181,'16a'!$I$7:$I$100,2)+SUMIFS('17'!$N$7:$N$100,'17'!$H$7:$H$100,$A181,'17'!$I$7:$I$100,2)+SUMIFS('17a'!$N$7:$N$100,'17a'!$H$7:$H$100,$A181,'17a'!$I$7:$I$100,2)+SUMIFS('18'!$N$7:$N$100,'18'!$H$7:$H$100,$A181,'18'!$I$7:$I$100,2)+SUMIFS('18a'!$N$7:$N$100,'18a'!$H$7:$H$100,$A181,'18a'!$I$7:$I$100,2)
+SUMIFS('19'!$N$7:$N$100,'19'!$H$7:$H$100,$A181,'19'!$I$7:$I$100,2)+SUMIFS('20'!$N$7:$N$100,'20'!$H$7:$H$100,$A181,'20'!$I$7:$I$100,2)+SUMIFS('20a'!$N$7:$N$100,'20a'!$H$7:$H$100,$A181,'20a'!$I$7:$I$100,2)+SUMIFS('21'!$N$7:$N$100,'21'!$H$7:$H$100,$A181,'21'!$I$7:$I$100,2)+SUMIFS('22'!$N$7:$N$100,'22'!$H$7:$H$100,$A181,'22'!$I$7:$I$100,2)+SUMIFS('22a'!$N$7:$N$100,'22a'!$H$7:$H$100,$A181,'22a'!$I$7:$I$100,2)+SUMIFS('22b'!$N$7:$N$100,'22b'!$H$7:$H$100,$A181,'22b'!$I$7:$I$100,2)+SUMIFS('23'!$N$7:$N$100,'23'!$H$7:$H$100,$A181,'23'!$I$7:$I$100,2)+SUMIFS('24'!$N$7:$N$100,'24'!$H$7:$H$100,$A181,'24'!$I$7:$I$100,2)+SUMIFS('24a'!$N$7:$N$100,'24a'!$H$7:$H$100,$A181,'24a'!$I$7:$I$100,2)+SUMIFS('24b'!$N$7:$N$100,'24b'!$H$7:$H$100,$A181,'24b'!$I$7:$I$100,2)+SUMIFS('24c'!$N$7:$N$100,'24c'!$H$7:$H$100,$A181,'24c'!$I$7:$I$100,2)+SUMIFS('24d'!$N$7:$N$100,'24d'!$H$7:$H$100,$A181,'24d'!$I$7:$I$100,2)+SUMIFS('24e'!$N$7:$N$100,'24e'!$H$7:$H$100,$A181,'24e'!$I$7:$I$100,2)+SUMIFS('24f'!$N$7:$N$100,'24f'!$H$7:$H$100,$A181,'24f'!$I$7:$I$100,2)+SUMIFS('24g'!$N$7:$N$100,'24g'!$H$7:$H$100,$A181,'24g'!$I$7:$I$100,2)+SUMIFS('24h'!$N$7:$N$100,'24h'!$H$7:$H$100,$A181,'24h'!$I$7:$I$100,2)+SUMIFS('24i'!$N$7:$N$100,'24i'!$H$7:$H$100,$A181,'24i'!$I$7:$I$100,2)+SUMIFS('25'!$N$7:$N$100,'25'!$H$7:$H$100,$A181,'25'!$I$7:$I$100,2)+SUMIFS('26'!$N$7:$N$100,'26'!$H$7:$H$100,$A181,'26'!$I$7:$I$100,2)+SUMIFS('26a'!$N$7:$N$100,'26a'!$H$7:$H$100,$A181,'26a'!$I$7:$I$100,2)+SUMIFS('27'!$N$7:$N$100,'27'!$H$7:$H$100,$A181,'27'!$I$7:$I$100,2)+SUMIFS('27a'!$N$7:$N$100,'27a'!$H$7:$H$100,$A181,'27a'!$I$7:$I$100,2)+SUMIFS('28'!$N$7:$N$100,'28'!$H$7:$H$100,$A181,'28'!$I$7:$I$100,2)+SUMIFS('29'!$N$7:$N$100,'29'!$H$7:$H$100,$A181,'29'!$I$7:$I$100,2)</f>
        <v>4994.5</v>
      </c>
      <c r="E181" s="1315">
        <f>SUMIFS('12'!$N$7:$N$100,'12'!$H$7:$H$100,$A181,'12'!$I$7:$I$100,"")+SUMIFS('13'!$N$7:$N$100,'13'!$H$7:$H$100,$A181,'13'!$I$7:$I$100,"")+SUMIFS('14'!$N$7:$N$100,'14'!$H$7:$H$100,$A181,'14'!$I$7:$I$100,"")+SUMIFS('15'!$N$7:$N$100,'15'!$H$7:$H$100,$A181,'15'!$I$7:$I$100,"")+SUMIFS('15a'!$N$7:$N$100,'15a'!$H$7:$H$100,$A181,'15a'!$I$7:$I$100,"")+SUMIFS('15b'!$N$7:$N$100,'15b'!$H$7:$H$100,$A181,'15b'!$I$7:$I$100,"")+SUMIFS('15c'!$N$7:$N$100,'15c'!$H$7:$H$100,$A181,'15c'!$I$7:$I$100,"")+SUMIFS('15d'!$N$7:$N$100,'15d'!$H$7:$H$100,$A181,'15d'!$I$7:$I$100,"")+SUMIFS('15e'!$N$7:$N$100,'15e'!$H$7:$H$100,$A181,'15e'!$I$7:$I$100,"")+SUMIFS('15f'!$N$7:$N$100,'15f'!$H$7:$H$100,$A181,'15f'!$I$7:$I$100,"")+SUMIFS('15g'!$N$7:$N$100,'15g'!$H$7:$H$100,$A181,'15g'!$I$7:$I$100,"")+SUMIFS('15h'!$N$7:$N$100,'15h'!$H$7:$H$100,$A181,'15h'!$I$7:$I$100,"")+SUMIFS('15i'!$N$7:$N$100,'15i'!$H$7:$H$100,$A181,'15i'!$I$7:$I$100,"")+SUMIFS('15j'!$N$7:$N$100,'15j'!$H$7:$H$100,$A181,'15j'!$I$7:$I$100,"")+SUMIFS('15k'!$N$7:$N$100,'15k'!$H$7:$H$100,$A181,'15k'!$I$7:$I$100,"")+SUMIFS('15l'!$N$7:$N$100,'15l'!$H$7:$H$100,$A181,'15l'!$I$7:$I$100,"")+SUMIFS('15m'!$N$7:$N$100,'15m'!$H$7:$H$100,$A181,'15m'!$I$7:$I$100,"")+SUMIFS('15n'!$N$7:$N$100,'15n'!$H$7:$H$100,$A181,'15n'!$I$7:$I$100,"")+SUMIFS('16'!$N$7:$N$100,'16'!$H$7:$H$100,$A181,'16'!$I$7:$I$100,"")+SUMIFS('16a'!$N$7:$N$100,'16a'!$H$7:$H$100,$A181,'16a'!$I$7:$I$100,"")+SUMIFS('17'!$N$7:$N$100,'17'!$H$7:$H$100,$A181,'17'!$I$7:$I$100,"")+SUMIFS('17a'!$N$7:$N$100,'17a'!$H$7:$H$100,$A181,'17a'!$I$7:$I$100,"")+SUMIFS('18'!$N$7:$N$100,'18'!$H$7:$H$100,$A181,'18'!$I$7:$I$100,"")+SUMIFS('18a'!$N$7:$N$100,'18a'!$H$7:$H$100,$A181,'18a'!$I$7:$I$100,"")
+SUMIFS('19'!$N$7:$N$100,'19'!$H$7:$H$100,$A181,'19'!$I$7:$I$100,"")+SUMIFS('20'!$N$7:$N$100,'20'!$H$7:$H$100,$A181,'20'!$I$7:$I$100,"")+SUMIFS('20a'!$N$7:$N$100,'20a'!$H$7:$H$100,$A181,'20a'!$I$7:$I$100,"")+SUMIFS('21'!$N$7:$N$100,'21'!$H$7:$H$100,$A181,'21'!$I$7:$I$100,"")+SUMIFS('22'!$N$7:$N$100,'22'!$H$7:$H$100,$A181,'22'!$I$7:$I$100,"")+SUMIFS('22a'!$N$7:$N$100,'22a'!$H$7:$H$100,$A181,'22a'!$I$7:$I$100,"")+SUMIFS('22b'!$N$7:$N$100,'22b'!$H$7:$H$100,$A181,'22b'!$I$7:$I$100,"")+SUMIFS('23'!$N$7:$N$100,'23'!$H$7:$H$100,$A181,'23'!$I$7:$I$100,"")+SUMIFS('24'!$N$7:$N$100,'24'!$H$7:$H$100,$A181,'24'!$I$7:$I$100,"")+SUMIFS('24a'!$N$7:$N$100,'24a'!$H$7:$H$100,$A181,'24a'!$I$7:$I$100,"")+SUMIFS('24b'!$N$7:$N$100,'24b'!$H$7:$H$100,$A181,'24b'!$I$7:$I$100,"")+SUMIFS('24c'!$N$7:$N$100,'24c'!$H$7:$H$100,$A181,'24c'!$I$7:$I$100,"")+SUMIFS('24d'!$N$7:$N$100,'24d'!$H$7:$H$100,$A181,'24d'!$I$7:$I$100,"")+SUMIFS('24e'!$N$7:$N$100,'24e'!$H$7:$H$100,$A181,'24e'!$I$7:$I$100,"")+SUMIFS('24f'!$N$7:$N$100,'24f'!$H$7:$H$100,$A181,'24f'!$I$7:$I$100,"")+SUMIFS('24g'!$N$7:$N$100,'24g'!$H$7:$H$100,$A181,'24g'!$I$7:$I$100,"")+SUMIFS('24h'!$N$7:$N$100,'24h'!$H$7:$H$100,$A181,'24h'!$I$7:$I$100,"")+SUMIFS('24i'!$N$7:$N$100,'24i'!$H$7:$H$100,$A181,'24i'!$I$7:$I$100,"")+SUMIFS('25'!$N$7:$N$100,'25'!$H$7:$H$100,$A181,'25'!$I$7:$I$100,"")+SUMIFS('26'!$N$7:$N$100,'26'!$H$7:$H$100,$A181,'26'!$I$7:$I$100,"")+SUMIFS('26a'!$N$7:$N$100,'26a'!$H$7:$H$100,$A181,'26a'!$I$7:$I$100,"")+SUMIFS('27'!$N$7:$N$100,'27'!$H$7:$H$100,$A181,'27'!$I$7:$I$100,"")+SUMIFS('27a'!$N$7:$N$100,'27a'!$H$7:$H$100,$A181,'27a'!$I$7:$I$100,"")+SUMIFS('28'!$N$7:$N$100,'28'!$H$7:$H$100,$A181,'28'!$I$7:$I$100,"")+SUMIFS('29'!$N$7:$N$100,'29'!$H$7:$H$100,$A181,'29'!$I$7:$I$100,"")</f>
        <v>0</v>
      </c>
      <c r="F181" s="1296">
        <f t="shared" si="4"/>
        <v>10305.5</v>
      </c>
      <c r="G181" s="1295">
        <f>SUMIFS('12'!$J$7:$J$100,'12'!$H$7:$H$100,$A181,'12'!$I$7:$I$100,1)+SUMIFS('13'!$J$7:$J$100,'13'!$H$7:$H$100,$A181,'13'!$I$7:$I$100,1)+SUMIFS('14'!$J$7:$J$100,'14'!$H$7:$H$100,$A181,'14'!$I$7:$I$100,1)+SUMIFS('15'!$J$7:$J$100,'15'!$H$7:$H$100,$A181,'15'!$I$7:$I$100,1)+SUMIFS('15a'!$J$7:$J$100,'15a'!$H$7:$H$100,$A181,'15a'!$I$7:$I$100,1)+SUMIFS('15b'!$J$7:$J$100,'15b'!$H$7:$H$100,$A181,'15b'!$I$7:$I$100,1)+SUMIFS('15c'!$J$7:$J$100,'15c'!$H$7:$H$100,$A181,'15c'!$I$7:$I$100,1)+SUMIFS('15d'!$J$7:$J$100,'15d'!$H$7:$H$100,$A181,'15d'!$I$7:$I$100,1)+SUMIFS('15e'!$J$7:$J$100,'15e'!$H$7:$H$100,$A181,'15e'!$I$7:$I$100,1)+SUMIFS('15f'!$J$7:$J$100,'15f'!$H$7:$H$100,$A181,'15f'!$I$7:$I$100,1)+SUMIFS('15g'!$J$7:$J$100,'15g'!$H$7:$H$100,$A181,'15g'!$I$7:$I$100,1)+SUMIFS('15h'!$J$7:$J$100,'15h'!$H$7:$H$100,$A181,'15h'!$I$7:$I$100,1)+SUMIFS('15i'!$J$7:$J$100,'15i'!$H$7:$H$100,$A181,'15i'!$I$7:$I$100,1)+SUMIFS('15j'!$J$7:$J$100,'15j'!$H$7:$H$100,$A181,'15j'!$I$7:$I$100,1)+SUMIFS('15k'!$J$7:$J$100,'15k'!$H$7:$H$100,$A181,'15k'!$I$7:$I$100,1)+SUMIFS('15l'!$J$7:$J$100,'15l'!$H$7:$H$100,$A181,'15l'!$I$7:$I$100,1)+SUMIFS('15m'!$J$7:$J$100,'15m'!$H$7:$H$100,$A181,'15m'!$I$7:$I$100,1)+SUMIFS('15n'!$J$7:$J$100,'15n'!$H$7:$H$100,$A181,'15n'!$I$7:$I$100,1)+SUMIFS('16'!$J$7:$J$100,'16'!$H$7:$H$100,$A181,'16'!$I$7:$I$100,1)+SUMIFS('16a'!$J$7:$J$100,'16a'!$H$7:$H$100,$A181,'16a'!$I$7:$I$100,1)+SUMIFS('17'!$J$7:$J$100,'17'!$H$7:$H$100,$A181,'17'!$I$7:$I$100,1)+SUMIFS('17a'!$J$7:$J$100,'17a'!$H$7:$H$100,$A181,'17a'!$I$7:$I$100,1)+SUMIFS('18'!$J$7:$J$100,'18'!$H$7:$H$100,$A181,'18'!$I$7:$I$100,1)+SUMIFS('18a'!$J$7:$J$100,'18a'!$H$7:$H$100,$A181,'18a'!$I$7:$I$100,1)
+SUMIFS('19'!$J$7:$J$100,'19'!$H$7:$H$100,$A181,'19'!$I$7:$I$100,1)+SUMIFS('20'!$J$7:$J$100,'20'!$H$7:$H$100,$A181,'20'!$I$7:$I$100,1)+SUMIFS('20a'!$J$7:$J$100,'20a'!$H$7:$H$100,$A181,'20a'!$I$7:$I$100,1)+SUMIFS('21'!$J$7:$J$100,'21'!$H$7:$H$100,$A181,'21'!$I$7:$I$100,1)+SUMIFS('22'!$J$7:$J$100,'22'!$H$7:$H$100,$A181,'22'!$I$7:$I$100,1)+SUMIFS('22a'!$J$7:$J$100,'22a'!$H$7:$H$100,$A181,'22a'!$I$7:$I$100,1)+SUMIFS('22b'!$J$7:$J$100,'22b'!$H$7:$H$100,$A181,'22b'!$I$7:$I$100,1)+SUMIFS('23'!$J$7:$J$100,'23'!$H$7:$H$100,$A181,'23'!$I$7:$I$100,1)+SUMIFS('24'!$J$7:$J$100,'24'!$H$7:$H$100,$A181,'24'!$I$7:$I$100,1)+SUMIFS('24a'!$J$7:$J$100,'24a'!$H$7:$H$100,$A181,'24a'!$I$7:$I$100,1)+SUMIFS('24b'!$J$7:$J$100,'24b'!$H$7:$H$100,$A181,'24b'!$I$7:$I$100,1)+SUMIFS('24c'!$J$7:$J$100,'24c'!$H$7:$H$100,$A181,'24c'!$I$7:$I$100,1)+SUMIFS('24d'!$J$7:$J$100,'24d'!$H$7:$H$100,$A181,'24d'!$I$7:$I$100,1)+SUMIFS('24e'!$J$7:$J$100,'24e'!$H$7:$H$100,$A181,'24e'!$I$7:$I$100,1)+SUMIFS('24f'!$J$7:$J$100,'24f'!$H$7:$H$100,$A181,'24f'!$I$7:$I$100,1)+SUMIFS('24g'!$J$7:$J$100,'24g'!$H$7:$H$100,$A181,'24g'!$I$7:$I$100,1)+SUMIFS('24h'!$J$7:$J$100,'24h'!$H$7:$H$100,$A181,'24h'!$I$7:$I$100,1)+SUMIFS('24i'!$J$7:$J$100,'24i'!$H$7:$H$100,$A181,'24i'!$I$7:$I$100,1)+SUMIFS('25'!$J$7:$J$100,'25'!$H$7:$H$100,$A181,'25'!$I$7:$I$100,1)+SUMIFS('26'!$J$7:$J$100,'26'!$H$7:$H$100,$A181,'26'!$I$7:$I$100,1)+SUMIFS('26a'!$J$7:$J$100,'26a'!$H$7:$H$100,$A181,'26a'!$I$7:$I$100,1)+SUMIFS('27'!$J$7:$J$100,'27'!$H$7:$H$100,$A181,'27'!$I$7:$I$100,1)+SUMIFS('27a'!$J$7:$J$100,'27a'!$H$7:$H$100,$A181,'27a'!$I$7:$I$100,1)+SUMIFS('28'!$J$7:$J$100,'28'!$H$7:$H$100,$A181,'28'!$I$7:$I$100,1)+SUMIFS('29'!$J$7:$J$100,'29'!$H$7:$H$100,$A181,'29'!$I$7:$I$100,1)</f>
        <v>5418</v>
      </c>
      <c r="H181" s="1315">
        <f>SUMIFS('12'!$J$7:$J$100,'12'!$H$7:$H$100,$A181,'12'!$I$7:$I$100,2)+SUMIFS('13'!$J$7:$J$100,'13'!$H$7:$H$100,$A181,'13'!$I$7:$I$100,2)+SUMIFS('14'!$J$7:$J$100,'14'!$H$7:$H$100,$A181,'14'!$I$7:$I$100,2)+SUMIFS('15'!$J$7:$J$100,'15'!$H$7:$H$100,$A181,'15'!$I$7:$I$100,2)+SUMIFS('15a'!$J$7:$J$100,'15a'!$H$7:$H$100,$A181,'15a'!$I$7:$I$100,2)+SUMIFS('15b'!$J$7:$J$100,'15b'!$H$7:$H$100,$A181,'15b'!$I$7:$I$100,2)+SUMIFS('15c'!$J$7:$J$100,'15c'!$H$7:$H$100,$A181,'15c'!$I$7:$I$100,2)+SUMIFS('15d'!$J$7:$J$100,'15d'!$H$7:$H$100,$A181,'15d'!$I$7:$I$100,2)+SUMIFS('15e'!$J$7:$J$100,'15e'!$H$7:$H$100,$A181,'15e'!$I$7:$I$100,2)+SUMIFS('15f'!$J$7:$J$100,'15f'!$H$7:$H$100,$A181,'15f'!$I$7:$I$100,2)+SUMIFS('15g'!$J$7:$J$100,'15g'!$H$7:$H$100,$A181,'15g'!$I$7:$I$100,2)+SUMIFS('15h'!$J$7:$J$100,'15h'!$H$7:$H$100,$A181,'15h'!$I$7:$I$100,2)+SUMIFS('15i'!$J$7:$J$100,'15i'!$H$7:$H$100,$A181,'15i'!$I$7:$I$100,2)+SUMIFS('15j'!$J$7:$J$100,'15j'!$H$7:$H$100,$A181,'15j'!$I$7:$I$100,2)+SUMIFS('15k'!$J$7:$J$100,'15k'!$H$7:$H$100,$A181,'15k'!$I$7:$I$100,2)+SUMIFS('15l'!$J$7:$J$100,'15l'!$H$7:$H$100,$A181,'15l'!$I$7:$I$100,2)+SUMIFS('15m'!$J$7:$J$100,'15m'!$H$7:$H$100,$A181,'15m'!$I$7:$I$100,2)+SUMIFS('15n'!$J$7:$J$100,'15n'!$H$7:$H$100,$A181,'15n'!$I$7:$I$100,2)+SUMIFS('16'!$J$7:$J$100,'16'!$H$7:$H$100,$A181,'16'!$I$7:$I$100,2)+SUMIFS('16a'!$J$7:$J$100,'16a'!$H$7:$H$100,$A181,'16a'!$I$7:$I$100,2)+SUMIFS('17'!$J$7:$J$100,'17'!$H$7:$H$100,$A181,'17'!$I$7:$I$100,2)+SUMIFS('17a'!$J$7:$J$100,'17a'!$H$7:$H$100,$A181,'17a'!$I$7:$I$100,2)+SUMIFS('18'!$J$7:$J$100,'18'!$H$7:$H$100,$A181,'18'!$I$7:$I$100,2)+SUMIFS('18a'!$J$7:$J$100,'18a'!$H$7:$H$100,$A181,'18a'!$I$7:$I$100,2)
+SUMIFS('19'!$J$7:$J$100,'19'!$H$7:$H$100,$A181,'19'!$I$7:$I$100,2)+SUMIFS('20'!$J$7:$J$100,'20'!$H$7:$H$100,$A181,'20'!$I$7:$I$100,2)+SUMIFS('20a'!$J$7:$J$100,'20a'!$H$7:$H$100,$A181,'20a'!$I$7:$I$100,2)+SUMIFS('21'!$J$7:$J$100,'21'!$H$7:$H$100,$A181,'21'!$I$7:$I$100,2)+SUMIFS('22'!$J$7:$J$100,'22'!$H$7:$H$100,$A181,'22'!$I$7:$I$100,2)+SUMIFS('22a'!$J$7:$J$100,'22a'!$H$7:$H$100,$A181,'22a'!$I$7:$I$100,2)+SUMIFS('22b'!$J$7:$J$100,'22b'!$H$7:$H$100,$A181,'22b'!$I$7:$I$100,2)+SUMIFS('23'!$J$7:$J$100,'23'!$H$7:$H$100,$A181,'23'!$I$7:$I$100,2)+SUMIFS('24'!$J$7:$J$100,'24'!$H$7:$H$100,$A181,'24'!$I$7:$I$100,2)+SUMIFS('24a'!$J$7:$J$100,'24a'!$H$7:$H$100,$A181,'24a'!$I$7:$I$100,2)+SUMIFS('24b'!$J$7:$J$100,'24b'!$H$7:$H$100,$A181,'24b'!$I$7:$I$100,2)+SUMIFS('24c'!$J$7:$J$100,'24c'!$H$7:$H$100,$A181,'24c'!$I$7:$I$100,2)+SUMIFS('24d'!$J$7:$J$100,'24d'!$H$7:$H$100,$A181,'24d'!$I$7:$I$100,2)+SUMIFS('24e'!$J$7:$J$100,'24e'!$H$7:$H$100,$A181,'24e'!$I$7:$I$100,2)+SUMIFS('24f'!$J$7:$J$100,'24f'!$H$7:$H$100,$A181,'24f'!$I$7:$I$100,2)+SUMIFS('24g'!$J$7:$J$100,'24g'!$H$7:$H$100,$A181,'24g'!$I$7:$I$100,2)+SUMIFS('24h'!$J$7:$J$100,'24h'!$H$7:$H$100,$A181,'24h'!$I$7:$I$100,2)+SUMIFS('24i'!$J$7:$J$100,'24i'!$H$7:$H$100,$A181,'24i'!$I$7:$I$100,2)+SUMIFS('25'!$J$7:$J$100,'25'!$H$7:$H$100,$A181,'25'!$I$7:$I$100,2)+SUMIFS('26'!$J$7:$J$100,'26'!$H$7:$H$100,$A181,'26'!$I$7:$I$100,2)+SUMIFS('26a'!$J$7:$J$100,'26a'!$H$7:$H$100,$A181,'26a'!$I$7:$I$100,2)+SUMIFS('27'!$J$7:$J$100,'27'!$H$7:$H$100,$A181,'27'!$I$7:$I$100,2)+SUMIFS('27a'!$J$7:$J$100,'27a'!$H$7:$H$100,$A181,'27a'!$I$7:$I$100,2)+SUMIFS('28'!$J$7:$J$100,'28'!$H$7:$H$100,$A181,'28'!$I$7:$I$100,2)+SUMIFS('29'!$J$7:$J$100,'29'!$H$7:$H$100,$A181,'29'!$I$7:$I$100,2)</f>
        <v>5200</v>
      </c>
      <c r="I181" s="1315">
        <f>SUMIFS('12'!$J$7:$J$100,'12'!$H$7:$H$100,$A181,'12'!$I$7:$I$100,"")+SUMIFS('13'!$J$7:$J$100,'13'!$H$7:$H$100,$A181,'13'!$I$7:$I$100,"")+SUMIFS('14'!$J$7:$J$100,'14'!$H$7:$H$100,$A181,'14'!$I$7:$I$100,"")+SUMIFS('15'!$J$7:$J$100,'15'!$H$7:$H$100,$A181,'15'!$I$7:$I$100,"")+SUMIFS('15a'!$J$7:$J$100,'15a'!$H$7:$H$100,$A181,'15a'!$I$7:$I$100,"")+SUMIFS('15b'!$J$7:$J$100,'15b'!$H$7:$H$100,$A181,'15b'!$I$7:$I$100,"")+SUMIFS('15c'!$J$7:$J$100,'15c'!$H$7:$H$100,$A181,'15c'!$I$7:$I$100,"")+SUMIFS('15d'!$J$7:$J$100,'15d'!$H$7:$H$100,$A181,'15d'!$I$7:$I$100,"")+SUMIFS('15e'!$J$7:$J$100,'15e'!$H$7:$H$100,$A181,'15e'!$I$7:$I$100,"")+SUMIFS('15f'!$J$7:$J$100,'15f'!$H$7:$H$100,$A181,'15f'!$I$7:$I$100,"")+SUMIFS('15g'!$J$7:$J$100,'15g'!$H$7:$H$100,$A181,'15g'!$I$7:$I$100,"")+SUMIFS('15h'!$J$7:$J$100,'15h'!$H$7:$H$100,$A181,'15h'!$I$7:$I$100,"")+SUMIFS('15i'!$J$7:$J$100,'15i'!$H$7:$H$100,$A181,'15i'!$I$7:$I$100,"")+SUMIFS('15j'!$J$7:$J$100,'15j'!$H$7:$H$100,$A181,'15j'!$I$7:$I$100,"")+SUMIFS('15k'!$J$7:$J$100,'15k'!$H$7:$H$100,$A181,'15k'!$I$7:$I$100,"")+SUMIFS('15l'!$J$7:$J$100,'15l'!$H$7:$H$100,$A181,'15l'!$I$7:$I$100,"")+SUMIFS('15m'!$J$7:$J$100,'15m'!$H$7:$H$100,$A181,'15m'!$I$7:$I$100,"")+SUMIFS('15n'!$J$7:$J$100,'15n'!$H$7:$H$100,$A181,'15n'!$I$7:$I$100,"")+SUMIFS('16'!$J$7:$J$100,'16'!$H$7:$H$100,$A181,'16'!$I$7:$I$100,"")+SUMIFS('16a'!$J$7:$J$100,'16a'!$H$7:$H$100,$A181,'16a'!$I$7:$I$100,"")+SUMIFS('17'!$J$7:$J$100,'17'!$H$7:$H$100,$A181,'17'!$I$7:$I$100,"")+SUMIFS('17a'!$J$7:$J$100,'17a'!$H$7:$H$100,$A181,'17a'!$I$7:$I$100,"")+SUMIFS('18'!$J$7:$J$100,'18'!$H$7:$H$100,$A181,'18'!$I$7:$I$100,"")+SUMIFS('18a'!$J$7:$J$100,'18a'!$H$7:$H$100,$A181,'18a'!$I$7:$I$100,"")
+SUMIFS('19'!$J$7:$J$100,'19'!$H$7:$H$100,$A181,'19'!$I$7:$I$100,"")+SUMIFS('20'!$J$7:$J$100,'20'!$H$7:$H$100,$A181,'20'!$I$7:$I$100,"")+SUMIFS('20a'!$J$7:$J$100,'20a'!$H$7:$H$100,$A181,'20a'!$I$7:$I$100,"")+SUMIFS('21'!$J$7:$J$100,'21'!$H$7:$H$100,$A181,'21'!$I$7:$I$100,"")+SUMIFS('22'!$J$7:$J$100,'22'!$H$7:$H$100,$A181,'22'!$I$7:$I$100,"")+SUMIFS('22a'!$J$7:$J$100,'22a'!$H$7:$H$100,$A181,'22a'!$I$7:$I$100,"")+SUMIFS('22b'!$J$7:$J$100,'22b'!$H$7:$H$100,$A181,'22b'!$I$7:$I$100,"")+SUMIFS('23'!$J$7:$J$100,'23'!$H$7:$H$100,$A181,'23'!$I$7:$I$100,"")+SUMIFS('24'!$J$7:$J$100,'24'!$H$7:$H$100,$A181,'24'!$I$7:$I$100,"")+SUMIFS('24a'!$J$7:$J$100,'24a'!$H$7:$H$100,$A181,'24a'!$I$7:$I$100,"")+SUMIFS('24b'!$J$7:$J$100,'24b'!$H$7:$H$100,$A181,'24b'!$I$7:$I$100,"")+SUMIFS('24c'!$J$7:$J$100,'24c'!$H$7:$H$100,$A181,'24c'!$I$7:$I$100,"")+SUMIFS('24d'!$J$7:$J$100,'24d'!$H$7:$H$100,$A181,'24d'!$I$7:$I$100,"")+SUMIFS('24e'!$J$7:$J$100,'24e'!$H$7:$H$100,$A181,'24e'!$I$7:$I$100,"")+SUMIFS('24f'!$J$7:$J$100,'24f'!$H$7:$H$100,$A181,'24f'!$I$7:$I$100,"")+SUMIFS('24g'!$J$7:$J$100,'24g'!$H$7:$H$100,$A181,'24g'!$I$7:$I$100,"")+SUMIFS('24h'!$J$7:$J$100,'24h'!$H$7:$H$100,$A181,'24h'!$I$7:$I$100,"")+SUMIFS('24i'!$J$7:$J$100,'24i'!$H$7:$H$100,$A181,'24i'!$I$7:$I$100,"")+SUMIFS('25'!$J$7:$J$100,'25'!$H$7:$H$100,$A181,'25'!$I$7:$I$100,"")+SUMIFS('26'!$J$7:$J$100,'26'!$H$7:$H$100,$A181,'26'!$I$7:$I$100,"")+SUMIFS('26a'!$J$7:$J$100,'26a'!$H$7:$H$100,$A181,'26a'!$I$7:$I$100,"")+SUMIFS('27'!$J$7:$J$100,'27'!$H$7:$H$100,$A181,'27'!$I$7:$I$100,"")+SUMIFS('27a'!$J$7:$J$100,'27a'!$H$7:$H$100,$A181,'27a'!$I$7:$I$100,"")+SUMIFS('28'!$J$7:$J$100,'28'!$H$7:$H$100,$A181,'28'!$I$7:$I$100,"")+SUMIFS('29'!$J$7:$J$100,'29'!$H$7:$H$100,$A181,'29'!$I$7:$I$100,"")</f>
        <v>0</v>
      </c>
      <c r="J181" s="1296">
        <f t="shared" si="5"/>
        <v>10618</v>
      </c>
      <c r="K181"/>
      <c r="L181"/>
      <c r="M181"/>
      <c r="N181"/>
      <c r="O181"/>
      <c r="P181"/>
      <c r="Q181"/>
      <c r="R181"/>
      <c r="S181" s="1307">
        <f t="shared" si="2"/>
        <v>41847</v>
      </c>
      <c r="T181"/>
    </row>
    <row r="182" spans="1:20" x14ac:dyDescent="0.2">
      <c r="A182" t="s">
        <v>5125</v>
      </c>
      <c r="B182" t="s">
        <v>5471</v>
      </c>
      <c r="C182" s="1295">
        <f>SUMIFS('12'!$N$7:$N$100,'12'!$H$7:$H$100,$A182,'12'!$I$7:$I$100,1)+SUMIFS('13'!$N$7:$N$100,'13'!$H$7:$H$100,$A182,'13'!$I$7:$I$100,1)+SUMIFS('14'!$N$7:$N$100,'14'!$H$7:$H$100,$A182,'14'!$I$7:$I$100,1)+SUMIFS('15'!$N$7:$N$100,'15'!$H$7:$H$100,$A182,'15'!$I$7:$I$100,1)+SUMIFS('15a'!$N$7:$N$100,'15a'!$H$7:$H$100,$A182,'15a'!$I$7:$I$100,1)+SUMIFS('15b'!$N$7:$N$100,'15b'!$H$7:$H$100,$A182,'15b'!$I$7:$I$100,1)+SUMIFS('15c'!$N$7:$N$100,'15c'!$H$7:$H$100,$A182,'15c'!$I$7:$I$100,1)+SUMIFS('15d'!$N$7:$N$100,'15d'!$H$7:$H$100,$A182,'15d'!$I$7:$I$100,1)+SUMIFS('15e'!$N$7:$N$100,'15e'!$H$7:$H$100,$A182,'15e'!$I$7:$I$100,1)+SUMIFS('15f'!$N$7:$N$100,'15f'!$H$7:$H$100,$A182,'15f'!$I$7:$I$100,1)+SUMIFS('15g'!$N$7:$N$100,'15g'!$H$7:$H$100,$A182,'15g'!$I$7:$I$100,1)+SUMIFS('15h'!$N$7:$N$100,'15h'!$H$7:$H$100,$A182,'15h'!$I$7:$I$100,1)+SUMIFS('15i'!$N$7:$N$100,'15i'!$H$7:$H$100,$A182,'15i'!$I$7:$I$100,1)+SUMIFS('15j'!$N$7:$N$100,'15j'!$H$7:$H$100,$A182,'15j'!$I$7:$I$100,1)+SUMIFS('15k'!$N$7:$N$100,'15k'!$H$7:$H$100,$A182,'15k'!$I$7:$I$100,1)+SUMIFS('15l'!$N$7:$N$100,'15l'!$H$7:$H$100,$A182,'15l'!$I$7:$I$100,1)+SUMIFS('15m'!$N$7:$N$100,'15m'!$H$7:$H$100,$A182,'15m'!$I$7:$I$100,1)+SUMIFS('15n'!$N$7:$N$100,'15n'!$H$7:$H$100,$A182,'15n'!$I$7:$I$100,1)+SUMIFS('16'!$N$7:$N$100,'16'!$H$7:$H$100,$A182,'16'!$I$7:$I$100,1)+SUMIFS('16a'!$N$7:$N$100,'16a'!$H$7:$H$100,$A182,'16a'!$I$7:$I$100,1)+SUMIFS('17'!$N$7:$N$100,'17'!$H$7:$H$100,$A182,'17'!$I$7:$I$100,1)+SUMIFS('17a'!$N$7:$N$100,'17a'!$H$7:$H$100,$A182,'17a'!$I$7:$I$100,1)+SUMIFS('18'!$N$7:$N$100,'18'!$H$7:$H$100,$A182,'18'!$I$7:$I$100,1)+SUMIFS('18a'!$N$7:$N$100,'18a'!$H$7:$H$100,$A182,'18a'!$I$7:$I$100,1)
+SUMIFS('19'!$N$7:$N$100,'19'!$H$7:$H$100,$A182,'19'!$I$7:$I$100,1)+SUMIFS('20'!$N$7:$N$100,'20'!$H$7:$H$100,$A182,'20'!$I$7:$I$100,1)+SUMIFS('20a'!$N$7:$N$100,'20a'!$H$7:$H$100,$A182,'20a'!$I$7:$I$100,1)+SUMIFS('21'!$N$7:$N$100,'21'!$H$7:$H$100,$A182,'21'!$I$7:$I$100,1)+SUMIFS('22'!$N$7:$N$100,'22'!$H$7:$H$100,$A182,'22'!$I$7:$I$100,1)+SUMIFS('22a'!$N$7:$N$100,'22a'!$H$7:$H$100,$A182,'22a'!$I$7:$I$100,1)+SUMIFS('22b'!$N$7:$N$100,'22b'!$H$7:$H$100,$A182,'22b'!$I$7:$I$100,1)+SUMIFS('23'!$N$7:$N$100,'23'!$H$7:$H$100,$A182,'23'!$I$7:$I$100,1)+SUMIFS('24'!$N$7:$N$100,'24'!$H$7:$H$100,$A182,'24'!$I$7:$I$100,1)+SUMIFS('24a'!$N$7:$N$100,'24a'!$H$7:$H$100,$A182,'24a'!$I$7:$I$100,1)+SUMIFS('24b'!$N$7:$N$100,'24b'!$H$7:$H$100,$A182,'24b'!$I$7:$I$100,1)+SUMIFS('24c'!$N$7:$N$100,'24c'!$H$7:$H$100,$A182,'24c'!$I$7:$I$100,1)+SUMIFS('24d'!$N$7:$N$100,'24d'!$H$7:$H$100,$A182,'24d'!$I$7:$I$100,1)+SUMIFS('24e'!$N$7:$N$100,'24e'!$H$7:$H$100,$A182,'24e'!$I$7:$I$100,1)+SUMIFS('24f'!$N$7:$N$100,'24f'!$H$7:$H$100,$A182,'24f'!$I$7:$I$100,1)+SUMIFS('24g'!$N$7:$N$100,'24g'!$H$7:$H$100,$A182,'24g'!$I$7:$I$100,1)+SUMIFS('24h'!$N$7:$N$100,'24h'!$H$7:$H$100,$A182,'24h'!$I$7:$I$100,1)+SUMIFS('24i'!$N$7:$N$100,'24i'!$H$7:$H$100,$A182,'24i'!$I$7:$I$100,1)+SUMIFS('25'!$N$7:$N$100,'25'!$H$7:$H$100,$A182,'25'!$I$7:$I$100,1)+SUMIFS('26'!$N$7:$N$100,'26'!$H$7:$H$100,$A182,'26'!$I$7:$I$100,1)+SUMIFS('26a'!$N$7:$N$100,'26a'!$H$7:$H$100,$A182,'26a'!$I$7:$I$100,1)+SUMIFS('27'!$N$7:$N$100,'27'!$H$7:$H$100,$A182,'27'!$I$7:$I$100,1)+SUMIFS('27a'!$N$7:$N$100,'27a'!$H$7:$H$100,$A182,'27a'!$I$7:$I$100,1)+SUMIFS('28'!$N$7:$N$100,'28'!$H$7:$H$100,$A182,'28'!$I$7:$I$100,1)+SUMIFS('29'!$N$7:$N$100,'29'!$H$7:$H$100,$A182,'29'!$I$7:$I$100,1)</f>
        <v>0</v>
      </c>
      <c r="D182" s="1315">
        <f>SUMIFS('12'!$N$7:$N$100,'12'!$H$7:$H$100,$A182,'12'!$I$7:$I$100,2)+SUMIFS('13'!$N$7:$N$100,'13'!$H$7:$H$100,$A182,'13'!$I$7:$I$100,2)+SUMIFS('14'!$N$7:$N$100,'14'!$H$7:$H$100,$A182,'14'!$I$7:$I$100,2)+SUMIFS('15'!$N$7:$N$100,'15'!$H$7:$H$100,$A182,'15'!$I$7:$I$100,2)+SUMIFS('15a'!$N$7:$N$100,'15a'!$H$7:$H$100,$A182,'15a'!$I$7:$I$100,2)+SUMIFS('15b'!$N$7:$N$100,'15b'!$H$7:$H$100,$A182,'15b'!$I$7:$I$100,2)+SUMIFS('15c'!$N$7:$N$100,'15c'!$H$7:$H$100,$A182,'15c'!$I$7:$I$100,2)+SUMIFS('15d'!$N$7:$N$100,'15d'!$H$7:$H$100,$A182,'15d'!$I$7:$I$100,2)+SUMIFS('15e'!$N$7:$N$100,'15e'!$H$7:$H$100,$A182,'15e'!$I$7:$I$100,2)+SUMIFS('15f'!$N$7:$N$100,'15f'!$H$7:$H$100,$A182,'15f'!$I$7:$I$100,2)+SUMIFS('15g'!$N$7:$N$100,'15g'!$H$7:$H$100,$A182,'15g'!$I$7:$I$100,2)+SUMIFS('15h'!$N$7:$N$100,'15h'!$H$7:$H$100,$A182,'15h'!$I$7:$I$100,2)+SUMIFS('15i'!$N$7:$N$100,'15i'!$H$7:$H$100,$A182,'15i'!$I$7:$I$100,2)+SUMIFS('15j'!$N$7:$N$100,'15j'!$H$7:$H$100,$A182,'15j'!$I$7:$I$100,2)+SUMIFS('15k'!$N$7:$N$100,'15k'!$H$7:$H$100,$A182,'15k'!$I$7:$I$100,2)+SUMIFS('15l'!$N$7:$N$100,'15l'!$H$7:$H$100,$A182,'15l'!$I$7:$I$100,2)+SUMIFS('15m'!$N$7:$N$100,'15m'!$H$7:$H$100,$A182,'15m'!$I$7:$I$100,2)+SUMIFS('15n'!$N$7:$N$100,'15n'!$H$7:$H$100,$A182,'15n'!$I$7:$I$100,2)+SUMIFS('16'!$N$7:$N$100,'16'!$H$7:$H$100,$A182,'16'!$I$7:$I$100,2)+SUMIFS('16a'!$N$7:$N$100,'16a'!$H$7:$H$100,$A182,'16a'!$I$7:$I$100,2)+SUMIFS('17'!$N$7:$N$100,'17'!$H$7:$H$100,$A182,'17'!$I$7:$I$100,2)+SUMIFS('17a'!$N$7:$N$100,'17a'!$H$7:$H$100,$A182,'17a'!$I$7:$I$100,2)+SUMIFS('18'!$N$7:$N$100,'18'!$H$7:$H$100,$A182,'18'!$I$7:$I$100,2)+SUMIFS('18a'!$N$7:$N$100,'18a'!$H$7:$H$100,$A182,'18a'!$I$7:$I$100,2)
+SUMIFS('19'!$N$7:$N$100,'19'!$H$7:$H$100,$A182,'19'!$I$7:$I$100,2)+SUMIFS('20'!$N$7:$N$100,'20'!$H$7:$H$100,$A182,'20'!$I$7:$I$100,2)+SUMIFS('20a'!$N$7:$N$100,'20a'!$H$7:$H$100,$A182,'20a'!$I$7:$I$100,2)+SUMIFS('21'!$N$7:$N$100,'21'!$H$7:$H$100,$A182,'21'!$I$7:$I$100,2)+SUMIFS('22'!$N$7:$N$100,'22'!$H$7:$H$100,$A182,'22'!$I$7:$I$100,2)+SUMIFS('22a'!$N$7:$N$100,'22a'!$H$7:$H$100,$A182,'22a'!$I$7:$I$100,2)+SUMIFS('22b'!$N$7:$N$100,'22b'!$H$7:$H$100,$A182,'22b'!$I$7:$I$100,2)+SUMIFS('23'!$N$7:$N$100,'23'!$H$7:$H$100,$A182,'23'!$I$7:$I$100,2)+SUMIFS('24'!$N$7:$N$100,'24'!$H$7:$H$100,$A182,'24'!$I$7:$I$100,2)+SUMIFS('24a'!$N$7:$N$100,'24a'!$H$7:$H$100,$A182,'24a'!$I$7:$I$100,2)+SUMIFS('24b'!$N$7:$N$100,'24b'!$H$7:$H$100,$A182,'24b'!$I$7:$I$100,2)+SUMIFS('24c'!$N$7:$N$100,'24c'!$H$7:$H$100,$A182,'24c'!$I$7:$I$100,2)+SUMIFS('24d'!$N$7:$N$100,'24d'!$H$7:$H$100,$A182,'24d'!$I$7:$I$100,2)+SUMIFS('24e'!$N$7:$N$100,'24e'!$H$7:$H$100,$A182,'24e'!$I$7:$I$100,2)+SUMIFS('24f'!$N$7:$N$100,'24f'!$H$7:$H$100,$A182,'24f'!$I$7:$I$100,2)+SUMIFS('24g'!$N$7:$N$100,'24g'!$H$7:$H$100,$A182,'24g'!$I$7:$I$100,2)+SUMIFS('24h'!$N$7:$N$100,'24h'!$H$7:$H$100,$A182,'24h'!$I$7:$I$100,2)+SUMIFS('24i'!$N$7:$N$100,'24i'!$H$7:$H$100,$A182,'24i'!$I$7:$I$100,2)+SUMIFS('25'!$N$7:$N$100,'25'!$H$7:$H$100,$A182,'25'!$I$7:$I$100,2)+SUMIFS('26'!$N$7:$N$100,'26'!$H$7:$H$100,$A182,'26'!$I$7:$I$100,2)+SUMIFS('26a'!$N$7:$N$100,'26a'!$H$7:$H$100,$A182,'26a'!$I$7:$I$100,2)+SUMIFS('27'!$N$7:$N$100,'27'!$H$7:$H$100,$A182,'27'!$I$7:$I$100,2)+SUMIFS('27a'!$N$7:$N$100,'27a'!$H$7:$H$100,$A182,'27a'!$I$7:$I$100,2)+SUMIFS('28'!$N$7:$N$100,'28'!$H$7:$H$100,$A182,'28'!$I$7:$I$100,2)+SUMIFS('29'!$N$7:$N$100,'29'!$H$7:$H$100,$A182,'29'!$I$7:$I$100,2)</f>
        <v>18736.669999999998</v>
      </c>
      <c r="E182" s="1315">
        <f>SUMIFS('12'!$N$7:$N$100,'12'!$H$7:$H$100,$A182,'12'!$I$7:$I$100,"")+SUMIFS('13'!$N$7:$N$100,'13'!$H$7:$H$100,$A182,'13'!$I$7:$I$100,"")+SUMIFS('14'!$N$7:$N$100,'14'!$H$7:$H$100,$A182,'14'!$I$7:$I$100,"")+SUMIFS('15'!$N$7:$N$100,'15'!$H$7:$H$100,$A182,'15'!$I$7:$I$100,"")+SUMIFS('15a'!$N$7:$N$100,'15a'!$H$7:$H$100,$A182,'15a'!$I$7:$I$100,"")+SUMIFS('15b'!$N$7:$N$100,'15b'!$H$7:$H$100,$A182,'15b'!$I$7:$I$100,"")+SUMIFS('15c'!$N$7:$N$100,'15c'!$H$7:$H$100,$A182,'15c'!$I$7:$I$100,"")+SUMIFS('15d'!$N$7:$N$100,'15d'!$H$7:$H$100,$A182,'15d'!$I$7:$I$100,"")+SUMIFS('15e'!$N$7:$N$100,'15e'!$H$7:$H$100,$A182,'15e'!$I$7:$I$100,"")+SUMIFS('15f'!$N$7:$N$100,'15f'!$H$7:$H$100,$A182,'15f'!$I$7:$I$100,"")+SUMIFS('15g'!$N$7:$N$100,'15g'!$H$7:$H$100,$A182,'15g'!$I$7:$I$100,"")+SUMIFS('15h'!$N$7:$N$100,'15h'!$H$7:$H$100,$A182,'15h'!$I$7:$I$100,"")+SUMIFS('15i'!$N$7:$N$100,'15i'!$H$7:$H$100,$A182,'15i'!$I$7:$I$100,"")+SUMIFS('15j'!$N$7:$N$100,'15j'!$H$7:$H$100,$A182,'15j'!$I$7:$I$100,"")+SUMIFS('15k'!$N$7:$N$100,'15k'!$H$7:$H$100,$A182,'15k'!$I$7:$I$100,"")+SUMIFS('15l'!$N$7:$N$100,'15l'!$H$7:$H$100,$A182,'15l'!$I$7:$I$100,"")+SUMIFS('15m'!$N$7:$N$100,'15m'!$H$7:$H$100,$A182,'15m'!$I$7:$I$100,"")+SUMIFS('15n'!$N$7:$N$100,'15n'!$H$7:$H$100,$A182,'15n'!$I$7:$I$100,"")+SUMIFS('16'!$N$7:$N$100,'16'!$H$7:$H$100,$A182,'16'!$I$7:$I$100,"")+SUMIFS('16a'!$N$7:$N$100,'16a'!$H$7:$H$100,$A182,'16a'!$I$7:$I$100,"")+SUMIFS('17'!$N$7:$N$100,'17'!$H$7:$H$100,$A182,'17'!$I$7:$I$100,"")+SUMIFS('17a'!$N$7:$N$100,'17a'!$H$7:$H$100,$A182,'17a'!$I$7:$I$100,"")+SUMIFS('18'!$N$7:$N$100,'18'!$H$7:$H$100,$A182,'18'!$I$7:$I$100,"")+SUMIFS('18a'!$N$7:$N$100,'18a'!$H$7:$H$100,$A182,'18a'!$I$7:$I$100,"")
+SUMIFS('19'!$N$7:$N$100,'19'!$H$7:$H$100,$A182,'19'!$I$7:$I$100,"")+SUMIFS('20'!$N$7:$N$100,'20'!$H$7:$H$100,$A182,'20'!$I$7:$I$100,"")+SUMIFS('20a'!$N$7:$N$100,'20a'!$H$7:$H$100,$A182,'20a'!$I$7:$I$100,"")+SUMIFS('21'!$N$7:$N$100,'21'!$H$7:$H$100,$A182,'21'!$I$7:$I$100,"")+SUMIFS('22'!$N$7:$N$100,'22'!$H$7:$H$100,$A182,'22'!$I$7:$I$100,"")+SUMIFS('22a'!$N$7:$N$100,'22a'!$H$7:$H$100,$A182,'22a'!$I$7:$I$100,"")+SUMIFS('22b'!$N$7:$N$100,'22b'!$H$7:$H$100,$A182,'22b'!$I$7:$I$100,"")+SUMIFS('23'!$N$7:$N$100,'23'!$H$7:$H$100,$A182,'23'!$I$7:$I$100,"")+SUMIFS('24'!$N$7:$N$100,'24'!$H$7:$H$100,$A182,'24'!$I$7:$I$100,"")+SUMIFS('24a'!$N$7:$N$100,'24a'!$H$7:$H$100,$A182,'24a'!$I$7:$I$100,"")+SUMIFS('24b'!$N$7:$N$100,'24b'!$H$7:$H$100,$A182,'24b'!$I$7:$I$100,"")+SUMIFS('24c'!$N$7:$N$100,'24c'!$H$7:$H$100,$A182,'24c'!$I$7:$I$100,"")+SUMIFS('24d'!$N$7:$N$100,'24d'!$H$7:$H$100,$A182,'24d'!$I$7:$I$100,"")+SUMIFS('24e'!$N$7:$N$100,'24e'!$H$7:$H$100,$A182,'24e'!$I$7:$I$100,"")+SUMIFS('24f'!$N$7:$N$100,'24f'!$H$7:$H$100,$A182,'24f'!$I$7:$I$100,"")+SUMIFS('24g'!$N$7:$N$100,'24g'!$H$7:$H$100,$A182,'24g'!$I$7:$I$100,"")+SUMIFS('24h'!$N$7:$N$100,'24h'!$H$7:$H$100,$A182,'24h'!$I$7:$I$100,"")+SUMIFS('24i'!$N$7:$N$100,'24i'!$H$7:$H$100,$A182,'24i'!$I$7:$I$100,"")+SUMIFS('25'!$N$7:$N$100,'25'!$H$7:$H$100,$A182,'25'!$I$7:$I$100,"")+SUMIFS('26'!$N$7:$N$100,'26'!$H$7:$H$100,$A182,'26'!$I$7:$I$100,"")+SUMIFS('26a'!$N$7:$N$100,'26a'!$H$7:$H$100,$A182,'26a'!$I$7:$I$100,"")+SUMIFS('27'!$N$7:$N$100,'27'!$H$7:$H$100,$A182,'27'!$I$7:$I$100,"")+SUMIFS('27a'!$N$7:$N$100,'27a'!$H$7:$H$100,$A182,'27a'!$I$7:$I$100,"")+SUMIFS('28'!$N$7:$N$100,'28'!$H$7:$H$100,$A182,'28'!$I$7:$I$100,"")+SUMIFS('29'!$N$7:$N$100,'29'!$H$7:$H$100,$A182,'29'!$I$7:$I$100,"")</f>
        <v>0</v>
      </c>
      <c r="F182" s="1296">
        <f t="shared" si="4"/>
        <v>18736.669999999998</v>
      </c>
      <c r="G182" s="1295">
        <f>SUMIFS('12'!$J$7:$J$100,'12'!$H$7:$H$100,$A182,'12'!$I$7:$I$100,1)+SUMIFS('13'!$J$7:$J$100,'13'!$H$7:$H$100,$A182,'13'!$I$7:$I$100,1)+SUMIFS('14'!$J$7:$J$100,'14'!$H$7:$H$100,$A182,'14'!$I$7:$I$100,1)+SUMIFS('15'!$J$7:$J$100,'15'!$H$7:$H$100,$A182,'15'!$I$7:$I$100,1)+SUMIFS('15a'!$J$7:$J$100,'15a'!$H$7:$H$100,$A182,'15a'!$I$7:$I$100,1)+SUMIFS('15b'!$J$7:$J$100,'15b'!$H$7:$H$100,$A182,'15b'!$I$7:$I$100,1)+SUMIFS('15c'!$J$7:$J$100,'15c'!$H$7:$H$100,$A182,'15c'!$I$7:$I$100,1)+SUMIFS('15d'!$J$7:$J$100,'15d'!$H$7:$H$100,$A182,'15d'!$I$7:$I$100,1)+SUMIFS('15e'!$J$7:$J$100,'15e'!$H$7:$H$100,$A182,'15e'!$I$7:$I$100,1)+SUMIFS('15f'!$J$7:$J$100,'15f'!$H$7:$H$100,$A182,'15f'!$I$7:$I$100,1)+SUMIFS('15g'!$J$7:$J$100,'15g'!$H$7:$H$100,$A182,'15g'!$I$7:$I$100,1)+SUMIFS('15h'!$J$7:$J$100,'15h'!$H$7:$H$100,$A182,'15h'!$I$7:$I$100,1)+SUMIFS('15i'!$J$7:$J$100,'15i'!$H$7:$H$100,$A182,'15i'!$I$7:$I$100,1)+SUMIFS('15j'!$J$7:$J$100,'15j'!$H$7:$H$100,$A182,'15j'!$I$7:$I$100,1)+SUMIFS('15k'!$J$7:$J$100,'15k'!$H$7:$H$100,$A182,'15k'!$I$7:$I$100,1)+SUMIFS('15l'!$J$7:$J$100,'15l'!$H$7:$H$100,$A182,'15l'!$I$7:$I$100,1)+SUMIFS('15m'!$J$7:$J$100,'15m'!$H$7:$H$100,$A182,'15m'!$I$7:$I$100,1)+SUMIFS('15n'!$J$7:$J$100,'15n'!$H$7:$H$100,$A182,'15n'!$I$7:$I$100,1)+SUMIFS('16'!$J$7:$J$100,'16'!$H$7:$H$100,$A182,'16'!$I$7:$I$100,1)+SUMIFS('16a'!$J$7:$J$100,'16a'!$H$7:$H$100,$A182,'16a'!$I$7:$I$100,1)+SUMIFS('17'!$J$7:$J$100,'17'!$H$7:$H$100,$A182,'17'!$I$7:$I$100,1)+SUMIFS('17a'!$J$7:$J$100,'17a'!$H$7:$H$100,$A182,'17a'!$I$7:$I$100,1)+SUMIFS('18'!$J$7:$J$100,'18'!$H$7:$H$100,$A182,'18'!$I$7:$I$100,1)+SUMIFS('18a'!$J$7:$J$100,'18a'!$H$7:$H$100,$A182,'18a'!$I$7:$I$100,1)
+SUMIFS('19'!$J$7:$J$100,'19'!$H$7:$H$100,$A182,'19'!$I$7:$I$100,1)+SUMIFS('20'!$J$7:$J$100,'20'!$H$7:$H$100,$A182,'20'!$I$7:$I$100,1)+SUMIFS('20a'!$J$7:$J$100,'20a'!$H$7:$H$100,$A182,'20a'!$I$7:$I$100,1)+SUMIFS('21'!$J$7:$J$100,'21'!$H$7:$H$100,$A182,'21'!$I$7:$I$100,1)+SUMIFS('22'!$J$7:$J$100,'22'!$H$7:$H$100,$A182,'22'!$I$7:$I$100,1)+SUMIFS('22a'!$J$7:$J$100,'22a'!$H$7:$H$100,$A182,'22a'!$I$7:$I$100,1)+SUMIFS('22b'!$J$7:$J$100,'22b'!$H$7:$H$100,$A182,'22b'!$I$7:$I$100,1)+SUMIFS('23'!$J$7:$J$100,'23'!$H$7:$H$100,$A182,'23'!$I$7:$I$100,1)+SUMIFS('24'!$J$7:$J$100,'24'!$H$7:$H$100,$A182,'24'!$I$7:$I$100,1)+SUMIFS('24a'!$J$7:$J$100,'24a'!$H$7:$H$100,$A182,'24a'!$I$7:$I$100,1)+SUMIFS('24b'!$J$7:$J$100,'24b'!$H$7:$H$100,$A182,'24b'!$I$7:$I$100,1)+SUMIFS('24c'!$J$7:$J$100,'24c'!$H$7:$H$100,$A182,'24c'!$I$7:$I$100,1)+SUMIFS('24d'!$J$7:$J$100,'24d'!$H$7:$H$100,$A182,'24d'!$I$7:$I$100,1)+SUMIFS('24e'!$J$7:$J$100,'24e'!$H$7:$H$100,$A182,'24e'!$I$7:$I$100,1)+SUMIFS('24f'!$J$7:$J$100,'24f'!$H$7:$H$100,$A182,'24f'!$I$7:$I$100,1)+SUMIFS('24g'!$J$7:$J$100,'24g'!$H$7:$H$100,$A182,'24g'!$I$7:$I$100,1)+SUMIFS('24h'!$J$7:$J$100,'24h'!$H$7:$H$100,$A182,'24h'!$I$7:$I$100,1)+SUMIFS('24i'!$J$7:$J$100,'24i'!$H$7:$H$100,$A182,'24i'!$I$7:$I$100,1)+SUMIFS('25'!$J$7:$J$100,'25'!$H$7:$H$100,$A182,'25'!$I$7:$I$100,1)+SUMIFS('26'!$J$7:$J$100,'26'!$H$7:$H$100,$A182,'26'!$I$7:$I$100,1)+SUMIFS('26a'!$J$7:$J$100,'26a'!$H$7:$H$100,$A182,'26a'!$I$7:$I$100,1)+SUMIFS('27'!$J$7:$J$100,'27'!$H$7:$H$100,$A182,'27'!$I$7:$I$100,1)+SUMIFS('27a'!$J$7:$J$100,'27a'!$H$7:$H$100,$A182,'27a'!$I$7:$I$100,1)+SUMIFS('28'!$J$7:$J$100,'28'!$H$7:$H$100,$A182,'28'!$I$7:$I$100,1)+SUMIFS('29'!$J$7:$J$100,'29'!$H$7:$H$100,$A182,'29'!$I$7:$I$100,1)</f>
        <v>0</v>
      </c>
      <c r="H182" s="1315">
        <f>SUMIFS('12'!$J$7:$J$100,'12'!$H$7:$H$100,$A182,'12'!$I$7:$I$100,2)+SUMIFS('13'!$J$7:$J$100,'13'!$H$7:$H$100,$A182,'13'!$I$7:$I$100,2)+SUMIFS('14'!$J$7:$J$100,'14'!$H$7:$H$100,$A182,'14'!$I$7:$I$100,2)+SUMIFS('15'!$J$7:$J$100,'15'!$H$7:$H$100,$A182,'15'!$I$7:$I$100,2)+SUMIFS('15a'!$J$7:$J$100,'15a'!$H$7:$H$100,$A182,'15a'!$I$7:$I$100,2)+SUMIFS('15b'!$J$7:$J$100,'15b'!$H$7:$H$100,$A182,'15b'!$I$7:$I$100,2)+SUMIFS('15c'!$J$7:$J$100,'15c'!$H$7:$H$100,$A182,'15c'!$I$7:$I$100,2)+SUMIFS('15d'!$J$7:$J$100,'15d'!$H$7:$H$100,$A182,'15d'!$I$7:$I$100,2)+SUMIFS('15e'!$J$7:$J$100,'15e'!$H$7:$H$100,$A182,'15e'!$I$7:$I$100,2)+SUMIFS('15f'!$J$7:$J$100,'15f'!$H$7:$H$100,$A182,'15f'!$I$7:$I$100,2)+SUMIFS('15g'!$J$7:$J$100,'15g'!$H$7:$H$100,$A182,'15g'!$I$7:$I$100,2)+SUMIFS('15h'!$J$7:$J$100,'15h'!$H$7:$H$100,$A182,'15h'!$I$7:$I$100,2)+SUMIFS('15i'!$J$7:$J$100,'15i'!$H$7:$H$100,$A182,'15i'!$I$7:$I$100,2)+SUMIFS('15j'!$J$7:$J$100,'15j'!$H$7:$H$100,$A182,'15j'!$I$7:$I$100,2)+SUMIFS('15k'!$J$7:$J$100,'15k'!$H$7:$H$100,$A182,'15k'!$I$7:$I$100,2)+SUMIFS('15l'!$J$7:$J$100,'15l'!$H$7:$H$100,$A182,'15l'!$I$7:$I$100,2)+SUMIFS('15m'!$J$7:$J$100,'15m'!$H$7:$H$100,$A182,'15m'!$I$7:$I$100,2)+SUMIFS('15n'!$J$7:$J$100,'15n'!$H$7:$H$100,$A182,'15n'!$I$7:$I$100,2)+SUMIFS('16'!$J$7:$J$100,'16'!$H$7:$H$100,$A182,'16'!$I$7:$I$100,2)+SUMIFS('16a'!$J$7:$J$100,'16a'!$H$7:$H$100,$A182,'16a'!$I$7:$I$100,2)+SUMIFS('17'!$J$7:$J$100,'17'!$H$7:$H$100,$A182,'17'!$I$7:$I$100,2)+SUMIFS('17a'!$J$7:$J$100,'17a'!$H$7:$H$100,$A182,'17a'!$I$7:$I$100,2)+SUMIFS('18'!$J$7:$J$100,'18'!$H$7:$H$100,$A182,'18'!$I$7:$I$100,2)+SUMIFS('18a'!$J$7:$J$100,'18a'!$H$7:$H$100,$A182,'18a'!$I$7:$I$100,2)
+SUMIFS('19'!$J$7:$J$100,'19'!$H$7:$H$100,$A182,'19'!$I$7:$I$100,2)+SUMIFS('20'!$J$7:$J$100,'20'!$H$7:$H$100,$A182,'20'!$I$7:$I$100,2)+SUMIFS('20a'!$J$7:$J$100,'20a'!$H$7:$H$100,$A182,'20a'!$I$7:$I$100,2)+SUMIFS('21'!$J$7:$J$100,'21'!$H$7:$H$100,$A182,'21'!$I$7:$I$100,2)+SUMIFS('22'!$J$7:$J$100,'22'!$H$7:$H$100,$A182,'22'!$I$7:$I$100,2)+SUMIFS('22a'!$J$7:$J$100,'22a'!$H$7:$H$100,$A182,'22a'!$I$7:$I$100,2)+SUMIFS('22b'!$J$7:$J$100,'22b'!$H$7:$H$100,$A182,'22b'!$I$7:$I$100,2)+SUMIFS('23'!$J$7:$J$100,'23'!$H$7:$H$100,$A182,'23'!$I$7:$I$100,2)+SUMIFS('24'!$J$7:$J$100,'24'!$H$7:$H$100,$A182,'24'!$I$7:$I$100,2)+SUMIFS('24a'!$J$7:$J$100,'24a'!$H$7:$H$100,$A182,'24a'!$I$7:$I$100,2)+SUMIFS('24b'!$J$7:$J$100,'24b'!$H$7:$H$100,$A182,'24b'!$I$7:$I$100,2)+SUMIFS('24c'!$J$7:$J$100,'24c'!$H$7:$H$100,$A182,'24c'!$I$7:$I$100,2)+SUMIFS('24d'!$J$7:$J$100,'24d'!$H$7:$H$100,$A182,'24d'!$I$7:$I$100,2)+SUMIFS('24e'!$J$7:$J$100,'24e'!$H$7:$H$100,$A182,'24e'!$I$7:$I$100,2)+SUMIFS('24f'!$J$7:$J$100,'24f'!$H$7:$H$100,$A182,'24f'!$I$7:$I$100,2)+SUMIFS('24g'!$J$7:$J$100,'24g'!$H$7:$H$100,$A182,'24g'!$I$7:$I$100,2)+SUMIFS('24h'!$J$7:$J$100,'24h'!$H$7:$H$100,$A182,'24h'!$I$7:$I$100,2)+SUMIFS('24i'!$J$7:$J$100,'24i'!$H$7:$H$100,$A182,'24i'!$I$7:$I$100,2)+SUMIFS('25'!$J$7:$J$100,'25'!$H$7:$H$100,$A182,'25'!$I$7:$I$100,2)+SUMIFS('26'!$J$7:$J$100,'26'!$H$7:$H$100,$A182,'26'!$I$7:$I$100,2)+SUMIFS('26a'!$J$7:$J$100,'26a'!$H$7:$H$100,$A182,'26a'!$I$7:$I$100,2)+SUMIFS('27'!$J$7:$J$100,'27'!$H$7:$H$100,$A182,'27'!$I$7:$I$100,2)+SUMIFS('27a'!$J$7:$J$100,'27a'!$H$7:$H$100,$A182,'27a'!$I$7:$I$100,2)+SUMIFS('28'!$J$7:$J$100,'28'!$H$7:$H$100,$A182,'28'!$I$7:$I$100,2)+SUMIFS('29'!$J$7:$J$100,'29'!$H$7:$H$100,$A182,'29'!$I$7:$I$100,2)</f>
        <v>27060.799999999999</v>
      </c>
      <c r="I182" s="1315">
        <f>SUMIFS('12'!$J$7:$J$100,'12'!$H$7:$H$100,$A182,'12'!$I$7:$I$100,"")+SUMIFS('13'!$J$7:$J$100,'13'!$H$7:$H$100,$A182,'13'!$I$7:$I$100,"")+SUMIFS('14'!$J$7:$J$100,'14'!$H$7:$H$100,$A182,'14'!$I$7:$I$100,"")+SUMIFS('15'!$J$7:$J$100,'15'!$H$7:$H$100,$A182,'15'!$I$7:$I$100,"")+SUMIFS('15a'!$J$7:$J$100,'15a'!$H$7:$H$100,$A182,'15a'!$I$7:$I$100,"")+SUMIFS('15b'!$J$7:$J$100,'15b'!$H$7:$H$100,$A182,'15b'!$I$7:$I$100,"")+SUMIFS('15c'!$J$7:$J$100,'15c'!$H$7:$H$100,$A182,'15c'!$I$7:$I$100,"")+SUMIFS('15d'!$J$7:$J$100,'15d'!$H$7:$H$100,$A182,'15d'!$I$7:$I$100,"")+SUMIFS('15e'!$J$7:$J$100,'15e'!$H$7:$H$100,$A182,'15e'!$I$7:$I$100,"")+SUMIFS('15f'!$J$7:$J$100,'15f'!$H$7:$H$100,$A182,'15f'!$I$7:$I$100,"")+SUMIFS('15g'!$J$7:$J$100,'15g'!$H$7:$H$100,$A182,'15g'!$I$7:$I$100,"")+SUMIFS('15h'!$J$7:$J$100,'15h'!$H$7:$H$100,$A182,'15h'!$I$7:$I$100,"")+SUMIFS('15i'!$J$7:$J$100,'15i'!$H$7:$H$100,$A182,'15i'!$I$7:$I$100,"")+SUMIFS('15j'!$J$7:$J$100,'15j'!$H$7:$H$100,$A182,'15j'!$I$7:$I$100,"")+SUMIFS('15k'!$J$7:$J$100,'15k'!$H$7:$H$100,$A182,'15k'!$I$7:$I$100,"")+SUMIFS('15l'!$J$7:$J$100,'15l'!$H$7:$H$100,$A182,'15l'!$I$7:$I$100,"")+SUMIFS('15m'!$J$7:$J$100,'15m'!$H$7:$H$100,$A182,'15m'!$I$7:$I$100,"")+SUMIFS('15n'!$J$7:$J$100,'15n'!$H$7:$H$100,$A182,'15n'!$I$7:$I$100,"")+SUMIFS('16'!$J$7:$J$100,'16'!$H$7:$H$100,$A182,'16'!$I$7:$I$100,"")+SUMIFS('16a'!$J$7:$J$100,'16a'!$H$7:$H$100,$A182,'16a'!$I$7:$I$100,"")+SUMIFS('17'!$J$7:$J$100,'17'!$H$7:$H$100,$A182,'17'!$I$7:$I$100,"")+SUMIFS('17a'!$J$7:$J$100,'17a'!$H$7:$H$100,$A182,'17a'!$I$7:$I$100,"")+SUMIFS('18'!$J$7:$J$100,'18'!$H$7:$H$100,$A182,'18'!$I$7:$I$100,"")+SUMIFS('18a'!$J$7:$J$100,'18a'!$H$7:$H$100,$A182,'18a'!$I$7:$I$100,"")
+SUMIFS('19'!$J$7:$J$100,'19'!$H$7:$H$100,$A182,'19'!$I$7:$I$100,"")+SUMIFS('20'!$J$7:$J$100,'20'!$H$7:$H$100,$A182,'20'!$I$7:$I$100,"")+SUMIFS('20a'!$J$7:$J$100,'20a'!$H$7:$H$100,$A182,'20a'!$I$7:$I$100,"")+SUMIFS('21'!$J$7:$J$100,'21'!$H$7:$H$100,$A182,'21'!$I$7:$I$100,"")+SUMIFS('22'!$J$7:$J$100,'22'!$H$7:$H$100,$A182,'22'!$I$7:$I$100,"")+SUMIFS('22a'!$J$7:$J$100,'22a'!$H$7:$H$100,$A182,'22a'!$I$7:$I$100,"")+SUMIFS('22b'!$J$7:$J$100,'22b'!$H$7:$H$100,$A182,'22b'!$I$7:$I$100,"")+SUMIFS('23'!$J$7:$J$100,'23'!$H$7:$H$100,$A182,'23'!$I$7:$I$100,"")+SUMIFS('24'!$J$7:$J$100,'24'!$H$7:$H$100,$A182,'24'!$I$7:$I$100,"")+SUMIFS('24a'!$J$7:$J$100,'24a'!$H$7:$H$100,$A182,'24a'!$I$7:$I$100,"")+SUMIFS('24b'!$J$7:$J$100,'24b'!$H$7:$H$100,$A182,'24b'!$I$7:$I$100,"")+SUMIFS('24c'!$J$7:$J$100,'24c'!$H$7:$H$100,$A182,'24c'!$I$7:$I$100,"")+SUMIFS('24d'!$J$7:$J$100,'24d'!$H$7:$H$100,$A182,'24d'!$I$7:$I$100,"")+SUMIFS('24e'!$J$7:$J$100,'24e'!$H$7:$H$100,$A182,'24e'!$I$7:$I$100,"")+SUMIFS('24f'!$J$7:$J$100,'24f'!$H$7:$H$100,$A182,'24f'!$I$7:$I$100,"")+SUMIFS('24g'!$J$7:$J$100,'24g'!$H$7:$H$100,$A182,'24g'!$I$7:$I$100,"")+SUMIFS('24h'!$J$7:$J$100,'24h'!$H$7:$H$100,$A182,'24h'!$I$7:$I$100,"")+SUMIFS('24i'!$J$7:$J$100,'24i'!$H$7:$H$100,$A182,'24i'!$I$7:$I$100,"")+SUMIFS('25'!$J$7:$J$100,'25'!$H$7:$H$100,$A182,'25'!$I$7:$I$100,"")+SUMIFS('26'!$J$7:$J$100,'26'!$H$7:$H$100,$A182,'26'!$I$7:$I$100,"")+SUMIFS('26a'!$J$7:$J$100,'26a'!$H$7:$H$100,$A182,'26a'!$I$7:$I$100,"")+SUMIFS('27'!$J$7:$J$100,'27'!$H$7:$H$100,$A182,'27'!$I$7:$I$100,"")+SUMIFS('27a'!$J$7:$J$100,'27a'!$H$7:$H$100,$A182,'27a'!$I$7:$I$100,"")+SUMIFS('28'!$J$7:$J$100,'28'!$H$7:$H$100,$A182,'28'!$I$7:$I$100,"")+SUMIFS('29'!$J$7:$J$100,'29'!$H$7:$H$100,$A182,'29'!$I$7:$I$100,"")</f>
        <v>0</v>
      </c>
      <c r="J182" s="1296">
        <f t="shared" si="5"/>
        <v>27060.799999999999</v>
      </c>
      <c r="K182"/>
      <c r="L182"/>
      <c r="M182"/>
      <c r="N182"/>
      <c r="O182"/>
      <c r="P182"/>
      <c r="Q182"/>
      <c r="R182"/>
      <c r="S182" s="1307">
        <f t="shared" si="2"/>
        <v>91594.94</v>
      </c>
      <c r="T182"/>
    </row>
    <row r="183" spans="1:20" x14ac:dyDescent="0.2">
      <c r="A183" t="s">
        <v>5128</v>
      </c>
      <c r="B183" t="s">
        <v>5472</v>
      </c>
      <c r="C183" s="1295">
        <f>SUMIFS('12'!$N$7:$N$100,'12'!$H$7:$H$100,$A183,'12'!$I$7:$I$100,1)+SUMIFS('13'!$N$7:$N$100,'13'!$H$7:$H$100,$A183,'13'!$I$7:$I$100,1)+SUMIFS('14'!$N$7:$N$100,'14'!$H$7:$H$100,$A183,'14'!$I$7:$I$100,1)+SUMIFS('15'!$N$7:$N$100,'15'!$H$7:$H$100,$A183,'15'!$I$7:$I$100,1)+SUMIFS('15a'!$N$7:$N$100,'15a'!$H$7:$H$100,$A183,'15a'!$I$7:$I$100,1)+SUMIFS('15b'!$N$7:$N$100,'15b'!$H$7:$H$100,$A183,'15b'!$I$7:$I$100,1)+SUMIFS('15c'!$N$7:$N$100,'15c'!$H$7:$H$100,$A183,'15c'!$I$7:$I$100,1)+SUMIFS('15d'!$N$7:$N$100,'15d'!$H$7:$H$100,$A183,'15d'!$I$7:$I$100,1)+SUMIFS('15e'!$N$7:$N$100,'15e'!$H$7:$H$100,$A183,'15e'!$I$7:$I$100,1)+SUMIFS('15f'!$N$7:$N$100,'15f'!$H$7:$H$100,$A183,'15f'!$I$7:$I$100,1)+SUMIFS('15g'!$N$7:$N$100,'15g'!$H$7:$H$100,$A183,'15g'!$I$7:$I$100,1)+SUMIFS('15h'!$N$7:$N$100,'15h'!$H$7:$H$100,$A183,'15h'!$I$7:$I$100,1)+SUMIFS('15i'!$N$7:$N$100,'15i'!$H$7:$H$100,$A183,'15i'!$I$7:$I$100,1)+SUMIFS('15j'!$N$7:$N$100,'15j'!$H$7:$H$100,$A183,'15j'!$I$7:$I$100,1)+SUMIFS('15k'!$N$7:$N$100,'15k'!$H$7:$H$100,$A183,'15k'!$I$7:$I$100,1)+SUMIFS('15l'!$N$7:$N$100,'15l'!$H$7:$H$100,$A183,'15l'!$I$7:$I$100,1)+SUMIFS('15m'!$N$7:$N$100,'15m'!$H$7:$H$100,$A183,'15m'!$I$7:$I$100,1)+SUMIFS('15n'!$N$7:$N$100,'15n'!$H$7:$H$100,$A183,'15n'!$I$7:$I$100,1)+SUMIFS('16'!$N$7:$N$100,'16'!$H$7:$H$100,$A183,'16'!$I$7:$I$100,1)+SUMIFS('16a'!$N$7:$N$100,'16a'!$H$7:$H$100,$A183,'16a'!$I$7:$I$100,1)+SUMIFS('17'!$N$7:$N$100,'17'!$H$7:$H$100,$A183,'17'!$I$7:$I$100,1)+SUMIFS('17a'!$N$7:$N$100,'17a'!$H$7:$H$100,$A183,'17a'!$I$7:$I$100,1)+SUMIFS('18'!$N$7:$N$100,'18'!$H$7:$H$100,$A183,'18'!$I$7:$I$100,1)+SUMIFS('18a'!$N$7:$N$100,'18a'!$H$7:$H$100,$A183,'18a'!$I$7:$I$100,1)
+SUMIFS('19'!$N$7:$N$100,'19'!$H$7:$H$100,$A183,'19'!$I$7:$I$100,1)+SUMIFS('20'!$N$7:$N$100,'20'!$H$7:$H$100,$A183,'20'!$I$7:$I$100,1)+SUMIFS('20a'!$N$7:$N$100,'20a'!$H$7:$H$100,$A183,'20a'!$I$7:$I$100,1)+SUMIFS('21'!$N$7:$N$100,'21'!$H$7:$H$100,$A183,'21'!$I$7:$I$100,1)+SUMIFS('22'!$N$7:$N$100,'22'!$H$7:$H$100,$A183,'22'!$I$7:$I$100,1)+SUMIFS('22a'!$N$7:$N$100,'22a'!$H$7:$H$100,$A183,'22a'!$I$7:$I$100,1)+SUMIFS('22b'!$N$7:$N$100,'22b'!$H$7:$H$100,$A183,'22b'!$I$7:$I$100,1)+SUMIFS('23'!$N$7:$N$100,'23'!$H$7:$H$100,$A183,'23'!$I$7:$I$100,1)+SUMIFS('24'!$N$7:$N$100,'24'!$H$7:$H$100,$A183,'24'!$I$7:$I$100,1)+SUMIFS('24a'!$N$7:$N$100,'24a'!$H$7:$H$100,$A183,'24a'!$I$7:$I$100,1)+SUMIFS('24b'!$N$7:$N$100,'24b'!$H$7:$H$100,$A183,'24b'!$I$7:$I$100,1)+SUMIFS('24c'!$N$7:$N$100,'24c'!$H$7:$H$100,$A183,'24c'!$I$7:$I$100,1)+SUMIFS('24d'!$N$7:$N$100,'24d'!$H$7:$H$100,$A183,'24d'!$I$7:$I$100,1)+SUMIFS('24e'!$N$7:$N$100,'24e'!$H$7:$H$100,$A183,'24e'!$I$7:$I$100,1)+SUMIFS('24f'!$N$7:$N$100,'24f'!$H$7:$H$100,$A183,'24f'!$I$7:$I$100,1)+SUMIFS('24g'!$N$7:$N$100,'24g'!$H$7:$H$100,$A183,'24g'!$I$7:$I$100,1)+SUMIFS('24h'!$N$7:$N$100,'24h'!$H$7:$H$100,$A183,'24h'!$I$7:$I$100,1)+SUMIFS('24i'!$N$7:$N$100,'24i'!$H$7:$H$100,$A183,'24i'!$I$7:$I$100,1)+SUMIFS('25'!$N$7:$N$100,'25'!$H$7:$H$100,$A183,'25'!$I$7:$I$100,1)+SUMIFS('26'!$N$7:$N$100,'26'!$H$7:$H$100,$A183,'26'!$I$7:$I$100,1)+SUMIFS('26a'!$N$7:$N$100,'26a'!$H$7:$H$100,$A183,'26a'!$I$7:$I$100,1)+SUMIFS('27'!$N$7:$N$100,'27'!$H$7:$H$100,$A183,'27'!$I$7:$I$100,1)+SUMIFS('27a'!$N$7:$N$100,'27a'!$H$7:$H$100,$A183,'27a'!$I$7:$I$100,1)+SUMIFS('28'!$N$7:$N$100,'28'!$H$7:$H$100,$A183,'28'!$I$7:$I$100,1)+SUMIFS('29'!$N$7:$N$100,'29'!$H$7:$H$100,$A183,'29'!$I$7:$I$100,1)</f>
        <v>0</v>
      </c>
      <c r="D183" s="1315">
        <f>SUMIFS('12'!$N$7:$N$100,'12'!$H$7:$H$100,$A183,'12'!$I$7:$I$100,2)+SUMIFS('13'!$N$7:$N$100,'13'!$H$7:$H$100,$A183,'13'!$I$7:$I$100,2)+SUMIFS('14'!$N$7:$N$100,'14'!$H$7:$H$100,$A183,'14'!$I$7:$I$100,2)+SUMIFS('15'!$N$7:$N$100,'15'!$H$7:$H$100,$A183,'15'!$I$7:$I$100,2)+SUMIFS('15a'!$N$7:$N$100,'15a'!$H$7:$H$100,$A183,'15a'!$I$7:$I$100,2)+SUMIFS('15b'!$N$7:$N$100,'15b'!$H$7:$H$100,$A183,'15b'!$I$7:$I$100,2)+SUMIFS('15c'!$N$7:$N$100,'15c'!$H$7:$H$100,$A183,'15c'!$I$7:$I$100,2)+SUMIFS('15d'!$N$7:$N$100,'15d'!$H$7:$H$100,$A183,'15d'!$I$7:$I$100,2)+SUMIFS('15e'!$N$7:$N$100,'15e'!$H$7:$H$100,$A183,'15e'!$I$7:$I$100,2)+SUMIFS('15f'!$N$7:$N$100,'15f'!$H$7:$H$100,$A183,'15f'!$I$7:$I$100,2)+SUMIFS('15g'!$N$7:$N$100,'15g'!$H$7:$H$100,$A183,'15g'!$I$7:$I$100,2)+SUMIFS('15h'!$N$7:$N$100,'15h'!$H$7:$H$100,$A183,'15h'!$I$7:$I$100,2)+SUMIFS('15i'!$N$7:$N$100,'15i'!$H$7:$H$100,$A183,'15i'!$I$7:$I$100,2)+SUMIFS('15j'!$N$7:$N$100,'15j'!$H$7:$H$100,$A183,'15j'!$I$7:$I$100,2)+SUMIFS('15k'!$N$7:$N$100,'15k'!$H$7:$H$100,$A183,'15k'!$I$7:$I$100,2)+SUMIFS('15l'!$N$7:$N$100,'15l'!$H$7:$H$100,$A183,'15l'!$I$7:$I$100,2)+SUMIFS('15m'!$N$7:$N$100,'15m'!$H$7:$H$100,$A183,'15m'!$I$7:$I$100,2)+SUMIFS('15n'!$N$7:$N$100,'15n'!$H$7:$H$100,$A183,'15n'!$I$7:$I$100,2)+SUMIFS('16'!$N$7:$N$100,'16'!$H$7:$H$100,$A183,'16'!$I$7:$I$100,2)+SUMIFS('16a'!$N$7:$N$100,'16a'!$H$7:$H$100,$A183,'16a'!$I$7:$I$100,2)+SUMIFS('17'!$N$7:$N$100,'17'!$H$7:$H$100,$A183,'17'!$I$7:$I$100,2)+SUMIFS('17a'!$N$7:$N$100,'17a'!$H$7:$H$100,$A183,'17a'!$I$7:$I$100,2)+SUMIFS('18'!$N$7:$N$100,'18'!$H$7:$H$100,$A183,'18'!$I$7:$I$100,2)+SUMIFS('18a'!$N$7:$N$100,'18a'!$H$7:$H$100,$A183,'18a'!$I$7:$I$100,2)
+SUMIFS('19'!$N$7:$N$100,'19'!$H$7:$H$100,$A183,'19'!$I$7:$I$100,2)+SUMIFS('20'!$N$7:$N$100,'20'!$H$7:$H$100,$A183,'20'!$I$7:$I$100,2)+SUMIFS('20a'!$N$7:$N$100,'20a'!$H$7:$H$100,$A183,'20a'!$I$7:$I$100,2)+SUMIFS('21'!$N$7:$N$100,'21'!$H$7:$H$100,$A183,'21'!$I$7:$I$100,2)+SUMIFS('22'!$N$7:$N$100,'22'!$H$7:$H$100,$A183,'22'!$I$7:$I$100,2)+SUMIFS('22a'!$N$7:$N$100,'22a'!$H$7:$H$100,$A183,'22a'!$I$7:$I$100,2)+SUMIFS('22b'!$N$7:$N$100,'22b'!$H$7:$H$100,$A183,'22b'!$I$7:$I$100,2)+SUMIFS('23'!$N$7:$N$100,'23'!$H$7:$H$100,$A183,'23'!$I$7:$I$100,2)+SUMIFS('24'!$N$7:$N$100,'24'!$H$7:$H$100,$A183,'24'!$I$7:$I$100,2)+SUMIFS('24a'!$N$7:$N$100,'24a'!$H$7:$H$100,$A183,'24a'!$I$7:$I$100,2)+SUMIFS('24b'!$N$7:$N$100,'24b'!$H$7:$H$100,$A183,'24b'!$I$7:$I$100,2)+SUMIFS('24c'!$N$7:$N$100,'24c'!$H$7:$H$100,$A183,'24c'!$I$7:$I$100,2)+SUMIFS('24d'!$N$7:$N$100,'24d'!$H$7:$H$100,$A183,'24d'!$I$7:$I$100,2)+SUMIFS('24e'!$N$7:$N$100,'24e'!$H$7:$H$100,$A183,'24e'!$I$7:$I$100,2)+SUMIFS('24f'!$N$7:$N$100,'24f'!$H$7:$H$100,$A183,'24f'!$I$7:$I$100,2)+SUMIFS('24g'!$N$7:$N$100,'24g'!$H$7:$H$100,$A183,'24g'!$I$7:$I$100,2)+SUMIFS('24h'!$N$7:$N$100,'24h'!$H$7:$H$100,$A183,'24h'!$I$7:$I$100,2)+SUMIFS('24i'!$N$7:$N$100,'24i'!$H$7:$H$100,$A183,'24i'!$I$7:$I$100,2)+SUMIFS('25'!$N$7:$N$100,'25'!$H$7:$H$100,$A183,'25'!$I$7:$I$100,2)+SUMIFS('26'!$N$7:$N$100,'26'!$H$7:$H$100,$A183,'26'!$I$7:$I$100,2)+SUMIFS('26a'!$N$7:$N$100,'26a'!$H$7:$H$100,$A183,'26a'!$I$7:$I$100,2)+SUMIFS('27'!$N$7:$N$100,'27'!$H$7:$H$100,$A183,'27'!$I$7:$I$100,2)+SUMIFS('27a'!$N$7:$N$100,'27a'!$H$7:$H$100,$A183,'27a'!$I$7:$I$100,2)+SUMIFS('28'!$N$7:$N$100,'28'!$H$7:$H$100,$A183,'28'!$I$7:$I$100,2)+SUMIFS('29'!$N$7:$N$100,'29'!$H$7:$H$100,$A183,'29'!$I$7:$I$100,2)</f>
        <v>0</v>
      </c>
      <c r="E183" s="1315">
        <f>SUMIFS('12'!$N$7:$N$100,'12'!$H$7:$H$100,$A183,'12'!$I$7:$I$100,"")+SUMIFS('13'!$N$7:$N$100,'13'!$H$7:$H$100,$A183,'13'!$I$7:$I$100,"")+SUMIFS('14'!$N$7:$N$100,'14'!$H$7:$H$100,$A183,'14'!$I$7:$I$100,"")+SUMIFS('15'!$N$7:$N$100,'15'!$H$7:$H$100,$A183,'15'!$I$7:$I$100,"")+SUMIFS('15a'!$N$7:$N$100,'15a'!$H$7:$H$100,$A183,'15a'!$I$7:$I$100,"")+SUMIFS('15b'!$N$7:$N$100,'15b'!$H$7:$H$100,$A183,'15b'!$I$7:$I$100,"")+SUMIFS('15c'!$N$7:$N$100,'15c'!$H$7:$H$100,$A183,'15c'!$I$7:$I$100,"")+SUMIFS('15d'!$N$7:$N$100,'15d'!$H$7:$H$100,$A183,'15d'!$I$7:$I$100,"")+SUMIFS('15e'!$N$7:$N$100,'15e'!$H$7:$H$100,$A183,'15e'!$I$7:$I$100,"")+SUMIFS('15f'!$N$7:$N$100,'15f'!$H$7:$H$100,$A183,'15f'!$I$7:$I$100,"")+SUMIFS('15g'!$N$7:$N$100,'15g'!$H$7:$H$100,$A183,'15g'!$I$7:$I$100,"")+SUMIFS('15h'!$N$7:$N$100,'15h'!$H$7:$H$100,$A183,'15h'!$I$7:$I$100,"")+SUMIFS('15i'!$N$7:$N$100,'15i'!$H$7:$H$100,$A183,'15i'!$I$7:$I$100,"")+SUMIFS('15j'!$N$7:$N$100,'15j'!$H$7:$H$100,$A183,'15j'!$I$7:$I$100,"")+SUMIFS('15k'!$N$7:$N$100,'15k'!$H$7:$H$100,$A183,'15k'!$I$7:$I$100,"")+SUMIFS('15l'!$N$7:$N$100,'15l'!$H$7:$H$100,$A183,'15l'!$I$7:$I$100,"")+SUMIFS('15m'!$N$7:$N$100,'15m'!$H$7:$H$100,$A183,'15m'!$I$7:$I$100,"")+SUMIFS('15n'!$N$7:$N$100,'15n'!$H$7:$H$100,$A183,'15n'!$I$7:$I$100,"")+SUMIFS('16'!$N$7:$N$100,'16'!$H$7:$H$100,$A183,'16'!$I$7:$I$100,"")+SUMIFS('16a'!$N$7:$N$100,'16a'!$H$7:$H$100,$A183,'16a'!$I$7:$I$100,"")+SUMIFS('17'!$N$7:$N$100,'17'!$H$7:$H$100,$A183,'17'!$I$7:$I$100,"")+SUMIFS('17a'!$N$7:$N$100,'17a'!$H$7:$H$100,$A183,'17a'!$I$7:$I$100,"")+SUMIFS('18'!$N$7:$N$100,'18'!$H$7:$H$100,$A183,'18'!$I$7:$I$100,"")+SUMIFS('18a'!$N$7:$N$100,'18a'!$H$7:$H$100,$A183,'18a'!$I$7:$I$100,"")
+SUMIFS('19'!$N$7:$N$100,'19'!$H$7:$H$100,$A183,'19'!$I$7:$I$100,"")+SUMIFS('20'!$N$7:$N$100,'20'!$H$7:$H$100,$A183,'20'!$I$7:$I$100,"")+SUMIFS('20a'!$N$7:$N$100,'20a'!$H$7:$H$100,$A183,'20a'!$I$7:$I$100,"")+SUMIFS('21'!$N$7:$N$100,'21'!$H$7:$H$100,$A183,'21'!$I$7:$I$100,"")+SUMIFS('22'!$N$7:$N$100,'22'!$H$7:$H$100,$A183,'22'!$I$7:$I$100,"")+SUMIFS('22a'!$N$7:$N$100,'22a'!$H$7:$H$100,$A183,'22a'!$I$7:$I$100,"")+SUMIFS('22b'!$N$7:$N$100,'22b'!$H$7:$H$100,$A183,'22b'!$I$7:$I$100,"")+SUMIFS('23'!$N$7:$N$100,'23'!$H$7:$H$100,$A183,'23'!$I$7:$I$100,"")+SUMIFS('24'!$N$7:$N$100,'24'!$H$7:$H$100,$A183,'24'!$I$7:$I$100,"")+SUMIFS('24a'!$N$7:$N$100,'24a'!$H$7:$H$100,$A183,'24a'!$I$7:$I$100,"")+SUMIFS('24b'!$N$7:$N$100,'24b'!$H$7:$H$100,$A183,'24b'!$I$7:$I$100,"")+SUMIFS('24c'!$N$7:$N$100,'24c'!$H$7:$H$100,$A183,'24c'!$I$7:$I$100,"")+SUMIFS('24d'!$N$7:$N$100,'24d'!$H$7:$H$100,$A183,'24d'!$I$7:$I$100,"")+SUMIFS('24e'!$N$7:$N$100,'24e'!$H$7:$H$100,$A183,'24e'!$I$7:$I$100,"")+SUMIFS('24f'!$N$7:$N$100,'24f'!$H$7:$H$100,$A183,'24f'!$I$7:$I$100,"")+SUMIFS('24g'!$N$7:$N$100,'24g'!$H$7:$H$100,$A183,'24g'!$I$7:$I$100,"")+SUMIFS('24h'!$N$7:$N$100,'24h'!$H$7:$H$100,$A183,'24h'!$I$7:$I$100,"")+SUMIFS('24i'!$N$7:$N$100,'24i'!$H$7:$H$100,$A183,'24i'!$I$7:$I$100,"")+SUMIFS('25'!$N$7:$N$100,'25'!$H$7:$H$100,$A183,'25'!$I$7:$I$100,"")+SUMIFS('26'!$N$7:$N$100,'26'!$H$7:$H$100,$A183,'26'!$I$7:$I$100,"")+SUMIFS('26a'!$N$7:$N$100,'26a'!$H$7:$H$100,$A183,'26a'!$I$7:$I$100,"")+SUMIFS('27'!$N$7:$N$100,'27'!$H$7:$H$100,$A183,'27'!$I$7:$I$100,"")+SUMIFS('27a'!$N$7:$N$100,'27a'!$H$7:$H$100,$A183,'27a'!$I$7:$I$100,"")+SUMIFS('28'!$N$7:$N$100,'28'!$H$7:$H$100,$A183,'28'!$I$7:$I$100,"")+SUMIFS('29'!$N$7:$N$100,'29'!$H$7:$H$100,$A183,'29'!$I$7:$I$100,"")</f>
        <v>0</v>
      </c>
      <c r="F183" s="1296">
        <f t="shared" si="4"/>
        <v>0</v>
      </c>
      <c r="G183" s="1295">
        <f>SUMIFS('12'!$J$7:$J$100,'12'!$H$7:$H$100,$A183,'12'!$I$7:$I$100,1)+SUMIFS('13'!$J$7:$J$100,'13'!$H$7:$H$100,$A183,'13'!$I$7:$I$100,1)+SUMIFS('14'!$J$7:$J$100,'14'!$H$7:$H$100,$A183,'14'!$I$7:$I$100,1)+SUMIFS('15'!$J$7:$J$100,'15'!$H$7:$H$100,$A183,'15'!$I$7:$I$100,1)+SUMIFS('15a'!$J$7:$J$100,'15a'!$H$7:$H$100,$A183,'15a'!$I$7:$I$100,1)+SUMIFS('15b'!$J$7:$J$100,'15b'!$H$7:$H$100,$A183,'15b'!$I$7:$I$100,1)+SUMIFS('15c'!$J$7:$J$100,'15c'!$H$7:$H$100,$A183,'15c'!$I$7:$I$100,1)+SUMIFS('15d'!$J$7:$J$100,'15d'!$H$7:$H$100,$A183,'15d'!$I$7:$I$100,1)+SUMIFS('15e'!$J$7:$J$100,'15e'!$H$7:$H$100,$A183,'15e'!$I$7:$I$100,1)+SUMIFS('15f'!$J$7:$J$100,'15f'!$H$7:$H$100,$A183,'15f'!$I$7:$I$100,1)+SUMIFS('15g'!$J$7:$J$100,'15g'!$H$7:$H$100,$A183,'15g'!$I$7:$I$100,1)+SUMIFS('15h'!$J$7:$J$100,'15h'!$H$7:$H$100,$A183,'15h'!$I$7:$I$100,1)+SUMIFS('15i'!$J$7:$J$100,'15i'!$H$7:$H$100,$A183,'15i'!$I$7:$I$100,1)+SUMIFS('15j'!$J$7:$J$100,'15j'!$H$7:$H$100,$A183,'15j'!$I$7:$I$100,1)+SUMIFS('15k'!$J$7:$J$100,'15k'!$H$7:$H$100,$A183,'15k'!$I$7:$I$100,1)+SUMIFS('15l'!$J$7:$J$100,'15l'!$H$7:$H$100,$A183,'15l'!$I$7:$I$100,1)+SUMIFS('15m'!$J$7:$J$100,'15m'!$H$7:$H$100,$A183,'15m'!$I$7:$I$100,1)+SUMIFS('15n'!$J$7:$J$100,'15n'!$H$7:$H$100,$A183,'15n'!$I$7:$I$100,1)+SUMIFS('16'!$J$7:$J$100,'16'!$H$7:$H$100,$A183,'16'!$I$7:$I$100,1)+SUMIFS('16a'!$J$7:$J$100,'16a'!$H$7:$H$100,$A183,'16a'!$I$7:$I$100,1)+SUMIFS('17'!$J$7:$J$100,'17'!$H$7:$H$100,$A183,'17'!$I$7:$I$100,1)+SUMIFS('17a'!$J$7:$J$100,'17a'!$H$7:$H$100,$A183,'17a'!$I$7:$I$100,1)+SUMIFS('18'!$J$7:$J$100,'18'!$H$7:$H$100,$A183,'18'!$I$7:$I$100,1)+SUMIFS('18a'!$J$7:$J$100,'18a'!$H$7:$H$100,$A183,'18a'!$I$7:$I$100,1)
+SUMIFS('19'!$J$7:$J$100,'19'!$H$7:$H$100,$A183,'19'!$I$7:$I$100,1)+SUMIFS('20'!$J$7:$J$100,'20'!$H$7:$H$100,$A183,'20'!$I$7:$I$100,1)+SUMIFS('20a'!$J$7:$J$100,'20a'!$H$7:$H$100,$A183,'20a'!$I$7:$I$100,1)+SUMIFS('21'!$J$7:$J$100,'21'!$H$7:$H$100,$A183,'21'!$I$7:$I$100,1)+SUMIFS('22'!$J$7:$J$100,'22'!$H$7:$H$100,$A183,'22'!$I$7:$I$100,1)+SUMIFS('22a'!$J$7:$J$100,'22a'!$H$7:$H$100,$A183,'22a'!$I$7:$I$100,1)+SUMIFS('22b'!$J$7:$J$100,'22b'!$H$7:$H$100,$A183,'22b'!$I$7:$I$100,1)+SUMIFS('23'!$J$7:$J$100,'23'!$H$7:$H$100,$A183,'23'!$I$7:$I$100,1)+SUMIFS('24'!$J$7:$J$100,'24'!$H$7:$H$100,$A183,'24'!$I$7:$I$100,1)+SUMIFS('24a'!$J$7:$J$100,'24a'!$H$7:$H$100,$A183,'24a'!$I$7:$I$100,1)+SUMIFS('24b'!$J$7:$J$100,'24b'!$H$7:$H$100,$A183,'24b'!$I$7:$I$100,1)+SUMIFS('24c'!$J$7:$J$100,'24c'!$H$7:$H$100,$A183,'24c'!$I$7:$I$100,1)+SUMIFS('24d'!$J$7:$J$100,'24d'!$H$7:$H$100,$A183,'24d'!$I$7:$I$100,1)+SUMIFS('24e'!$J$7:$J$100,'24e'!$H$7:$H$100,$A183,'24e'!$I$7:$I$100,1)+SUMIFS('24f'!$J$7:$J$100,'24f'!$H$7:$H$100,$A183,'24f'!$I$7:$I$100,1)+SUMIFS('24g'!$J$7:$J$100,'24g'!$H$7:$H$100,$A183,'24g'!$I$7:$I$100,1)+SUMIFS('24h'!$J$7:$J$100,'24h'!$H$7:$H$100,$A183,'24h'!$I$7:$I$100,1)+SUMIFS('24i'!$J$7:$J$100,'24i'!$H$7:$H$100,$A183,'24i'!$I$7:$I$100,1)+SUMIFS('25'!$J$7:$J$100,'25'!$H$7:$H$100,$A183,'25'!$I$7:$I$100,1)+SUMIFS('26'!$J$7:$J$100,'26'!$H$7:$H$100,$A183,'26'!$I$7:$I$100,1)+SUMIFS('26a'!$J$7:$J$100,'26a'!$H$7:$H$100,$A183,'26a'!$I$7:$I$100,1)+SUMIFS('27'!$J$7:$J$100,'27'!$H$7:$H$100,$A183,'27'!$I$7:$I$100,1)+SUMIFS('27a'!$J$7:$J$100,'27a'!$H$7:$H$100,$A183,'27a'!$I$7:$I$100,1)+SUMIFS('28'!$J$7:$J$100,'28'!$H$7:$H$100,$A183,'28'!$I$7:$I$100,1)+SUMIFS('29'!$J$7:$J$100,'29'!$H$7:$H$100,$A183,'29'!$I$7:$I$100,1)</f>
        <v>0</v>
      </c>
      <c r="H183" s="1315">
        <f>SUMIFS('12'!$J$7:$J$100,'12'!$H$7:$H$100,$A183,'12'!$I$7:$I$100,2)+SUMIFS('13'!$J$7:$J$100,'13'!$H$7:$H$100,$A183,'13'!$I$7:$I$100,2)+SUMIFS('14'!$J$7:$J$100,'14'!$H$7:$H$100,$A183,'14'!$I$7:$I$100,2)+SUMIFS('15'!$J$7:$J$100,'15'!$H$7:$H$100,$A183,'15'!$I$7:$I$100,2)+SUMIFS('15a'!$J$7:$J$100,'15a'!$H$7:$H$100,$A183,'15a'!$I$7:$I$100,2)+SUMIFS('15b'!$J$7:$J$100,'15b'!$H$7:$H$100,$A183,'15b'!$I$7:$I$100,2)+SUMIFS('15c'!$J$7:$J$100,'15c'!$H$7:$H$100,$A183,'15c'!$I$7:$I$100,2)+SUMIFS('15d'!$J$7:$J$100,'15d'!$H$7:$H$100,$A183,'15d'!$I$7:$I$100,2)+SUMIFS('15e'!$J$7:$J$100,'15e'!$H$7:$H$100,$A183,'15e'!$I$7:$I$100,2)+SUMIFS('15f'!$J$7:$J$100,'15f'!$H$7:$H$100,$A183,'15f'!$I$7:$I$100,2)+SUMIFS('15g'!$J$7:$J$100,'15g'!$H$7:$H$100,$A183,'15g'!$I$7:$I$100,2)+SUMIFS('15h'!$J$7:$J$100,'15h'!$H$7:$H$100,$A183,'15h'!$I$7:$I$100,2)+SUMIFS('15i'!$J$7:$J$100,'15i'!$H$7:$H$100,$A183,'15i'!$I$7:$I$100,2)+SUMIFS('15j'!$J$7:$J$100,'15j'!$H$7:$H$100,$A183,'15j'!$I$7:$I$100,2)+SUMIFS('15k'!$J$7:$J$100,'15k'!$H$7:$H$100,$A183,'15k'!$I$7:$I$100,2)+SUMIFS('15l'!$J$7:$J$100,'15l'!$H$7:$H$100,$A183,'15l'!$I$7:$I$100,2)+SUMIFS('15m'!$J$7:$J$100,'15m'!$H$7:$H$100,$A183,'15m'!$I$7:$I$100,2)+SUMIFS('15n'!$J$7:$J$100,'15n'!$H$7:$H$100,$A183,'15n'!$I$7:$I$100,2)+SUMIFS('16'!$J$7:$J$100,'16'!$H$7:$H$100,$A183,'16'!$I$7:$I$100,2)+SUMIFS('16a'!$J$7:$J$100,'16a'!$H$7:$H$100,$A183,'16a'!$I$7:$I$100,2)+SUMIFS('17'!$J$7:$J$100,'17'!$H$7:$H$100,$A183,'17'!$I$7:$I$100,2)+SUMIFS('17a'!$J$7:$J$100,'17a'!$H$7:$H$100,$A183,'17a'!$I$7:$I$100,2)+SUMIFS('18'!$J$7:$J$100,'18'!$H$7:$H$100,$A183,'18'!$I$7:$I$100,2)+SUMIFS('18a'!$J$7:$J$100,'18a'!$H$7:$H$100,$A183,'18a'!$I$7:$I$100,2)
+SUMIFS('19'!$J$7:$J$100,'19'!$H$7:$H$100,$A183,'19'!$I$7:$I$100,2)+SUMIFS('20'!$J$7:$J$100,'20'!$H$7:$H$100,$A183,'20'!$I$7:$I$100,2)+SUMIFS('20a'!$J$7:$J$100,'20a'!$H$7:$H$100,$A183,'20a'!$I$7:$I$100,2)+SUMIFS('21'!$J$7:$J$100,'21'!$H$7:$H$100,$A183,'21'!$I$7:$I$100,2)+SUMIFS('22'!$J$7:$J$100,'22'!$H$7:$H$100,$A183,'22'!$I$7:$I$100,2)+SUMIFS('22a'!$J$7:$J$100,'22a'!$H$7:$H$100,$A183,'22a'!$I$7:$I$100,2)+SUMIFS('22b'!$J$7:$J$100,'22b'!$H$7:$H$100,$A183,'22b'!$I$7:$I$100,2)+SUMIFS('23'!$J$7:$J$100,'23'!$H$7:$H$100,$A183,'23'!$I$7:$I$100,2)+SUMIFS('24'!$J$7:$J$100,'24'!$H$7:$H$100,$A183,'24'!$I$7:$I$100,2)+SUMIFS('24a'!$J$7:$J$100,'24a'!$H$7:$H$100,$A183,'24a'!$I$7:$I$100,2)+SUMIFS('24b'!$J$7:$J$100,'24b'!$H$7:$H$100,$A183,'24b'!$I$7:$I$100,2)+SUMIFS('24c'!$J$7:$J$100,'24c'!$H$7:$H$100,$A183,'24c'!$I$7:$I$100,2)+SUMIFS('24d'!$J$7:$J$100,'24d'!$H$7:$H$100,$A183,'24d'!$I$7:$I$100,2)+SUMIFS('24e'!$J$7:$J$100,'24e'!$H$7:$H$100,$A183,'24e'!$I$7:$I$100,2)+SUMIFS('24f'!$J$7:$J$100,'24f'!$H$7:$H$100,$A183,'24f'!$I$7:$I$100,2)+SUMIFS('24g'!$J$7:$J$100,'24g'!$H$7:$H$100,$A183,'24g'!$I$7:$I$100,2)+SUMIFS('24h'!$J$7:$J$100,'24h'!$H$7:$H$100,$A183,'24h'!$I$7:$I$100,2)+SUMIFS('24i'!$J$7:$J$100,'24i'!$H$7:$H$100,$A183,'24i'!$I$7:$I$100,2)+SUMIFS('25'!$J$7:$J$100,'25'!$H$7:$H$100,$A183,'25'!$I$7:$I$100,2)+SUMIFS('26'!$J$7:$J$100,'26'!$H$7:$H$100,$A183,'26'!$I$7:$I$100,2)+SUMIFS('26a'!$J$7:$J$100,'26a'!$H$7:$H$100,$A183,'26a'!$I$7:$I$100,2)+SUMIFS('27'!$J$7:$J$100,'27'!$H$7:$H$100,$A183,'27'!$I$7:$I$100,2)+SUMIFS('27a'!$J$7:$J$100,'27a'!$H$7:$H$100,$A183,'27a'!$I$7:$I$100,2)+SUMIFS('28'!$J$7:$J$100,'28'!$H$7:$H$100,$A183,'28'!$I$7:$I$100,2)+SUMIFS('29'!$J$7:$J$100,'29'!$H$7:$H$100,$A183,'29'!$I$7:$I$100,2)</f>
        <v>0</v>
      </c>
      <c r="I183" s="1315">
        <f>SUMIFS('12'!$J$7:$J$100,'12'!$H$7:$H$100,$A183,'12'!$I$7:$I$100,"")+SUMIFS('13'!$J$7:$J$100,'13'!$H$7:$H$100,$A183,'13'!$I$7:$I$100,"")+SUMIFS('14'!$J$7:$J$100,'14'!$H$7:$H$100,$A183,'14'!$I$7:$I$100,"")+SUMIFS('15'!$J$7:$J$100,'15'!$H$7:$H$100,$A183,'15'!$I$7:$I$100,"")+SUMIFS('15a'!$J$7:$J$100,'15a'!$H$7:$H$100,$A183,'15a'!$I$7:$I$100,"")+SUMIFS('15b'!$J$7:$J$100,'15b'!$H$7:$H$100,$A183,'15b'!$I$7:$I$100,"")+SUMIFS('15c'!$J$7:$J$100,'15c'!$H$7:$H$100,$A183,'15c'!$I$7:$I$100,"")+SUMIFS('15d'!$J$7:$J$100,'15d'!$H$7:$H$100,$A183,'15d'!$I$7:$I$100,"")+SUMIFS('15e'!$J$7:$J$100,'15e'!$H$7:$H$100,$A183,'15e'!$I$7:$I$100,"")+SUMIFS('15f'!$J$7:$J$100,'15f'!$H$7:$H$100,$A183,'15f'!$I$7:$I$100,"")+SUMIFS('15g'!$J$7:$J$100,'15g'!$H$7:$H$100,$A183,'15g'!$I$7:$I$100,"")+SUMIFS('15h'!$J$7:$J$100,'15h'!$H$7:$H$100,$A183,'15h'!$I$7:$I$100,"")+SUMIFS('15i'!$J$7:$J$100,'15i'!$H$7:$H$100,$A183,'15i'!$I$7:$I$100,"")+SUMIFS('15j'!$J$7:$J$100,'15j'!$H$7:$H$100,$A183,'15j'!$I$7:$I$100,"")+SUMIFS('15k'!$J$7:$J$100,'15k'!$H$7:$H$100,$A183,'15k'!$I$7:$I$100,"")+SUMIFS('15l'!$J$7:$J$100,'15l'!$H$7:$H$100,$A183,'15l'!$I$7:$I$100,"")+SUMIFS('15m'!$J$7:$J$100,'15m'!$H$7:$H$100,$A183,'15m'!$I$7:$I$100,"")+SUMIFS('15n'!$J$7:$J$100,'15n'!$H$7:$H$100,$A183,'15n'!$I$7:$I$100,"")+SUMIFS('16'!$J$7:$J$100,'16'!$H$7:$H$100,$A183,'16'!$I$7:$I$100,"")+SUMIFS('16a'!$J$7:$J$100,'16a'!$H$7:$H$100,$A183,'16a'!$I$7:$I$100,"")+SUMIFS('17'!$J$7:$J$100,'17'!$H$7:$H$100,$A183,'17'!$I$7:$I$100,"")+SUMIFS('17a'!$J$7:$J$100,'17a'!$H$7:$H$100,$A183,'17a'!$I$7:$I$100,"")+SUMIFS('18'!$J$7:$J$100,'18'!$H$7:$H$100,$A183,'18'!$I$7:$I$100,"")+SUMIFS('18a'!$J$7:$J$100,'18a'!$H$7:$H$100,$A183,'18a'!$I$7:$I$100,"")
+SUMIFS('19'!$J$7:$J$100,'19'!$H$7:$H$100,$A183,'19'!$I$7:$I$100,"")+SUMIFS('20'!$J$7:$J$100,'20'!$H$7:$H$100,$A183,'20'!$I$7:$I$100,"")+SUMIFS('20a'!$J$7:$J$100,'20a'!$H$7:$H$100,$A183,'20a'!$I$7:$I$100,"")+SUMIFS('21'!$J$7:$J$100,'21'!$H$7:$H$100,$A183,'21'!$I$7:$I$100,"")+SUMIFS('22'!$J$7:$J$100,'22'!$H$7:$H$100,$A183,'22'!$I$7:$I$100,"")+SUMIFS('22a'!$J$7:$J$100,'22a'!$H$7:$H$100,$A183,'22a'!$I$7:$I$100,"")+SUMIFS('22b'!$J$7:$J$100,'22b'!$H$7:$H$100,$A183,'22b'!$I$7:$I$100,"")+SUMIFS('23'!$J$7:$J$100,'23'!$H$7:$H$100,$A183,'23'!$I$7:$I$100,"")+SUMIFS('24'!$J$7:$J$100,'24'!$H$7:$H$100,$A183,'24'!$I$7:$I$100,"")+SUMIFS('24a'!$J$7:$J$100,'24a'!$H$7:$H$100,$A183,'24a'!$I$7:$I$100,"")+SUMIFS('24b'!$J$7:$J$100,'24b'!$H$7:$H$100,$A183,'24b'!$I$7:$I$100,"")+SUMIFS('24c'!$J$7:$J$100,'24c'!$H$7:$H$100,$A183,'24c'!$I$7:$I$100,"")+SUMIFS('24d'!$J$7:$J$100,'24d'!$H$7:$H$100,$A183,'24d'!$I$7:$I$100,"")+SUMIFS('24e'!$J$7:$J$100,'24e'!$H$7:$H$100,$A183,'24e'!$I$7:$I$100,"")+SUMIFS('24f'!$J$7:$J$100,'24f'!$H$7:$H$100,$A183,'24f'!$I$7:$I$100,"")+SUMIFS('24g'!$J$7:$J$100,'24g'!$H$7:$H$100,$A183,'24g'!$I$7:$I$100,"")+SUMIFS('24h'!$J$7:$J$100,'24h'!$H$7:$H$100,$A183,'24h'!$I$7:$I$100,"")+SUMIFS('24i'!$J$7:$J$100,'24i'!$H$7:$H$100,$A183,'24i'!$I$7:$I$100,"")+SUMIFS('25'!$J$7:$J$100,'25'!$H$7:$H$100,$A183,'25'!$I$7:$I$100,"")+SUMIFS('26'!$J$7:$J$100,'26'!$H$7:$H$100,$A183,'26'!$I$7:$I$100,"")+SUMIFS('26a'!$J$7:$J$100,'26a'!$H$7:$H$100,$A183,'26a'!$I$7:$I$100,"")+SUMIFS('27'!$J$7:$J$100,'27'!$H$7:$H$100,$A183,'27'!$I$7:$I$100,"")+SUMIFS('27a'!$J$7:$J$100,'27a'!$H$7:$H$100,$A183,'27a'!$I$7:$I$100,"")+SUMIFS('28'!$J$7:$J$100,'28'!$H$7:$H$100,$A183,'28'!$I$7:$I$100,"")+SUMIFS('29'!$J$7:$J$100,'29'!$H$7:$H$100,$A183,'29'!$I$7:$I$100,"")</f>
        <v>0</v>
      </c>
      <c r="J183" s="1296">
        <f t="shared" si="5"/>
        <v>0</v>
      </c>
      <c r="K183"/>
      <c r="L183"/>
      <c r="M183"/>
      <c r="N183"/>
      <c r="O183"/>
      <c r="P183"/>
      <c r="Q183"/>
      <c r="R183"/>
      <c r="S183" s="1307">
        <f t="shared" si="2"/>
        <v>0</v>
      </c>
      <c r="T183"/>
    </row>
    <row r="184" spans="1:20" x14ac:dyDescent="0.2">
      <c r="A184" t="s">
        <v>5130</v>
      </c>
      <c r="B184" t="s">
        <v>5473</v>
      </c>
      <c r="C184" s="1295">
        <f>SUMIFS('12'!$N$7:$N$100,'12'!$H$7:$H$100,$A184,'12'!$I$7:$I$100,1)+SUMIFS('13'!$N$7:$N$100,'13'!$H$7:$H$100,$A184,'13'!$I$7:$I$100,1)+SUMIFS('14'!$N$7:$N$100,'14'!$H$7:$H$100,$A184,'14'!$I$7:$I$100,1)+SUMIFS('15'!$N$7:$N$100,'15'!$H$7:$H$100,$A184,'15'!$I$7:$I$100,1)+SUMIFS('15a'!$N$7:$N$100,'15a'!$H$7:$H$100,$A184,'15a'!$I$7:$I$100,1)+SUMIFS('15b'!$N$7:$N$100,'15b'!$H$7:$H$100,$A184,'15b'!$I$7:$I$100,1)+SUMIFS('15c'!$N$7:$N$100,'15c'!$H$7:$H$100,$A184,'15c'!$I$7:$I$100,1)+SUMIFS('15d'!$N$7:$N$100,'15d'!$H$7:$H$100,$A184,'15d'!$I$7:$I$100,1)+SUMIFS('15e'!$N$7:$N$100,'15e'!$H$7:$H$100,$A184,'15e'!$I$7:$I$100,1)+SUMIFS('15f'!$N$7:$N$100,'15f'!$H$7:$H$100,$A184,'15f'!$I$7:$I$100,1)+SUMIFS('15g'!$N$7:$N$100,'15g'!$H$7:$H$100,$A184,'15g'!$I$7:$I$100,1)+SUMIFS('15h'!$N$7:$N$100,'15h'!$H$7:$H$100,$A184,'15h'!$I$7:$I$100,1)+SUMIFS('15i'!$N$7:$N$100,'15i'!$H$7:$H$100,$A184,'15i'!$I$7:$I$100,1)+SUMIFS('15j'!$N$7:$N$100,'15j'!$H$7:$H$100,$A184,'15j'!$I$7:$I$100,1)+SUMIFS('15k'!$N$7:$N$100,'15k'!$H$7:$H$100,$A184,'15k'!$I$7:$I$100,1)+SUMIFS('15l'!$N$7:$N$100,'15l'!$H$7:$H$100,$A184,'15l'!$I$7:$I$100,1)+SUMIFS('15m'!$N$7:$N$100,'15m'!$H$7:$H$100,$A184,'15m'!$I$7:$I$100,1)+SUMIFS('15n'!$N$7:$N$100,'15n'!$H$7:$H$100,$A184,'15n'!$I$7:$I$100,1)+SUMIFS('16'!$N$7:$N$100,'16'!$H$7:$H$100,$A184,'16'!$I$7:$I$100,1)+SUMIFS('16a'!$N$7:$N$100,'16a'!$H$7:$H$100,$A184,'16a'!$I$7:$I$100,1)+SUMIFS('17'!$N$7:$N$100,'17'!$H$7:$H$100,$A184,'17'!$I$7:$I$100,1)+SUMIFS('17a'!$N$7:$N$100,'17a'!$H$7:$H$100,$A184,'17a'!$I$7:$I$100,1)+SUMIFS('18'!$N$7:$N$100,'18'!$H$7:$H$100,$A184,'18'!$I$7:$I$100,1)+SUMIFS('18a'!$N$7:$N$100,'18a'!$H$7:$H$100,$A184,'18a'!$I$7:$I$100,1)
+SUMIFS('19'!$N$7:$N$100,'19'!$H$7:$H$100,$A184,'19'!$I$7:$I$100,1)+SUMIFS('20'!$N$7:$N$100,'20'!$H$7:$H$100,$A184,'20'!$I$7:$I$100,1)+SUMIFS('20a'!$N$7:$N$100,'20a'!$H$7:$H$100,$A184,'20a'!$I$7:$I$100,1)+SUMIFS('21'!$N$7:$N$100,'21'!$H$7:$H$100,$A184,'21'!$I$7:$I$100,1)+SUMIFS('22'!$N$7:$N$100,'22'!$H$7:$H$100,$A184,'22'!$I$7:$I$100,1)+SUMIFS('22a'!$N$7:$N$100,'22a'!$H$7:$H$100,$A184,'22a'!$I$7:$I$100,1)+SUMIFS('22b'!$N$7:$N$100,'22b'!$H$7:$H$100,$A184,'22b'!$I$7:$I$100,1)+SUMIFS('23'!$N$7:$N$100,'23'!$H$7:$H$100,$A184,'23'!$I$7:$I$100,1)+SUMIFS('24'!$N$7:$N$100,'24'!$H$7:$H$100,$A184,'24'!$I$7:$I$100,1)+SUMIFS('24a'!$N$7:$N$100,'24a'!$H$7:$H$100,$A184,'24a'!$I$7:$I$100,1)+SUMIFS('24b'!$N$7:$N$100,'24b'!$H$7:$H$100,$A184,'24b'!$I$7:$I$100,1)+SUMIFS('24c'!$N$7:$N$100,'24c'!$H$7:$H$100,$A184,'24c'!$I$7:$I$100,1)+SUMIFS('24d'!$N$7:$N$100,'24d'!$H$7:$H$100,$A184,'24d'!$I$7:$I$100,1)+SUMIFS('24e'!$N$7:$N$100,'24e'!$H$7:$H$100,$A184,'24e'!$I$7:$I$100,1)+SUMIFS('24f'!$N$7:$N$100,'24f'!$H$7:$H$100,$A184,'24f'!$I$7:$I$100,1)+SUMIFS('24g'!$N$7:$N$100,'24g'!$H$7:$H$100,$A184,'24g'!$I$7:$I$100,1)+SUMIFS('24h'!$N$7:$N$100,'24h'!$H$7:$H$100,$A184,'24h'!$I$7:$I$100,1)+SUMIFS('24i'!$N$7:$N$100,'24i'!$H$7:$H$100,$A184,'24i'!$I$7:$I$100,1)+SUMIFS('25'!$N$7:$N$100,'25'!$H$7:$H$100,$A184,'25'!$I$7:$I$100,1)+SUMIFS('26'!$N$7:$N$100,'26'!$H$7:$H$100,$A184,'26'!$I$7:$I$100,1)+SUMIFS('26a'!$N$7:$N$100,'26a'!$H$7:$H$100,$A184,'26a'!$I$7:$I$100,1)+SUMIFS('27'!$N$7:$N$100,'27'!$H$7:$H$100,$A184,'27'!$I$7:$I$100,1)+SUMIFS('27a'!$N$7:$N$100,'27a'!$H$7:$H$100,$A184,'27a'!$I$7:$I$100,1)+SUMIFS('28'!$N$7:$N$100,'28'!$H$7:$H$100,$A184,'28'!$I$7:$I$100,1)+SUMIFS('29'!$N$7:$N$100,'29'!$H$7:$H$100,$A184,'29'!$I$7:$I$100,1)</f>
        <v>0</v>
      </c>
      <c r="D184" s="1315">
        <f>SUMIFS('12'!$N$7:$N$100,'12'!$H$7:$H$100,$A184,'12'!$I$7:$I$100,2)+SUMIFS('13'!$N$7:$N$100,'13'!$H$7:$H$100,$A184,'13'!$I$7:$I$100,2)+SUMIFS('14'!$N$7:$N$100,'14'!$H$7:$H$100,$A184,'14'!$I$7:$I$100,2)+SUMIFS('15'!$N$7:$N$100,'15'!$H$7:$H$100,$A184,'15'!$I$7:$I$100,2)+SUMIFS('15a'!$N$7:$N$100,'15a'!$H$7:$H$100,$A184,'15a'!$I$7:$I$100,2)+SUMIFS('15b'!$N$7:$N$100,'15b'!$H$7:$H$100,$A184,'15b'!$I$7:$I$100,2)+SUMIFS('15c'!$N$7:$N$100,'15c'!$H$7:$H$100,$A184,'15c'!$I$7:$I$100,2)+SUMIFS('15d'!$N$7:$N$100,'15d'!$H$7:$H$100,$A184,'15d'!$I$7:$I$100,2)+SUMIFS('15e'!$N$7:$N$100,'15e'!$H$7:$H$100,$A184,'15e'!$I$7:$I$100,2)+SUMIFS('15f'!$N$7:$N$100,'15f'!$H$7:$H$100,$A184,'15f'!$I$7:$I$100,2)+SUMIFS('15g'!$N$7:$N$100,'15g'!$H$7:$H$100,$A184,'15g'!$I$7:$I$100,2)+SUMIFS('15h'!$N$7:$N$100,'15h'!$H$7:$H$100,$A184,'15h'!$I$7:$I$100,2)+SUMIFS('15i'!$N$7:$N$100,'15i'!$H$7:$H$100,$A184,'15i'!$I$7:$I$100,2)+SUMIFS('15j'!$N$7:$N$100,'15j'!$H$7:$H$100,$A184,'15j'!$I$7:$I$100,2)+SUMIFS('15k'!$N$7:$N$100,'15k'!$H$7:$H$100,$A184,'15k'!$I$7:$I$100,2)+SUMIFS('15l'!$N$7:$N$100,'15l'!$H$7:$H$100,$A184,'15l'!$I$7:$I$100,2)+SUMIFS('15m'!$N$7:$N$100,'15m'!$H$7:$H$100,$A184,'15m'!$I$7:$I$100,2)+SUMIFS('15n'!$N$7:$N$100,'15n'!$H$7:$H$100,$A184,'15n'!$I$7:$I$100,2)+SUMIFS('16'!$N$7:$N$100,'16'!$H$7:$H$100,$A184,'16'!$I$7:$I$100,2)+SUMIFS('16a'!$N$7:$N$100,'16a'!$H$7:$H$100,$A184,'16a'!$I$7:$I$100,2)+SUMIFS('17'!$N$7:$N$100,'17'!$H$7:$H$100,$A184,'17'!$I$7:$I$100,2)+SUMIFS('17a'!$N$7:$N$100,'17a'!$H$7:$H$100,$A184,'17a'!$I$7:$I$100,2)+SUMIFS('18'!$N$7:$N$100,'18'!$H$7:$H$100,$A184,'18'!$I$7:$I$100,2)+SUMIFS('18a'!$N$7:$N$100,'18a'!$H$7:$H$100,$A184,'18a'!$I$7:$I$100,2)
+SUMIFS('19'!$N$7:$N$100,'19'!$H$7:$H$100,$A184,'19'!$I$7:$I$100,2)+SUMIFS('20'!$N$7:$N$100,'20'!$H$7:$H$100,$A184,'20'!$I$7:$I$100,2)+SUMIFS('20a'!$N$7:$N$100,'20a'!$H$7:$H$100,$A184,'20a'!$I$7:$I$100,2)+SUMIFS('21'!$N$7:$N$100,'21'!$H$7:$H$100,$A184,'21'!$I$7:$I$100,2)+SUMIFS('22'!$N$7:$N$100,'22'!$H$7:$H$100,$A184,'22'!$I$7:$I$100,2)+SUMIFS('22a'!$N$7:$N$100,'22a'!$H$7:$H$100,$A184,'22a'!$I$7:$I$100,2)+SUMIFS('22b'!$N$7:$N$100,'22b'!$H$7:$H$100,$A184,'22b'!$I$7:$I$100,2)+SUMIFS('23'!$N$7:$N$100,'23'!$H$7:$H$100,$A184,'23'!$I$7:$I$100,2)+SUMIFS('24'!$N$7:$N$100,'24'!$H$7:$H$100,$A184,'24'!$I$7:$I$100,2)+SUMIFS('24a'!$N$7:$N$100,'24a'!$H$7:$H$100,$A184,'24a'!$I$7:$I$100,2)+SUMIFS('24b'!$N$7:$N$100,'24b'!$H$7:$H$100,$A184,'24b'!$I$7:$I$100,2)+SUMIFS('24c'!$N$7:$N$100,'24c'!$H$7:$H$100,$A184,'24c'!$I$7:$I$100,2)+SUMIFS('24d'!$N$7:$N$100,'24d'!$H$7:$H$100,$A184,'24d'!$I$7:$I$100,2)+SUMIFS('24e'!$N$7:$N$100,'24e'!$H$7:$H$100,$A184,'24e'!$I$7:$I$100,2)+SUMIFS('24f'!$N$7:$N$100,'24f'!$H$7:$H$100,$A184,'24f'!$I$7:$I$100,2)+SUMIFS('24g'!$N$7:$N$100,'24g'!$H$7:$H$100,$A184,'24g'!$I$7:$I$100,2)+SUMIFS('24h'!$N$7:$N$100,'24h'!$H$7:$H$100,$A184,'24h'!$I$7:$I$100,2)+SUMIFS('24i'!$N$7:$N$100,'24i'!$H$7:$H$100,$A184,'24i'!$I$7:$I$100,2)+SUMIFS('25'!$N$7:$N$100,'25'!$H$7:$H$100,$A184,'25'!$I$7:$I$100,2)+SUMIFS('26'!$N$7:$N$100,'26'!$H$7:$H$100,$A184,'26'!$I$7:$I$100,2)+SUMIFS('26a'!$N$7:$N$100,'26a'!$H$7:$H$100,$A184,'26a'!$I$7:$I$100,2)+SUMIFS('27'!$N$7:$N$100,'27'!$H$7:$H$100,$A184,'27'!$I$7:$I$100,2)+SUMIFS('27a'!$N$7:$N$100,'27a'!$H$7:$H$100,$A184,'27a'!$I$7:$I$100,2)+SUMIFS('28'!$N$7:$N$100,'28'!$H$7:$H$100,$A184,'28'!$I$7:$I$100,2)+SUMIFS('29'!$N$7:$N$100,'29'!$H$7:$H$100,$A184,'29'!$I$7:$I$100,2)</f>
        <v>1620.3</v>
      </c>
      <c r="E184" s="1315">
        <f>SUMIFS('12'!$N$7:$N$100,'12'!$H$7:$H$100,$A184,'12'!$I$7:$I$100,"")+SUMIFS('13'!$N$7:$N$100,'13'!$H$7:$H$100,$A184,'13'!$I$7:$I$100,"")+SUMIFS('14'!$N$7:$N$100,'14'!$H$7:$H$100,$A184,'14'!$I$7:$I$100,"")+SUMIFS('15'!$N$7:$N$100,'15'!$H$7:$H$100,$A184,'15'!$I$7:$I$100,"")+SUMIFS('15a'!$N$7:$N$100,'15a'!$H$7:$H$100,$A184,'15a'!$I$7:$I$100,"")+SUMIFS('15b'!$N$7:$N$100,'15b'!$H$7:$H$100,$A184,'15b'!$I$7:$I$100,"")+SUMIFS('15c'!$N$7:$N$100,'15c'!$H$7:$H$100,$A184,'15c'!$I$7:$I$100,"")+SUMIFS('15d'!$N$7:$N$100,'15d'!$H$7:$H$100,$A184,'15d'!$I$7:$I$100,"")+SUMIFS('15e'!$N$7:$N$100,'15e'!$H$7:$H$100,$A184,'15e'!$I$7:$I$100,"")+SUMIFS('15f'!$N$7:$N$100,'15f'!$H$7:$H$100,$A184,'15f'!$I$7:$I$100,"")+SUMIFS('15g'!$N$7:$N$100,'15g'!$H$7:$H$100,$A184,'15g'!$I$7:$I$100,"")+SUMIFS('15h'!$N$7:$N$100,'15h'!$H$7:$H$100,$A184,'15h'!$I$7:$I$100,"")+SUMIFS('15i'!$N$7:$N$100,'15i'!$H$7:$H$100,$A184,'15i'!$I$7:$I$100,"")+SUMIFS('15j'!$N$7:$N$100,'15j'!$H$7:$H$100,$A184,'15j'!$I$7:$I$100,"")+SUMIFS('15k'!$N$7:$N$100,'15k'!$H$7:$H$100,$A184,'15k'!$I$7:$I$100,"")+SUMIFS('15l'!$N$7:$N$100,'15l'!$H$7:$H$100,$A184,'15l'!$I$7:$I$100,"")+SUMIFS('15m'!$N$7:$N$100,'15m'!$H$7:$H$100,$A184,'15m'!$I$7:$I$100,"")+SUMIFS('15n'!$N$7:$N$100,'15n'!$H$7:$H$100,$A184,'15n'!$I$7:$I$100,"")+SUMIFS('16'!$N$7:$N$100,'16'!$H$7:$H$100,$A184,'16'!$I$7:$I$100,"")+SUMIFS('16a'!$N$7:$N$100,'16a'!$H$7:$H$100,$A184,'16a'!$I$7:$I$100,"")+SUMIFS('17'!$N$7:$N$100,'17'!$H$7:$H$100,$A184,'17'!$I$7:$I$100,"")+SUMIFS('17a'!$N$7:$N$100,'17a'!$H$7:$H$100,$A184,'17a'!$I$7:$I$100,"")+SUMIFS('18'!$N$7:$N$100,'18'!$H$7:$H$100,$A184,'18'!$I$7:$I$100,"")+SUMIFS('18a'!$N$7:$N$100,'18a'!$H$7:$H$100,$A184,'18a'!$I$7:$I$100,"")
+SUMIFS('19'!$N$7:$N$100,'19'!$H$7:$H$100,$A184,'19'!$I$7:$I$100,"")+SUMIFS('20'!$N$7:$N$100,'20'!$H$7:$H$100,$A184,'20'!$I$7:$I$100,"")+SUMIFS('20a'!$N$7:$N$100,'20a'!$H$7:$H$100,$A184,'20a'!$I$7:$I$100,"")+SUMIFS('21'!$N$7:$N$100,'21'!$H$7:$H$100,$A184,'21'!$I$7:$I$100,"")+SUMIFS('22'!$N$7:$N$100,'22'!$H$7:$H$100,$A184,'22'!$I$7:$I$100,"")+SUMIFS('22a'!$N$7:$N$100,'22a'!$H$7:$H$100,$A184,'22a'!$I$7:$I$100,"")+SUMIFS('22b'!$N$7:$N$100,'22b'!$H$7:$H$100,$A184,'22b'!$I$7:$I$100,"")+SUMIFS('23'!$N$7:$N$100,'23'!$H$7:$H$100,$A184,'23'!$I$7:$I$100,"")+SUMIFS('24'!$N$7:$N$100,'24'!$H$7:$H$100,$A184,'24'!$I$7:$I$100,"")+SUMIFS('24a'!$N$7:$N$100,'24a'!$H$7:$H$100,$A184,'24a'!$I$7:$I$100,"")+SUMIFS('24b'!$N$7:$N$100,'24b'!$H$7:$H$100,$A184,'24b'!$I$7:$I$100,"")+SUMIFS('24c'!$N$7:$N$100,'24c'!$H$7:$H$100,$A184,'24c'!$I$7:$I$100,"")+SUMIFS('24d'!$N$7:$N$100,'24d'!$H$7:$H$100,$A184,'24d'!$I$7:$I$100,"")+SUMIFS('24e'!$N$7:$N$100,'24e'!$H$7:$H$100,$A184,'24e'!$I$7:$I$100,"")+SUMIFS('24f'!$N$7:$N$100,'24f'!$H$7:$H$100,$A184,'24f'!$I$7:$I$100,"")+SUMIFS('24g'!$N$7:$N$100,'24g'!$H$7:$H$100,$A184,'24g'!$I$7:$I$100,"")+SUMIFS('24h'!$N$7:$N$100,'24h'!$H$7:$H$100,$A184,'24h'!$I$7:$I$100,"")+SUMIFS('24i'!$N$7:$N$100,'24i'!$H$7:$H$100,$A184,'24i'!$I$7:$I$100,"")+SUMIFS('25'!$N$7:$N$100,'25'!$H$7:$H$100,$A184,'25'!$I$7:$I$100,"")+SUMIFS('26'!$N$7:$N$100,'26'!$H$7:$H$100,$A184,'26'!$I$7:$I$100,"")+SUMIFS('26a'!$N$7:$N$100,'26a'!$H$7:$H$100,$A184,'26a'!$I$7:$I$100,"")+SUMIFS('27'!$N$7:$N$100,'27'!$H$7:$H$100,$A184,'27'!$I$7:$I$100,"")+SUMIFS('27a'!$N$7:$N$100,'27a'!$H$7:$H$100,$A184,'27a'!$I$7:$I$100,"")+SUMIFS('28'!$N$7:$N$100,'28'!$H$7:$H$100,$A184,'28'!$I$7:$I$100,"")+SUMIFS('29'!$N$7:$N$100,'29'!$H$7:$H$100,$A184,'29'!$I$7:$I$100,"")</f>
        <v>0</v>
      </c>
      <c r="F184" s="1296">
        <f t="shared" si="4"/>
        <v>1620.3</v>
      </c>
      <c r="G184" s="1295">
        <f>SUMIFS('12'!$J$7:$J$100,'12'!$H$7:$H$100,$A184,'12'!$I$7:$I$100,1)+SUMIFS('13'!$J$7:$J$100,'13'!$H$7:$H$100,$A184,'13'!$I$7:$I$100,1)+SUMIFS('14'!$J$7:$J$100,'14'!$H$7:$H$100,$A184,'14'!$I$7:$I$100,1)+SUMIFS('15'!$J$7:$J$100,'15'!$H$7:$H$100,$A184,'15'!$I$7:$I$100,1)+SUMIFS('15a'!$J$7:$J$100,'15a'!$H$7:$H$100,$A184,'15a'!$I$7:$I$100,1)+SUMIFS('15b'!$J$7:$J$100,'15b'!$H$7:$H$100,$A184,'15b'!$I$7:$I$100,1)+SUMIFS('15c'!$J$7:$J$100,'15c'!$H$7:$H$100,$A184,'15c'!$I$7:$I$100,1)+SUMIFS('15d'!$J$7:$J$100,'15d'!$H$7:$H$100,$A184,'15d'!$I$7:$I$100,1)+SUMIFS('15e'!$J$7:$J$100,'15e'!$H$7:$H$100,$A184,'15e'!$I$7:$I$100,1)+SUMIFS('15f'!$J$7:$J$100,'15f'!$H$7:$H$100,$A184,'15f'!$I$7:$I$100,1)+SUMIFS('15g'!$J$7:$J$100,'15g'!$H$7:$H$100,$A184,'15g'!$I$7:$I$100,1)+SUMIFS('15h'!$J$7:$J$100,'15h'!$H$7:$H$100,$A184,'15h'!$I$7:$I$100,1)+SUMIFS('15i'!$J$7:$J$100,'15i'!$H$7:$H$100,$A184,'15i'!$I$7:$I$100,1)+SUMIFS('15j'!$J$7:$J$100,'15j'!$H$7:$H$100,$A184,'15j'!$I$7:$I$100,1)+SUMIFS('15k'!$J$7:$J$100,'15k'!$H$7:$H$100,$A184,'15k'!$I$7:$I$100,1)+SUMIFS('15l'!$J$7:$J$100,'15l'!$H$7:$H$100,$A184,'15l'!$I$7:$I$100,1)+SUMIFS('15m'!$J$7:$J$100,'15m'!$H$7:$H$100,$A184,'15m'!$I$7:$I$100,1)+SUMIFS('15n'!$J$7:$J$100,'15n'!$H$7:$H$100,$A184,'15n'!$I$7:$I$100,1)+SUMIFS('16'!$J$7:$J$100,'16'!$H$7:$H$100,$A184,'16'!$I$7:$I$100,1)+SUMIFS('16a'!$J$7:$J$100,'16a'!$H$7:$H$100,$A184,'16a'!$I$7:$I$100,1)+SUMIFS('17'!$J$7:$J$100,'17'!$H$7:$H$100,$A184,'17'!$I$7:$I$100,1)+SUMIFS('17a'!$J$7:$J$100,'17a'!$H$7:$H$100,$A184,'17a'!$I$7:$I$100,1)+SUMIFS('18'!$J$7:$J$100,'18'!$H$7:$H$100,$A184,'18'!$I$7:$I$100,1)+SUMIFS('18a'!$J$7:$J$100,'18a'!$H$7:$H$100,$A184,'18a'!$I$7:$I$100,1)
+SUMIFS('19'!$J$7:$J$100,'19'!$H$7:$H$100,$A184,'19'!$I$7:$I$100,1)+SUMIFS('20'!$J$7:$J$100,'20'!$H$7:$H$100,$A184,'20'!$I$7:$I$100,1)+SUMIFS('20a'!$J$7:$J$100,'20a'!$H$7:$H$100,$A184,'20a'!$I$7:$I$100,1)+SUMIFS('21'!$J$7:$J$100,'21'!$H$7:$H$100,$A184,'21'!$I$7:$I$100,1)+SUMIFS('22'!$J$7:$J$100,'22'!$H$7:$H$100,$A184,'22'!$I$7:$I$100,1)+SUMIFS('22a'!$J$7:$J$100,'22a'!$H$7:$H$100,$A184,'22a'!$I$7:$I$100,1)+SUMIFS('22b'!$J$7:$J$100,'22b'!$H$7:$H$100,$A184,'22b'!$I$7:$I$100,1)+SUMIFS('23'!$J$7:$J$100,'23'!$H$7:$H$100,$A184,'23'!$I$7:$I$100,1)+SUMIFS('24'!$J$7:$J$100,'24'!$H$7:$H$100,$A184,'24'!$I$7:$I$100,1)+SUMIFS('24a'!$J$7:$J$100,'24a'!$H$7:$H$100,$A184,'24a'!$I$7:$I$100,1)+SUMIFS('24b'!$J$7:$J$100,'24b'!$H$7:$H$100,$A184,'24b'!$I$7:$I$100,1)+SUMIFS('24c'!$J$7:$J$100,'24c'!$H$7:$H$100,$A184,'24c'!$I$7:$I$100,1)+SUMIFS('24d'!$J$7:$J$100,'24d'!$H$7:$H$100,$A184,'24d'!$I$7:$I$100,1)+SUMIFS('24e'!$J$7:$J$100,'24e'!$H$7:$H$100,$A184,'24e'!$I$7:$I$100,1)+SUMIFS('24f'!$J$7:$J$100,'24f'!$H$7:$H$100,$A184,'24f'!$I$7:$I$100,1)+SUMIFS('24g'!$J$7:$J$100,'24g'!$H$7:$H$100,$A184,'24g'!$I$7:$I$100,1)+SUMIFS('24h'!$J$7:$J$100,'24h'!$H$7:$H$100,$A184,'24h'!$I$7:$I$100,1)+SUMIFS('24i'!$J$7:$J$100,'24i'!$H$7:$H$100,$A184,'24i'!$I$7:$I$100,1)+SUMIFS('25'!$J$7:$J$100,'25'!$H$7:$H$100,$A184,'25'!$I$7:$I$100,1)+SUMIFS('26'!$J$7:$J$100,'26'!$H$7:$H$100,$A184,'26'!$I$7:$I$100,1)+SUMIFS('26a'!$J$7:$J$100,'26a'!$H$7:$H$100,$A184,'26a'!$I$7:$I$100,1)+SUMIFS('27'!$J$7:$J$100,'27'!$H$7:$H$100,$A184,'27'!$I$7:$I$100,1)+SUMIFS('27a'!$J$7:$J$100,'27a'!$H$7:$H$100,$A184,'27a'!$I$7:$I$100,1)+SUMIFS('28'!$J$7:$J$100,'28'!$H$7:$H$100,$A184,'28'!$I$7:$I$100,1)+SUMIFS('29'!$J$7:$J$100,'29'!$H$7:$H$100,$A184,'29'!$I$7:$I$100,1)</f>
        <v>0</v>
      </c>
      <c r="H184" s="1315">
        <f>SUMIFS('12'!$J$7:$J$100,'12'!$H$7:$H$100,$A184,'12'!$I$7:$I$100,2)+SUMIFS('13'!$J$7:$J$100,'13'!$H$7:$H$100,$A184,'13'!$I$7:$I$100,2)+SUMIFS('14'!$J$7:$J$100,'14'!$H$7:$H$100,$A184,'14'!$I$7:$I$100,2)+SUMIFS('15'!$J$7:$J$100,'15'!$H$7:$H$100,$A184,'15'!$I$7:$I$100,2)+SUMIFS('15a'!$J$7:$J$100,'15a'!$H$7:$H$100,$A184,'15a'!$I$7:$I$100,2)+SUMIFS('15b'!$J$7:$J$100,'15b'!$H$7:$H$100,$A184,'15b'!$I$7:$I$100,2)+SUMIFS('15c'!$J$7:$J$100,'15c'!$H$7:$H$100,$A184,'15c'!$I$7:$I$100,2)+SUMIFS('15d'!$J$7:$J$100,'15d'!$H$7:$H$100,$A184,'15d'!$I$7:$I$100,2)+SUMIFS('15e'!$J$7:$J$100,'15e'!$H$7:$H$100,$A184,'15e'!$I$7:$I$100,2)+SUMIFS('15f'!$J$7:$J$100,'15f'!$H$7:$H$100,$A184,'15f'!$I$7:$I$100,2)+SUMIFS('15g'!$J$7:$J$100,'15g'!$H$7:$H$100,$A184,'15g'!$I$7:$I$100,2)+SUMIFS('15h'!$J$7:$J$100,'15h'!$H$7:$H$100,$A184,'15h'!$I$7:$I$100,2)+SUMIFS('15i'!$J$7:$J$100,'15i'!$H$7:$H$100,$A184,'15i'!$I$7:$I$100,2)+SUMIFS('15j'!$J$7:$J$100,'15j'!$H$7:$H$100,$A184,'15j'!$I$7:$I$100,2)+SUMIFS('15k'!$J$7:$J$100,'15k'!$H$7:$H$100,$A184,'15k'!$I$7:$I$100,2)+SUMIFS('15l'!$J$7:$J$100,'15l'!$H$7:$H$100,$A184,'15l'!$I$7:$I$100,2)+SUMIFS('15m'!$J$7:$J$100,'15m'!$H$7:$H$100,$A184,'15m'!$I$7:$I$100,2)+SUMIFS('15n'!$J$7:$J$100,'15n'!$H$7:$H$100,$A184,'15n'!$I$7:$I$100,2)+SUMIFS('16'!$J$7:$J$100,'16'!$H$7:$H$100,$A184,'16'!$I$7:$I$100,2)+SUMIFS('16a'!$J$7:$J$100,'16a'!$H$7:$H$100,$A184,'16a'!$I$7:$I$100,2)+SUMIFS('17'!$J$7:$J$100,'17'!$H$7:$H$100,$A184,'17'!$I$7:$I$100,2)+SUMIFS('17a'!$J$7:$J$100,'17a'!$H$7:$H$100,$A184,'17a'!$I$7:$I$100,2)+SUMIFS('18'!$J$7:$J$100,'18'!$H$7:$H$100,$A184,'18'!$I$7:$I$100,2)+SUMIFS('18a'!$J$7:$J$100,'18a'!$H$7:$H$100,$A184,'18a'!$I$7:$I$100,2)
+SUMIFS('19'!$J$7:$J$100,'19'!$H$7:$H$100,$A184,'19'!$I$7:$I$100,2)+SUMIFS('20'!$J$7:$J$100,'20'!$H$7:$H$100,$A184,'20'!$I$7:$I$100,2)+SUMIFS('20a'!$J$7:$J$100,'20a'!$H$7:$H$100,$A184,'20a'!$I$7:$I$100,2)+SUMIFS('21'!$J$7:$J$100,'21'!$H$7:$H$100,$A184,'21'!$I$7:$I$100,2)+SUMIFS('22'!$J$7:$J$100,'22'!$H$7:$H$100,$A184,'22'!$I$7:$I$100,2)+SUMIFS('22a'!$J$7:$J$100,'22a'!$H$7:$H$100,$A184,'22a'!$I$7:$I$100,2)+SUMIFS('22b'!$J$7:$J$100,'22b'!$H$7:$H$100,$A184,'22b'!$I$7:$I$100,2)+SUMIFS('23'!$J$7:$J$100,'23'!$H$7:$H$100,$A184,'23'!$I$7:$I$100,2)+SUMIFS('24'!$J$7:$J$100,'24'!$H$7:$H$100,$A184,'24'!$I$7:$I$100,2)+SUMIFS('24a'!$J$7:$J$100,'24a'!$H$7:$H$100,$A184,'24a'!$I$7:$I$100,2)+SUMIFS('24b'!$J$7:$J$100,'24b'!$H$7:$H$100,$A184,'24b'!$I$7:$I$100,2)+SUMIFS('24c'!$J$7:$J$100,'24c'!$H$7:$H$100,$A184,'24c'!$I$7:$I$100,2)+SUMIFS('24d'!$J$7:$J$100,'24d'!$H$7:$H$100,$A184,'24d'!$I$7:$I$100,2)+SUMIFS('24e'!$J$7:$J$100,'24e'!$H$7:$H$100,$A184,'24e'!$I$7:$I$100,2)+SUMIFS('24f'!$J$7:$J$100,'24f'!$H$7:$H$100,$A184,'24f'!$I$7:$I$100,2)+SUMIFS('24g'!$J$7:$J$100,'24g'!$H$7:$H$100,$A184,'24g'!$I$7:$I$100,2)+SUMIFS('24h'!$J$7:$J$100,'24h'!$H$7:$H$100,$A184,'24h'!$I$7:$I$100,2)+SUMIFS('24i'!$J$7:$J$100,'24i'!$H$7:$H$100,$A184,'24i'!$I$7:$I$100,2)+SUMIFS('25'!$J$7:$J$100,'25'!$H$7:$H$100,$A184,'25'!$I$7:$I$100,2)+SUMIFS('26'!$J$7:$J$100,'26'!$H$7:$H$100,$A184,'26'!$I$7:$I$100,2)+SUMIFS('26a'!$J$7:$J$100,'26a'!$H$7:$H$100,$A184,'26a'!$I$7:$I$100,2)+SUMIFS('27'!$J$7:$J$100,'27'!$H$7:$H$100,$A184,'27'!$I$7:$I$100,2)+SUMIFS('27a'!$J$7:$J$100,'27a'!$H$7:$H$100,$A184,'27a'!$I$7:$I$100,2)+SUMIFS('28'!$J$7:$J$100,'28'!$H$7:$H$100,$A184,'28'!$I$7:$I$100,2)+SUMIFS('29'!$J$7:$J$100,'29'!$H$7:$H$100,$A184,'29'!$I$7:$I$100,2)</f>
        <v>4161.6000000000004</v>
      </c>
      <c r="I184" s="1315">
        <f>SUMIFS('12'!$J$7:$J$100,'12'!$H$7:$H$100,$A184,'12'!$I$7:$I$100,"")+SUMIFS('13'!$J$7:$J$100,'13'!$H$7:$H$100,$A184,'13'!$I$7:$I$100,"")+SUMIFS('14'!$J$7:$J$100,'14'!$H$7:$H$100,$A184,'14'!$I$7:$I$100,"")+SUMIFS('15'!$J$7:$J$100,'15'!$H$7:$H$100,$A184,'15'!$I$7:$I$100,"")+SUMIFS('15a'!$J$7:$J$100,'15a'!$H$7:$H$100,$A184,'15a'!$I$7:$I$100,"")+SUMIFS('15b'!$J$7:$J$100,'15b'!$H$7:$H$100,$A184,'15b'!$I$7:$I$100,"")+SUMIFS('15c'!$J$7:$J$100,'15c'!$H$7:$H$100,$A184,'15c'!$I$7:$I$100,"")+SUMIFS('15d'!$J$7:$J$100,'15d'!$H$7:$H$100,$A184,'15d'!$I$7:$I$100,"")+SUMIFS('15e'!$J$7:$J$100,'15e'!$H$7:$H$100,$A184,'15e'!$I$7:$I$100,"")+SUMIFS('15f'!$J$7:$J$100,'15f'!$H$7:$H$100,$A184,'15f'!$I$7:$I$100,"")+SUMIFS('15g'!$J$7:$J$100,'15g'!$H$7:$H$100,$A184,'15g'!$I$7:$I$100,"")+SUMIFS('15h'!$J$7:$J$100,'15h'!$H$7:$H$100,$A184,'15h'!$I$7:$I$100,"")+SUMIFS('15i'!$J$7:$J$100,'15i'!$H$7:$H$100,$A184,'15i'!$I$7:$I$100,"")+SUMIFS('15j'!$J$7:$J$100,'15j'!$H$7:$H$100,$A184,'15j'!$I$7:$I$100,"")+SUMIFS('15k'!$J$7:$J$100,'15k'!$H$7:$H$100,$A184,'15k'!$I$7:$I$100,"")+SUMIFS('15l'!$J$7:$J$100,'15l'!$H$7:$H$100,$A184,'15l'!$I$7:$I$100,"")+SUMIFS('15m'!$J$7:$J$100,'15m'!$H$7:$H$100,$A184,'15m'!$I$7:$I$100,"")+SUMIFS('15n'!$J$7:$J$100,'15n'!$H$7:$H$100,$A184,'15n'!$I$7:$I$100,"")+SUMIFS('16'!$J$7:$J$100,'16'!$H$7:$H$100,$A184,'16'!$I$7:$I$100,"")+SUMIFS('16a'!$J$7:$J$100,'16a'!$H$7:$H$100,$A184,'16a'!$I$7:$I$100,"")+SUMIFS('17'!$J$7:$J$100,'17'!$H$7:$H$100,$A184,'17'!$I$7:$I$100,"")+SUMIFS('17a'!$J$7:$J$100,'17a'!$H$7:$H$100,$A184,'17a'!$I$7:$I$100,"")+SUMIFS('18'!$J$7:$J$100,'18'!$H$7:$H$100,$A184,'18'!$I$7:$I$100,"")+SUMIFS('18a'!$J$7:$J$100,'18a'!$H$7:$H$100,$A184,'18a'!$I$7:$I$100,"")
+SUMIFS('19'!$J$7:$J$100,'19'!$H$7:$H$100,$A184,'19'!$I$7:$I$100,"")+SUMIFS('20'!$J$7:$J$100,'20'!$H$7:$H$100,$A184,'20'!$I$7:$I$100,"")+SUMIFS('20a'!$J$7:$J$100,'20a'!$H$7:$H$100,$A184,'20a'!$I$7:$I$100,"")+SUMIFS('21'!$J$7:$J$100,'21'!$H$7:$H$100,$A184,'21'!$I$7:$I$100,"")+SUMIFS('22'!$J$7:$J$100,'22'!$H$7:$H$100,$A184,'22'!$I$7:$I$100,"")+SUMIFS('22a'!$J$7:$J$100,'22a'!$H$7:$H$100,$A184,'22a'!$I$7:$I$100,"")+SUMIFS('22b'!$J$7:$J$100,'22b'!$H$7:$H$100,$A184,'22b'!$I$7:$I$100,"")+SUMIFS('23'!$J$7:$J$100,'23'!$H$7:$H$100,$A184,'23'!$I$7:$I$100,"")+SUMIFS('24'!$J$7:$J$100,'24'!$H$7:$H$100,$A184,'24'!$I$7:$I$100,"")+SUMIFS('24a'!$J$7:$J$100,'24a'!$H$7:$H$100,$A184,'24a'!$I$7:$I$100,"")+SUMIFS('24b'!$J$7:$J$100,'24b'!$H$7:$H$100,$A184,'24b'!$I$7:$I$100,"")+SUMIFS('24c'!$J$7:$J$100,'24c'!$H$7:$H$100,$A184,'24c'!$I$7:$I$100,"")+SUMIFS('24d'!$J$7:$J$100,'24d'!$H$7:$H$100,$A184,'24d'!$I$7:$I$100,"")+SUMIFS('24e'!$J$7:$J$100,'24e'!$H$7:$H$100,$A184,'24e'!$I$7:$I$100,"")+SUMIFS('24f'!$J$7:$J$100,'24f'!$H$7:$H$100,$A184,'24f'!$I$7:$I$100,"")+SUMIFS('24g'!$J$7:$J$100,'24g'!$H$7:$H$100,$A184,'24g'!$I$7:$I$100,"")+SUMIFS('24h'!$J$7:$J$100,'24h'!$H$7:$H$100,$A184,'24h'!$I$7:$I$100,"")+SUMIFS('24i'!$J$7:$J$100,'24i'!$H$7:$H$100,$A184,'24i'!$I$7:$I$100,"")+SUMIFS('25'!$J$7:$J$100,'25'!$H$7:$H$100,$A184,'25'!$I$7:$I$100,"")+SUMIFS('26'!$J$7:$J$100,'26'!$H$7:$H$100,$A184,'26'!$I$7:$I$100,"")+SUMIFS('26a'!$J$7:$J$100,'26a'!$H$7:$H$100,$A184,'26a'!$I$7:$I$100,"")+SUMIFS('27'!$J$7:$J$100,'27'!$H$7:$H$100,$A184,'27'!$I$7:$I$100,"")+SUMIFS('27a'!$J$7:$J$100,'27a'!$H$7:$H$100,$A184,'27a'!$I$7:$I$100,"")+SUMIFS('28'!$J$7:$J$100,'28'!$H$7:$H$100,$A184,'28'!$I$7:$I$100,"")+SUMIFS('29'!$J$7:$J$100,'29'!$H$7:$H$100,$A184,'29'!$I$7:$I$100,"")</f>
        <v>0</v>
      </c>
      <c r="J184" s="1296">
        <f t="shared" si="5"/>
        <v>4161.6000000000004</v>
      </c>
      <c r="K184"/>
      <c r="L184"/>
      <c r="M184"/>
      <c r="N184"/>
      <c r="O184"/>
      <c r="P184"/>
      <c r="Q184"/>
      <c r="R184"/>
      <c r="S184" s="1307">
        <f t="shared" si="2"/>
        <v>11563.800000000001</v>
      </c>
      <c r="T184"/>
    </row>
    <row r="185" spans="1:20" x14ac:dyDescent="0.2">
      <c r="A185" t="s">
        <v>5132</v>
      </c>
      <c r="B185" t="s">
        <v>5474</v>
      </c>
      <c r="C185" s="1295">
        <f>SUMIFS('12'!$N$7:$N$100,'12'!$H$7:$H$100,$A185,'12'!$I$7:$I$100,1)+SUMIFS('13'!$N$7:$N$100,'13'!$H$7:$H$100,$A185,'13'!$I$7:$I$100,1)+SUMIFS('14'!$N$7:$N$100,'14'!$H$7:$H$100,$A185,'14'!$I$7:$I$100,1)+SUMIFS('15'!$N$7:$N$100,'15'!$H$7:$H$100,$A185,'15'!$I$7:$I$100,1)+SUMIFS('15a'!$N$7:$N$100,'15a'!$H$7:$H$100,$A185,'15a'!$I$7:$I$100,1)+SUMIFS('15b'!$N$7:$N$100,'15b'!$H$7:$H$100,$A185,'15b'!$I$7:$I$100,1)+SUMIFS('15c'!$N$7:$N$100,'15c'!$H$7:$H$100,$A185,'15c'!$I$7:$I$100,1)+SUMIFS('15d'!$N$7:$N$100,'15d'!$H$7:$H$100,$A185,'15d'!$I$7:$I$100,1)+SUMIFS('15e'!$N$7:$N$100,'15e'!$H$7:$H$100,$A185,'15e'!$I$7:$I$100,1)+SUMIFS('15f'!$N$7:$N$100,'15f'!$H$7:$H$100,$A185,'15f'!$I$7:$I$100,1)+SUMIFS('15g'!$N$7:$N$100,'15g'!$H$7:$H$100,$A185,'15g'!$I$7:$I$100,1)+SUMIFS('15h'!$N$7:$N$100,'15h'!$H$7:$H$100,$A185,'15h'!$I$7:$I$100,1)+SUMIFS('15i'!$N$7:$N$100,'15i'!$H$7:$H$100,$A185,'15i'!$I$7:$I$100,1)+SUMIFS('15j'!$N$7:$N$100,'15j'!$H$7:$H$100,$A185,'15j'!$I$7:$I$100,1)+SUMIFS('15k'!$N$7:$N$100,'15k'!$H$7:$H$100,$A185,'15k'!$I$7:$I$100,1)+SUMIFS('15l'!$N$7:$N$100,'15l'!$H$7:$H$100,$A185,'15l'!$I$7:$I$100,1)+SUMIFS('15m'!$N$7:$N$100,'15m'!$H$7:$H$100,$A185,'15m'!$I$7:$I$100,1)+SUMIFS('15n'!$N$7:$N$100,'15n'!$H$7:$H$100,$A185,'15n'!$I$7:$I$100,1)+SUMIFS('16'!$N$7:$N$100,'16'!$H$7:$H$100,$A185,'16'!$I$7:$I$100,1)+SUMIFS('16a'!$N$7:$N$100,'16a'!$H$7:$H$100,$A185,'16a'!$I$7:$I$100,1)+SUMIFS('17'!$N$7:$N$100,'17'!$H$7:$H$100,$A185,'17'!$I$7:$I$100,1)+SUMIFS('17a'!$N$7:$N$100,'17a'!$H$7:$H$100,$A185,'17a'!$I$7:$I$100,1)+SUMIFS('18'!$N$7:$N$100,'18'!$H$7:$H$100,$A185,'18'!$I$7:$I$100,1)+SUMIFS('18a'!$N$7:$N$100,'18a'!$H$7:$H$100,$A185,'18a'!$I$7:$I$100,1)
+SUMIFS('19'!$N$7:$N$100,'19'!$H$7:$H$100,$A185,'19'!$I$7:$I$100,1)+SUMIFS('20'!$N$7:$N$100,'20'!$H$7:$H$100,$A185,'20'!$I$7:$I$100,1)+SUMIFS('20a'!$N$7:$N$100,'20a'!$H$7:$H$100,$A185,'20a'!$I$7:$I$100,1)+SUMIFS('21'!$N$7:$N$100,'21'!$H$7:$H$100,$A185,'21'!$I$7:$I$100,1)+SUMIFS('22'!$N$7:$N$100,'22'!$H$7:$H$100,$A185,'22'!$I$7:$I$100,1)+SUMIFS('22a'!$N$7:$N$100,'22a'!$H$7:$H$100,$A185,'22a'!$I$7:$I$100,1)+SUMIFS('22b'!$N$7:$N$100,'22b'!$H$7:$H$100,$A185,'22b'!$I$7:$I$100,1)+SUMIFS('23'!$N$7:$N$100,'23'!$H$7:$H$100,$A185,'23'!$I$7:$I$100,1)+SUMIFS('24'!$N$7:$N$100,'24'!$H$7:$H$100,$A185,'24'!$I$7:$I$100,1)+SUMIFS('24a'!$N$7:$N$100,'24a'!$H$7:$H$100,$A185,'24a'!$I$7:$I$100,1)+SUMIFS('24b'!$N$7:$N$100,'24b'!$H$7:$H$100,$A185,'24b'!$I$7:$I$100,1)+SUMIFS('24c'!$N$7:$N$100,'24c'!$H$7:$H$100,$A185,'24c'!$I$7:$I$100,1)+SUMIFS('24d'!$N$7:$N$100,'24d'!$H$7:$H$100,$A185,'24d'!$I$7:$I$100,1)+SUMIFS('24e'!$N$7:$N$100,'24e'!$H$7:$H$100,$A185,'24e'!$I$7:$I$100,1)+SUMIFS('24f'!$N$7:$N$100,'24f'!$H$7:$H$100,$A185,'24f'!$I$7:$I$100,1)+SUMIFS('24g'!$N$7:$N$100,'24g'!$H$7:$H$100,$A185,'24g'!$I$7:$I$100,1)+SUMIFS('24h'!$N$7:$N$100,'24h'!$H$7:$H$100,$A185,'24h'!$I$7:$I$100,1)+SUMIFS('24i'!$N$7:$N$100,'24i'!$H$7:$H$100,$A185,'24i'!$I$7:$I$100,1)+SUMIFS('25'!$N$7:$N$100,'25'!$H$7:$H$100,$A185,'25'!$I$7:$I$100,1)+SUMIFS('26'!$N$7:$N$100,'26'!$H$7:$H$100,$A185,'26'!$I$7:$I$100,1)+SUMIFS('26a'!$N$7:$N$100,'26a'!$H$7:$H$100,$A185,'26a'!$I$7:$I$100,1)+SUMIFS('27'!$N$7:$N$100,'27'!$H$7:$H$100,$A185,'27'!$I$7:$I$100,1)+SUMIFS('27a'!$N$7:$N$100,'27a'!$H$7:$H$100,$A185,'27a'!$I$7:$I$100,1)+SUMIFS('28'!$N$7:$N$100,'28'!$H$7:$H$100,$A185,'28'!$I$7:$I$100,1)+SUMIFS('29'!$N$7:$N$100,'29'!$H$7:$H$100,$A185,'29'!$I$7:$I$100,1)</f>
        <v>0</v>
      </c>
      <c r="D185" s="1315">
        <f>SUMIFS('12'!$N$7:$N$100,'12'!$H$7:$H$100,$A185,'12'!$I$7:$I$100,2)+SUMIFS('13'!$N$7:$N$100,'13'!$H$7:$H$100,$A185,'13'!$I$7:$I$100,2)+SUMIFS('14'!$N$7:$N$100,'14'!$H$7:$H$100,$A185,'14'!$I$7:$I$100,2)+SUMIFS('15'!$N$7:$N$100,'15'!$H$7:$H$100,$A185,'15'!$I$7:$I$100,2)+SUMIFS('15a'!$N$7:$N$100,'15a'!$H$7:$H$100,$A185,'15a'!$I$7:$I$100,2)+SUMIFS('15b'!$N$7:$N$100,'15b'!$H$7:$H$100,$A185,'15b'!$I$7:$I$100,2)+SUMIFS('15c'!$N$7:$N$100,'15c'!$H$7:$H$100,$A185,'15c'!$I$7:$I$100,2)+SUMIFS('15d'!$N$7:$N$100,'15d'!$H$7:$H$100,$A185,'15d'!$I$7:$I$100,2)+SUMIFS('15e'!$N$7:$N$100,'15e'!$H$7:$H$100,$A185,'15e'!$I$7:$I$100,2)+SUMIFS('15f'!$N$7:$N$100,'15f'!$H$7:$H$100,$A185,'15f'!$I$7:$I$100,2)+SUMIFS('15g'!$N$7:$N$100,'15g'!$H$7:$H$100,$A185,'15g'!$I$7:$I$100,2)+SUMIFS('15h'!$N$7:$N$100,'15h'!$H$7:$H$100,$A185,'15h'!$I$7:$I$100,2)+SUMIFS('15i'!$N$7:$N$100,'15i'!$H$7:$H$100,$A185,'15i'!$I$7:$I$100,2)+SUMIFS('15j'!$N$7:$N$100,'15j'!$H$7:$H$100,$A185,'15j'!$I$7:$I$100,2)+SUMIFS('15k'!$N$7:$N$100,'15k'!$H$7:$H$100,$A185,'15k'!$I$7:$I$100,2)+SUMIFS('15l'!$N$7:$N$100,'15l'!$H$7:$H$100,$A185,'15l'!$I$7:$I$100,2)+SUMIFS('15m'!$N$7:$N$100,'15m'!$H$7:$H$100,$A185,'15m'!$I$7:$I$100,2)+SUMIFS('15n'!$N$7:$N$100,'15n'!$H$7:$H$100,$A185,'15n'!$I$7:$I$100,2)+SUMIFS('16'!$N$7:$N$100,'16'!$H$7:$H$100,$A185,'16'!$I$7:$I$100,2)+SUMIFS('16a'!$N$7:$N$100,'16a'!$H$7:$H$100,$A185,'16a'!$I$7:$I$100,2)+SUMIFS('17'!$N$7:$N$100,'17'!$H$7:$H$100,$A185,'17'!$I$7:$I$100,2)+SUMIFS('17a'!$N$7:$N$100,'17a'!$H$7:$H$100,$A185,'17a'!$I$7:$I$100,2)+SUMIFS('18'!$N$7:$N$100,'18'!$H$7:$H$100,$A185,'18'!$I$7:$I$100,2)+SUMIFS('18a'!$N$7:$N$100,'18a'!$H$7:$H$100,$A185,'18a'!$I$7:$I$100,2)
+SUMIFS('19'!$N$7:$N$100,'19'!$H$7:$H$100,$A185,'19'!$I$7:$I$100,2)+SUMIFS('20'!$N$7:$N$100,'20'!$H$7:$H$100,$A185,'20'!$I$7:$I$100,2)+SUMIFS('20a'!$N$7:$N$100,'20a'!$H$7:$H$100,$A185,'20a'!$I$7:$I$100,2)+SUMIFS('21'!$N$7:$N$100,'21'!$H$7:$H$100,$A185,'21'!$I$7:$I$100,2)+SUMIFS('22'!$N$7:$N$100,'22'!$H$7:$H$100,$A185,'22'!$I$7:$I$100,2)+SUMIFS('22a'!$N$7:$N$100,'22a'!$H$7:$H$100,$A185,'22a'!$I$7:$I$100,2)+SUMIFS('22b'!$N$7:$N$100,'22b'!$H$7:$H$100,$A185,'22b'!$I$7:$I$100,2)+SUMIFS('23'!$N$7:$N$100,'23'!$H$7:$H$100,$A185,'23'!$I$7:$I$100,2)+SUMIFS('24'!$N$7:$N$100,'24'!$H$7:$H$100,$A185,'24'!$I$7:$I$100,2)+SUMIFS('24a'!$N$7:$N$100,'24a'!$H$7:$H$100,$A185,'24a'!$I$7:$I$100,2)+SUMIFS('24b'!$N$7:$N$100,'24b'!$H$7:$H$100,$A185,'24b'!$I$7:$I$100,2)+SUMIFS('24c'!$N$7:$N$100,'24c'!$H$7:$H$100,$A185,'24c'!$I$7:$I$100,2)+SUMIFS('24d'!$N$7:$N$100,'24d'!$H$7:$H$100,$A185,'24d'!$I$7:$I$100,2)+SUMIFS('24e'!$N$7:$N$100,'24e'!$H$7:$H$100,$A185,'24e'!$I$7:$I$100,2)+SUMIFS('24f'!$N$7:$N$100,'24f'!$H$7:$H$100,$A185,'24f'!$I$7:$I$100,2)+SUMIFS('24g'!$N$7:$N$100,'24g'!$H$7:$H$100,$A185,'24g'!$I$7:$I$100,2)+SUMIFS('24h'!$N$7:$N$100,'24h'!$H$7:$H$100,$A185,'24h'!$I$7:$I$100,2)+SUMIFS('24i'!$N$7:$N$100,'24i'!$H$7:$H$100,$A185,'24i'!$I$7:$I$100,2)+SUMIFS('25'!$N$7:$N$100,'25'!$H$7:$H$100,$A185,'25'!$I$7:$I$100,2)+SUMIFS('26'!$N$7:$N$100,'26'!$H$7:$H$100,$A185,'26'!$I$7:$I$100,2)+SUMIFS('26a'!$N$7:$N$100,'26a'!$H$7:$H$100,$A185,'26a'!$I$7:$I$100,2)+SUMIFS('27'!$N$7:$N$100,'27'!$H$7:$H$100,$A185,'27'!$I$7:$I$100,2)+SUMIFS('27a'!$N$7:$N$100,'27a'!$H$7:$H$100,$A185,'27a'!$I$7:$I$100,2)+SUMIFS('28'!$N$7:$N$100,'28'!$H$7:$H$100,$A185,'28'!$I$7:$I$100,2)+SUMIFS('29'!$N$7:$N$100,'29'!$H$7:$H$100,$A185,'29'!$I$7:$I$100,2)</f>
        <v>0</v>
      </c>
      <c r="E185" s="1315">
        <f>SUMIFS('12'!$N$7:$N$100,'12'!$H$7:$H$100,$A185,'12'!$I$7:$I$100,"")+SUMIFS('13'!$N$7:$N$100,'13'!$H$7:$H$100,$A185,'13'!$I$7:$I$100,"")+SUMIFS('14'!$N$7:$N$100,'14'!$H$7:$H$100,$A185,'14'!$I$7:$I$100,"")+SUMIFS('15'!$N$7:$N$100,'15'!$H$7:$H$100,$A185,'15'!$I$7:$I$100,"")+SUMIFS('15a'!$N$7:$N$100,'15a'!$H$7:$H$100,$A185,'15a'!$I$7:$I$100,"")+SUMIFS('15b'!$N$7:$N$100,'15b'!$H$7:$H$100,$A185,'15b'!$I$7:$I$100,"")+SUMIFS('15c'!$N$7:$N$100,'15c'!$H$7:$H$100,$A185,'15c'!$I$7:$I$100,"")+SUMIFS('15d'!$N$7:$N$100,'15d'!$H$7:$H$100,$A185,'15d'!$I$7:$I$100,"")+SUMIFS('15e'!$N$7:$N$100,'15e'!$H$7:$H$100,$A185,'15e'!$I$7:$I$100,"")+SUMIFS('15f'!$N$7:$N$100,'15f'!$H$7:$H$100,$A185,'15f'!$I$7:$I$100,"")+SUMIFS('15g'!$N$7:$N$100,'15g'!$H$7:$H$100,$A185,'15g'!$I$7:$I$100,"")+SUMIFS('15h'!$N$7:$N$100,'15h'!$H$7:$H$100,$A185,'15h'!$I$7:$I$100,"")+SUMIFS('15i'!$N$7:$N$100,'15i'!$H$7:$H$100,$A185,'15i'!$I$7:$I$100,"")+SUMIFS('15j'!$N$7:$N$100,'15j'!$H$7:$H$100,$A185,'15j'!$I$7:$I$100,"")+SUMIFS('15k'!$N$7:$N$100,'15k'!$H$7:$H$100,$A185,'15k'!$I$7:$I$100,"")+SUMIFS('15l'!$N$7:$N$100,'15l'!$H$7:$H$100,$A185,'15l'!$I$7:$I$100,"")+SUMIFS('15m'!$N$7:$N$100,'15m'!$H$7:$H$100,$A185,'15m'!$I$7:$I$100,"")+SUMIFS('15n'!$N$7:$N$100,'15n'!$H$7:$H$100,$A185,'15n'!$I$7:$I$100,"")+SUMIFS('16'!$N$7:$N$100,'16'!$H$7:$H$100,$A185,'16'!$I$7:$I$100,"")+SUMIFS('16a'!$N$7:$N$100,'16a'!$H$7:$H$100,$A185,'16a'!$I$7:$I$100,"")+SUMIFS('17'!$N$7:$N$100,'17'!$H$7:$H$100,$A185,'17'!$I$7:$I$100,"")+SUMIFS('17a'!$N$7:$N$100,'17a'!$H$7:$H$100,$A185,'17a'!$I$7:$I$100,"")+SUMIFS('18'!$N$7:$N$100,'18'!$H$7:$H$100,$A185,'18'!$I$7:$I$100,"")+SUMIFS('18a'!$N$7:$N$100,'18a'!$H$7:$H$100,$A185,'18a'!$I$7:$I$100,"")
+SUMIFS('19'!$N$7:$N$100,'19'!$H$7:$H$100,$A185,'19'!$I$7:$I$100,"")+SUMIFS('20'!$N$7:$N$100,'20'!$H$7:$H$100,$A185,'20'!$I$7:$I$100,"")+SUMIFS('20a'!$N$7:$N$100,'20a'!$H$7:$H$100,$A185,'20a'!$I$7:$I$100,"")+SUMIFS('21'!$N$7:$N$100,'21'!$H$7:$H$100,$A185,'21'!$I$7:$I$100,"")+SUMIFS('22'!$N$7:$N$100,'22'!$H$7:$H$100,$A185,'22'!$I$7:$I$100,"")+SUMIFS('22a'!$N$7:$N$100,'22a'!$H$7:$H$100,$A185,'22a'!$I$7:$I$100,"")+SUMIFS('22b'!$N$7:$N$100,'22b'!$H$7:$H$100,$A185,'22b'!$I$7:$I$100,"")+SUMIFS('23'!$N$7:$N$100,'23'!$H$7:$H$100,$A185,'23'!$I$7:$I$100,"")+SUMIFS('24'!$N$7:$N$100,'24'!$H$7:$H$100,$A185,'24'!$I$7:$I$100,"")+SUMIFS('24a'!$N$7:$N$100,'24a'!$H$7:$H$100,$A185,'24a'!$I$7:$I$100,"")+SUMIFS('24b'!$N$7:$N$100,'24b'!$H$7:$H$100,$A185,'24b'!$I$7:$I$100,"")+SUMIFS('24c'!$N$7:$N$100,'24c'!$H$7:$H$100,$A185,'24c'!$I$7:$I$100,"")+SUMIFS('24d'!$N$7:$N$100,'24d'!$H$7:$H$100,$A185,'24d'!$I$7:$I$100,"")+SUMIFS('24e'!$N$7:$N$100,'24e'!$H$7:$H$100,$A185,'24e'!$I$7:$I$100,"")+SUMIFS('24f'!$N$7:$N$100,'24f'!$H$7:$H$100,$A185,'24f'!$I$7:$I$100,"")+SUMIFS('24g'!$N$7:$N$100,'24g'!$H$7:$H$100,$A185,'24g'!$I$7:$I$100,"")+SUMIFS('24h'!$N$7:$N$100,'24h'!$H$7:$H$100,$A185,'24h'!$I$7:$I$100,"")+SUMIFS('24i'!$N$7:$N$100,'24i'!$H$7:$H$100,$A185,'24i'!$I$7:$I$100,"")+SUMIFS('25'!$N$7:$N$100,'25'!$H$7:$H$100,$A185,'25'!$I$7:$I$100,"")+SUMIFS('26'!$N$7:$N$100,'26'!$H$7:$H$100,$A185,'26'!$I$7:$I$100,"")+SUMIFS('26a'!$N$7:$N$100,'26a'!$H$7:$H$100,$A185,'26a'!$I$7:$I$100,"")+SUMIFS('27'!$N$7:$N$100,'27'!$H$7:$H$100,$A185,'27'!$I$7:$I$100,"")+SUMIFS('27a'!$N$7:$N$100,'27a'!$H$7:$H$100,$A185,'27a'!$I$7:$I$100,"")+SUMIFS('28'!$N$7:$N$100,'28'!$H$7:$H$100,$A185,'28'!$I$7:$I$100,"")+SUMIFS('29'!$N$7:$N$100,'29'!$H$7:$H$100,$A185,'29'!$I$7:$I$100,"")</f>
        <v>0</v>
      </c>
      <c r="F185" s="1296">
        <f t="shared" si="4"/>
        <v>0</v>
      </c>
      <c r="G185" s="1295">
        <f>SUMIFS('12'!$J$7:$J$100,'12'!$H$7:$H$100,$A185,'12'!$I$7:$I$100,1)+SUMIFS('13'!$J$7:$J$100,'13'!$H$7:$H$100,$A185,'13'!$I$7:$I$100,1)+SUMIFS('14'!$J$7:$J$100,'14'!$H$7:$H$100,$A185,'14'!$I$7:$I$100,1)+SUMIFS('15'!$J$7:$J$100,'15'!$H$7:$H$100,$A185,'15'!$I$7:$I$100,1)+SUMIFS('15a'!$J$7:$J$100,'15a'!$H$7:$H$100,$A185,'15a'!$I$7:$I$100,1)+SUMIFS('15b'!$J$7:$J$100,'15b'!$H$7:$H$100,$A185,'15b'!$I$7:$I$100,1)+SUMIFS('15c'!$J$7:$J$100,'15c'!$H$7:$H$100,$A185,'15c'!$I$7:$I$100,1)+SUMIFS('15d'!$J$7:$J$100,'15d'!$H$7:$H$100,$A185,'15d'!$I$7:$I$100,1)+SUMIFS('15e'!$J$7:$J$100,'15e'!$H$7:$H$100,$A185,'15e'!$I$7:$I$100,1)+SUMIFS('15f'!$J$7:$J$100,'15f'!$H$7:$H$100,$A185,'15f'!$I$7:$I$100,1)+SUMIFS('15g'!$J$7:$J$100,'15g'!$H$7:$H$100,$A185,'15g'!$I$7:$I$100,1)+SUMIFS('15h'!$J$7:$J$100,'15h'!$H$7:$H$100,$A185,'15h'!$I$7:$I$100,1)+SUMIFS('15i'!$J$7:$J$100,'15i'!$H$7:$H$100,$A185,'15i'!$I$7:$I$100,1)+SUMIFS('15j'!$J$7:$J$100,'15j'!$H$7:$H$100,$A185,'15j'!$I$7:$I$100,1)+SUMIFS('15k'!$J$7:$J$100,'15k'!$H$7:$H$100,$A185,'15k'!$I$7:$I$100,1)+SUMIFS('15l'!$J$7:$J$100,'15l'!$H$7:$H$100,$A185,'15l'!$I$7:$I$100,1)+SUMIFS('15m'!$J$7:$J$100,'15m'!$H$7:$H$100,$A185,'15m'!$I$7:$I$100,1)+SUMIFS('15n'!$J$7:$J$100,'15n'!$H$7:$H$100,$A185,'15n'!$I$7:$I$100,1)+SUMIFS('16'!$J$7:$J$100,'16'!$H$7:$H$100,$A185,'16'!$I$7:$I$100,1)+SUMIFS('16a'!$J$7:$J$100,'16a'!$H$7:$H$100,$A185,'16a'!$I$7:$I$100,1)+SUMIFS('17'!$J$7:$J$100,'17'!$H$7:$H$100,$A185,'17'!$I$7:$I$100,1)+SUMIFS('17a'!$J$7:$J$100,'17a'!$H$7:$H$100,$A185,'17a'!$I$7:$I$100,1)+SUMIFS('18'!$J$7:$J$100,'18'!$H$7:$H$100,$A185,'18'!$I$7:$I$100,1)+SUMIFS('18a'!$J$7:$J$100,'18a'!$H$7:$H$100,$A185,'18a'!$I$7:$I$100,1)
+SUMIFS('19'!$J$7:$J$100,'19'!$H$7:$H$100,$A185,'19'!$I$7:$I$100,1)+SUMIFS('20'!$J$7:$J$100,'20'!$H$7:$H$100,$A185,'20'!$I$7:$I$100,1)+SUMIFS('20a'!$J$7:$J$100,'20a'!$H$7:$H$100,$A185,'20a'!$I$7:$I$100,1)+SUMIFS('21'!$J$7:$J$100,'21'!$H$7:$H$100,$A185,'21'!$I$7:$I$100,1)+SUMIFS('22'!$J$7:$J$100,'22'!$H$7:$H$100,$A185,'22'!$I$7:$I$100,1)+SUMIFS('22a'!$J$7:$J$100,'22a'!$H$7:$H$100,$A185,'22a'!$I$7:$I$100,1)+SUMIFS('22b'!$J$7:$J$100,'22b'!$H$7:$H$100,$A185,'22b'!$I$7:$I$100,1)+SUMIFS('23'!$J$7:$J$100,'23'!$H$7:$H$100,$A185,'23'!$I$7:$I$100,1)+SUMIFS('24'!$J$7:$J$100,'24'!$H$7:$H$100,$A185,'24'!$I$7:$I$100,1)+SUMIFS('24a'!$J$7:$J$100,'24a'!$H$7:$H$100,$A185,'24a'!$I$7:$I$100,1)+SUMIFS('24b'!$J$7:$J$100,'24b'!$H$7:$H$100,$A185,'24b'!$I$7:$I$100,1)+SUMIFS('24c'!$J$7:$J$100,'24c'!$H$7:$H$100,$A185,'24c'!$I$7:$I$100,1)+SUMIFS('24d'!$J$7:$J$100,'24d'!$H$7:$H$100,$A185,'24d'!$I$7:$I$100,1)+SUMIFS('24e'!$J$7:$J$100,'24e'!$H$7:$H$100,$A185,'24e'!$I$7:$I$100,1)+SUMIFS('24f'!$J$7:$J$100,'24f'!$H$7:$H$100,$A185,'24f'!$I$7:$I$100,1)+SUMIFS('24g'!$J$7:$J$100,'24g'!$H$7:$H$100,$A185,'24g'!$I$7:$I$100,1)+SUMIFS('24h'!$J$7:$J$100,'24h'!$H$7:$H$100,$A185,'24h'!$I$7:$I$100,1)+SUMIFS('24i'!$J$7:$J$100,'24i'!$H$7:$H$100,$A185,'24i'!$I$7:$I$100,1)+SUMIFS('25'!$J$7:$J$100,'25'!$H$7:$H$100,$A185,'25'!$I$7:$I$100,1)+SUMIFS('26'!$J$7:$J$100,'26'!$H$7:$H$100,$A185,'26'!$I$7:$I$100,1)+SUMIFS('26a'!$J$7:$J$100,'26a'!$H$7:$H$100,$A185,'26a'!$I$7:$I$100,1)+SUMIFS('27'!$J$7:$J$100,'27'!$H$7:$H$100,$A185,'27'!$I$7:$I$100,1)+SUMIFS('27a'!$J$7:$J$100,'27a'!$H$7:$H$100,$A185,'27a'!$I$7:$I$100,1)+SUMIFS('28'!$J$7:$J$100,'28'!$H$7:$H$100,$A185,'28'!$I$7:$I$100,1)+SUMIFS('29'!$J$7:$J$100,'29'!$H$7:$H$100,$A185,'29'!$I$7:$I$100,1)</f>
        <v>0</v>
      </c>
      <c r="H185" s="1315">
        <f>SUMIFS('12'!$J$7:$J$100,'12'!$H$7:$H$100,$A185,'12'!$I$7:$I$100,2)+SUMIFS('13'!$J$7:$J$100,'13'!$H$7:$H$100,$A185,'13'!$I$7:$I$100,2)+SUMIFS('14'!$J$7:$J$100,'14'!$H$7:$H$100,$A185,'14'!$I$7:$I$100,2)+SUMIFS('15'!$J$7:$J$100,'15'!$H$7:$H$100,$A185,'15'!$I$7:$I$100,2)+SUMIFS('15a'!$J$7:$J$100,'15a'!$H$7:$H$100,$A185,'15a'!$I$7:$I$100,2)+SUMIFS('15b'!$J$7:$J$100,'15b'!$H$7:$H$100,$A185,'15b'!$I$7:$I$100,2)+SUMIFS('15c'!$J$7:$J$100,'15c'!$H$7:$H$100,$A185,'15c'!$I$7:$I$100,2)+SUMIFS('15d'!$J$7:$J$100,'15d'!$H$7:$H$100,$A185,'15d'!$I$7:$I$100,2)+SUMIFS('15e'!$J$7:$J$100,'15e'!$H$7:$H$100,$A185,'15e'!$I$7:$I$100,2)+SUMIFS('15f'!$J$7:$J$100,'15f'!$H$7:$H$100,$A185,'15f'!$I$7:$I$100,2)+SUMIFS('15g'!$J$7:$J$100,'15g'!$H$7:$H$100,$A185,'15g'!$I$7:$I$100,2)+SUMIFS('15h'!$J$7:$J$100,'15h'!$H$7:$H$100,$A185,'15h'!$I$7:$I$100,2)+SUMIFS('15i'!$J$7:$J$100,'15i'!$H$7:$H$100,$A185,'15i'!$I$7:$I$100,2)+SUMIFS('15j'!$J$7:$J$100,'15j'!$H$7:$H$100,$A185,'15j'!$I$7:$I$100,2)+SUMIFS('15k'!$J$7:$J$100,'15k'!$H$7:$H$100,$A185,'15k'!$I$7:$I$100,2)+SUMIFS('15l'!$J$7:$J$100,'15l'!$H$7:$H$100,$A185,'15l'!$I$7:$I$100,2)+SUMIFS('15m'!$J$7:$J$100,'15m'!$H$7:$H$100,$A185,'15m'!$I$7:$I$100,2)+SUMIFS('15n'!$J$7:$J$100,'15n'!$H$7:$H$100,$A185,'15n'!$I$7:$I$100,2)+SUMIFS('16'!$J$7:$J$100,'16'!$H$7:$H$100,$A185,'16'!$I$7:$I$100,2)+SUMIFS('16a'!$J$7:$J$100,'16a'!$H$7:$H$100,$A185,'16a'!$I$7:$I$100,2)+SUMIFS('17'!$J$7:$J$100,'17'!$H$7:$H$100,$A185,'17'!$I$7:$I$100,2)+SUMIFS('17a'!$J$7:$J$100,'17a'!$H$7:$H$100,$A185,'17a'!$I$7:$I$100,2)+SUMIFS('18'!$J$7:$J$100,'18'!$H$7:$H$100,$A185,'18'!$I$7:$I$100,2)+SUMIFS('18a'!$J$7:$J$100,'18a'!$H$7:$H$100,$A185,'18a'!$I$7:$I$100,2)
+SUMIFS('19'!$J$7:$J$100,'19'!$H$7:$H$100,$A185,'19'!$I$7:$I$100,2)+SUMIFS('20'!$J$7:$J$100,'20'!$H$7:$H$100,$A185,'20'!$I$7:$I$100,2)+SUMIFS('20a'!$J$7:$J$100,'20a'!$H$7:$H$100,$A185,'20a'!$I$7:$I$100,2)+SUMIFS('21'!$J$7:$J$100,'21'!$H$7:$H$100,$A185,'21'!$I$7:$I$100,2)+SUMIFS('22'!$J$7:$J$100,'22'!$H$7:$H$100,$A185,'22'!$I$7:$I$100,2)+SUMIFS('22a'!$J$7:$J$100,'22a'!$H$7:$H$100,$A185,'22a'!$I$7:$I$100,2)+SUMIFS('22b'!$J$7:$J$100,'22b'!$H$7:$H$100,$A185,'22b'!$I$7:$I$100,2)+SUMIFS('23'!$J$7:$J$100,'23'!$H$7:$H$100,$A185,'23'!$I$7:$I$100,2)+SUMIFS('24'!$J$7:$J$100,'24'!$H$7:$H$100,$A185,'24'!$I$7:$I$100,2)+SUMIFS('24a'!$J$7:$J$100,'24a'!$H$7:$H$100,$A185,'24a'!$I$7:$I$100,2)+SUMIFS('24b'!$J$7:$J$100,'24b'!$H$7:$H$100,$A185,'24b'!$I$7:$I$100,2)+SUMIFS('24c'!$J$7:$J$100,'24c'!$H$7:$H$100,$A185,'24c'!$I$7:$I$100,2)+SUMIFS('24d'!$J$7:$J$100,'24d'!$H$7:$H$100,$A185,'24d'!$I$7:$I$100,2)+SUMIFS('24e'!$J$7:$J$100,'24e'!$H$7:$H$100,$A185,'24e'!$I$7:$I$100,2)+SUMIFS('24f'!$J$7:$J$100,'24f'!$H$7:$H$100,$A185,'24f'!$I$7:$I$100,2)+SUMIFS('24g'!$J$7:$J$100,'24g'!$H$7:$H$100,$A185,'24g'!$I$7:$I$100,2)+SUMIFS('24h'!$J$7:$J$100,'24h'!$H$7:$H$100,$A185,'24h'!$I$7:$I$100,2)+SUMIFS('24i'!$J$7:$J$100,'24i'!$H$7:$H$100,$A185,'24i'!$I$7:$I$100,2)+SUMIFS('25'!$J$7:$J$100,'25'!$H$7:$H$100,$A185,'25'!$I$7:$I$100,2)+SUMIFS('26'!$J$7:$J$100,'26'!$H$7:$H$100,$A185,'26'!$I$7:$I$100,2)+SUMIFS('26a'!$J$7:$J$100,'26a'!$H$7:$H$100,$A185,'26a'!$I$7:$I$100,2)+SUMIFS('27'!$J$7:$J$100,'27'!$H$7:$H$100,$A185,'27'!$I$7:$I$100,2)+SUMIFS('27a'!$J$7:$J$100,'27a'!$H$7:$H$100,$A185,'27a'!$I$7:$I$100,2)+SUMIFS('28'!$J$7:$J$100,'28'!$H$7:$H$100,$A185,'28'!$I$7:$I$100,2)+SUMIFS('29'!$J$7:$J$100,'29'!$H$7:$H$100,$A185,'29'!$I$7:$I$100,2)</f>
        <v>100</v>
      </c>
      <c r="I185" s="1315">
        <f>SUMIFS('12'!$J$7:$J$100,'12'!$H$7:$H$100,$A185,'12'!$I$7:$I$100,"")+SUMIFS('13'!$J$7:$J$100,'13'!$H$7:$H$100,$A185,'13'!$I$7:$I$100,"")+SUMIFS('14'!$J$7:$J$100,'14'!$H$7:$H$100,$A185,'14'!$I$7:$I$100,"")+SUMIFS('15'!$J$7:$J$100,'15'!$H$7:$H$100,$A185,'15'!$I$7:$I$100,"")+SUMIFS('15a'!$J$7:$J$100,'15a'!$H$7:$H$100,$A185,'15a'!$I$7:$I$100,"")+SUMIFS('15b'!$J$7:$J$100,'15b'!$H$7:$H$100,$A185,'15b'!$I$7:$I$100,"")+SUMIFS('15c'!$J$7:$J$100,'15c'!$H$7:$H$100,$A185,'15c'!$I$7:$I$100,"")+SUMIFS('15d'!$J$7:$J$100,'15d'!$H$7:$H$100,$A185,'15d'!$I$7:$I$100,"")+SUMIFS('15e'!$J$7:$J$100,'15e'!$H$7:$H$100,$A185,'15e'!$I$7:$I$100,"")+SUMIFS('15f'!$J$7:$J$100,'15f'!$H$7:$H$100,$A185,'15f'!$I$7:$I$100,"")+SUMIFS('15g'!$J$7:$J$100,'15g'!$H$7:$H$100,$A185,'15g'!$I$7:$I$100,"")+SUMIFS('15h'!$J$7:$J$100,'15h'!$H$7:$H$100,$A185,'15h'!$I$7:$I$100,"")+SUMIFS('15i'!$J$7:$J$100,'15i'!$H$7:$H$100,$A185,'15i'!$I$7:$I$100,"")+SUMIFS('15j'!$J$7:$J$100,'15j'!$H$7:$H$100,$A185,'15j'!$I$7:$I$100,"")+SUMIFS('15k'!$J$7:$J$100,'15k'!$H$7:$H$100,$A185,'15k'!$I$7:$I$100,"")+SUMIFS('15l'!$J$7:$J$100,'15l'!$H$7:$H$100,$A185,'15l'!$I$7:$I$100,"")+SUMIFS('15m'!$J$7:$J$100,'15m'!$H$7:$H$100,$A185,'15m'!$I$7:$I$100,"")+SUMIFS('15n'!$J$7:$J$100,'15n'!$H$7:$H$100,$A185,'15n'!$I$7:$I$100,"")+SUMIFS('16'!$J$7:$J$100,'16'!$H$7:$H$100,$A185,'16'!$I$7:$I$100,"")+SUMIFS('16a'!$J$7:$J$100,'16a'!$H$7:$H$100,$A185,'16a'!$I$7:$I$100,"")+SUMIFS('17'!$J$7:$J$100,'17'!$H$7:$H$100,$A185,'17'!$I$7:$I$100,"")+SUMIFS('17a'!$J$7:$J$100,'17a'!$H$7:$H$100,$A185,'17a'!$I$7:$I$100,"")+SUMIFS('18'!$J$7:$J$100,'18'!$H$7:$H$100,$A185,'18'!$I$7:$I$100,"")+SUMIFS('18a'!$J$7:$J$100,'18a'!$H$7:$H$100,$A185,'18a'!$I$7:$I$100,"")
+SUMIFS('19'!$J$7:$J$100,'19'!$H$7:$H$100,$A185,'19'!$I$7:$I$100,"")+SUMIFS('20'!$J$7:$J$100,'20'!$H$7:$H$100,$A185,'20'!$I$7:$I$100,"")+SUMIFS('20a'!$J$7:$J$100,'20a'!$H$7:$H$100,$A185,'20a'!$I$7:$I$100,"")+SUMIFS('21'!$J$7:$J$100,'21'!$H$7:$H$100,$A185,'21'!$I$7:$I$100,"")+SUMIFS('22'!$J$7:$J$100,'22'!$H$7:$H$100,$A185,'22'!$I$7:$I$100,"")+SUMIFS('22a'!$J$7:$J$100,'22a'!$H$7:$H$100,$A185,'22a'!$I$7:$I$100,"")+SUMIFS('22b'!$J$7:$J$100,'22b'!$H$7:$H$100,$A185,'22b'!$I$7:$I$100,"")+SUMIFS('23'!$J$7:$J$100,'23'!$H$7:$H$100,$A185,'23'!$I$7:$I$100,"")+SUMIFS('24'!$J$7:$J$100,'24'!$H$7:$H$100,$A185,'24'!$I$7:$I$100,"")+SUMIFS('24a'!$J$7:$J$100,'24a'!$H$7:$H$100,$A185,'24a'!$I$7:$I$100,"")+SUMIFS('24b'!$J$7:$J$100,'24b'!$H$7:$H$100,$A185,'24b'!$I$7:$I$100,"")+SUMIFS('24c'!$J$7:$J$100,'24c'!$H$7:$H$100,$A185,'24c'!$I$7:$I$100,"")+SUMIFS('24d'!$J$7:$J$100,'24d'!$H$7:$H$100,$A185,'24d'!$I$7:$I$100,"")+SUMIFS('24e'!$J$7:$J$100,'24e'!$H$7:$H$100,$A185,'24e'!$I$7:$I$100,"")+SUMIFS('24f'!$J$7:$J$100,'24f'!$H$7:$H$100,$A185,'24f'!$I$7:$I$100,"")+SUMIFS('24g'!$J$7:$J$100,'24g'!$H$7:$H$100,$A185,'24g'!$I$7:$I$100,"")+SUMIFS('24h'!$J$7:$J$100,'24h'!$H$7:$H$100,$A185,'24h'!$I$7:$I$100,"")+SUMIFS('24i'!$J$7:$J$100,'24i'!$H$7:$H$100,$A185,'24i'!$I$7:$I$100,"")+SUMIFS('25'!$J$7:$J$100,'25'!$H$7:$H$100,$A185,'25'!$I$7:$I$100,"")+SUMIFS('26'!$J$7:$J$100,'26'!$H$7:$H$100,$A185,'26'!$I$7:$I$100,"")+SUMIFS('26a'!$J$7:$J$100,'26a'!$H$7:$H$100,$A185,'26a'!$I$7:$I$100,"")+SUMIFS('27'!$J$7:$J$100,'27'!$H$7:$H$100,$A185,'27'!$I$7:$I$100,"")+SUMIFS('27a'!$J$7:$J$100,'27a'!$H$7:$H$100,$A185,'27a'!$I$7:$I$100,"")+SUMIFS('28'!$J$7:$J$100,'28'!$H$7:$H$100,$A185,'28'!$I$7:$I$100,"")+SUMIFS('29'!$J$7:$J$100,'29'!$H$7:$H$100,$A185,'29'!$I$7:$I$100,"")</f>
        <v>0</v>
      </c>
      <c r="J185" s="1296">
        <f t="shared" si="5"/>
        <v>100</v>
      </c>
      <c r="K185"/>
      <c r="L185"/>
      <c r="M185"/>
      <c r="N185"/>
      <c r="O185"/>
      <c r="P185"/>
      <c r="Q185"/>
      <c r="R185"/>
      <c r="S185" s="1307">
        <f t="shared" si="2"/>
        <v>200</v>
      </c>
      <c r="T185"/>
    </row>
    <row r="186" spans="1:20" x14ac:dyDescent="0.2">
      <c r="A186" t="s">
        <v>5134</v>
      </c>
      <c r="B186" t="s">
        <v>5475</v>
      </c>
      <c r="C186" s="1295">
        <f>SUMIFS('12'!$N$7:$N$100,'12'!$H$7:$H$100,$A186,'12'!$I$7:$I$100,1)+SUMIFS('13'!$N$7:$N$100,'13'!$H$7:$H$100,$A186,'13'!$I$7:$I$100,1)+SUMIFS('14'!$N$7:$N$100,'14'!$H$7:$H$100,$A186,'14'!$I$7:$I$100,1)+SUMIFS('15'!$N$7:$N$100,'15'!$H$7:$H$100,$A186,'15'!$I$7:$I$100,1)+SUMIFS('15a'!$N$7:$N$100,'15a'!$H$7:$H$100,$A186,'15a'!$I$7:$I$100,1)+SUMIFS('15b'!$N$7:$N$100,'15b'!$H$7:$H$100,$A186,'15b'!$I$7:$I$100,1)+SUMIFS('15c'!$N$7:$N$100,'15c'!$H$7:$H$100,$A186,'15c'!$I$7:$I$100,1)+SUMIFS('15d'!$N$7:$N$100,'15d'!$H$7:$H$100,$A186,'15d'!$I$7:$I$100,1)+SUMIFS('15e'!$N$7:$N$100,'15e'!$H$7:$H$100,$A186,'15e'!$I$7:$I$100,1)+SUMIFS('15f'!$N$7:$N$100,'15f'!$H$7:$H$100,$A186,'15f'!$I$7:$I$100,1)+SUMIFS('15g'!$N$7:$N$100,'15g'!$H$7:$H$100,$A186,'15g'!$I$7:$I$100,1)+SUMIFS('15h'!$N$7:$N$100,'15h'!$H$7:$H$100,$A186,'15h'!$I$7:$I$100,1)+SUMIFS('15i'!$N$7:$N$100,'15i'!$H$7:$H$100,$A186,'15i'!$I$7:$I$100,1)+SUMIFS('15j'!$N$7:$N$100,'15j'!$H$7:$H$100,$A186,'15j'!$I$7:$I$100,1)+SUMIFS('15k'!$N$7:$N$100,'15k'!$H$7:$H$100,$A186,'15k'!$I$7:$I$100,1)+SUMIFS('15l'!$N$7:$N$100,'15l'!$H$7:$H$100,$A186,'15l'!$I$7:$I$100,1)+SUMIFS('15m'!$N$7:$N$100,'15m'!$H$7:$H$100,$A186,'15m'!$I$7:$I$100,1)+SUMIFS('15n'!$N$7:$N$100,'15n'!$H$7:$H$100,$A186,'15n'!$I$7:$I$100,1)+SUMIFS('16'!$N$7:$N$100,'16'!$H$7:$H$100,$A186,'16'!$I$7:$I$100,1)+SUMIFS('16a'!$N$7:$N$100,'16a'!$H$7:$H$100,$A186,'16a'!$I$7:$I$100,1)+SUMIFS('17'!$N$7:$N$100,'17'!$H$7:$H$100,$A186,'17'!$I$7:$I$100,1)+SUMIFS('17a'!$N$7:$N$100,'17a'!$H$7:$H$100,$A186,'17a'!$I$7:$I$100,1)+SUMIFS('18'!$N$7:$N$100,'18'!$H$7:$H$100,$A186,'18'!$I$7:$I$100,1)+SUMIFS('18a'!$N$7:$N$100,'18a'!$H$7:$H$100,$A186,'18a'!$I$7:$I$100,1)
+SUMIFS('19'!$N$7:$N$100,'19'!$H$7:$H$100,$A186,'19'!$I$7:$I$100,1)+SUMIFS('20'!$N$7:$N$100,'20'!$H$7:$H$100,$A186,'20'!$I$7:$I$100,1)+SUMIFS('20a'!$N$7:$N$100,'20a'!$H$7:$H$100,$A186,'20a'!$I$7:$I$100,1)+SUMIFS('21'!$N$7:$N$100,'21'!$H$7:$H$100,$A186,'21'!$I$7:$I$100,1)+SUMIFS('22'!$N$7:$N$100,'22'!$H$7:$H$100,$A186,'22'!$I$7:$I$100,1)+SUMIFS('22a'!$N$7:$N$100,'22a'!$H$7:$H$100,$A186,'22a'!$I$7:$I$100,1)+SUMIFS('22b'!$N$7:$N$100,'22b'!$H$7:$H$100,$A186,'22b'!$I$7:$I$100,1)+SUMIFS('23'!$N$7:$N$100,'23'!$H$7:$H$100,$A186,'23'!$I$7:$I$100,1)+SUMIFS('24'!$N$7:$N$100,'24'!$H$7:$H$100,$A186,'24'!$I$7:$I$100,1)+SUMIFS('24a'!$N$7:$N$100,'24a'!$H$7:$H$100,$A186,'24a'!$I$7:$I$100,1)+SUMIFS('24b'!$N$7:$N$100,'24b'!$H$7:$H$100,$A186,'24b'!$I$7:$I$100,1)+SUMIFS('24c'!$N$7:$N$100,'24c'!$H$7:$H$100,$A186,'24c'!$I$7:$I$100,1)+SUMIFS('24d'!$N$7:$N$100,'24d'!$H$7:$H$100,$A186,'24d'!$I$7:$I$100,1)+SUMIFS('24e'!$N$7:$N$100,'24e'!$H$7:$H$100,$A186,'24e'!$I$7:$I$100,1)+SUMIFS('24f'!$N$7:$N$100,'24f'!$H$7:$H$100,$A186,'24f'!$I$7:$I$100,1)+SUMIFS('24g'!$N$7:$N$100,'24g'!$H$7:$H$100,$A186,'24g'!$I$7:$I$100,1)+SUMIFS('24h'!$N$7:$N$100,'24h'!$H$7:$H$100,$A186,'24h'!$I$7:$I$100,1)+SUMIFS('24i'!$N$7:$N$100,'24i'!$H$7:$H$100,$A186,'24i'!$I$7:$I$100,1)+SUMIFS('25'!$N$7:$N$100,'25'!$H$7:$H$100,$A186,'25'!$I$7:$I$100,1)+SUMIFS('26'!$N$7:$N$100,'26'!$H$7:$H$100,$A186,'26'!$I$7:$I$100,1)+SUMIFS('26a'!$N$7:$N$100,'26a'!$H$7:$H$100,$A186,'26a'!$I$7:$I$100,1)+SUMIFS('27'!$N$7:$N$100,'27'!$H$7:$H$100,$A186,'27'!$I$7:$I$100,1)+SUMIFS('27a'!$N$7:$N$100,'27a'!$H$7:$H$100,$A186,'27a'!$I$7:$I$100,1)+SUMIFS('28'!$N$7:$N$100,'28'!$H$7:$H$100,$A186,'28'!$I$7:$I$100,1)+SUMIFS('29'!$N$7:$N$100,'29'!$H$7:$H$100,$A186,'29'!$I$7:$I$100,1)</f>
        <v>0</v>
      </c>
      <c r="D186" s="1315">
        <f>SUMIFS('12'!$N$7:$N$100,'12'!$H$7:$H$100,$A186,'12'!$I$7:$I$100,2)+SUMIFS('13'!$N$7:$N$100,'13'!$H$7:$H$100,$A186,'13'!$I$7:$I$100,2)+SUMIFS('14'!$N$7:$N$100,'14'!$H$7:$H$100,$A186,'14'!$I$7:$I$100,2)+SUMIFS('15'!$N$7:$N$100,'15'!$H$7:$H$100,$A186,'15'!$I$7:$I$100,2)+SUMIFS('15a'!$N$7:$N$100,'15a'!$H$7:$H$100,$A186,'15a'!$I$7:$I$100,2)+SUMIFS('15b'!$N$7:$N$100,'15b'!$H$7:$H$100,$A186,'15b'!$I$7:$I$100,2)+SUMIFS('15c'!$N$7:$N$100,'15c'!$H$7:$H$100,$A186,'15c'!$I$7:$I$100,2)+SUMIFS('15d'!$N$7:$N$100,'15d'!$H$7:$H$100,$A186,'15d'!$I$7:$I$100,2)+SUMIFS('15e'!$N$7:$N$100,'15e'!$H$7:$H$100,$A186,'15e'!$I$7:$I$100,2)+SUMIFS('15f'!$N$7:$N$100,'15f'!$H$7:$H$100,$A186,'15f'!$I$7:$I$100,2)+SUMIFS('15g'!$N$7:$N$100,'15g'!$H$7:$H$100,$A186,'15g'!$I$7:$I$100,2)+SUMIFS('15h'!$N$7:$N$100,'15h'!$H$7:$H$100,$A186,'15h'!$I$7:$I$100,2)+SUMIFS('15i'!$N$7:$N$100,'15i'!$H$7:$H$100,$A186,'15i'!$I$7:$I$100,2)+SUMIFS('15j'!$N$7:$N$100,'15j'!$H$7:$H$100,$A186,'15j'!$I$7:$I$100,2)+SUMIFS('15k'!$N$7:$N$100,'15k'!$H$7:$H$100,$A186,'15k'!$I$7:$I$100,2)+SUMIFS('15l'!$N$7:$N$100,'15l'!$H$7:$H$100,$A186,'15l'!$I$7:$I$100,2)+SUMIFS('15m'!$N$7:$N$100,'15m'!$H$7:$H$100,$A186,'15m'!$I$7:$I$100,2)+SUMIFS('15n'!$N$7:$N$100,'15n'!$H$7:$H$100,$A186,'15n'!$I$7:$I$100,2)+SUMIFS('16'!$N$7:$N$100,'16'!$H$7:$H$100,$A186,'16'!$I$7:$I$100,2)+SUMIFS('16a'!$N$7:$N$100,'16a'!$H$7:$H$100,$A186,'16a'!$I$7:$I$100,2)+SUMIFS('17'!$N$7:$N$100,'17'!$H$7:$H$100,$A186,'17'!$I$7:$I$100,2)+SUMIFS('17a'!$N$7:$N$100,'17a'!$H$7:$H$100,$A186,'17a'!$I$7:$I$100,2)+SUMIFS('18'!$N$7:$N$100,'18'!$H$7:$H$100,$A186,'18'!$I$7:$I$100,2)+SUMIFS('18a'!$N$7:$N$100,'18a'!$H$7:$H$100,$A186,'18a'!$I$7:$I$100,2)
+SUMIFS('19'!$N$7:$N$100,'19'!$H$7:$H$100,$A186,'19'!$I$7:$I$100,2)+SUMIFS('20'!$N$7:$N$100,'20'!$H$7:$H$100,$A186,'20'!$I$7:$I$100,2)+SUMIFS('20a'!$N$7:$N$100,'20a'!$H$7:$H$100,$A186,'20a'!$I$7:$I$100,2)+SUMIFS('21'!$N$7:$N$100,'21'!$H$7:$H$100,$A186,'21'!$I$7:$I$100,2)+SUMIFS('22'!$N$7:$N$100,'22'!$H$7:$H$100,$A186,'22'!$I$7:$I$100,2)+SUMIFS('22a'!$N$7:$N$100,'22a'!$H$7:$H$100,$A186,'22a'!$I$7:$I$100,2)+SUMIFS('22b'!$N$7:$N$100,'22b'!$H$7:$H$100,$A186,'22b'!$I$7:$I$100,2)+SUMIFS('23'!$N$7:$N$100,'23'!$H$7:$H$100,$A186,'23'!$I$7:$I$100,2)+SUMIFS('24'!$N$7:$N$100,'24'!$H$7:$H$100,$A186,'24'!$I$7:$I$100,2)+SUMIFS('24a'!$N$7:$N$100,'24a'!$H$7:$H$100,$A186,'24a'!$I$7:$I$100,2)+SUMIFS('24b'!$N$7:$N$100,'24b'!$H$7:$H$100,$A186,'24b'!$I$7:$I$100,2)+SUMIFS('24c'!$N$7:$N$100,'24c'!$H$7:$H$100,$A186,'24c'!$I$7:$I$100,2)+SUMIFS('24d'!$N$7:$N$100,'24d'!$H$7:$H$100,$A186,'24d'!$I$7:$I$100,2)+SUMIFS('24e'!$N$7:$N$100,'24e'!$H$7:$H$100,$A186,'24e'!$I$7:$I$100,2)+SUMIFS('24f'!$N$7:$N$100,'24f'!$H$7:$H$100,$A186,'24f'!$I$7:$I$100,2)+SUMIFS('24g'!$N$7:$N$100,'24g'!$H$7:$H$100,$A186,'24g'!$I$7:$I$100,2)+SUMIFS('24h'!$N$7:$N$100,'24h'!$H$7:$H$100,$A186,'24h'!$I$7:$I$100,2)+SUMIFS('24i'!$N$7:$N$100,'24i'!$H$7:$H$100,$A186,'24i'!$I$7:$I$100,2)+SUMIFS('25'!$N$7:$N$100,'25'!$H$7:$H$100,$A186,'25'!$I$7:$I$100,2)+SUMIFS('26'!$N$7:$N$100,'26'!$H$7:$H$100,$A186,'26'!$I$7:$I$100,2)+SUMIFS('26a'!$N$7:$N$100,'26a'!$H$7:$H$100,$A186,'26a'!$I$7:$I$100,2)+SUMIFS('27'!$N$7:$N$100,'27'!$H$7:$H$100,$A186,'27'!$I$7:$I$100,2)+SUMIFS('27a'!$N$7:$N$100,'27a'!$H$7:$H$100,$A186,'27a'!$I$7:$I$100,2)+SUMIFS('28'!$N$7:$N$100,'28'!$H$7:$H$100,$A186,'28'!$I$7:$I$100,2)+SUMIFS('29'!$N$7:$N$100,'29'!$H$7:$H$100,$A186,'29'!$I$7:$I$100,2)</f>
        <v>0</v>
      </c>
      <c r="E186" s="1315">
        <f>SUMIFS('12'!$N$7:$N$100,'12'!$H$7:$H$100,$A186,'12'!$I$7:$I$100,"")+SUMIFS('13'!$N$7:$N$100,'13'!$H$7:$H$100,$A186,'13'!$I$7:$I$100,"")+SUMIFS('14'!$N$7:$N$100,'14'!$H$7:$H$100,$A186,'14'!$I$7:$I$100,"")+SUMIFS('15'!$N$7:$N$100,'15'!$H$7:$H$100,$A186,'15'!$I$7:$I$100,"")+SUMIFS('15a'!$N$7:$N$100,'15a'!$H$7:$H$100,$A186,'15a'!$I$7:$I$100,"")+SUMIFS('15b'!$N$7:$N$100,'15b'!$H$7:$H$100,$A186,'15b'!$I$7:$I$100,"")+SUMIFS('15c'!$N$7:$N$100,'15c'!$H$7:$H$100,$A186,'15c'!$I$7:$I$100,"")+SUMIFS('15d'!$N$7:$N$100,'15d'!$H$7:$H$100,$A186,'15d'!$I$7:$I$100,"")+SUMIFS('15e'!$N$7:$N$100,'15e'!$H$7:$H$100,$A186,'15e'!$I$7:$I$100,"")+SUMIFS('15f'!$N$7:$N$100,'15f'!$H$7:$H$100,$A186,'15f'!$I$7:$I$100,"")+SUMIFS('15g'!$N$7:$N$100,'15g'!$H$7:$H$100,$A186,'15g'!$I$7:$I$100,"")+SUMIFS('15h'!$N$7:$N$100,'15h'!$H$7:$H$100,$A186,'15h'!$I$7:$I$100,"")+SUMIFS('15i'!$N$7:$N$100,'15i'!$H$7:$H$100,$A186,'15i'!$I$7:$I$100,"")+SUMIFS('15j'!$N$7:$N$100,'15j'!$H$7:$H$100,$A186,'15j'!$I$7:$I$100,"")+SUMIFS('15k'!$N$7:$N$100,'15k'!$H$7:$H$100,$A186,'15k'!$I$7:$I$100,"")+SUMIFS('15l'!$N$7:$N$100,'15l'!$H$7:$H$100,$A186,'15l'!$I$7:$I$100,"")+SUMIFS('15m'!$N$7:$N$100,'15m'!$H$7:$H$100,$A186,'15m'!$I$7:$I$100,"")+SUMIFS('15n'!$N$7:$N$100,'15n'!$H$7:$H$100,$A186,'15n'!$I$7:$I$100,"")+SUMIFS('16'!$N$7:$N$100,'16'!$H$7:$H$100,$A186,'16'!$I$7:$I$100,"")+SUMIFS('16a'!$N$7:$N$100,'16a'!$H$7:$H$100,$A186,'16a'!$I$7:$I$100,"")+SUMIFS('17'!$N$7:$N$100,'17'!$H$7:$H$100,$A186,'17'!$I$7:$I$100,"")+SUMIFS('17a'!$N$7:$N$100,'17a'!$H$7:$H$100,$A186,'17a'!$I$7:$I$100,"")+SUMIFS('18'!$N$7:$N$100,'18'!$H$7:$H$100,$A186,'18'!$I$7:$I$100,"")+SUMIFS('18a'!$N$7:$N$100,'18a'!$H$7:$H$100,$A186,'18a'!$I$7:$I$100,"")
+SUMIFS('19'!$N$7:$N$100,'19'!$H$7:$H$100,$A186,'19'!$I$7:$I$100,"")+SUMIFS('20'!$N$7:$N$100,'20'!$H$7:$H$100,$A186,'20'!$I$7:$I$100,"")+SUMIFS('20a'!$N$7:$N$100,'20a'!$H$7:$H$100,$A186,'20a'!$I$7:$I$100,"")+SUMIFS('21'!$N$7:$N$100,'21'!$H$7:$H$100,$A186,'21'!$I$7:$I$100,"")+SUMIFS('22'!$N$7:$N$100,'22'!$H$7:$H$100,$A186,'22'!$I$7:$I$100,"")+SUMIFS('22a'!$N$7:$N$100,'22a'!$H$7:$H$100,$A186,'22a'!$I$7:$I$100,"")+SUMIFS('22b'!$N$7:$N$100,'22b'!$H$7:$H$100,$A186,'22b'!$I$7:$I$100,"")+SUMIFS('23'!$N$7:$N$100,'23'!$H$7:$H$100,$A186,'23'!$I$7:$I$100,"")+SUMIFS('24'!$N$7:$N$100,'24'!$H$7:$H$100,$A186,'24'!$I$7:$I$100,"")+SUMIFS('24a'!$N$7:$N$100,'24a'!$H$7:$H$100,$A186,'24a'!$I$7:$I$100,"")+SUMIFS('24b'!$N$7:$N$100,'24b'!$H$7:$H$100,$A186,'24b'!$I$7:$I$100,"")+SUMIFS('24c'!$N$7:$N$100,'24c'!$H$7:$H$100,$A186,'24c'!$I$7:$I$100,"")+SUMIFS('24d'!$N$7:$N$100,'24d'!$H$7:$H$100,$A186,'24d'!$I$7:$I$100,"")+SUMIFS('24e'!$N$7:$N$100,'24e'!$H$7:$H$100,$A186,'24e'!$I$7:$I$100,"")+SUMIFS('24f'!$N$7:$N$100,'24f'!$H$7:$H$100,$A186,'24f'!$I$7:$I$100,"")+SUMIFS('24g'!$N$7:$N$100,'24g'!$H$7:$H$100,$A186,'24g'!$I$7:$I$100,"")+SUMIFS('24h'!$N$7:$N$100,'24h'!$H$7:$H$100,$A186,'24h'!$I$7:$I$100,"")+SUMIFS('24i'!$N$7:$N$100,'24i'!$H$7:$H$100,$A186,'24i'!$I$7:$I$100,"")+SUMIFS('25'!$N$7:$N$100,'25'!$H$7:$H$100,$A186,'25'!$I$7:$I$100,"")+SUMIFS('26'!$N$7:$N$100,'26'!$H$7:$H$100,$A186,'26'!$I$7:$I$100,"")+SUMIFS('26a'!$N$7:$N$100,'26a'!$H$7:$H$100,$A186,'26a'!$I$7:$I$100,"")+SUMIFS('27'!$N$7:$N$100,'27'!$H$7:$H$100,$A186,'27'!$I$7:$I$100,"")+SUMIFS('27a'!$N$7:$N$100,'27a'!$H$7:$H$100,$A186,'27a'!$I$7:$I$100,"")+SUMIFS('28'!$N$7:$N$100,'28'!$H$7:$H$100,$A186,'28'!$I$7:$I$100,"")+SUMIFS('29'!$N$7:$N$100,'29'!$H$7:$H$100,$A186,'29'!$I$7:$I$100,"")</f>
        <v>0</v>
      </c>
      <c r="F186" s="1296">
        <f t="shared" si="4"/>
        <v>0</v>
      </c>
      <c r="G186" s="1295">
        <f>SUMIFS('12'!$J$7:$J$100,'12'!$H$7:$H$100,$A186,'12'!$I$7:$I$100,1)+SUMIFS('13'!$J$7:$J$100,'13'!$H$7:$H$100,$A186,'13'!$I$7:$I$100,1)+SUMIFS('14'!$J$7:$J$100,'14'!$H$7:$H$100,$A186,'14'!$I$7:$I$100,1)+SUMIFS('15'!$J$7:$J$100,'15'!$H$7:$H$100,$A186,'15'!$I$7:$I$100,1)+SUMIFS('15a'!$J$7:$J$100,'15a'!$H$7:$H$100,$A186,'15a'!$I$7:$I$100,1)+SUMIFS('15b'!$J$7:$J$100,'15b'!$H$7:$H$100,$A186,'15b'!$I$7:$I$100,1)+SUMIFS('15c'!$J$7:$J$100,'15c'!$H$7:$H$100,$A186,'15c'!$I$7:$I$100,1)+SUMIFS('15d'!$J$7:$J$100,'15d'!$H$7:$H$100,$A186,'15d'!$I$7:$I$100,1)+SUMIFS('15e'!$J$7:$J$100,'15e'!$H$7:$H$100,$A186,'15e'!$I$7:$I$100,1)+SUMIFS('15f'!$J$7:$J$100,'15f'!$H$7:$H$100,$A186,'15f'!$I$7:$I$100,1)+SUMIFS('15g'!$J$7:$J$100,'15g'!$H$7:$H$100,$A186,'15g'!$I$7:$I$100,1)+SUMIFS('15h'!$J$7:$J$100,'15h'!$H$7:$H$100,$A186,'15h'!$I$7:$I$100,1)+SUMIFS('15i'!$J$7:$J$100,'15i'!$H$7:$H$100,$A186,'15i'!$I$7:$I$100,1)+SUMIFS('15j'!$J$7:$J$100,'15j'!$H$7:$H$100,$A186,'15j'!$I$7:$I$100,1)+SUMIFS('15k'!$J$7:$J$100,'15k'!$H$7:$H$100,$A186,'15k'!$I$7:$I$100,1)+SUMIFS('15l'!$J$7:$J$100,'15l'!$H$7:$H$100,$A186,'15l'!$I$7:$I$100,1)+SUMIFS('15m'!$J$7:$J$100,'15m'!$H$7:$H$100,$A186,'15m'!$I$7:$I$100,1)+SUMIFS('15n'!$J$7:$J$100,'15n'!$H$7:$H$100,$A186,'15n'!$I$7:$I$100,1)+SUMIFS('16'!$J$7:$J$100,'16'!$H$7:$H$100,$A186,'16'!$I$7:$I$100,1)+SUMIFS('16a'!$J$7:$J$100,'16a'!$H$7:$H$100,$A186,'16a'!$I$7:$I$100,1)+SUMIFS('17'!$J$7:$J$100,'17'!$H$7:$H$100,$A186,'17'!$I$7:$I$100,1)+SUMIFS('17a'!$J$7:$J$100,'17a'!$H$7:$H$100,$A186,'17a'!$I$7:$I$100,1)+SUMIFS('18'!$J$7:$J$100,'18'!$H$7:$H$100,$A186,'18'!$I$7:$I$100,1)+SUMIFS('18a'!$J$7:$J$100,'18a'!$H$7:$H$100,$A186,'18a'!$I$7:$I$100,1)
+SUMIFS('19'!$J$7:$J$100,'19'!$H$7:$H$100,$A186,'19'!$I$7:$I$100,1)+SUMIFS('20'!$J$7:$J$100,'20'!$H$7:$H$100,$A186,'20'!$I$7:$I$100,1)+SUMIFS('20a'!$J$7:$J$100,'20a'!$H$7:$H$100,$A186,'20a'!$I$7:$I$100,1)+SUMIFS('21'!$J$7:$J$100,'21'!$H$7:$H$100,$A186,'21'!$I$7:$I$100,1)+SUMIFS('22'!$J$7:$J$100,'22'!$H$7:$H$100,$A186,'22'!$I$7:$I$100,1)+SUMIFS('22a'!$J$7:$J$100,'22a'!$H$7:$H$100,$A186,'22a'!$I$7:$I$100,1)+SUMIFS('22b'!$J$7:$J$100,'22b'!$H$7:$H$100,$A186,'22b'!$I$7:$I$100,1)+SUMIFS('23'!$J$7:$J$100,'23'!$H$7:$H$100,$A186,'23'!$I$7:$I$100,1)+SUMIFS('24'!$J$7:$J$100,'24'!$H$7:$H$100,$A186,'24'!$I$7:$I$100,1)+SUMIFS('24a'!$J$7:$J$100,'24a'!$H$7:$H$100,$A186,'24a'!$I$7:$I$100,1)+SUMIFS('24b'!$J$7:$J$100,'24b'!$H$7:$H$100,$A186,'24b'!$I$7:$I$100,1)+SUMIFS('24c'!$J$7:$J$100,'24c'!$H$7:$H$100,$A186,'24c'!$I$7:$I$100,1)+SUMIFS('24d'!$J$7:$J$100,'24d'!$H$7:$H$100,$A186,'24d'!$I$7:$I$100,1)+SUMIFS('24e'!$J$7:$J$100,'24e'!$H$7:$H$100,$A186,'24e'!$I$7:$I$100,1)+SUMIFS('24f'!$J$7:$J$100,'24f'!$H$7:$H$100,$A186,'24f'!$I$7:$I$100,1)+SUMIFS('24g'!$J$7:$J$100,'24g'!$H$7:$H$100,$A186,'24g'!$I$7:$I$100,1)+SUMIFS('24h'!$J$7:$J$100,'24h'!$H$7:$H$100,$A186,'24h'!$I$7:$I$100,1)+SUMIFS('24i'!$J$7:$J$100,'24i'!$H$7:$H$100,$A186,'24i'!$I$7:$I$100,1)+SUMIFS('25'!$J$7:$J$100,'25'!$H$7:$H$100,$A186,'25'!$I$7:$I$100,1)+SUMIFS('26'!$J$7:$J$100,'26'!$H$7:$H$100,$A186,'26'!$I$7:$I$100,1)+SUMIFS('26a'!$J$7:$J$100,'26a'!$H$7:$H$100,$A186,'26a'!$I$7:$I$100,1)+SUMIFS('27'!$J$7:$J$100,'27'!$H$7:$H$100,$A186,'27'!$I$7:$I$100,1)+SUMIFS('27a'!$J$7:$J$100,'27a'!$H$7:$H$100,$A186,'27a'!$I$7:$I$100,1)+SUMIFS('28'!$J$7:$J$100,'28'!$H$7:$H$100,$A186,'28'!$I$7:$I$100,1)+SUMIFS('29'!$J$7:$J$100,'29'!$H$7:$H$100,$A186,'29'!$I$7:$I$100,1)</f>
        <v>0</v>
      </c>
      <c r="H186" s="1315">
        <f>SUMIFS('12'!$J$7:$J$100,'12'!$H$7:$H$100,$A186,'12'!$I$7:$I$100,2)+SUMIFS('13'!$J$7:$J$100,'13'!$H$7:$H$100,$A186,'13'!$I$7:$I$100,2)+SUMIFS('14'!$J$7:$J$100,'14'!$H$7:$H$100,$A186,'14'!$I$7:$I$100,2)+SUMIFS('15'!$J$7:$J$100,'15'!$H$7:$H$100,$A186,'15'!$I$7:$I$100,2)+SUMIFS('15a'!$J$7:$J$100,'15a'!$H$7:$H$100,$A186,'15a'!$I$7:$I$100,2)+SUMIFS('15b'!$J$7:$J$100,'15b'!$H$7:$H$100,$A186,'15b'!$I$7:$I$100,2)+SUMIFS('15c'!$J$7:$J$100,'15c'!$H$7:$H$100,$A186,'15c'!$I$7:$I$100,2)+SUMIFS('15d'!$J$7:$J$100,'15d'!$H$7:$H$100,$A186,'15d'!$I$7:$I$100,2)+SUMIFS('15e'!$J$7:$J$100,'15e'!$H$7:$H$100,$A186,'15e'!$I$7:$I$100,2)+SUMIFS('15f'!$J$7:$J$100,'15f'!$H$7:$H$100,$A186,'15f'!$I$7:$I$100,2)+SUMIFS('15g'!$J$7:$J$100,'15g'!$H$7:$H$100,$A186,'15g'!$I$7:$I$100,2)+SUMIFS('15h'!$J$7:$J$100,'15h'!$H$7:$H$100,$A186,'15h'!$I$7:$I$100,2)+SUMIFS('15i'!$J$7:$J$100,'15i'!$H$7:$H$100,$A186,'15i'!$I$7:$I$100,2)+SUMIFS('15j'!$J$7:$J$100,'15j'!$H$7:$H$100,$A186,'15j'!$I$7:$I$100,2)+SUMIFS('15k'!$J$7:$J$100,'15k'!$H$7:$H$100,$A186,'15k'!$I$7:$I$100,2)+SUMIFS('15l'!$J$7:$J$100,'15l'!$H$7:$H$100,$A186,'15l'!$I$7:$I$100,2)+SUMIFS('15m'!$J$7:$J$100,'15m'!$H$7:$H$100,$A186,'15m'!$I$7:$I$100,2)+SUMIFS('15n'!$J$7:$J$100,'15n'!$H$7:$H$100,$A186,'15n'!$I$7:$I$100,2)+SUMIFS('16'!$J$7:$J$100,'16'!$H$7:$H$100,$A186,'16'!$I$7:$I$100,2)+SUMIFS('16a'!$J$7:$J$100,'16a'!$H$7:$H$100,$A186,'16a'!$I$7:$I$100,2)+SUMIFS('17'!$J$7:$J$100,'17'!$H$7:$H$100,$A186,'17'!$I$7:$I$100,2)+SUMIFS('17a'!$J$7:$J$100,'17a'!$H$7:$H$100,$A186,'17a'!$I$7:$I$100,2)+SUMIFS('18'!$J$7:$J$100,'18'!$H$7:$H$100,$A186,'18'!$I$7:$I$100,2)+SUMIFS('18a'!$J$7:$J$100,'18a'!$H$7:$H$100,$A186,'18a'!$I$7:$I$100,2)
+SUMIFS('19'!$J$7:$J$100,'19'!$H$7:$H$100,$A186,'19'!$I$7:$I$100,2)+SUMIFS('20'!$J$7:$J$100,'20'!$H$7:$H$100,$A186,'20'!$I$7:$I$100,2)+SUMIFS('20a'!$J$7:$J$100,'20a'!$H$7:$H$100,$A186,'20a'!$I$7:$I$100,2)+SUMIFS('21'!$J$7:$J$100,'21'!$H$7:$H$100,$A186,'21'!$I$7:$I$100,2)+SUMIFS('22'!$J$7:$J$100,'22'!$H$7:$H$100,$A186,'22'!$I$7:$I$100,2)+SUMIFS('22a'!$J$7:$J$100,'22a'!$H$7:$H$100,$A186,'22a'!$I$7:$I$100,2)+SUMIFS('22b'!$J$7:$J$100,'22b'!$H$7:$H$100,$A186,'22b'!$I$7:$I$100,2)+SUMIFS('23'!$J$7:$J$100,'23'!$H$7:$H$100,$A186,'23'!$I$7:$I$100,2)+SUMIFS('24'!$J$7:$J$100,'24'!$H$7:$H$100,$A186,'24'!$I$7:$I$100,2)+SUMIFS('24a'!$J$7:$J$100,'24a'!$H$7:$H$100,$A186,'24a'!$I$7:$I$100,2)+SUMIFS('24b'!$J$7:$J$100,'24b'!$H$7:$H$100,$A186,'24b'!$I$7:$I$100,2)+SUMIFS('24c'!$J$7:$J$100,'24c'!$H$7:$H$100,$A186,'24c'!$I$7:$I$100,2)+SUMIFS('24d'!$J$7:$J$100,'24d'!$H$7:$H$100,$A186,'24d'!$I$7:$I$100,2)+SUMIFS('24e'!$J$7:$J$100,'24e'!$H$7:$H$100,$A186,'24e'!$I$7:$I$100,2)+SUMIFS('24f'!$J$7:$J$100,'24f'!$H$7:$H$100,$A186,'24f'!$I$7:$I$100,2)+SUMIFS('24g'!$J$7:$J$100,'24g'!$H$7:$H$100,$A186,'24g'!$I$7:$I$100,2)+SUMIFS('24h'!$J$7:$J$100,'24h'!$H$7:$H$100,$A186,'24h'!$I$7:$I$100,2)+SUMIFS('24i'!$J$7:$J$100,'24i'!$H$7:$H$100,$A186,'24i'!$I$7:$I$100,2)+SUMIFS('25'!$J$7:$J$100,'25'!$H$7:$H$100,$A186,'25'!$I$7:$I$100,2)+SUMIFS('26'!$J$7:$J$100,'26'!$H$7:$H$100,$A186,'26'!$I$7:$I$100,2)+SUMIFS('26a'!$J$7:$J$100,'26a'!$H$7:$H$100,$A186,'26a'!$I$7:$I$100,2)+SUMIFS('27'!$J$7:$J$100,'27'!$H$7:$H$100,$A186,'27'!$I$7:$I$100,2)+SUMIFS('27a'!$J$7:$J$100,'27a'!$H$7:$H$100,$A186,'27a'!$I$7:$I$100,2)+SUMIFS('28'!$J$7:$J$100,'28'!$H$7:$H$100,$A186,'28'!$I$7:$I$100,2)+SUMIFS('29'!$J$7:$J$100,'29'!$H$7:$H$100,$A186,'29'!$I$7:$I$100,2)</f>
        <v>0</v>
      </c>
      <c r="I186" s="1315">
        <f>SUMIFS('12'!$J$7:$J$100,'12'!$H$7:$H$100,$A186,'12'!$I$7:$I$100,"")+SUMIFS('13'!$J$7:$J$100,'13'!$H$7:$H$100,$A186,'13'!$I$7:$I$100,"")+SUMIFS('14'!$J$7:$J$100,'14'!$H$7:$H$100,$A186,'14'!$I$7:$I$100,"")+SUMIFS('15'!$J$7:$J$100,'15'!$H$7:$H$100,$A186,'15'!$I$7:$I$100,"")+SUMIFS('15a'!$J$7:$J$100,'15a'!$H$7:$H$100,$A186,'15a'!$I$7:$I$100,"")+SUMIFS('15b'!$J$7:$J$100,'15b'!$H$7:$H$100,$A186,'15b'!$I$7:$I$100,"")+SUMIFS('15c'!$J$7:$J$100,'15c'!$H$7:$H$100,$A186,'15c'!$I$7:$I$100,"")+SUMIFS('15d'!$J$7:$J$100,'15d'!$H$7:$H$100,$A186,'15d'!$I$7:$I$100,"")+SUMIFS('15e'!$J$7:$J$100,'15e'!$H$7:$H$100,$A186,'15e'!$I$7:$I$100,"")+SUMIFS('15f'!$J$7:$J$100,'15f'!$H$7:$H$100,$A186,'15f'!$I$7:$I$100,"")+SUMIFS('15g'!$J$7:$J$100,'15g'!$H$7:$H$100,$A186,'15g'!$I$7:$I$100,"")+SUMIFS('15h'!$J$7:$J$100,'15h'!$H$7:$H$100,$A186,'15h'!$I$7:$I$100,"")+SUMIFS('15i'!$J$7:$J$100,'15i'!$H$7:$H$100,$A186,'15i'!$I$7:$I$100,"")+SUMIFS('15j'!$J$7:$J$100,'15j'!$H$7:$H$100,$A186,'15j'!$I$7:$I$100,"")+SUMIFS('15k'!$J$7:$J$100,'15k'!$H$7:$H$100,$A186,'15k'!$I$7:$I$100,"")+SUMIFS('15l'!$J$7:$J$100,'15l'!$H$7:$H$100,$A186,'15l'!$I$7:$I$100,"")+SUMIFS('15m'!$J$7:$J$100,'15m'!$H$7:$H$100,$A186,'15m'!$I$7:$I$100,"")+SUMIFS('15n'!$J$7:$J$100,'15n'!$H$7:$H$100,$A186,'15n'!$I$7:$I$100,"")+SUMIFS('16'!$J$7:$J$100,'16'!$H$7:$H$100,$A186,'16'!$I$7:$I$100,"")+SUMIFS('16a'!$J$7:$J$100,'16a'!$H$7:$H$100,$A186,'16a'!$I$7:$I$100,"")+SUMIFS('17'!$J$7:$J$100,'17'!$H$7:$H$100,$A186,'17'!$I$7:$I$100,"")+SUMIFS('17a'!$J$7:$J$100,'17a'!$H$7:$H$100,$A186,'17a'!$I$7:$I$100,"")+SUMIFS('18'!$J$7:$J$100,'18'!$H$7:$H$100,$A186,'18'!$I$7:$I$100,"")+SUMIFS('18a'!$J$7:$J$100,'18a'!$H$7:$H$100,$A186,'18a'!$I$7:$I$100,"")
+SUMIFS('19'!$J$7:$J$100,'19'!$H$7:$H$100,$A186,'19'!$I$7:$I$100,"")+SUMIFS('20'!$J$7:$J$100,'20'!$H$7:$H$100,$A186,'20'!$I$7:$I$100,"")+SUMIFS('20a'!$J$7:$J$100,'20a'!$H$7:$H$100,$A186,'20a'!$I$7:$I$100,"")+SUMIFS('21'!$J$7:$J$100,'21'!$H$7:$H$100,$A186,'21'!$I$7:$I$100,"")+SUMIFS('22'!$J$7:$J$100,'22'!$H$7:$H$100,$A186,'22'!$I$7:$I$100,"")+SUMIFS('22a'!$J$7:$J$100,'22a'!$H$7:$H$100,$A186,'22a'!$I$7:$I$100,"")+SUMIFS('22b'!$J$7:$J$100,'22b'!$H$7:$H$100,$A186,'22b'!$I$7:$I$100,"")+SUMIFS('23'!$J$7:$J$100,'23'!$H$7:$H$100,$A186,'23'!$I$7:$I$100,"")+SUMIFS('24'!$J$7:$J$100,'24'!$H$7:$H$100,$A186,'24'!$I$7:$I$100,"")+SUMIFS('24a'!$J$7:$J$100,'24a'!$H$7:$H$100,$A186,'24a'!$I$7:$I$100,"")+SUMIFS('24b'!$J$7:$J$100,'24b'!$H$7:$H$100,$A186,'24b'!$I$7:$I$100,"")+SUMIFS('24c'!$J$7:$J$100,'24c'!$H$7:$H$100,$A186,'24c'!$I$7:$I$100,"")+SUMIFS('24d'!$J$7:$J$100,'24d'!$H$7:$H$100,$A186,'24d'!$I$7:$I$100,"")+SUMIFS('24e'!$J$7:$J$100,'24e'!$H$7:$H$100,$A186,'24e'!$I$7:$I$100,"")+SUMIFS('24f'!$J$7:$J$100,'24f'!$H$7:$H$100,$A186,'24f'!$I$7:$I$100,"")+SUMIFS('24g'!$J$7:$J$100,'24g'!$H$7:$H$100,$A186,'24g'!$I$7:$I$100,"")+SUMIFS('24h'!$J$7:$J$100,'24h'!$H$7:$H$100,$A186,'24h'!$I$7:$I$100,"")+SUMIFS('24i'!$J$7:$J$100,'24i'!$H$7:$H$100,$A186,'24i'!$I$7:$I$100,"")+SUMIFS('25'!$J$7:$J$100,'25'!$H$7:$H$100,$A186,'25'!$I$7:$I$100,"")+SUMIFS('26'!$J$7:$J$100,'26'!$H$7:$H$100,$A186,'26'!$I$7:$I$100,"")+SUMIFS('26a'!$J$7:$J$100,'26a'!$H$7:$H$100,$A186,'26a'!$I$7:$I$100,"")+SUMIFS('27'!$J$7:$J$100,'27'!$H$7:$H$100,$A186,'27'!$I$7:$I$100,"")+SUMIFS('27a'!$J$7:$J$100,'27a'!$H$7:$H$100,$A186,'27a'!$I$7:$I$100,"")+SUMIFS('28'!$J$7:$J$100,'28'!$H$7:$H$100,$A186,'28'!$I$7:$I$100,"")+SUMIFS('29'!$J$7:$J$100,'29'!$H$7:$H$100,$A186,'29'!$I$7:$I$100,"")</f>
        <v>0</v>
      </c>
      <c r="J186" s="1296">
        <f t="shared" si="5"/>
        <v>0</v>
      </c>
      <c r="K186"/>
      <c r="L186"/>
      <c r="M186"/>
      <c r="N186"/>
      <c r="O186"/>
      <c r="P186"/>
      <c r="Q186"/>
      <c r="R186"/>
      <c r="S186" s="1307">
        <f t="shared" si="2"/>
        <v>0</v>
      </c>
      <c r="T186"/>
    </row>
    <row r="187" spans="1:20" x14ac:dyDescent="0.2">
      <c r="A187"/>
      <c r="B187" s="1289" t="str">
        <f>"Total- "&amp;A167</f>
        <v>Total- General Government</v>
      </c>
      <c r="C187" s="1297">
        <f t="shared" ref="C187:J187" si="6">SUM(C168:C169,C174:C186)</f>
        <v>40400</v>
      </c>
      <c r="D187" s="1290">
        <f t="shared" si="6"/>
        <v>51520.490000000005</v>
      </c>
      <c r="E187" s="1290">
        <f t="shared" si="6"/>
        <v>0</v>
      </c>
      <c r="F187" s="1298">
        <f t="shared" si="6"/>
        <v>91920.489999999991</v>
      </c>
      <c r="G187" s="1297">
        <f t="shared" si="6"/>
        <v>42294.45</v>
      </c>
      <c r="H187" s="1290">
        <f t="shared" si="6"/>
        <v>77519.070000000007</v>
      </c>
      <c r="I187" s="1290">
        <f t="shared" si="6"/>
        <v>0</v>
      </c>
      <c r="J187" s="1298">
        <f t="shared" si="6"/>
        <v>119813.52</v>
      </c>
      <c r="K187"/>
      <c r="L187"/>
      <c r="M187"/>
      <c r="N187"/>
      <c r="O187"/>
      <c r="P187"/>
      <c r="Q187"/>
      <c r="R187"/>
      <c r="S187" s="1307"/>
      <c r="T187"/>
    </row>
    <row r="188" spans="1:20" x14ac:dyDescent="0.2">
      <c r="A188"/>
      <c r="B188"/>
      <c r="C188" s="292"/>
      <c r="D188"/>
      <c r="E188"/>
      <c r="F188" s="345"/>
      <c r="G188" s="292"/>
      <c r="H188"/>
      <c r="I188"/>
      <c r="J188" s="345"/>
      <c r="K188"/>
      <c r="L188"/>
      <c r="M188"/>
      <c r="N188"/>
      <c r="O188"/>
      <c r="P188"/>
      <c r="Q188"/>
      <c r="R188"/>
      <c r="S188" s="1307"/>
      <c r="T188"/>
    </row>
    <row r="189" spans="1:20" x14ac:dyDescent="0.2">
      <c r="A189" s="106" t="s">
        <v>5440</v>
      </c>
      <c r="B189" s="5"/>
      <c r="C189" s="1321"/>
      <c r="D189" s="5"/>
      <c r="E189" s="5"/>
      <c r="F189" s="1322"/>
      <c r="G189" s="1321"/>
      <c r="H189" s="5"/>
      <c r="I189" s="5"/>
      <c r="J189" s="1322"/>
      <c r="K189"/>
      <c r="L189"/>
      <c r="M189"/>
      <c r="N189"/>
      <c r="O189"/>
      <c r="P189"/>
      <c r="Q189"/>
      <c r="R189"/>
      <c r="S189" s="1307"/>
      <c r="T189"/>
    </row>
    <row r="190" spans="1:20" ht="12.75" customHeight="1" x14ac:dyDescent="0.2">
      <c r="A190" t="s">
        <v>5136</v>
      </c>
      <c r="B190" t="s">
        <v>5477</v>
      </c>
      <c r="C190" s="1295">
        <f>SUMIFS('12'!$N$7:$N$100,'12'!$H$7:$H$100,$A190,'12'!$I$7:$I$100,1)+SUMIFS('13'!$N$7:$N$100,'13'!$H$7:$H$100,$A190,'13'!$I$7:$I$100,1)+SUMIFS('14'!$N$7:$N$100,'14'!$H$7:$H$100,$A190,'14'!$I$7:$I$100,1)+SUMIFS('15'!$N$7:$N$100,'15'!$H$7:$H$100,$A190,'15'!$I$7:$I$100,1)+SUMIFS('15a'!$N$7:$N$100,'15a'!$H$7:$H$100,$A190,'15a'!$I$7:$I$100,1)+SUMIFS('15b'!$N$7:$N$100,'15b'!$H$7:$H$100,$A190,'15b'!$I$7:$I$100,1)+SUMIFS('15c'!$N$7:$N$100,'15c'!$H$7:$H$100,$A190,'15c'!$I$7:$I$100,1)+SUMIFS('15d'!$N$7:$N$100,'15d'!$H$7:$H$100,$A190,'15d'!$I$7:$I$100,1)+SUMIFS('15e'!$N$7:$N$100,'15e'!$H$7:$H$100,$A190,'15e'!$I$7:$I$100,1)+SUMIFS('15f'!$N$7:$N$100,'15f'!$H$7:$H$100,$A190,'15f'!$I$7:$I$100,1)+SUMIFS('15g'!$N$7:$N$100,'15g'!$H$7:$H$100,$A190,'15g'!$I$7:$I$100,1)+SUMIFS('15h'!$N$7:$N$100,'15h'!$H$7:$H$100,$A190,'15h'!$I$7:$I$100,1)+SUMIFS('15i'!$N$7:$N$100,'15i'!$H$7:$H$100,$A190,'15i'!$I$7:$I$100,1)+SUMIFS('15j'!$N$7:$N$100,'15j'!$H$7:$H$100,$A190,'15j'!$I$7:$I$100,1)+SUMIFS('15k'!$N$7:$N$100,'15k'!$H$7:$H$100,$A190,'15k'!$I$7:$I$100,1)+SUMIFS('15l'!$N$7:$N$100,'15l'!$H$7:$H$100,$A190,'15l'!$I$7:$I$100,1)+SUMIFS('15m'!$N$7:$N$100,'15m'!$H$7:$H$100,$A190,'15m'!$I$7:$I$100,1)+SUMIFS('15n'!$N$7:$N$100,'15n'!$H$7:$H$100,$A190,'15n'!$I$7:$I$100,1)+SUMIFS('16'!$N$7:$N$100,'16'!$H$7:$H$100,$A190,'16'!$I$7:$I$100,1)+SUMIFS('16a'!$N$7:$N$100,'16a'!$H$7:$H$100,$A190,'16a'!$I$7:$I$100,1)+SUMIFS('17'!$N$7:$N$100,'17'!$H$7:$H$100,$A190,'17'!$I$7:$I$100,1)+SUMIFS('17a'!$N$7:$N$100,'17a'!$H$7:$H$100,$A190,'17a'!$I$7:$I$100,1)+SUMIFS('18'!$N$7:$N$100,'18'!$H$7:$H$100,$A190,'18'!$I$7:$I$100,1)+SUMIFS('18a'!$N$7:$N$100,'18a'!$H$7:$H$100,$A190,'18a'!$I$7:$I$100,1)
+SUMIFS('19'!$N$7:$N$100,'19'!$H$7:$H$100,$A190,'19'!$I$7:$I$100,1)+SUMIFS('20'!$N$7:$N$100,'20'!$H$7:$H$100,$A190,'20'!$I$7:$I$100,1)+SUMIFS('20a'!$N$7:$N$100,'20a'!$H$7:$H$100,$A190,'20a'!$I$7:$I$100,1)+SUMIFS('21'!$N$7:$N$100,'21'!$H$7:$H$100,$A190,'21'!$I$7:$I$100,1)+SUMIFS('22'!$N$7:$N$100,'22'!$H$7:$H$100,$A190,'22'!$I$7:$I$100,1)+SUMIFS('22a'!$N$7:$N$100,'22a'!$H$7:$H$100,$A190,'22a'!$I$7:$I$100,1)+SUMIFS('22b'!$N$7:$N$100,'22b'!$H$7:$H$100,$A190,'22b'!$I$7:$I$100,1)+SUMIFS('23'!$N$7:$N$100,'23'!$H$7:$H$100,$A190,'23'!$I$7:$I$100,1)+SUMIFS('24'!$N$7:$N$100,'24'!$H$7:$H$100,$A190,'24'!$I$7:$I$100,1)+SUMIFS('24a'!$N$7:$N$100,'24a'!$H$7:$H$100,$A190,'24a'!$I$7:$I$100,1)+SUMIFS('24b'!$N$7:$N$100,'24b'!$H$7:$H$100,$A190,'24b'!$I$7:$I$100,1)+SUMIFS('24c'!$N$7:$N$100,'24c'!$H$7:$H$100,$A190,'24c'!$I$7:$I$100,1)+SUMIFS('24d'!$N$7:$N$100,'24d'!$H$7:$H$100,$A190,'24d'!$I$7:$I$100,1)+SUMIFS('24e'!$N$7:$N$100,'24e'!$H$7:$H$100,$A190,'24e'!$I$7:$I$100,1)+SUMIFS('24f'!$N$7:$N$100,'24f'!$H$7:$H$100,$A190,'24f'!$I$7:$I$100,1)+SUMIFS('24g'!$N$7:$N$100,'24g'!$H$7:$H$100,$A190,'24g'!$I$7:$I$100,1)+SUMIFS('24h'!$N$7:$N$100,'24h'!$H$7:$H$100,$A190,'24h'!$I$7:$I$100,1)+SUMIFS('24i'!$N$7:$N$100,'24i'!$H$7:$H$100,$A190,'24i'!$I$7:$I$100,1)+SUMIFS('25'!$N$7:$N$100,'25'!$H$7:$H$100,$A190,'25'!$I$7:$I$100,1)+SUMIFS('26'!$N$7:$N$100,'26'!$H$7:$H$100,$A190,'26'!$I$7:$I$100,1)+SUMIFS('26a'!$N$7:$N$100,'26a'!$H$7:$H$100,$A190,'26a'!$I$7:$I$100,1)+SUMIFS('27'!$N$7:$N$100,'27'!$H$7:$H$100,$A190,'27'!$I$7:$I$100,1)+SUMIFS('27a'!$N$7:$N$100,'27a'!$H$7:$H$100,$A190,'27a'!$I$7:$I$100,1)+SUMIFS('28'!$N$7:$N$100,'28'!$H$7:$H$100,$A190,'28'!$I$7:$I$100,1)+SUMIFS('29'!$N$7:$N$100,'29'!$H$7:$H$100,$A190,'29'!$I$7:$I$100,1)</f>
        <v>2898</v>
      </c>
      <c r="D190" s="1315">
        <f>SUMIFS('12'!$N$7:$N$100,'12'!$H$7:$H$100,$A190,'12'!$I$7:$I$100,2)+SUMIFS('13'!$N$7:$N$100,'13'!$H$7:$H$100,$A190,'13'!$I$7:$I$100,2)+SUMIFS('14'!$N$7:$N$100,'14'!$H$7:$H$100,$A190,'14'!$I$7:$I$100,2)+SUMIFS('15'!$N$7:$N$100,'15'!$H$7:$H$100,$A190,'15'!$I$7:$I$100,2)+SUMIFS('15a'!$N$7:$N$100,'15a'!$H$7:$H$100,$A190,'15a'!$I$7:$I$100,2)+SUMIFS('15b'!$N$7:$N$100,'15b'!$H$7:$H$100,$A190,'15b'!$I$7:$I$100,2)+SUMIFS('15c'!$N$7:$N$100,'15c'!$H$7:$H$100,$A190,'15c'!$I$7:$I$100,2)+SUMIFS('15d'!$N$7:$N$100,'15d'!$H$7:$H$100,$A190,'15d'!$I$7:$I$100,2)+SUMIFS('15e'!$N$7:$N$100,'15e'!$H$7:$H$100,$A190,'15e'!$I$7:$I$100,2)+SUMIFS('15f'!$N$7:$N$100,'15f'!$H$7:$H$100,$A190,'15f'!$I$7:$I$100,2)+SUMIFS('15g'!$N$7:$N$100,'15g'!$H$7:$H$100,$A190,'15g'!$I$7:$I$100,2)+SUMIFS('15h'!$N$7:$N$100,'15h'!$H$7:$H$100,$A190,'15h'!$I$7:$I$100,2)+SUMIFS('15i'!$N$7:$N$100,'15i'!$H$7:$H$100,$A190,'15i'!$I$7:$I$100,2)+SUMIFS('15j'!$N$7:$N$100,'15j'!$H$7:$H$100,$A190,'15j'!$I$7:$I$100,2)+SUMIFS('15k'!$N$7:$N$100,'15k'!$H$7:$H$100,$A190,'15k'!$I$7:$I$100,2)+SUMIFS('15l'!$N$7:$N$100,'15l'!$H$7:$H$100,$A190,'15l'!$I$7:$I$100,2)+SUMIFS('15m'!$N$7:$N$100,'15m'!$H$7:$H$100,$A190,'15m'!$I$7:$I$100,2)+SUMIFS('15n'!$N$7:$N$100,'15n'!$H$7:$H$100,$A190,'15n'!$I$7:$I$100,2)+SUMIFS('16'!$N$7:$N$100,'16'!$H$7:$H$100,$A190,'16'!$I$7:$I$100,2)+SUMIFS('16a'!$N$7:$N$100,'16a'!$H$7:$H$100,$A190,'16a'!$I$7:$I$100,2)+SUMIFS('17'!$N$7:$N$100,'17'!$H$7:$H$100,$A190,'17'!$I$7:$I$100,2)+SUMIFS('17a'!$N$7:$N$100,'17a'!$H$7:$H$100,$A190,'17a'!$I$7:$I$100,2)+SUMIFS('18'!$N$7:$N$100,'18'!$H$7:$H$100,$A190,'18'!$I$7:$I$100,2)+SUMIFS('18a'!$N$7:$N$100,'18a'!$H$7:$H$100,$A190,'18a'!$I$7:$I$100,2)
+SUMIFS('19'!$N$7:$N$100,'19'!$H$7:$H$100,$A190,'19'!$I$7:$I$100,2)+SUMIFS('20'!$N$7:$N$100,'20'!$H$7:$H$100,$A190,'20'!$I$7:$I$100,2)+SUMIFS('20a'!$N$7:$N$100,'20a'!$H$7:$H$100,$A190,'20a'!$I$7:$I$100,2)+SUMIFS('21'!$N$7:$N$100,'21'!$H$7:$H$100,$A190,'21'!$I$7:$I$100,2)+SUMIFS('22'!$N$7:$N$100,'22'!$H$7:$H$100,$A190,'22'!$I$7:$I$100,2)+SUMIFS('22a'!$N$7:$N$100,'22a'!$H$7:$H$100,$A190,'22a'!$I$7:$I$100,2)+SUMIFS('22b'!$N$7:$N$100,'22b'!$H$7:$H$100,$A190,'22b'!$I$7:$I$100,2)+SUMIFS('23'!$N$7:$N$100,'23'!$H$7:$H$100,$A190,'23'!$I$7:$I$100,2)+SUMIFS('24'!$N$7:$N$100,'24'!$H$7:$H$100,$A190,'24'!$I$7:$I$100,2)+SUMIFS('24a'!$N$7:$N$100,'24a'!$H$7:$H$100,$A190,'24a'!$I$7:$I$100,2)+SUMIFS('24b'!$N$7:$N$100,'24b'!$H$7:$H$100,$A190,'24b'!$I$7:$I$100,2)+SUMIFS('24c'!$N$7:$N$100,'24c'!$H$7:$H$100,$A190,'24c'!$I$7:$I$100,2)+SUMIFS('24d'!$N$7:$N$100,'24d'!$H$7:$H$100,$A190,'24d'!$I$7:$I$100,2)+SUMIFS('24e'!$N$7:$N$100,'24e'!$H$7:$H$100,$A190,'24e'!$I$7:$I$100,2)+SUMIFS('24f'!$N$7:$N$100,'24f'!$H$7:$H$100,$A190,'24f'!$I$7:$I$100,2)+SUMIFS('24g'!$N$7:$N$100,'24g'!$H$7:$H$100,$A190,'24g'!$I$7:$I$100,2)+SUMIFS('24h'!$N$7:$N$100,'24h'!$H$7:$H$100,$A190,'24h'!$I$7:$I$100,2)+SUMIFS('24i'!$N$7:$N$100,'24i'!$H$7:$H$100,$A190,'24i'!$I$7:$I$100,2)+SUMIFS('25'!$N$7:$N$100,'25'!$H$7:$H$100,$A190,'25'!$I$7:$I$100,2)+SUMIFS('26'!$N$7:$N$100,'26'!$H$7:$H$100,$A190,'26'!$I$7:$I$100,2)+SUMIFS('26a'!$N$7:$N$100,'26a'!$H$7:$H$100,$A190,'26a'!$I$7:$I$100,2)+SUMIFS('27'!$N$7:$N$100,'27'!$H$7:$H$100,$A190,'27'!$I$7:$I$100,2)+SUMIFS('27a'!$N$7:$N$100,'27a'!$H$7:$H$100,$A190,'27a'!$I$7:$I$100,2)+SUMIFS('28'!$N$7:$N$100,'28'!$H$7:$H$100,$A190,'28'!$I$7:$I$100,2)+SUMIFS('29'!$N$7:$N$100,'29'!$H$7:$H$100,$A190,'29'!$I$7:$I$100,2)</f>
        <v>3441.12</v>
      </c>
      <c r="E190" s="1315">
        <f>SUMIFS('12'!$N$7:$N$100,'12'!$H$7:$H$100,$A190,'12'!$I$7:$I$100,"")+SUMIFS('13'!$N$7:$N$100,'13'!$H$7:$H$100,$A190,'13'!$I$7:$I$100,"")+SUMIFS('14'!$N$7:$N$100,'14'!$H$7:$H$100,$A190,'14'!$I$7:$I$100,"")+SUMIFS('15'!$N$7:$N$100,'15'!$H$7:$H$100,$A190,'15'!$I$7:$I$100,"")+SUMIFS('15a'!$N$7:$N$100,'15a'!$H$7:$H$100,$A190,'15a'!$I$7:$I$100,"")+SUMIFS('15b'!$N$7:$N$100,'15b'!$H$7:$H$100,$A190,'15b'!$I$7:$I$100,"")+SUMIFS('15c'!$N$7:$N$100,'15c'!$H$7:$H$100,$A190,'15c'!$I$7:$I$100,"")+SUMIFS('15d'!$N$7:$N$100,'15d'!$H$7:$H$100,$A190,'15d'!$I$7:$I$100,"")+SUMIFS('15e'!$N$7:$N$100,'15e'!$H$7:$H$100,$A190,'15e'!$I$7:$I$100,"")+SUMIFS('15f'!$N$7:$N$100,'15f'!$H$7:$H$100,$A190,'15f'!$I$7:$I$100,"")+SUMIFS('15g'!$N$7:$N$100,'15g'!$H$7:$H$100,$A190,'15g'!$I$7:$I$100,"")+SUMIFS('15h'!$N$7:$N$100,'15h'!$H$7:$H$100,$A190,'15h'!$I$7:$I$100,"")+SUMIFS('15i'!$N$7:$N$100,'15i'!$H$7:$H$100,$A190,'15i'!$I$7:$I$100,"")+SUMIFS('15j'!$N$7:$N$100,'15j'!$H$7:$H$100,$A190,'15j'!$I$7:$I$100,"")+SUMIFS('15k'!$N$7:$N$100,'15k'!$H$7:$H$100,$A190,'15k'!$I$7:$I$100,"")+SUMIFS('15l'!$N$7:$N$100,'15l'!$H$7:$H$100,$A190,'15l'!$I$7:$I$100,"")+SUMIFS('15m'!$N$7:$N$100,'15m'!$H$7:$H$100,$A190,'15m'!$I$7:$I$100,"")+SUMIFS('15n'!$N$7:$N$100,'15n'!$H$7:$H$100,$A190,'15n'!$I$7:$I$100,"")+SUMIFS('16'!$N$7:$N$100,'16'!$H$7:$H$100,$A190,'16'!$I$7:$I$100,"")+SUMIFS('16a'!$N$7:$N$100,'16a'!$H$7:$H$100,$A190,'16a'!$I$7:$I$100,"")+SUMIFS('17'!$N$7:$N$100,'17'!$H$7:$H$100,$A190,'17'!$I$7:$I$100,"")+SUMIFS('17a'!$N$7:$N$100,'17a'!$H$7:$H$100,$A190,'17a'!$I$7:$I$100,"")+SUMIFS('18'!$N$7:$N$100,'18'!$H$7:$H$100,$A190,'18'!$I$7:$I$100,"")+SUMIFS('18a'!$N$7:$N$100,'18a'!$H$7:$H$100,$A190,'18a'!$I$7:$I$100,"")
+SUMIFS('19'!$N$7:$N$100,'19'!$H$7:$H$100,$A190,'19'!$I$7:$I$100,"")+SUMIFS('20'!$N$7:$N$100,'20'!$H$7:$H$100,$A190,'20'!$I$7:$I$100,"")+SUMIFS('20a'!$N$7:$N$100,'20a'!$H$7:$H$100,$A190,'20a'!$I$7:$I$100,"")+SUMIFS('21'!$N$7:$N$100,'21'!$H$7:$H$100,$A190,'21'!$I$7:$I$100,"")+SUMIFS('22'!$N$7:$N$100,'22'!$H$7:$H$100,$A190,'22'!$I$7:$I$100,"")+SUMIFS('22a'!$N$7:$N$100,'22a'!$H$7:$H$100,$A190,'22a'!$I$7:$I$100,"")+SUMIFS('22b'!$N$7:$N$100,'22b'!$H$7:$H$100,$A190,'22b'!$I$7:$I$100,"")+SUMIFS('23'!$N$7:$N$100,'23'!$H$7:$H$100,$A190,'23'!$I$7:$I$100,"")+SUMIFS('24'!$N$7:$N$100,'24'!$H$7:$H$100,$A190,'24'!$I$7:$I$100,"")+SUMIFS('24a'!$N$7:$N$100,'24a'!$H$7:$H$100,$A190,'24a'!$I$7:$I$100,"")+SUMIFS('24b'!$N$7:$N$100,'24b'!$H$7:$H$100,$A190,'24b'!$I$7:$I$100,"")+SUMIFS('24c'!$N$7:$N$100,'24c'!$H$7:$H$100,$A190,'24c'!$I$7:$I$100,"")+SUMIFS('24d'!$N$7:$N$100,'24d'!$H$7:$H$100,$A190,'24d'!$I$7:$I$100,"")+SUMIFS('24e'!$N$7:$N$100,'24e'!$H$7:$H$100,$A190,'24e'!$I$7:$I$100,"")+SUMIFS('24f'!$N$7:$N$100,'24f'!$H$7:$H$100,$A190,'24f'!$I$7:$I$100,"")+SUMIFS('24g'!$N$7:$N$100,'24g'!$H$7:$H$100,$A190,'24g'!$I$7:$I$100,"")+SUMIFS('24h'!$N$7:$N$100,'24h'!$H$7:$H$100,$A190,'24h'!$I$7:$I$100,"")+SUMIFS('24i'!$N$7:$N$100,'24i'!$H$7:$H$100,$A190,'24i'!$I$7:$I$100,"")+SUMIFS('25'!$N$7:$N$100,'25'!$H$7:$H$100,$A190,'25'!$I$7:$I$100,"")+SUMIFS('26'!$N$7:$N$100,'26'!$H$7:$H$100,$A190,'26'!$I$7:$I$100,"")+SUMIFS('26a'!$N$7:$N$100,'26a'!$H$7:$H$100,$A190,'26a'!$I$7:$I$100,"")+SUMIFS('27'!$N$7:$N$100,'27'!$H$7:$H$100,$A190,'27'!$I$7:$I$100,"")+SUMIFS('27a'!$N$7:$N$100,'27a'!$H$7:$H$100,$A190,'27a'!$I$7:$I$100,"")+SUMIFS('28'!$N$7:$N$100,'28'!$H$7:$H$100,$A190,'28'!$I$7:$I$100,"")+SUMIFS('29'!$N$7:$N$100,'29'!$H$7:$H$100,$A190,'29'!$I$7:$I$100,"")</f>
        <v>0</v>
      </c>
      <c r="F190" s="1296">
        <f>SUM(C190:E190)</f>
        <v>6339.12</v>
      </c>
      <c r="G190" s="1295">
        <f>SUMIFS('12'!$J$7:$J$100,'12'!$H$7:$H$100,$A190,'12'!$I$7:$I$100,1)+SUMIFS('13'!$J$7:$J$100,'13'!$H$7:$H$100,$A190,'13'!$I$7:$I$100,1)+SUMIFS('14'!$J$7:$J$100,'14'!$H$7:$H$100,$A190,'14'!$I$7:$I$100,1)+SUMIFS('15'!$J$7:$J$100,'15'!$H$7:$H$100,$A190,'15'!$I$7:$I$100,1)+SUMIFS('15a'!$J$7:$J$100,'15a'!$H$7:$H$100,$A190,'15a'!$I$7:$I$100,1)+SUMIFS('15b'!$J$7:$J$100,'15b'!$H$7:$H$100,$A190,'15b'!$I$7:$I$100,1)+SUMIFS('15c'!$J$7:$J$100,'15c'!$H$7:$H$100,$A190,'15c'!$I$7:$I$100,1)+SUMIFS('15d'!$J$7:$J$100,'15d'!$H$7:$H$100,$A190,'15d'!$I$7:$I$100,1)+SUMIFS('15e'!$J$7:$J$100,'15e'!$H$7:$H$100,$A190,'15e'!$I$7:$I$100,1)+SUMIFS('15f'!$J$7:$J$100,'15f'!$H$7:$H$100,$A190,'15f'!$I$7:$I$100,1)+SUMIFS('15g'!$J$7:$J$100,'15g'!$H$7:$H$100,$A190,'15g'!$I$7:$I$100,1)+SUMIFS('15h'!$J$7:$J$100,'15h'!$H$7:$H$100,$A190,'15h'!$I$7:$I$100,1)+SUMIFS('15i'!$J$7:$J$100,'15i'!$H$7:$H$100,$A190,'15i'!$I$7:$I$100,1)+SUMIFS('15j'!$J$7:$J$100,'15j'!$H$7:$H$100,$A190,'15j'!$I$7:$I$100,1)+SUMIFS('15k'!$J$7:$J$100,'15k'!$H$7:$H$100,$A190,'15k'!$I$7:$I$100,1)+SUMIFS('15l'!$J$7:$J$100,'15l'!$H$7:$H$100,$A190,'15l'!$I$7:$I$100,1)+SUMIFS('15m'!$J$7:$J$100,'15m'!$H$7:$H$100,$A190,'15m'!$I$7:$I$100,1)+SUMIFS('15n'!$J$7:$J$100,'15n'!$H$7:$H$100,$A190,'15n'!$I$7:$I$100,1)+SUMIFS('16'!$J$7:$J$100,'16'!$H$7:$H$100,$A190,'16'!$I$7:$I$100,1)+SUMIFS('16a'!$J$7:$J$100,'16a'!$H$7:$H$100,$A190,'16a'!$I$7:$I$100,1)+SUMIFS('17'!$J$7:$J$100,'17'!$H$7:$H$100,$A190,'17'!$I$7:$I$100,1)+SUMIFS('17a'!$J$7:$J$100,'17a'!$H$7:$H$100,$A190,'17a'!$I$7:$I$100,1)+SUMIFS('18'!$J$7:$J$100,'18'!$H$7:$H$100,$A190,'18'!$I$7:$I$100,1)+SUMIFS('18a'!$J$7:$J$100,'18a'!$H$7:$H$100,$A190,'18a'!$I$7:$I$100,1)
+SUMIFS('19'!$J$7:$J$100,'19'!$H$7:$H$100,$A190,'19'!$I$7:$I$100,1)+SUMIFS('20'!$J$7:$J$100,'20'!$H$7:$H$100,$A190,'20'!$I$7:$I$100,1)+SUMIFS('20a'!$J$7:$J$100,'20a'!$H$7:$H$100,$A190,'20a'!$I$7:$I$100,1)+SUMIFS('21'!$J$7:$J$100,'21'!$H$7:$H$100,$A190,'21'!$I$7:$I$100,1)+SUMIFS('22'!$J$7:$J$100,'22'!$H$7:$H$100,$A190,'22'!$I$7:$I$100,1)+SUMIFS('22a'!$J$7:$J$100,'22a'!$H$7:$H$100,$A190,'22a'!$I$7:$I$100,1)+SUMIFS('22b'!$J$7:$J$100,'22b'!$H$7:$H$100,$A190,'22b'!$I$7:$I$100,1)+SUMIFS('23'!$J$7:$J$100,'23'!$H$7:$H$100,$A190,'23'!$I$7:$I$100,1)+SUMIFS('24'!$J$7:$J$100,'24'!$H$7:$H$100,$A190,'24'!$I$7:$I$100,1)+SUMIFS('24a'!$J$7:$J$100,'24a'!$H$7:$H$100,$A190,'24a'!$I$7:$I$100,1)+SUMIFS('24b'!$J$7:$J$100,'24b'!$H$7:$H$100,$A190,'24b'!$I$7:$I$100,1)+SUMIFS('24c'!$J$7:$J$100,'24c'!$H$7:$H$100,$A190,'24c'!$I$7:$I$100,1)+SUMIFS('24d'!$J$7:$J$100,'24d'!$H$7:$H$100,$A190,'24d'!$I$7:$I$100,1)+SUMIFS('24e'!$J$7:$J$100,'24e'!$H$7:$H$100,$A190,'24e'!$I$7:$I$100,1)+SUMIFS('24f'!$J$7:$J$100,'24f'!$H$7:$H$100,$A190,'24f'!$I$7:$I$100,1)+SUMIFS('24g'!$J$7:$J$100,'24g'!$H$7:$H$100,$A190,'24g'!$I$7:$I$100,1)+SUMIFS('24h'!$J$7:$J$100,'24h'!$H$7:$H$100,$A190,'24h'!$I$7:$I$100,1)+SUMIFS('24i'!$J$7:$J$100,'24i'!$H$7:$H$100,$A190,'24i'!$I$7:$I$100,1)+SUMIFS('25'!$J$7:$J$100,'25'!$H$7:$H$100,$A190,'25'!$I$7:$I$100,1)+SUMIFS('26'!$J$7:$J$100,'26'!$H$7:$H$100,$A190,'26'!$I$7:$I$100,1)+SUMIFS('26a'!$J$7:$J$100,'26a'!$H$7:$H$100,$A190,'26a'!$I$7:$I$100,1)+SUMIFS('27'!$J$7:$J$100,'27'!$H$7:$H$100,$A190,'27'!$I$7:$I$100,1)+SUMIFS('27a'!$J$7:$J$100,'27a'!$H$7:$H$100,$A190,'27a'!$I$7:$I$100,1)+SUMIFS('28'!$J$7:$J$100,'28'!$H$7:$H$100,$A190,'28'!$I$7:$I$100,1)+SUMIFS('29'!$J$7:$J$100,'29'!$H$7:$H$100,$A190,'29'!$I$7:$I$100,1)</f>
        <v>2958</v>
      </c>
      <c r="H190" s="1315">
        <f>SUMIFS('12'!$J$7:$J$100,'12'!$H$7:$H$100,$A190,'12'!$I$7:$I$100,2)+SUMIFS('13'!$J$7:$J$100,'13'!$H$7:$H$100,$A190,'13'!$I$7:$I$100,2)+SUMIFS('14'!$J$7:$J$100,'14'!$H$7:$H$100,$A190,'14'!$I$7:$I$100,2)+SUMIFS('15'!$J$7:$J$100,'15'!$H$7:$H$100,$A190,'15'!$I$7:$I$100,2)+SUMIFS('15a'!$J$7:$J$100,'15a'!$H$7:$H$100,$A190,'15a'!$I$7:$I$100,2)+SUMIFS('15b'!$J$7:$J$100,'15b'!$H$7:$H$100,$A190,'15b'!$I$7:$I$100,2)+SUMIFS('15c'!$J$7:$J$100,'15c'!$H$7:$H$100,$A190,'15c'!$I$7:$I$100,2)+SUMIFS('15d'!$J$7:$J$100,'15d'!$H$7:$H$100,$A190,'15d'!$I$7:$I$100,2)+SUMIFS('15e'!$J$7:$J$100,'15e'!$H$7:$H$100,$A190,'15e'!$I$7:$I$100,2)+SUMIFS('15f'!$J$7:$J$100,'15f'!$H$7:$H$100,$A190,'15f'!$I$7:$I$100,2)+SUMIFS('15g'!$J$7:$J$100,'15g'!$H$7:$H$100,$A190,'15g'!$I$7:$I$100,2)+SUMIFS('15h'!$J$7:$J$100,'15h'!$H$7:$H$100,$A190,'15h'!$I$7:$I$100,2)+SUMIFS('15i'!$J$7:$J$100,'15i'!$H$7:$H$100,$A190,'15i'!$I$7:$I$100,2)+SUMIFS('15j'!$J$7:$J$100,'15j'!$H$7:$H$100,$A190,'15j'!$I$7:$I$100,2)+SUMIFS('15k'!$J$7:$J$100,'15k'!$H$7:$H$100,$A190,'15k'!$I$7:$I$100,2)+SUMIFS('15l'!$J$7:$J$100,'15l'!$H$7:$H$100,$A190,'15l'!$I$7:$I$100,2)+SUMIFS('15m'!$J$7:$J$100,'15m'!$H$7:$H$100,$A190,'15m'!$I$7:$I$100,2)+SUMIFS('15n'!$J$7:$J$100,'15n'!$H$7:$H$100,$A190,'15n'!$I$7:$I$100,2)+SUMIFS('16'!$J$7:$J$100,'16'!$H$7:$H$100,$A190,'16'!$I$7:$I$100,2)+SUMIFS('16a'!$J$7:$J$100,'16a'!$H$7:$H$100,$A190,'16a'!$I$7:$I$100,2)+SUMIFS('17'!$J$7:$J$100,'17'!$H$7:$H$100,$A190,'17'!$I$7:$I$100,2)+SUMIFS('17a'!$J$7:$J$100,'17a'!$H$7:$H$100,$A190,'17a'!$I$7:$I$100,2)+SUMIFS('18'!$J$7:$J$100,'18'!$H$7:$H$100,$A190,'18'!$I$7:$I$100,2)+SUMIFS('18a'!$J$7:$J$100,'18a'!$H$7:$H$100,$A190,'18a'!$I$7:$I$100,2)
+SUMIFS('19'!$J$7:$J$100,'19'!$H$7:$H$100,$A190,'19'!$I$7:$I$100,2)+SUMIFS('20'!$J$7:$J$100,'20'!$H$7:$H$100,$A190,'20'!$I$7:$I$100,2)+SUMIFS('20a'!$J$7:$J$100,'20a'!$H$7:$H$100,$A190,'20a'!$I$7:$I$100,2)+SUMIFS('21'!$J$7:$J$100,'21'!$H$7:$H$100,$A190,'21'!$I$7:$I$100,2)+SUMIFS('22'!$J$7:$J$100,'22'!$H$7:$H$100,$A190,'22'!$I$7:$I$100,2)+SUMIFS('22a'!$J$7:$J$100,'22a'!$H$7:$H$100,$A190,'22a'!$I$7:$I$100,2)+SUMIFS('22b'!$J$7:$J$100,'22b'!$H$7:$H$100,$A190,'22b'!$I$7:$I$100,2)+SUMIFS('23'!$J$7:$J$100,'23'!$H$7:$H$100,$A190,'23'!$I$7:$I$100,2)+SUMIFS('24'!$J$7:$J$100,'24'!$H$7:$H$100,$A190,'24'!$I$7:$I$100,2)+SUMIFS('24a'!$J$7:$J$100,'24a'!$H$7:$H$100,$A190,'24a'!$I$7:$I$100,2)+SUMIFS('24b'!$J$7:$J$100,'24b'!$H$7:$H$100,$A190,'24b'!$I$7:$I$100,2)+SUMIFS('24c'!$J$7:$J$100,'24c'!$H$7:$H$100,$A190,'24c'!$I$7:$I$100,2)+SUMIFS('24d'!$J$7:$J$100,'24d'!$H$7:$H$100,$A190,'24d'!$I$7:$I$100,2)+SUMIFS('24e'!$J$7:$J$100,'24e'!$H$7:$H$100,$A190,'24e'!$I$7:$I$100,2)+SUMIFS('24f'!$J$7:$J$100,'24f'!$H$7:$H$100,$A190,'24f'!$I$7:$I$100,2)+SUMIFS('24g'!$J$7:$J$100,'24g'!$H$7:$H$100,$A190,'24g'!$I$7:$I$100,2)+SUMIFS('24h'!$J$7:$J$100,'24h'!$H$7:$H$100,$A190,'24h'!$I$7:$I$100,2)+SUMIFS('24i'!$J$7:$J$100,'24i'!$H$7:$H$100,$A190,'24i'!$I$7:$I$100,2)+SUMIFS('25'!$J$7:$J$100,'25'!$H$7:$H$100,$A190,'25'!$I$7:$I$100,2)+SUMIFS('26'!$J$7:$J$100,'26'!$H$7:$H$100,$A190,'26'!$I$7:$I$100,2)+SUMIFS('26a'!$J$7:$J$100,'26a'!$H$7:$H$100,$A190,'26a'!$I$7:$I$100,2)+SUMIFS('27'!$J$7:$J$100,'27'!$H$7:$H$100,$A190,'27'!$I$7:$I$100,2)+SUMIFS('27a'!$J$7:$J$100,'27a'!$H$7:$H$100,$A190,'27a'!$I$7:$I$100,2)+SUMIFS('28'!$J$7:$J$100,'28'!$H$7:$H$100,$A190,'28'!$I$7:$I$100,2)+SUMIFS('29'!$J$7:$J$100,'29'!$H$7:$H$100,$A190,'29'!$I$7:$I$100,2)</f>
        <v>3500</v>
      </c>
      <c r="I190" s="1315">
        <f>SUMIFS('12'!$J$7:$J$100,'12'!$H$7:$H$100,$A190,'12'!$I$7:$I$100,"")+SUMIFS('13'!$J$7:$J$100,'13'!$H$7:$H$100,$A190,'13'!$I$7:$I$100,"")+SUMIFS('14'!$J$7:$J$100,'14'!$H$7:$H$100,$A190,'14'!$I$7:$I$100,"")+SUMIFS('15'!$J$7:$J$100,'15'!$H$7:$H$100,$A190,'15'!$I$7:$I$100,"")+SUMIFS('15a'!$J$7:$J$100,'15a'!$H$7:$H$100,$A190,'15a'!$I$7:$I$100,"")+SUMIFS('15b'!$J$7:$J$100,'15b'!$H$7:$H$100,$A190,'15b'!$I$7:$I$100,"")+SUMIFS('15c'!$J$7:$J$100,'15c'!$H$7:$H$100,$A190,'15c'!$I$7:$I$100,"")+SUMIFS('15d'!$J$7:$J$100,'15d'!$H$7:$H$100,$A190,'15d'!$I$7:$I$100,"")+SUMIFS('15e'!$J$7:$J$100,'15e'!$H$7:$H$100,$A190,'15e'!$I$7:$I$100,"")+SUMIFS('15f'!$J$7:$J$100,'15f'!$H$7:$H$100,$A190,'15f'!$I$7:$I$100,"")+SUMIFS('15g'!$J$7:$J$100,'15g'!$H$7:$H$100,$A190,'15g'!$I$7:$I$100,"")+SUMIFS('15h'!$J$7:$J$100,'15h'!$H$7:$H$100,$A190,'15h'!$I$7:$I$100,"")+SUMIFS('15i'!$J$7:$J$100,'15i'!$H$7:$H$100,$A190,'15i'!$I$7:$I$100,"")+SUMIFS('15j'!$J$7:$J$100,'15j'!$H$7:$H$100,$A190,'15j'!$I$7:$I$100,"")+SUMIFS('15k'!$J$7:$J$100,'15k'!$H$7:$H$100,$A190,'15k'!$I$7:$I$100,"")+SUMIFS('15l'!$J$7:$J$100,'15l'!$H$7:$H$100,$A190,'15l'!$I$7:$I$100,"")+SUMIFS('15m'!$J$7:$J$100,'15m'!$H$7:$H$100,$A190,'15m'!$I$7:$I$100,"")+SUMIFS('15n'!$J$7:$J$100,'15n'!$H$7:$H$100,$A190,'15n'!$I$7:$I$100,"")+SUMIFS('16'!$J$7:$J$100,'16'!$H$7:$H$100,$A190,'16'!$I$7:$I$100,"")+SUMIFS('16a'!$J$7:$J$100,'16a'!$H$7:$H$100,$A190,'16a'!$I$7:$I$100,"")+SUMIFS('17'!$J$7:$J$100,'17'!$H$7:$H$100,$A190,'17'!$I$7:$I$100,"")+SUMIFS('17a'!$J$7:$J$100,'17a'!$H$7:$H$100,$A190,'17a'!$I$7:$I$100,"")+SUMIFS('18'!$J$7:$J$100,'18'!$H$7:$H$100,$A190,'18'!$I$7:$I$100,"")+SUMIFS('18a'!$J$7:$J$100,'18a'!$H$7:$H$100,$A190,'18a'!$I$7:$I$100,"")
+SUMIFS('19'!$J$7:$J$100,'19'!$H$7:$H$100,$A190,'19'!$I$7:$I$100,"")+SUMIFS('20'!$J$7:$J$100,'20'!$H$7:$H$100,$A190,'20'!$I$7:$I$100,"")+SUMIFS('20a'!$J$7:$J$100,'20a'!$H$7:$H$100,$A190,'20a'!$I$7:$I$100,"")+SUMIFS('21'!$J$7:$J$100,'21'!$H$7:$H$100,$A190,'21'!$I$7:$I$100,"")+SUMIFS('22'!$J$7:$J$100,'22'!$H$7:$H$100,$A190,'22'!$I$7:$I$100,"")+SUMIFS('22a'!$J$7:$J$100,'22a'!$H$7:$H$100,$A190,'22a'!$I$7:$I$100,"")+SUMIFS('22b'!$J$7:$J$100,'22b'!$H$7:$H$100,$A190,'22b'!$I$7:$I$100,"")+SUMIFS('23'!$J$7:$J$100,'23'!$H$7:$H$100,$A190,'23'!$I$7:$I$100,"")+SUMIFS('24'!$J$7:$J$100,'24'!$H$7:$H$100,$A190,'24'!$I$7:$I$100,"")+SUMIFS('24a'!$J$7:$J$100,'24a'!$H$7:$H$100,$A190,'24a'!$I$7:$I$100,"")+SUMIFS('24b'!$J$7:$J$100,'24b'!$H$7:$H$100,$A190,'24b'!$I$7:$I$100,"")+SUMIFS('24c'!$J$7:$J$100,'24c'!$H$7:$H$100,$A190,'24c'!$I$7:$I$100,"")+SUMIFS('24d'!$J$7:$J$100,'24d'!$H$7:$H$100,$A190,'24d'!$I$7:$I$100,"")+SUMIFS('24e'!$J$7:$J$100,'24e'!$H$7:$H$100,$A190,'24e'!$I$7:$I$100,"")+SUMIFS('24f'!$J$7:$J$100,'24f'!$H$7:$H$100,$A190,'24f'!$I$7:$I$100,"")+SUMIFS('24g'!$J$7:$J$100,'24g'!$H$7:$H$100,$A190,'24g'!$I$7:$I$100,"")+SUMIFS('24h'!$J$7:$J$100,'24h'!$H$7:$H$100,$A190,'24h'!$I$7:$I$100,"")+SUMIFS('24i'!$J$7:$J$100,'24i'!$H$7:$H$100,$A190,'24i'!$I$7:$I$100,"")+SUMIFS('25'!$J$7:$J$100,'25'!$H$7:$H$100,$A190,'25'!$I$7:$I$100,"")+SUMIFS('26'!$J$7:$J$100,'26'!$H$7:$H$100,$A190,'26'!$I$7:$I$100,"")+SUMIFS('26a'!$J$7:$J$100,'26a'!$H$7:$H$100,$A190,'26a'!$I$7:$I$100,"")+SUMIFS('27'!$J$7:$J$100,'27'!$H$7:$H$100,$A190,'27'!$I$7:$I$100,"")+SUMIFS('27a'!$J$7:$J$100,'27a'!$H$7:$H$100,$A190,'27a'!$I$7:$I$100,"")+SUMIFS('28'!$J$7:$J$100,'28'!$H$7:$H$100,$A190,'28'!$I$7:$I$100,"")+SUMIFS('29'!$J$7:$J$100,'29'!$H$7:$H$100,$A190,'29'!$I$7:$I$100,"")</f>
        <v>0</v>
      </c>
      <c r="J190" s="1296">
        <f>SUM(G190:I190)</f>
        <v>6458</v>
      </c>
      <c r="K190"/>
      <c r="L190"/>
      <c r="M190"/>
      <c r="N190"/>
      <c r="O190"/>
      <c r="P190"/>
      <c r="Q190"/>
      <c r="R190"/>
      <c r="S190" s="1307">
        <f t="shared" si="2"/>
        <v>25594.239999999998</v>
      </c>
      <c r="T190"/>
    </row>
    <row r="191" spans="1:20" ht="12.75" customHeight="1" x14ac:dyDescent="0.2">
      <c r="A191"/>
      <c r="B191" t="s">
        <v>5569</v>
      </c>
      <c r="C191" s="1295">
        <f>SUM(C192:C195)</f>
        <v>0</v>
      </c>
      <c r="D191" s="1315">
        <f t="shared" ref="D191:J191" si="7">SUM(D192:D195)</f>
        <v>0</v>
      </c>
      <c r="E191" s="1315">
        <f t="shared" si="7"/>
        <v>0</v>
      </c>
      <c r="F191" s="1296">
        <f t="shared" si="7"/>
        <v>0</v>
      </c>
      <c r="G191" s="1295">
        <f t="shared" si="7"/>
        <v>0</v>
      </c>
      <c r="H191" s="1315">
        <f t="shared" si="7"/>
        <v>208.08</v>
      </c>
      <c r="I191" s="1315">
        <f t="shared" si="7"/>
        <v>0</v>
      </c>
      <c r="J191" s="1296">
        <f t="shared" si="7"/>
        <v>208.08</v>
      </c>
      <c r="K191"/>
      <c r="L191"/>
      <c r="M191"/>
      <c r="N191"/>
      <c r="O191"/>
      <c r="P191"/>
      <c r="Q191"/>
      <c r="R191"/>
      <c r="S191" s="1307">
        <f t="shared" si="2"/>
        <v>416.16</v>
      </c>
      <c r="T191"/>
    </row>
    <row r="192" spans="1:20" ht="12.75" customHeight="1" outlineLevel="1" x14ac:dyDescent="0.2">
      <c r="A192" t="s">
        <v>5138</v>
      </c>
      <c r="B192" t="s">
        <v>5478</v>
      </c>
      <c r="C192" s="1295">
        <f>SUMIFS('12'!$N$7:$N$100,'12'!$H$7:$H$100,$A192,'12'!$I$7:$I$100,1)+SUMIFS('13'!$N$7:$N$100,'13'!$H$7:$H$100,$A192,'13'!$I$7:$I$100,1)+SUMIFS('14'!$N$7:$N$100,'14'!$H$7:$H$100,$A192,'14'!$I$7:$I$100,1)+SUMIFS('15'!$N$7:$N$100,'15'!$H$7:$H$100,$A192,'15'!$I$7:$I$100,1)+SUMIFS('15a'!$N$7:$N$100,'15a'!$H$7:$H$100,$A192,'15a'!$I$7:$I$100,1)+SUMIFS('15b'!$N$7:$N$100,'15b'!$H$7:$H$100,$A192,'15b'!$I$7:$I$100,1)+SUMIFS('15c'!$N$7:$N$100,'15c'!$H$7:$H$100,$A192,'15c'!$I$7:$I$100,1)+SUMIFS('15d'!$N$7:$N$100,'15d'!$H$7:$H$100,$A192,'15d'!$I$7:$I$100,1)+SUMIFS('15e'!$N$7:$N$100,'15e'!$H$7:$H$100,$A192,'15e'!$I$7:$I$100,1)+SUMIFS('15f'!$N$7:$N$100,'15f'!$H$7:$H$100,$A192,'15f'!$I$7:$I$100,1)+SUMIFS('15g'!$N$7:$N$100,'15g'!$H$7:$H$100,$A192,'15g'!$I$7:$I$100,1)+SUMIFS('15h'!$N$7:$N$100,'15h'!$H$7:$H$100,$A192,'15h'!$I$7:$I$100,1)+SUMIFS('15i'!$N$7:$N$100,'15i'!$H$7:$H$100,$A192,'15i'!$I$7:$I$100,1)+SUMIFS('15j'!$N$7:$N$100,'15j'!$H$7:$H$100,$A192,'15j'!$I$7:$I$100,1)+SUMIFS('15k'!$N$7:$N$100,'15k'!$H$7:$H$100,$A192,'15k'!$I$7:$I$100,1)+SUMIFS('15l'!$N$7:$N$100,'15l'!$H$7:$H$100,$A192,'15l'!$I$7:$I$100,1)+SUMIFS('15m'!$N$7:$N$100,'15m'!$H$7:$H$100,$A192,'15m'!$I$7:$I$100,1)+SUMIFS('15n'!$N$7:$N$100,'15n'!$H$7:$H$100,$A192,'15n'!$I$7:$I$100,1)+SUMIFS('16'!$N$7:$N$100,'16'!$H$7:$H$100,$A192,'16'!$I$7:$I$100,1)+SUMIFS('16a'!$N$7:$N$100,'16a'!$H$7:$H$100,$A192,'16a'!$I$7:$I$100,1)+SUMIFS('17'!$N$7:$N$100,'17'!$H$7:$H$100,$A192,'17'!$I$7:$I$100,1)+SUMIFS('17a'!$N$7:$N$100,'17a'!$H$7:$H$100,$A192,'17a'!$I$7:$I$100,1)+SUMIFS('18'!$N$7:$N$100,'18'!$H$7:$H$100,$A192,'18'!$I$7:$I$100,1)+SUMIFS('18a'!$N$7:$N$100,'18a'!$H$7:$H$100,$A192,'18a'!$I$7:$I$100,1)
+SUMIFS('19'!$N$7:$N$100,'19'!$H$7:$H$100,$A192,'19'!$I$7:$I$100,1)+SUMIFS('20'!$N$7:$N$100,'20'!$H$7:$H$100,$A192,'20'!$I$7:$I$100,1)+SUMIFS('20a'!$N$7:$N$100,'20a'!$H$7:$H$100,$A192,'20a'!$I$7:$I$100,1)+SUMIFS('21'!$N$7:$N$100,'21'!$H$7:$H$100,$A192,'21'!$I$7:$I$100,1)+SUMIFS('22'!$N$7:$N$100,'22'!$H$7:$H$100,$A192,'22'!$I$7:$I$100,1)+SUMIFS('22a'!$N$7:$N$100,'22a'!$H$7:$H$100,$A192,'22a'!$I$7:$I$100,1)+SUMIFS('22b'!$N$7:$N$100,'22b'!$H$7:$H$100,$A192,'22b'!$I$7:$I$100,1)+SUMIFS('23'!$N$7:$N$100,'23'!$H$7:$H$100,$A192,'23'!$I$7:$I$100,1)+SUMIFS('24'!$N$7:$N$100,'24'!$H$7:$H$100,$A192,'24'!$I$7:$I$100,1)+SUMIFS('24a'!$N$7:$N$100,'24a'!$H$7:$H$100,$A192,'24a'!$I$7:$I$100,1)+SUMIFS('24b'!$N$7:$N$100,'24b'!$H$7:$H$100,$A192,'24b'!$I$7:$I$100,1)+SUMIFS('24c'!$N$7:$N$100,'24c'!$H$7:$H$100,$A192,'24c'!$I$7:$I$100,1)+SUMIFS('24d'!$N$7:$N$100,'24d'!$H$7:$H$100,$A192,'24d'!$I$7:$I$100,1)+SUMIFS('24e'!$N$7:$N$100,'24e'!$H$7:$H$100,$A192,'24e'!$I$7:$I$100,1)+SUMIFS('24f'!$N$7:$N$100,'24f'!$H$7:$H$100,$A192,'24f'!$I$7:$I$100,1)+SUMIFS('24g'!$N$7:$N$100,'24g'!$H$7:$H$100,$A192,'24g'!$I$7:$I$100,1)+SUMIFS('24h'!$N$7:$N$100,'24h'!$H$7:$H$100,$A192,'24h'!$I$7:$I$100,1)+SUMIFS('24i'!$N$7:$N$100,'24i'!$H$7:$H$100,$A192,'24i'!$I$7:$I$100,1)+SUMIFS('25'!$N$7:$N$100,'25'!$H$7:$H$100,$A192,'25'!$I$7:$I$100,1)+SUMIFS('26'!$N$7:$N$100,'26'!$H$7:$H$100,$A192,'26'!$I$7:$I$100,1)+SUMIFS('26a'!$N$7:$N$100,'26a'!$H$7:$H$100,$A192,'26a'!$I$7:$I$100,1)+SUMIFS('27'!$N$7:$N$100,'27'!$H$7:$H$100,$A192,'27'!$I$7:$I$100,1)+SUMIFS('27a'!$N$7:$N$100,'27a'!$H$7:$H$100,$A192,'27a'!$I$7:$I$100,1)+SUMIFS('28'!$N$7:$N$100,'28'!$H$7:$H$100,$A192,'28'!$I$7:$I$100,1)+SUMIFS('29'!$N$7:$N$100,'29'!$H$7:$H$100,$A192,'29'!$I$7:$I$100,1)</f>
        <v>0</v>
      </c>
      <c r="D192" s="1315">
        <f>SUMIFS('12'!$N$7:$N$100,'12'!$H$7:$H$100,$A192,'12'!$I$7:$I$100,2)+SUMIFS('13'!$N$7:$N$100,'13'!$H$7:$H$100,$A192,'13'!$I$7:$I$100,2)+SUMIFS('14'!$N$7:$N$100,'14'!$H$7:$H$100,$A192,'14'!$I$7:$I$100,2)+SUMIFS('15'!$N$7:$N$100,'15'!$H$7:$H$100,$A192,'15'!$I$7:$I$100,2)+SUMIFS('15a'!$N$7:$N$100,'15a'!$H$7:$H$100,$A192,'15a'!$I$7:$I$100,2)+SUMIFS('15b'!$N$7:$N$100,'15b'!$H$7:$H$100,$A192,'15b'!$I$7:$I$100,2)+SUMIFS('15c'!$N$7:$N$100,'15c'!$H$7:$H$100,$A192,'15c'!$I$7:$I$100,2)+SUMIFS('15d'!$N$7:$N$100,'15d'!$H$7:$H$100,$A192,'15d'!$I$7:$I$100,2)+SUMIFS('15e'!$N$7:$N$100,'15e'!$H$7:$H$100,$A192,'15e'!$I$7:$I$100,2)+SUMIFS('15f'!$N$7:$N$100,'15f'!$H$7:$H$100,$A192,'15f'!$I$7:$I$100,2)+SUMIFS('15g'!$N$7:$N$100,'15g'!$H$7:$H$100,$A192,'15g'!$I$7:$I$100,2)+SUMIFS('15h'!$N$7:$N$100,'15h'!$H$7:$H$100,$A192,'15h'!$I$7:$I$100,2)+SUMIFS('15i'!$N$7:$N$100,'15i'!$H$7:$H$100,$A192,'15i'!$I$7:$I$100,2)+SUMIFS('15j'!$N$7:$N$100,'15j'!$H$7:$H$100,$A192,'15j'!$I$7:$I$100,2)+SUMIFS('15k'!$N$7:$N$100,'15k'!$H$7:$H$100,$A192,'15k'!$I$7:$I$100,2)+SUMIFS('15l'!$N$7:$N$100,'15l'!$H$7:$H$100,$A192,'15l'!$I$7:$I$100,2)+SUMIFS('15m'!$N$7:$N$100,'15m'!$H$7:$H$100,$A192,'15m'!$I$7:$I$100,2)+SUMIFS('15n'!$N$7:$N$100,'15n'!$H$7:$H$100,$A192,'15n'!$I$7:$I$100,2)+SUMIFS('16'!$N$7:$N$100,'16'!$H$7:$H$100,$A192,'16'!$I$7:$I$100,2)+SUMIFS('16a'!$N$7:$N$100,'16a'!$H$7:$H$100,$A192,'16a'!$I$7:$I$100,2)+SUMIFS('17'!$N$7:$N$100,'17'!$H$7:$H$100,$A192,'17'!$I$7:$I$100,2)+SUMIFS('17a'!$N$7:$N$100,'17a'!$H$7:$H$100,$A192,'17a'!$I$7:$I$100,2)+SUMIFS('18'!$N$7:$N$100,'18'!$H$7:$H$100,$A192,'18'!$I$7:$I$100,2)+SUMIFS('18a'!$N$7:$N$100,'18a'!$H$7:$H$100,$A192,'18a'!$I$7:$I$100,2)
+SUMIFS('19'!$N$7:$N$100,'19'!$H$7:$H$100,$A192,'19'!$I$7:$I$100,2)+SUMIFS('20'!$N$7:$N$100,'20'!$H$7:$H$100,$A192,'20'!$I$7:$I$100,2)+SUMIFS('20a'!$N$7:$N$100,'20a'!$H$7:$H$100,$A192,'20a'!$I$7:$I$100,2)+SUMIFS('21'!$N$7:$N$100,'21'!$H$7:$H$100,$A192,'21'!$I$7:$I$100,2)+SUMIFS('22'!$N$7:$N$100,'22'!$H$7:$H$100,$A192,'22'!$I$7:$I$100,2)+SUMIFS('22a'!$N$7:$N$100,'22a'!$H$7:$H$100,$A192,'22a'!$I$7:$I$100,2)+SUMIFS('22b'!$N$7:$N$100,'22b'!$H$7:$H$100,$A192,'22b'!$I$7:$I$100,2)+SUMIFS('23'!$N$7:$N$100,'23'!$H$7:$H$100,$A192,'23'!$I$7:$I$100,2)+SUMIFS('24'!$N$7:$N$100,'24'!$H$7:$H$100,$A192,'24'!$I$7:$I$100,2)+SUMIFS('24a'!$N$7:$N$100,'24a'!$H$7:$H$100,$A192,'24a'!$I$7:$I$100,2)+SUMIFS('24b'!$N$7:$N$100,'24b'!$H$7:$H$100,$A192,'24b'!$I$7:$I$100,2)+SUMIFS('24c'!$N$7:$N$100,'24c'!$H$7:$H$100,$A192,'24c'!$I$7:$I$100,2)+SUMIFS('24d'!$N$7:$N$100,'24d'!$H$7:$H$100,$A192,'24d'!$I$7:$I$100,2)+SUMIFS('24e'!$N$7:$N$100,'24e'!$H$7:$H$100,$A192,'24e'!$I$7:$I$100,2)+SUMIFS('24f'!$N$7:$N$100,'24f'!$H$7:$H$100,$A192,'24f'!$I$7:$I$100,2)+SUMIFS('24g'!$N$7:$N$100,'24g'!$H$7:$H$100,$A192,'24g'!$I$7:$I$100,2)+SUMIFS('24h'!$N$7:$N$100,'24h'!$H$7:$H$100,$A192,'24h'!$I$7:$I$100,2)+SUMIFS('24i'!$N$7:$N$100,'24i'!$H$7:$H$100,$A192,'24i'!$I$7:$I$100,2)+SUMIFS('25'!$N$7:$N$100,'25'!$H$7:$H$100,$A192,'25'!$I$7:$I$100,2)+SUMIFS('26'!$N$7:$N$100,'26'!$H$7:$H$100,$A192,'26'!$I$7:$I$100,2)+SUMIFS('26a'!$N$7:$N$100,'26a'!$H$7:$H$100,$A192,'26a'!$I$7:$I$100,2)+SUMIFS('27'!$N$7:$N$100,'27'!$H$7:$H$100,$A192,'27'!$I$7:$I$100,2)+SUMIFS('27a'!$N$7:$N$100,'27a'!$H$7:$H$100,$A192,'27a'!$I$7:$I$100,2)+SUMIFS('28'!$N$7:$N$100,'28'!$H$7:$H$100,$A192,'28'!$I$7:$I$100,2)+SUMIFS('29'!$N$7:$N$100,'29'!$H$7:$H$100,$A192,'29'!$I$7:$I$100,2)</f>
        <v>0</v>
      </c>
      <c r="E192" s="1315">
        <f>SUMIFS('12'!$N$7:$N$100,'12'!$H$7:$H$100,$A192,'12'!$I$7:$I$100,"")+SUMIFS('13'!$N$7:$N$100,'13'!$H$7:$H$100,$A192,'13'!$I$7:$I$100,"")+SUMIFS('14'!$N$7:$N$100,'14'!$H$7:$H$100,$A192,'14'!$I$7:$I$100,"")+SUMIFS('15'!$N$7:$N$100,'15'!$H$7:$H$100,$A192,'15'!$I$7:$I$100,"")+SUMIFS('15a'!$N$7:$N$100,'15a'!$H$7:$H$100,$A192,'15a'!$I$7:$I$100,"")+SUMIFS('15b'!$N$7:$N$100,'15b'!$H$7:$H$100,$A192,'15b'!$I$7:$I$100,"")+SUMIFS('15c'!$N$7:$N$100,'15c'!$H$7:$H$100,$A192,'15c'!$I$7:$I$100,"")+SUMIFS('15d'!$N$7:$N$100,'15d'!$H$7:$H$100,$A192,'15d'!$I$7:$I$100,"")+SUMIFS('15e'!$N$7:$N$100,'15e'!$H$7:$H$100,$A192,'15e'!$I$7:$I$100,"")+SUMIFS('15f'!$N$7:$N$100,'15f'!$H$7:$H$100,$A192,'15f'!$I$7:$I$100,"")+SUMIFS('15g'!$N$7:$N$100,'15g'!$H$7:$H$100,$A192,'15g'!$I$7:$I$100,"")+SUMIFS('15h'!$N$7:$N$100,'15h'!$H$7:$H$100,$A192,'15h'!$I$7:$I$100,"")+SUMIFS('15i'!$N$7:$N$100,'15i'!$H$7:$H$100,$A192,'15i'!$I$7:$I$100,"")+SUMIFS('15j'!$N$7:$N$100,'15j'!$H$7:$H$100,$A192,'15j'!$I$7:$I$100,"")+SUMIFS('15k'!$N$7:$N$100,'15k'!$H$7:$H$100,$A192,'15k'!$I$7:$I$100,"")+SUMIFS('15l'!$N$7:$N$100,'15l'!$H$7:$H$100,$A192,'15l'!$I$7:$I$100,"")+SUMIFS('15m'!$N$7:$N$100,'15m'!$H$7:$H$100,$A192,'15m'!$I$7:$I$100,"")+SUMIFS('15n'!$N$7:$N$100,'15n'!$H$7:$H$100,$A192,'15n'!$I$7:$I$100,"")+SUMIFS('16'!$N$7:$N$100,'16'!$H$7:$H$100,$A192,'16'!$I$7:$I$100,"")+SUMIFS('16a'!$N$7:$N$100,'16a'!$H$7:$H$100,$A192,'16a'!$I$7:$I$100,"")+SUMIFS('17'!$N$7:$N$100,'17'!$H$7:$H$100,$A192,'17'!$I$7:$I$100,"")+SUMIFS('17a'!$N$7:$N$100,'17a'!$H$7:$H$100,$A192,'17a'!$I$7:$I$100,"")+SUMIFS('18'!$N$7:$N$100,'18'!$H$7:$H$100,$A192,'18'!$I$7:$I$100,"")+SUMIFS('18a'!$N$7:$N$100,'18a'!$H$7:$H$100,$A192,'18a'!$I$7:$I$100,"")
+SUMIFS('19'!$N$7:$N$100,'19'!$H$7:$H$100,$A192,'19'!$I$7:$I$100,"")+SUMIFS('20'!$N$7:$N$100,'20'!$H$7:$H$100,$A192,'20'!$I$7:$I$100,"")+SUMIFS('20a'!$N$7:$N$100,'20a'!$H$7:$H$100,$A192,'20a'!$I$7:$I$100,"")+SUMIFS('21'!$N$7:$N$100,'21'!$H$7:$H$100,$A192,'21'!$I$7:$I$100,"")+SUMIFS('22'!$N$7:$N$100,'22'!$H$7:$H$100,$A192,'22'!$I$7:$I$100,"")+SUMIFS('22a'!$N$7:$N$100,'22a'!$H$7:$H$100,$A192,'22a'!$I$7:$I$100,"")+SUMIFS('22b'!$N$7:$N$100,'22b'!$H$7:$H$100,$A192,'22b'!$I$7:$I$100,"")+SUMIFS('23'!$N$7:$N$100,'23'!$H$7:$H$100,$A192,'23'!$I$7:$I$100,"")+SUMIFS('24'!$N$7:$N$100,'24'!$H$7:$H$100,$A192,'24'!$I$7:$I$100,"")+SUMIFS('24a'!$N$7:$N$100,'24a'!$H$7:$H$100,$A192,'24a'!$I$7:$I$100,"")+SUMIFS('24b'!$N$7:$N$100,'24b'!$H$7:$H$100,$A192,'24b'!$I$7:$I$100,"")+SUMIFS('24c'!$N$7:$N$100,'24c'!$H$7:$H$100,$A192,'24c'!$I$7:$I$100,"")+SUMIFS('24d'!$N$7:$N$100,'24d'!$H$7:$H$100,$A192,'24d'!$I$7:$I$100,"")+SUMIFS('24e'!$N$7:$N$100,'24e'!$H$7:$H$100,$A192,'24e'!$I$7:$I$100,"")+SUMIFS('24f'!$N$7:$N$100,'24f'!$H$7:$H$100,$A192,'24f'!$I$7:$I$100,"")+SUMIFS('24g'!$N$7:$N$100,'24g'!$H$7:$H$100,$A192,'24g'!$I$7:$I$100,"")+SUMIFS('24h'!$N$7:$N$100,'24h'!$H$7:$H$100,$A192,'24h'!$I$7:$I$100,"")+SUMIFS('24i'!$N$7:$N$100,'24i'!$H$7:$H$100,$A192,'24i'!$I$7:$I$100,"")+SUMIFS('25'!$N$7:$N$100,'25'!$H$7:$H$100,$A192,'25'!$I$7:$I$100,"")+SUMIFS('26'!$N$7:$N$100,'26'!$H$7:$H$100,$A192,'26'!$I$7:$I$100,"")+SUMIFS('26a'!$N$7:$N$100,'26a'!$H$7:$H$100,$A192,'26a'!$I$7:$I$100,"")+SUMIFS('27'!$N$7:$N$100,'27'!$H$7:$H$100,$A192,'27'!$I$7:$I$100,"")+SUMIFS('27a'!$N$7:$N$100,'27a'!$H$7:$H$100,$A192,'27a'!$I$7:$I$100,"")+SUMIFS('28'!$N$7:$N$100,'28'!$H$7:$H$100,$A192,'28'!$I$7:$I$100,"")+SUMIFS('29'!$N$7:$N$100,'29'!$H$7:$H$100,$A192,'29'!$I$7:$I$100,"")</f>
        <v>0</v>
      </c>
      <c r="F192" s="1296">
        <f t="shared" ref="F192:F198" si="8">SUM(C192:E192)</f>
        <v>0</v>
      </c>
      <c r="G192" s="1295">
        <f>SUMIFS('12'!$J$7:$J$100,'12'!$H$7:$H$100,$A192,'12'!$I$7:$I$100,1)+SUMIFS('13'!$J$7:$J$100,'13'!$H$7:$H$100,$A192,'13'!$I$7:$I$100,1)+SUMIFS('14'!$J$7:$J$100,'14'!$H$7:$H$100,$A192,'14'!$I$7:$I$100,1)+SUMIFS('15'!$J$7:$J$100,'15'!$H$7:$H$100,$A192,'15'!$I$7:$I$100,1)+SUMIFS('15a'!$J$7:$J$100,'15a'!$H$7:$H$100,$A192,'15a'!$I$7:$I$100,1)+SUMIFS('15b'!$J$7:$J$100,'15b'!$H$7:$H$100,$A192,'15b'!$I$7:$I$100,1)+SUMIFS('15c'!$J$7:$J$100,'15c'!$H$7:$H$100,$A192,'15c'!$I$7:$I$100,1)+SUMIFS('15d'!$J$7:$J$100,'15d'!$H$7:$H$100,$A192,'15d'!$I$7:$I$100,1)+SUMIFS('15e'!$J$7:$J$100,'15e'!$H$7:$H$100,$A192,'15e'!$I$7:$I$100,1)+SUMIFS('15f'!$J$7:$J$100,'15f'!$H$7:$H$100,$A192,'15f'!$I$7:$I$100,1)+SUMIFS('15g'!$J$7:$J$100,'15g'!$H$7:$H$100,$A192,'15g'!$I$7:$I$100,1)+SUMIFS('15h'!$J$7:$J$100,'15h'!$H$7:$H$100,$A192,'15h'!$I$7:$I$100,1)+SUMIFS('15i'!$J$7:$J$100,'15i'!$H$7:$H$100,$A192,'15i'!$I$7:$I$100,1)+SUMIFS('15j'!$J$7:$J$100,'15j'!$H$7:$H$100,$A192,'15j'!$I$7:$I$100,1)+SUMIFS('15k'!$J$7:$J$100,'15k'!$H$7:$H$100,$A192,'15k'!$I$7:$I$100,1)+SUMIFS('15l'!$J$7:$J$100,'15l'!$H$7:$H$100,$A192,'15l'!$I$7:$I$100,1)+SUMIFS('15m'!$J$7:$J$100,'15m'!$H$7:$H$100,$A192,'15m'!$I$7:$I$100,1)+SUMIFS('15n'!$J$7:$J$100,'15n'!$H$7:$H$100,$A192,'15n'!$I$7:$I$100,1)+SUMIFS('16'!$J$7:$J$100,'16'!$H$7:$H$100,$A192,'16'!$I$7:$I$100,1)+SUMIFS('16a'!$J$7:$J$100,'16a'!$H$7:$H$100,$A192,'16a'!$I$7:$I$100,1)+SUMIFS('17'!$J$7:$J$100,'17'!$H$7:$H$100,$A192,'17'!$I$7:$I$100,1)+SUMIFS('17a'!$J$7:$J$100,'17a'!$H$7:$H$100,$A192,'17a'!$I$7:$I$100,1)+SUMIFS('18'!$J$7:$J$100,'18'!$H$7:$H$100,$A192,'18'!$I$7:$I$100,1)+SUMIFS('18a'!$J$7:$J$100,'18a'!$H$7:$H$100,$A192,'18a'!$I$7:$I$100,1)
+SUMIFS('19'!$J$7:$J$100,'19'!$H$7:$H$100,$A192,'19'!$I$7:$I$100,1)+SUMIFS('20'!$J$7:$J$100,'20'!$H$7:$H$100,$A192,'20'!$I$7:$I$100,1)+SUMIFS('20a'!$J$7:$J$100,'20a'!$H$7:$H$100,$A192,'20a'!$I$7:$I$100,1)+SUMIFS('21'!$J$7:$J$100,'21'!$H$7:$H$100,$A192,'21'!$I$7:$I$100,1)+SUMIFS('22'!$J$7:$J$100,'22'!$H$7:$H$100,$A192,'22'!$I$7:$I$100,1)+SUMIFS('22a'!$J$7:$J$100,'22a'!$H$7:$H$100,$A192,'22a'!$I$7:$I$100,1)+SUMIFS('22b'!$J$7:$J$100,'22b'!$H$7:$H$100,$A192,'22b'!$I$7:$I$100,1)+SUMIFS('23'!$J$7:$J$100,'23'!$H$7:$H$100,$A192,'23'!$I$7:$I$100,1)+SUMIFS('24'!$J$7:$J$100,'24'!$H$7:$H$100,$A192,'24'!$I$7:$I$100,1)+SUMIFS('24a'!$J$7:$J$100,'24a'!$H$7:$H$100,$A192,'24a'!$I$7:$I$100,1)+SUMIFS('24b'!$J$7:$J$100,'24b'!$H$7:$H$100,$A192,'24b'!$I$7:$I$100,1)+SUMIFS('24c'!$J$7:$J$100,'24c'!$H$7:$H$100,$A192,'24c'!$I$7:$I$100,1)+SUMIFS('24d'!$J$7:$J$100,'24d'!$H$7:$H$100,$A192,'24d'!$I$7:$I$100,1)+SUMIFS('24e'!$J$7:$J$100,'24e'!$H$7:$H$100,$A192,'24e'!$I$7:$I$100,1)+SUMIFS('24f'!$J$7:$J$100,'24f'!$H$7:$H$100,$A192,'24f'!$I$7:$I$100,1)+SUMIFS('24g'!$J$7:$J$100,'24g'!$H$7:$H$100,$A192,'24g'!$I$7:$I$100,1)+SUMIFS('24h'!$J$7:$J$100,'24h'!$H$7:$H$100,$A192,'24h'!$I$7:$I$100,1)+SUMIFS('24i'!$J$7:$J$100,'24i'!$H$7:$H$100,$A192,'24i'!$I$7:$I$100,1)+SUMIFS('25'!$J$7:$J$100,'25'!$H$7:$H$100,$A192,'25'!$I$7:$I$100,1)+SUMIFS('26'!$J$7:$J$100,'26'!$H$7:$H$100,$A192,'26'!$I$7:$I$100,1)+SUMIFS('26a'!$J$7:$J$100,'26a'!$H$7:$H$100,$A192,'26a'!$I$7:$I$100,1)+SUMIFS('27'!$J$7:$J$100,'27'!$H$7:$H$100,$A192,'27'!$I$7:$I$100,1)+SUMIFS('27a'!$J$7:$J$100,'27a'!$H$7:$H$100,$A192,'27a'!$I$7:$I$100,1)+SUMIFS('28'!$J$7:$J$100,'28'!$H$7:$H$100,$A192,'28'!$I$7:$I$100,1)+SUMIFS('29'!$J$7:$J$100,'29'!$H$7:$H$100,$A192,'29'!$I$7:$I$100,1)</f>
        <v>0</v>
      </c>
      <c r="H192" s="1315">
        <f>SUMIFS('12'!$J$7:$J$100,'12'!$H$7:$H$100,$A192,'12'!$I$7:$I$100,2)+SUMIFS('13'!$J$7:$J$100,'13'!$H$7:$H$100,$A192,'13'!$I$7:$I$100,2)+SUMIFS('14'!$J$7:$J$100,'14'!$H$7:$H$100,$A192,'14'!$I$7:$I$100,2)+SUMIFS('15'!$J$7:$J$100,'15'!$H$7:$H$100,$A192,'15'!$I$7:$I$100,2)+SUMIFS('15a'!$J$7:$J$100,'15a'!$H$7:$H$100,$A192,'15a'!$I$7:$I$100,2)+SUMIFS('15b'!$J$7:$J$100,'15b'!$H$7:$H$100,$A192,'15b'!$I$7:$I$100,2)+SUMIFS('15c'!$J$7:$J$100,'15c'!$H$7:$H$100,$A192,'15c'!$I$7:$I$100,2)+SUMIFS('15d'!$J$7:$J$100,'15d'!$H$7:$H$100,$A192,'15d'!$I$7:$I$100,2)+SUMIFS('15e'!$J$7:$J$100,'15e'!$H$7:$H$100,$A192,'15e'!$I$7:$I$100,2)+SUMIFS('15f'!$J$7:$J$100,'15f'!$H$7:$H$100,$A192,'15f'!$I$7:$I$100,2)+SUMIFS('15g'!$J$7:$J$100,'15g'!$H$7:$H$100,$A192,'15g'!$I$7:$I$100,2)+SUMIFS('15h'!$J$7:$J$100,'15h'!$H$7:$H$100,$A192,'15h'!$I$7:$I$100,2)+SUMIFS('15i'!$J$7:$J$100,'15i'!$H$7:$H$100,$A192,'15i'!$I$7:$I$100,2)+SUMIFS('15j'!$J$7:$J$100,'15j'!$H$7:$H$100,$A192,'15j'!$I$7:$I$100,2)+SUMIFS('15k'!$J$7:$J$100,'15k'!$H$7:$H$100,$A192,'15k'!$I$7:$I$100,2)+SUMIFS('15l'!$J$7:$J$100,'15l'!$H$7:$H$100,$A192,'15l'!$I$7:$I$100,2)+SUMIFS('15m'!$J$7:$J$100,'15m'!$H$7:$H$100,$A192,'15m'!$I$7:$I$100,2)+SUMIFS('15n'!$J$7:$J$100,'15n'!$H$7:$H$100,$A192,'15n'!$I$7:$I$100,2)+SUMIFS('16'!$J$7:$J$100,'16'!$H$7:$H$100,$A192,'16'!$I$7:$I$100,2)+SUMIFS('16a'!$J$7:$J$100,'16a'!$H$7:$H$100,$A192,'16a'!$I$7:$I$100,2)+SUMIFS('17'!$J$7:$J$100,'17'!$H$7:$H$100,$A192,'17'!$I$7:$I$100,2)+SUMIFS('17a'!$J$7:$J$100,'17a'!$H$7:$H$100,$A192,'17a'!$I$7:$I$100,2)+SUMIFS('18'!$J$7:$J$100,'18'!$H$7:$H$100,$A192,'18'!$I$7:$I$100,2)+SUMIFS('18a'!$J$7:$J$100,'18a'!$H$7:$H$100,$A192,'18a'!$I$7:$I$100,2)
+SUMIFS('19'!$J$7:$J$100,'19'!$H$7:$H$100,$A192,'19'!$I$7:$I$100,2)+SUMIFS('20'!$J$7:$J$100,'20'!$H$7:$H$100,$A192,'20'!$I$7:$I$100,2)+SUMIFS('20a'!$J$7:$J$100,'20a'!$H$7:$H$100,$A192,'20a'!$I$7:$I$100,2)+SUMIFS('21'!$J$7:$J$100,'21'!$H$7:$H$100,$A192,'21'!$I$7:$I$100,2)+SUMIFS('22'!$J$7:$J$100,'22'!$H$7:$H$100,$A192,'22'!$I$7:$I$100,2)+SUMIFS('22a'!$J$7:$J$100,'22a'!$H$7:$H$100,$A192,'22a'!$I$7:$I$100,2)+SUMIFS('22b'!$J$7:$J$100,'22b'!$H$7:$H$100,$A192,'22b'!$I$7:$I$100,2)+SUMIFS('23'!$J$7:$J$100,'23'!$H$7:$H$100,$A192,'23'!$I$7:$I$100,2)+SUMIFS('24'!$J$7:$J$100,'24'!$H$7:$H$100,$A192,'24'!$I$7:$I$100,2)+SUMIFS('24a'!$J$7:$J$100,'24a'!$H$7:$H$100,$A192,'24a'!$I$7:$I$100,2)+SUMIFS('24b'!$J$7:$J$100,'24b'!$H$7:$H$100,$A192,'24b'!$I$7:$I$100,2)+SUMIFS('24c'!$J$7:$J$100,'24c'!$H$7:$H$100,$A192,'24c'!$I$7:$I$100,2)+SUMIFS('24d'!$J$7:$J$100,'24d'!$H$7:$H$100,$A192,'24d'!$I$7:$I$100,2)+SUMIFS('24e'!$J$7:$J$100,'24e'!$H$7:$H$100,$A192,'24e'!$I$7:$I$100,2)+SUMIFS('24f'!$J$7:$J$100,'24f'!$H$7:$H$100,$A192,'24f'!$I$7:$I$100,2)+SUMIFS('24g'!$J$7:$J$100,'24g'!$H$7:$H$100,$A192,'24g'!$I$7:$I$100,2)+SUMIFS('24h'!$J$7:$J$100,'24h'!$H$7:$H$100,$A192,'24h'!$I$7:$I$100,2)+SUMIFS('24i'!$J$7:$J$100,'24i'!$H$7:$H$100,$A192,'24i'!$I$7:$I$100,2)+SUMIFS('25'!$J$7:$J$100,'25'!$H$7:$H$100,$A192,'25'!$I$7:$I$100,2)+SUMIFS('26'!$J$7:$J$100,'26'!$H$7:$H$100,$A192,'26'!$I$7:$I$100,2)+SUMIFS('26a'!$J$7:$J$100,'26a'!$H$7:$H$100,$A192,'26a'!$I$7:$I$100,2)+SUMIFS('27'!$J$7:$J$100,'27'!$H$7:$H$100,$A192,'27'!$I$7:$I$100,2)+SUMIFS('27a'!$J$7:$J$100,'27a'!$H$7:$H$100,$A192,'27a'!$I$7:$I$100,2)+SUMIFS('28'!$J$7:$J$100,'28'!$H$7:$H$100,$A192,'28'!$I$7:$I$100,2)+SUMIFS('29'!$J$7:$J$100,'29'!$H$7:$H$100,$A192,'29'!$I$7:$I$100,2)</f>
        <v>208.08</v>
      </c>
      <c r="I192" s="1315">
        <f>SUMIFS('12'!$J$7:$J$100,'12'!$H$7:$H$100,$A192,'12'!$I$7:$I$100,"")+SUMIFS('13'!$J$7:$J$100,'13'!$H$7:$H$100,$A192,'13'!$I$7:$I$100,"")+SUMIFS('14'!$J$7:$J$100,'14'!$H$7:$H$100,$A192,'14'!$I$7:$I$100,"")+SUMIFS('15'!$J$7:$J$100,'15'!$H$7:$H$100,$A192,'15'!$I$7:$I$100,"")+SUMIFS('15a'!$J$7:$J$100,'15a'!$H$7:$H$100,$A192,'15a'!$I$7:$I$100,"")+SUMIFS('15b'!$J$7:$J$100,'15b'!$H$7:$H$100,$A192,'15b'!$I$7:$I$100,"")+SUMIFS('15c'!$J$7:$J$100,'15c'!$H$7:$H$100,$A192,'15c'!$I$7:$I$100,"")+SUMIFS('15d'!$J$7:$J$100,'15d'!$H$7:$H$100,$A192,'15d'!$I$7:$I$100,"")+SUMIFS('15e'!$J$7:$J$100,'15e'!$H$7:$H$100,$A192,'15e'!$I$7:$I$100,"")+SUMIFS('15f'!$J$7:$J$100,'15f'!$H$7:$H$100,$A192,'15f'!$I$7:$I$100,"")+SUMIFS('15g'!$J$7:$J$100,'15g'!$H$7:$H$100,$A192,'15g'!$I$7:$I$100,"")+SUMIFS('15h'!$J$7:$J$100,'15h'!$H$7:$H$100,$A192,'15h'!$I$7:$I$100,"")+SUMIFS('15i'!$J$7:$J$100,'15i'!$H$7:$H$100,$A192,'15i'!$I$7:$I$100,"")+SUMIFS('15j'!$J$7:$J$100,'15j'!$H$7:$H$100,$A192,'15j'!$I$7:$I$100,"")+SUMIFS('15k'!$J$7:$J$100,'15k'!$H$7:$H$100,$A192,'15k'!$I$7:$I$100,"")+SUMIFS('15l'!$J$7:$J$100,'15l'!$H$7:$H$100,$A192,'15l'!$I$7:$I$100,"")+SUMIFS('15m'!$J$7:$J$100,'15m'!$H$7:$H$100,$A192,'15m'!$I$7:$I$100,"")+SUMIFS('15n'!$J$7:$J$100,'15n'!$H$7:$H$100,$A192,'15n'!$I$7:$I$100,"")+SUMIFS('16'!$J$7:$J$100,'16'!$H$7:$H$100,$A192,'16'!$I$7:$I$100,"")+SUMIFS('16a'!$J$7:$J$100,'16a'!$H$7:$H$100,$A192,'16a'!$I$7:$I$100,"")+SUMIFS('17'!$J$7:$J$100,'17'!$H$7:$H$100,$A192,'17'!$I$7:$I$100,"")+SUMIFS('17a'!$J$7:$J$100,'17a'!$H$7:$H$100,$A192,'17a'!$I$7:$I$100,"")+SUMIFS('18'!$J$7:$J$100,'18'!$H$7:$H$100,$A192,'18'!$I$7:$I$100,"")+SUMIFS('18a'!$J$7:$J$100,'18a'!$H$7:$H$100,$A192,'18a'!$I$7:$I$100,"")
+SUMIFS('19'!$J$7:$J$100,'19'!$H$7:$H$100,$A192,'19'!$I$7:$I$100,"")+SUMIFS('20'!$J$7:$J$100,'20'!$H$7:$H$100,$A192,'20'!$I$7:$I$100,"")+SUMIFS('20a'!$J$7:$J$100,'20a'!$H$7:$H$100,$A192,'20a'!$I$7:$I$100,"")+SUMIFS('21'!$J$7:$J$100,'21'!$H$7:$H$100,$A192,'21'!$I$7:$I$100,"")+SUMIFS('22'!$J$7:$J$100,'22'!$H$7:$H$100,$A192,'22'!$I$7:$I$100,"")+SUMIFS('22a'!$J$7:$J$100,'22a'!$H$7:$H$100,$A192,'22a'!$I$7:$I$100,"")+SUMIFS('22b'!$J$7:$J$100,'22b'!$H$7:$H$100,$A192,'22b'!$I$7:$I$100,"")+SUMIFS('23'!$J$7:$J$100,'23'!$H$7:$H$100,$A192,'23'!$I$7:$I$100,"")+SUMIFS('24'!$J$7:$J$100,'24'!$H$7:$H$100,$A192,'24'!$I$7:$I$100,"")+SUMIFS('24a'!$J$7:$J$100,'24a'!$H$7:$H$100,$A192,'24a'!$I$7:$I$100,"")+SUMIFS('24b'!$J$7:$J$100,'24b'!$H$7:$H$100,$A192,'24b'!$I$7:$I$100,"")+SUMIFS('24c'!$J$7:$J$100,'24c'!$H$7:$H$100,$A192,'24c'!$I$7:$I$100,"")+SUMIFS('24d'!$J$7:$J$100,'24d'!$H$7:$H$100,$A192,'24d'!$I$7:$I$100,"")+SUMIFS('24e'!$J$7:$J$100,'24e'!$H$7:$H$100,$A192,'24e'!$I$7:$I$100,"")+SUMIFS('24f'!$J$7:$J$100,'24f'!$H$7:$H$100,$A192,'24f'!$I$7:$I$100,"")+SUMIFS('24g'!$J$7:$J$100,'24g'!$H$7:$H$100,$A192,'24g'!$I$7:$I$100,"")+SUMIFS('24h'!$J$7:$J$100,'24h'!$H$7:$H$100,$A192,'24h'!$I$7:$I$100,"")+SUMIFS('24i'!$J$7:$J$100,'24i'!$H$7:$H$100,$A192,'24i'!$I$7:$I$100,"")+SUMIFS('25'!$J$7:$J$100,'25'!$H$7:$H$100,$A192,'25'!$I$7:$I$100,"")+SUMIFS('26'!$J$7:$J$100,'26'!$H$7:$H$100,$A192,'26'!$I$7:$I$100,"")+SUMIFS('26a'!$J$7:$J$100,'26a'!$H$7:$H$100,$A192,'26a'!$I$7:$I$100,"")+SUMIFS('27'!$J$7:$J$100,'27'!$H$7:$H$100,$A192,'27'!$I$7:$I$100,"")+SUMIFS('27a'!$J$7:$J$100,'27a'!$H$7:$H$100,$A192,'27a'!$I$7:$I$100,"")+SUMIFS('28'!$J$7:$J$100,'28'!$H$7:$H$100,$A192,'28'!$I$7:$I$100,"")+SUMIFS('29'!$J$7:$J$100,'29'!$H$7:$H$100,$A192,'29'!$I$7:$I$100,"")</f>
        <v>0</v>
      </c>
      <c r="J192" s="1296">
        <f t="shared" ref="J192:J198" si="9">SUM(G192:I192)</f>
        <v>208.08</v>
      </c>
      <c r="K192"/>
      <c r="L192"/>
      <c r="M192"/>
      <c r="N192"/>
      <c r="O192"/>
      <c r="P192"/>
      <c r="Q192"/>
      <c r="R192"/>
      <c r="S192" s="1307">
        <f t="shared" si="2"/>
        <v>416.16</v>
      </c>
      <c r="T192"/>
    </row>
    <row r="193" spans="1:20" ht="12.75" customHeight="1" outlineLevel="1" x14ac:dyDescent="0.2">
      <c r="A193" t="s">
        <v>5140</v>
      </c>
      <c r="B193" t="s">
        <v>5478</v>
      </c>
      <c r="C193" s="1295">
        <f>SUMIFS('12'!$N$7:$N$100,'12'!$H$7:$H$100,$A193,'12'!$I$7:$I$100,1)+SUMIFS('13'!$N$7:$N$100,'13'!$H$7:$H$100,$A193,'13'!$I$7:$I$100,1)+SUMIFS('14'!$N$7:$N$100,'14'!$H$7:$H$100,$A193,'14'!$I$7:$I$100,1)+SUMIFS('15'!$N$7:$N$100,'15'!$H$7:$H$100,$A193,'15'!$I$7:$I$100,1)+SUMIFS('15a'!$N$7:$N$100,'15a'!$H$7:$H$100,$A193,'15a'!$I$7:$I$100,1)+SUMIFS('15b'!$N$7:$N$100,'15b'!$H$7:$H$100,$A193,'15b'!$I$7:$I$100,1)+SUMIFS('15c'!$N$7:$N$100,'15c'!$H$7:$H$100,$A193,'15c'!$I$7:$I$100,1)+SUMIFS('15d'!$N$7:$N$100,'15d'!$H$7:$H$100,$A193,'15d'!$I$7:$I$100,1)+SUMIFS('15e'!$N$7:$N$100,'15e'!$H$7:$H$100,$A193,'15e'!$I$7:$I$100,1)+SUMIFS('15f'!$N$7:$N$100,'15f'!$H$7:$H$100,$A193,'15f'!$I$7:$I$100,1)+SUMIFS('15g'!$N$7:$N$100,'15g'!$H$7:$H$100,$A193,'15g'!$I$7:$I$100,1)+SUMIFS('15h'!$N$7:$N$100,'15h'!$H$7:$H$100,$A193,'15h'!$I$7:$I$100,1)+SUMIFS('15i'!$N$7:$N$100,'15i'!$H$7:$H$100,$A193,'15i'!$I$7:$I$100,1)+SUMIFS('15j'!$N$7:$N$100,'15j'!$H$7:$H$100,$A193,'15j'!$I$7:$I$100,1)+SUMIFS('15k'!$N$7:$N$100,'15k'!$H$7:$H$100,$A193,'15k'!$I$7:$I$100,1)+SUMIFS('15l'!$N$7:$N$100,'15l'!$H$7:$H$100,$A193,'15l'!$I$7:$I$100,1)+SUMIFS('15m'!$N$7:$N$100,'15m'!$H$7:$H$100,$A193,'15m'!$I$7:$I$100,1)+SUMIFS('15n'!$N$7:$N$100,'15n'!$H$7:$H$100,$A193,'15n'!$I$7:$I$100,1)+SUMIFS('16'!$N$7:$N$100,'16'!$H$7:$H$100,$A193,'16'!$I$7:$I$100,1)+SUMIFS('16a'!$N$7:$N$100,'16a'!$H$7:$H$100,$A193,'16a'!$I$7:$I$100,1)+SUMIFS('17'!$N$7:$N$100,'17'!$H$7:$H$100,$A193,'17'!$I$7:$I$100,1)+SUMIFS('17a'!$N$7:$N$100,'17a'!$H$7:$H$100,$A193,'17a'!$I$7:$I$100,1)+SUMIFS('18'!$N$7:$N$100,'18'!$H$7:$H$100,$A193,'18'!$I$7:$I$100,1)+SUMIFS('18a'!$N$7:$N$100,'18a'!$H$7:$H$100,$A193,'18a'!$I$7:$I$100,1)
+SUMIFS('19'!$N$7:$N$100,'19'!$H$7:$H$100,$A193,'19'!$I$7:$I$100,1)+SUMIFS('20'!$N$7:$N$100,'20'!$H$7:$H$100,$A193,'20'!$I$7:$I$100,1)+SUMIFS('20a'!$N$7:$N$100,'20a'!$H$7:$H$100,$A193,'20a'!$I$7:$I$100,1)+SUMIFS('21'!$N$7:$N$100,'21'!$H$7:$H$100,$A193,'21'!$I$7:$I$100,1)+SUMIFS('22'!$N$7:$N$100,'22'!$H$7:$H$100,$A193,'22'!$I$7:$I$100,1)+SUMIFS('22a'!$N$7:$N$100,'22a'!$H$7:$H$100,$A193,'22a'!$I$7:$I$100,1)+SUMIFS('22b'!$N$7:$N$100,'22b'!$H$7:$H$100,$A193,'22b'!$I$7:$I$100,1)+SUMIFS('23'!$N$7:$N$100,'23'!$H$7:$H$100,$A193,'23'!$I$7:$I$100,1)+SUMIFS('24'!$N$7:$N$100,'24'!$H$7:$H$100,$A193,'24'!$I$7:$I$100,1)+SUMIFS('24a'!$N$7:$N$100,'24a'!$H$7:$H$100,$A193,'24a'!$I$7:$I$100,1)+SUMIFS('24b'!$N$7:$N$100,'24b'!$H$7:$H$100,$A193,'24b'!$I$7:$I$100,1)+SUMIFS('24c'!$N$7:$N$100,'24c'!$H$7:$H$100,$A193,'24c'!$I$7:$I$100,1)+SUMIFS('24d'!$N$7:$N$100,'24d'!$H$7:$H$100,$A193,'24d'!$I$7:$I$100,1)+SUMIFS('24e'!$N$7:$N$100,'24e'!$H$7:$H$100,$A193,'24e'!$I$7:$I$100,1)+SUMIFS('24f'!$N$7:$N$100,'24f'!$H$7:$H$100,$A193,'24f'!$I$7:$I$100,1)+SUMIFS('24g'!$N$7:$N$100,'24g'!$H$7:$H$100,$A193,'24g'!$I$7:$I$100,1)+SUMIFS('24h'!$N$7:$N$100,'24h'!$H$7:$H$100,$A193,'24h'!$I$7:$I$100,1)+SUMIFS('24i'!$N$7:$N$100,'24i'!$H$7:$H$100,$A193,'24i'!$I$7:$I$100,1)+SUMIFS('25'!$N$7:$N$100,'25'!$H$7:$H$100,$A193,'25'!$I$7:$I$100,1)+SUMIFS('26'!$N$7:$N$100,'26'!$H$7:$H$100,$A193,'26'!$I$7:$I$100,1)+SUMIFS('26a'!$N$7:$N$100,'26a'!$H$7:$H$100,$A193,'26a'!$I$7:$I$100,1)+SUMIFS('27'!$N$7:$N$100,'27'!$H$7:$H$100,$A193,'27'!$I$7:$I$100,1)+SUMIFS('27a'!$N$7:$N$100,'27a'!$H$7:$H$100,$A193,'27a'!$I$7:$I$100,1)+SUMIFS('28'!$N$7:$N$100,'28'!$H$7:$H$100,$A193,'28'!$I$7:$I$100,1)+SUMIFS('29'!$N$7:$N$100,'29'!$H$7:$H$100,$A193,'29'!$I$7:$I$100,1)</f>
        <v>0</v>
      </c>
      <c r="D193" s="1315">
        <f>SUMIFS('12'!$N$7:$N$100,'12'!$H$7:$H$100,$A193,'12'!$I$7:$I$100,2)+SUMIFS('13'!$N$7:$N$100,'13'!$H$7:$H$100,$A193,'13'!$I$7:$I$100,2)+SUMIFS('14'!$N$7:$N$100,'14'!$H$7:$H$100,$A193,'14'!$I$7:$I$100,2)+SUMIFS('15'!$N$7:$N$100,'15'!$H$7:$H$100,$A193,'15'!$I$7:$I$100,2)+SUMIFS('15a'!$N$7:$N$100,'15a'!$H$7:$H$100,$A193,'15a'!$I$7:$I$100,2)+SUMIFS('15b'!$N$7:$N$100,'15b'!$H$7:$H$100,$A193,'15b'!$I$7:$I$100,2)+SUMIFS('15c'!$N$7:$N$100,'15c'!$H$7:$H$100,$A193,'15c'!$I$7:$I$100,2)+SUMIFS('15d'!$N$7:$N$100,'15d'!$H$7:$H$100,$A193,'15d'!$I$7:$I$100,2)+SUMIFS('15e'!$N$7:$N$100,'15e'!$H$7:$H$100,$A193,'15e'!$I$7:$I$100,2)+SUMIFS('15f'!$N$7:$N$100,'15f'!$H$7:$H$100,$A193,'15f'!$I$7:$I$100,2)+SUMIFS('15g'!$N$7:$N$100,'15g'!$H$7:$H$100,$A193,'15g'!$I$7:$I$100,2)+SUMIFS('15h'!$N$7:$N$100,'15h'!$H$7:$H$100,$A193,'15h'!$I$7:$I$100,2)+SUMIFS('15i'!$N$7:$N$100,'15i'!$H$7:$H$100,$A193,'15i'!$I$7:$I$100,2)+SUMIFS('15j'!$N$7:$N$100,'15j'!$H$7:$H$100,$A193,'15j'!$I$7:$I$100,2)+SUMIFS('15k'!$N$7:$N$100,'15k'!$H$7:$H$100,$A193,'15k'!$I$7:$I$100,2)+SUMIFS('15l'!$N$7:$N$100,'15l'!$H$7:$H$100,$A193,'15l'!$I$7:$I$100,2)+SUMIFS('15m'!$N$7:$N$100,'15m'!$H$7:$H$100,$A193,'15m'!$I$7:$I$100,2)+SUMIFS('15n'!$N$7:$N$100,'15n'!$H$7:$H$100,$A193,'15n'!$I$7:$I$100,2)+SUMIFS('16'!$N$7:$N$100,'16'!$H$7:$H$100,$A193,'16'!$I$7:$I$100,2)+SUMIFS('16a'!$N$7:$N$100,'16a'!$H$7:$H$100,$A193,'16a'!$I$7:$I$100,2)+SUMIFS('17'!$N$7:$N$100,'17'!$H$7:$H$100,$A193,'17'!$I$7:$I$100,2)+SUMIFS('17a'!$N$7:$N$100,'17a'!$H$7:$H$100,$A193,'17a'!$I$7:$I$100,2)+SUMIFS('18'!$N$7:$N$100,'18'!$H$7:$H$100,$A193,'18'!$I$7:$I$100,2)+SUMIFS('18a'!$N$7:$N$100,'18a'!$H$7:$H$100,$A193,'18a'!$I$7:$I$100,2)
+SUMIFS('19'!$N$7:$N$100,'19'!$H$7:$H$100,$A193,'19'!$I$7:$I$100,2)+SUMIFS('20'!$N$7:$N$100,'20'!$H$7:$H$100,$A193,'20'!$I$7:$I$100,2)+SUMIFS('20a'!$N$7:$N$100,'20a'!$H$7:$H$100,$A193,'20a'!$I$7:$I$100,2)+SUMIFS('21'!$N$7:$N$100,'21'!$H$7:$H$100,$A193,'21'!$I$7:$I$100,2)+SUMIFS('22'!$N$7:$N$100,'22'!$H$7:$H$100,$A193,'22'!$I$7:$I$100,2)+SUMIFS('22a'!$N$7:$N$100,'22a'!$H$7:$H$100,$A193,'22a'!$I$7:$I$100,2)+SUMIFS('22b'!$N$7:$N$100,'22b'!$H$7:$H$100,$A193,'22b'!$I$7:$I$100,2)+SUMIFS('23'!$N$7:$N$100,'23'!$H$7:$H$100,$A193,'23'!$I$7:$I$100,2)+SUMIFS('24'!$N$7:$N$100,'24'!$H$7:$H$100,$A193,'24'!$I$7:$I$100,2)+SUMIFS('24a'!$N$7:$N$100,'24a'!$H$7:$H$100,$A193,'24a'!$I$7:$I$100,2)+SUMIFS('24b'!$N$7:$N$100,'24b'!$H$7:$H$100,$A193,'24b'!$I$7:$I$100,2)+SUMIFS('24c'!$N$7:$N$100,'24c'!$H$7:$H$100,$A193,'24c'!$I$7:$I$100,2)+SUMIFS('24d'!$N$7:$N$100,'24d'!$H$7:$H$100,$A193,'24d'!$I$7:$I$100,2)+SUMIFS('24e'!$N$7:$N$100,'24e'!$H$7:$H$100,$A193,'24e'!$I$7:$I$100,2)+SUMIFS('24f'!$N$7:$N$100,'24f'!$H$7:$H$100,$A193,'24f'!$I$7:$I$100,2)+SUMIFS('24g'!$N$7:$N$100,'24g'!$H$7:$H$100,$A193,'24g'!$I$7:$I$100,2)+SUMIFS('24h'!$N$7:$N$100,'24h'!$H$7:$H$100,$A193,'24h'!$I$7:$I$100,2)+SUMIFS('24i'!$N$7:$N$100,'24i'!$H$7:$H$100,$A193,'24i'!$I$7:$I$100,2)+SUMIFS('25'!$N$7:$N$100,'25'!$H$7:$H$100,$A193,'25'!$I$7:$I$100,2)+SUMIFS('26'!$N$7:$N$100,'26'!$H$7:$H$100,$A193,'26'!$I$7:$I$100,2)+SUMIFS('26a'!$N$7:$N$100,'26a'!$H$7:$H$100,$A193,'26a'!$I$7:$I$100,2)+SUMIFS('27'!$N$7:$N$100,'27'!$H$7:$H$100,$A193,'27'!$I$7:$I$100,2)+SUMIFS('27a'!$N$7:$N$100,'27a'!$H$7:$H$100,$A193,'27a'!$I$7:$I$100,2)+SUMIFS('28'!$N$7:$N$100,'28'!$H$7:$H$100,$A193,'28'!$I$7:$I$100,2)+SUMIFS('29'!$N$7:$N$100,'29'!$H$7:$H$100,$A193,'29'!$I$7:$I$100,2)</f>
        <v>0</v>
      </c>
      <c r="E193" s="1315">
        <f>SUMIFS('12'!$N$7:$N$100,'12'!$H$7:$H$100,$A193,'12'!$I$7:$I$100,"")+SUMIFS('13'!$N$7:$N$100,'13'!$H$7:$H$100,$A193,'13'!$I$7:$I$100,"")+SUMIFS('14'!$N$7:$N$100,'14'!$H$7:$H$100,$A193,'14'!$I$7:$I$100,"")+SUMIFS('15'!$N$7:$N$100,'15'!$H$7:$H$100,$A193,'15'!$I$7:$I$100,"")+SUMIFS('15a'!$N$7:$N$100,'15a'!$H$7:$H$100,$A193,'15a'!$I$7:$I$100,"")+SUMIFS('15b'!$N$7:$N$100,'15b'!$H$7:$H$100,$A193,'15b'!$I$7:$I$100,"")+SUMIFS('15c'!$N$7:$N$100,'15c'!$H$7:$H$100,$A193,'15c'!$I$7:$I$100,"")+SUMIFS('15d'!$N$7:$N$100,'15d'!$H$7:$H$100,$A193,'15d'!$I$7:$I$100,"")+SUMIFS('15e'!$N$7:$N$100,'15e'!$H$7:$H$100,$A193,'15e'!$I$7:$I$100,"")+SUMIFS('15f'!$N$7:$N$100,'15f'!$H$7:$H$100,$A193,'15f'!$I$7:$I$100,"")+SUMIFS('15g'!$N$7:$N$100,'15g'!$H$7:$H$100,$A193,'15g'!$I$7:$I$100,"")+SUMIFS('15h'!$N$7:$N$100,'15h'!$H$7:$H$100,$A193,'15h'!$I$7:$I$100,"")+SUMIFS('15i'!$N$7:$N$100,'15i'!$H$7:$H$100,$A193,'15i'!$I$7:$I$100,"")+SUMIFS('15j'!$N$7:$N$100,'15j'!$H$7:$H$100,$A193,'15j'!$I$7:$I$100,"")+SUMIFS('15k'!$N$7:$N$100,'15k'!$H$7:$H$100,$A193,'15k'!$I$7:$I$100,"")+SUMIFS('15l'!$N$7:$N$100,'15l'!$H$7:$H$100,$A193,'15l'!$I$7:$I$100,"")+SUMIFS('15m'!$N$7:$N$100,'15m'!$H$7:$H$100,$A193,'15m'!$I$7:$I$100,"")+SUMIFS('15n'!$N$7:$N$100,'15n'!$H$7:$H$100,$A193,'15n'!$I$7:$I$100,"")+SUMIFS('16'!$N$7:$N$100,'16'!$H$7:$H$100,$A193,'16'!$I$7:$I$100,"")+SUMIFS('16a'!$N$7:$N$100,'16a'!$H$7:$H$100,$A193,'16a'!$I$7:$I$100,"")+SUMIFS('17'!$N$7:$N$100,'17'!$H$7:$H$100,$A193,'17'!$I$7:$I$100,"")+SUMIFS('17a'!$N$7:$N$100,'17a'!$H$7:$H$100,$A193,'17a'!$I$7:$I$100,"")+SUMIFS('18'!$N$7:$N$100,'18'!$H$7:$H$100,$A193,'18'!$I$7:$I$100,"")+SUMIFS('18a'!$N$7:$N$100,'18a'!$H$7:$H$100,$A193,'18a'!$I$7:$I$100,"")
+SUMIFS('19'!$N$7:$N$100,'19'!$H$7:$H$100,$A193,'19'!$I$7:$I$100,"")+SUMIFS('20'!$N$7:$N$100,'20'!$H$7:$H$100,$A193,'20'!$I$7:$I$100,"")+SUMIFS('20a'!$N$7:$N$100,'20a'!$H$7:$H$100,$A193,'20a'!$I$7:$I$100,"")+SUMIFS('21'!$N$7:$N$100,'21'!$H$7:$H$100,$A193,'21'!$I$7:$I$100,"")+SUMIFS('22'!$N$7:$N$100,'22'!$H$7:$H$100,$A193,'22'!$I$7:$I$100,"")+SUMIFS('22a'!$N$7:$N$100,'22a'!$H$7:$H$100,$A193,'22a'!$I$7:$I$100,"")+SUMIFS('22b'!$N$7:$N$100,'22b'!$H$7:$H$100,$A193,'22b'!$I$7:$I$100,"")+SUMIFS('23'!$N$7:$N$100,'23'!$H$7:$H$100,$A193,'23'!$I$7:$I$100,"")+SUMIFS('24'!$N$7:$N$100,'24'!$H$7:$H$100,$A193,'24'!$I$7:$I$100,"")+SUMIFS('24a'!$N$7:$N$100,'24a'!$H$7:$H$100,$A193,'24a'!$I$7:$I$100,"")+SUMIFS('24b'!$N$7:$N$100,'24b'!$H$7:$H$100,$A193,'24b'!$I$7:$I$100,"")+SUMIFS('24c'!$N$7:$N$100,'24c'!$H$7:$H$100,$A193,'24c'!$I$7:$I$100,"")+SUMIFS('24d'!$N$7:$N$100,'24d'!$H$7:$H$100,$A193,'24d'!$I$7:$I$100,"")+SUMIFS('24e'!$N$7:$N$100,'24e'!$H$7:$H$100,$A193,'24e'!$I$7:$I$100,"")+SUMIFS('24f'!$N$7:$N$100,'24f'!$H$7:$H$100,$A193,'24f'!$I$7:$I$100,"")+SUMIFS('24g'!$N$7:$N$100,'24g'!$H$7:$H$100,$A193,'24g'!$I$7:$I$100,"")+SUMIFS('24h'!$N$7:$N$100,'24h'!$H$7:$H$100,$A193,'24h'!$I$7:$I$100,"")+SUMIFS('24i'!$N$7:$N$100,'24i'!$H$7:$H$100,$A193,'24i'!$I$7:$I$100,"")+SUMIFS('25'!$N$7:$N$100,'25'!$H$7:$H$100,$A193,'25'!$I$7:$I$100,"")+SUMIFS('26'!$N$7:$N$100,'26'!$H$7:$H$100,$A193,'26'!$I$7:$I$100,"")+SUMIFS('26a'!$N$7:$N$100,'26a'!$H$7:$H$100,$A193,'26a'!$I$7:$I$100,"")+SUMIFS('27'!$N$7:$N$100,'27'!$H$7:$H$100,$A193,'27'!$I$7:$I$100,"")+SUMIFS('27a'!$N$7:$N$100,'27a'!$H$7:$H$100,$A193,'27a'!$I$7:$I$100,"")+SUMIFS('28'!$N$7:$N$100,'28'!$H$7:$H$100,$A193,'28'!$I$7:$I$100,"")+SUMIFS('29'!$N$7:$N$100,'29'!$H$7:$H$100,$A193,'29'!$I$7:$I$100,"")</f>
        <v>0</v>
      </c>
      <c r="F193" s="1296">
        <f t="shared" si="8"/>
        <v>0</v>
      </c>
      <c r="G193" s="1295">
        <f>SUMIFS('12'!$J$7:$J$100,'12'!$H$7:$H$100,$A193,'12'!$I$7:$I$100,1)+SUMIFS('13'!$J$7:$J$100,'13'!$H$7:$H$100,$A193,'13'!$I$7:$I$100,1)+SUMIFS('14'!$J$7:$J$100,'14'!$H$7:$H$100,$A193,'14'!$I$7:$I$100,1)+SUMIFS('15'!$J$7:$J$100,'15'!$H$7:$H$100,$A193,'15'!$I$7:$I$100,1)+SUMIFS('15a'!$J$7:$J$100,'15a'!$H$7:$H$100,$A193,'15a'!$I$7:$I$100,1)+SUMIFS('15b'!$J$7:$J$100,'15b'!$H$7:$H$100,$A193,'15b'!$I$7:$I$100,1)+SUMIFS('15c'!$J$7:$J$100,'15c'!$H$7:$H$100,$A193,'15c'!$I$7:$I$100,1)+SUMIFS('15d'!$J$7:$J$100,'15d'!$H$7:$H$100,$A193,'15d'!$I$7:$I$100,1)+SUMIFS('15e'!$J$7:$J$100,'15e'!$H$7:$H$100,$A193,'15e'!$I$7:$I$100,1)+SUMIFS('15f'!$J$7:$J$100,'15f'!$H$7:$H$100,$A193,'15f'!$I$7:$I$100,1)+SUMIFS('15g'!$J$7:$J$100,'15g'!$H$7:$H$100,$A193,'15g'!$I$7:$I$100,1)+SUMIFS('15h'!$J$7:$J$100,'15h'!$H$7:$H$100,$A193,'15h'!$I$7:$I$100,1)+SUMIFS('15i'!$J$7:$J$100,'15i'!$H$7:$H$100,$A193,'15i'!$I$7:$I$100,1)+SUMIFS('15j'!$J$7:$J$100,'15j'!$H$7:$H$100,$A193,'15j'!$I$7:$I$100,1)+SUMIFS('15k'!$J$7:$J$100,'15k'!$H$7:$H$100,$A193,'15k'!$I$7:$I$100,1)+SUMIFS('15l'!$J$7:$J$100,'15l'!$H$7:$H$100,$A193,'15l'!$I$7:$I$100,1)+SUMIFS('15m'!$J$7:$J$100,'15m'!$H$7:$H$100,$A193,'15m'!$I$7:$I$100,1)+SUMIFS('15n'!$J$7:$J$100,'15n'!$H$7:$H$100,$A193,'15n'!$I$7:$I$100,1)+SUMIFS('16'!$J$7:$J$100,'16'!$H$7:$H$100,$A193,'16'!$I$7:$I$100,1)+SUMIFS('16a'!$J$7:$J$100,'16a'!$H$7:$H$100,$A193,'16a'!$I$7:$I$100,1)+SUMIFS('17'!$J$7:$J$100,'17'!$H$7:$H$100,$A193,'17'!$I$7:$I$100,1)+SUMIFS('17a'!$J$7:$J$100,'17a'!$H$7:$H$100,$A193,'17a'!$I$7:$I$100,1)+SUMIFS('18'!$J$7:$J$100,'18'!$H$7:$H$100,$A193,'18'!$I$7:$I$100,1)+SUMIFS('18a'!$J$7:$J$100,'18a'!$H$7:$H$100,$A193,'18a'!$I$7:$I$100,1)
+SUMIFS('19'!$J$7:$J$100,'19'!$H$7:$H$100,$A193,'19'!$I$7:$I$100,1)+SUMIFS('20'!$J$7:$J$100,'20'!$H$7:$H$100,$A193,'20'!$I$7:$I$100,1)+SUMIFS('20a'!$J$7:$J$100,'20a'!$H$7:$H$100,$A193,'20a'!$I$7:$I$100,1)+SUMIFS('21'!$J$7:$J$100,'21'!$H$7:$H$100,$A193,'21'!$I$7:$I$100,1)+SUMIFS('22'!$J$7:$J$100,'22'!$H$7:$H$100,$A193,'22'!$I$7:$I$100,1)+SUMIFS('22a'!$J$7:$J$100,'22a'!$H$7:$H$100,$A193,'22a'!$I$7:$I$100,1)+SUMIFS('22b'!$J$7:$J$100,'22b'!$H$7:$H$100,$A193,'22b'!$I$7:$I$100,1)+SUMIFS('23'!$J$7:$J$100,'23'!$H$7:$H$100,$A193,'23'!$I$7:$I$100,1)+SUMIFS('24'!$J$7:$J$100,'24'!$H$7:$H$100,$A193,'24'!$I$7:$I$100,1)+SUMIFS('24a'!$J$7:$J$100,'24a'!$H$7:$H$100,$A193,'24a'!$I$7:$I$100,1)+SUMIFS('24b'!$J$7:$J$100,'24b'!$H$7:$H$100,$A193,'24b'!$I$7:$I$100,1)+SUMIFS('24c'!$J$7:$J$100,'24c'!$H$7:$H$100,$A193,'24c'!$I$7:$I$100,1)+SUMIFS('24d'!$J$7:$J$100,'24d'!$H$7:$H$100,$A193,'24d'!$I$7:$I$100,1)+SUMIFS('24e'!$J$7:$J$100,'24e'!$H$7:$H$100,$A193,'24e'!$I$7:$I$100,1)+SUMIFS('24f'!$J$7:$J$100,'24f'!$H$7:$H$100,$A193,'24f'!$I$7:$I$100,1)+SUMIFS('24g'!$J$7:$J$100,'24g'!$H$7:$H$100,$A193,'24g'!$I$7:$I$100,1)+SUMIFS('24h'!$J$7:$J$100,'24h'!$H$7:$H$100,$A193,'24h'!$I$7:$I$100,1)+SUMIFS('24i'!$J$7:$J$100,'24i'!$H$7:$H$100,$A193,'24i'!$I$7:$I$100,1)+SUMIFS('25'!$J$7:$J$100,'25'!$H$7:$H$100,$A193,'25'!$I$7:$I$100,1)+SUMIFS('26'!$J$7:$J$100,'26'!$H$7:$H$100,$A193,'26'!$I$7:$I$100,1)+SUMIFS('26a'!$J$7:$J$100,'26a'!$H$7:$H$100,$A193,'26a'!$I$7:$I$100,1)+SUMIFS('27'!$J$7:$J$100,'27'!$H$7:$H$100,$A193,'27'!$I$7:$I$100,1)+SUMIFS('27a'!$J$7:$J$100,'27a'!$H$7:$H$100,$A193,'27a'!$I$7:$I$100,1)+SUMIFS('28'!$J$7:$J$100,'28'!$H$7:$H$100,$A193,'28'!$I$7:$I$100,1)+SUMIFS('29'!$J$7:$J$100,'29'!$H$7:$H$100,$A193,'29'!$I$7:$I$100,1)</f>
        <v>0</v>
      </c>
      <c r="H193" s="1315">
        <f>SUMIFS('12'!$J$7:$J$100,'12'!$H$7:$H$100,$A193,'12'!$I$7:$I$100,2)+SUMIFS('13'!$J$7:$J$100,'13'!$H$7:$H$100,$A193,'13'!$I$7:$I$100,2)+SUMIFS('14'!$J$7:$J$100,'14'!$H$7:$H$100,$A193,'14'!$I$7:$I$100,2)+SUMIFS('15'!$J$7:$J$100,'15'!$H$7:$H$100,$A193,'15'!$I$7:$I$100,2)+SUMIFS('15a'!$J$7:$J$100,'15a'!$H$7:$H$100,$A193,'15a'!$I$7:$I$100,2)+SUMIFS('15b'!$J$7:$J$100,'15b'!$H$7:$H$100,$A193,'15b'!$I$7:$I$100,2)+SUMIFS('15c'!$J$7:$J$100,'15c'!$H$7:$H$100,$A193,'15c'!$I$7:$I$100,2)+SUMIFS('15d'!$J$7:$J$100,'15d'!$H$7:$H$100,$A193,'15d'!$I$7:$I$100,2)+SUMIFS('15e'!$J$7:$J$100,'15e'!$H$7:$H$100,$A193,'15e'!$I$7:$I$100,2)+SUMIFS('15f'!$J$7:$J$100,'15f'!$H$7:$H$100,$A193,'15f'!$I$7:$I$100,2)+SUMIFS('15g'!$J$7:$J$100,'15g'!$H$7:$H$100,$A193,'15g'!$I$7:$I$100,2)+SUMIFS('15h'!$J$7:$J$100,'15h'!$H$7:$H$100,$A193,'15h'!$I$7:$I$100,2)+SUMIFS('15i'!$J$7:$J$100,'15i'!$H$7:$H$100,$A193,'15i'!$I$7:$I$100,2)+SUMIFS('15j'!$J$7:$J$100,'15j'!$H$7:$H$100,$A193,'15j'!$I$7:$I$100,2)+SUMIFS('15k'!$J$7:$J$100,'15k'!$H$7:$H$100,$A193,'15k'!$I$7:$I$100,2)+SUMIFS('15l'!$J$7:$J$100,'15l'!$H$7:$H$100,$A193,'15l'!$I$7:$I$100,2)+SUMIFS('15m'!$J$7:$J$100,'15m'!$H$7:$H$100,$A193,'15m'!$I$7:$I$100,2)+SUMIFS('15n'!$J$7:$J$100,'15n'!$H$7:$H$100,$A193,'15n'!$I$7:$I$100,2)+SUMIFS('16'!$J$7:$J$100,'16'!$H$7:$H$100,$A193,'16'!$I$7:$I$100,2)+SUMIFS('16a'!$J$7:$J$100,'16a'!$H$7:$H$100,$A193,'16a'!$I$7:$I$100,2)+SUMIFS('17'!$J$7:$J$100,'17'!$H$7:$H$100,$A193,'17'!$I$7:$I$100,2)+SUMIFS('17a'!$J$7:$J$100,'17a'!$H$7:$H$100,$A193,'17a'!$I$7:$I$100,2)+SUMIFS('18'!$J$7:$J$100,'18'!$H$7:$H$100,$A193,'18'!$I$7:$I$100,2)+SUMIFS('18a'!$J$7:$J$100,'18a'!$H$7:$H$100,$A193,'18a'!$I$7:$I$100,2)
+SUMIFS('19'!$J$7:$J$100,'19'!$H$7:$H$100,$A193,'19'!$I$7:$I$100,2)+SUMIFS('20'!$J$7:$J$100,'20'!$H$7:$H$100,$A193,'20'!$I$7:$I$100,2)+SUMIFS('20a'!$J$7:$J$100,'20a'!$H$7:$H$100,$A193,'20a'!$I$7:$I$100,2)+SUMIFS('21'!$J$7:$J$100,'21'!$H$7:$H$100,$A193,'21'!$I$7:$I$100,2)+SUMIFS('22'!$J$7:$J$100,'22'!$H$7:$H$100,$A193,'22'!$I$7:$I$100,2)+SUMIFS('22a'!$J$7:$J$100,'22a'!$H$7:$H$100,$A193,'22a'!$I$7:$I$100,2)+SUMIFS('22b'!$J$7:$J$100,'22b'!$H$7:$H$100,$A193,'22b'!$I$7:$I$100,2)+SUMIFS('23'!$J$7:$J$100,'23'!$H$7:$H$100,$A193,'23'!$I$7:$I$100,2)+SUMIFS('24'!$J$7:$J$100,'24'!$H$7:$H$100,$A193,'24'!$I$7:$I$100,2)+SUMIFS('24a'!$J$7:$J$100,'24a'!$H$7:$H$100,$A193,'24a'!$I$7:$I$100,2)+SUMIFS('24b'!$J$7:$J$100,'24b'!$H$7:$H$100,$A193,'24b'!$I$7:$I$100,2)+SUMIFS('24c'!$J$7:$J$100,'24c'!$H$7:$H$100,$A193,'24c'!$I$7:$I$100,2)+SUMIFS('24d'!$J$7:$J$100,'24d'!$H$7:$H$100,$A193,'24d'!$I$7:$I$100,2)+SUMIFS('24e'!$J$7:$J$100,'24e'!$H$7:$H$100,$A193,'24e'!$I$7:$I$100,2)+SUMIFS('24f'!$J$7:$J$100,'24f'!$H$7:$H$100,$A193,'24f'!$I$7:$I$100,2)+SUMIFS('24g'!$J$7:$J$100,'24g'!$H$7:$H$100,$A193,'24g'!$I$7:$I$100,2)+SUMIFS('24h'!$J$7:$J$100,'24h'!$H$7:$H$100,$A193,'24h'!$I$7:$I$100,2)+SUMIFS('24i'!$J$7:$J$100,'24i'!$H$7:$H$100,$A193,'24i'!$I$7:$I$100,2)+SUMIFS('25'!$J$7:$J$100,'25'!$H$7:$H$100,$A193,'25'!$I$7:$I$100,2)+SUMIFS('26'!$J$7:$J$100,'26'!$H$7:$H$100,$A193,'26'!$I$7:$I$100,2)+SUMIFS('26a'!$J$7:$J$100,'26a'!$H$7:$H$100,$A193,'26a'!$I$7:$I$100,2)+SUMIFS('27'!$J$7:$J$100,'27'!$H$7:$H$100,$A193,'27'!$I$7:$I$100,2)+SUMIFS('27a'!$J$7:$J$100,'27a'!$H$7:$H$100,$A193,'27a'!$I$7:$I$100,2)+SUMIFS('28'!$J$7:$J$100,'28'!$H$7:$H$100,$A193,'28'!$I$7:$I$100,2)+SUMIFS('29'!$J$7:$J$100,'29'!$H$7:$H$100,$A193,'29'!$I$7:$I$100,2)</f>
        <v>0</v>
      </c>
      <c r="I193" s="1315">
        <f>SUMIFS('12'!$J$7:$J$100,'12'!$H$7:$H$100,$A193,'12'!$I$7:$I$100,"")+SUMIFS('13'!$J$7:$J$100,'13'!$H$7:$H$100,$A193,'13'!$I$7:$I$100,"")+SUMIFS('14'!$J$7:$J$100,'14'!$H$7:$H$100,$A193,'14'!$I$7:$I$100,"")+SUMIFS('15'!$J$7:$J$100,'15'!$H$7:$H$100,$A193,'15'!$I$7:$I$100,"")+SUMIFS('15a'!$J$7:$J$100,'15a'!$H$7:$H$100,$A193,'15a'!$I$7:$I$100,"")+SUMIFS('15b'!$J$7:$J$100,'15b'!$H$7:$H$100,$A193,'15b'!$I$7:$I$100,"")+SUMIFS('15c'!$J$7:$J$100,'15c'!$H$7:$H$100,$A193,'15c'!$I$7:$I$100,"")+SUMIFS('15d'!$J$7:$J$100,'15d'!$H$7:$H$100,$A193,'15d'!$I$7:$I$100,"")+SUMIFS('15e'!$J$7:$J$100,'15e'!$H$7:$H$100,$A193,'15e'!$I$7:$I$100,"")+SUMIFS('15f'!$J$7:$J$100,'15f'!$H$7:$H$100,$A193,'15f'!$I$7:$I$100,"")+SUMIFS('15g'!$J$7:$J$100,'15g'!$H$7:$H$100,$A193,'15g'!$I$7:$I$100,"")+SUMIFS('15h'!$J$7:$J$100,'15h'!$H$7:$H$100,$A193,'15h'!$I$7:$I$100,"")+SUMIFS('15i'!$J$7:$J$100,'15i'!$H$7:$H$100,$A193,'15i'!$I$7:$I$100,"")+SUMIFS('15j'!$J$7:$J$100,'15j'!$H$7:$H$100,$A193,'15j'!$I$7:$I$100,"")+SUMIFS('15k'!$J$7:$J$100,'15k'!$H$7:$H$100,$A193,'15k'!$I$7:$I$100,"")+SUMIFS('15l'!$J$7:$J$100,'15l'!$H$7:$H$100,$A193,'15l'!$I$7:$I$100,"")+SUMIFS('15m'!$J$7:$J$100,'15m'!$H$7:$H$100,$A193,'15m'!$I$7:$I$100,"")+SUMIFS('15n'!$J$7:$J$100,'15n'!$H$7:$H$100,$A193,'15n'!$I$7:$I$100,"")+SUMIFS('16'!$J$7:$J$100,'16'!$H$7:$H$100,$A193,'16'!$I$7:$I$100,"")+SUMIFS('16a'!$J$7:$J$100,'16a'!$H$7:$H$100,$A193,'16a'!$I$7:$I$100,"")+SUMIFS('17'!$J$7:$J$100,'17'!$H$7:$H$100,$A193,'17'!$I$7:$I$100,"")+SUMIFS('17a'!$J$7:$J$100,'17a'!$H$7:$H$100,$A193,'17a'!$I$7:$I$100,"")+SUMIFS('18'!$J$7:$J$100,'18'!$H$7:$H$100,$A193,'18'!$I$7:$I$100,"")+SUMIFS('18a'!$J$7:$J$100,'18a'!$H$7:$H$100,$A193,'18a'!$I$7:$I$100,"")
+SUMIFS('19'!$J$7:$J$100,'19'!$H$7:$H$100,$A193,'19'!$I$7:$I$100,"")+SUMIFS('20'!$J$7:$J$100,'20'!$H$7:$H$100,$A193,'20'!$I$7:$I$100,"")+SUMIFS('20a'!$J$7:$J$100,'20a'!$H$7:$H$100,$A193,'20a'!$I$7:$I$100,"")+SUMIFS('21'!$J$7:$J$100,'21'!$H$7:$H$100,$A193,'21'!$I$7:$I$100,"")+SUMIFS('22'!$J$7:$J$100,'22'!$H$7:$H$100,$A193,'22'!$I$7:$I$100,"")+SUMIFS('22a'!$J$7:$J$100,'22a'!$H$7:$H$100,$A193,'22a'!$I$7:$I$100,"")+SUMIFS('22b'!$J$7:$J$100,'22b'!$H$7:$H$100,$A193,'22b'!$I$7:$I$100,"")+SUMIFS('23'!$J$7:$J$100,'23'!$H$7:$H$100,$A193,'23'!$I$7:$I$100,"")+SUMIFS('24'!$J$7:$J$100,'24'!$H$7:$H$100,$A193,'24'!$I$7:$I$100,"")+SUMIFS('24a'!$J$7:$J$100,'24a'!$H$7:$H$100,$A193,'24a'!$I$7:$I$100,"")+SUMIFS('24b'!$J$7:$J$100,'24b'!$H$7:$H$100,$A193,'24b'!$I$7:$I$100,"")+SUMIFS('24c'!$J$7:$J$100,'24c'!$H$7:$H$100,$A193,'24c'!$I$7:$I$100,"")+SUMIFS('24d'!$J$7:$J$100,'24d'!$H$7:$H$100,$A193,'24d'!$I$7:$I$100,"")+SUMIFS('24e'!$J$7:$J$100,'24e'!$H$7:$H$100,$A193,'24e'!$I$7:$I$100,"")+SUMIFS('24f'!$J$7:$J$100,'24f'!$H$7:$H$100,$A193,'24f'!$I$7:$I$100,"")+SUMIFS('24g'!$J$7:$J$100,'24g'!$H$7:$H$100,$A193,'24g'!$I$7:$I$100,"")+SUMIFS('24h'!$J$7:$J$100,'24h'!$H$7:$H$100,$A193,'24h'!$I$7:$I$100,"")+SUMIFS('24i'!$J$7:$J$100,'24i'!$H$7:$H$100,$A193,'24i'!$I$7:$I$100,"")+SUMIFS('25'!$J$7:$J$100,'25'!$H$7:$H$100,$A193,'25'!$I$7:$I$100,"")+SUMIFS('26'!$J$7:$J$100,'26'!$H$7:$H$100,$A193,'26'!$I$7:$I$100,"")+SUMIFS('26a'!$J$7:$J$100,'26a'!$H$7:$H$100,$A193,'26a'!$I$7:$I$100,"")+SUMIFS('27'!$J$7:$J$100,'27'!$H$7:$H$100,$A193,'27'!$I$7:$I$100,"")+SUMIFS('27a'!$J$7:$J$100,'27a'!$H$7:$H$100,$A193,'27a'!$I$7:$I$100,"")+SUMIFS('28'!$J$7:$J$100,'28'!$H$7:$H$100,$A193,'28'!$I$7:$I$100,"")+SUMIFS('29'!$J$7:$J$100,'29'!$H$7:$H$100,$A193,'29'!$I$7:$I$100,"")</f>
        <v>0</v>
      </c>
      <c r="J193" s="1296">
        <f t="shared" si="9"/>
        <v>0</v>
      </c>
      <c r="K193"/>
      <c r="L193"/>
      <c r="M193"/>
      <c r="N193"/>
      <c r="O193"/>
      <c r="P193"/>
      <c r="Q193"/>
      <c r="R193"/>
      <c r="S193" s="1307">
        <f t="shared" si="2"/>
        <v>0</v>
      </c>
      <c r="T193"/>
    </row>
    <row r="194" spans="1:20" outlineLevel="1" x14ac:dyDescent="0.2">
      <c r="A194" t="s">
        <v>5142</v>
      </c>
      <c r="B194" t="s">
        <v>5478</v>
      </c>
      <c r="C194" s="1295">
        <f>SUMIFS('12'!$N$7:$N$100,'12'!$H$7:$H$100,$A194,'12'!$I$7:$I$100,1)+SUMIFS('13'!$N$7:$N$100,'13'!$H$7:$H$100,$A194,'13'!$I$7:$I$100,1)+SUMIFS('14'!$N$7:$N$100,'14'!$H$7:$H$100,$A194,'14'!$I$7:$I$100,1)+SUMIFS('15'!$N$7:$N$100,'15'!$H$7:$H$100,$A194,'15'!$I$7:$I$100,1)+SUMIFS('15a'!$N$7:$N$100,'15a'!$H$7:$H$100,$A194,'15a'!$I$7:$I$100,1)+SUMIFS('15b'!$N$7:$N$100,'15b'!$H$7:$H$100,$A194,'15b'!$I$7:$I$100,1)+SUMIFS('15c'!$N$7:$N$100,'15c'!$H$7:$H$100,$A194,'15c'!$I$7:$I$100,1)+SUMIFS('15d'!$N$7:$N$100,'15d'!$H$7:$H$100,$A194,'15d'!$I$7:$I$100,1)+SUMIFS('15e'!$N$7:$N$100,'15e'!$H$7:$H$100,$A194,'15e'!$I$7:$I$100,1)+SUMIFS('15f'!$N$7:$N$100,'15f'!$H$7:$H$100,$A194,'15f'!$I$7:$I$100,1)+SUMIFS('15g'!$N$7:$N$100,'15g'!$H$7:$H$100,$A194,'15g'!$I$7:$I$100,1)+SUMIFS('15h'!$N$7:$N$100,'15h'!$H$7:$H$100,$A194,'15h'!$I$7:$I$100,1)+SUMIFS('15i'!$N$7:$N$100,'15i'!$H$7:$H$100,$A194,'15i'!$I$7:$I$100,1)+SUMIFS('15j'!$N$7:$N$100,'15j'!$H$7:$H$100,$A194,'15j'!$I$7:$I$100,1)+SUMIFS('15k'!$N$7:$N$100,'15k'!$H$7:$H$100,$A194,'15k'!$I$7:$I$100,1)+SUMIFS('15l'!$N$7:$N$100,'15l'!$H$7:$H$100,$A194,'15l'!$I$7:$I$100,1)+SUMIFS('15m'!$N$7:$N$100,'15m'!$H$7:$H$100,$A194,'15m'!$I$7:$I$100,1)+SUMIFS('15n'!$N$7:$N$100,'15n'!$H$7:$H$100,$A194,'15n'!$I$7:$I$100,1)+SUMIFS('16'!$N$7:$N$100,'16'!$H$7:$H$100,$A194,'16'!$I$7:$I$100,1)+SUMIFS('16a'!$N$7:$N$100,'16a'!$H$7:$H$100,$A194,'16a'!$I$7:$I$100,1)+SUMIFS('17'!$N$7:$N$100,'17'!$H$7:$H$100,$A194,'17'!$I$7:$I$100,1)+SUMIFS('17a'!$N$7:$N$100,'17a'!$H$7:$H$100,$A194,'17a'!$I$7:$I$100,1)+SUMIFS('18'!$N$7:$N$100,'18'!$H$7:$H$100,$A194,'18'!$I$7:$I$100,1)+SUMIFS('18a'!$N$7:$N$100,'18a'!$H$7:$H$100,$A194,'18a'!$I$7:$I$100,1)
+SUMIFS('19'!$N$7:$N$100,'19'!$H$7:$H$100,$A194,'19'!$I$7:$I$100,1)+SUMIFS('20'!$N$7:$N$100,'20'!$H$7:$H$100,$A194,'20'!$I$7:$I$100,1)+SUMIFS('20a'!$N$7:$N$100,'20a'!$H$7:$H$100,$A194,'20a'!$I$7:$I$100,1)+SUMIFS('21'!$N$7:$N$100,'21'!$H$7:$H$100,$A194,'21'!$I$7:$I$100,1)+SUMIFS('22'!$N$7:$N$100,'22'!$H$7:$H$100,$A194,'22'!$I$7:$I$100,1)+SUMIFS('22a'!$N$7:$N$100,'22a'!$H$7:$H$100,$A194,'22a'!$I$7:$I$100,1)+SUMIFS('22b'!$N$7:$N$100,'22b'!$H$7:$H$100,$A194,'22b'!$I$7:$I$100,1)+SUMIFS('23'!$N$7:$N$100,'23'!$H$7:$H$100,$A194,'23'!$I$7:$I$100,1)+SUMIFS('24'!$N$7:$N$100,'24'!$H$7:$H$100,$A194,'24'!$I$7:$I$100,1)+SUMIFS('24a'!$N$7:$N$100,'24a'!$H$7:$H$100,$A194,'24a'!$I$7:$I$100,1)+SUMIFS('24b'!$N$7:$N$100,'24b'!$H$7:$H$100,$A194,'24b'!$I$7:$I$100,1)+SUMIFS('24c'!$N$7:$N$100,'24c'!$H$7:$H$100,$A194,'24c'!$I$7:$I$100,1)+SUMIFS('24d'!$N$7:$N$100,'24d'!$H$7:$H$100,$A194,'24d'!$I$7:$I$100,1)+SUMIFS('24e'!$N$7:$N$100,'24e'!$H$7:$H$100,$A194,'24e'!$I$7:$I$100,1)+SUMIFS('24f'!$N$7:$N$100,'24f'!$H$7:$H$100,$A194,'24f'!$I$7:$I$100,1)+SUMIFS('24g'!$N$7:$N$100,'24g'!$H$7:$H$100,$A194,'24g'!$I$7:$I$100,1)+SUMIFS('24h'!$N$7:$N$100,'24h'!$H$7:$H$100,$A194,'24h'!$I$7:$I$100,1)+SUMIFS('24i'!$N$7:$N$100,'24i'!$H$7:$H$100,$A194,'24i'!$I$7:$I$100,1)+SUMIFS('25'!$N$7:$N$100,'25'!$H$7:$H$100,$A194,'25'!$I$7:$I$100,1)+SUMIFS('26'!$N$7:$N$100,'26'!$H$7:$H$100,$A194,'26'!$I$7:$I$100,1)+SUMIFS('26a'!$N$7:$N$100,'26a'!$H$7:$H$100,$A194,'26a'!$I$7:$I$100,1)+SUMIFS('27'!$N$7:$N$100,'27'!$H$7:$H$100,$A194,'27'!$I$7:$I$100,1)+SUMIFS('27a'!$N$7:$N$100,'27a'!$H$7:$H$100,$A194,'27a'!$I$7:$I$100,1)+SUMIFS('28'!$N$7:$N$100,'28'!$H$7:$H$100,$A194,'28'!$I$7:$I$100,1)+SUMIFS('29'!$N$7:$N$100,'29'!$H$7:$H$100,$A194,'29'!$I$7:$I$100,1)</f>
        <v>0</v>
      </c>
      <c r="D194" s="1315">
        <f>SUMIFS('12'!$N$7:$N$100,'12'!$H$7:$H$100,$A194,'12'!$I$7:$I$100,2)+SUMIFS('13'!$N$7:$N$100,'13'!$H$7:$H$100,$A194,'13'!$I$7:$I$100,2)+SUMIFS('14'!$N$7:$N$100,'14'!$H$7:$H$100,$A194,'14'!$I$7:$I$100,2)+SUMIFS('15'!$N$7:$N$100,'15'!$H$7:$H$100,$A194,'15'!$I$7:$I$100,2)+SUMIFS('15a'!$N$7:$N$100,'15a'!$H$7:$H$100,$A194,'15a'!$I$7:$I$100,2)+SUMIFS('15b'!$N$7:$N$100,'15b'!$H$7:$H$100,$A194,'15b'!$I$7:$I$100,2)+SUMIFS('15c'!$N$7:$N$100,'15c'!$H$7:$H$100,$A194,'15c'!$I$7:$I$100,2)+SUMIFS('15d'!$N$7:$N$100,'15d'!$H$7:$H$100,$A194,'15d'!$I$7:$I$100,2)+SUMIFS('15e'!$N$7:$N$100,'15e'!$H$7:$H$100,$A194,'15e'!$I$7:$I$100,2)+SUMIFS('15f'!$N$7:$N$100,'15f'!$H$7:$H$100,$A194,'15f'!$I$7:$I$100,2)+SUMIFS('15g'!$N$7:$N$100,'15g'!$H$7:$H$100,$A194,'15g'!$I$7:$I$100,2)+SUMIFS('15h'!$N$7:$N$100,'15h'!$H$7:$H$100,$A194,'15h'!$I$7:$I$100,2)+SUMIFS('15i'!$N$7:$N$100,'15i'!$H$7:$H$100,$A194,'15i'!$I$7:$I$100,2)+SUMIFS('15j'!$N$7:$N$100,'15j'!$H$7:$H$100,$A194,'15j'!$I$7:$I$100,2)+SUMIFS('15k'!$N$7:$N$100,'15k'!$H$7:$H$100,$A194,'15k'!$I$7:$I$100,2)+SUMIFS('15l'!$N$7:$N$100,'15l'!$H$7:$H$100,$A194,'15l'!$I$7:$I$100,2)+SUMIFS('15m'!$N$7:$N$100,'15m'!$H$7:$H$100,$A194,'15m'!$I$7:$I$100,2)+SUMIFS('15n'!$N$7:$N$100,'15n'!$H$7:$H$100,$A194,'15n'!$I$7:$I$100,2)+SUMIFS('16'!$N$7:$N$100,'16'!$H$7:$H$100,$A194,'16'!$I$7:$I$100,2)+SUMIFS('16a'!$N$7:$N$100,'16a'!$H$7:$H$100,$A194,'16a'!$I$7:$I$100,2)+SUMIFS('17'!$N$7:$N$100,'17'!$H$7:$H$100,$A194,'17'!$I$7:$I$100,2)+SUMIFS('17a'!$N$7:$N$100,'17a'!$H$7:$H$100,$A194,'17a'!$I$7:$I$100,2)+SUMIFS('18'!$N$7:$N$100,'18'!$H$7:$H$100,$A194,'18'!$I$7:$I$100,2)+SUMIFS('18a'!$N$7:$N$100,'18a'!$H$7:$H$100,$A194,'18a'!$I$7:$I$100,2)
+SUMIFS('19'!$N$7:$N$100,'19'!$H$7:$H$100,$A194,'19'!$I$7:$I$100,2)+SUMIFS('20'!$N$7:$N$100,'20'!$H$7:$H$100,$A194,'20'!$I$7:$I$100,2)+SUMIFS('20a'!$N$7:$N$100,'20a'!$H$7:$H$100,$A194,'20a'!$I$7:$I$100,2)+SUMIFS('21'!$N$7:$N$100,'21'!$H$7:$H$100,$A194,'21'!$I$7:$I$100,2)+SUMIFS('22'!$N$7:$N$100,'22'!$H$7:$H$100,$A194,'22'!$I$7:$I$100,2)+SUMIFS('22a'!$N$7:$N$100,'22a'!$H$7:$H$100,$A194,'22a'!$I$7:$I$100,2)+SUMIFS('22b'!$N$7:$N$100,'22b'!$H$7:$H$100,$A194,'22b'!$I$7:$I$100,2)+SUMIFS('23'!$N$7:$N$100,'23'!$H$7:$H$100,$A194,'23'!$I$7:$I$100,2)+SUMIFS('24'!$N$7:$N$100,'24'!$H$7:$H$100,$A194,'24'!$I$7:$I$100,2)+SUMIFS('24a'!$N$7:$N$100,'24a'!$H$7:$H$100,$A194,'24a'!$I$7:$I$100,2)+SUMIFS('24b'!$N$7:$N$100,'24b'!$H$7:$H$100,$A194,'24b'!$I$7:$I$100,2)+SUMIFS('24c'!$N$7:$N$100,'24c'!$H$7:$H$100,$A194,'24c'!$I$7:$I$100,2)+SUMIFS('24d'!$N$7:$N$100,'24d'!$H$7:$H$100,$A194,'24d'!$I$7:$I$100,2)+SUMIFS('24e'!$N$7:$N$100,'24e'!$H$7:$H$100,$A194,'24e'!$I$7:$I$100,2)+SUMIFS('24f'!$N$7:$N$100,'24f'!$H$7:$H$100,$A194,'24f'!$I$7:$I$100,2)+SUMIFS('24g'!$N$7:$N$100,'24g'!$H$7:$H$100,$A194,'24g'!$I$7:$I$100,2)+SUMIFS('24h'!$N$7:$N$100,'24h'!$H$7:$H$100,$A194,'24h'!$I$7:$I$100,2)+SUMIFS('24i'!$N$7:$N$100,'24i'!$H$7:$H$100,$A194,'24i'!$I$7:$I$100,2)+SUMIFS('25'!$N$7:$N$100,'25'!$H$7:$H$100,$A194,'25'!$I$7:$I$100,2)+SUMIFS('26'!$N$7:$N$100,'26'!$H$7:$H$100,$A194,'26'!$I$7:$I$100,2)+SUMIFS('26a'!$N$7:$N$100,'26a'!$H$7:$H$100,$A194,'26a'!$I$7:$I$100,2)+SUMIFS('27'!$N$7:$N$100,'27'!$H$7:$H$100,$A194,'27'!$I$7:$I$100,2)+SUMIFS('27a'!$N$7:$N$100,'27a'!$H$7:$H$100,$A194,'27a'!$I$7:$I$100,2)+SUMIFS('28'!$N$7:$N$100,'28'!$H$7:$H$100,$A194,'28'!$I$7:$I$100,2)+SUMIFS('29'!$N$7:$N$100,'29'!$H$7:$H$100,$A194,'29'!$I$7:$I$100,2)</f>
        <v>0</v>
      </c>
      <c r="E194" s="1315">
        <f>SUMIFS('12'!$N$7:$N$100,'12'!$H$7:$H$100,$A194,'12'!$I$7:$I$100,"")+SUMIFS('13'!$N$7:$N$100,'13'!$H$7:$H$100,$A194,'13'!$I$7:$I$100,"")+SUMIFS('14'!$N$7:$N$100,'14'!$H$7:$H$100,$A194,'14'!$I$7:$I$100,"")+SUMIFS('15'!$N$7:$N$100,'15'!$H$7:$H$100,$A194,'15'!$I$7:$I$100,"")+SUMIFS('15a'!$N$7:$N$100,'15a'!$H$7:$H$100,$A194,'15a'!$I$7:$I$100,"")+SUMIFS('15b'!$N$7:$N$100,'15b'!$H$7:$H$100,$A194,'15b'!$I$7:$I$100,"")+SUMIFS('15c'!$N$7:$N$100,'15c'!$H$7:$H$100,$A194,'15c'!$I$7:$I$100,"")+SUMIFS('15d'!$N$7:$N$100,'15d'!$H$7:$H$100,$A194,'15d'!$I$7:$I$100,"")+SUMIFS('15e'!$N$7:$N$100,'15e'!$H$7:$H$100,$A194,'15e'!$I$7:$I$100,"")+SUMIFS('15f'!$N$7:$N$100,'15f'!$H$7:$H$100,$A194,'15f'!$I$7:$I$100,"")+SUMIFS('15g'!$N$7:$N$100,'15g'!$H$7:$H$100,$A194,'15g'!$I$7:$I$100,"")+SUMIFS('15h'!$N$7:$N$100,'15h'!$H$7:$H$100,$A194,'15h'!$I$7:$I$100,"")+SUMIFS('15i'!$N$7:$N$100,'15i'!$H$7:$H$100,$A194,'15i'!$I$7:$I$100,"")+SUMIFS('15j'!$N$7:$N$100,'15j'!$H$7:$H$100,$A194,'15j'!$I$7:$I$100,"")+SUMIFS('15k'!$N$7:$N$100,'15k'!$H$7:$H$100,$A194,'15k'!$I$7:$I$100,"")+SUMIFS('15l'!$N$7:$N$100,'15l'!$H$7:$H$100,$A194,'15l'!$I$7:$I$100,"")+SUMIFS('15m'!$N$7:$N$100,'15m'!$H$7:$H$100,$A194,'15m'!$I$7:$I$100,"")+SUMIFS('15n'!$N$7:$N$100,'15n'!$H$7:$H$100,$A194,'15n'!$I$7:$I$100,"")+SUMIFS('16'!$N$7:$N$100,'16'!$H$7:$H$100,$A194,'16'!$I$7:$I$100,"")+SUMIFS('16a'!$N$7:$N$100,'16a'!$H$7:$H$100,$A194,'16a'!$I$7:$I$100,"")+SUMIFS('17'!$N$7:$N$100,'17'!$H$7:$H$100,$A194,'17'!$I$7:$I$100,"")+SUMIFS('17a'!$N$7:$N$100,'17a'!$H$7:$H$100,$A194,'17a'!$I$7:$I$100,"")+SUMIFS('18'!$N$7:$N$100,'18'!$H$7:$H$100,$A194,'18'!$I$7:$I$100,"")+SUMIFS('18a'!$N$7:$N$100,'18a'!$H$7:$H$100,$A194,'18a'!$I$7:$I$100,"")
+SUMIFS('19'!$N$7:$N$100,'19'!$H$7:$H$100,$A194,'19'!$I$7:$I$100,"")+SUMIFS('20'!$N$7:$N$100,'20'!$H$7:$H$100,$A194,'20'!$I$7:$I$100,"")+SUMIFS('20a'!$N$7:$N$100,'20a'!$H$7:$H$100,$A194,'20a'!$I$7:$I$100,"")+SUMIFS('21'!$N$7:$N$100,'21'!$H$7:$H$100,$A194,'21'!$I$7:$I$100,"")+SUMIFS('22'!$N$7:$N$100,'22'!$H$7:$H$100,$A194,'22'!$I$7:$I$100,"")+SUMIFS('22a'!$N$7:$N$100,'22a'!$H$7:$H$100,$A194,'22a'!$I$7:$I$100,"")+SUMIFS('22b'!$N$7:$N$100,'22b'!$H$7:$H$100,$A194,'22b'!$I$7:$I$100,"")+SUMIFS('23'!$N$7:$N$100,'23'!$H$7:$H$100,$A194,'23'!$I$7:$I$100,"")+SUMIFS('24'!$N$7:$N$100,'24'!$H$7:$H$100,$A194,'24'!$I$7:$I$100,"")+SUMIFS('24a'!$N$7:$N$100,'24a'!$H$7:$H$100,$A194,'24a'!$I$7:$I$100,"")+SUMIFS('24b'!$N$7:$N$100,'24b'!$H$7:$H$100,$A194,'24b'!$I$7:$I$100,"")+SUMIFS('24c'!$N$7:$N$100,'24c'!$H$7:$H$100,$A194,'24c'!$I$7:$I$100,"")+SUMIFS('24d'!$N$7:$N$100,'24d'!$H$7:$H$100,$A194,'24d'!$I$7:$I$100,"")+SUMIFS('24e'!$N$7:$N$100,'24e'!$H$7:$H$100,$A194,'24e'!$I$7:$I$100,"")+SUMIFS('24f'!$N$7:$N$100,'24f'!$H$7:$H$100,$A194,'24f'!$I$7:$I$100,"")+SUMIFS('24g'!$N$7:$N$100,'24g'!$H$7:$H$100,$A194,'24g'!$I$7:$I$100,"")+SUMIFS('24h'!$N$7:$N$100,'24h'!$H$7:$H$100,$A194,'24h'!$I$7:$I$100,"")+SUMIFS('24i'!$N$7:$N$100,'24i'!$H$7:$H$100,$A194,'24i'!$I$7:$I$100,"")+SUMIFS('25'!$N$7:$N$100,'25'!$H$7:$H$100,$A194,'25'!$I$7:$I$100,"")+SUMIFS('26'!$N$7:$N$100,'26'!$H$7:$H$100,$A194,'26'!$I$7:$I$100,"")+SUMIFS('26a'!$N$7:$N$100,'26a'!$H$7:$H$100,$A194,'26a'!$I$7:$I$100,"")+SUMIFS('27'!$N$7:$N$100,'27'!$H$7:$H$100,$A194,'27'!$I$7:$I$100,"")+SUMIFS('27a'!$N$7:$N$100,'27a'!$H$7:$H$100,$A194,'27a'!$I$7:$I$100,"")+SUMIFS('28'!$N$7:$N$100,'28'!$H$7:$H$100,$A194,'28'!$I$7:$I$100,"")+SUMIFS('29'!$N$7:$N$100,'29'!$H$7:$H$100,$A194,'29'!$I$7:$I$100,"")</f>
        <v>0</v>
      </c>
      <c r="F194" s="1296">
        <f t="shared" si="8"/>
        <v>0</v>
      </c>
      <c r="G194" s="1295">
        <f>SUMIFS('12'!$J$7:$J$100,'12'!$H$7:$H$100,$A194,'12'!$I$7:$I$100,1)+SUMIFS('13'!$J$7:$J$100,'13'!$H$7:$H$100,$A194,'13'!$I$7:$I$100,1)+SUMIFS('14'!$J$7:$J$100,'14'!$H$7:$H$100,$A194,'14'!$I$7:$I$100,1)+SUMIFS('15'!$J$7:$J$100,'15'!$H$7:$H$100,$A194,'15'!$I$7:$I$100,1)+SUMIFS('15a'!$J$7:$J$100,'15a'!$H$7:$H$100,$A194,'15a'!$I$7:$I$100,1)+SUMIFS('15b'!$J$7:$J$100,'15b'!$H$7:$H$100,$A194,'15b'!$I$7:$I$100,1)+SUMIFS('15c'!$J$7:$J$100,'15c'!$H$7:$H$100,$A194,'15c'!$I$7:$I$100,1)+SUMIFS('15d'!$J$7:$J$100,'15d'!$H$7:$H$100,$A194,'15d'!$I$7:$I$100,1)+SUMIFS('15e'!$J$7:$J$100,'15e'!$H$7:$H$100,$A194,'15e'!$I$7:$I$100,1)+SUMIFS('15f'!$J$7:$J$100,'15f'!$H$7:$H$100,$A194,'15f'!$I$7:$I$100,1)+SUMIFS('15g'!$J$7:$J$100,'15g'!$H$7:$H$100,$A194,'15g'!$I$7:$I$100,1)+SUMIFS('15h'!$J$7:$J$100,'15h'!$H$7:$H$100,$A194,'15h'!$I$7:$I$100,1)+SUMIFS('15i'!$J$7:$J$100,'15i'!$H$7:$H$100,$A194,'15i'!$I$7:$I$100,1)+SUMIFS('15j'!$J$7:$J$100,'15j'!$H$7:$H$100,$A194,'15j'!$I$7:$I$100,1)+SUMIFS('15k'!$J$7:$J$100,'15k'!$H$7:$H$100,$A194,'15k'!$I$7:$I$100,1)+SUMIFS('15l'!$J$7:$J$100,'15l'!$H$7:$H$100,$A194,'15l'!$I$7:$I$100,1)+SUMIFS('15m'!$J$7:$J$100,'15m'!$H$7:$H$100,$A194,'15m'!$I$7:$I$100,1)+SUMIFS('15n'!$J$7:$J$100,'15n'!$H$7:$H$100,$A194,'15n'!$I$7:$I$100,1)+SUMIFS('16'!$J$7:$J$100,'16'!$H$7:$H$100,$A194,'16'!$I$7:$I$100,1)+SUMIFS('16a'!$J$7:$J$100,'16a'!$H$7:$H$100,$A194,'16a'!$I$7:$I$100,1)+SUMIFS('17'!$J$7:$J$100,'17'!$H$7:$H$100,$A194,'17'!$I$7:$I$100,1)+SUMIFS('17a'!$J$7:$J$100,'17a'!$H$7:$H$100,$A194,'17a'!$I$7:$I$100,1)+SUMIFS('18'!$J$7:$J$100,'18'!$H$7:$H$100,$A194,'18'!$I$7:$I$100,1)+SUMIFS('18a'!$J$7:$J$100,'18a'!$H$7:$H$100,$A194,'18a'!$I$7:$I$100,1)
+SUMIFS('19'!$J$7:$J$100,'19'!$H$7:$H$100,$A194,'19'!$I$7:$I$100,1)+SUMIFS('20'!$J$7:$J$100,'20'!$H$7:$H$100,$A194,'20'!$I$7:$I$100,1)+SUMIFS('20a'!$J$7:$J$100,'20a'!$H$7:$H$100,$A194,'20a'!$I$7:$I$100,1)+SUMIFS('21'!$J$7:$J$100,'21'!$H$7:$H$100,$A194,'21'!$I$7:$I$100,1)+SUMIFS('22'!$J$7:$J$100,'22'!$H$7:$H$100,$A194,'22'!$I$7:$I$100,1)+SUMIFS('22a'!$J$7:$J$100,'22a'!$H$7:$H$100,$A194,'22a'!$I$7:$I$100,1)+SUMIFS('22b'!$J$7:$J$100,'22b'!$H$7:$H$100,$A194,'22b'!$I$7:$I$100,1)+SUMIFS('23'!$J$7:$J$100,'23'!$H$7:$H$100,$A194,'23'!$I$7:$I$100,1)+SUMIFS('24'!$J$7:$J$100,'24'!$H$7:$H$100,$A194,'24'!$I$7:$I$100,1)+SUMIFS('24a'!$J$7:$J$100,'24a'!$H$7:$H$100,$A194,'24a'!$I$7:$I$100,1)+SUMIFS('24b'!$J$7:$J$100,'24b'!$H$7:$H$100,$A194,'24b'!$I$7:$I$100,1)+SUMIFS('24c'!$J$7:$J$100,'24c'!$H$7:$H$100,$A194,'24c'!$I$7:$I$100,1)+SUMIFS('24d'!$J$7:$J$100,'24d'!$H$7:$H$100,$A194,'24d'!$I$7:$I$100,1)+SUMIFS('24e'!$J$7:$J$100,'24e'!$H$7:$H$100,$A194,'24e'!$I$7:$I$100,1)+SUMIFS('24f'!$J$7:$J$100,'24f'!$H$7:$H$100,$A194,'24f'!$I$7:$I$100,1)+SUMIFS('24g'!$J$7:$J$100,'24g'!$H$7:$H$100,$A194,'24g'!$I$7:$I$100,1)+SUMIFS('24h'!$J$7:$J$100,'24h'!$H$7:$H$100,$A194,'24h'!$I$7:$I$100,1)+SUMIFS('24i'!$J$7:$J$100,'24i'!$H$7:$H$100,$A194,'24i'!$I$7:$I$100,1)+SUMIFS('25'!$J$7:$J$100,'25'!$H$7:$H$100,$A194,'25'!$I$7:$I$100,1)+SUMIFS('26'!$J$7:$J$100,'26'!$H$7:$H$100,$A194,'26'!$I$7:$I$100,1)+SUMIFS('26a'!$J$7:$J$100,'26a'!$H$7:$H$100,$A194,'26a'!$I$7:$I$100,1)+SUMIFS('27'!$J$7:$J$100,'27'!$H$7:$H$100,$A194,'27'!$I$7:$I$100,1)+SUMIFS('27a'!$J$7:$J$100,'27a'!$H$7:$H$100,$A194,'27a'!$I$7:$I$100,1)+SUMIFS('28'!$J$7:$J$100,'28'!$H$7:$H$100,$A194,'28'!$I$7:$I$100,1)+SUMIFS('29'!$J$7:$J$100,'29'!$H$7:$H$100,$A194,'29'!$I$7:$I$100,1)</f>
        <v>0</v>
      </c>
      <c r="H194" s="1315">
        <f>SUMIFS('12'!$J$7:$J$100,'12'!$H$7:$H$100,$A194,'12'!$I$7:$I$100,2)+SUMIFS('13'!$J$7:$J$100,'13'!$H$7:$H$100,$A194,'13'!$I$7:$I$100,2)+SUMIFS('14'!$J$7:$J$100,'14'!$H$7:$H$100,$A194,'14'!$I$7:$I$100,2)+SUMIFS('15'!$J$7:$J$100,'15'!$H$7:$H$100,$A194,'15'!$I$7:$I$100,2)+SUMIFS('15a'!$J$7:$J$100,'15a'!$H$7:$H$100,$A194,'15a'!$I$7:$I$100,2)+SUMIFS('15b'!$J$7:$J$100,'15b'!$H$7:$H$100,$A194,'15b'!$I$7:$I$100,2)+SUMIFS('15c'!$J$7:$J$100,'15c'!$H$7:$H$100,$A194,'15c'!$I$7:$I$100,2)+SUMIFS('15d'!$J$7:$J$100,'15d'!$H$7:$H$100,$A194,'15d'!$I$7:$I$100,2)+SUMIFS('15e'!$J$7:$J$100,'15e'!$H$7:$H$100,$A194,'15e'!$I$7:$I$100,2)+SUMIFS('15f'!$J$7:$J$100,'15f'!$H$7:$H$100,$A194,'15f'!$I$7:$I$100,2)+SUMIFS('15g'!$J$7:$J$100,'15g'!$H$7:$H$100,$A194,'15g'!$I$7:$I$100,2)+SUMIFS('15h'!$J$7:$J$100,'15h'!$H$7:$H$100,$A194,'15h'!$I$7:$I$100,2)+SUMIFS('15i'!$J$7:$J$100,'15i'!$H$7:$H$100,$A194,'15i'!$I$7:$I$100,2)+SUMIFS('15j'!$J$7:$J$100,'15j'!$H$7:$H$100,$A194,'15j'!$I$7:$I$100,2)+SUMIFS('15k'!$J$7:$J$100,'15k'!$H$7:$H$100,$A194,'15k'!$I$7:$I$100,2)+SUMIFS('15l'!$J$7:$J$100,'15l'!$H$7:$H$100,$A194,'15l'!$I$7:$I$100,2)+SUMIFS('15m'!$J$7:$J$100,'15m'!$H$7:$H$100,$A194,'15m'!$I$7:$I$100,2)+SUMIFS('15n'!$J$7:$J$100,'15n'!$H$7:$H$100,$A194,'15n'!$I$7:$I$100,2)+SUMIFS('16'!$J$7:$J$100,'16'!$H$7:$H$100,$A194,'16'!$I$7:$I$100,2)+SUMIFS('16a'!$J$7:$J$100,'16a'!$H$7:$H$100,$A194,'16a'!$I$7:$I$100,2)+SUMIFS('17'!$J$7:$J$100,'17'!$H$7:$H$100,$A194,'17'!$I$7:$I$100,2)+SUMIFS('17a'!$J$7:$J$100,'17a'!$H$7:$H$100,$A194,'17a'!$I$7:$I$100,2)+SUMIFS('18'!$J$7:$J$100,'18'!$H$7:$H$100,$A194,'18'!$I$7:$I$100,2)+SUMIFS('18a'!$J$7:$J$100,'18a'!$H$7:$H$100,$A194,'18a'!$I$7:$I$100,2)
+SUMIFS('19'!$J$7:$J$100,'19'!$H$7:$H$100,$A194,'19'!$I$7:$I$100,2)+SUMIFS('20'!$J$7:$J$100,'20'!$H$7:$H$100,$A194,'20'!$I$7:$I$100,2)+SUMIFS('20a'!$J$7:$J$100,'20a'!$H$7:$H$100,$A194,'20a'!$I$7:$I$100,2)+SUMIFS('21'!$J$7:$J$100,'21'!$H$7:$H$100,$A194,'21'!$I$7:$I$100,2)+SUMIFS('22'!$J$7:$J$100,'22'!$H$7:$H$100,$A194,'22'!$I$7:$I$100,2)+SUMIFS('22a'!$J$7:$J$100,'22a'!$H$7:$H$100,$A194,'22a'!$I$7:$I$100,2)+SUMIFS('22b'!$J$7:$J$100,'22b'!$H$7:$H$100,$A194,'22b'!$I$7:$I$100,2)+SUMIFS('23'!$J$7:$J$100,'23'!$H$7:$H$100,$A194,'23'!$I$7:$I$100,2)+SUMIFS('24'!$J$7:$J$100,'24'!$H$7:$H$100,$A194,'24'!$I$7:$I$100,2)+SUMIFS('24a'!$J$7:$J$100,'24a'!$H$7:$H$100,$A194,'24a'!$I$7:$I$100,2)+SUMIFS('24b'!$J$7:$J$100,'24b'!$H$7:$H$100,$A194,'24b'!$I$7:$I$100,2)+SUMIFS('24c'!$J$7:$J$100,'24c'!$H$7:$H$100,$A194,'24c'!$I$7:$I$100,2)+SUMIFS('24d'!$J$7:$J$100,'24d'!$H$7:$H$100,$A194,'24d'!$I$7:$I$100,2)+SUMIFS('24e'!$J$7:$J$100,'24e'!$H$7:$H$100,$A194,'24e'!$I$7:$I$100,2)+SUMIFS('24f'!$J$7:$J$100,'24f'!$H$7:$H$100,$A194,'24f'!$I$7:$I$100,2)+SUMIFS('24g'!$J$7:$J$100,'24g'!$H$7:$H$100,$A194,'24g'!$I$7:$I$100,2)+SUMIFS('24h'!$J$7:$J$100,'24h'!$H$7:$H$100,$A194,'24h'!$I$7:$I$100,2)+SUMIFS('24i'!$J$7:$J$100,'24i'!$H$7:$H$100,$A194,'24i'!$I$7:$I$100,2)+SUMIFS('25'!$J$7:$J$100,'25'!$H$7:$H$100,$A194,'25'!$I$7:$I$100,2)+SUMIFS('26'!$J$7:$J$100,'26'!$H$7:$H$100,$A194,'26'!$I$7:$I$100,2)+SUMIFS('26a'!$J$7:$J$100,'26a'!$H$7:$H$100,$A194,'26a'!$I$7:$I$100,2)+SUMIFS('27'!$J$7:$J$100,'27'!$H$7:$H$100,$A194,'27'!$I$7:$I$100,2)+SUMIFS('27a'!$J$7:$J$100,'27a'!$H$7:$H$100,$A194,'27a'!$I$7:$I$100,2)+SUMIFS('28'!$J$7:$J$100,'28'!$H$7:$H$100,$A194,'28'!$I$7:$I$100,2)+SUMIFS('29'!$J$7:$J$100,'29'!$H$7:$H$100,$A194,'29'!$I$7:$I$100,2)</f>
        <v>0</v>
      </c>
      <c r="I194" s="1315">
        <f>SUMIFS('12'!$J$7:$J$100,'12'!$H$7:$H$100,$A194,'12'!$I$7:$I$100,"")+SUMIFS('13'!$J$7:$J$100,'13'!$H$7:$H$100,$A194,'13'!$I$7:$I$100,"")+SUMIFS('14'!$J$7:$J$100,'14'!$H$7:$H$100,$A194,'14'!$I$7:$I$100,"")+SUMIFS('15'!$J$7:$J$100,'15'!$H$7:$H$100,$A194,'15'!$I$7:$I$100,"")+SUMIFS('15a'!$J$7:$J$100,'15a'!$H$7:$H$100,$A194,'15a'!$I$7:$I$100,"")+SUMIFS('15b'!$J$7:$J$100,'15b'!$H$7:$H$100,$A194,'15b'!$I$7:$I$100,"")+SUMIFS('15c'!$J$7:$J$100,'15c'!$H$7:$H$100,$A194,'15c'!$I$7:$I$100,"")+SUMIFS('15d'!$J$7:$J$100,'15d'!$H$7:$H$100,$A194,'15d'!$I$7:$I$100,"")+SUMIFS('15e'!$J$7:$J$100,'15e'!$H$7:$H$100,$A194,'15e'!$I$7:$I$100,"")+SUMIFS('15f'!$J$7:$J$100,'15f'!$H$7:$H$100,$A194,'15f'!$I$7:$I$100,"")+SUMIFS('15g'!$J$7:$J$100,'15g'!$H$7:$H$100,$A194,'15g'!$I$7:$I$100,"")+SUMIFS('15h'!$J$7:$J$100,'15h'!$H$7:$H$100,$A194,'15h'!$I$7:$I$100,"")+SUMIFS('15i'!$J$7:$J$100,'15i'!$H$7:$H$100,$A194,'15i'!$I$7:$I$100,"")+SUMIFS('15j'!$J$7:$J$100,'15j'!$H$7:$H$100,$A194,'15j'!$I$7:$I$100,"")+SUMIFS('15k'!$J$7:$J$100,'15k'!$H$7:$H$100,$A194,'15k'!$I$7:$I$100,"")+SUMIFS('15l'!$J$7:$J$100,'15l'!$H$7:$H$100,$A194,'15l'!$I$7:$I$100,"")+SUMIFS('15m'!$J$7:$J$100,'15m'!$H$7:$H$100,$A194,'15m'!$I$7:$I$100,"")+SUMIFS('15n'!$J$7:$J$100,'15n'!$H$7:$H$100,$A194,'15n'!$I$7:$I$100,"")+SUMIFS('16'!$J$7:$J$100,'16'!$H$7:$H$100,$A194,'16'!$I$7:$I$100,"")+SUMIFS('16a'!$J$7:$J$100,'16a'!$H$7:$H$100,$A194,'16a'!$I$7:$I$100,"")+SUMIFS('17'!$J$7:$J$100,'17'!$H$7:$H$100,$A194,'17'!$I$7:$I$100,"")+SUMIFS('17a'!$J$7:$J$100,'17a'!$H$7:$H$100,$A194,'17a'!$I$7:$I$100,"")+SUMIFS('18'!$J$7:$J$100,'18'!$H$7:$H$100,$A194,'18'!$I$7:$I$100,"")+SUMIFS('18a'!$J$7:$J$100,'18a'!$H$7:$H$100,$A194,'18a'!$I$7:$I$100,"")
+SUMIFS('19'!$J$7:$J$100,'19'!$H$7:$H$100,$A194,'19'!$I$7:$I$100,"")+SUMIFS('20'!$J$7:$J$100,'20'!$H$7:$H$100,$A194,'20'!$I$7:$I$100,"")+SUMIFS('20a'!$J$7:$J$100,'20a'!$H$7:$H$100,$A194,'20a'!$I$7:$I$100,"")+SUMIFS('21'!$J$7:$J$100,'21'!$H$7:$H$100,$A194,'21'!$I$7:$I$100,"")+SUMIFS('22'!$J$7:$J$100,'22'!$H$7:$H$100,$A194,'22'!$I$7:$I$100,"")+SUMIFS('22a'!$J$7:$J$100,'22a'!$H$7:$H$100,$A194,'22a'!$I$7:$I$100,"")+SUMIFS('22b'!$J$7:$J$100,'22b'!$H$7:$H$100,$A194,'22b'!$I$7:$I$100,"")+SUMIFS('23'!$J$7:$J$100,'23'!$H$7:$H$100,$A194,'23'!$I$7:$I$100,"")+SUMIFS('24'!$J$7:$J$100,'24'!$H$7:$H$100,$A194,'24'!$I$7:$I$100,"")+SUMIFS('24a'!$J$7:$J$100,'24a'!$H$7:$H$100,$A194,'24a'!$I$7:$I$100,"")+SUMIFS('24b'!$J$7:$J$100,'24b'!$H$7:$H$100,$A194,'24b'!$I$7:$I$100,"")+SUMIFS('24c'!$J$7:$J$100,'24c'!$H$7:$H$100,$A194,'24c'!$I$7:$I$100,"")+SUMIFS('24d'!$J$7:$J$100,'24d'!$H$7:$H$100,$A194,'24d'!$I$7:$I$100,"")+SUMIFS('24e'!$J$7:$J$100,'24e'!$H$7:$H$100,$A194,'24e'!$I$7:$I$100,"")+SUMIFS('24f'!$J$7:$J$100,'24f'!$H$7:$H$100,$A194,'24f'!$I$7:$I$100,"")+SUMIFS('24g'!$J$7:$J$100,'24g'!$H$7:$H$100,$A194,'24g'!$I$7:$I$100,"")+SUMIFS('24h'!$J$7:$J$100,'24h'!$H$7:$H$100,$A194,'24h'!$I$7:$I$100,"")+SUMIFS('24i'!$J$7:$J$100,'24i'!$H$7:$H$100,$A194,'24i'!$I$7:$I$100,"")+SUMIFS('25'!$J$7:$J$100,'25'!$H$7:$H$100,$A194,'25'!$I$7:$I$100,"")+SUMIFS('26'!$J$7:$J$100,'26'!$H$7:$H$100,$A194,'26'!$I$7:$I$100,"")+SUMIFS('26a'!$J$7:$J$100,'26a'!$H$7:$H$100,$A194,'26a'!$I$7:$I$100,"")+SUMIFS('27'!$J$7:$J$100,'27'!$H$7:$H$100,$A194,'27'!$I$7:$I$100,"")+SUMIFS('27a'!$J$7:$J$100,'27a'!$H$7:$H$100,$A194,'27a'!$I$7:$I$100,"")+SUMIFS('28'!$J$7:$J$100,'28'!$H$7:$H$100,$A194,'28'!$I$7:$I$100,"")+SUMIFS('29'!$J$7:$J$100,'29'!$H$7:$H$100,$A194,'29'!$I$7:$I$100,"")</f>
        <v>0</v>
      </c>
      <c r="J194" s="1296">
        <f t="shared" si="9"/>
        <v>0</v>
      </c>
      <c r="K194"/>
      <c r="L194"/>
      <c r="M194"/>
      <c r="N194"/>
      <c r="O194"/>
      <c r="P194"/>
      <c r="Q194"/>
      <c r="R194"/>
      <c r="S194" s="1307">
        <f t="shared" si="2"/>
        <v>0</v>
      </c>
      <c r="T194"/>
    </row>
    <row r="195" spans="1:20" outlineLevel="1" x14ac:dyDescent="0.2">
      <c r="A195" t="s">
        <v>5144</v>
      </c>
      <c r="B195" t="s">
        <v>5478</v>
      </c>
      <c r="C195" s="1295">
        <f>SUMIFS('12'!$N$7:$N$100,'12'!$H$7:$H$100,$A195,'12'!$I$7:$I$100,1)+SUMIFS('13'!$N$7:$N$100,'13'!$H$7:$H$100,$A195,'13'!$I$7:$I$100,1)+SUMIFS('14'!$N$7:$N$100,'14'!$H$7:$H$100,$A195,'14'!$I$7:$I$100,1)+SUMIFS('15'!$N$7:$N$100,'15'!$H$7:$H$100,$A195,'15'!$I$7:$I$100,1)+SUMIFS('15a'!$N$7:$N$100,'15a'!$H$7:$H$100,$A195,'15a'!$I$7:$I$100,1)+SUMIFS('15b'!$N$7:$N$100,'15b'!$H$7:$H$100,$A195,'15b'!$I$7:$I$100,1)+SUMIFS('15c'!$N$7:$N$100,'15c'!$H$7:$H$100,$A195,'15c'!$I$7:$I$100,1)+SUMIFS('15d'!$N$7:$N$100,'15d'!$H$7:$H$100,$A195,'15d'!$I$7:$I$100,1)+SUMIFS('15e'!$N$7:$N$100,'15e'!$H$7:$H$100,$A195,'15e'!$I$7:$I$100,1)+SUMIFS('15f'!$N$7:$N$100,'15f'!$H$7:$H$100,$A195,'15f'!$I$7:$I$100,1)+SUMIFS('15g'!$N$7:$N$100,'15g'!$H$7:$H$100,$A195,'15g'!$I$7:$I$100,1)+SUMIFS('15h'!$N$7:$N$100,'15h'!$H$7:$H$100,$A195,'15h'!$I$7:$I$100,1)+SUMIFS('15i'!$N$7:$N$100,'15i'!$H$7:$H$100,$A195,'15i'!$I$7:$I$100,1)+SUMIFS('15j'!$N$7:$N$100,'15j'!$H$7:$H$100,$A195,'15j'!$I$7:$I$100,1)+SUMIFS('15k'!$N$7:$N$100,'15k'!$H$7:$H$100,$A195,'15k'!$I$7:$I$100,1)+SUMIFS('15l'!$N$7:$N$100,'15l'!$H$7:$H$100,$A195,'15l'!$I$7:$I$100,1)+SUMIFS('15m'!$N$7:$N$100,'15m'!$H$7:$H$100,$A195,'15m'!$I$7:$I$100,1)+SUMIFS('15n'!$N$7:$N$100,'15n'!$H$7:$H$100,$A195,'15n'!$I$7:$I$100,1)+SUMIFS('16'!$N$7:$N$100,'16'!$H$7:$H$100,$A195,'16'!$I$7:$I$100,1)+SUMIFS('16a'!$N$7:$N$100,'16a'!$H$7:$H$100,$A195,'16a'!$I$7:$I$100,1)+SUMIFS('17'!$N$7:$N$100,'17'!$H$7:$H$100,$A195,'17'!$I$7:$I$100,1)+SUMIFS('17a'!$N$7:$N$100,'17a'!$H$7:$H$100,$A195,'17a'!$I$7:$I$100,1)+SUMIFS('18'!$N$7:$N$100,'18'!$H$7:$H$100,$A195,'18'!$I$7:$I$100,1)+SUMIFS('18a'!$N$7:$N$100,'18a'!$H$7:$H$100,$A195,'18a'!$I$7:$I$100,1)
+SUMIFS('19'!$N$7:$N$100,'19'!$H$7:$H$100,$A195,'19'!$I$7:$I$100,1)+SUMIFS('20'!$N$7:$N$100,'20'!$H$7:$H$100,$A195,'20'!$I$7:$I$100,1)+SUMIFS('20a'!$N$7:$N$100,'20a'!$H$7:$H$100,$A195,'20a'!$I$7:$I$100,1)+SUMIFS('21'!$N$7:$N$100,'21'!$H$7:$H$100,$A195,'21'!$I$7:$I$100,1)+SUMIFS('22'!$N$7:$N$100,'22'!$H$7:$H$100,$A195,'22'!$I$7:$I$100,1)+SUMIFS('22a'!$N$7:$N$100,'22a'!$H$7:$H$100,$A195,'22a'!$I$7:$I$100,1)+SUMIFS('22b'!$N$7:$N$100,'22b'!$H$7:$H$100,$A195,'22b'!$I$7:$I$100,1)+SUMIFS('23'!$N$7:$N$100,'23'!$H$7:$H$100,$A195,'23'!$I$7:$I$100,1)+SUMIFS('24'!$N$7:$N$100,'24'!$H$7:$H$100,$A195,'24'!$I$7:$I$100,1)+SUMIFS('24a'!$N$7:$N$100,'24a'!$H$7:$H$100,$A195,'24a'!$I$7:$I$100,1)+SUMIFS('24b'!$N$7:$N$100,'24b'!$H$7:$H$100,$A195,'24b'!$I$7:$I$100,1)+SUMIFS('24c'!$N$7:$N$100,'24c'!$H$7:$H$100,$A195,'24c'!$I$7:$I$100,1)+SUMIFS('24d'!$N$7:$N$100,'24d'!$H$7:$H$100,$A195,'24d'!$I$7:$I$100,1)+SUMIFS('24e'!$N$7:$N$100,'24e'!$H$7:$H$100,$A195,'24e'!$I$7:$I$100,1)+SUMIFS('24f'!$N$7:$N$100,'24f'!$H$7:$H$100,$A195,'24f'!$I$7:$I$100,1)+SUMIFS('24g'!$N$7:$N$100,'24g'!$H$7:$H$100,$A195,'24g'!$I$7:$I$100,1)+SUMIFS('24h'!$N$7:$N$100,'24h'!$H$7:$H$100,$A195,'24h'!$I$7:$I$100,1)+SUMIFS('24i'!$N$7:$N$100,'24i'!$H$7:$H$100,$A195,'24i'!$I$7:$I$100,1)+SUMIFS('25'!$N$7:$N$100,'25'!$H$7:$H$100,$A195,'25'!$I$7:$I$100,1)+SUMIFS('26'!$N$7:$N$100,'26'!$H$7:$H$100,$A195,'26'!$I$7:$I$100,1)+SUMIFS('26a'!$N$7:$N$100,'26a'!$H$7:$H$100,$A195,'26a'!$I$7:$I$100,1)+SUMIFS('27'!$N$7:$N$100,'27'!$H$7:$H$100,$A195,'27'!$I$7:$I$100,1)+SUMIFS('27a'!$N$7:$N$100,'27a'!$H$7:$H$100,$A195,'27a'!$I$7:$I$100,1)+SUMIFS('28'!$N$7:$N$100,'28'!$H$7:$H$100,$A195,'28'!$I$7:$I$100,1)+SUMIFS('29'!$N$7:$N$100,'29'!$H$7:$H$100,$A195,'29'!$I$7:$I$100,1)</f>
        <v>0</v>
      </c>
      <c r="D195" s="1315">
        <f>SUMIFS('12'!$N$7:$N$100,'12'!$H$7:$H$100,$A195,'12'!$I$7:$I$100,2)+SUMIFS('13'!$N$7:$N$100,'13'!$H$7:$H$100,$A195,'13'!$I$7:$I$100,2)+SUMIFS('14'!$N$7:$N$100,'14'!$H$7:$H$100,$A195,'14'!$I$7:$I$100,2)+SUMIFS('15'!$N$7:$N$100,'15'!$H$7:$H$100,$A195,'15'!$I$7:$I$100,2)+SUMIFS('15a'!$N$7:$N$100,'15a'!$H$7:$H$100,$A195,'15a'!$I$7:$I$100,2)+SUMIFS('15b'!$N$7:$N$100,'15b'!$H$7:$H$100,$A195,'15b'!$I$7:$I$100,2)+SUMIFS('15c'!$N$7:$N$100,'15c'!$H$7:$H$100,$A195,'15c'!$I$7:$I$100,2)+SUMIFS('15d'!$N$7:$N$100,'15d'!$H$7:$H$100,$A195,'15d'!$I$7:$I$100,2)+SUMIFS('15e'!$N$7:$N$100,'15e'!$H$7:$H$100,$A195,'15e'!$I$7:$I$100,2)+SUMIFS('15f'!$N$7:$N$100,'15f'!$H$7:$H$100,$A195,'15f'!$I$7:$I$100,2)+SUMIFS('15g'!$N$7:$N$100,'15g'!$H$7:$H$100,$A195,'15g'!$I$7:$I$100,2)+SUMIFS('15h'!$N$7:$N$100,'15h'!$H$7:$H$100,$A195,'15h'!$I$7:$I$100,2)+SUMIFS('15i'!$N$7:$N$100,'15i'!$H$7:$H$100,$A195,'15i'!$I$7:$I$100,2)+SUMIFS('15j'!$N$7:$N$100,'15j'!$H$7:$H$100,$A195,'15j'!$I$7:$I$100,2)+SUMIFS('15k'!$N$7:$N$100,'15k'!$H$7:$H$100,$A195,'15k'!$I$7:$I$100,2)+SUMIFS('15l'!$N$7:$N$100,'15l'!$H$7:$H$100,$A195,'15l'!$I$7:$I$100,2)+SUMIFS('15m'!$N$7:$N$100,'15m'!$H$7:$H$100,$A195,'15m'!$I$7:$I$100,2)+SUMIFS('15n'!$N$7:$N$100,'15n'!$H$7:$H$100,$A195,'15n'!$I$7:$I$100,2)+SUMIFS('16'!$N$7:$N$100,'16'!$H$7:$H$100,$A195,'16'!$I$7:$I$100,2)+SUMIFS('16a'!$N$7:$N$100,'16a'!$H$7:$H$100,$A195,'16a'!$I$7:$I$100,2)+SUMIFS('17'!$N$7:$N$100,'17'!$H$7:$H$100,$A195,'17'!$I$7:$I$100,2)+SUMIFS('17a'!$N$7:$N$100,'17a'!$H$7:$H$100,$A195,'17a'!$I$7:$I$100,2)+SUMIFS('18'!$N$7:$N$100,'18'!$H$7:$H$100,$A195,'18'!$I$7:$I$100,2)+SUMIFS('18a'!$N$7:$N$100,'18a'!$H$7:$H$100,$A195,'18a'!$I$7:$I$100,2)
+SUMIFS('19'!$N$7:$N$100,'19'!$H$7:$H$100,$A195,'19'!$I$7:$I$100,2)+SUMIFS('20'!$N$7:$N$100,'20'!$H$7:$H$100,$A195,'20'!$I$7:$I$100,2)+SUMIFS('20a'!$N$7:$N$100,'20a'!$H$7:$H$100,$A195,'20a'!$I$7:$I$100,2)+SUMIFS('21'!$N$7:$N$100,'21'!$H$7:$H$100,$A195,'21'!$I$7:$I$100,2)+SUMIFS('22'!$N$7:$N$100,'22'!$H$7:$H$100,$A195,'22'!$I$7:$I$100,2)+SUMIFS('22a'!$N$7:$N$100,'22a'!$H$7:$H$100,$A195,'22a'!$I$7:$I$100,2)+SUMIFS('22b'!$N$7:$N$100,'22b'!$H$7:$H$100,$A195,'22b'!$I$7:$I$100,2)+SUMIFS('23'!$N$7:$N$100,'23'!$H$7:$H$100,$A195,'23'!$I$7:$I$100,2)+SUMIFS('24'!$N$7:$N$100,'24'!$H$7:$H$100,$A195,'24'!$I$7:$I$100,2)+SUMIFS('24a'!$N$7:$N$100,'24a'!$H$7:$H$100,$A195,'24a'!$I$7:$I$100,2)+SUMIFS('24b'!$N$7:$N$100,'24b'!$H$7:$H$100,$A195,'24b'!$I$7:$I$100,2)+SUMIFS('24c'!$N$7:$N$100,'24c'!$H$7:$H$100,$A195,'24c'!$I$7:$I$100,2)+SUMIFS('24d'!$N$7:$N$100,'24d'!$H$7:$H$100,$A195,'24d'!$I$7:$I$100,2)+SUMIFS('24e'!$N$7:$N$100,'24e'!$H$7:$H$100,$A195,'24e'!$I$7:$I$100,2)+SUMIFS('24f'!$N$7:$N$100,'24f'!$H$7:$H$100,$A195,'24f'!$I$7:$I$100,2)+SUMIFS('24g'!$N$7:$N$100,'24g'!$H$7:$H$100,$A195,'24g'!$I$7:$I$100,2)+SUMIFS('24h'!$N$7:$N$100,'24h'!$H$7:$H$100,$A195,'24h'!$I$7:$I$100,2)+SUMIFS('24i'!$N$7:$N$100,'24i'!$H$7:$H$100,$A195,'24i'!$I$7:$I$100,2)+SUMIFS('25'!$N$7:$N$100,'25'!$H$7:$H$100,$A195,'25'!$I$7:$I$100,2)+SUMIFS('26'!$N$7:$N$100,'26'!$H$7:$H$100,$A195,'26'!$I$7:$I$100,2)+SUMIFS('26a'!$N$7:$N$100,'26a'!$H$7:$H$100,$A195,'26a'!$I$7:$I$100,2)+SUMIFS('27'!$N$7:$N$100,'27'!$H$7:$H$100,$A195,'27'!$I$7:$I$100,2)+SUMIFS('27a'!$N$7:$N$100,'27a'!$H$7:$H$100,$A195,'27a'!$I$7:$I$100,2)+SUMIFS('28'!$N$7:$N$100,'28'!$H$7:$H$100,$A195,'28'!$I$7:$I$100,2)+SUMIFS('29'!$N$7:$N$100,'29'!$H$7:$H$100,$A195,'29'!$I$7:$I$100,2)</f>
        <v>0</v>
      </c>
      <c r="E195" s="1315">
        <f>SUMIFS('12'!$N$7:$N$100,'12'!$H$7:$H$100,$A195,'12'!$I$7:$I$100,"")+SUMIFS('13'!$N$7:$N$100,'13'!$H$7:$H$100,$A195,'13'!$I$7:$I$100,"")+SUMIFS('14'!$N$7:$N$100,'14'!$H$7:$H$100,$A195,'14'!$I$7:$I$100,"")+SUMIFS('15'!$N$7:$N$100,'15'!$H$7:$H$100,$A195,'15'!$I$7:$I$100,"")+SUMIFS('15a'!$N$7:$N$100,'15a'!$H$7:$H$100,$A195,'15a'!$I$7:$I$100,"")+SUMIFS('15b'!$N$7:$N$100,'15b'!$H$7:$H$100,$A195,'15b'!$I$7:$I$100,"")+SUMIFS('15c'!$N$7:$N$100,'15c'!$H$7:$H$100,$A195,'15c'!$I$7:$I$100,"")+SUMIFS('15d'!$N$7:$N$100,'15d'!$H$7:$H$100,$A195,'15d'!$I$7:$I$100,"")+SUMIFS('15e'!$N$7:$N$100,'15e'!$H$7:$H$100,$A195,'15e'!$I$7:$I$100,"")+SUMIFS('15f'!$N$7:$N$100,'15f'!$H$7:$H$100,$A195,'15f'!$I$7:$I$100,"")+SUMIFS('15g'!$N$7:$N$100,'15g'!$H$7:$H$100,$A195,'15g'!$I$7:$I$100,"")+SUMIFS('15h'!$N$7:$N$100,'15h'!$H$7:$H$100,$A195,'15h'!$I$7:$I$100,"")+SUMIFS('15i'!$N$7:$N$100,'15i'!$H$7:$H$100,$A195,'15i'!$I$7:$I$100,"")+SUMIFS('15j'!$N$7:$N$100,'15j'!$H$7:$H$100,$A195,'15j'!$I$7:$I$100,"")+SUMIFS('15k'!$N$7:$N$100,'15k'!$H$7:$H$100,$A195,'15k'!$I$7:$I$100,"")+SUMIFS('15l'!$N$7:$N$100,'15l'!$H$7:$H$100,$A195,'15l'!$I$7:$I$100,"")+SUMIFS('15m'!$N$7:$N$100,'15m'!$H$7:$H$100,$A195,'15m'!$I$7:$I$100,"")+SUMIFS('15n'!$N$7:$N$100,'15n'!$H$7:$H$100,$A195,'15n'!$I$7:$I$100,"")+SUMIFS('16'!$N$7:$N$100,'16'!$H$7:$H$100,$A195,'16'!$I$7:$I$100,"")+SUMIFS('16a'!$N$7:$N$100,'16a'!$H$7:$H$100,$A195,'16a'!$I$7:$I$100,"")+SUMIFS('17'!$N$7:$N$100,'17'!$H$7:$H$100,$A195,'17'!$I$7:$I$100,"")+SUMIFS('17a'!$N$7:$N$100,'17a'!$H$7:$H$100,$A195,'17a'!$I$7:$I$100,"")+SUMIFS('18'!$N$7:$N$100,'18'!$H$7:$H$100,$A195,'18'!$I$7:$I$100,"")+SUMIFS('18a'!$N$7:$N$100,'18a'!$H$7:$H$100,$A195,'18a'!$I$7:$I$100,"")
+SUMIFS('19'!$N$7:$N$100,'19'!$H$7:$H$100,$A195,'19'!$I$7:$I$100,"")+SUMIFS('20'!$N$7:$N$100,'20'!$H$7:$H$100,$A195,'20'!$I$7:$I$100,"")+SUMIFS('20a'!$N$7:$N$100,'20a'!$H$7:$H$100,$A195,'20a'!$I$7:$I$100,"")+SUMIFS('21'!$N$7:$N$100,'21'!$H$7:$H$100,$A195,'21'!$I$7:$I$100,"")+SUMIFS('22'!$N$7:$N$100,'22'!$H$7:$H$100,$A195,'22'!$I$7:$I$100,"")+SUMIFS('22a'!$N$7:$N$100,'22a'!$H$7:$H$100,$A195,'22a'!$I$7:$I$100,"")+SUMIFS('22b'!$N$7:$N$100,'22b'!$H$7:$H$100,$A195,'22b'!$I$7:$I$100,"")+SUMIFS('23'!$N$7:$N$100,'23'!$H$7:$H$100,$A195,'23'!$I$7:$I$100,"")+SUMIFS('24'!$N$7:$N$100,'24'!$H$7:$H$100,$A195,'24'!$I$7:$I$100,"")+SUMIFS('24a'!$N$7:$N$100,'24a'!$H$7:$H$100,$A195,'24a'!$I$7:$I$100,"")+SUMIFS('24b'!$N$7:$N$100,'24b'!$H$7:$H$100,$A195,'24b'!$I$7:$I$100,"")+SUMIFS('24c'!$N$7:$N$100,'24c'!$H$7:$H$100,$A195,'24c'!$I$7:$I$100,"")+SUMIFS('24d'!$N$7:$N$100,'24d'!$H$7:$H$100,$A195,'24d'!$I$7:$I$100,"")+SUMIFS('24e'!$N$7:$N$100,'24e'!$H$7:$H$100,$A195,'24e'!$I$7:$I$100,"")+SUMIFS('24f'!$N$7:$N$100,'24f'!$H$7:$H$100,$A195,'24f'!$I$7:$I$100,"")+SUMIFS('24g'!$N$7:$N$100,'24g'!$H$7:$H$100,$A195,'24g'!$I$7:$I$100,"")+SUMIFS('24h'!$N$7:$N$100,'24h'!$H$7:$H$100,$A195,'24h'!$I$7:$I$100,"")+SUMIFS('24i'!$N$7:$N$100,'24i'!$H$7:$H$100,$A195,'24i'!$I$7:$I$100,"")+SUMIFS('25'!$N$7:$N$100,'25'!$H$7:$H$100,$A195,'25'!$I$7:$I$100,"")+SUMIFS('26'!$N$7:$N$100,'26'!$H$7:$H$100,$A195,'26'!$I$7:$I$100,"")+SUMIFS('26a'!$N$7:$N$100,'26a'!$H$7:$H$100,$A195,'26a'!$I$7:$I$100,"")+SUMIFS('27'!$N$7:$N$100,'27'!$H$7:$H$100,$A195,'27'!$I$7:$I$100,"")+SUMIFS('27a'!$N$7:$N$100,'27a'!$H$7:$H$100,$A195,'27a'!$I$7:$I$100,"")+SUMIFS('28'!$N$7:$N$100,'28'!$H$7:$H$100,$A195,'28'!$I$7:$I$100,"")+SUMIFS('29'!$N$7:$N$100,'29'!$H$7:$H$100,$A195,'29'!$I$7:$I$100,"")</f>
        <v>0</v>
      </c>
      <c r="F195" s="1296">
        <f t="shared" si="8"/>
        <v>0</v>
      </c>
      <c r="G195" s="1295">
        <f>SUMIFS('12'!$J$7:$J$100,'12'!$H$7:$H$100,$A195,'12'!$I$7:$I$100,1)+SUMIFS('13'!$J$7:$J$100,'13'!$H$7:$H$100,$A195,'13'!$I$7:$I$100,1)+SUMIFS('14'!$J$7:$J$100,'14'!$H$7:$H$100,$A195,'14'!$I$7:$I$100,1)+SUMIFS('15'!$J$7:$J$100,'15'!$H$7:$H$100,$A195,'15'!$I$7:$I$100,1)+SUMIFS('15a'!$J$7:$J$100,'15a'!$H$7:$H$100,$A195,'15a'!$I$7:$I$100,1)+SUMIFS('15b'!$J$7:$J$100,'15b'!$H$7:$H$100,$A195,'15b'!$I$7:$I$100,1)+SUMIFS('15c'!$J$7:$J$100,'15c'!$H$7:$H$100,$A195,'15c'!$I$7:$I$100,1)+SUMIFS('15d'!$J$7:$J$100,'15d'!$H$7:$H$100,$A195,'15d'!$I$7:$I$100,1)+SUMIFS('15e'!$J$7:$J$100,'15e'!$H$7:$H$100,$A195,'15e'!$I$7:$I$100,1)+SUMIFS('15f'!$J$7:$J$100,'15f'!$H$7:$H$100,$A195,'15f'!$I$7:$I$100,1)+SUMIFS('15g'!$J$7:$J$100,'15g'!$H$7:$H$100,$A195,'15g'!$I$7:$I$100,1)+SUMIFS('15h'!$J$7:$J$100,'15h'!$H$7:$H$100,$A195,'15h'!$I$7:$I$100,1)+SUMIFS('15i'!$J$7:$J$100,'15i'!$H$7:$H$100,$A195,'15i'!$I$7:$I$100,1)+SUMIFS('15j'!$J$7:$J$100,'15j'!$H$7:$H$100,$A195,'15j'!$I$7:$I$100,1)+SUMIFS('15k'!$J$7:$J$100,'15k'!$H$7:$H$100,$A195,'15k'!$I$7:$I$100,1)+SUMIFS('15l'!$J$7:$J$100,'15l'!$H$7:$H$100,$A195,'15l'!$I$7:$I$100,1)+SUMIFS('15m'!$J$7:$J$100,'15m'!$H$7:$H$100,$A195,'15m'!$I$7:$I$100,1)+SUMIFS('15n'!$J$7:$J$100,'15n'!$H$7:$H$100,$A195,'15n'!$I$7:$I$100,1)+SUMIFS('16'!$J$7:$J$100,'16'!$H$7:$H$100,$A195,'16'!$I$7:$I$100,1)+SUMIFS('16a'!$J$7:$J$100,'16a'!$H$7:$H$100,$A195,'16a'!$I$7:$I$100,1)+SUMIFS('17'!$J$7:$J$100,'17'!$H$7:$H$100,$A195,'17'!$I$7:$I$100,1)+SUMIFS('17a'!$J$7:$J$100,'17a'!$H$7:$H$100,$A195,'17a'!$I$7:$I$100,1)+SUMIFS('18'!$J$7:$J$100,'18'!$H$7:$H$100,$A195,'18'!$I$7:$I$100,1)+SUMIFS('18a'!$J$7:$J$100,'18a'!$H$7:$H$100,$A195,'18a'!$I$7:$I$100,1)
+SUMIFS('19'!$J$7:$J$100,'19'!$H$7:$H$100,$A195,'19'!$I$7:$I$100,1)+SUMIFS('20'!$J$7:$J$100,'20'!$H$7:$H$100,$A195,'20'!$I$7:$I$100,1)+SUMIFS('20a'!$J$7:$J$100,'20a'!$H$7:$H$100,$A195,'20a'!$I$7:$I$100,1)+SUMIFS('21'!$J$7:$J$100,'21'!$H$7:$H$100,$A195,'21'!$I$7:$I$100,1)+SUMIFS('22'!$J$7:$J$100,'22'!$H$7:$H$100,$A195,'22'!$I$7:$I$100,1)+SUMIFS('22a'!$J$7:$J$100,'22a'!$H$7:$H$100,$A195,'22a'!$I$7:$I$100,1)+SUMIFS('22b'!$J$7:$J$100,'22b'!$H$7:$H$100,$A195,'22b'!$I$7:$I$100,1)+SUMIFS('23'!$J$7:$J$100,'23'!$H$7:$H$100,$A195,'23'!$I$7:$I$100,1)+SUMIFS('24'!$J$7:$J$100,'24'!$H$7:$H$100,$A195,'24'!$I$7:$I$100,1)+SUMIFS('24a'!$J$7:$J$100,'24a'!$H$7:$H$100,$A195,'24a'!$I$7:$I$100,1)+SUMIFS('24b'!$J$7:$J$100,'24b'!$H$7:$H$100,$A195,'24b'!$I$7:$I$100,1)+SUMIFS('24c'!$J$7:$J$100,'24c'!$H$7:$H$100,$A195,'24c'!$I$7:$I$100,1)+SUMIFS('24d'!$J$7:$J$100,'24d'!$H$7:$H$100,$A195,'24d'!$I$7:$I$100,1)+SUMIFS('24e'!$J$7:$J$100,'24e'!$H$7:$H$100,$A195,'24e'!$I$7:$I$100,1)+SUMIFS('24f'!$J$7:$J$100,'24f'!$H$7:$H$100,$A195,'24f'!$I$7:$I$100,1)+SUMIFS('24g'!$J$7:$J$100,'24g'!$H$7:$H$100,$A195,'24g'!$I$7:$I$100,1)+SUMIFS('24h'!$J$7:$J$100,'24h'!$H$7:$H$100,$A195,'24h'!$I$7:$I$100,1)+SUMIFS('24i'!$J$7:$J$100,'24i'!$H$7:$H$100,$A195,'24i'!$I$7:$I$100,1)+SUMIFS('25'!$J$7:$J$100,'25'!$H$7:$H$100,$A195,'25'!$I$7:$I$100,1)+SUMIFS('26'!$J$7:$J$100,'26'!$H$7:$H$100,$A195,'26'!$I$7:$I$100,1)+SUMIFS('26a'!$J$7:$J$100,'26a'!$H$7:$H$100,$A195,'26a'!$I$7:$I$100,1)+SUMIFS('27'!$J$7:$J$100,'27'!$H$7:$H$100,$A195,'27'!$I$7:$I$100,1)+SUMIFS('27a'!$J$7:$J$100,'27a'!$H$7:$H$100,$A195,'27a'!$I$7:$I$100,1)+SUMIFS('28'!$J$7:$J$100,'28'!$H$7:$H$100,$A195,'28'!$I$7:$I$100,1)+SUMIFS('29'!$J$7:$J$100,'29'!$H$7:$H$100,$A195,'29'!$I$7:$I$100,1)</f>
        <v>0</v>
      </c>
      <c r="H195" s="1315">
        <f>SUMIFS('12'!$J$7:$J$100,'12'!$H$7:$H$100,$A195,'12'!$I$7:$I$100,2)+SUMIFS('13'!$J$7:$J$100,'13'!$H$7:$H$100,$A195,'13'!$I$7:$I$100,2)+SUMIFS('14'!$J$7:$J$100,'14'!$H$7:$H$100,$A195,'14'!$I$7:$I$100,2)+SUMIFS('15'!$J$7:$J$100,'15'!$H$7:$H$100,$A195,'15'!$I$7:$I$100,2)+SUMIFS('15a'!$J$7:$J$100,'15a'!$H$7:$H$100,$A195,'15a'!$I$7:$I$100,2)+SUMIFS('15b'!$J$7:$J$100,'15b'!$H$7:$H$100,$A195,'15b'!$I$7:$I$100,2)+SUMIFS('15c'!$J$7:$J$100,'15c'!$H$7:$H$100,$A195,'15c'!$I$7:$I$100,2)+SUMIFS('15d'!$J$7:$J$100,'15d'!$H$7:$H$100,$A195,'15d'!$I$7:$I$100,2)+SUMIFS('15e'!$J$7:$J$100,'15e'!$H$7:$H$100,$A195,'15e'!$I$7:$I$100,2)+SUMIFS('15f'!$J$7:$J$100,'15f'!$H$7:$H$100,$A195,'15f'!$I$7:$I$100,2)+SUMIFS('15g'!$J$7:$J$100,'15g'!$H$7:$H$100,$A195,'15g'!$I$7:$I$100,2)+SUMIFS('15h'!$J$7:$J$100,'15h'!$H$7:$H$100,$A195,'15h'!$I$7:$I$100,2)+SUMIFS('15i'!$J$7:$J$100,'15i'!$H$7:$H$100,$A195,'15i'!$I$7:$I$100,2)+SUMIFS('15j'!$J$7:$J$100,'15j'!$H$7:$H$100,$A195,'15j'!$I$7:$I$100,2)+SUMIFS('15k'!$J$7:$J$100,'15k'!$H$7:$H$100,$A195,'15k'!$I$7:$I$100,2)+SUMIFS('15l'!$J$7:$J$100,'15l'!$H$7:$H$100,$A195,'15l'!$I$7:$I$100,2)+SUMIFS('15m'!$J$7:$J$100,'15m'!$H$7:$H$100,$A195,'15m'!$I$7:$I$100,2)+SUMIFS('15n'!$J$7:$J$100,'15n'!$H$7:$H$100,$A195,'15n'!$I$7:$I$100,2)+SUMIFS('16'!$J$7:$J$100,'16'!$H$7:$H$100,$A195,'16'!$I$7:$I$100,2)+SUMIFS('16a'!$J$7:$J$100,'16a'!$H$7:$H$100,$A195,'16a'!$I$7:$I$100,2)+SUMIFS('17'!$J$7:$J$100,'17'!$H$7:$H$100,$A195,'17'!$I$7:$I$100,2)+SUMIFS('17a'!$J$7:$J$100,'17a'!$H$7:$H$100,$A195,'17a'!$I$7:$I$100,2)+SUMIFS('18'!$J$7:$J$100,'18'!$H$7:$H$100,$A195,'18'!$I$7:$I$100,2)+SUMIFS('18a'!$J$7:$J$100,'18a'!$H$7:$H$100,$A195,'18a'!$I$7:$I$100,2)
+SUMIFS('19'!$J$7:$J$100,'19'!$H$7:$H$100,$A195,'19'!$I$7:$I$100,2)+SUMIFS('20'!$J$7:$J$100,'20'!$H$7:$H$100,$A195,'20'!$I$7:$I$100,2)+SUMIFS('20a'!$J$7:$J$100,'20a'!$H$7:$H$100,$A195,'20a'!$I$7:$I$100,2)+SUMIFS('21'!$J$7:$J$100,'21'!$H$7:$H$100,$A195,'21'!$I$7:$I$100,2)+SUMIFS('22'!$J$7:$J$100,'22'!$H$7:$H$100,$A195,'22'!$I$7:$I$100,2)+SUMIFS('22a'!$J$7:$J$100,'22a'!$H$7:$H$100,$A195,'22a'!$I$7:$I$100,2)+SUMIFS('22b'!$J$7:$J$100,'22b'!$H$7:$H$100,$A195,'22b'!$I$7:$I$100,2)+SUMIFS('23'!$J$7:$J$100,'23'!$H$7:$H$100,$A195,'23'!$I$7:$I$100,2)+SUMIFS('24'!$J$7:$J$100,'24'!$H$7:$H$100,$A195,'24'!$I$7:$I$100,2)+SUMIFS('24a'!$J$7:$J$100,'24a'!$H$7:$H$100,$A195,'24a'!$I$7:$I$100,2)+SUMIFS('24b'!$J$7:$J$100,'24b'!$H$7:$H$100,$A195,'24b'!$I$7:$I$100,2)+SUMIFS('24c'!$J$7:$J$100,'24c'!$H$7:$H$100,$A195,'24c'!$I$7:$I$100,2)+SUMIFS('24d'!$J$7:$J$100,'24d'!$H$7:$H$100,$A195,'24d'!$I$7:$I$100,2)+SUMIFS('24e'!$J$7:$J$100,'24e'!$H$7:$H$100,$A195,'24e'!$I$7:$I$100,2)+SUMIFS('24f'!$J$7:$J$100,'24f'!$H$7:$H$100,$A195,'24f'!$I$7:$I$100,2)+SUMIFS('24g'!$J$7:$J$100,'24g'!$H$7:$H$100,$A195,'24g'!$I$7:$I$100,2)+SUMIFS('24h'!$J$7:$J$100,'24h'!$H$7:$H$100,$A195,'24h'!$I$7:$I$100,2)+SUMIFS('24i'!$J$7:$J$100,'24i'!$H$7:$H$100,$A195,'24i'!$I$7:$I$100,2)+SUMIFS('25'!$J$7:$J$100,'25'!$H$7:$H$100,$A195,'25'!$I$7:$I$100,2)+SUMIFS('26'!$J$7:$J$100,'26'!$H$7:$H$100,$A195,'26'!$I$7:$I$100,2)+SUMIFS('26a'!$J$7:$J$100,'26a'!$H$7:$H$100,$A195,'26a'!$I$7:$I$100,2)+SUMIFS('27'!$J$7:$J$100,'27'!$H$7:$H$100,$A195,'27'!$I$7:$I$100,2)+SUMIFS('27a'!$J$7:$J$100,'27a'!$H$7:$H$100,$A195,'27a'!$I$7:$I$100,2)+SUMIFS('28'!$J$7:$J$100,'28'!$H$7:$H$100,$A195,'28'!$I$7:$I$100,2)+SUMIFS('29'!$J$7:$J$100,'29'!$H$7:$H$100,$A195,'29'!$I$7:$I$100,2)</f>
        <v>0</v>
      </c>
      <c r="I195" s="1315">
        <f>SUMIFS('12'!$J$7:$J$100,'12'!$H$7:$H$100,$A195,'12'!$I$7:$I$100,"")+SUMIFS('13'!$J$7:$J$100,'13'!$H$7:$H$100,$A195,'13'!$I$7:$I$100,"")+SUMIFS('14'!$J$7:$J$100,'14'!$H$7:$H$100,$A195,'14'!$I$7:$I$100,"")+SUMIFS('15'!$J$7:$J$100,'15'!$H$7:$H$100,$A195,'15'!$I$7:$I$100,"")+SUMIFS('15a'!$J$7:$J$100,'15a'!$H$7:$H$100,$A195,'15a'!$I$7:$I$100,"")+SUMIFS('15b'!$J$7:$J$100,'15b'!$H$7:$H$100,$A195,'15b'!$I$7:$I$100,"")+SUMIFS('15c'!$J$7:$J$100,'15c'!$H$7:$H$100,$A195,'15c'!$I$7:$I$100,"")+SUMIFS('15d'!$J$7:$J$100,'15d'!$H$7:$H$100,$A195,'15d'!$I$7:$I$100,"")+SUMIFS('15e'!$J$7:$J$100,'15e'!$H$7:$H$100,$A195,'15e'!$I$7:$I$100,"")+SUMIFS('15f'!$J$7:$J$100,'15f'!$H$7:$H$100,$A195,'15f'!$I$7:$I$100,"")+SUMIFS('15g'!$J$7:$J$100,'15g'!$H$7:$H$100,$A195,'15g'!$I$7:$I$100,"")+SUMIFS('15h'!$J$7:$J$100,'15h'!$H$7:$H$100,$A195,'15h'!$I$7:$I$100,"")+SUMIFS('15i'!$J$7:$J$100,'15i'!$H$7:$H$100,$A195,'15i'!$I$7:$I$100,"")+SUMIFS('15j'!$J$7:$J$100,'15j'!$H$7:$H$100,$A195,'15j'!$I$7:$I$100,"")+SUMIFS('15k'!$J$7:$J$100,'15k'!$H$7:$H$100,$A195,'15k'!$I$7:$I$100,"")+SUMIFS('15l'!$J$7:$J$100,'15l'!$H$7:$H$100,$A195,'15l'!$I$7:$I$100,"")+SUMIFS('15m'!$J$7:$J$100,'15m'!$H$7:$H$100,$A195,'15m'!$I$7:$I$100,"")+SUMIFS('15n'!$J$7:$J$100,'15n'!$H$7:$H$100,$A195,'15n'!$I$7:$I$100,"")+SUMIFS('16'!$J$7:$J$100,'16'!$H$7:$H$100,$A195,'16'!$I$7:$I$100,"")+SUMIFS('16a'!$J$7:$J$100,'16a'!$H$7:$H$100,$A195,'16a'!$I$7:$I$100,"")+SUMIFS('17'!$J$7:$J$100,'17'!$H$7:$H$100,$A195,'17'!$I$7:$I$100,"")+SUMIFS('17a'!$J$7:$J$100,'17a'!$H$7:$H$100,$A195,'17a'!$I$7:$I$100,"")+SUMIFS('18'!$J$7:$J$100,'18'!$H$7:$H$100,$A195,'18'!$I$7:$I$100,"")+SUMIFS('18a'!$J$7:$J$100,'18a'!$H$7:$H$100,$A195,'18a'!$I$7:$I$100,"")
+SUMIFS('19'!$J$7:$J$100,'19'!$H$7:$H$100,$A195,'19'!$I$7:$I$100,"")+SUMIFS('20'!$J$7:$J$100,'20'!$H$7:$H$100,$A195,'20'!$I$7:$I$100,"")+SUMIFS('20a'!$J$7:$J$100,'20a'!$H$7:$H$100,$A195,'20a'!$I$7:$I$100,"")+SUMIFS('21'!$J$7:$J$100,'21'!$H$7:$H$100,$A195,'21'!$I$7:$I$100,"")+SUMIFS('22'!$J$7:$J$100,'22'!$H$7:$H$100,$A195,'22'!$I$7:$I$100,"")+SUMIFS('22a'!$J$7:$J$100,'22a'!$H$7:$H$100,$A195,'22a'!$I$7:$I$100,"")+SUMIFS('22b'!$J$7:$J$100,'22b'!$H$7:$H$100,$A195,'22b'!$I$7:$I$100,"")+SUMIFS('23'!$J$7:$J$100,'23'!$H$7:$H$100,$A195,'23'!$I$7:$I$100,"")+SUMIFS('24'!$J$7:$J$100,'24'!$H$7:$H$100,$A195,'24'!$I$7:$I$100,"")+SUMIFS('24a'!$J$7:$J$100,'24a'!$H$7:$H$100,$A195,'24a'!$I$7:$I$100,"")+SUMIFS('24b'!$J$7:$J$100,'24b'!$H$7:$H$100,$A195,'24b'!$I$7:$I$100,"")+SUMIFS('24c'!$J$7:$J$100,'24c'!$H$7:$H$100,$A195,'24c'!$I$7:$I$100,"")+SUMIFS('24d'!$J$7:$J$100,'24d'!$H$7:$H$100,$A195,'24d'!$I$7:$I$100,"")+SUMIFS('24e'!$J$7:$J$100,'24e'!$H$7:$H$100,$A195,'24e'!$I$7:$I$100,"")+SUMIFS('24f'!$J$7:$J$100,'24f'!$H$7:$H$100,$A195,'24f'!$I$7:$I$100,"")+SUMIFS('24g'!$J$7:$J$100,'24g'!$H$7:$H$100,$A195,'24g'!$I$7:$I$100,"")+SUMIFS('24h'!$J$7:$J$100,'24h'!$H$7:$H$100,$A195,'24h'!$I$7:$I$100,"")+SUMIFS('24i'!$J$7:$J$100,'24i'!$H$7:$H$100,$A195,'24i'!$I$7:$I$100,"")+SUMIFS('25'!$J$7:$J$100,'25'!$H$7:$H$100,$A195,'25'!$I$7:$I$100,"")+SUMIFS('26'!$J$7:$J$100,'26'!$H$7:$H$100,$A195,'26'!$I$7:$I$100,"")+SUMIFS('26a'!$J$7:$J$100,'26a'!$H$7:$H$100,$A195,'26a'!$I$7:$I$100,"")+SUMIFS('27'!$J$7:$J$100,'27'!$H$7:$H$100,$A195,'27'!$I$7:$I$100,"")+SUMIFS('27a'!$J$7:$J$100,'27a'!$H$7:$H$100,$A195,'27a'!$I$7:$I$100,"")+SUMIFS('28'!$J$7:$J$100,'28'!$H$7:$H$100,$A195,'28'!$I$7:$I$100,"")+SUMIFS('29'!$J$7:$J$100,'29'!$H$7:$H$100,$A195,'29'!$I$7:$I$100,"")</f>
        <v>0</v>
      </c>
      <c r="J195" s="1296">
        <f t="shared" si="9"/>
        <v>0</v>
      </c>
      <c r="K195"/>
      <c r="L195"/>
      <c r="M195"/>
      <c r="N195"/>
      <c r="O195"/>
      <c r="P195"/>
      <c r="Q195"/>
      <c r="R195"/>
      <c r="S195" s="1307">
        <f t="shared" si="2"/>
        <v>0</v>
      </c>
      <c r="T195"/>
    </row>
    <row r="196" spans="1:20" x14ac:dyDescent="0.2">
      <c r="A196" t="s">
        <v>5146</v>
      </c>
      <c r="B196" t="s">
        <v>5479</v>
      </c>
      <c r="C196" s="1295">
        <f>SUMIFS('12'!$N$7:$N$100,'12'!$H$7:$H$100,$A196,'12'!$I$7:$I$100,1)+SUMIFS('13'!$N$7:$N$100,'13'!$H$7:$H$100,$A196,'13'!$I$7:$I$100,1)+SUMIFS('14'!$N$7:$N$100,'14'!$H$7:$H$100,$A196,'14'!$I$7:$I$100,1)+SUMIFS('15'!$N$7:$N$100,'15'!$H$7:$H$100,$A196,'15'!$I$7:$I$100,1)+SUMIFS('15a'!$N$7:$N$100,'15a'!$H$7:$H$100,$A196,'15a'!$I$7:$I$100,1)+SUMIFS('15b'!$N$7:$N$100,'15b'!$H$7:$H$100,$A196,'15b'!$I$7:$I$100,1)+SUMIFS('15c'!$N$7:$N$100,'15c'!$H$7:$H$100,$A196,'15c'!$I$7:$I$100,1)+SUMIFS('15d'!$N$7:$N$100,'15d'!$H$7:$H$100,$A196,'15d'!$I$7:$I$100,1)+SUMIFS('15e'!$N$7:$N$100,'15e'!$H$7:$H$100,$A196,'15e'!$I$7:$I$100,1)+SUMIFS('15f'!$N$7:$N$100,'15f'!$H$7:$H$100,$A196,'15f'!$I$7:$I$100,1)+SUMIFS('15g'!$N$7:$N$100,'15g'!$H$7:$H$100,$A196,'15g'!$I$7:$I$100,1)+SUMIFS('15h'!$N$7:$N$100,'15h'!$H$7:$H$100,$A196,'15h'!$I$7:$I$100,1)+SUMIFS('15i'!$N$7:$N$100,'15i'!$H$7:$H$100,$A196,'15i'!$I$7:$I$100,1)+SUMIFS('15j'!$N$7:$N$100,'15j'!$H$7:$H$100,$A196,'15j'!$I$7:$I$100,1)+SUMIFS('15k'!$N$7:$N$100,'15k'!$H$7:$H$100,$A196,'15k'!$I$7:$I$100,1)+SUMIFS('15l'!$N$7:$N$100,'15l'!$H$7:$H$100,$A196,'15l'!$I$7:$I$100,1)+SUMIFS('15m'!$N$7:$N$100,'15m'!$H$7:$H$100,$A196,'15m'!$I$7:$I$100,1)+SUMIFS('15n'!$N$7:$N$100,'15n'!$H$7:$H$100,$A196,'15n'!$I$7:$I$100,1)+SUMIFS('16'!$N$7:$N$100,'16'!$H$7:$H$100,$A196,'16'!$I$7:$I$100,1)+SUMIFS('16a'!$N$7:$N$100,'16a'!$H$7:$H$100,$A196,'16a'!$I$7:$I$100,1)+SUMIFS('17'!$N$7:$N$100,'17'!$H$7:$H$100,$A196,'17'!$I$7:$I$100,1)+SUMIFS('17a'!$N$7:$N$100,'17a'!$H$7:$H$100,$A196,'17a'!$I$7:$I$100,1)+SUMIFS('18'!$N$7:$N$100,'18'!$H$7:$H$100,$A196,'18'!$I$7:$I$100,1)+SUMIFS('18a'!$N$7:$N$100,'18a'!$H$7:$H$100,$A196,'18a'!$I$7:$I$100,1)
+SUMIFS('19'!$N$7:$N$100,'19'!$H$7:$H$100,$A196,'19'!$I$7:$I$100,1)+SUMIFS('20'!$N$7:$N$100,'20'!$H$7:$H$100,$A196,'20'!$I$7:$I$100,1)+SUMIFS('20a'!$N$7:$N$100,'20a'!$H$7:$H$100,$A196,'20a'!$I$7:$I$100,1)+SUMIFS('21'!$N$7:$N$100,'21'!$H$7:$H$100,$A196,'21'!$I$7:$I$100,1)+SUMIFS('22'!$N$7:$N$100,'22'!$H$7:$H$100,$A196,'22'!$I$7:$I$100,1)+SUMIFS('22a'!$N$7:$N$100,'22a'!$H$7:$H$100,$A196,'22a'!$I$7:$I$100,1)+SUMIFS('22b'!$N$7:$N$100,'22b'!$H$7:$H$100,$A196,'22b'!$I$7:$I$100,1)+SUMIFS('23'!$N$7:$N$100,'23'!$H$7:$H$100,$A196,'23'!$I$7:$I$100,1)+SUMIFS('24'!$N$7:$N$100,'24'!$H$7:$H$100,$A196,'24'!$I$7:$I$100,1)+SUMIFS('24a'!$N$7:$N$100,'24a'!$H$7:$H$100,$A196,'24a'!$I$7:$I$100,1)+SUMIFS('24b'!$N$7:$N$100,'24b'!$H$7:$H$100,$A196,'24b'!$I$7:$I$100,1)+SUMIFS('24c'!$N$7:$N$100,'24c'!$H$7:$H$100,$A196,'24c'!$I$7:$I$100,1)+SUMIFS('24d'!$N$7:$N$100,'24d'!$H$7:$H$100,$A196,'24d'!$I$7:$I$100,1)+SUMIFS('24e'!$N$7:$N$100,'24e'!$H$7:$H$100,$A196,'24e'!$I$7:$I$100,1)+SUMIFS('24f'!$N$7:$N$100,'24f'!$H$7:$H$100,$A196,'24f'!$I$7:$I$100,1)+SUMIFS('24g'!$N$7:$N$100,'24g'!$H$7:$H$100,$A196,'24g'!$I$7:$I$100,1)+SUMIFS('24h'!$N$7:$N$100,'24h'!$H$7:$H$100,$A196,'24h'!$I$7:$I$100,1)+SUMIFS('24i'!$N$7:$N$100,'24i'!$H$7:$H$100,$A196,'24i'!$I$7:$I$100,1)+SUMIFS('25'!$N$7:$N$100,'25'!$H$7:$H$100,$A196,'25'!$I$7:$I$100,1)+SUMIFS('26'!$N$7:$N$100,'26'!$H$7:$H$100,$A196,'26'!$I$7:$I$100,1)+SUMIFS('26a'!$N$7:$N$100,'26a'!$H$7:$H$100,$A196,'26a'!$I$7:$I$100,1)+SUMIFS('27'!$N$7:$N$100,'27'!$H$7:$H$100,$A196,'27'!$I$7:$I$100,1)+SUMIFS('27a'!$N$7:$N$100,'27a'!$H$7:$H$100,$A196,'27a'!$I$7:$I$100,1)+SUMIFS('28'!$N$7:$N$100,'28'!$H$7:$H$100,$A196,'28'!$I$7:$I$100,1)+SUMIFS('29'!$N$7:$N$100,'29'!$H$7:$H$100,$A196,'29'!$I$7:$I$100,1)</f>
        <v>0</v>
      </c>
      <c r="D196" s="1315">
        <f>SUMIFS('12'!$N$7:$N$100,'12'!$H$7:$H$100,$A196,'12'!$I$7:$I$100,2)+SUMIFS('13'!$N$7:$N$100,'13'!$H$7:$H$100,$A196,'13'!$I$7:$I$100,2)+SUMIFS('14'!$N$7:$N$100,'14'!$H$7:$H$100,$A196,'14'!$I$7:$I$100,2)+SUMIFS('15'!$N$7:$N$100,'15'!$H$7:$H$100,$A196,'15'!$I$7:$I$100,2)+SUMIFS('15a'!$N$7:$N$100,'15a'!$H$7:$H$100,$A196,'15a'!$I$7:$I$100,2)+SUMIFS('15b'!$N$7:$N$100,'15b'!$H$7:$H$100,$A196,'15b'!$I$7:$I$100,2)+SUMIFS('15c'!$N$7:$N$100,'15c'!$H$7:$H$100,$A196,'15c'!$I$7:$I$100,2)+SUMIFS('15d'!$N$7:$N$100,'15d'!$H$7:$H$100,$A196,'15d'!$I$7:$I$100,2)+SUMIFS('15e'!$N$7:$N$100,'15e'!$H$7:$H$100,$A196,'15e'!$I$7:$I$100,2)+SUMIFS('15f'!$N$7:$N$100,'15f'!$H$7:$H$100,$A196,'15f'!$I$7:$I$100,2)+SUMIFS('15g'!$N$7:$N$100,'15g'!$H$7:$H$100,$A196,'15g'!$I$7:$I$100,2)+SUMIFS('15h'!$N$7:$N$100,'15h'!$H$7:$H$100,$A196,'15h'!$I$7:$I$100,2)+SUMIFS('15i'!$N$7:$N$100,'15i'!$H$7:$H$100,$A196,'15i'!$I$7:$I$100,2)+SUMIFS('15j'!$N$7:$N$100,'15j'!$H$7:$H$100,$A196,'15j'!$I$7:$I$100,2)+SUMIFS('15k'!$N$7:$N$100,'15k'!$H$7:$H$100,$A196,'15k'!$I$7:$I$100,2)+SUMIFS('15l'!$N$7:$N$100,'15l'!$H$7:$H$100,$A196,'15l'!$I$7:$I$100,2)+SUMIFS('15m'!$N$7:$N$100,'15m'!$H$7:$H$100,$A196,'15m'!$I$7:$I$100,2)+SUMIFS('15n'!$N$7:$N$100,'15n'!$H$7:$H$100,$A196,'15n'!$I$7:$I$100,2)+SUMIFS('16'!$N$7:$N$100,'16'!$H$7:$H$100,$A196,'16'!$I$7:$I$100,2)+SUMIFS('16a'!$N$7:$N$100,'16a'!$H$7:$H$100,$A196,'16a'!$I$7:$I$100,2)+SUMIFS('17'!$N$7:$N$100,'17'!$H$7:$H$100,$A196,'17'!$I$7:$I$100,2)+SUMIFS('17a'!$N$7:$N$100,'17a'!$H$7:$H$100,$A196,'17a'!$I$7:$I$100,2)+SUMIFS('18'!$N$7:$N$100,'18'!$H$7:$H$100,$A196,'18'!$I$7:$I$100,2)+SUMIFS('18a'!$N$7:$N$100,'18a'!$H$7:$H$100,$A196,'18a'!$I$7:$I$100,2)
+SUMIFS('19'!$N$7:$N$100,'19'!$H$7:$H$100,$A196,'19'!$I$7:$I$100,2)+SUMIFS('20'!$N$7:$N$100,'20'!$H$7:$H$100,$A196,'20'!$I$7:$I$100,2)+SUMIFS('20a'!$N$7:$N$100,'20a'!$H$7:$H$100,$A196,'20a'!$I$7:$I$100,2)+SUMIFS('21'!$N$7:$N$100,'21'!$H$7:$H$100,$A196,'21'!$I$7:$I$100,2)+SUMIFS('22'!$N$7:$N$100,'22'!$H$7:$H$100,$A196,'22'!$I$7:$I$100,2)+SUMIFS('22a'!$N$7:$N$100,'22a'!$H$7:$H$100,$A196,'22a'!$I$7:$I$100,2)+SUMIFS('22b'!$N$7:$N$100,'22b'!$H$7:$H$100,$A196,'22b'!$I$7:$I$100,2)+SUMIFS('23'!$N$7:$N$100,'23'!$H$7:$H$100,$A196,'23'!$I$7:$I$100,2)+SUMIFS('24'!$N$7:$N$100,'24'!$H$7:$H$100,$A196,'24'!$I$7:$I$100,2)+SUMIFS('24a'!$N$7:$N$100,'24a'!$H$7:$H$100,$A196,'24a'!$I$7:$I$100,2)+SUMIFS('24b'!$N$7:$N$100,'24b'!$H$7:$H$100,$A196,'24b'!$I$7:$I$100,2)+SUMIFS('24c'!$N$7:$N$100,'24c'!$H$7:$H$100,$A196,'24c'!$I$7:$I$100,2)+SUMIFS('24d'!$N$7:$N$100,'24d'!$H$7:$H$100,$A196,'24d'!$I$7:$I$100,2)+SUMIFS('24e'!$N$7:$N$100,'24e'!$H$7:$H$100,$A196,'24e'!$I$7:$I$100,2)+SUMIFS('24f'!$N$7:$N$100,'24f'!$H$7:$H$100,$A196,'24f'!$I$7:$I$100,2)+SUMIFS('24g'!$N$7:$N$100,'24g'!$H$7:$H$100,$A196,'24g'!$I$7:$I$100,2)+SUMIFS('24h'!$N$7:$N$100,'24h'!$H$7:$H$100,$A196,'24h'!$I$7:$I$100,2)+SUMIFS('24i'!$N$7:$N$100,'24i'!$H$7:$H$100,$A196,'24i'!$I$7:$I$100,2)+SUMIFS('25'!$N$7:$N$100,'25'!$H$7:$H$100,$A196,'25'!$I$7:$I$100,2)+SUMIFS('26'!$N$7:$N$100,'26'!$H$7:$H$100,$A196,'26'!$I$7:$I$100,2)+SUMIFS('26a'!$N$7:$N$100,'26a'!$H$7:$H$100,$A196,'26a'!$I$7:$I$100,2)+SUMIFS('27'!$N$7:$N$100,'27'!$H$7:$H$100,$A196,'27'!$I$7:$I$100,2)+SUMIFS('27a'!$N$7:$N$100,'27a'!$H$7:$H$100,$A196,'27a'!$I$7:$I$100,2)+SUMIFS('28'!$N$7:$N$100,'28'!$H$7:$H$100,$A196,'28'!$I$7:$I$100,2)+SUMIFS('29'!$N$7:$N$100,'29'!$H$7:$H$100,$A196,'29'!$I$7:$I$100,2)</f>
        <v>0</v>
      </c>
      <c r="E196" s="1315">
        <f>SUMIFS('12'!$N$7:$N$100,'12'!$H$7:$H$100,$A196,'12'!$I$7:$I$100,"")+SUMIFS('13'!$N$7:$N$100,'13'!$H$7:$H$100,$A196,'13'!$I$7:$I$100,"")+SUMIFS('14'!$N$7:$N$100,'14'!$H$7:$H$100,$A196,'14'!$I$7:$I$100,"")+SUMIFS('15'!$N$7:$N$100,'15'!$H$7:$H$100,$A196,'15'!$I$7:$I$100,"")+SUMIFS('15a'!$N$7:$N$100,'15a'!$H$7:$H$100,$A196,'15a'!$I$7:$I$100,"")+SUMIFS('15b'!$N$7:$N$100,'15b'!$H$7:$H$100,$A196,'15b'!$I$7:$I$100,"")+SUMIFS('15c'!$N$7:$N$100,'15c'!$H$7:$H$100,$A196,'15c'!$I$7:$I$100,"")+SUMIFS('15d'!$N$7:$N$100,'15d'!$H$7:$H$100,$A196,'15d'!$I$7:$I$100,"")+SUMIFS('15e'!$N$7:$N$100,'15e'!$H$7:$H$100,$A196,'15e'!$I$7:$I$100,"")+SUMIFS('15f'!$N$7:$N$100,'15f'!$H$7:$H$100,$A196,'15f'!$I$7:$I$100,"")+SUMIFS('15g'!$N$7:$N$100,'15g'!$H$7:$H$100,$A196,'15g'!$I$7:$I$100,"")+SUMIFS('15h'!$N$7:$N$100,'15h'!$H$7:$H$100,$A196,'15h'!$I$7:$I$100,"")+SUMIFS('15i'!$N$7:$N$100,'15i'!$H$7:$H$100,$A196,'15i'!$I$7:$I$100,"")+SUMIFS('15j'!$N$7:$N$100,'15j'!$H$7:$H$100,$A196,'15j'!$I$7:$I$100,"")+SUMIFS('15k'!$N$7:$N$100,'15k'!$H$7:$H$100,$A196,'15k'!$I$7:$I$100,"")+SUMIFS('15l'!$N$7:$N$100,'15l'!$H$7:$H$100,$A196,'15l'!$I$7:$I$100,"")+SUMIFS('15m'!$N$7:$N$100,'15m'!$H$7:$H$100,$A196,'15m'!$I$7:$I$100,"")+SUMIFS('15n'!$N$7:$N$100,'15n'!$H$7:$H$100,$A196,'15n'!$I$7:$I$100,"")+SUMIFS('16'!$N$7:$N$100,'16'!$H$7:$H$100,$A196,'16'!$I$7:$I$100,"")+SUMIFS('16a'!$N$7:$N$100,'16a'!$H$7:$H$100,$A196,'16a'!$I$7:$I$100,"")+SUMIFS('17'!$N$7:$N$100,'17'!$H$7:$H$100,$A196,'17'!$I$7:$I$100,"")+SUMIFS('17a'!$N$7:$N$100,'17a'!$H$7:$H$100,$A196,'17a'!$I$7:$I$100,"")+SUMIFS('18'!$N$7:$N$100,'18'!$H$7:$H$100,$A196,'18'!$I$7:$I$100,"")+SUMIFS('18a'!$N$7:$N$100,'18a'!$H$7:$H$100,$A196,'18a'!$I$7:$I$100,"")
+SUMIFS('19'!$N$7:$N$100,'19'!$H$7:$H$100,$A196,'19'!$I$7:$I$100,"")+SUMIFS('20'!$N$7:$N$100,'20'!$H$7:$H$100,$A196,'20'!$I$7:$I$100,"")+SUMIFS('20a'!$N$7:$N$100,'20a'!$H$7:$H$100,$A196,'20a'!$I$7:$I$100,"")+SUMIFS('21'!$N$7:$N$100,'21'!$H$7:$H$100,$A196,'21'!$I$7:$I$100,"")+SUMIFS('22'!$N$7:$N$100,'22'!$H$7:$H$100,$A196,'22'!$I$7:$I$100,"")+SUMIFS('22a'!$N$7:$N$100,'22a'!$H$7:$H$100,$A196,'22a'!$I$7:$I$100,"")+SUMIFS('22b'!$N$7:$N$100,'22b'!$H$7:$H$100,$A196,'22b'!$I$7:$I$100,"")+SUMIFS('23'!$N$7:$N$100,'23'!$H$7:$H$100,$A196,'23'!$I$7:$I$100,"")+SUMIFS('24'!$N$7:$N$100,'24'!$H$7:$H$100,$A196,'24'!$I$7:$I$100,"")+SUMIFS('24a'!$N$7:$N$100,'24a'!$H$7:$H$100,$A196,'24a'!$I$7:$I$100,"")+SUMIFS('24b'!$N$7:$N$100,'24b'!$H$7:$H$100,$A196,'24b'!$I$7:$I$100,"")+SUMIFS('24c'!$N$7:$N$100,'24c'!$H$7:$H$100,$A196,'24c'!$I$7:$I$100,"")+SUMIFS('24d'!$N$7:$N$100,'24d'!$H$7:$H$100,$A196,'24d'!$I$7:$I$100,"")+SUMIFS('24e'!$N$7:$N$100,'24e'!$H$7:$H$100,$A196,'24e'!$I$7:$I$100,"")+SUMIFS('24f'!$N$7:$N$100,'24f'!$H$7:$H$100,$A196,'24f'!$I$7:$I$100,"")+SUMIFS('24g'!$N$7:$N$100,'24g'!$H$7:$H$100,$A196,'24g'!$I$7:$I$100,"")+SUMIFS('24h'!$N$7:$N$100,'24h'!$H$7:$H$100,$A196,'24h'!$I$7:$I$100,"")+SUMIFS('24i'!$N$7:$N$100,'24i'!$H$7:$H$100,$A196,'24i'!$I$7:$I$100,"")+SUMIFS('25'!$N$7:$N$100,'25'!$H$7:$H$100,$A196,'25'!$I$7:$I$100,"")+SUMIFS('26'!$N$7:$N$100,'26'!$H$7:$H$100,$A196,'26'!$I$7:$I$100,"")+SUMIFS('26a'!$N$7:$N$100,'26a'!$H$7:$H$100,$A196,'26a'!$I$7:$I$100,"")+SUMIFS('27'!$N$7:$N$100,'27'!$H$7:$H$100,$A196,'27'!$I$7:$I$100,"")+SUMIFS('27a'!$N$7:$N$100,'27a'!$H$7:$H$100,$A196,'27a'!$I$7:$I$100,"")+SUMIFS('28'!$N$7:$N$100,'28'!$H$7:$H$100,$A196,'28'!$I$7:$I$100,"")+SUMIFS('29'!$N$7:$N$100,'29'!$H$7:$H$100,$A196,'29'!$I$7:$I$100,"")</f>
        <v>0</v>
      </c>
      <c r="F196" s="1296">
        <f t="shared" si="8"/>
        <v>0</v>
      </c>
      <c r="G196" s="1295">
        <f>SUMIFS('12'!$J$7:$J$100,'12'!$H$7:$H$100,$A196,'12'!$I$7:$I$100,1)+SUMIFS('13'!$J$7:$J$100,'13'!$H$7:$H$100,$A196,'13'!$I$7:$I$100,1)+SUMIFS('14'!$J$7:$J$100,'14'!$H$7:$H$100,$A196,'14'!$I$7:$I$100,1)+SUMIFS('15'!$J$7:$J$100,'15'!$H$7:$H$100,$A196,'15'!$I$7:$I$100,1)+SUMIFS('15a'!$J$7:$J$100,'15a'!$H$7:$H$100,$A196,'15a'!$I$7:$I$100,1)+SUMIFS('15b'!$J$7:$J$100,'15b'!$H$7:$H$100,$A196,'15b'!$I$7:$I$100,1)+SUMIFS('15c'!$J$7:$J$100,'15c'!$H$7:$H$100,$A196,'15c'!$I$7:$I$100,1)+SUMIFS('15d'!$J$7:$J$100,'15d'!$H$7:$H$100,$A196,'15d'!$I$7:$I$100,1)+SUMIFS('15e'!$J$7:$J$100,'15e'!$H$7:$H$100,$A196,'15e'!$I$7:$I$100,1)+SUMIFS('15f'!$J$7:$J$100,'15f'!$H$7:$H$100,$A196,'15f'!$I$7:$I$100,1)+SUMIFS('15g'!$J$7:$J$100,'15g'!$H$7:$H$100,$A196,'15g'!$I$7:$I$100,1)+SUMIFS('15h'!$J$7:$J$100,'15h'!$H$7:$H$100,$A196,'15h'!$I$7:$I$100,1)+SUMIFS('15i'!$J$7:$J$100,'15i'!$H$7:$H$100,$A196,'15i'!$I$7:$I$100,1)+SUMIFS('15j'!$J$7:$J$100,'15j'!$H$7:$H$100,$A196,'15j'!$I$7:$I$100,1)+SUMIFS('15k'!$J$7:$J$100,'15k'!$H$7:$H$100,$A196,'15k'!$I$7:$I$100,1)+SUMIFS('15l'!$J$7:$J$100,'15l'!$H$7:$H$100,$A196,'15l'!$I$7:$I$100,1)+SUMIFS('15m'!$J$7:$J$100,'15m'!$H$7:$H$100,$A196,'15m'!$I$7:$I$100,1)+SUMIFS('15n'!$J$7:$J$100,'15n'!$H$7:$H$100,$A196,'15n'!$I$7:$I$100,1)+SUMIFS('16'!$J$7:$J$100,'16'!$H$7:$H$100,$A196,'16'!$I$7:$I$100,1)+SUMIFS('16a'!$J$7:$J$100,'16a'!$H$7:$H$100,$A196,'16a'!$I$7:$I$100,1)+SUMIFS('17'!$J$7:$J$100,'17'!$H$7:$H$100,$A196,'17'!$I$7:$I$100,1)+SUMIFS('17a'!$J$7:$J$100,'17a'!$H$7:$H$100,$A196,'17a'!$I$7:$I$100,1)+SUMIFS('18'!$J$7:$J$100,'18'!$H$7:$H$100,$A196,'18'!$I$7:$I$100,1)+SUMIFS('18a'!$J$7:$J$100,'18a'!$H$7:$H$100,$A196,'18a'!$I$7:$I$100,1)
+SUMIFS('19'!$J$7:$J$100,'19'!$H$7:$H$100,$A196,'19'!$I$7:$I$100,1)+SUMIFS('20'!$J$7:$J$100,'20'!$H$7:$H$100,$A196,'20'!$I$7:$I$100,1)+SUMIFS('20a'!$J$7:$J$100,'20a'!$H$7:$H$100,$A196,'20a'!$I$7:$I$100,1)+SUMIFS('21'!$J$7:$J$100,'21'!$H$7:$H$100,$A196,'21'!$I$7:$I$100,1)+SUMIFS('22'!$J$7:$J$100,'22'!$H$7:$H$100,$A196,'22'!$I$7:$I$100,1)+SUMIFS('22a'!$J$7:$J$100,'22a'!$H$7:$H$100,$A196,'22a'!$I$7:$I$100,1)+SUMIFS('22b'!$J$7:$J$100,'22b'!$H$7:$H$100,$A196,'22b'!$I$7:$I$100,1)+SUMIFS('23'!$J$7:$J$100,'23'!$H$7:$H$100,$A196,'23'!$I$7:$I$100,1)+SUMIFS('24'!$J$7:$J$100,'24'!$H$7:$H$100,$A196,'24'!$I$7:$I$100,1)+SUMIFS('24a'!$J$7:$J$100,'24a'!$H$7:$H$100,$A196,'24a'!$I$7:$I$100,1)+SUMIFS('24b'!$J$7:$J$100,'24b'!$H$7:$H$100,$A196,'24b'!$I$7:$I$100,1)+SUMIFS('24c'!$J$7:$J$100,'24c'!$H$7:$H$100,$A196,'24c'!$I$7:$I$100,1)+SUMIFS('24d'!$J$7:$J$100,'24d'!$H$7:$H$100,$A196,'24d'!$I$7:$I$100,1)+SUMIFS('24e'!$J$7:$J$100,'24e'!$H$7:$H$100,$A196,'24e'!$I$7:$I$100,1)+SUMIFS('24f'!$J$7:$J$100,'24f'!$H$7:$H$100,$A196,'24f'!$I$7:$I$100,1)+SUMIFS('24g'!$J$7:$J$100,'24g'!$H$7:$H$100,$A196,'24g'!$I$7:$I$100,1)+SUMIFS('24h'!$J$7:$J$100,'24h'!$H$7:$H$100,$A196,'24h'!$I$7:$I$100,1)+SUMIFS('24i'!$J$7:$J$100,'24i'!$H$7:$H$100,$A196,'24i'!$I$7:$I$100,1)+SUMIFS('25'!$J$7:$J$100,'25'!$H$7:$H$100,$A196,'25'!$I$7:$I$100,1)+SUMIFS('26'!$J$7:$J$100,'26'!$H$7:$H$100,$A196,'26'!$I$7:$I$100,1)+SUMIFS('26a'!$J$7:$J$100,'26a'!$H$7:$H$100,$A196,'26a'!$I$7:$I$100,1)+SUMIFS('27'!$J$7:$J$100,'27'!$H$7:$H$100,$A196,'27'!$I$7:$I$100,1)+SUMIFS('27a'!$J$7:$J$100,'27a'!$H$7:$H$100,$A196,'27a'!$I$7:$I$100,1)+SUMIFS('28'!$J$7:$J$100,'28'!$H$7:$H$100,$A196,'28'!$I$7:$I$100,1)+SUMIFS('29'!$J$7:$J$100,'29'!$H$7:$H$100,$A196,'29'!$I$7:$I$100,1)</f>
        <v>0</v>
      </c>
      <c r="H196" s="1315">
        <f>SUMIFS('12'!$J$7:$J$100,'12'!$H$7:$H$100,$A196,'12'!$I$7:$I$100,2)+SUMIFS('13'!$J$7:$J$100,'13'!$H$7:$H$100,$A196,'13'!$I$7:$I$100,2)+SUMIFS('14'!$J$7:$J$100,'14'!$H$7:$H$100,$A196,'14'!$I$7:$I$100,2)+SUMIFS('15'!$J$7:$J$100,'15'!$H$7:$H$100,$A196,'15'!$I$7:$I$100,2)+SUMIFS('15a'!$J$7:$J$100,'15a'!$H$7:$H$100,$A196,'15a'!$I$7:$I$100,2)+SUMIFS('15b'!$J$7:$J$100,'15b'!$H$7:$H$100,$A196,'15b'!$I$7:$I$100,2)+SUMIFS('15c'!$J$7:$J$100,'15c'!$H$7:$H$100,$A196,'15c'!$I$7:$I$100,2)+SUMIFS('15d'!$J$7:$J$100,'15d'!$H$7:$H$100,$A196,'15d'!$I$7:$I$100,2)+SUMIFS('15e'!$J$7:$J$100,'15e'!$H$7:$H$100,$A196,'15e'!$I$7:$I$100,2)+SUMIFS('15f'!$J$7:$J$100,'15f'!$H$7:$H$100,$A196,'15f'!$I$7:$I$100,2)+SUMIFS('15g'!$J$7:$J$100,'15g'!$H$7:$H$100,$A196,'15g'!$I$7:$I$100,2)+SUMIFS('15h'!$J$7:$J$100,'15h'!$H$7:$H$100,$A196,'15h'!$I$7:$I$100,2)+SUMIFS('15i'!$J$7:$J$100,'15i'!$H$7:$H$100,$A196,'15i'!$I$7:$I$100,2)+SUMIFS('15j'!$J$7:$J$100,'15j'!$H$7:$H$100,$A196,'15j'!$I$7:$I$100,2)+SUMIFS('15k'!$J$7:$J$100,'15k'!$H$7:$H$100,$A196,'15k'!$I$7:$I$100,2)+SUMIFS('15l'!$J$7:$J$100,'15l'!$H$7:$H$100,$A196,'15l'!$I$7:$I$100,2)+SUMIFS('15m'!$J$7:$J$100,'15m'!$H$7:$H$100,$A196,'15m'!$I$7:$I$100,2)+SUMIFS('15n'!$J$7:$J$100,'15n'!$H$7:$H$100,$A196,'15n'!$I$7:$I$100,2)+SUMIFS('16'!$J$7:$J$100,'16'!$H$7:$H$100,$A196,'16'!$I$7:$I$100,2)+SUMIFS('16a'!$J$7:$J$100,'16a'!$H$7:$H$100,$A196,'16a'!$I$7:$I$100,2)+SUMIFS('17'!$J$7:$J$100,'17'!$H$7:$H$100,$A196,'17'!$I$7:$I$100,2)+SUMIFS('17a'!$J$7:$J$100,'17a'!$H$7:$H$100,$A196,'17a'!$I$7:$I$100,2)+SUMIFS('18'!$J$7:$J$100,'18'!$H$7:$H$100,$A196,'18'!$I$7:$I$100,2)+SUMIFS('18a'!$J$7:$J$100,'18a'!$H$7:$H$100,$A196,'18a'!$I$7:$I$100,2)
+SUMIFS('19'!$J$7:$J$100,'19'!$H$7:$H$100,$A196,'19'!$I$7:$I$100,2)+SUMIFS('20'!$J$7:$J$100,'20'!$H$7:$H$100,$A196,'20'!$I$7:$I$100,2)+SUMIFS('20a'!$J$7:$J$100,'20a'!$H$7:$H$100,$A196,'20a'!$I$7:$I$100,2)+SUMIFS('21'!$J$7:$J$100,'21'!$H$7:$H$100,$A196,'21'!$I$7:$I$100,2)+SUMIFS('22'!$J$7:$J$100,'22'!$H$7:$H$100,$A196,'22'!$I$7:$I$100,2)+SUMIFS('22a'!$J$7:$J$100,'22a'!$H$7:$H$100,$A196,'22a'!$I$7:$I$100,2)+SUMIFS('22b'!$J$7:$J$100,'22b'!$H$7:$H$100,$A196,'22b'!$I$7:$I$100,2)+SUMIFS('23'!$J$7:$J$100,'23'!$H$7:$H$100,$A196,'23'!$I$7:$I$100,2)+SUMIFS('24'!$J$7:$J$100,'24'!$H$7:$H$100,$A196,'24'!$I$7:$I$100,2)+SUMIFS('24a'!$J$7:$J$100,'24a'!$H$7:$H$100,$A196,'24a'!$I$7:$I$100,2)+SUMIFS('24b'!$J$7:$J$100,'24b'!$H$7:$H$100,$A196,'24b'!$I$7:$I$100,2)+SUMIFS('24c'!$J$7:$J$100,'24c'!$H$7:$H$100,$A196,'24c'!$I$7:$I$100,2)+SUMIFS('24d'!$J$7:$J$100,'24d'!$H$7:$H$100,$A196,'24d'!$I$7:$I$100,2)+SUMIFS('24e'!$J$7:$J$100,'24e'!$H$7:$H$100,$A196,'24e'!$I$7:$I$100,2)+SUMIFS('24f'!$J$7:$J$100,'24f'!$H$7:$H$100,$A196,'24f'!$I$7:$I$100,2)+SUMIFS('24g'!$J$7:$J$100,'24g'!$H$7:$H$100,$A196,'24g'!$I$7:$I$100,2)+SUMIFS('24h'!$J$7:$J$100,'24h'!$H$7:$H$100,$A196,'24h'!$I$7:$I$100,2)+SUMIFS('24i'!$J$7:$J$100,'24i'!$H$7:$H$100,$A196,'24i'!$I$7:$I$100,2)+SUMIFS('25'!$J$7:$J$100,'25'!$H$7:$H$100,$A196,'25'!$I$7:$I$100,2)+SUMIFS('26'!$J$7:$J$100,'26'!$H$7:$H$100,$A196,'26'!$I$7:$I$100,2)+SUMIFS('26a'!$J$7:$J$100,'26a'!$H$7:$H$100,$A196,'26a'!$I$7:$I$100,2)+SUMIFS('27'!$J$7:$J$100,'27'!$H$7:$H$100,$A196,'27'!$I$7:$I$100,2)+SUMIFS('27a'!$J$7:$J$100,'27a'!$H$7:$H$100,$A196,'27a'!$I$7:$I$100,2)+SUMIFS('28'!$J$7:$J$100,'28'!$H$7:$H$100,$A196,'28'!$I$7:$I$100,2)+SUMIFS('29'!$J$7:$J$100,'29'!$H$7:$H$100,$A196,'29'!$I$7:$I$100,2)</f>
        <v>5000</v>
      </c>
      <c r="I196" s="1315">
        <f>SUMIFS('12'!$J$7:$J$100,'12'!$H$7:$H$100,$A196,'12'!$I$7:$I$100,"")+SUMIFS('13'!$J$7:$J$100,'13'!$H$7:$H$100,$A196,'13'!$I$7:$I$100,"")+SUMIFS('14'!$J$7:$J$100,'14'!$H$7:$H$100,$A196,'14'!$I$7:$I$100,"")+SUMIFS('15'!$J$7:$J$100,'15'!$H$7:$H$100,$A196,'15'!$I$7:$I$100,"")+SUMIFS('15a'!$J$7:$J$100,'15a'!$H$7:$H$100,$A196,'15a'!$I$7:$I$100,"")+SUMIFS('15b'!$J$7:$J$100,'15b'!$H$7:$H$100,$A196,'15b'!$I$7:$I$100,"")+SUMIFS('15c'!$J$7:$J$100,'15c'!$H$7:$H$100,$A196,'15c'!$I$7:$I$100,"")+SUMIFS('15d'!$J$7:$J$100,'15d'!$H$7:$H$100,$A196,'15d'!$I$7:$I$100,"")+SUMIFS('15e'!$J$7:$J$100,'15e'!$H$7:$H$100,$A196,'15e'!$I$7:$I$100,"")+SUMIFS('15f'!$J$7:$J$100,'15f'!$H$7:$H$100,$A196,'15f'!$I$7:$I$100,"")+SUMIFS('15g'!$J$7:$J$100,'15g'!$H$7:$H$100,$A196,'15g'!$I$7:$I$100,"")+SUMIFS('15h'!$J$7:$J$100,'15h'!$H$7:$H$100,$A196,'15h'!$I$7:$I$100,"")+SUMIFS('15i'!$J$7:$J$100,'15i'!$H$7:$H$100,$A196,'15i'!$I$7:$I$100,"")+SUMIFS('15j'!$J$7:$J$100,'15j'!$H$7:$H$100,$A196,'15j'!$I$7:$I$100,"")+SUMIFS('15k'!$J$7:$J$100,'15k'!$H$7:$H$100,$A196,'15k'!$I$7:$I$100,"")+SUMIFS('15l'!$J$7:$J$100,'15l'!$H$7:$H$100,$A196,'15l'!$I$7:$I$100,"")+SUMIFS('15m'!$J$7:$J$100,'15m'!$H$7:$H$100,$A196,'15m'!$I$7:$I$100,"")+SUMIFS('15n'!$J$7:$J$100,'15n'!$H$7:$H$100,$A196,'15n'!$I$7:$I$100,"")+SUMIFS('16'!$J$7:$J$100,'16'!$H$7:$H$100,$A196,'16'!$I$7:$I$100,"")+SUMIFS('16a'!$J$7:$J$100,'16a'!$H$7:$H$100,$A196,'16a'!$I$7:$I$100,"")+SUMIFS('17'!$J$7:$J$100,'17'!$H$7:$H$100,$A196,'17'!$I$7:$I$100,"")+SUMIFS('17a'!$J$7:$J$100,'17a'!$H$7:$H$100,$A196,'17a'!$I$7:$I$100,"")+SUMIFS('18'!$J$7:$J$100,'18'!$H$7:$H$100,$A196,'18'!$I$7:$I$100,"")+SUMIFS('18a'!$J$7:$J$100,'18a'!$H$7:$H$100,$A196,'18a'!$I$7:$I$100,"")
+SUMIFS('19'!$J$7:$J$100,'19'!$H$7:$H$100,$A196,'19'!$I$7:$I$100,"")+SUMIFS('20'!$J$7:$J$100,'20'!$H$7:$H$100,$A196,'20'!$I$7:$I$100,"")+SUMIFS('20a'!$J$7:$J$100,'20a'!$H$7:$H$100,$A196,'20a'!$I$7:$I$100,"")+SUMIFS('21'!$J$7:$J$100,'21'!$H$7:$H$100,$A196,'21'!$I$7:$I$100,"")+SUMIFS('22'!$J$7:$J$100,'22'!$H$7:$H$100,$A196,'22'!$I$7:$I$100,"")+SUMIFS('22a'!$J$7:$J$100,'22a'!$H$7:$H$100,$A196,'22a'!$I$7:$I$100,"")+SUMIFS('22b'!$J$7:$J$100,'22b'!$H$7:$H$100,$A196,'22b'!$I$7:$I$100,"")+SUMIFS('23'!$J$7:$J$100,'23'!$H$7:$H$100,$A196,'23'!$I$7:$I$100,"")+SUMIFS('24'!$J$7:$J$100,'24'!$H$7:$H$100,$A196,'24'!$I$7:$I$100,"")+SUMIFS('24a'!$J$7:$J$100,'24a'!$H$7:$H$100,$A196,'24a'!$I$7:$I$100,"")+SUMIFS('24b'!$J$7:$J$100,'24b'!$H$7:$H$100,$A196,'24b'!$I$7:$I$100,"")+SUMIFS('24c'!$J$7:$J$100,'24c'!$H$7:$H$100,$A196,'24c'!$I$7:$I$100,"")+SUMIFS('24d'!$J$7:$J$100,'24d'!$H$7:$H$100,$A196,'24d'!$I$7:$I$100,"")+SUMIFS('24e'!$J$7:$J$100,'24e'!$H$7:$H$100,$A196,'24e'!$I$7:$I$100,"")+SUMIFS('24f'!$J$7:$J$100,'24f'!$H$7:$H$100,$A196,'24f'!$I$7:$I$100,"")+SUMIFS('24g'!$J$7:$J$100,'24g'!$H$7:$H$100,$A196,'24g'!$I$7:$I$100,"")+SUMIFS('24h'!$J$7:$J$100,'24h'!$H$7:$H$100,$A196,'24h'!$I$7:$I$100,"")+SUMIFS('24i'!$J$7:$J$100,'24i'!$H$7:$H$100,$A196,'24i'!$I$7:$I$100,"")+SUMIFS('25'!$J$7:$J$100,'25'!$H$7:$H$100,$A196,'25'!$I$7:$I$100,"")+SUMIFS('26'!$J$7:$J$100,'26'!$H$7:$H$100,$A196,'26'!$I$7:$I$100,"")+SUMIFS('26a'!$J$7:$J$100,'26a'!$H$7:$H$100,$A196,'26a'!$I$7:$I$100,"")+SUMIFS('27'!$J$7:$J$100,'27'!$H$7:$H$100,$A196,'27'!$I$7:$I$100,"")+SUMIFS('27a'!$J$7:$J$100,'27a'!$H$7:$H$100,$A196,'27a'!$I$7:$I$100,"")+SUMIFS('28'!$J$7:$J$100,'28'!$H$7:$H$100,$A196,'28'!$I$7:$I$100,"")+SUMIFS('29'!$J$7:$J$100,'29'!$H$7:$H$100,$A196,'29'!$I$7:$I$100,"")</f>
        <v>0</v>
      </c>
      <c r="J196" s="1296">
        <f t="shared" si="9"/>
        <v>5000</v>
      </c>
      <c r="K196"/>
      <c r="L196"/>
      <c r="M196"/>
      <c r="N196"/>
      <c r="O196"/>
      <c r="P196"/>
      <c r="Q196"/>
      <c r="R196"/>
      <c r="S196" s="1307">
        <f t="shared" si="2"/>
        <v>10000</v>
      </c>
      <c r="T196"/>
    </row>
    <row r="197" spans="1:20" x14ac:dyDescent="0.2">
      <c r="A197" t="s">
        <v>5148</v>
      </c>
      <c r="B197" t="s">
        <v>5480</v>
      </c>
      <c r="C197" s="1295">
        <f>SUMIFS('12'!$N$7:$N$100,'12'!$H$7:$H$100,$A197,'12'!$I$7:$I$100,1)+SUMIFS('13'!$N$7:$N$100,'13'!$H$7:$H$100,$A197,'13'!$I$7:$I$100,1)+SUMIFS('14'!$N$7:$N$100,'14'!$H$7:$H$100,$A197,'14'!$I$7:$I$100,1)+SUMIFS('15'!$N$7:$N$100,'15'!$H$7:$H$100,$A197,'15'!$I$7:$I$100,1)+SUMIFS('15a'!$N$7:$N$100,'15a'!$H$7:$H$100,$A197,'15a'!$I$7:$I$100,1)+SUMIFS('15b'!$N$7:$N$100,'15b'!$H$7:$H$100,$A197,'15b'!$I$7:$I$100,1)+SUMIFS('15c'!$N$7:$N$100,'15c'!$H$7:$H$100,$A197,'15c'!$I$7:$I$100,1)+SUMIFS('15d'!$N$7:$N$100,'15d'!$H$7:$H$100,$A197,'15d'!$I$7:$I$100,1)+SUMIFS('15e'!$N$7:$N$100,'15e'!$H$7:$H$100,$A197,'15e'!$I$7:$I$100,1)+SUMIFS('15f'!$N$7:$N$100,'15f'!$H$7:$H$100,$A197,'15f'!$I$7:$I$100,1)+SUMIFS('15g'!$N$7:$N$100,'15g'!$H$7:$H$100,$A197,'15g'!$I$7:$I$100,1)+SUMIFS('15h'!$N$7:$N$100,'15h'!$H$7:$H$100,$A197,'15h'!$I$7:$I$100,1)+SUMIFS('15i'!$N$7:$N$100,'15i'!$H$7:$H$100,$A197,'15i'!$I$7:$I$100,1)+SUMIFS('15j'!$N$7:$N$100,'15j'!$H$7:$H$100,$A197,'15j'!$I$7:$I$100,1)+SUMIFS('15k'!$N$7:$N$100,'15k'!$H$7:$H$100,$A197,'15k'!$I$7:$I$100,1)+SUMIFS('15l'!$N$7:$N$100,'15l'!$H$7:$H$100,$A197,'15l'!$I$7:$I$100,1)+SUMIFS('15m'!$N$7:$N$100,'15m'!$H$7:$H$100,$A197,'15m'!$I$7:$I$100,1)+SUMIFS('15n'!$N$7:$N$100,'15n'!$H$7:$H$100,$A197,'15n'!$I$7:$I$100,1)+SUMIFS('16'!$N$7:$N$100,'16'!$H$7:$H$100,$A197,'16'!$I$7:$I$100,1)+SUMIFS('16a'!$N$7:$N$100,'16a'!$H$7:$H$100,$A197,'16a'!$I$7:$I$100,1)+SUMIFS('17'!$N$7:$N$100,'17'!$H$7:$H$100,$A197,'17'!$I$7:$I$100,1)+SUMIFS('17a'!$N$7:$N$100,'17a'!$H$7:$H$100,$A197,'17a'!$I$7:$I$100,1)+SUMIFS('18'!$N$7:$N$100,'18'!$H$7:$H$100,$A197,'18'!$I$7:$I$100,1)+SUMIFS('18a'!$N$7:$N$100,'18a'!$H$7:$H$100,$A197,'18a'!$I$7:$I$100,1)
+SUMIFS('19'!$N$7:$N$100,'19'!$H$7:$H$100,$A197,'19'!$I$7:$I$100,1)+SUMIFS('20'!$N$7:$N$100,'20'!$H$7:$H$100,$A197,'20'!$I$7:$I$100,1)+SUMIFS('20a'!$N$7:$N$100,'20a'!$H$7:$H$100,$A197,'20a'!$I$7:$I$100,1)+SUMIFS('21'!$N$7:$N$100,'21'!$H$7:$H$100,$A197,'21'!$I$7:$I$100,1)+SUMIFS('22'!$N$7:$N$100,'22'!$H$7:$H$100,$A197,'22'!$I$7:$I$100,1)+SUMIFS('22a'!$N$7:$N$100,'22a'!$H$7:$H$100,$A197,'22a'!$I$7:$I$100,1)+SUMIFS('22b'!$N$7:$N$100,'22b'!$H$7:$H$100,$A197,'22b'!$I$7:$I$100,1)+SUMIFS('23'!$N$7:$N$100,'23'!$H$7:$H$100,$A197,'23'!$I$7:$I$100,1)+SUMIFS('24'!$N$7:$N$100,'24'!$H$7:$H$100,$A197,'24'!$I$7:$I$100,1)+SUMIFS('24a'!$N$7:$N$100,'24a'!$H$7:$H$100,$A197,'24a'!$I$7:$I$100,1)+SUMIFS('24b'!$N$7:$N$100,'24b'!$H$7:$H$100,$A197,'24b'!$I$7:$I$100,1)+SUMIFS('24c'!$N$7:$N$100,'24c'!$H$7:$H$100,$A197,'24c'!$I$7:$I$100,1)+SUMIFS('24d'!$N$7:$N$100,'24d'!$H$7:$H$100,$A197,'24d'!$I$7:$I$100,1)+SUMIFS('24e'!$N$7:$N$100,'24e'!$H$7:$H$100,$A197,'24e'!$I$7:$I$100,1)+SUMIFS('24f'!$N$7:$N$100,'24f'!$H$7:$H$100,$A197,'24f'!$I$7:$I$100,1)+SUMIFS('24g'!$N$7:$N$100,'24g'!$H$7:$H$100,$A197,'24g'!$I$7:$I$100,1)+SUMIFS('24h'!$N$7:$N$100,'24h'!$H$7:$H$100,$A197,'24h'!$I$7:$I$100,1)+SUMIFS('24i'!$N$7:$N$100,'24i'!$H$7:$H$100,$A197,'24i'!$I$7:$I$100,1)+SUMIFS('25'!$N$7:$N$100,'25'!$H$7:$H$100,$A197,'25'!$I$7:$I$100,1)+SUMIFS('26'!$N$7:$N$100,'26'!$H$7:$H$100,$A197,'26'!$I$7:$I$100,1)+SUMIFS('26a'!$N$7:$N$100,'26a'!$H$7:$H$100,$A197,'26a'!$I$7:$I$100,1)+SUMIFS('27'!$N$7:$N$100,'27'!$H$7:$H$100,$A197,'27'!$I$7:$I$100,1)+SUMIFS('27a'!$N$7:$N$100,'27a'!$H$7:$H$100,$A197,'27a'!$I$7:$I$100,1)+SUMIFS('28'!$N$7:$N$100,'28'!$H$7:$H$100,$A197,'28'!$I$7:$I$100,1)+SUMIFS('29'!$N$7:$N$100,'29'!$H$7:$H$100,$A197,'29'!$I$7:$I$100,1)</f>
        <v>0</v>
      </c>
      <c r="D197" s="1315">
        <f>SUMIFS('12'!$N$7:$N$100,'12'!$H$7:$H$100,$A197,'12'!$I$7:$I$100,2)+SUMIFS('13'!$N$7:$N$100,'13'!$H$7:$H$100,$A197,'13'!$I$7:$I$100,2)+SUMIFS('14'!$N$7:$N$100,'14'!$H$7:$H$100,$A197,'14'!$I$7:$I$100,2)+SUMIFS('15'!$N$7:$N$100,'15'!$H$7:$H$100,$A197,'15'!$I$7:$I$100,2)+SUMIFS('15a'!$N$7:$N$100,'15a'!$H$7:$H$100,$A197,'15a'!$I$7:$I$100,2)+SUMIFS('15b'!$N$7:$N$100,'15b'!$H$7:$H$100,$A197,'15b'!$I$7:$I$100,2)+SUMIFS('15c'!$N$7:$N$100,'15c'!$H$7:$H$100,$A197,'15c'!$I$7:$I$100,2)+SUMIFS('15d'!$N$7:$N$100,'15d'!$H$7:$H$100,$A197,'15d'!$I$7:$I$100,2)+SUMIFS('15e'!$N$7:$N$100,'15e'!$H$7:$H$100,$A197,'15e'!$I$7:$I$100,2)+SUMIFS('15f'!$N$7:$N$100,'15f'!$H$7:$H$100,$A197,'15f'!$I$7:$I$100,2)+SUMIFS('15g'!$N$7:$N$100,'15g'!$H$7:$H$100,$A197,'15g'!$I$7:$I$100,2)+SUMIFS('15h'!$N$7:$N$100,'15h'!$H$7:$H$100,$A197,'15h'!$I$7:$I$100,2)+SUMIFS('15i'!$N$7:$N$100,'15i'!$H$7:$H$100,$A197,'15i'!$I$7:$I$100,2)+SUMIFS('15j'!$N$7:$N$100,'15j'!$H$7:$H$100,$A197,'15j'!$I$7:$I$100,2)+SUMIFS('15k'!$N$7:$N$100,'15k'!$H$7:$H$100,$A197,'15k'!$I$7:$I$100,2)+SUMIFS('15l'!$N$7:$N$100,'15l'!$H$7:$H$100,$A197,'15l'!$I$7:$I$100,2)+SUMIFS('15m'!$N$7:$N$100,'15m'!$H$7:$H$100,$A197,'15m'!$I$7:$I$100,2)+SUMIFS('15n'!$N$7:$N$100,'15n'!$H$7:$H$100,$A197,'15n'!$I$7:$I$100,2)+SUMIFS('16'!$N$7:$N$100,'16'!$H$7:$H$100,$A197,'16'!$I$7:$I$100,2)+SUMIFS('16a'!$N$7:$N$100,'16a'!$H$7:$H$100,$A197,'16a'!$I$7:$I$100,2)+SUMIFS('17'!$N$7:$N$100,'17'!$H$7:$H$100,$A197,'17'!$I$7:$I$100,2)+SUMIFS('17a'!$N$7:$N$100,'17a'!$H$7:$H$100,$A197,'17a'!$I$7:$I$100,2)+SUMIFS('18'!$N$7:$N$100,'18'!$H$7:$H$100,$A197,'18'!$I$7:$I$100,2)+SUMIFS('18a'!$N$7:$N$100,'18a'!$H$7:$H$100,$A197,'18a'!$I$7:$I$100,2)
+SUMIFS('19'!$N$7:$N$100,'19'!$H$7:$H$100,$A197,'19'!$I$7:$I$100,2)+SUMIFS('20'!$N$7:$N$100,'20'!$H$7:$H$100,$A197,'20'!$I$7:$I$100,2)+SUMIFS('20a'!$N$7:$N$100,'20a'!$H$7:$H$100,$A197,'20a'!$I$7:$I$100,2)+SUMIFS('21'!$N$7:$N$100,'21'!$H$7:$H$100,$A197,'21'!$I$7:$I$100,2)+SUMIFS('22'!$N$7:$N$100,'22'!$H$7:$H$100,$A197,'22'!$I$7:$I$100,2)+SUMIFS('22a'!$N$7:$N$100,'22a'!$H$7:$H$100,$A197,'22a'!$I$7:$I$100,2)+SUMIFS('22b'!$N$7:$N$100,'22b'!$H$7:$H$100,$A197,'22b'!$I$7:$I$100,2)+SUMIFS('23'!$N$7:$N$100,'23'!$H$7:$H$100,$A197,'23'!$I$7:$I$100,2)+SUMIFS('24'!$N$7:$N$100,'24'!$H$7:$H$100,$A197,'24'!$I$7:$I$100,2)+SUMIFS('24a'!$N$7:$N$100,'24a'!$H$7:$H$100,$A197,'24a'!$I$7:$I$100,2)+SUMIFS('24b'!$N$7:$N$100,'24b'!$H$7:$H$100,$A197,'24b'!$I$7:$I$100,2)+SUMIFS('24c'!$N$7:$N$100,'24c'!$H$7:$H$100,$A197,'24c'!$I$7:$I$100,2)+SUMIFS('24d'!$N$7:$N$100,'24d'!$H$7:$H$100,$A197,'24d'!$I$7:$I$100,2)+SUMIFS('24e'!$N$7:$N$100,'24e'!$H$7:$H$100,$A197,'24e'!$I$7:$I$100,2)+SUMIFS('24f'!$N$7:$N$100,'24f'!$H$7:$H$100,$A197,'24f'!$I$7:$I$100,2)+SUMIFS('24g'!$N$7:$N$100,'24g'!$H$7:$H$100,$A197,'24g'!$I$7:$I$100,2)+SUMIFS('24h'!$N$7:$N$100,'24h'!$H$7:$H$100,$A197,'24h'!$I$7:$I$100,2)+SUMIFS('24i'!$N$7:$N$100,'24i'!$H$7:$H$100,$A197,'24i'!$I$7:$I$100,2)+SUMIFS('25'!$N$7:$N$100,'25'!$H$7:$H$100,$A197,'25'!$I$7:$I$100,2)+SUMIFS('26'!$N$7:$N$100,'26'!$H$7:$H$100,$A197,'26'!$I$7:$I$100,2)+SUMIFS('26a'!$N$7:$N$100,'26a'!$H$7:$H$100,$A197,'26a'!$I$7:$I$100,2)+SUMIFS('27'!$N$7:$N$100,'27'!$H$7:$H$100,$A197,'27'!$I$7:$I$100,2)+SUMIFS('27a'!$N$7:$N$100,'27a'!$H$7:$H$100,$A197,'27a'!$I$7:$I$100,2)+SUMIFS('28'!$N$7:$N$100,'28'!$H$7:$H$100,$A197,'28'!$I$7:$I$100,2)+SUMIFS('29'!$N$7:$N$100,'29'!$H$7:$H$100,$A197,'29'!$I$7:$I$100,2)</f>
        <v>0</v>
      </c>
      <c r="E197" s="1315">
        <f>SUMIFS('12'!$N$7:$N$100,'12'!$H$7:$H$100,$A197,'12'!$I$7:$I$100,"")+SUMIFS('13'!$N$7:$N$100,'13'!$H$7:$H$100,$A197,'13'!$I$7:$I$100,"")+SUMIFS('14'!$N$7:$N$100,'14'!$H$7:$H$100,$A197,'14'!$I$7:$I$100,"")+SUMIFS('15'!$N$7:$N$100,'15'!$H$7:$H$100,$A197,'15'!$I$7:$I$100,"")+SUMIFS('15a'!$N$7:$N$100,'15a'!$H$7:$H$100,$A197,'15a'!$I$7:$I$100,"")+SUMIFS('15b'!$N$7:$N$100,'15b'!$H$7:$H$100,$A197,'15b'!$I$7:$I$100,"")+SUMIFS('15c'!$N$7:$N$100,'15c'!$H$7:$H$100,$A197,'15c'!$I$7:$I$100,"")+SUMIFS('15d'!$N$7:$N$100,'15d'!$H$7:$H$100,$A197,'15d'!$I$7:$I$100,"")+SUMIFS('15e'!$N$7:$N$100,'15e'!$H$7:$H$100,$A197,'15e'!$I$7:$I$100,"")+SUMIFS('15f'!$N$7:$N$100,'15f'!$H$7:$H$100,$A197,'15f'!$I$7:$I$100,"")+SUMIFS('15g'!$N$7:$N$100,'15g'!$H$7:$H$100,$A197,'15g'!$I$7:$I$100,"")+SUMIFS('15h'!$N$7:$N$100,'15h'!$H$7:$H$100,$A197,'15h'!$I$7:$I$100,"")+SUMIFS('15i'!$N$7:$N$100,'15i'!$H$7:$H$100,$A197,'15i'!$I$7:$I$100,"")+SUMIFS('15j'!$N$7:$N$100,'15j'!$H$7:$H$100,$A197,'15j'!$I$7:$I$100,"")+SUMIFS('15k'!$N$7:$N$100,'15k'!$H$7:$H$100,$A197,'15k'!$I$7:$I$100,"")+SUMIFS('15l'!$N$7:$N$100,'15l'!$H$7:$H$100,$A197,'15l'!$I$7:$I$100,"")+SUMIFS('15m'!$N$7:$N$100,'15m'!$H$7:$H$100,$A197,'15m'!$I$7:$I$100,"")+SUMIFS('15n'!$N$7:$N$100,'15n'!$H$7:$H$100,$A197,'15n'!$I$7:$I$100,"")+SUMIFS('16'!$N$7:$N$100,'16'!$H$7:$H$100,$A197,'16'!$I$7:$I$100,"")+SUMIFS('16a'!$N$7:$N$100,'16a'!$H$7:$H$100,$A197,'16a'!$I$7:$I$100,"")+SUMIFS('17'!$N$7:$N$100,'17'!$H$7:$H$100,$A197,'17'!$I$7:$I$100,"")+SUMIFS('17a'!$N$7:$N$100,'17a'!$H$7:$H$100,$A197,'17a'!$I$7:$I$100,"")+SUMIFS('18'!$N$7:$N$100,'18'!$H$7:$H$100,$A197,'18'!$I$7:$I$100,"")+SUMIFS('18a'!$N$7:$N$100,'18a'!$H$7:$H$100,$A197,'18a'!$I$7:$I$100,"")
+SUMIFS('19'!$N$7:$N$100,'19'!$H$7:$H$100,$A197,'19'!$I$7:$I$100,"")+SUMIFS('20'!$N$7:$N$100,'20'!$H$7:$H$100,$A197,'20'!$I$7:$I$100,"")+SUMIFS('20a'!$N$7:$N$100,'20a'!$H$7:$H$100,$A197,'20a'!$I$7:$I$100,"")+SUMIFS('21'!$N$7:$N$100,'21'!$H$7:$H$100,$A197,'21'!$I$7:$I$100,"")+SUMIFS('22'!$N$7:$N$100,'22'!$H$7:$H$100,$A197,'22'!$I$7:$I$100,"")+SUMIFS('22a'!$N$7:$N$100,'22a'!$H$7:$H$100,$A197,'22a'!$I$7:$I$100,"")+SUMIFS('22b'!$N$7:$N$100,'22b'!$H$7:$H$100,$A197,'22b'!$I$7:$I$100,"")+SUMIFS('23'!$N$7:$N$100,'23'!$H$7:$H$100,$A197,'23'!$I$7:$I$100,"")+SUMIFS('24'!$N$7:$N$100,'24'!$H$7:$H$100,$A197,'24'!$I$7:$I$100,"")+SUMIFS('24a'!$N$7:$N$100,'24a'!$H$7:$H$100,$A197,'24a'!$I$7:$I$100,"")+SUMIFS('24b'!$N$7:$N$100,'24b'!$H$7:$H$100,$A197,'24b'!$I$7:$I$100,"")+SUMIFS('24c'!$N$7:$N$100,'24c'!$H$7:$H$100,$A197,'24c'!$I$7:$I$100,"")+SUMIFS('24d'!$N$7:$N$100,'24d'!$H$7:$H$100,$A197,'24d'!$I$7:$I$100,"")+SUMIFS('24e'!$N$7:$N$100,'24e'!$H$7:$H$100,$A197,'24e'!$I$7:$I$100,"")+SUMIFS('24f'!$N$7:$N$100,'24f'!$H$7:$H$100,$A197,'24f'!$I$7:$I$100,"")+SUMIFS('24g'!$N$7:$N$100,'24g'!$H$7:$H$100,$A197,'24g'!$I$7:$I$100,"")+SUMIFS('24h'!$N$7:$N$100,'24h'!$H$7:$H$100,$A197,'24h'!$I$7:$I$100,"")+SUMIFS('24i'!$N$7:$N$100,'24i'!$H$7:$H$100,$A197,'24i'!$I$7:$I$100,"")+SUMIFS('25'!$N$7:$N$100,'25'!$H$7:$H$100,$A197,'25'!$I$7:$I$100,"")+SUMIFS('26'!$N$7:$N$100,'26'!$H$7:$H$100,$A197,'26'!$I$7:$I$100,"")+SUMIFS('26a'!$N$7:$N$100,'26a'!$H$7:$H$100,$A197,'26a'!$I$7:$I$100,"")+SUMIFS('27'!$N$7:$N$100,'27'!$H$7:$H$100,$A197,'27'!$I$7:$I$100,"")+SUMIFS('27a'!$N$7:$N$100,'27a'!$H$7:$H$100,$A197,'27a'!$I$7:$I$100,"")+SUMIFS('28'!$N$7:$N$100,'28'!$H$7:$H$100,$A197,'28'!$I$7:$I$100,"")+SUMIFS('29'!$N$7:$N$100,'29'!$H$7:$H$100,$A197,'29'!$I$7:$I$100,"")</f>
        <v>0</v>
      </c>
      <c r="F197" s="1296">
        <f t="shared" si="8"/>
        <v>0</v>
      </c>
      <c r="G197" s="1295">
        <f>SUMIFS('12'!$J$7:$J$100,'12'!$H$7:$H$100,$A197,'12'!$I$7:$I$100,1)+SUMIFS('13'!$J$7:$J$100,'13'!$H$7:$H$100,$A197,'13'!$I$7:$I$100,1)+SUMIFS('14'!$J$7:$J$100,'14'!$H$7:$H$100,$A197,'14'!$I$7:$I$100,1)+SUMIFS('15'!$J$7:$J$100,'15'!$H$7:$H$100,$A197,'15'!$I$7:$I$100,1)+SUMIFS('15a'!$J$7:$J$100,'15a'!$H$7:$H$100,$A197,'15a'!$I$7:$I$100,1)+SUMIFS('15b'!$J$7:$J$100,'15b'!$H$7:$H$100,$A197,'15b'!$I$7:$I$100,1)+SUMIFS('15c'!$J$7:$J$100,'15c'!$H$7:$H$100,$A197,'15c'!$I$7:$I$100,1)+SUMIFS('15d'!$J$7:$J$100,'15d'!$H$7:$H$100,$A197,'15d'!$I$7:$I$100,1)+SUMIFS('15e'!$J$7:$J$100,'15e'!$H$7:$H$100,$A197,'15e'!$I$7:$I$100,1)+SUMIFS('15f'!$J$7:$J$100,'15f'!$H$7:$H$100,$A197,'15f'!$I$7:$I$100,1)+SUMIFS('15g'!$J$7:$J$100,'15g'!$H$7:$H$100,$A197,'15g'!$I$7:$I$100,1)+SUMIFS('15h'!$J$7:$J$100,'15h'!$H$7:$H$100,$A197,'15h'!$I$7:$I$100,1)+SUMIFS('15i'!$J$7:$J$100,'15i'!$H$7:$H$100,$A197,'15i'!$I$7:$I$100,1)+SUMIFS('15j'!$J$7:$J$100,'15j'!$H$7:$H$100,$A197,'15j'!$I$7:$I$100,1)+SUMIFS('15k'!$J$7:$J$100,'15k'!$H$7:$H$100,$A197,'15k'!$I$7:$I$100,1)+SUMIFS('15l'!$J$7:$J$100,'15l'!$H$7:$H$100,$A197,'15l'!$I$7:$I$100,1)+SUMIFS('15m'!$J$7:$J$100,'15m'!$H$7:$H$100,$A197,'15m'!$I$7:$I$100,1)+SUMIFS('15n'!$J$7:$J$100,'15n'!$H$7:$H$100,$A197,'15n'!$I$7:$I$100,1)+SUMIFS('16'!$J$7:$J$100,'16'!$H$7:$H$100,$A197,'16'!$I$7:$I$100,1)+SUMIFS('16a'!$J$7:$J$100,'16a'!$H$7:$H$100,$A197,'16a'!$I$7:$I$100,1)+SUMIFS('17'!$J$7:$J$100,'17'!$H$7:$H$100,$A197,'17'!$I$7:$I$100,1)+SUMIFS('17a'!$J$7:$J$100,'17a'!$H$7:$H$100,$A197,'17a'!$I$7:$I$100,1)+SUMIFS('18'!$J$7:$J$100,'18'!$H$7:$H$100,$A197,'18'!$I$7:$I$100,1)+SUMIFS('18a'!$J$7:$J$100,'18a'!$H$7:$H$100,$A197,'18a'!$I$7:$I$100,1)
+SUMIFS('19'!$J$7:$J$100,'19'!$H$7:$H$100,$A197,'19'!$I$7:$I$100,1)+SUMIFS('20'!$J$7:$J$100,'20'!$H$7:$H$100,$A197,'20'!$I$7:$I$100,1)+SUMIFS('20a'!$J$7:$J$100,'20a'!$H$7:$H$100,$A197,'20a'!$I$7:$I$100,1)+SUMIFS('21'!$J$7:$J$100,'21'!$H$7:$H$100,$A197,'21'!$I$7:$I$100,1)+SUMIFS('22'!$J$7:$J$100,'22'!$H$7:$H$100,$A197,'22'!$I$7:$I$100,1)+SUMIFS('22a'!$J$7:$J$100,'22a'!$H$7:$H$100,$A197,'22a'!$I$7:$I$100,1)+SUMIFS('22b'!$J$7:$J$100,'22b'!$H$7:$H$100,$A197,'22b'!$I$7:$I$100,1)+SUMIFS('23'!$J$7:$J$100,'23'!$H$7:$H$100,$A197,'23'!$I$7:$I$100,1)+SUMIFS('24'!$J$7:$J$100,'24'!$H$7:$H$100,$A197,'24'!$I$7:$I$100,1)+SUMIFS('24a'!$J$7:$J$100,'24a'!$H$7:$H$100,$A197,'24a'!$I$7:$I$100,1)+SUMIFS('24b'!$J$7:$J$100,'24b'!$H$7:$H$100,$A197,'24b'!$I$7:$I$100,1)+SUMIFS('24c'!$J$7:$J$100,'24c'!$H$7:$H$100,$A197,'24c'!$I$7:$I$100,1)+SUMIFS('24d'!$J$7:$J$100,'24d'!$H$7:$H$100,$A197,'24d'!$I$7:$I$100,1)+SUMIFS('24e'!$J$7:$J$100,'24e'!$H$7:$H$100,$A197,'24e'!$I$7:$I$100,1)+SUMIFS('24f'!$J$7:$J$100,'24f'!$H$7:$H$100,$A197,'24f'!$I$7:$I$100,1)+SUMIFS('24g'!$J$7:$J$100,'24g'!$H$7:$H$100,$A197,'24g'!$I$7:$I$100,1)+SUMIFS('24h'!$J$7:$J$100,'24h'!$H$7:$H$100,$A197,'24h'!$I$7:$I$100,1)+SUMIFS('24i'!$J$7:$J$100,'24i'!$H$7:$H$100,$A197,'24i'!$I$7:$I$100,1)+SUMIFS('25'!$J$7:$J$100,'25'!$H$7:$H$100,$A197,'25'!$I$7:$I$100,1)+SUMIFS('26'!$J$7:$J$100,'26'!$H$7:$H$100,$A197,'26'!$I$7:$I$100,1)+SUMIFS('26a'!$J$7:$J$100,'26a'!$H$7:$H$100,$A197,'26a'!$I$7:$I$100,1)+SUMIFS('27'!$J$7:$J$100,'27'!$H$7:$H$100,$A197,'27'!$I$7:$I$100,1)+SUMIFS('27a'!$J$7:$J$100,'27a'!$H$7:$H$100,$A197,'27a'!$I$7:$I$100,1)+SUMIFS('28'!$J$7:$J$100,'28'!$H$7:$H$100,$A197,'28'!$I$7:$I$100,1)+SUMIFS('29'!$J$7:$J$100,'29'!$H$7:$H$100,$A197,'29'!$I$7:$I$100,1)</f>
        <v>0</v>
      </c>
      <c r="H197" s="1315">
        <f>SUMIFS('12'!$J$7:$J$100,'12'!$H$7:$H$100,$A197,'12'!$I$7:$I$100,2)+SUMIFS('13'!$J$7:$J$100,'13'!$H$7:$H$100,$A197,'13'!$I$7:$I$100,2)+SUMIFS('14'!$J$7:$J$100,'14'!$H$7:$H$100,$A197,'14'!$I$7:$I$100,2)+SUMIFS('15'!$J$7:$J$100,'15'!$H$7:$H$100,$A197,'15'!$I$7:$I$100,2)+SUMIFS('15a'!$J$7:$J$100,'15a'!$H$7:$H$100,$A197,'15a'!$I$7:$I$100,2)+SUMIFS('15b'!$J$7:$J$100,'15b'!$H$7:$H$100,$A197,'15b'!$I$7:$I$100,2)+SUMIFS('15c'!$J$7:$J$100,'15c'!$H$7:$H$100,$A197,'15c'!$I$7:$I$100,2)+SUMIFS('15d'!$J$7:$J$100,'15d'!$H$7:$H$100,$A197,'15d'!$I$7:$I$100,2)+SUMIFS('15e'!$J$7:$J$100,'15e'!$H$7:$H$100,$A197,'15e'!$I$7:$I$100,2)+SUMIFS('15f'!$J$7:$J$100,'15f'!$H$7:$H$100,$A197,'15f'!$I$7:$I$100,2)+SUMIFS('15g'!$J$7:$J$100,'15g'!$H$7:$H$100,$A197,'15g'!$I$7:$I$100,2)+SUMIFS('15h'!$J$7:$J$100,'15h'!$H$7:$H$100,$A197,'15h'!$I$7:$I$100,2)+SUMIFS('15i'!$J$7:$J$100,'15i'!$H$7:$H$100,$A197,'15i'!$I$7:$I$100,2)+SUMIFS('15j'!$J$7:$J$100,'15j'!$H$7:$H$100,$A197,'15j'!$I$7:$I$100,2)+SUMIFS('15k'!$J$7:$J$100,'15k'!$H$7:$H$100,$A197,'15k'!$I$7:$I$100,2)+SUMIFS('15l'!$J$7:$J$100,'15l'!$H$7:$H$100,$A197,'15l'!$I$7:$I$100,2)+SUMIFS('15m'!$J$7:$J$100,'15m'!$H$7:$H$100,$A197,'15m'!$I$7:$I$100,2)+SUMIFS('15n'!$J$7:$J$100,'15n'!$H$7:$H$100,$A197,'15n'!$I$7:$I$100,2)+SUMIFS('16'!$J$7:$J$100,'16'!$H$7:$H$100,$A197,'16'!$I$7:$I$100,2)+SUMIFS('16a'!$J$7:$J$100,'16a'!$H$7:$H$100,$A197,'16a'!$I$7:$I$100,2)+SUMIFS('17'!$J$7:$J$100,'17'!$H$7:$H$100,$A197,'17'!$I$7:$I$100,2)+SUMIFS('17a'!$J$7:$J$100,'17a'!$H$7:$H$100,$A197,'17a'!$I$7:$I$100,2)+SUMIFS('18'!$J$7:$J$100,'18'!$H$7:$H$100,$A197,'18'!$I$7:$I$100,2)+SUMIFS('18a'!$J$7:$J$100,'18a'!$H$7:$H$100,$A197,'18a'!$I$7:$I$100,2)
+SUMIFS('19'!$J$7:$J$100,'19'!$H$7:$H$100,$A197,'19'!$I$7:$I$100,2)+SUMIFS('20'!$J$7:$J$100,'20'!$H$7:$H$100,$A197,'20'!$I$7:$I$100,2)+SUMIFS('20a'!$J$7:$J$100,'20a'!$H$7:$H$100,$A197,'20a'!$I$7:$I$100,2)+SUMIFS('21'!$J$7:$J$100,'21'!$H$7:$H$100,$A197,'21'!$I$7:$I$100,2)+SUMIFS('22'!$J$7:$J$100,'22'!$H$7:$H$100,$A197,'22'!$I$7:$I$100,2)+SUMIFS('22a'!$J$7:$J$100,'22a'!$H$7:$H$100,$A197,'22a'!$I$7:$I$100,2)+SUMIFS('22b'!$J$7:$J$100,'22b'!$H$7:$H$100,$A197,'22b'!$I$7:$I$100,2)+SUMIFS('23'!$J$7:$J$100,'23'!$H$7:$H$100,$A197,'23'!$I$7:$I$100,2)+SUMIFS('24'!$J$7:$J$100,'24'!$H$7:$H$100,$A197,'24'!$I$7:$I$100,2)+SUMIFS('24a'!$J$7:$J$100,'24a'!$H$7:$H$100,$A197,'24a'!$I$7:$I$100,2)+SUMIFS('24b'!$J$7:$J$100,'24b'!$H$7:$H$100,$A197,'24b'!$I$7:$I$100,2)+SUMIFS('24c'!$J$7:$J$100,'24c'!$H$7:$H$100,$A197,'24c'!$I$7:$I$100,2)+SUMIFS('24d'!$J$7:$J$100,'24d'!$H$7:$H$100,$A197,'24d'!$I$7:$I$100,2)+SUMIFS('24e'!$J$7:$J$100,'24e'!$H$7:$H$100,$A197,'24e'!$I$7:$I$100,2)+SUMIFS('24f'!$J$7:$J$100,'24f'!$H$7:$H$100,$A197,'24f'!$I$7:$I$100,2)+SUMIFS('24g'!$J$7:$J$100,'24g'!$H$7:$H$100,$A197,'24g'!$I$7:$I$100,2)+SUMIFS('24h'!$J$7:$J$100,'24h'!$H$7:$H$100,$A197,'24h'!$I$7:$I$100,2)+SUMIFS('24i'!$J$7:$J$100,'24i'!$H$7:$H$100,$A197,'24i'!$I$7:$I$100,2)+SUMIFS('25'!$J$7:$J$100,'25'!$H$7:$H$100,$A197,'25'!$I$7:$I$100,2)+SUMIFS('26'!$J$7:$J$100,'26'!$H$7:$H$100,$A197,'26'!$I$7:$I$100,2)+SUMIFS('26a'!$J$7:$J$100,'26a'!$H$7:$H$100,$A197,'26a'!$I$7:$I$100,2)+SUMIFS('27'!$J$7:$J$100,'27'!$H$7:$H$100,$A197,'27'!$I$7:$I$100,2)+SUMIFS('27a'!$J$7:$J$100,'27a'!$H$7:$H$100,$A197,'27a'!$I$7:$I$100,2)+SUMIFS('28'!$J$7:$J$100,'28'!$H$7:$H$100,$A197,'28'!$I$7:$I$100,2)+SUMIFS('29'!$J$7:$J$100,'29'!$H$7:$H$100,$A197,'29'!$I$7:$I$100,2)</f>
        <v>0</v>
      </c>
      <c r="I197" s="1315">
        <f>SUMIFS('12'!$J$7:$J$100,'12'!$H$7:$H$100,$A197,'12'!$I$7:$I$100,"")+SUMIFS('13'!$J$7:$J$100,'13'!$H$7:$H$100,$A197,'13'!$I$7:$I$100,"")+SUMIFS('14'!$J$7:$J$100,'14'!$H$7:$H$100,$A197,'14'!$I$7:$I$100,"")+SUMIFS('15'!$J$7:$J$100,'15'!$H$7:$H$100,$A197,'15'!$I$7:$I$100,"")+SUMIFS('15a'!$J$7:$J$100,'15a'!$H$7:$H$100,$A197,'15a'!$I$7:$I$100,"")+SUMIFS('15b'!$J$7:$J$100,'15b'!$H$7:$H$100,$A197,'15b'!$I$7:$I$100,"")+SUMIFS('15c'!$J$7:$J$100,'15c'!$H$7:$H$100,$A197,'15c'!$I$7:$I$100,"")+SUMIFS('15d'!$J$7:$J$100,'15d'!$H$7:$H$100,$A197,'15d'!$I$7:$I$100,"")+SUMIFS('15e'!$J$7:$J$100,'15e'!$H$7:$H$100,$A197,'15e'!$I$7:$I$100,"")+SUMIFS('15f'!$J$7:$J$100,'15f'!$H$7:$H$100,$A197,'15f'!$I$7:$I$100,"")+SUMIFS('15g'!$J$7:$J$100,'15g'!$H$7:$H$100,$A197,'15g'!$I$7:$I$100,"")+SUMIFS('15h'!$J$7:$J$100,'15h'!$H$7:$H$100,$A197,'15h'!$I$7:$I$100,"")+SUMIFS('15i'!$J$7:$J$100,'15i'!$H$7:$H$100,$A197,'15i'!$I$7:$I$100,"")+SUMIFS('15j'!$J$7:$J$100,'15j'!$H$7:$H$100,$A197,'15j'!$I$7:$I$100,"")+SUMIFS('15k'!$J$7:$J$100,'15k'!$H$7:$H$100,$A197,'15k'!$I$7:$I$100,"")+SUMIFS('15l'!$J$7:$J$100,'15l'!$H$7:$H$100,$A197,'15l'!$I$7:$I$100,"")+SUMIFS('15m'!$J$7:$J$100,'15m'!$H$7:$H$100,$A197,'15m'!$I$7:$I$100,"")+SUMIFS('15n'!$J$7:$J$100,'15n'!$H$7:$H$100,$A197,'15n'!$I$7:$I$100,"")+SUMIFS('16'!$J$7:$J$100,'16'!$H$7:$H$100,$A197,'16'!$I$7:$I$100,"")+SUMIFS('16a'!$J$7:$J$100,'16a'!$H$7:$H$100,$A197,'16a'!$I$7:$I$100,"")+SUMIFS('17'!$J$7:$J$100,'17'!$H$7:$H$100,$A197,'17'!$I$7:$I$100,"")+SUMIFS('17a'!$J$7:$J$100,'17a'!$H$7:$H$100,$A197,'17a'!$I$7:$I$100,"")+SUMIFS('18'!$J$7:$J$100,'18'!$H$7:$H$100,$A197,'18'!$I$7:$I$100,"")+SUMIFS('18a'!$J$7:$J$100,'18a'!$H$7:$H$100,$A197,'18a'!$I$7:$I$100,"")
+SUMIFS('19'!$J$7:$J$100,'19'!$H$7:$H$100,$A197,'19'!$I$7:$I$100,"")+SUMIFS('20'!$J$7:$J$100,'20'!$H$7:$H$100,$A197,'20'!$I$7:$I$100,"")+SUMIFS('20a'!$J$7:$J$100,'20a'!$H$7:$H$100,$A197,'20a'!$I$7:$I$100,"")+SUMIFS('21'!$J$7:$J$100,'21'!$H$7:$H$100,$A197,'21'!$I$7:$I$100,"")+SUMIFS('22'!$J$7:$J$100,'22'!$H$7:$H$100,$A197,'22'!$I$7:$I$100,"")+SUMIFS('22a'!$J$7:$J$100,'22a'!$H$7:$H$100,$A197,'22a'!$I$7:$I$100,"")+SUMIFS('22b'!$J$7:$J$100,'22b'!$H$7:$H$100,$A197,'22b'!$I$7:$I$100,"")+SUMIFS('23'!$J$7:$J$100,'23'!$H$7:$H$100,$A197,'23'!$I$7:$I$100,"")+SUMIFS('24'!$J$7:$J$100,'24'!$H$7:$H$100,$A197,'24'!$I$7:$I$100,"")+SUMIFS('24a'!$J$7:$J$100,'24a'!$H$7:$H$100,$A197,'24a'!$I$7:$I$100,"")+SUMIFS('24b'!$J$7:$J$100,'24b'!$H$7:$H$100,$A197,'24b'!$I$7:$I$100,"")+SUMIFS('24c'!$J$7:$J$100,'24c'!$H$7:$H$100,$A197,'24c'!$I$7:$I$100,"")+SUMIFS('24d'!$J$7:$J$100,'24d'!$H$7:$H$100,$A197,'24d'!$I$7:$I$100,"")+SUMIFS('24e'!$J$7:$J$100,'24e'!$H$7:$H$100,$A197,'24e'!$I$7:$I$100,"")+SUMIFS('24f'!$J$7:$J$100,'24f'!$H$7:$H$100,$A197,'24f'!$I$7:$I$100,"")+SUMIFS('24g'!$J$7:$J$100,'24g'!$H$7:$H$100,$A197,'24g'!$I$7:$I$100,"")+SUMIFS('24h'!$J$7:$J$100,'24h'!$H$7:$H$100,$A197,'24h'!$I$7:$I$100,"")+SUMIFS('24i'!$J$7:$J$100,'24i'!$H$7:$H$100,$A197,'24i'!$I$7:$I$100,"")+SUMIFS('25'!$J$7:$J$100,'25'!$H$7:$H$100,$A197,'25'!$I$7:$I$100,"")+SUMIFS('26'!$J$7:$J$100,'26'!$H$7:$H$100,$A197,'26'!$I$7:$I$100,"")+SUMIFS('26a'!$J$7:$J$100,'26a'!$H$7:$H$100,$A197,'26a'!$I$7:$I$100,"")+SUMIFS('27'!$J$7:$J$100,'27'!$H$7:$H$100,$A197,'27'!$I$7:$I$100,"")+SUMIFS('27a'!$J$7:$J$100,'27a'!$H$7:$H$100,$A197,'27a'!$I$7:$I$100,"")+SUMIFS('28'!$J$7:$J$100,'28'!$H$7:$H$100,$A197,'28'!$I$7:$I$100,"")+SUMIFS('29'!$J$7:$J$100,'29'!$H$7:$H$100,$A197,'29'!$I$7:$I$100,"")</f>
        <v>0</v>
      </c>
      <c r="J197" s="1296">
        <f t="shared" si="9"/>
        <v>0</v>
      </c>
      <c r="K197"/>
      <c r="L197"/>
      <c r="M197"/>
      <c r="N197"/>
      <c r="O197"/>
      <c r="P197"/>
      <c r="Q197"/>
      <c r="R197"/>
      <c r="S197" s="1307">
        <f t="shared" si="2"/>
        <v>0</v>
      </c>
      <c r="T197"/>
    </row>
    <row r="198" spans="1:20" x14ac:dyDescent="0.2">
      <c r="A198" t="s">
        <v>5075</v>
      </c>
      <c r="B198" t="s">
        <v>5481</v>
      </c>
      <c r="C198" s="1295">
        <f>SUMIFS('12'!$N$7:$N$100,'12'!$H$7:$H$100,$A198,'12'!$I$7:$I$100,1)+SUMIFS('13'!$N$7:$N$100,'13'!$H$7:$H$100,$A198,'13'!$I$7:$I$100,1)+SUMIFS('14'!$N$7:$N$100,'14'!$H$7:$H$100,$A198,'14'!$I$7:$I$100,1)+SUMIFS('15'!$N$7:$N$100,'15'!$H$7:$H$100,$A198,'15'!$I$7:$I$100,1)+SUMIFS('15a'!$N$7:$N$100,'15a'!$H$7:$H$100,$A198,'15a'!$I$7:$I$100,1)+SUMIFS('15b'!$N$7:$N$100,'15b'!$H$7:$H$100,$A198,'15b'!$I$7:$I$100,1)+SUMIFS('15c'!$N$7:$N$100,'15c'!$H$7:$H$100,$A198,'15c'!$I$7:$I$100,1)+SUMIFS('15d'!$N$7:$N$100,'15d'!$H$7:$H$100,$A198,'15d'!$I$7:$I$100,1)+SUMIFS('15e'!$N$7:$N$100,'15e'!$H$7:$H$100,$A198,'15e'!$I$7:$I$100,1)+SUMIFS('15f'!$N$7:$N$100,'15f'!$H$7:$H$100,$A198,'15f'!$I$7:$I$100,1)+SUMIFS('15g'!$N$7:$N$100,'15g'!$H$7:$H$100,$A198,'15g'!$I$7:$I$100,1)+SUMIFS('15h'!$N$7:$N$100,'15h'!$H$7:$H$100,$A198,'15h'!$I$7:$I$100,1)+SUMIFS('15i'!$N$7:$N$100,'15i'!$H$7:$H$100,$A198,'15i'!$I$7:$I$100,1)+SUMIFS('15j'!$N$7:$N$100,'15j'!$H$7:$H$100,$A198,'15j'!$I$7:$I$100,1)+SUMIFS('15k'!$N$7:$N$100,'15k'!$H$7:$H$100,$A198,'15k'!$I$7:$I$100,1)+SUMIFS('15l'!$N$7:$N$100,'15l'!$H$7:$H$100,$A198,'15l'!$I$7:$I$100,1)+SUMIFS('15m'!$N$7:$N$100,'15m'!$H$7:$H$100,$A198,'15m'!$I$7:$I$100,1)+SUMIFS('15n'!$N$7:$N$100,'15n'!$H$7:$H$100,$A198,'15n'!$I$7:$I$100,1)+SUMIFS('16'!$N$7:$N$100,'16'!$H$7:$H$100,$A198,'16'!$I$7:$I$100,1)+SUMIFS('16a'!$N$7:$N$100,'16a'!$H$7:$H$100,$A198,'16a'!$I$7:$I$100,1)+SUMIFS('17'!$N$7:$N$100,'17'!$H$7:$H$100,$A198,'17'!$I$7:$I$100,1)+SUMIFS('17a'!$N$7:$N$100,'17a'!$H$7:$H$100,$A198,'17a'!$I$7:$I$100,1)+SUMIFS('18'!$N$7:$N$100,'18'!$H$7:$H$100,$A198,'18'!$I$7:$I$100,1)+SUMIFS('18a'!$N$7:$N$100,'18a'!$H$7:$H$100,$A198,'18a'!$I$7:$I$100,1)
+SUMIFS('19'!$N$7:$N$100,'19'!$H$7:$H$100,$A198,'19'!$I$7:$I$100,1)+SUMIFS('20'!$N$7:$N$100,'20'!$H$7:$H$100,$A198,'20'!$I$7:$I$100,1)+SUMIFS('20a'!$N$7:$N$100,'20a'!$H$7:$H$100,$A198,'20a'!$I$7:$I$100,1)+SUMIFS('21'!$N$7:$N$100,'21'!$H$7:$H$100,$A198,'21'!$I$7:$I$100,1)+SUMIFS('22'!$N$7:$N$100,'22'!$H$7:$H$100,$A198,'22'!$I$7:$I$100,1)+SUMIFS('22a'!$N$7:$N$100,'22a'!$H$7:$H$100,$A198,'22a'!$I$7:$I$100,1)+SUMIFS('22b'!$N$7:$N$100,'22b'!$H$7:$H$100,$A198,'22b'!$I$7:$I$100,1)+SUMIFS('23'!$N$7:$N$100,'23'!$H$7:$H$100,$A198,'23'!$I$7:$I$100,1)+SUMIFS('24'!$N$7:$N$100,'24'!$H$7:$H$100,$A198,'24'!$I$7:$I$100,1)+SUMIFS('24a'!$N$7:$N$100,'24a'!$H$7:$H$100,$A198,'24a'!$I$7:$I$100,1)+SUMIFS('24b'!$N$7:$N$100,'24b'!$H$7:$H$100,$A198,'24b'!$I$7:$I$100,1)+SUMIFS('24c'!$N$7:$N$100,'24c'!$H$7:$H$100,$A198,'24c'!$I$7:$I$100,1)+SUMIFS('24d'!$N$7:$N$100,'24d'!$H$7:$H$100,$A198,'24d'!$I$7:$I$100,1)+SUMIFS('24e'!$N$7:$N$100,'24e'!$H$7:$H$100,$A198,'24e'!$I$7:$I$100,1)+SUMIFS('24f'!$N$7:$N$100,'24f'!$H$7:$H$100,$A198,'24f'!$I$7:$I$100,1)+SUMIFS('24g'!$N$7:$N$100,'24g'!$H$7:$H$100,$A198,'24g'!$I$7:$I$100,1)+SUMIFS('24h'!$N$7:$N$100,'24h'!$H$7:$H$100,$A198,'24h'!$I$7:$I$100,1)+SUMIFS('24i'!$N$7:$N$100,'24i'!$H$7:$H$100,$A198,'24i'!$I$7:$I$100,1)+SUMIFS('25'!$N$7:$N$100,'25'!$H$7:$H$100,$A198,'25'!$I$7:$I$100,1)+SUMIFS('26'!$N$7:$N$100,'26'!$H$7:$H$100,$A198,'26'!$I$7:$I$100,1)+SUMIFS('26a'!$N$7:$N$100,'26a'!$H$7:$H$100,$A198,'26a'!$I$7:$I$100,1)+SUMIFS('27'!$N$7:$N$100,'27'!$H$7:$H$100,$A198,'27'!$I$7:$I$100,1)+SUMIFS('27a'!$N$7:$N$100,'27a'!$H$7:$H$100,$A198,'27a'!$I$7:$I$100,1)+SUMIFS('28'!$N$7:$N$100,'28'!$H$7:$H$100,$A198,'28'!$I$7:$I$100,1)+SUMIFS('29'!$N$7:$N$100,'29'!$H$7:$H$100,$A198,'29'!$I$7:$I$100,1)</f>
        <v>0</v>
      </c>
      <c r="D198" s="1315">
        <f>SUMIFS('12'!$N$7:$N$100,'12'!$H$7:$H$100,$A198,'12'!$I$7:$I$100,2)+SUMIFS('13'!$N$7:$N$100,'13'!$H$7:$H$100,$A198,'13'!$I$7:$I$100,2)+SUMIFS('14'!$N$7:$N$100,'14'!$H$7:$H$100,$A198,'14'!$I$7:$I$100,2)+SUMIFS('15'!$N$7:$N$100,'15'!$H$7:$H$100,$A198,'15'!$I$7:$I$100,2)+SUMIFS('15a'!$N$7:$N$100,'15a'!$H$7:$H$100,$A198,'15a'!$I$7:$I$100,2)+SUMIFS('15b'!$N$7:$N$100,'15b'!$H$7:$H$100,$A198,'15b'!$I$7:$I$100,2)+SUMIFS('15c'!$N$7:$N$100,'15c'!$H$7:$H$100,$A198,'15c'!$I$7:$I$100,2)+SUMIFS('15d'!$N$7:$N$100,'15d'!$H$7:$H$100,$A198,'15d'!$I$7:$I$100,2)+SUMIFS('15e'!$N$7:$N$100,'15e'!$H$7:$H$100,$A198,'15e'!$I$7:$I$100,2)+SUMIFS('15f'!$N$7:$N$100,'15f'!$H$7:$H$100,$A198,'15f'!$I$7:$I$100,2)+SUMIFS('15g'!$N$7:$N$100,'15g'!$H$7:$H$100,$A198,'15g'!$I$7:$I$100,2)+SUMIFS('15h'!$N$7:$N$100,'15h'!$H$7:$H$100,$A198,'15h'!$I$7:$I$100,2)+SUMIFS('15i'!$N$7:$N$100,'15i'!$H$7:$H$100,$A198,'15i'!$I$7:$I$100,2)+SUMIFS('15j'!$N$7:$N$100,'15j'!$H$7:$H$100,$A198,'15j'!$I$7:$I$100,2)+SUMIFS('15k'!$N$7:$N$100,'15k'!$H$7:$H$100,$A198,'15k'!$I$7:$I$100,2)+SUMIFS('15l'!$N$7:$N$100,'15l'!$H$7:$H$100,$A198,'15l'!$I$7:$I$100,2)+SUMIFS('15m'!$N$7:$N$100,'15m'!$H$7:$H$100,$A198,'15m'!$I$7:$I$100,2)+SUMIFS('15n'!$N$7:$N$100,'15n'!$H$7:$H$100,$A198,'15n'!$I$7:$I$100,2)+SUMIFS('16'!$N$7:$N$100,'16'!$H$7:$H$100,$A198,'16'!$I$7:$I$100,2)+SUMIFS('16a'!$N$7:$N$100,'16a'!$H$7:$H$100,$A198,'16a'!$I$7:$I$100,2)+SUMIFS('17'!$N$7:$N$100,'17'!$H$7:$H$100,$A198,'17'!$I$7:$I$100,2)+SUMIFS('17a'!$N$7:$N$100,'17a'!$H$7:$H$100,$A198,'17a'!$I$7:$I$100,2)+SUMIFS('18'!$N$7:$N$100,'18'!$H$7:$H$100,$A198,'18'!$I$7:$I$100,2)+SUMIFS('18a'!$N$7:$N$100,'18a'!$H$7:$H$100,$A198,'18a'!$I$7:$I$100,2)
+SUMIFS('19'!$N$7:$N$100,'19'!$H$7:$H$100,$A198,'19'!$I$7:$I$100,2)+SUMIFS('20'!$N$7:$N$100,'20'!$H$7:$H$100,$A198,'20'!$I$7:$I$100,2)+SUMIFS('20a'!$N$7:$N$100,'20a'!$H$7:$H$100,$A198,'20a'!$I$7:$I$100,2)+SUMIFS('21'!$N$7:$N$100,'21'!$H$7:$H$100,$A198,'21'!$I$7:$I$100,2)+SUMIFS('22'!$N$7:$N$100,'22'!$H$7:$H$100,$A198,'22'!$I$7:$I$100,2)+SUMIFS('22a'!$N$7:$N$100,'22a'!$H$7:$H$100,$A198,'22a'!$I$7:$I$100,2)+SUMIFS('22b'!$N$7:$N$100,'22b'!$H$7:$H$100,$A198,'22b'!$I$7:$I$100,2)+SUMIFS('23'!$N$7:$N$100,'23'!$H$7:$H$100,$A198,'23'!$I$7:$I$100,2)+SUMIFS('24'!$N$7:$N$100,'24'!$H$7:$H$100,$A198,'24'!$I$7:$I$100,2)+SUMIFS('24a'!$N$7:$N$100,'24a'!$H$7:$H$100,$A198,'24a'!$I$7:$I$100,2)+SUMIFS('24b'!$N$7:$N$100,'24b'!$H$7:$H$100,$A198,'24b'!$I$7:$I$100,2)+SUMIFS('24c'!$N$7:$N$100,'24c'!$H$7:$H$100,$A198,'24c'!$I$7:$I$100,2)+SUMIFS('24d'!$N$7:$N$100,'24d'!$H$7:$H$100,$A198,'24d'!$I$7:$I$100,2)+SUMIFS('24e'!$N$7:$N$100,'24e'!$H$7:$H$100,$A198,'24e'!$I$7:$I$100,2)+SUMIFS('24f'!$N$7:$N$100,'24f'!$H$7:$H$100,$A198,'24f'!$I$7:$I$100,2)+SUMIFS('24g'!$N$7:$N$100,'24g'!$H$7:$H$100,$A198,'24g'!$I$7:$I$100,2)+SUMIFS('24h'!$N$7:$N$100,'24h'!$H$7:$H$100,$A198,'24h'!$I$7:$I$100,2)+SUMIFS('24i'!$N$7:$N$100,'24i'!$H$7:$H$100,$A198,'24i'!$I$7:$I$100,2)+SUMIFS('25'!$N$7:$N$100,'25'!$H$7:$H$100,$A198,'25'!$I$7:$I$100,2)+SUMIFS('26'!$N$7:$N$100,'26'!$H$7:$H$100,$A198,'26'!$I$7:$I$100,2)+SUMIFS('26a'!$N$7:$N$100,'26a'!$H$7:$H$100,$A198,'26a'!$I$7:$I$100,2)+SUMIFS('27'!$N$7:$N$100,'27'!$H$7:$H$100,$A198,'27'!$I$7:$I$100,2)+SUMIFS('27a'!$N$7:$N$100,'27a'!$H$7:$H$100,$A198,'27a'!$I$7:$I$100,2)+SUMIFS('28'!$N$7:$N$100,'28'!$H$7:$H$100,$A198,'28'!$I$7:$I$100,2)+SUMIFS('29'!$N$7:$N$100,'29'!$H$7:$H$100,$A198,'29'!$I$7:$I$100,2)</f>
        <v>0</v>
      </c>
      <c r="E198" s="1315">
        <f>SUMIFS('12'!$N$7:$N$100,'12'!$H$7:$H$100,$A198,'12'!$I$7:$I$100,"")+SUMIFS('13'!$N$7:$N$100,'13'!$H$7:$H$100,$A198,'13'!$I$7:$I$100,"")+SUMIFS('14'!$N$7:$N$100,'14'!$H$7:$H$100,$A198,'14'!$I$7:$I$100,"")+SUMIFS('15'!$N$7:$N$100,'15'!$H$7:$H$100,$A198,'15'!$I$7:$I$100,"")+SUMIFS('15a'!$N$7:$N$100,'15a'!$H$7:$H$100,$A198,'15a'!$I$7:$I$100,"")+SUMIFS('15b'!$N$7:$N$100,'15b'!$H$7:$H$100,$A198,'15b'!$I$7:$I$100,"")+SUMIFS('15c'!$N$7:$N$100,'15c'!$H$7:$H$100,$A198,'15c'!$I$7:$I$100,"")+SUMIFS('15d'!$N$7:$N$100,'15d'!$H$7:$H$100,$A198,'15d'!$I$7:$I$100,"")+SUMIFS('15e'!$N$7:$N$100,'15e'!$H$7:$H$100,$A198,'15e'!$I$7:$I$100,"")+SUMIFS('15f'!$N$7:$N$100,'15f'!$H$7:$H$100,$A198,'15f'!$I$7:$I$100,"")+SUMIFS('15g'!$N$7:$N$100,'15g'!$H$7:$H$100,$A198,'15g'!$I$7:$I$100,"")+SUMIFS('15h'!$N$7:$N$100,'15h'!$H$7:$H$100,$A198,'15h'!$I$7:$I$100,"")+SUMIFS('15i'!$N$7:$N$100,'15i'!$H$7:$H$100,$A198,'15i'!$I$7:$I$100,"")+SUMIFS('15j'!$N$7:$N$100,'15j'!$H$7:$H$100,$A198,'15j'!$I$7:$I$100,"")+SUMIFS('15k'!$N$7:$N$100,'15k'!$H$7:$H$100,$A198,'15k'!$I$7:$I$100,"")+SUMIFS('15l'!$N$7:$N$100,'15l'!$H$7:$H$100,$A198,'15l'!$I$7:$I$100,"")+SUMIFS('15m'!$N$7:$N$100,'15m'!$H$7:$H$100,$A198,'15m'!$I$7:$I$100,"")+SUMIFS('15n'!$N$7:$N$100,'15n'!$H$7:$H$100,$A198,'15n'!$I$7:$I$100,"")+SUMIFS('16'!$N$7:$N$100,'16'!$H$7:$H$100,$A198,'16'!$I$7:$I$100,"")+SUMIFS('16a'!$N$7:$N$100,'16a'!$H$7:$H$100,$A198,'16a'!$I$7:$I$100,"")+SUMIFS('17'!$N$7:$N$100,'17'!$H$7:$H$100,$A198,'17'!$I$7:$I$100,"")+SUMIFS('17a'!$N$7:$N$100,'17a'!$H$7:$H$100,$A198,'17a'!$I$7:$I$100,"")+SUMIFS('18'!$N$7:$N$100,'18'!$H$7:$H$100,$A198,'18'!$I$7:$I$100,"")+SUMIFS('18a'!$N$7:$N$100,'18a'!$H$7:$H$100,$A198,'18a'!$I$7:$I$100,"")
+SUMIFS('19'!$N$7:$N$100,'19'!$H$7:$H$100,$A198,'19'!$I$7:$I$100,"")+SUMIFS('20'!$N$7:$N$100,'20'!$H$7:$H$100,$A198,'20'!$I$7:$I$100,"")+SUMIFS('20a'!$N$7:$N$100,'20a'!$H$7:$H$100,$A198,'20a'!$I$7:$I$100,"")+SUMIFS('21'!$N$7:$N$100,'21'!$H$7:$H$100,$A198,'21'!$I$7:$I$100,"")+SUMIFS('22'!$N$7:$N$100,'22'!$H$7:$H$100,$A198,'22'!$I$7:$I$100,"")+SUMIFS('22a'!$N$7:$N$100,'22a'!$H$7:$H$100,$A198,'22a'!$I$7:$I$100,"")+SUMIFS('22b'!$N$7:$N$100,'22b'!$H$7:$H$100,$A198,'22b'!$I$7:$I$100,"")+SUMIFS('23'!$N$7:$N$100,'23'!$H$7:$H$100,$A198,'23'!$I$7:$I$100,"")+SUMIFS('24'!$N$7:$N$100,'24'!$H$7:$H$100,$A198,'24'!$I$7:$I$100,"")+SUMIFS('24a'!$N$7:$N$100,'24a'!$H$7:$H$100,$A198,'24a'!$I$7:$I$100,"")+SUMIFS('24b'!$N$7:$N$100,'24b'!$H$7:$H$100,$A198,'24b'!$I$7:$I$100,"")+SUMIFS('24c'!$N$7:$N$100,'24c'!$H$7:$H$100,$A198,'24c'!$I$7:$I$100,"")+SUMIFS('24d'!$N$7:$N$100,'24d'!$H$7:$H$100,$A198,'24d'!$I$7:$I$100,"")+SUMIFS('24e'!$N$7:$N$100,'24e'!$H$7:$H$100,$A198,'24e'!$I$7:$I$100,"")+SUMIFS('24f'!$N$7:$N$100,'24f'!$H$7:$H$100,$A198,'24f'!$I$7:$I$100,"")+SUMIFS('24g'!$N$7:$N$100,'24g'!$H$7:$H$100,$A198,'24g'!$I$7:$I$100,"")+SUMIFS('24h'!$N$7:$N$100,'24h'!$H$7:$H$100,$A198,'24h'!$I$7:$I$100,"")+SUMIFS('24i'!$N$7:$N$100,'24i'!$H$7:$H$100,$A198,'24i'!$I$7:$I$100,"")+SUMIFS('25'!$N$7:$N$100,'25'!$H$7:$H$100,$A198,'25'!$I$7:$I$100,"")+SUMIFS('26'!$N$7:$N$100,'26'!$H$7:$H$100,$A198,'26'!$I$7:$I$100,"")+SUMIFS('26a'!$N$7:$N$100,'26a'!$H$7:$H$100,$A198,'26a'!$I$7:$I$100,"")+SUMIFS('27'!$N$7:$N$100,'27'!$H$7:$H$100,$A198,'27'!$I$7:$I$100,"")+SUMIFS('27a'!$N$7:$N$100,'27a'!$H$7:$H$100,$A198,'27a'!$I$7:$I$100,"")+SUMIFS('28'!$N$7:$N$100,'28'!$H$7:$H$100,$A198,'28'!$I$7:$I$100,"")+SUMIFS('29'!$N$7:$N$100,'29'!$H$7:$H$100,$A198,'29'!$I$7:$I$100,"")</f>
        <v>0</v>
      </c>
      <c r="F198" s="1296">
        <f t="shared" si="8"/>
        <v>0</v>
      </c>
      <c r="G198" s="1295">
        <f>SUMIFS('12'!$J$7:$J$100,'12'!$H$7:$H$100,$A198,'12'!$I$7:$I$100,1)+SUMIFS('13'!$J$7:$J$100,'13'!$H$7:$H$100,$A198,'13'!$I$7:$I$100,1)+SUMIFS('14'!$J$7:$J$100,'14'!$H$7:$H$100,$A198,'14'!$I$7:$I$100,1)+SUMIFS('15'!$J$7:$J$100,'15'!$H$7:$H$100,$A198,'15'!$I$7:$I$100,1)+SUMIFS('15a'!$J$7:$J$100,'15a'!$H$7:$H$100,$A198,'15a'!$I$7:$I$100,1)+SUMIFS('15b'!$J$7:$J$100,'15b'!$H$7:$H$100,$A198,'15b'!$I$7:$I$100,1)+SUMIFS('15c'!$J$7:$J$100,'15c'!$H$7:$H$100,$A198,'15c'!$I$7:$I$100,1)+SUMIFS('15d'!$J$7:$J$100,'15d'!$H$7:$H$100,$A198,'15d'!$I$7:$I$100,1)+SUMIFS('15e'!$J$7:$J$100,'15e'!$H$7:$H$100,$A198,'15e'!$I$7:$I$100,1)+SUMIFS('15f'!$J$7:$J$100,'15f'!$H$7:$H$100,$A198,'15f'!$I$7:$I$100,1)+SUMIFS('15g'!$J$7:$J$100,'15g'!$H$7:$H$100,$A198,'15g'!$I$7:$I$100,1)+SUMIFS('15h'!$J$7:$J$100,'15h'!$H$7:$H$100,$A198,'15h'!$I$7:$I$100,1)+SUMIFS('15i'!$J$7:$J$100,'15i'!$H$7:$H$100,$A198,'15i'!$I$7:$I$100,1)+SUMIFS('15j'!$J$7:$J$100,'15j'!$H$7:$H$100,$A198,'15j'!$I$7:$I$100,1)+SUMIFS('15k'!$J$7:$J$100,'15k'!$H$7:$H$100,$A198,'15k'!$I$7:$I$100,1)+SUMIFS('15l'!$J$7:$J$100,'15l'!$H$7:$H$100,$A198,'15l'!$I$7:$I$100,1)+SUMIFS('15m'!$J$7:$J$100,'15m'!$H$7:$H$100,$A198,'15m'!$I$7:$I$100,1)+SUMIFS('15n'!$J$7:$J$100,'15n'!$H$7:$H$100,$A198,'15n'!$I$7:$I$100,1)+SUMIFS('16'!$J$7:$J$100,'16'!$H$7:$H$100,$A198,'16'!$I$7:$I$100,1)+SUMIFS('16a'!$J$7:$J$100,'16a'!$H$7:$H$100,$A198,'16a'!$I$7:$I$100,1)+SUMIFS('17'!$J$7:$J$100,'17'!$H$7:$H$100,$A198,'17'!$I$7:$I$100,1)+SUMIFS('17a'!$J$7:$J$100,'17a'!$H$7:$H$100,$A198,'17a'!$I$7:$I$100,1)+SUMIFS('18'!$J$7:$J$100,'18'!$H$7:$H$100,$A198,'18'!$I$7:$I$100,1)+SUMIFS('18a'!$J$7:$J$100,'18a'!$H$7:$H$100,$A198,'18a'!$I$7:$I$100,1)
+SUMIFS('19'!$J$7:$J$100,'19'!$H$7:$H$100,$A198,'19'!$I$7:$I$100,1)+SUMIFS('20'!$J$7:$J$100,'20'!$H$7:$H$100,$A198,'20'!$I$7:$I$100,1)+SUMIFS('20a'!$J$7:$J$100,'20a'!$H$7:$H$100,$A198,'20a'!$I$7:$I$100,1)+SUMIFS('21'!$J$7:$J$100,'21'!$H$7:$H$100,$A198,'21'!$I$7:$I$100,1)+SUMIFS('22'!$J$7:$J$100,'22'!$H$7:$H$100,$A198,'22'!$I$7:$I$100,1)+SUMIFS('22a'!$J$7:$J$100,'22a'!$H$7:$H$100,$A198,'22a'!$I$7:$I$100,1)+SUMIFS('22b'!$J$7:$J$100,'22b'!$H$7:$H$100,$A198,'22b'!$I$7:$I$100,1)+SUMIFS('23'!$J$7:$J$100,'23'!$H$7:$H$100,$A198,'23'!$I$7:$I$100,1)+SUMIFS('24'!$J$7:$J$100,'24'!$H$7:$H$100,$A198,'24'!$I$7:$I$100,1)+SUMIFS('24a'!$J$7:$J$100,'24a'!$H$7:$H$100,$A198,'24a'!$I$7:$I$100,1)+SUMIFS('24b'!$J$7:$J$100,'24b'!$H$7:$H$100,$A198,'24b'!$I$7:$I$100,1)+SUMIFS('24c'!$J$7:$J$100,'24c'!$H$7:$H$100,$A198,'24c'!$I$7:$I$100,1)+SUMIFS('24d'!$J$7:$J$100,'24d'!$H$7:$H$100,$A198,'24d'!$I$7:$I$100,1)+SUMIFS('24e'!$J$7:$J$100,'24e'!$H$7:$H$100,$A198,'24e'!$I$7:$I$100,1)+SUMIFS('24f'!$J$7:$J$100,'24f'!$H$7:$H$100,$A198,'24f'!$I$7:$I$100,1)+SUMIFS('24g'!$J$7:$J$100,'24g'!$H$7:$H$100,$A198,'24g'!$I$7:$I$100,1)+SUMIFS('24h'!$J$7:$J$100,'24h'!$H$7:$H$100,$A198,'24h'!$I$7:$I$100,1)+SUMIFS('24i'!$J$7:$J$100,'24i'!$H$7:$H$100,$A198,'24i'!$I$7:$I$100,1)+SUMIFS('25'!$J$7:$J$100,'25'!$H$7:$H$100,$A198,'25'!$I$7:$I$100,1)+SUMIFS('26'!$J$7:$J$100,'26'!$H$7:$H$100,$A198,'26'!$I$7:$I$100,1)+SUMIFS('26a'!$J$7:$J$100,'26a'!$H$7:$H$100,$A198,'26a'!$I$7:$I$100,1)+SUMIFS('27'!$J$7:$J$100,'27'!$H$7:$H$100,$A198,'27'!$I$7:$I$100,1)+SUMIFS('27a'!$J$7:$J$100,'27a'!$H$7:$H$100,$A198,'27a'!$I$7:$I$100,1)+SUMIFS('28'!$J$7:$J$100,'28'!$H$7:$H$100,$A198,'28'!$I$7:$I$100,1)+SUMIFS('29'!$J$7:$J$100,'29'!$H$7:$H$100,$A198,'29'!$I$7:$I$100,1)</f>
        <v>0</v>
      </c>
      <c r="H198" s="1315">
        <f>SUMIFS('12'!$J$7:$J$100,'12'!$H$7:$H$100,$A198,'12'!$I$7:$I$100,2)+SUMIFS('13'!$J$7:$J$100,'13'!$H$7:$H$100,$A198,'13'!$I$7:$I$100,2)+SUMIFS('14'!$J$7:$J$100,'14'!$H$7:$H$100,$A198,'14'!$I$7:$I$100,2)+SUMIFS('15'!$J$7:$J$100,'15'!$H$7:$H$100,$A198,'15'!$I$7:$I$100,2)+SUMIFS('15a'!$J$7:$J$100,'15a'!$H$7:$H$100,$A198,'15a'!$I$7:$I$100,2)+SUMIFS('15b'!$J$7:$J$100,'15b'!$H$7:$H$100,$A198,'15b'!$I$7:$I$100,2)+SUMIFS('15c'!$J$7:$J$100,'15c'!$H$7:$H$100,$A198,'15c'!$I$7:$I$100,2)+SUMIFS('15d'!$J$7:$J$100,'15d'!$H$7:$H$100,$A198,'15d'!$I$7:$I$100,2)+SUMIFS('15e'!$J$7:$J$100,'15e'!$H$7:$H$100,$A198,'15e'!$I$7:$I$100,2)+SUMIFS('15f'!$J$7:$J$100,'15f'!$H$7:$H$100,$A198,'15f'!$I$7:$I$100,2)+SUMIFS('15g'!$J$7:$J$100,'15g'!$H$7:$H$100,$A198,'15g'!$I$7:$I$100,2)+SUMIFS('15h'!$J$7:$J$100,'15h'!$H$7:$H$100,$A198,'15h'!$I$7:$I$100,2)+SUMIFS('15i'!$J$7:$J$100,'15i'!$H$7:$H$100,$A198,'15i'!$I$7:$I$100,2)+SUMIFS('15j'!$J$7:$J$100,'15j'!$H$7:$H$100,$A198,'15j'!$I$7:$I$100,2)+SUMIFS('15k'!$J$7:$J$100,'15k'!$H$7:$H$100,$A198,'15k'!$I$7:$I$100,2)+SUMIFS('15l'!$J$7:$J$100,'15l'!$H$7:$H$100,$A198,'15l'!$I$7:$I$100,2)+SUMIFS('15m'!$J$7:$J$100,'15m'!$H$7:$H$100,$A198,'15m'!$I$7:$I$100,2)+SUMIFS('15n'!$J$7:$J$100,'15n'!$H$7:$H$100,$A198,'15n'!$I$7:$I$100,2)+SUMIFS('16'!$J$7:$J$100,'16'!$H$7:$H$100,$A198,'16'!$I$7:$I$100,2)+SUMIFS('16a'!$J$7:$J$100,'16a'!$H$7:$H$100,$A198,'16a'!$I$7:$I$100,2)+SUMIFS('17'!$J$7:$J$100,'17'!$H$7:$H$100,$A198,'17'!$I$7:$I$100,2)+SUMIFS('17a'!$J$7:$J$100,'17a'!$H$7:$H$100,$A198,'17a'!$I$7:$I$100,2)+SUMIFS('18'!$J$7:$J$100,'18'!$H$7:$H$100,$A198,'18'!$I$7:$I$100,2)+SUMIFS('18a'!$J$7:$J$100,'18a'!$H$7:$H$100,$A198,'18a'!$I$7:$I$100,2)
+SUMIFS('19'!$J$7:$J$100,'19'!$H$7:$H$100,$A198,'19'!$I$7:$I$100,2)+SUMIFS('20'!$J$7:$J$100,'20'!$H$7:$H$100,$A198,'20'!$I$7:$I$100,2)+SUMIFS('20a'!$J$7:$J$100,'20a'!$H$7:$H$100,$A198,'20a'!$I$7:$I$100,2)+SUMIFS('21'!$J$7:$J$100,'21'!$H$7:$H$100,$A198,'21'!$I$7:$I$100,2)+SUMIFS('22'!$J$7:$J$100,'22'!$H$7:$H$100,$A198,'22'!$I$7:$I$100,2)+SUMIFS('22a'!$J$7:$J$100,'22a'!$H$7:$H$100,$A198,'22a'!$I$7:$I$100,2)+SUMIFS('22b'!$J$7:$J$100,'22b'!$H$7:$H$100,$A198,'22b'!$I$7:$I$100,2)+SUMIFS('23'!$J$7:$J$100,'23'!$H$7:$H$100,$A198,'23'!$I$7:$I$100,2)+SUMIFS('24'!$J$7:$J$100,'24'!$H$7:$H$100,$A198,'24'!$I$7:$I$100,2)+SUMIFS('24a'!$J$7:$J$100,'24a'!$H$7:$H$100,$A198,'24a'!$I$7:$I$100,2)+SUMIFS('24b'!$J$7:$J$100,'24b'!$H$7:$H$100,$A198,'24b'!$I$7:$I$100,2)+SUMIFS('24c'!$J$7:$J$100,'24c'!$H$7:$H$100,$A198,'24c'!$I$7:$I$100,2)+SUMIFS('24d'!$J$7:$J$100,'24d'!$H$7:$H$100,$A198,'24d'!$I$7:$I$100,2)+SUMIFS('24e'!$J$7:$J$100,'24e'!$H$7:$H$100,$A198,'24e'!$I$7:$I$100,2)+SUMIFS('24f'!$J$7:$J$100,'24f'!$H$7:$H$100,$A198,'24f'!$I$7:$I$100,2)+SUMIFS('24g'!$J$7:$J$100,'24g'!$H$7:$H$100,$A198,'24g'!$I$7:$I$100,2)+SUMIFS('24h'!$J$7:$J$100,'24h'!$H$7:$H$100,$A198,'24h'!$I$7:$I$100,2)+SUMIFS('24i'!$J$7:$J$100,'24i'!$H$7:$H$100,$A198,'24i'!$I$7:$I$100,2)+SUMIFS('25'!$J$7:$J$100,'25'!$H$7:$H$100,$A198,'25'!$I$7:$I$100,2)+SUMIFS('26'!$J$7:$J$100,'26'!$H$7:$H$100,$A198,'26'!$I$7:$I$100,2)+SUMIFS('26a'!$J$7:$J$100,'26a'!$H$7:$H$100,$A198,'26a'!$I$7:$I$100,2)+SUMIFS('27'!$J$7:$J$100,'27'!$H$7:$H$100,$A198,'27'!$I$7:$I$100,2)+SUMIFS('27a'!$J$7:$J$100,'27a'!$H$7:$H$100,$A198,'27a'!$I$7:$I$100,2)+SUMIFS('28'!$J$7:$J$100,'28'!$H$7:$H$100,$A198,'28'!$I$7:$I$100,2)+SUMIFS('29'!$J$7:$J$100,'29'!$H$7:$H$100,$A198,'29'!$I$7:$I$100,2)</f>
        <v>0</v>
      </c>
      <c r="I198" s="1315">
        <f>SUMIFS('12'!$J$7:$J$100,'12'!$H$7:$H$100,$A198,'12'!$I$7:$I$100,"")+SUMIFS('13'!$J$7:$J$100,'13'!$H$7:$H$100,$A198,'13'!$I$7:$I$100,"")+SUMIFS('14'!$J$7:$J$100,'14'!$H$7:$H$100,$A198,'14'!$I$7:$I$100,"")+SUMIFS('15'!$J$7:$J$100,'15'!$H$7:$H$100,$A198,'15'!$I$7:$I$100,"")+SUMIFS('15a'!$J$7:$J$100,'15a'!$H$7:$H$100,$A198,'15a'!$I$7:$I$100,"")+SUMIFS('15b'!$J$7:$J$100,'15b'!$H$7:$H$100,$A198,'15b'!$I$7:$I$100,"")+SUMIFS('15c'!$J$7:$J$100,'15c'!$H$7:$H$100,$A198,'15c'!$I$7:$I$100,"")+SUMIFS('15d'!$J$7:$J$100,'15d'!$H$7:$H$100,$A198,'15d'!$I$7:$I$100,"")+SUMIFS('15e'!$J$7:$J$100,'15e'!$H$7:$H$100,$A198,'15e'!$I$7:$I$100,"")+SUMIFS('15f'!$J$7:$J$100,'15f'!$H$7:$H$100,$A198,'15f'!$I$7:$I$100,"")+SUMIFS('15g'!$J$7:$J$100,'15g'!$H$7:$H$100,$A198,'15g'!$I$7:$I$100,"")+SUMIFS('15h'!$J$7:$J$100,'15h'!$H$7:$H$100,$A198,'15h'!$I$7:$I$100,"")+SUMIFS('15i'!$J$7:$J$100,'15i'!$H$7:$H$100,$A198,'15i'!$I$7:$I$100,"")+SUMIFS('15j'!$J$7:$J$100,'15j'!$H$7:$H$100,$A198,'15j'!$I$7:$I$100,"")+SUMIFS('15k'!$J$7:$J$100,'15k'!$H$7:$H$100,$A198,'15k'!$I$7:$I$100,"")+SUMIFS('15l'!$J$7:$J$100,'15l'!$H$7:$H$100,$A198,'15l'!$I$7:$I$100,"")+SUMIFS('15m'!$J$7:$J$100,'15m'!$H$7:$H$100,$A198,'15m'!$I$7:$I$100,"")+SUMIFS('15n'!$J$7:$J$100,'15n'!$H$7:$H$100,$A198,'15n'!$I$7:$I$100,"")+SUMIFS('16'!$J$7:$J$100,'16'!$H$7:$H$100,$A198,'16'!$I$7:$I$100,"")+SUMIFS('16a'!$J$7:$J$100,'16a'!$H$7:$H$100,$A198,'16a'!$I$7:$I$100,"")+SUMIFS('17'!$J$7:$J$100,'17'!$H$7:$H$100,$A198,'17'!$I$7:$I$100,"")+SUMIFS('17a'!$J$7:$J$100,'17a'!$H$7:$H$100,$A198,'17a'!$I$7:$I$100,"")+SUMIFS('18'!$J$7:$J$100,'18'!$H$7:$H$100,$A198,'18'!$I$7:$I$100,"")+SUMIFS('18a'!$J$7:$J$100,'18a'!$H$7:$H$100,$A198,'18a'!$I$7:$I$100,"")
+SUMIFS('19'!$J$7:$J$100,'19'!$H$7:$H$100,$A198,'19'!$I$7:$I$100,"")+SUMIFS('20'!$J$7:$J$100,'20'!$H$7:$H$100,$A198,'20'!$I$7:$I$100,"")+SUMIFS('20a'!$J$7:$J$100,'20a'!$H$7:$H$100,$A198,'20a'!$I$7:$I$100,"")+SUMIFS('21'!$J$7:$J$100,'21'!$H$7:$H$100,$A198,'21'!$I$7:$I$100,"")+SUMIFS('22'!$J$7:$J$100,'22'!$H$7:$H$100,$A198,'22'!$I$7:$I$100,"")+SUMIFS('22a'!$J$7:$J$100,'22a'!$H$7:$H$100,$A198,'22a'!$I$7:$I$100,"")+SUMIFS('22b'!$J$7:$J$100,'22b'!$H$7:$H$100,$A198,'22b'!$I$7:$I$100,"")+SUMIFS('23'!$J$7:$J$100,'23'!$H$7:$H$100,$A198,'23'!$I$7:$I$100,"")+SUMIFS('24'!$J$7:$J$100,'24'!$H$7:$H$100,$A198,'24'!$I$7:$I$100,"")+SUMIFS('24a'!$J$7:$J$100,'24a'!$H$7:$H$100,$A198,'24a'!$I$7:$I$100,"")+SUMIFS('24b'!$J$7:$J$100,'24b'!$H$7:$H$100,$A198,'24b'!$I$7:$I$100,"")+SUMIFS('24c'!$J$7:$J$100,'24c'!$H$7:$H$100,$A198,'24c'!$I$7:$I$100,"")+SUMIFS('24d'!$J$7:$J$100,'24d'!$H$7:$H$100,$A198,'24d'!$I$7:$I$100,"")+SUMIFS('24e'!$J$7:$J$100,'24e'!$H$7:$H$100,$A198,'24e'!$I$7:$I$100,"")+SUMIFS('24f'!$J$7:$J$100,'24f'!$H$7:$H$100,$A198,'24f'!$I$7:$I$100,"")+SUMIFS('24g'!$J$7:$J$100,'24g'!$H$7:$H$100,$A198,'24g'!$I$7:$I$100,"")+SUMIFS('24h'!$J$7:$J$100,'24h'!$H$7:$H$100,$A198,'24h'!$I$7:$I$100,"")+SUMIFS('24i'!$J$7:$J$100,'24i'!$H$7:$H$100,$A198,'24i'!$I$7:$I$100,"")+SUMIFS('25'!$J$7:$J$100,'25'!$H$7:$H$100,$A198,'25'!$I$7:$I$100,"")+SUMIFS('26'!$J$7:$J$100,'26'!$H$7:$H$100,$A198,'26'!$I$7:$I$100,"")+SUMIFS('26a'!$J$7:$J$100,'26a'!$H$7:$H$100,$A198,'26a'!$I$7:$I$100,"")+SUMIFS('27'!$J$7:$J$100,'27'!$H$7:$H$100,$A198,'27'!$I$7:$I$100,"")+SUMIFS('27a'!$J$7:$J$100,'27a'!$H$7:$H$100,$A198,'27a'!$I$7:$I$100,"")+SUMIFS('28'!$J$7:$J$100,'28'!$H$7:$H$100,$A198,'28'!$I$7:$I$100,"")+SUMIFS('29'!$J$7:$J$100,'29'!$H$7:$H$100,$A198,'29'!$I$7:$I$100,"")</f>
        <v>0</v>
      </c>
      <c r="J198" s="1296">
        <f t="shared" si="9"/>
        <v>0</v>
      </c>
      <c r="K198"/>
      <c r="L198"/>
      <c r="M198"/>
      <c r="N198"/>
      <c r="O198"/>
      <c r="P198"/>
      <c r="Q198"/>
      <c r="R198"/>
      <c r="S198" s="1307">
        <f t="shared" si="2"/>
        <v>0</v>
      </c>
      <c r="T198"/>
    </row>
    <row r="199" spans="1:20" x14ac:dyDescent="0.2">
      <c r="A199"/>
      <c r="B199" s="1289" t="str">
        <f>"Total- "&amp;A189</f>
        <v>Total- Land Use Administration</v>
      </c>
      <c r="C199" s="1297">
        <f>SUM(C190:C191,C196:C198)</f>
        <v>2898</v>
      </c>
      <c r="D199" s="1290">
        <f>SUM(D190:D191,D196:D198)</f>
        <v>3441.12</v>
      </c>
      <c r="E199" s="1290">
        <f t="shared" ref="E199:J199" si="10">SUM(E190:E191,E196:E198)</f>
        <v>0</v>
      </c>
      <c r="F199" s="1298">
        <f t="shared" si="10"/>
        <v>6339.12</v>
      </c>
      <c r="G199" s="1297">
        <f t="shared" si="10"/>
        <v>2958</v>
      </c>
      <c r="H199" s="1290">
        <f t="shared" si="10"/>
        <v>8708.08</v>
      </c>
      <c r="I199" s="1290">
        <f t="shared" si="10"/>
        <v>0</v>
      </c>
      <c r="J199" s="1298">
        <f t="shared" si="10"/>
        <v>11666.08</v>
      </c>
      <c r="K199"/>
      <c r="L199"/>
      <c r="M199"/>
      <c r="N199"/>
      <c r="O199"/>
      <c r="P199"/>
      <c r="Q199"/>
      <c r="R199"/>
      <c r="S199" s="1307"/>
      <c r="T199"/>
    </row>
    <row r="200" spans="1:20" x14ac:dyDescent="0.2">
      <c r="A200"/>
      <c r="B200"/>
      <c r="C200" s="292"/>
      <c r="D200"/>
      <c r="E200"/>
      <c r="F200" s="345"/>
      <c r="G200" s="292"/>
      <c r="H200"/>
      <c r="I200"/>
      <c r="J200" s="345"/>
      <c r="K200"/>
      <c r="L200"/>
      <c r="M200"/>
      <c r="N200"/>
      <c r="O200"/>
      <c r="P200"/>
      <c r="Q200"/>
      <c r="R200"/>
      <c r="S200" s="1307"/>
      <c r="T200"/>
    </row>
    <row r="201" spans="1:20" x14ac:dyDescent="0.2">
      <c r="A201" s="106" t="s">
        <v>5441</v>
      </c>
      <c r="B201" s="5"/>
      <c r="C201" s="1299"/>
      <c r="D201" s="523"/>
      <c r="E201" s="5"/>
      <c r="F201" s="1322"/>
      <c r="G201" s="1299"/>
      <c r="H201" s="523"/>
      <c r="I201" s="5"/>
      <c r="J201" s="1322"/>
      <c r="K201"/>
      <c r="L201"/>
      <c r="M201"/>
      <c r="N201"/>
      <c r="O201"/>
      <c r="P201"/>
      <c r="Q201"/>
      <c r="R201"/>
      <c r="S201" s="1307"/>
      <c r="T201"/>
    </row>
    <row r="202" spans="1:20" ht="12.75" customHeight="1" x14ac:dyDescent="0.2">
      <c r="A202" t="s">
        <v>830</v>
      </c>
      <c r="B202" t="s">
        <v>294</v>
      </c>
      <c r="C202" s="1295">
        <f>SUMIFS('12'!$N$7:$N$100,'12'!$H$7:$H$100,$A202,'12'!$I$7:$I$100,1)+SUMIFS('13'!$N$7:$N$100,'13'!$H$7:$H$100,$A202,'13'!$I$7:$I$100,1)+SUMIFS('14'!$N$7:$N$100,'14'!$H$7:$H$100,$A202,'14'!$I$7:$I$100,1)+SUMIFS('15'!$N$7:$N$100,'15'!$H$7:$H$100,$A202,'15'!$I$7:$I$100,1)+SUMIFS('15a'!$N$7:$N$100,'15a'!$H$7:$H$100,$A202,'15a'!$I$7:$I$100,1)+SUMIFS('15b'!$N$7:$N$100,'15b'!$H$7:$H$100,$A202,'15b'!$I$7:$I$100,1)+SUMIFS('15c'!$N$7:$N$100,'15c'!$H$7:$H$100,$A202,'15c'!$I$7:$I$100,1)+SUMIFS('15d'!$N$7:$N$100,'15d'!$H$7:$H$100,$A202,'15d'!$I$7:$I$100,1)+SUMIFS('15e'!$N$7:$N$100,'15e'!$H$7:$H$100,$A202,'15e'!$I$7:$I$100,1)+SUMIFS('15f'!$N$7:$N$100,'15f'!$H$7:$H$100,$A202,'15f'!$I$7:$I$100,1)+SUMIFS('15g'!$N$7:$N$100,'15g'!$H$7:$H$100,$A202,'15g'!$I$7:$I$100,1)+SUMIFS('15h'!$N$7:$N$100,'15h'!$H$7:$H$100,$A202,'15h'!$I$7:$I$100,1)+SUMIFS('15i'!$N$7:$N$100,'15i'!$H$7:$H$100,$A202,'15i'!$I$7:$I$100,1)+SUMIFS('15j'!$N$7:$N$100,'15j'!$H$7:$H$100,$A202,'15j'!$I$7:$I$100,1)+SUMIFS('15k'!$N$7:$N$100,'15k'!$H$7:$H$100,$A202,'15k'!$I$7:$I$100,1)+SUMIFS('15l'!$N$7:$N$100,'15l'!$H$7:$H$100,$A202,'15l'!$I$7:$I$100,1)+SUMIFS('15m'!$N$7:$N$100,'15m'!$H$7:$H$100,$A202,'15m'!$I$7:$I$100,1)+SUMIFS('15n'!$N$7:$N$100,'15n'!$H$7:$H$100,$A202,'15n'!$I$7:$I$100,1)+SUMIFS('16'!$N$7:$N$100,'16'!$H$7:$H$100,$A202,'16'!$I$7:$I$100,1)+SUMIFS('16a'!$N$7:$N$100,'16a'!$H$7:$H$100,$A202,'16a'!$I$7:$I$100,1)+SUMIFS('17'!$N$7:$N$100,'17'!$H$7:$H$100,$A202,'17'!$I$7:$I$100,1)+SUMIFS('17a'!$N$7:$N$100,'17a'!$H$7:$H$100,$A202,'17a'!$I$7:$I$100,1)+SUMIFS('18'!$N$7:$N$100,'18'!$H$7:$H$100,$A202,'18'!$I$7:$I$100,1)+SUMIFS('18a'!$N$7:$N$100,'18a'!$H$7:$H$100,$A202,'18a'!$I$7:$I$100,1)
+SUMIFS('19'!$N$7:$N$100,'19'!$H$7:$H$100,$A202,'19'!$I$7:$I$100,1)+SUMIFS('20'!$N$7:$N$100,'20'!$H$7:$H$100,$A202,'20'!$I$7:$I$100,1)+SUMIFS('20a'!$N$7:$N$100,'20a'!$H$7:$H$100,$A202,'20a'!$I$7:$I$100,1)+SUMIFS('21'!$N$7:$N$100,'21'!$H$7:$H$100,$A202,'21'!$I$7:$I$100,1)+SUMIFS('22'!$N$7:$N$100,'22'!$H$7:$H$100,$A202,'22'!$I$7:$I$100,1)+SUMIFS('22a'!$N$7:$N$100,'22a'!$H$7:$H$100,$A202,'22a'!$I$7:$I$100,1)+SUMIFS('22b'!$N$7:$N$100,'22b'!$H$7:$H$100,$A202,'22b'!$I$7:$I$100,1)+SUMIFS('23'!$N$7:$N$100,'23'!$H$7:$H$100,$A202,'23'!$I$7:$I$100,1)+SUMIFS('24'!$N$7:$N$100,'24'!$H$7:$H$100,$A202,'24'!$I$7:$I$100,1)+SUMIFS('24a'!$N$7:$N$100,'24a'!$H$7:$H$100,$A202,'24a'!$I$7:$I$100,1)+SUMIFS('24b'!$N$7:$N$100,'24b'!$H$7:$H$100,$A202,'24b'!$I$7:$I$100,1)+SUMIFS('24c'!$N$7:$N$100,'24c'!$H$7:$H$100,$A202,'24c'!$I$7:$I$100,1)+SUMIFS('24d'!$N$7:$N$100,'24d'!$H$7:$H$100,$A202,'24d'!$I$7:$I$100,1)+SUMIFS('24e'!$N$7:$N$100,'24e'!$H$7:$H$100,$A202,'24e'!$I$7:$I$100,1)+SUMIFS('24f'!$N$7:$N$100,'24f'!$H$7:$H$100,$A202,'24f'!$I$7:$I$100,1)+SUMIFS('24g'!$N$7:$N$100,'24g'!$H$7:$H$100,$A202,'24g'!$I$7:$I$100,1)+SUMIFS('24h'!$N$7:$N$100,'24h'!$H$7:$H$100,$A202,'24h'!$I$7:$I$100,1)+SUMIFS('24i'!$N$7:$N$100,'24i'!$H$7:$H$100,$A202,'24i'!$I$7:$I$100,1)+SUMIFS('25'!$N$7:$N$100,'25'!$H$7:$H$100,$A202,'25'!$I$7:$I$100,1)+SUMIFS('26'!$N$7:$N$100,'26'!$H$7:$H$100,$A202,'26'!$I$7:$I$100,1)+SUMIFS('26a'!$N$7:$N$100,'26a'!$H$7:$H$100,$A202,'26a'!$I$7:$I$100,1)+SUMIFS('27'!$N$7:$N$100,'27'!$H$7:$H$100,$A202,'27'!$I$7:$I$100,1)+SUMIFS('27a'!$N$7:$N$100,'27a'!$H$7:$H$100,$A202,'27a'!$I$7:$I$100,1)+SUMIFS('28'!$N$7:$N$100,'28'!$H$7:$H$100,$A202,'28'!$I$7:$I$100,1)+SUMIFS('29'!$N$7:$N$100,'29'!$H$7:$H$100,$A202,'29'!$I$7:$I$100,1)</f>
        <v>0</v>
      </c>
      <c r="D202" s="1315">
        <f>SUMIFS('12'!$N$7:$N$100,'12'!$H$7:$H$100,$A202,'12'!$I$7:$I$100,2)+SUMIFS('13'!$N$7:$N$100,'13'!$H$7:$H$100,$A202,'13'!$I$7:$I$100,2)+SUMIFS('14'!$N$7:$N$100,'14'!$H$7:$H$100,$A202,'14'!$I$7:$I$100,2)+SUMIFS('15'!$N$7:$N$100,'15'!$H$7:$H$100,$A202,'15'!$I$7:$I$100,2)+SUMIFS('15a'!$N$7:$N$100,'15a'!$H$7:$H$100,$A202,'15a'!$I$7:$I$100,2)+SUMIFS('15b'!$N$7:$N$100,'15b'!$H$7:$H$100,$A202,'15b'!$I$7:$I$100,2)+SUMIFS('15c'!$N$7:$N$100,'15c'!$H$7:$H$100,$A202,'15c'!$I$7:$I$100,2)+SUMIFS('15d'!$N$7:$N$100,'15d'!$H$7:$H$100,$A202,'15d'!$I$7:$I$100,2)+SUMIFS('15e'!$N$7:$N$100,'15e'!$H$7:$H$100,$A202,'15e'!$I$7:$I$100,2)+SUMIFS('15f'!$N$7:$N$100,'15f'!$H$7:$H$100,$A202,'15f'!$I$7:$I$100,2)+SUMIFS('15g'!$N$7:$N$100,'15g'!$H$7:$H$100,$A202,'15g'!$I$7:$I$100,2)+SUMIFS('15h'!$N$7:$N$100,'15h'!$H$7:$H$100,$A202,'15h'!$I$7:$I$100,2)+SUMIFS('15i'!$N$7:$N$100,'15i'!$H$7:$H$100,$A202,'15i'!$I$7:$I$100,2)+SUMIFS('15j'!$N$7:$N$100,'15j'!$H$7:$H$100,$A202,'15j'!$I$7:$I$100,2)+SUMIFS('15k'!$N$7:$N$100,'15k'!$H$7:$H$100,$A202,'15k'!$I$7:$I$100,2)+SUMIFS('15l'!$N$7:$N$100,'15l'!$H$7:$H$100,$A202,'15l'!$I$7:$I$100,2)+SUMIFS('15m'!$N$7:$N$100,'15m'!$H$7:$H$100,$A202,'15m'!$I$7:$I$100,2)+SUMIFS('15n'!$N$7:$N$100,'15n'!$H$7:$H$100,$A202,'15n'!$I$7:$I$100,2)+SUMIFS('16'!$N$7:$N$100,'16'!$H$7:$H$100,$A202,'16'!$I$7:$I$100,2)+SUMIFS('16a'!$N$7:$N$100,'16a'!$H$7:$H$100,$A202,'16a'!$I$7:$I$100,2)+SUMIFS('17'!$N$7:$N$100,'17'!$H$7:$H$100,$A202,'17'!$I$7:$I$100,2)+SUMIFS('17a'!$N$7:$N$100,'17a'!$H$7:$H$100,$A202,'17a'!$I$7:$I$100,2)+SUMIFS('18'!$N$7:$N$100,'18'!$H$7:$H$100,$A202,'18'!$I$7:$I$100,2)+SUMIFS('18a'!$N$7:$N$100,'18a'!$H$7:$H$100,$A202,'18a'!$I$7:$I$100,2)
+SUMIFS('19'!$N$7:$N$100,'19'!$H$7:$H$100,$A202,'19'!$I$7:$I$100,2)+SUMIFS('20'!$N$7:$N$100,'20'!$H$7:$H$100,$A202,'20'!$I$7:$I$100,2)+SUMIFS('20a'!$N$7:$N$100,'20a'!$H$7:$H$100,$A202,'20a'!$I$7:$I$100,2)+SUMIFS('21'!$N$7:$N$100,'21'!$H$7:$H$100,$A202,'21'!$I$7:$I$100,2)+SUMIFS('22'!$N$7:$N$100,'22'!$H$7:$H$100,$A202,'22'!$I$7:$I$100,2)+SUMIFS('22a'!$N$7:$N$100,'22a'!$H$7:$H$100,$A202,'22a'!$I$7:$I$100,2)+SUMIFS('22b'!$N$7:$N$100,'22b'!$H$7:$H$100,$A202,'22b'!$I$7:$I$100,2)+SUMIFS('23'!$N$7:$N$100,'23'!$H$7:$H$100,$A202,'23'!$I$7:$I$100,2)+SUMIFS('24'!$N$7:$N$100,'24'!$H$7:$H$100,$A202,'24'!$I$7:$I$100,2)+SUMIFS('24a'!$N$7:$N$100,'24a'!$H$7:$H$100,$A202,'24a'!$I$7:$I$100,2)+SUMIFS('24b'!$N$7:$N$100,'24b'!$H$7:$H$100,$A202,'24b'!$I$7:$I$100,2)+SUMIFS('24c'!$N$7:$N$100,'24c'!$H$7:$H$100,$A202,'24c'!$I$7:$I$100,2)+SUMIFS('24d'!$N$7:$N$100,'24d'!$H$7:$H$100,$A202,'24d'!$I$7:$I$100,2)+SUMIFS('24e'!$N$7:$N$100,'24e'!$H$7:$H$100,$A202,'24e'!$I$7:$I$100,2)+SUMIFS('24f'!$N$7:$N$100,'24f'!$H$7:$H$100,$A202,'24f'!$I$7:$I$100,2)+SUMIFS('24g'!$N$7:$N$100,'24g'!$H$7:$H$100,$A202,'24g'!$I$7:$I$100,2)+SUMIFS('24h'!$N$7:$N$100,'24h'!$H$7:$H$100,$A202,'24h'!$I$7:$I$100,2)+SUMIFS('24i'!$N$7:$N$100,'24i'!$H$7:$H$100,$A202,'24i'!$I$7:$I$100,2)+SUMIFS('25'!$N$7:$N$100,'25'!$H$7:$H$100,$A202,'25'!$I$7:$I$100,2)+SUMIFS('26'!$N$7:$N$100,'26'!$H$7:$H$100,$A202,'26'!$I$7:$I$100,2)+SUMIFS('26a'!$N$7:$N$100,'26a'!$H$7:$H$100,$A202,'26a'!$I$7:$I$100,2)+SUMIFS('27'!$N$7:$N$100,'27'!$H$7:$H$100,$A202,'27'!$I$7:$I$100,2)+SUMIFS('27a'!$N$7:$N$100,'27a'!$H$7:$H$100,$A202,'27a'!$I$7:$I$100,2)+SUMIFS('28'!$N$7:$N$100,'28'!$H$7:$H$100,$A202,'28'!$I$7:$I$100,2)+SUMIFS('29'!$N$7:$N$100,'29'!$H$7:$H$100,$A202,'29'!$I$7:$I$100,2)</f>
        <v>0</v>
      </c>
      <c r="E202" s="1315">
        <f>SUMIFS('12'!$N$7:$N$100,'12'!$H$7:$H$100,$A202,'12'!$I$7:$I$100,"")+SUMIFS('13'!$N$7:$N$100,'13'!$H$7:$H$100,$A202,'13'!$I$7:$I$100,"")+SUMIFS('14'!$N$7:$N$100,'14'!$H$7:$H$100,$A202,'14'!$I$7:$I$100,"")+SUMIFS('15'!$N$7:$N$100,'15'!$H$7:$H$100,$A202,'15'!$I$7:$I$100,"")+SUMIFS('15a'!$N$7:$N$100,'15a'!$H$7:$H$100,$A202,'15a'!$I$7:$I$100,"")+SUMIFS('15b'!$N$7:$N$100,'15b'!$H$7:$H$100,$A202,'15b'!$I$7:$I$100,"")+SUMIFS('15c'!$N$7:$N$100,'15c'!$H$7:$H$100,$A202,'15c'!$I$7:$I$100,"")+SUMIFS('15d'!$N$7:$N$100,'15d'!$H$7:$H$100,$A202,'15d'!$I$7:$I$100,"")+SUMIFS('15e'!$N$7:$N$100,'15e'!$H$7:$H$100,$A202,'15e'!$I$7:$I$100,"")+SUMIFS('15f'!$N$7:$N$100,'15f'!$H$7:$H$100,$A202,'15f'!$I$7:$I$100,"")+SUMIFS('15g'!$N$7:$N$100,'15g'!$H$7:$H$100,$A202,'15g'!$I$7:$I$100,"")+SUMIFS('15h'!$N$7:$N$100,'15h'!$H$7:$H$100,$A202,'15h'!$I$7:$I$100,"")+SUMIFS('15i'!$N$7:$N$100,'15i'!$H$7:$H$100,$A202,'15i'!$I$7:$I$100,"")+SUMIFS('15j'!$N$7:$N$100,'15j'!$H$7:$H$100,$A202,'15j'!$I$7:$I$100,"")+SUMIFS('15k'!$N$7:$N$100,'15k'!$H$7:$H$100,$A202,'15k'!$I$7:$I$100,"")+SUMIFS('15l'!$N$7:$N$100,'15l'!$H$7:$H$100,$A202,'15l'!$I$7:$I$100,"")+SUMIFS('15m'!$N$7:$N$100,'15m'!$H$7:$H$100,$A202,'15m'!$I$7:$I$100,"")+SUMIFS('15n'!$N$7:$N$100,'15n'!$H$7:$H$100,$A202,'15n'!$I$7:$I$100,"")+SUMIFS('16'!$N$7:$N$100,'16'!$H$7:$H$100,$A202,'16'!$I$7:$I$100,"")+SUMIFS('16a'!$N$7:$N$100,'16a'!$H$7:$H$100,$A202,'16a'!$I$7:$I$100,"")+SUMIFS('17'!$N$7:$N$100,'17'!$H$7:$H$100,$A202,'17'!$I$7:$I$100,"")+SUMIFS('17a'!$N$7:$N$100,'17a'!$H$7:$H$100,$A202,'17a'!$I$7:$I$100,"")+SUMIFS('18'!$N$7:$N$100,'18'!$H$7:$H$100,$A202,'18'!$I$7:$I$100,"")+SUMIFS('18a'!$N$7:$N$100,'18a'!$H$7:$H$100,$A202,'18a'!$I$7:$I$100,"")
+SUMIFS('19'!$N$7:$N$100,'19'!$H$7:$H$100,$A202,'19'!$I$7:$I$100,"")+SUMIFS('20'!$N$7:$N$100,'20'!$H$7:$H$100,$A202,'20'!$I$7:$I$100,"")+SUMIFS('20a'!$N$7:$N$100,'20a'!$H$7:$H$100,$A202,'20a'!$I$7:$I$100,"")+SUMIFS('21'!$N$7:$N$100,'21'!$H$7:$H$100,$A202,'21'!$I$7:$I$100,"")+SUMIFS('22'!$N$7:$N$100,'22'!$H$7:$H$100,$A202,'22'!$I$7:$I$100,"")+SUMIFS('22a'!$N$7:$N$100,'22a'!$H$7:$H$100,$A202,'22a'!$I$7:$I$100,"")+SUMIFS('22b'!$N$7:$N$100,'22b'!$H$7:$H$100,$A202,'22b'!$I$7:$I$100,"")+SUMIFS('23'!$N$7:$N$100,'23'!$H$7:$H$100,$A202,'23'!$I$7:$I$100,"")+SUMIFS('24'!$N$7:$N$100,'24'!$H$7:$H$100,$A202,'24'!$I$7:$I$100,"")+SUMIFS('24a'!$N$7:$N$100,'24a'!$H$7:$H$100,$A202,'24a'!$I$7:$I$100,"")+SUMIFS('24b'!$N$7:$N$100,'24b'!$H$7:$H$100,$A202,'24b'!$I$7:$I$100,"")+SUMIFS('24c'!$N$7:$N$100,'24c'!$H$7:$H$100,$A202,'24c'!$I$7:$I$100,"")+SUMIFS('24d'!$N$7:$N$100,'24d'!$H$7:$H$100,$A202,'24d'!$I$7:$I$100,"")+SUMIFS('24e'!$N$7:$N$100,'24e'!$H$7:$H$100,$A202,'24e'!$I$7:$I$100,"")+SUMIFS('24f'!$N$7:$N$100,'24f'!$H$7:$H$100,$A202,'24f'!$I$7:$I$100,"")+SUMIFS('24g'!$N$7:$N$100,'24g'!$H$7:$H$100,$A202,'24g'!$I$7:$I$100,"")+SUMIFS('24h'!$N$7:$N$100,'24h'!$H$7:$H$100,$A202,'24h'!$I$7:$I$100,"")+SUMIFS('24i'!$N$7:$N$100,'24i'!$H$7:$H$100,$A202,'24i'!$I$7:$I$100,"")+SUMIFS('25'!$N$7:$N$100,'25'!$H$7:$H$100,$A202,'25'!$I$7:$I$100,"")+SUMIFS('26'!$N$7:$N$100,'26'!$H$7:$H$100,$A202,'26'!$I$7:$I$100,"")+SUMIFS('26a'!$N$7:$N$100,'26a'!$H$7:$H$100,$A202,'26a'!$I$7:$I$100,"")+SUMIFS('27'!$N$7:$N$100,'27'!$H$7:$H$100,$A202,'27'!$I$7:$I$100,"")+SUMIFS('27a'!$N$7:$N$100,'27a'!$H$7:$H$100,$A202,'27a'!$I$7:$I$100,"")+SUMIFS('28'!$N$7:$N$100,'28'!$H$7:$H$100,$A202,'28'!$I$7:$I$100,"")+SUMIFS('29'!$N$7:$N$100,'29'!$H$7:$H$100,$A202,'29'!$I$7:$I$100,"")</f>
        <v>0</v>
      </c>
      <c r="F202" s="1296">
        <f>SUM(C202:E202)</f>
        <v>0</v>
      </c>
      <c r="G202" s="1295">
        <f>SUMIFS('12'!$J$7:$J$100,'12'!$H$7:$H$100,$A202,'12'!$I$7:$I$100,1)+SUMIFS('13'!$J$7:$J$100,'13'!$H$7:$H$100,$A202,'13'!$I$7:$I$100,1)+SUMIFS('14'!$J$7:$J$100,'14'!$H$7:$H$100,$A202,'14'!$I$7:$I$100,1)+SUMIFS('15'!$J$7:$J$100,'15'!$H$7:$H$100,$A202,'15'!$I$7:$I$100,1)+SUMIFS('15a'!$J$7:$J$100,'15a'!$H$7:$H$100,$A202,'15a'!$I$7:$I$100,1)+SUMIFS('15b'!$J$7:$J$100,'15b'!$H$7:$H$100,$A202,'15b'!$I$7:$I$100,1)+SUMIFS('15c'!$J$7:$J$100,'15c'!$H$7:$H$100,$A202,'15c'!$I$7:$I$100,1)+SUMIFS('15d'!$J$7:$J$100,'15d'!$H$7:$H$100,$A202,'15d'!$I$7:$I$100,1)+SUMIFS('15e'!$J$7:$J$100,'15e'!$H$7:$H$100,$A202,'15e'!$I$7:$I$100,1)+SUMIFS('15f'!$J$7:$J$100,'15f'!$H$7:$H$100,$A202,'15f'!$I$7:$I$100,1)+SUMIFS('15g'!$J$7:$J$100,'15g'!$H$7:$H$100,$A202,'15g'!$I$7:$I$100,1)+SUMIFS('15h'!$J$7:$J$100,'15h'!$H$7:$H$100,$A202,'15h'!$I$7:$I$100,1)+SUMIFS('15i'!$J$7:$J$100,'15i'!$H$7:$H$100,$A202,'15i'!$I$7:$I$100,1)+SUMIFS('15j'!$J$7:$J$100,'15j'!$H$7:$H$100,$A202,'15j'!$I$7:$I$100,1)+SUMIFS('15k'!$J$7:$J$100,'15k'!$H$7:$H$100,$A202,'15k'!$I$7:$I$100,1)+SUMIFS('15l'!$J$7:$J$100,'15l'!$H$7:$H$100,$A202,'15l'!$I$7:$I$100,1)+SUMIFS('15m'!$J$7:$J$100,'15m'!$H$7:$H$100,$A202,'15m'!$I$7:$I$100,1)+SUMIFS('15n'!$J$7:$J$100,'15n'!$H$7:$H$100,$A202,'15n'!$I$7:$I$100,1)+SUMIFS('16'!$J$7:$J$100,'16'!$H$7:$H$100,$A202,'16'!$I$7:$I$100,1)+SUMIFS('16a'!$J$7:$J$100,'16a'!$H$7:$H$100,$A202,'16a'!$I$7:$I$100,1)+SUMIFS('17'!$J$7:$J$100,'17'!$H$7:$H$100,$A202,'17'!$I$7:$I$100,1)+SUMIFS('17a'!$J$7:$J$100,'17a'!$H$7:$H$100,$A202,'17a'!$I$7:$I$100,1)+SUMIFS('18'!$J$7:$J$100,'18'!$H$7:$H$100,$A202,'18'!$I$7:$I$100,1)+SUMIFS('18a'!$J$7:$J$100,'18a'!$H$7:$H$100,$A202,'18a'!$I$7:$I$100,1)
+SUMIFS('19'!$J$7:$J$100,'19'!$H$7:$H$100,$A202,'19'!$I$7:$I$100,1)+SUMIFS('20'!$J$7:$J$100,'20'!$H$7:$H$100,$A202,'20'!$I$7:$I$100,1)+SUMIFS('20a'!$J$7:$J$100,'20a'!$H$7:$H$100,$A202,'20a'!$I$7:$I$100,1)+SUMIFS('21'!$J$7:$J$100,'21'!$H$7:$H$100,$A202,'21'!$I$7:$I$100,1)+SUMIFS('22'!$J$7:$J$100,'22'!$H$7:$H$100,$A202,'22'!$I$7:$I$100,1)+SUMIFS('22a'!$J$7:$J$100,'22a'!$H$7:$H$100,$A202,'22a'!$I$7:$I$100,1)+SUMIFS('22b'!$J$7:$J$100,'22b'!$H$7:$H$100,$A202,'22b'!$I$7:$I$100,1)+SUMIFS('23'!$J$7:$J$100,'23'!$H$7:$H$100,$A202,'23'!$I$7:$I$100,1)+SUMIFS('24'!$J$7:$J$100,'24'!$H$7:$H$100,$A202,'24'!$I$7:$I$100,1)+SUMIFS('24a'!$J$7:$J$100,'24a'!$H$7:$H$100,$A202,'24a'!$I$7:$I$100,1)+SUMIFS('24b'!$J$7:$J$100,'24b'!$H$7:$H$100,$A202,'24b'!$I$7:$I$100,1)+SUMIFS('24c'!$J$7:$J$100,'24c'!$H$7:$H$100,$A202,'24c'!$I$7:$I$100,1)+SUMIFS('24d'!$J$7:$J$100,'24d'!$H$7:$H$100,$A202,'24d'!$I$7:$I$100,1)+SUMIFS('24e'!$J$7:$J$100,'24e'!$H$7:$H$100,$A202,'24e'!$I$7:$I$100,1)+SUMIFS('24f'!$J$7:$J$100,'24f'!$H$7:$H$100,$A202,'24f'!$I$7:$I$100,1)+SUMIFS('24g'!$J$7:$J$100,'24g'!$H$7:$H$100,$A202,'24g'!$I$7:$I$100,1)+SUMIFS('24h'!$J$7:$J$100,'24h'!$H$7:$H$100,$A202,'24h'!$I$7:$I$100,1)+SUMIFS('24i'!$J$7:$J$100,'24i'!$H$7:$H$100,$A202,'24i'!$I$7:$I$100,1)+SUMIFS('25'!$J$7:$J$100,'25'!$H$7:$H$100,$A202,'25'!$I$7:$I$100,1)+SUMIFS('26'!$J$7:$J$100,'26'!$H$7:$H$100,$A202,'26'!$I$7:$I$100,1)+SUMIFS('26a'!$J$7:$J$100,'26a'!$H$7:$H$100,$A202,'26a'!$I$7:$I$100,1)+SUMIFS('27'!$J$7:$J$100,'27'!$H$7:$H$100,$A202,'27'!$I$7:$I$100,1)+SUMIFS('27a'!$J$7:$J$100,'27a'!$H$7:$H$100,$A202,'27a'!$I$7:$I$100,1)+SUMIFS('28'!$J$7:$J$100,'28'!$H$7:$H$100,$A202,'28'!$I$7:$I$100,1)+SUMIFS('29'!$J$7:$J$100,'29'!$H$7:$H$100,$A202,'29'!$I$7:$I$100,1)</f>
        <v>0</v>
      </c>
      <c r="H202" s="1315">
        <f>SUMIFS('12'!$J$7:$J$100,'12'!$H$7:$H$100,$A202,'12'!$I$7:$I$100,2)+SUMIFS('13'!$J$7:$J$100,'13'!$H$7:$H$100,$A202,'13'!$I$7:$I$100,2)+SUMIFS('14'!$J$7:$J$100,'14'!$H$7:$H$100,$A202,'14'!$I$7:$I$100,2)+SUMIFS('15'!$J$7:$J$100,'15'!$H$7:$H$100,$A202,'15'!$I$7:$I$100,2)+SUMIFS('15a'!$J$7:$J$100,'15a'!$H$7:$H$100,$A202,'15a'!$I$7:$I$100,2)+SUMIFS('15b'!$J$7:$J$100,'15b'!$H$7:$H$100,$A202,'15b'!$I$7:$I$100,2)+SUMIFS('15c'!$J$7:$J$100,'15c'!$H$7:$H$100,$A202,'15c'!$I$7:$I$100,2)+SUMIFS('15d'!$J$7:$J$100,'15d'!$H$7:$H$100,$A202,'15d'!$I$7:$I$100,2)+SUMIFS('15e'!$J$7:$J$100,'15e'!$H$7:$H$100,$A202,'15e'!$I$7:$I$100,2)+SUMIFS('15f'!$J$7:$J$100,'15f'!$H$7:$H$100,$A202,'15f'!$I$7:$I$100,2)+SUMIFS('15g'!$J$7:$J$100,'15g'!$H$7:$H$100,$A202,'15g'!$I$7:$I$100,2)+SUMIFS('15h'!$J$7:$J$100,'15h'!$H$7:$H$100,$A202,'15h'!$I$7:$I$100,2)+SUMIFS('15i'!$J$7:$J$100,'15i'!$H$7:$H$100,$A202,'15i'!$I$7:$I$100,2)+SUMIFS('15j'!$J$7:$J$100,'15j'!$H$7:$H$100,$A202,'15j'!$I$7:$I$100,2)+SUMIFS('15k'!$J$7:$J$100,'15k'!$H$7:$H$100,$A202,'15k'!$I$7:$I$100,2)+SUMIFS('15l'!$J$7:$J$100,'15l'!$H$7:$H$100,$A202,'15l'!$I$7:$I$100,2)+SUMIFS('15m'!$J$7:$J$100,'15m'!$H$7:$H$100,$A202,'15m'!$I$7:$I$100,2)+SUMIFS('15n'!$J$7:$J$100,'15n'!$H$7:$H$100,$A202,'15n'!$I$7:$I$100,2)+SUMIFS('16'!$J$7:$J$100,'16'!$H$7:$H$100,$A202,'16'!$I$7:$I$100,2)+SUMIFS('16a'!$J$7:$J$100,'16a'!$H$7:$H$100,$A202,'16a'!$I$7:$I$100,2)+SUMIFS('17'!$J$7:$J$100,'17'!$H$7:$H$100,$A202,'17'!$I$7:$I$100,2)+SUMIFS('17a'!$J$7:$J$100,'17a'!$H$7:$H$100,$A202,'17a'!$I$7:$I$100,2)+SUMIFS('18'!$J$7:$J$100,'18'!$H$7:$H$100,$A202,'18'!$I$7:$I$100,2)+SUMIFS('18a'!$J$7:$J$100,'18a'!$H$7:$H$100,$A202,'18a'!$I$7:$I$100,2)
+SUMIFS('19'!$J$7:$J$100,'19'!$H$7:$H$100,$A202,'19'!$I$7:$I$100,2)+SUMIFS('20'!$J$7:$J$100,'20'!$H$7:$H$100,$A202,'20'!$I$7:$I$100,2)+SUMIFS('20a'!$J$7:$J$100,'20a'!$H$7:$H$100,$A202,'20a'!$I$7:$I$100,2)+SUMIFS('21'!$J$7:$J$100,'21'!$H$7:$H$100,$A202,'21'!$I$7:$I$100,2)+SUMIFS('22'!$J$7:$J$100,'22'!$H$7:$H$100,$A202,'22'!$I$7:$I$100,2)+SUMIFS('22a'!$J$7:$J$100,'22a'!$H$7:$H$100,$A202,'22a'!$I$7:$I$100,2)+SUMIFS('22b'!$J$7:$J$100,'22b'!$H$7:$H$100,$A202,'22b'!$I$7:$I$100,2)+SUMIFS('23'!$J$7:$J$100,'23'!$H$7:$H$100,$A202,'23'!$I$7:$I$100,2)+SUMIFS('24'!$J$7:$J$100,'24'!$H$7:$H$100,$A202,'24'!$I$7:$I$100,2)+SUMIFS('24a'!$J$7:$J$100,'24a'!$H$7:$H$100,$A202,'24a'!$I$7:$I$100,2)+SUMIFS('24b'!$J$7:$J$100,'24b'!$H$7:$H$100,$A202,'24b'!$I$7:$I$100,2)+SUMIFS('24c'!$J$7:$J$100,'24c'!$H$7:$H$100,$A202,'24c'!$I$7:$I$100,2)+SUMIFS('24d'!$J$7:$J$100,'24d'!$H$7:$H$100,$A202,'24d'!$I$7:$I$100,2)+SUMIFS('24e'!$J$7:$J$100,'24e'!$H$7:$H$100,$A202,'24e'!$I$7:$I$100,2)+SUMIFS('24f'!$J$7:$J$100,'24f'!$H$7:$H$100,$A202,'24f'!$I$7:$I$100,2)+SUMIFS('24g'!$J$7:$J$100,'24g'!$H$7:$H$100,$A202,'24g'!$I$7:$I$100,2)+SUMIFS('24h'!$J$7:$J$100,'24h'!$H$7:$H$100,$A202,'24h'!$I$7:$I$100,2)+SUMIFS('24i'!$J$7:$J$100,'24i'!$H$7:$H$100,$A202,'24i'!$I$7:$I$100,2)+SUMIFS('25'!$J$7:$J$100,'25'!$H$7:$H$100,$A202,'25'!$I$7:$I$100,2)+SUMIFS('26'!$J$7:$J$100,'26'!$H$7:$H$100,$A202,'26'!$I$7:$I$100,2)+SUMIFS('26a'!$J$7:$J$100,'26a'!$H$7:$H$100,$A202,'26a'!$I$7:$I$100,2)+SUMIFS('27'!$J$7:$J$100,'27'!$H$7:$H$100,$A202,'27'!$I$7:$I$100,2)+SUMIFS('27a'!$J$7:$J$100,'27a'!$H$7:$H$100,$A202,'27a'!$I$7:$I$100,2)+SUMIFS('28'!$J$7:$J$100,'28'!$H$7:$H$100,$A202,'28'!$I$7:$I$100,2)+SUMIFS('29'!$J$7:$J$100,'29'!$H$7:$H$100,$A202,'29'!$I$7:$I$100,2)</f>
        <v>0</v>
      </c>
      <c r="I202" s="1315">
        <f>SUMIFS('12'!$J$7:$J$100,'12'!$H$7:$H$100,$A202,'12'!$I$7:$I$100,"")+SUMIFS('13'!$J$7:$J$100,'13'!$H$7:$H$100,$A202,'13'!$I$7:$I$100,"")+SUMIFS('14'!$J$7:$J$100,'14'!$H$7:$H$100,$A202,'14'!$I$7:$I$100,"")+SUMIFS('15'!$J$7:$J$100,'15'!$H$7:$H$100,$A202,'15'!$I$7:$I$100,"")+SUMIFS('15a'!$J$7:$J$100,'15a'!$H$7:$H$100,$A202,'15a'!$I$7:$I$100,"")+SUMIFS('15b'!$J$7:$J$100,'15b'!$H$7:$H$100,$A202,'15b'!$I$7:$I$100,"")+SUMIFS('15c'!$J$7:$J$100,'15c'!$H$7:$H$100,$A202,'15c'!$I$7:$I$100,"")+SUMIFS('15d'!$J$7:$J$100,'15d'!$H$7:$H$100,$A202,'15d'!$I$7:$I$100,"")+SUMIFS('15e'!$J$7:$J$100,'15e'!$H$7:$H$100,$A202,'15e'!$I$7:$I$100,"")+SUMIFS('15f'!$J$7:$J$100,'15f'!$H$7:$H$100,$A202,'15f'!$I$7:$I$100,"")+SUMIFS('15g'!$J$7:$J$100,'15g'!$H$7:$H$100,$A202,'15g'!$I$7:$I$100,"")+SUMIFS('15h'!$J$7:$J$100,'15h'!$H$7:$H$100,$A202,'15h'!$I$7:$I$100,"")+SUMIFS('15i'!$J$7:$J$100,'15i'!$H$7:$H$100,$A202,'15i'!$I$7:$I$100,"")+SUMIFS('15j'!$J$7:$J$100,'15j'!$H$7:$H$100,$A202,'15j'!$I$7:$I$100,"")+SUMIFS('15k'!$J$7:$J$100,'15k'!$H$7:$H$100,$A202,'15k'!$I$7:$I$100,"")+SUMIFS('15l'!$J$7:$J$100,'15l'!$H$7:$H$100,$A202,'15l'!$I$7:$I$100,"")+SUMIFS('15m'!$J$7:$J$100,'15m'!$H$7:$H$100,$A202,'15m'!$I$7:$I$100,"")+SUMIFS('15n'!$J$7:$J$100,'15n'!$H$7:$H$100,$A202,'15n'!$I$7:$I$100,"")+SUMIFS('16'!$J$7:$J$100,'16'!$H$7:$H$100,$A202,'16'!$I$7:$I$100,"")+SUMIFS('16a'!$J$7:$J$100,'16a'!$H$7:$H$100,$A202,'16a'!$I$7:$I$100,"")+SUMIFS('17'!$J$7:$J$100,'17'!$H$7:$H$100,$A202,'17'!$I$7:$I$100,"")+SUMIFS('17a'!$J$7:$J$100,'17a'!$H$7:$H$100,$A202,'17a'!$I$7:$I$100,"")+SUMIFS('18'!$J$7:$J$100,'18'!$H$7:$H$100,$A202,'18'!$I$7:$I$100,"")+SUMIFS('18a'!$J$7:$J$100,'18a'!$H$7:$H$100,$A202,'18a'!$I$7:$I$100,"")
+SUMIFS('19'!$J$7:$J$100,'19'!$H$7:$H$100,$A202,'19'!$I$7:$I$100,"")+SUMIFS('20'!$J$7:$J$100,'20'!$H$7:$H$100,$A202,'20'!$I$7:$I$100,"")+SUMIFS('20a'!$J$7:$J$100,'20a'!$H$7:$H$100,$A202,'20a'!$I$7:$I$100,"")+SUMIFS('21'!$J$7:$J$100,'21'!$H$7:$H$100,$A202,'21'!$I$7:$I$100,"")+SUMIFS('22'!$J$7:$J$100,'22'!$H$7:$H$100,$A202,'22'!$I$7:$I$100,"")+SUMIFS('22a'!$J$7:$J$100,'22a'!$H$7:$H$100,$A202,'22a'!$I$7:$I$100,"")+SUMIFS('22b'!$J$7:$J$100,'22b'!$H$7:$H$100,$A202,'22b'!$I$7:$I$100,"")+SUMIFS('23'!$J$7:$J$100,'23'!$H$7:$H$100,$A202,'23'!$I$7:$I$100,"")+SUMIFS('24'!$J$7:$J$100,'24'!$H$7:$H$100,$A202,'24'!$I$7:$I$100,"")+SUMIFS('24a'!$J$7:$J$100,'24a'!$H$7:$H$100,$A202,'24a'!$I$7:$I$100,"")+SUMIFS('24b'!$J$7:$J$100,'24b'!$H$7:$H$100,$A202,'24b'!$I$7:$I$100,"")+SUMIFS('24c'!$J$7:$J$100,'24c'!$H$7:$H$100,$A202,'24c'!$I$7:$I$100,"")+SUMIFS('24d'!$J$7:$J$100,'24d'!$H$7:$H$100,$A202,'24d'!$I$7:$I$100,"")+SUMIFS('24e'!$J$7:$J$100,'24e'!$H$7:$H$100,$A202,'24e'!$I$7:$I$100,"")+SUMIFS('24f'!$J$7:$J$100,'24f'!$H$7:$H$100,$A202,'24f'!$I$7:$I$100,"")+SUMIFS('24g'!$J$7:$J$100,'24g'!$H$7:$H$100,$A202,'24g'!$I$7:$I$100,"")+SUMIFS('24h'!$J$7:$J$100,'24h'!$H$7:$H$100,$A202,'24h'!$I$7:$I$100,"")+SUMIFS('24i'!$J$7:$J$100,'24i'!$H$7:$H$100,$A202,'24i'!$I$7:$I$100,"")+SUMIFS('25'!$J$7:$J$100,'25'!$H$7:$H$100,$A202,'25'!$I$7:$I$100,"")+SUMIFS('26'!$J$7:$J$100,'26'!$H$7:$H$100,$A202,'26'!$I$7:$I$100,"")+SUMIFS('26a'!$J$7:$J$100,'26a'!$H$7:$H$100,$A202,'26a'!$I$7:$I$100,"")+SUMIFS('27'!$J$7:$J$100,'27'!$H$7:$H$100,$A202,'27'!$I$7:$I$100,"")+SUMIFS('27a'!$J$7:$J$100,'27a'!$H$7:$H$100,$A202,'27a'!$I$7:$I$100,"")+SUMIFS('28'!$J$7:$J$100,'28'!$H$7:$H$100,$A202,'28'!$I$7:$I$100,"")+SUMIFS('29'!$J$7:$J$100,'29'!$H$7:$H$100,$A202,'29'!$I$7:$I$100,"")</f>
        <v>0</v>
      </c>
      <c r="J202" s="1296">
        <f>SUM(G202:I202)</f>
        <v>0</v>
      </c>
      <c r="K202"/>
      <c r="L202"/>
      <c r="M202"/>
      <c r="N202"/>
      <c r="O202"/>
      <c r="P202"/>
      <c r="Q202"/>
      <c r="R202"/>
      <c r="S202" s="1307">
        <f t="shared" si="2"/>
        <v>0</v>
      </c>
      <c r="T202"/>
    </row>
    <row r="203" spans="1:20" ht="12.75" customHeight="1" x14ac:dyDescent="0.2">
      <c r="A203"/>
      <c r="B203" t="s">
        <v>5570</v>
      </c>
      <c r="C203" s="1295">
        <f>SUM(C204:C217)</f>
        <v>3840</v>
      </c>
      <c r="D203" s="1315">
        <f t="shared" ref="D203:J203" si="11">SUM(D204:D217)</f>
        <v>45.71</v>
      </c>
      <c r="E203" s="1315">
        <f t="shared" si="11"/>
        <v>0</v>
      </c>
      <c r="F203" s="1296">
        <f t="shared" si="11"/>
        <v>3885.71</v>
      </c>
      <c r="G203" s="1295">
        <f t="shared" si="11"/>
        <v>3917</v>
      </c>
      <c r="H203" s="1315">
        <f t="shared" si="11"/>
        <v>5100</v>
      </c>
      <c r="I203" s="1315">
        <f t="shared" si="11"/>
        <v>0</v>
      </c>
      <c r="J203" s="1296">
        <f t="shared" si="11"/>
        <v>9017</v>
      </c>
      <c r="K203"/>
      <c r="L203"/>
      <c r="M203"/>
      <c r="N203"/>
      <c r="O203"/>
      <c r="P203"/>
      <c r="Q203"/>
      <c r="R203"/>
      <c r="S203" s="1307">
        <f t="shared" si="2"/>
        <v>25805.42</v>
      </c>
      <c r="T203"/>
    </row>
    <row r="204" spans="1:20" ht="12.75" customHeight="1" outlineLevel="1" x14ac:dyDescent="0.2">
      <c r="A204" t="s">
        <v>5268</v>
      </c>
      <c r="B204" t="s">
        <v>5482</v>
      </c>
      <c r="C204" s="1295">
        <f>SUMIFS('12'!$N$7:$N$100,'12'!$H$7:$H$100,$A204,'12'!$I$7:$I$100,1)+SUMIFS('13'!$N$7:$N$100,'13'!$H$7:$H$100,$A204,'13'!$I$7:$I$100,1)+SUMIFS('14'!$N$7:$N$100,'14'!$H$7:$H$100,$A204,'14'!$I$7:$I$100,1)+SUMIFS('15'!$N$7:$N$100,'15'!$H$7:$H$100,$A204,'15'!$I$7:$I$100,1)+SUMIFS('15a'!$N$7:$N$100,'15a'!$H$7:$H$100,$A204,'15a'!$I$7:$I$100,1)+SUMIFS('15b'!$N$7:$N$100,'15b'!$H$7:$H$100,$A204,'15b'!$I$7:$I$100,1)+SUMIFS('15c'!$N$7:$N$100,'15c'!$H$7:$H$100,$A204,'15c'!$I$7:$I$100,1)+SUMIFS('15d'!$N$7:$N$100,'15d'!$H$7:$H$100,$A204,'15d'!$I$7:$I$100,1)+SUMIFS('15e'!$N$7:$N$100,'15e'!$H$7:$H$100,$A204,'15e'!$I$7:$I$100,1)+SUMIFS('15f'!$N$7:$N$100,'15f'!$H$7:$H$100,$A204,'15f'!$I$7:$I$100,1)+SUMIFS('15g'!$N$7:$N$100,'15g'!$H$7:$H$100,$A204,'15g'!$I$7:$I$100,1)+SUMIFS('15h'!$N$7:$N$100,'15h'!$H$7:$H$100,$A204,'15h'!$I$7:$I$100,1)+SUMIFS('15i'!$N$7:$N$100,'15i'!$H$7:$H$100,$A204,'15i'!$I$7:$I$100,1)+SUMIFS('15j'!$N$7:$N$100,'15j'!$H$7:$H$100,$A204,'15j'!$I$7:$I$100,1)+SUMIFS('15k'!$N$7:$N$100,'15k'!$H$7:$H$100,$A204,'15k'!$I$7:$I$100,1)+SUMIFS('15l'!$N$7:$N$100,'15l'!$H$7:$H$100,$A204,'15l'!$I$7:$I$100,1)+SUMIFS('15m'!$N$7:$N$100,'15m'!$H$7:$H$100,$A204,'15m'!$I$7:$I$100,1)+SUMIFS('15n'!$N$7:$N$100,'15n'!$H$7:$H$100,$A204,'15n'!$I$7:$I$100,1)+SUMIFS('16'!$N$7:$N$100,'16'!$H$7:$H$100,$A204,'16'!$I$7:$I$100,1)+SUMIFS('16a'!$N$7:$N$100,'16a'!$H$7:$H$100,$A204,'16a'!$I$7:$I$100,1)+SUMIFS('17'!$N$7:$N$100,'17'!$H$7:$H$100,$A204,'17'!$I$7:$I$100,1)+SUMIFS('17a'!$N$7:$N$100,'17a'!$H$7:$H$100,$A204,'17a'!$I$7:$I$100,1)+SUMIFS('18'!$N$7:$N$100,'18'!$H$7:$H$100,$A204,'18'!$I$7:$I$100,1)+SUMIFS('18a'!$N$7:$N$100,'18a'!$H$7:$H$100,$A204,'18a'!$I$7:$I$100,1)
+SUMIFS('19'!$N$7:$N$100,'19'!$H$7:$H$100,$A204,'19'!$I$7:$I$100,1)+SUMIFS('20'!$N$7:$N$100,'20'!$H$7:$H$100,$A204,'20'!$I$7:$I$100,1)+SUMIFS('20a'!$N$7:$N$100,'20a'!$H$7:$H$100,$A204,'20a'!$I$7:$I$100,1)+SUMIFS('21'!$N$7:$N$100,'21'!$H$7:$H$100,$A204,'21'!$I$7:$I$100,1)+SUMIFS('22'!$N$7:$N$100,'22'!$H$7:$H$100,$A204,'22'!$I$7:$I$100,1)+SUMIFS('22a'!$N$7:$N$100,'22a'!$H$7:$H$100,$A204,'22a'!$I$7:$I$100,1)+SUMIFS('22b'!$N$7:$N$100,'22b'!$H$7:$H$100,$A204,'22b'!$I$7:$I$100,1)+SUMIFS('23'!$N$7:$N$100,'23'!$H$7:$H$100,$A204,'23'!$I$7:$I$100,1)+SUMIFS('24'!$N$7:$N$100,'24'!$H$7:$H$100,$A204,'24'!$I$7:$I$100,1)+SUMIFS('24a'!$N$7:$N$100,'24a'!$H$7:$H$100,$A204,'24a'!$I$7:$I$100,1)+SUMIFS('24b'!$N$7:$N$100,'24b'!$H$7:$H$100,$A204,'24b'!$I$7:$I$100,1)+SUMIFS('24c'!$N$7:$N$100,'24c'!$H$7:$H$100,$A204,'24c'!$I$7:$I$100,1)+SUMIFS('24d'!$N$7:$N$100,'24d'!$H$7:$H$100,$A204,'24d'!$I$7:$I$100,1)+SUMIFS('24e'!$N$7:$N$100,'24e'!$H$7:$H$100,$A204,'24e'!$I$7:$I$100,1)+SUMIFS('24f'!$N$7:$N$100,'24f'!$H$7:$H$100,$A204,'24f'!$I$7:$I$100,1)+SUMIFS('24g'!$N$7:$N$100,'24g'!$H$7:$H$100,$A204,'24g'!$I$7:$I$100,1)+SUMIFS('24h'!$N$7:$N$100,'24h'!$H$7:$H$100,$A204,'24h'!$I$7:$I$100,1)+SUMIFS('24i'!$N$7:$N$100,'24i'!$H$7:$H$100,$A204,'24i'!$I$7:$I$100,1)+SUMIFS('25'!$N$7:$N$100,'25'!$H$7:$H$100,$A204,'25'!$I$7:$I$100,1)+SUMIFS('26'!$N$7:$N$100,'26'!$H$7:$H$100,$A204,'26'!$I$7:$I$100,1)+SUMIFS('26a'!$N$7:$N$100,'26a'!$H$7:$H$100,$A204,'26a'!$I$7:$I$100,1)+SUMIFS('27'!$N$7:$N$100,'27'!$H$7:$H$100,$A204,'27'!$I$7:$I$100,1)+SUMIFS('27a'!$N$7:$N$100,'27a'!$H$7:$H$100,$A204,'27a'!$I$7:$I$100,1)+SUMIFS('28'!$N$7:$N$100,'28'!$H$7:$H$100,$A204,'28'!$I$7:$I$100,1)+SUMIFS('29'!$N$7:$N$100,'29'!$H$7:$H$100,$A204,'29'!$I$7:$I$100,1)</f>
        <v>0</v>
      </c>
      <c r="D204" s="1315">
        <f>SUMIFS('12'!$N$7:$N$100,'12'!$H$7:$H$100,$A204,'12'!$I$7:$I$100,2)+SUMIFS('13'!$N$7:$N$100,'13'!$H$7:$H$100,$A204,'13'!$I$7:$I$100,2)+SUMIFS('14'!$N$7:$N$100,'14'!$H$7:$H$100,$A204,'14'!$I$7:$I$100,2)+SUMIFS('15'!$N$7:$N$100,'15'!$H$7:$H$100,$A204,'15'!$I$7:$I$100,2)+SUMIFS('15a'!$N$7:$N$100,'15a'!$H$7:$H$100,$A204,'15a'!$I$7:$I$100,2)+SUMIFS('15b'!$N$7:$N$100,'15b'!$H$7:$H$100,$A204,'15b'!$I$7:$I$100,2)+SUMIFS('15c'!$N$7:$N$100,'15c'!$H$7:$H$100,$A204,'15c'!$I$7:$I$100,2)+SUMIFS('15d'!$N$7:$N$100,'15d'!$H$7:$H$100,$A204,'15d'!$I$7:$I$100,2)+SUMIFS('15e'!$N$7:$N$100,'15e'!$H$7:$H$100,$A204,'15e'!$I$7:$I$100,2)+SUMIFS('15f'!$N$7:$N$100,'15f'!$H$7:$H$100,$A204,'15f'!$I$7:$I$100,2)+SUMIFS('15g'!$N$7:$N$100,'15g'!$H$7:$H$100,$A204,'15g'!$I$7:$I$100,2)+SUMIFS('15h'!$N$7:$N$100,'15h'!$H$7:$H$100,$A204,'15h'!$I$7:$I$100,2)+SUMIFS('15i'!$N$7:$N$100,'15i'!$H$7:$H$100,$A204,'15i'!$I$7:$I$100,2)+SUMIFS('15j'!$N$7:$N$100,'15j'!$H$7:$H$100,$A204,'15j'!$I$7:$I$100,2)+SUMIFS('15k'!$N$7:$N$100,'15k'!$H$7:$H$100,$A204,'15k'!$I$7:$I$100,2)+SUMIFS('15l'!$N$7:$N$100,'15l'!$H$7:$H$100,$A204,'15l'!$I$7:$I$100,2)+SUMIFS('15m'!$N$7:$N$100,'15m'!$H$7:$H$100,$A204,'15m'!$I$7:$I$100,2)+SUMIFS('15n'!$N$7:$N$100,'15n'!$H$7:$H$100,$A204,'15n'!$I$7:$I$100,2)+SUMIFS('16'!$N$7:$N$100,'16'!$H$7:$H$100,$A204,'16'!$I$7:$I$100,2)+SUMIFS('16a'!$N$7:$N$100,'16a'!$H$7:$H$100,$A204,'16a'!$I$7:$I$100,2)+SUMIFS('17'!$N$7:$N$100,'17'!$H$7:$H$100,$A204,'17'!$I$7:$I$100,2)+SUMIFS('17a'!$N$7:$N$100,'17a'!$H$7:$H$100,$A204,'17a'!$I$7:$I$100,2)+SUMIFS('18'!$N$7:$N$100,'18'!$H$7:$H$100,$A204,'18'!$I$7:$I$100,2)+SUMIFS('18a'!$N$7:$N$100,'18a'!$H$7:$H$100,$A204,'18a'!$I$7:$I$100,2)
+SUMIFS('19'!$N$7:$N$100,'19'!$H$7:$H$100,$A204,'19'!$I$7:$I$100,2)+SUMIFS('20'!$N$7:$N$100,'20'!$H$7:$H$100,$A204,'20'!$I$7:$I$100,2)+SUMIFS('20a'!$N$7:$N$100,'20a'!$H$7:$H$100,$A204,'20a'!$I$7:$I$100,2)+SUMIFS('21'!$N$7:$N$100,'21'!$H$7:$H$100,$A204,'21'!$I$7:$I$100,2)+SUMIFS('22'!$N$7:$N$100,'22'!$H$7:$H$100,$A204,'22'!$I$7:$I$100,2)+SUMIFS('22a'!$N$7:$N$100,'22a'!$H$7:$H$100,$A204,'22a'!$I$7:$I$100,2)+SUMIFS('22b'!$N$7:$N$100,'22b'!$H$7:$H$100,$A204,'22b'!$I$7:$I$100,2)+SUMIFS('23'!$N$7:$N$100,'23'!$H$7:$H$100,$A204,'23'!$I$7:$I$100,2)+SUMIFS('24'!$N$7:$N$100,'24'!$H$7:$H$100,$A204,'24'!$I$7:$I$100,2)+SUMIFS('24a'!$N$7:$N$100,'24a'!$H$7:$H$100,$A204,'24a'!$I$7:$I$100,2)+SUMIFS('24b'!$N$7:$N$100,'24b'!$H$7:$H$100,$A204,'24b'!$I$7:$I$100,2)+SUMIFS('24c'!$N$7:$N$100,'24c'!$H$7:$H$100,$A204,'24c'!$I$7:$I$100,2)+SUMIFS('24d'!$N$7:$N$100,'24d'!$H$7:$H$100,$A204,'24d'!$I$7:$I$100,2)+SUMIFS('24e'!$N$7:$N$100,'24e'!$H$7:$H$100,$A204,'24e'!$I$7:$I$100,2)+SUMIFS('24f'!$N$7:$N$100,'24f'!$H$7:$H$100,$A204,'24f'!$I$7:$I$100,2)+SUMIFS('24g'!$N$7:$N$100,'24g'!$H$7:$H$100,$A204,'24g'!$I$7:$I$100,2)+SUMIFS('24h'!$N$7:$N$100,'24h'!$H$7:$H$100,$A204,'24h'!$I$7:$I$100,2)+SUMIFS('24i'!$N$7:$N$100,'24i'!$H$7:$H$100,$A204,'24i'!$I$7:$I$100,2)+SUMIFS('25'!$N$7:$N$100,'25'!$H$7:$H$100,$A204,'25'!$I$7:$I$100,2)+SUMIFS('26'!$N$7:$N$100,'26'!$H$7:$H$100,$A204,'26'!$I$7:$I$100,2)+SUMIFS('26a'!$N$7:$N$100,'26a'!$H$7:$H$100,$A204,'26a'!$I$7:$I$100,2)+SUMIFS('27'!$N$7:$N$100,'27'!$H$7:$H$100,$A204,'27'!$I$7:$I$100,2)+SUMIFS('27a'!$N$7:$N$100,'27a'!$H$7:$H$100,$A204,'27a'!$I$7:$I$100,2)+SUMIFS('28'!$N$7:$N$100,'28'!$H$7:$H$100,$A204,'28'!$I$7:$I$100,2)+SUMIFS('29'!$N$7:$N$100,'29'!$H$7:$H$100,$A204,'29'!$I$7:$I$100,2)</f>
        <v>0</v>
      </c>
      <c r="E204" s="1315">
        <f>SUMIFS('12'!$N$7:$N$100,'12'!$H$7:$H$100,$A204,'12'!$I$7:$I$100,"")+SUMIFS('13'!$N$7:$N$100,'13'!$H$7:$H$100,$A204,'13'!$I$7:$I$100,"")+SUMIFS('14'!$N$7:$N$100,'14'!$H$7:$H$100,$A204,'14'!$I$7:$I$100,"")+SUMIFS('15'!$N$7:$N$100,'15'!$H$7:$H$100,$A204,'15'!$I$7:$I$100,"")+SUMIFS('15a'!$N$7:$N$100,'15a'!$H$7:$H$100,$A204,'15a'!$I$7:$I$100,"")+SUMIFS('15b'!$N$7:$N$100,'15b'!$H$7:$H$100,$A204,'15b'!$I$7:$I$100,"")+SUMIFS('15c'!$N$7:$N$100,'15c'!$H$7:$H$100,$A204,'15c'!$I$7:$I$100,"")+SUMIFS('15d'!$N$7:$N$100,'15d'!$H$7:$H$100,$A204,'15d'!$I$7:$I$100,"")+SUMIFS('15e'!$N$7:$N$100,'15e'!$H$7:$H$100,$A204,'15e'!$I$7:$I$100,"")+SUMIFS('15f'!$N$7:$N$100,'15f'!$H$7:$H$100,$A204,'15f'!$I$7:$I$100,"")+SUMIFS('15g'!$N$7:$N$100,'15g'!$H$7:$H$100,$A204,'15g'!$I$7:$I$100,"")+SUMIFS('15h'!$N$7:$N$100,'15h'!$H$7:$H$100,$A204,'15h'!$I$7:$I$100,"")+SUMIFS('15i'!$N$7:$N$100,'15i'!$H$7:$H$100,$A204,'15i'!$I$7:$I$100,"")+SUMIFS('15j'!$N$7:$N$100,'15j'!$H$7:$H$100,$A204,'15j'!$I$7:$I$100,"")+SUMIFS('15k'!$N$7:$N$100,'15k'!$H$7:$H$100,$A204,'15k'!$I$7:$I$100,"")+SUMIFS('15l'!$N$7:$N$100,'15l'!$H$7:$H$100,$A204,'15l'!$I$7:$I$100,"")+SUMIFS('15m'!$N$7:$N$100,'15m'!$H$7:$H$100,$A204,'15m'!$I$7:$I$100,"")+SUMIFS('15n'!$N$7:$N$100,'15n'!$H$7:$H$100,$A204,'15n'!$I$7:$I$100,"")+SUMIFS('16'!$N$7:$N$100,'16'!$H$7:$H$100,$A204,'16'!$I$7:$I$100,"")+SUMIFS('16a'!$N$7:$N$100,'16a'!$H$7:$H$100,$A204,'16a'!$I$7:$I$100,"")+SUMIFS('17'!$N$7:$N$100,'17'!$H$7:$H$100,$A204,'17'!$I$7:$I$100,"")+SUMIFS('17a'!$N$7:$N$100,'17a'!$H$7:$H$100,$A204,'17a'!$I$7:$I$100,"")+SUMIFS('18'!$N$7:$N$100,'18'!$H$7:$H$100,$A204,'18'!$I$7:$I$100,"")+SUMIFS('18a'!$N$7:$N$100,'18a'!$H$7:$H$100,$A204,'18a'!$I$7:$I$100,"")
+SUMIFS('19'!$N$7:$N$100,'19'!$H$7:$H$100,$A204,'19'!$I$7:$I$100,"")+SUMIFS('20'!$N$7:$N$100,'20'!$H$7:$H$100,$A204,'20'!$I$7:$I$100,"")+SUMIFS('20a'!$N$7:$N$100,'20a'!$H$7:$H$100,$A204,'20a'!$I$7:$I$100,"")+SUMIFS('21'!$N$7:$N$100,'21'!$H$7:$H$100,$A204,'21'!$I$7:$I$100,"")+SUMIFS('22'!$N$7:$N$100,'22'!$H$7:$H$100,$A204,'22'!$I$7:$I$100,"")+SUMIFS('22a'!$N$7:$N$100,'22a'!$H$7:$H$100,$A204,'22a'!$I$7:$I$100,"")+SUMIFS('22b'!$N$7:$N$100,'22b'!$H$7:$H$100,$A204,'22b'!$I$7:$I$100,"")+SUMIFS('23'!$N$7:$N$100,'23'!$H$7:$H$100,$A204,'23'!$I$7:$I$100,"")+SUMIFS('24'!$N$7:$N$100,'24'!$H$7:$H$100,$A204,'24'!$I$7:$I$100,"")+SUMIFS('24a'!$N$7:$N$100,'24a'!$H$7:$H$100,$A204,'24a'!$I$7:$I$100,"")+SUMIFS('24b'!$N$7:$N$100,'24b'!$H$7:$H$100,$A204,'24b'!$I$7:$I$100,"")+SUMIFS('24c'!$N$7:$N$100,'24c'!$H$7:$H$100,$A204,'24c'!$I$7:$I$100,"")+SUMIFS('24d'!$N$7:$N$100,'24d'!$H$7:$H$100,$A204,'24d'!$I$7:$I$100,"")+SUMIFS('24e'!$N$7:$N$100,'24e'!$H$7:$H$100,$A204,'24e'!$I$7:$I$100,"")+SUMIFS('24f'!$N$7:$N$100,'24f'!$H$7:$H$100,$A204,'24f'!$I$7:$I$100,"")+SUMIFS('24g'!$N$7:$N$100,'24g'!$H$7:$H$100,$A204,'24g'!$I$7:$I$100,"")+SUMIFS('24h'!$N$7:$N$100,'24h'!$H$7:$H$100,$A204,'24h'!$I$7:$I$100,"")+SUMIFS('24i'!$N$7:$N$100,'24i'!$H$7:$H$100,$A204,'24i'!$I$7:$I$100,"")+SUMIFS('25'!$N$7:$N$100,'25'!$H$7:$H$100,$A204,'25'!$I$7:$I$100,"")+SUMIFS('26'!$N$7:$N$100,'26'!$H$7:$H$100,$A204,'26'!$I$7:$I$100,"")+SUMIFS('26a'!$N$7:$N$100,'26a'!$H$7:$H$100,$A204,'26a'!$I$7:$I$100,"")+SUMIFS('27'!$N$7:$N$100,'27'!$H$7:$H$100,$A204,'27'!$I$7:$I$100,"")+SUMIFS('27a'!$N$7:$N$100,'27a'!$H$7:$H$100,$A204,'27a'!$I$7:$I$100,"")+SUMIFS('28'!$N$7:$N$100,'28'!$H$7:$H$100,$A204,'28'!$I$7:$I$100,"")+SUMIFS('29'!$N$7:$N$100,'29'!$H$7:$H$100,$A204,'29'!$I$7:$I$100,"")</f>
        <v>0</v>
      </c>
      <c r="F204" s="1296">
        <f t="shared" ref="F204:F216" si="12">SUM(C204:E204)</f>
        <v>0</v>
      </c>
      <c r="G204" s="1295">
        <f>SUMIFS('12'!$J$7:$J$100,'12'!$H$7:$H$100,$A204,'12'!$I$7:$I$100,1)+SUMIFS('13'!$J$7:$J$100,'13'!$H$7:$H$100,$A204,'13'!$I$7:$I$100,1)+SUMIFS('14'!$J$7:$J$100,'14'!$H$7:$H$100,$A204,'14'!$I$7:$I$100,1)+SUMIFS('15'!$J$7:$J$100,'15'!$H$7:$H$100,$A204,'15'!$I$7:$I$100,1)+SUMIFS('15a'!$J$7:$J$100,'15a'!$H$7:$H$100,$A204,'15a'!$I$7:$I$100,1)+SUMIFS('15b'!$J$7:$J$100,'15b'!$H$7:$H$100,$A204,'15b'!$I$7:$I$100,1)+SUMIFS('15c'!$J$7:$J$100,'15c'!$H$7:$H$100,$A204,'15c'!$I$7:$I$100,1)+SUMIFS('15d'!$J$7:$J$100,'15d'!$H$7:$H$100,$A204,'15d'!$I$7:$I$100,1)+SUMIFS('15e'!$J$7:$J$100,'15e'!$H$7:$H$100,$A204,'15e'!$I$7:$I$100,1)+SUMIFS('15f'!$J$7:$J$100,'15f'!$H$7:$H$100,$A204,'15f'!$I$7:$I$100,1)+SUMIFS('15g'!$J$7:$J$100,'15g'!$H$7:$H$100,$A204,'15g'!$I$7:$I$100,1)+SUMIFS('15h'!$J$7:$J$100,'15h'!$H$7:$H$100,$A204,'15h'!$I$7:$I$100,1)+SUMIFS('15i'!$J$7:$J$100,'15i'!$H$7:$H$100,$A204,'15i'!$I$7:$I$100,1)+SUMIFS('15j'!$J$7:$J$100,'15j'!$H$7:$H$100,$A204,'15j'!$I$7:$I$100,1)+SUMIFS('15k'!$J$7:$J$100,'15k'!$H$7:$H$100,$A204,'15k'!$I$7:$I$100,1)+SUMIFS('15l'!$J$7:$J$100,'15l'!$H$7:$H$100,$A204,'15l'!$I$7:$I$100,1)+SUMIFS('15m'!$J$7:$J$100,'15m'!$H$7:$H$100,$A204,'15m'!$I$7:$I$100,1)+SUMIFS('15n'!$J$7:$J$100,'15n'!$H$7:$H$100,$A204,'15n'!$I$7:$I$100,1)+SUMIFS('16'!$J$7:$J$100,'16'!$H$7:$H$100,$A204,'16'!$I$7:$I$100,1)+SUMIFS('16a'!$J$7:$J$100,'16a'!$H$7:$H$100,$A204,'16a'!$I$7:$I$100,1)+SUMIFS('17'!$J$7:$J$100,'17'!$H$7:$H$100,$A204,'17'!$I$7:$I$100,1)+SUMIFS('17a'!$J$7:$J$100,'17a'!$H$7:$H$100,$A204,'17a'!$I$7:$I$100,1)+SUMIFS('18'!$J$7:$J$100,'18'!$H$7:$H$100,$A204,'18'!$I$7:$I$100,1)+SUMIFS('18a'!$J$7:$J$100,'18a'!$H$7:$H$100,$A204,'18a'!$I$7:$I$100,1)
+SUMIFS('19'!$J$7:$J$100,'19'!$H$7:$H$100,$A204,'19'!$I$7:$I$100,1)+SUMIFS('20'!$J$7:$J$100,'20'!$H$7:$H$100,$A204,'20'!$I$7:$I$100,1)+SUMIFS('20a'!$J$7:$J$100,'20a'!$H$7:$H$100,$A204,'20a'!$I$7:$I$100,1)+SUMIFS('21'!$J$7:$J$100,'21'!$H$7:$H$100,$A204,'21'!$I$7:$I$100,1)+SUMIFS('22'!$J$7:$J$100,'22'!$H$7:$H$100,$A204,'22'!$I$7:$I$100,1)+SUMIFS('22a'!$J$7:$J$100,'22a'!$H$7:$H$100,$A204,'22a'!$I$7:$I$100,1)+SUMIFS('22b'!$J$7:$J$100,'22b'!$H$7:$H$100,$A204,'22b'!$I$7:$I$100,1)+SUMIFS('23'!$J$7:$J$100,'23'!$H$7:$H$100,$A204,'23'!$I$7:$I$100,1)+SUMIFS('24'!$J$7:$J$100,'24'!$H$7:$H$100,$A204,'24'!$I$7:$I$100,1)+SUMIFS('24a'!$J$7:$J$100,'24a'!$H$7:$H$100,$A204,'24a'!$I$7:$I$100,1)+SUMIFS('24b'!$J$7:$J$100,'24b'!$H$7:$H$100,$A204,'24b'!$I$7:$I$100,1)+SUMIFS('24c'!$J$7:$J$100,'24c'!$H$7:$H$100,$A204,'24c'!$I$7:$I$100,1)+SUMIFS('24d'!$J$7:$J$100,'24d'!$H$7:$H$100,$A204,'24d'!$I$7:$I$100,1)+SUMIFS('24e'!$J$7:$J$100,'24e'!$H$7:$H$100,$A204,'24e'!$I$7:$I$100,1)+SUMIFS('24f'!$J$7:$J$100,'24f'!$H$7:$H$100,$A204,'24f'!$I$7:$I$100,1)+SUMIFS('24g'!$J$7:$J$100,'24g'!$H$7:$H$100,$A204,'24g'!$I$7:$I$100,1)+SUMIFS('24h'!$J$7:$J$100,'24h'!$H$7:$H$100,$A204,'24h'!$I$7:$I$100,1)+SUMIFS('24i'!$J$7:$J$100,'24i'!$H$7:$H$100,$A204,'24i'!$I$7:$I$100,1)+SUMIFS('25'!$J$7:$J$100,'25'!$H$7:$H$100,$A204,'25'!$I$7:$I$100,1)+SUMIFS('26'!$J$7:$J$100,'26'!$H$7:$H$100,$A204,'26'!$I$7:$I$100,1)+SUMIFS('26a'!$J$7:$J$100,'26a'!$H$7:$H$100,$A204,'26a'!$I$7:$I$100,1)+SUMIFS('27'!$J$7:$J$100,'27'!$H$7:$H$100,$A204,'27'!$I$7:$I$100,1)+SUMIFS('27a'!$J$7:$J$100,'27a'!$H$7:$H$100,$A204,'27a'!$I$7:$I$100,1)+SUMIFS('28'!$J$7:$J$100,'28'!$H$7:$H$100,$A204,'28'!$I$7:$I$100,1)+SUMIFS('29'!$J$7:$J$100,'29'!$H$7:$H$100,$A204,'29'!$I$7:$I$100,1)</f>
        <v>0</v>
      </c>
      <c r="H204" s="1315">
        <f>SUMIFS('12'!$J$7:$J$100,'12'!$H$7:$H$100,$A204,'12'!$I$7:$I$100,2)+SUMIFS('13'!$J$7:$J$100,'13'!$H$7:$H$100,$A204,'13'!$I$7:$I$100,2)+SUMIFS('14'!$J$7:$J$100,'14'!$H$7:$H$100,$A204,'14'!$I$7:$I$100,2)+SUMIFS('15'!$J$7:$J$100,'15'!$H$7:$H$100,$A204,'15'!$I$7:$I$100,2)+SUMIFS('15a'!$J$7:$J$100,'15a'!$H$7:$H$100,$A204,'15a'!$I$7:$I$100,2)+SUMIFS('15b'!$J$7:$J$100,'15b'!$H$7:$H$100,$A204,'15b'!$I$7:$I$100,2)+SUMIFS('15c'!$J$7:$J$100,'15c'!$H$7:$H$100,$A204,'15c'!$I$7:$I$100,2)+SUMIFS('15d'!$J$7:$J$100,'15d'!$H$7:$H$100,$A204,'15d'!$I$7:$I$100,2)+SUMIFS('15e'!$J$7:$J$100,'15e'!$H$7:$H$100,$A204,'15e'!$I$7:$I$100,2)+SUMIFS('15f'!$J$7:$J$100,'15f'!$H$7:$H$100,$A204,'15f'!$I$7:$I$100,2)+SUMIFS('15g'!$J$7:$J$100,'15g'!$H$7:$H$100,$A204,'15g'!$I$7:$I$100,2)+SUMIFS('15h'!$J$7:$J$100,'15h'!$H$7:$H$100,$A204,'15h'!$I$7:$I$100,2)+SUMIFS('15i'!$J$7:$J$100,'15i'!$H$7:$H$100,$A204,'15i'!$I$7:$I$100,2)+SUMIFS('15j'!$J$7:$J$100,'15j'!$H$7:$H$100,$A204,'15j'!$I$7:$I$100,2)+SUMIFS('15k'!$J$7:$J$100,'15k'!$H$7:$H$100,$A204,'15k'!$I$7:$I$100,2)+SUMIFS('15l'!$J$7:$J$100,'15l'!$H$7:$H$100,$A204,'15l'!$I$7:$I$100,2)+SUMIFS('15m'!$J$7:$J$100,'15m'!$H$7:$H$100,$A204,'15m'!$I$7:$I$100,2)+SUMIFS('15n'!$J$7:$J$100,'15n'!$H$7:$H$100,$A204,'15n'!$I$7:$I$100,2)+SUMIFS('16'!$J$7:$J$100,'16'!$H$7:$H$100,$A204,'16'!$I$7:$I$100,2)+SUMIFS('16a'!$J$7:$J$100,'16a'!$H$7:$H$100,$A204,'16a'!$I$7:$I$100,2)+SUMIFS('17'!$J$7:$J$100,'17'!$H$7:$H$100,$A204,'17'!$I$7:$I$100,2)+SUMIFS('17a'!$J$7:$J$100,'17a'!$H$7:$H$100,$A204,'17a'!$I$7:$I$100,2)+SUMIFS('18'!$J$7:$J$100,'18'!$H$7:$H$100,$A204,'18'!$I$7:$I$100,2)+SUMIFS('18a'!$J$7:$J$100,'18a'!$H$7:$H$100,$A204,'18a'!$I$7:$I$100,2)
+SUMIFS('19'!$J$7:$J$100,'19'!$H$7:$H$100,$A204,'19'!$I$7:$I$100,2)+SUMIFS('20'!$J$7:$J$100,'20'!$H$7:$H$100,$A204,'20'!$I$7:$I$100,2)+SUMIFS('20a'!$J$7:$J$100,'20a'!$H$7:$H$100,$A204,'20a'!$I$7:$I$100,2)+SUMIFS('21'!$J$7:$J$100,'21'!$H$7:$H$100,$A204,'21'!$I$7:$I$100,2)+SUMIFS('22'!$J$7:$J$100,'22'!$H$7:$H$100,$A204,'22'!$I$7:$I$100,2)+SUMIFS('22a'!$J$7:$J$100,'22a'!$H$7:$H$100,$A204,'22a'!$I$7:$I$100,2)+SUMIFS('22b'!$J$7:$J$100,'22b'!$H$7:$H$100,$A204,'22b'!$I$7:$I$100,2)+SUMIFS('23'!$J$7:$J$100,'23'!$H$7:$H$100,$A204,'23'!$I$7:$I$100,2)+SUMIFS('24'!$J$7:$J$100,'24'!$H$7:$H$100,$A204,'24'!$I$7:$I$100,2)+SUMIFS('24a'!$J$7:$J$100,'24a'!$H$7:$H$100,$A204,'24a'!$I$7:$I$100,2)+SUMIFS('24b'!$J$7:$J$100,'24b'!$H$7:$H$100,$A204,'24b'!$I$7:$I$100,2)+SUMIFS('24c'!$J$7:$J$100,'24c'!$H$7:$H$100,$A204,'24c'!$I$7:$I$100,2)+SUMIFS('24d'!$J$7:$J$100,'24d'!$H$7:$H$100,$A204,'24d'!$I$7:$I$100,2)+SUMIFS('24e'!$J$7:$J$100,'24e'!$H$7:$H$100,$A204,'24e'!$I$7:$I$100,2)+SUMIFS('24f'!$J$7:$J$100,'24f'!$H$7:$H$100,$A204,'24f'!$I$7:$I$100,2)+SUMIFS('24g'!$J$7:$J$100,'24g'!$H$7:$H$100,$A204,'24g'!$I$7:$I$100,2)+SUMIFS('24h'!$J$7:$J$100,'24h'!$H$7:$H$100,$A204,'24h'!$I$7:$I$100,2)+SUMIFS('24i'!$J$7:$J$100,'24i'!$H$7:$H$100,$A204,'24i'!$I$7:$I$100,2)+SUMIFS('25'!$J$7:$J$100,'25'!$H$7:$H$100,$A204,'25'!$I$7:$I$100,2)+SUMIFS('26'!$J$7:$J$100,'26'!$H$7:$H$100,$A204,'26'!$I$7:$I$100,2)+SUMIFS('26a'!$J$7:$J$100,'26a'!$H$7:$H$100,$A204,'26a'!$I$7:$I$100,2)+SUMIFS('27'!$J$7:$J$100,'27'!$H$7:$H$100,$A204,'27'!$I$7:$I$100,2)+SUMIFS('27a'!$J$7:$J$100,'27a'!$H$7:$H$100,$A204,'27a'!$I$7:$I$100,2)+SUMIFS('28'!$J$7:$J$100,'28'!$H$7:$H$100,$A204,'28'!$I$7:$I$100,2)+SUMIFS('29'!$J$7:$J$100,'29'!$H$7:$H$100,$A204,'29'!$I$7:$I$100,2)</f>
        <v>5000</v>
      </c>
      <c r="I204" s="1315">
        <f>SUMIFS('12'!$J$7:$J$100,'12'!$H$7:$H$100,$A204,'12'!$I$7:$I$100,"")+SUMIFS('13'!$J$7:$J$100,'13'!$H$7:$H$100,$A204,'13'!$I$7:$I$100,"")+SUMIFS('14'!$J$7:$J$100,'14'!$H$7:$H$100,$A204,'14'!$I$7:$I$100,"")+SUMIFS('15'!$J$7:$J$100,'15'!$H$7:$H$100,$A204,'15'!$I$7:$I$100,"")+SUMIFS('15a'!$J$7:$J$100,'15a'!$H$7:$H$100,$A204,'15a'!$I$7:$I$100,"")+SUMIFS('15b'!$J$7:$J$100,'15b'!$H$7:$H$100,$A204,'15b'!$I$7:$I$100,"")+SUMIFS('15c'!$J$7:$J$100,'15c'!$H$7:$H$100,$A204,'15c'!$I$7:$I$100,"")+SUMIFS('15d'!$J$7:$J$100,'15d'!$H$7:$H$100,$A204,'15d'!$I$7:$I$100,"")+SUMIFS('15e'!$J$7:$J$100,'15e'!$H$7:$H$100,$A204,'15e'!$I$7:$I$100,"")+SUMIFS('15f'!$J$7:$J$100,'15f'!$H$7:$H$100,$A204,'15f'!$I$7:$I$100,"")+SUMIFS('15g'!$J$7:$J$100,'15g'!$H$7:$H$100,$A204,'15g'!$I$7:$I$100,"")+SUMIFS('15h'!$J$7:$J$100,'15h'!$H$7:$H$100,$A204,'15h'!$I$7:$I$100,"")+SUMIFS('15i'!$J$7:$J$100,'15i'!$H$7:$H$100,$A204,'15i'!$I$7:$I$100,"")+SUMIFS('15j'!$J$7:$J$100,'15j'!$H$7:$H$100,$A204,'15j'!$I$7:$I$100,"")+SUMIFS('15k'!$J$7:$J$100,'15k'!$H$7:$H$100,$A204,'15k'!$I$7:$I$100,"")+SUMIFS('15l'!$J$7:$J$100,'15l'!$H$7:$H$100,$A204,'15l'!$I$7:$I$100,"")+SUMIFS('15m'!$J$7:$J$100,'15m'!$H$7:$H$100,$A204,'15m'!$I$7:$I$100,"")+SUMIFS('15n'!$J$7:$J$100,'15n'!$H$7:$H$100,$A204,'15n'!$I$7:$I$100,"")+SUMIFS('16'!$J$7:$J$100,'16'!$H$7:$H$100,$A204,'16'!$I$7:$I$100,"")+SUMIFS('16a'!$J$7:$J$100,'16a'!$H$7:$H$100,$A204,'16a'!$I$7:$I$100,"")+SUMIFS('17'!$J$7:$J$100,'17'!$H$7:$H$100,$A204,'17'!$I$7:$I$100,"")+SUMIFS('17a'!$J$7:$J$100,'17a'!$H$7:$H$100,$A204,'17a'!$I$7:$I$100,"")+SUMIFS('18'!$J$7:$J$100,'18'!$H$7:$H$100,$A204,'18'!$I$7:$I$100,"")+SUMIFS('18a'!$J$7:$J$100,'18a'!$H$7:$H$100,$A204,'18a'!$I$7:$I$100,"")
+SUMIFS('19'!$J$7:$J$100,'19'!$H$7:$H$100,$A204,'19'!$I$7:$I$100,"")+SUMIFS('20'!$J$7:$J$100,'20'!$H$7:$H$100,$A204,'20'!$I$7:$I$100,"")+SUMIFS('20a'!$J$7:$J$100,'20a'!$H$7:$H$100,$A204,'20a'!$I$7:$I$100,"")+SUMIFS('21'!$J$7:$J$100,'21'!$H$7:$H$100,$A204,'21'!$I$7:$I$100,"")+SUMIFS('22'!$J$7:$J$100,'22'!$H$7:$H$100,$A204,'22'!$I$7:$I$100,"")+SUMIFS('22a'!$J$7:$J$100,'22a'!$H$7:$H$100,$A204,'22a'!$I$7:$I$100,"")+SUMIFS('22b'!$J$7:$J$100,'22b'!$H$7:$H$100,$A204,'22b'!$I$7:$I$100,"")+SUMIFS('23'!$J$7:$J$100,'23'!$H$7:$H$100,$A204,'23'!$I$7:$I$100,"")+SUMIFS('24'!$J$7:$J$100,'24'!$H$7:$H$100,$A204,'24'!$I$7:$I$100,"")+SUMIFS('24a'!$J$7:$J$100,'24a'!$H$7:$H$100,$A204,'24a'!$I$7:$I$100,"")+SUMIFS('24b'!$J$7:$J$100,'24b'!$H$7:$H$100,$A204,'24b'!$I$7:$I$100,"")+SUMIFS('24c'!$J$7:$J$100,'24c'!$H$7:$H$100,$A204,'24c'!$I$7:$I$100,"")+SUMIFS('24d'!$J$7:$J$100,'24d'!$H$7:$H$100,$A204,'24d'!$I$7:$I$100,"")+SUMIFS('24e'!$J$7:$J$100,'24e'!$H$7:$H$100,$A204,'24e'!$I$7:$I$100,"")+SUMIFS('24f'!$J$7:$J$100,'24f'!$H$7:$H$100,$A204,'24f'!$I$7:$I$100,"")+SUMIFS('24g'!$J$7:$J$100,'24g'!$H$7:$H$100,$A204,'24g'!$I$7:$I$100,"")+SUMIFS('24h'!$J$7:$J$100,'24h'!$H$7:$H$100,$A204,'24h'!$I$7:$I$100,"")+SUMIFS('24i'!$J$7:$J$100,'24i'!$H$7:$H$100,$A204,'24i'!$I$7:$I$100,"")+SUMIFS('25'!$J$7:$J$100,'25'!$H$7:$H$100,$A204,'25'!$I$7:$I$100,"")+SUMIFS('26'!$J$7:$J$100,'26'!$H$7:$H$100,$A204,'26'!$I$7:$I$100,"")+SUMIFS('26a'!$J$7:$J$100,'26a'!$H$7:$H$100,$A204,'26a'!$I$7:$I$100,"")+SUMIFS('27'!$J$7:$J$100,'27'!$H$7:$H$100,$A204,'27'!$I$7:$I$100,"")+SUMIFS('27a'!$J$7:$J$100,'27a'!$H$7:$H$100,$A204,'27a'!$I$7:$I$100,"")+SUMIFS('28'!$J$7:$J$100,'28'!$H$7:$H$100,$A204,'28'!$I$7:$I$100,"")+SUMIFS('29'!$J$7:$J$100,'29'!$H$7:$H$100,$A204,'29'!$I$7:$I$100,"")</f>
        <v>0</v>
      </c>
      <c r="J204" s="1296">
        <f t="shared" ref="J204:J216" si="13">SUM(G204:I204)</f>
        <v>5000</v>
      </c>
      <c r="K204"/>
      <c r="L204"/>
      <c r="M204"/>
      <c r="N204"/>
      <c r="O204"/>
      <c r="P204"/>
      <c r="Q204"/>
      <c r="R204"/>
      <c r="S204" s="1307">
        <f t="shared" si="2"/>
        <v>10000</v>
      </c>
      <c r="T204"/>
    </row>
    <row r="205" spans="1:20" ht="12.75" customHeight="1" outlineLevel="1" x14ac:dyDescent="0.2">
      <c r="A205" t="s">
        <v>5269</v>
      </c>
      <c r="B205" t="s">
        <v>5482</v>
      </c>
      <c r="C205" s="1295">
        <f>SUMIFS('12'!$N$7:$N$100,'12'!$H$7:$H$100,$A205,'12'!$I$7:$I$100,1)+SUMIFS('13'!$N$7:$N$100,'13'!$H$7:$H$100,$A205,'13'!$I$7:$I$100,1)+SUMIFS('14'!$N$7:$N$100,'14'!$H$7:$H$100,$A205,'14'!$I$7:$I$100,1)+SUMIFS('15'!$N$7:$N$100,'15'!$H$7:$H$100,$A205,'15'!$I$7:$I$100,1)+SUMIFS('15a'!$N$7:$N$100,'15a'!$H$7:$H$100,$A205,'15a'!$I$7:$I$100,1)+SUMIFS('15b'!$N$7:$N$100,'15b'!$H$7:$H$100,$A205,'15b'!$I$7:$I$100,1)+SUMIFS('15c'!$N$7:$N$100,'15c'!$H$7:$H$100,$A205,'15c'!$I$7:$I$100,1)+SUMIFS('15d'!$N$7:$N$100,'15d'!$H$7:$H$100,$A205,'15d'!$I$7:$I$100,1)+SUMIFS('15e'!$N$7:$N$100,'15e'!$H$7:$H$100,$A205,'15e'!$I$7:$I$100,1)+SUMIFS('15f'!$N$7:$N$100,'15f'!$H$7:$H$100,$A205,'15f'!$I$7:$I$100,1)+SUMIFS('15g'!$N$7:$N$100,'15g'!$H$7:$H$100,$A205,'15g'!$I$7:$I$100,1)+SUMIFS('15h'!$N$7:$N$100,'15h'!$H$7:$H$100,$A205,'15h'!$I$7:$I$100,1)+SUMIFS('15i'!$N$7:$N$100,'15i'!$H$7:$H$100,$A205,'15i'!$I$7:$I$100,1)+SUMIFS('15j'!$N$7:$N$100,'15j'!$H$7:$H$100,$A205,'15j'!$I$7:$I$100,1)+SUMIFS('15k'!$N$7:$N$100,'15k'!$H$7:$H$100,$A205,'15k'!$I$7:$I$100,1)+SUMIFS('15l'!$N$7:$N$100,'15l'!$H$7:$H$100,$A205,'15l'!$I$7:$I$100,1)+SUMIFS('15m'!$N$7:$N$100,'15m'!$H$7:$H$100,$A205,'15m'!$I$7:$I$100,1)+SUMIFS('15n'!$N$7:$N$100,'15n'!$H$7:$H$100,$A205,'15n'!$I$7:$I$100,1)+SUMIFS('16'!$N$7:$N$100,'16'!$H$7:$H$100,$A205,'16'!$I$7:$I$100,1)+SUMIFS('16a'!$N$7:$N$100,'16a'!$H$7:$H$100,$A205,'16a'!$I$7:$I$100,1)+SUMIFS('17'!$N$7:$N$100,'17'!$H$7:$H$100,$A205,'17'!$I$7:$I$100,1)+SUMIFS('17a'!$N$7:$N$100,'17a'!$H$7:$H$100,$A205,'17a'!$I$7:$I$100,1)+SUMIFS('18'!$N$7:$N$100,'18'!$H$7:$H$100,$A205,'18'!$I$7:$I$100,1)+SUMIFS('18a'!$N$7:$N$100,'18a'!$H$7:$H$100,$A205,'18a'!$I$7:$I$100,1)
+SUMIFS('19'!$N$7:$N$100,'19'!$H$7:$H$100,$A205,'19'!$I$7:$I$100,1)+SUMIFS('20'!$N$7:$N$100,'20'!$H$7:$H$100,$A205,'20'!$I$7:$I$100,1)+SUMIFS('20a'!$N$7:$N$100,'20a'!$H$7:$H$100,$A205,'20a'!$I$7:$I$100,1)+SUMIFS('21'!$N$7:$N$100,'21'!$H$7:$H$100,$A205,'21'!$I$7:$I$100,1)+SUMIFS('22'!$N$7:$N$100,'22'!$H$7:$H$100,$A205,'22'!$I$7:$I$100,1)+SUMIFS('22a'!$N$7:$N$100,'22a'!$H$7:$H$100,$A205,'22a'!$I$7:$I$100,1)+SUMIFS('22b'!$N$7:$N$100,'22b'!$H$7:$H$100,$A205,'22b'!$I$7:$I$100,1)+SUMIFS('23'!$N$7:$N$100,'23'!$H$7:$H$100,$A205,'23'!$I$7:$I$100,1)+SUMIFS('24'!$N$7:$N$100,'24'!$H$7:$H$100,$A205,'24'!$I$7:$I$100,1)+SUMIFS('24a'!$N$7:$N$100,'24a'!$H$7:$H$100,$A205,'24a'!$I$7:$I$100,1)+SUMIFS('24b'!$N$7:$N$100,'24b'!$H$7:$H$100,$A205,'24b'!$I$7:$I$100,1)+SUMIFS('24c'!$N$7:$N$100,'24c'!$H$7:$H$100,$A205,'24c'!$I$7:$I$100,1)+SUMIFS('24d'!$N$7:$N$100,'24d'!$H$7:$H$100,$A205,'24d'!$I$7:$I$100,1)+SUMIFS('24e'!$N$7:$N$100,'24e'!$H$7:$H$100,$A205,'24e'!$I$7:$I$100,1)+SUMIFS('24f'!$N$7:$N$100,'24f'!$H$7:$H$100,$A205,'24f'!$I$7:$I$100,1)+SUMIFS('24g'!$N$7:$N$100,'24g'!$H$7:$H$100,$A205,'24g'!$I$7:$I$100,1)+SUMIFS('24h'!$N$7:$N$100,'24h'!$H$7:$H$100,$A205,'24h'!$I$7:$I$100,1)+SUMIFS('24i'!$N$7:$N$100,'24i'!$H$7:$H$100,$A205,'24i'!$I$7:$I$100,1)+SUMIFS('25'!$N$7:$N$100,'25'!$H$7:$H$100,$A205,'25'!$I$7:$I$100,1)+SUMIFS('26'!$N$7:$N$100,'26'!$H$7:$H$100,$A205,'26'!$I$7:$I$100,1)+SUMIFS('26a'!$N$7:$N$100,'26a'!$H$7:$H$100,$A205,'26a'!$I$7:$I$100,1)+SUMIFS('27'!$N$7:$N$100,'27'!$H$7:$H$100,$A205,'27'!$I$7:$I$100,1)+SUMIFS('27a'!$N$7:$N$100,'27a'!$H$7:$H$100,$A205,'27a'!$I$7:$I$100,1)+SUMIFS('28'!$N$7:$N$100,'28'!$H$7:$H$100,$A205,'28'!$I$7:$I$100,1)+SUMIFS('29'!$N$7:$N$100,'29'!$H$7:$H$100,$A205,'29'!$I$7:$I$100,1)</f>
        <v>0</v>
      </c>
      <c r="D205" s="1315">
        <f>SUMIFS('12'!$N$7:$N$100,'12'!$H$7:$H$100,$A205,'12'!$I$7:$I$100,2)+SUMIFS('13'!$N$7:$N$100,'13'!$H$7:$H$100,$A205,'13'!$I$7:$I$100,2)+SUMIFS('14'!$N$7:$N$100,'14'!$H$7:$H$100,$A205,'14'!$I$7:$I$100,2)+SUMIFS('15'!$N$7:$N$100,'15'!$H$7:$H$100,$A205,'15'!$I$7:$I$100,2)+SUMIFS('15a'!$N$7:$N$100,'15a'!$H$7:$H$100,$A205,'15a'!$I$7:$I$100,2)+SUMIFS('15b'!$N$7:$N$100,'15b'!$H$7:$H$100,$A205,'15b'!$I$7:$I$100,2)+SUMIFS('15c'!$N$7:$N$100,'15c'!$H$7:$H$100,$A205,'15c'!$I$7:$I$100,2)+SUMIFS('15d'!$N$7:$N$100,'15d'!$H$7:$H$100,$A205,'15d'!$I$7:$I$100,2)+SUMIFS('15e'!$N$7:$N$100,'15e'!$H$7:$H$100,$A205,'15e'!$I$7:$I$100,2)+SUMIFS('15f'!$N$7:$N$100,'15f'!$H$7:$H$100,$A205,'15f'!$I$7:$I$100,2)+SUMIFS('15g'!$N$7:$N$100,'15g'!$H$7:$H$100,$A205,'15g'!$I$7:$I$100,2)+SUMIFS('15h'!$N$7:$N$100,'15h'!$H$7:$H$100,$A205,'15h'!$I$7:$I$100,2)+SUMIFS('15i'!$N$7:$N$100,'15i'!$H$7:$H$100,$A205,'15i'!$I$7:$I$100,2)+SUMIFS('15j'!$N$7:$N$100,'15j'!$H$7:$H$100,$A205,'15j'!$I$7:$I$100,2)+SUMIFS('15k'!$N$7:$N$100,'15k'!$H$7:$H$100,$A205,'15k'!$I$7:$I$100,2)+SUMIFS('15l'!$N$7:$N$100,'15l'!$H$7:$H$100,$A205,'15l'!$I$7:$I$100,2)+SUMIFS('15m'!$N$7:$N$100,'15m'!$H$7:$H$100,$A205,'15m'!$I$7:$I$100,2)+SUMIFS('15n'!$N$7:$N$100,'15n'!$H$7:$H$100,$A205,'15n'!$I$7:$I$100,2)+SUMIFS('16'!$N$7:$N$100,'16'!$H$7:$H$100,$A205,'16'!$I$7:$I$100,2)+SUMIFS('16a'!$N$7:$N$100,'16a'!$H$7:$H$100,$A205,'16a'!$I$7:$I$100,2)+SUMIFS('17'!$N$7:$N$100,'17'!$H$7:$H$100,$A205,'17'!$I$7:$I$100,2)+SUMIFS('17a'!$N$7:$N$100,'17a'!$H$7:$H$100,$A205,'17a'!$I$7:$I$100,2)+SUMIFS('18'!$N$7:$N$100,'18'!$H$7:$H$100,$A205,'18'!$I$7:$I$100,2)+SUMIFS('18a'!$N$7:$N$100,'18a'!$H$7:$H$100,$A205,'18a'!$I$7:$I$100,2)
+SUMIFS('19'!$N$7:$N$100,'19'!$H$7:$H$100,$A205,'19'!$I$7:$I$100,2)+SUMIFS('20'!$N$7:$N$100,'20'!$H$7:$H$100,$A205,'20'!$I$7:$I$100,2)+SUMIFS('20a'!$N$7:$N$100,'20a'!$H$7:$H$100,$A205,'20a'!$I$7:$I$100,2)+SUMIFS('21'!$N$7:$N$100,'21'!$H$7:$H$100,$A205,'21'!$I$7:$I$100,2)+SUMIFS('22'!$N$7:$N$100,'22'!$H$7:$H$100,$A205,'22'!$I$7:$I$100,2)+SUMIFS('22a'!$N$7:$N$100,'22a'!$H$7:$H$100,$A205,'22a'!$I$7:$I$100,2)+SUMIFS('22b'!$N$7:$N$100,'22b'!$H$7:$H$100,$A205,'22b'!$I$7:$I$100,2)+SUMIFS('23'!$N$7:$N$100,'23'!$H$7:$H$100,$A205,'23'!$I$7:$I$100,2)+SUMIFS('24'!$N$7:$N$100,'24'!$H$7:$H$100,$A205,'24'!$I$7:$I$100,2)+SUMIFS('24a'!$N$7:$N$100,'24a'!$H$7:$H$100,$A205,'24a'!$I$7:$I$100,2)+SUMIFS('24b'!$N$7:$N$100,'24b'!$H$7:$H$100,$A205,'24b'!$I$7:$I$100,2)+SUMIFS('24c'!$N$7:$N$100,'24c'!$H$7:$H$100,$A205,'24c'!$I$7:$I$100,2)+SUMIFS('24d'!$N$7:$N$100,'24d'!$H$7:$H$100,$A205,'24d'!$I$7:$I$100,2)+SUMIFS('24e'!$N$7:$N$100,'24e'!$H$7:$H$100,$A205,'24e'!$I$7:$I$100,2)+SUMIFS('24f'!$N$7:$N$100,'24f'!$H$7:$H$100,$A205,'24f'!$I$7:$I$100,2)+SUMIFS('24g'!$N$7:$N$100,'24g'!$H$7:$H$100,$A205,'24g'!$I$7:$I$100,2)+SUMIFS('24h'!$N$7:$N$100,'24h'!$H$7:$H$100,$A205,'24h'!$I$7:$I$100,2)+SUMIFS('24i'!$N$7:$N$100,'24i'!$H$7:$H$100,$A205,'24i'!$I$7:$I$100,2)+SUMIFS('25'!$N$7:$N$100,'25'!$H$7:$H$100,$A205,'25'!$I$7:$I$100,2)+SUMIFS('26'!$N$7:$N$100,'26'!$H$7:$H$100,$A205,'26'!$I$7:$I$100,2)+SUMIFS('26a'!$N$7:$N$100,'26a'!$H$7:$H$100,$A205,'26a'!$I$7:$I$100,2)+SUMIFS('27'!$N$7:$N$100,'27'!$H$7:$H$100,$A205,'27'!$I$7:$I$100,2)+SUMIFS('27a'!$N$7:$N$100,'27a'!$H$7:$H$100,$A205,'27a'!$I$7:$I$100,2)+SUMIFS('28'!$N$7:$N$100,'28'!$H$7:$H$100,$A205,'28'!$I$7:$I$100,2)+SUMIFS('29'!$N$7:$N$100,'29'!$H$7:$H$100,$A205,'29'!$I$7:$I$100,2)</f>
        <v>0</v>
      </c>
      <c r="E205" s="1315">
        <f>SUMIFS('12'!$N$7:$N$100,'12'!$H$7:$H$100,$A205,'12'!$I$7:$I$100,"")+SUMIFS('13'!$N$7:$N$100,'13'!$H$7:$H$100,$A205,'13'!$I$7:$I$100,"")+SUMIFS('14'!$N$7:$N$100,'14'!$H$7:$H$100,$A205,'14'!$I$7:$I$100,"")+SUMIFS('15'!$N$7:$N$100,'15'!$H$7:$H$100,$A205,'15'!$I$7:$I$100,"")+SUMIFS('15a'!$N$7:$N$100,'15a'!$H$7:$H$100,$A205,'15a'!$I$7:$I$100,"")+SUMIFS('15b'!$N$7:$N$100,'15b'!$H$7:$H$100,$A205,'15b'!$I$7:$I$100,"")+SUMIFS('15c'!$N$7:$N$100,'15c'!$H$7:$H$100,$A205,'15c'!$I$7:$I$100,"")+SUMIFS('15d'!$N$7:$N$100,'15d'!$H$7:$H$100,$A205,'15d'!$I$7:$I$100,"")+SUMIFS('15e'!$N$7:$N$100,'15e'!$H$7:$H$100,$A205,'15e'!$I$7:$I$100,"")+SUMIFS('15f'!$N$7:$N$100,'15f'!$H$7:$H$100,$A205,'15f'!$I$7:$I$100,"")+SUMIFS('15g'!$N$7:$N$100,'15g'!$H$7:$H$100,$A205,'15g'!$I$7:$I$100,"")+SUMIFS('15h'!$N$7:$N$100,'15h'!$H$7:$H$100,$A205,'15h'!$I$7:$I$100,"")+SUMIFS('15i'!$N$7:$N$100,'15i'!$H$7:$H$100,$A205,'15i'!$I$7:$I$100,"")+SUMIFS('15j'!$N$7:$N$100,'15j'!$H$7:$H$100,$A205,'15j'!$I$7:$I$100,"")+SUMIFS('15k'!$N$7:$N$100,'15k'!$H$7:$H$100,$A205,'15k'!$I$7:$I$100,"")+SUMIFS('15l'!$N$7:$N$100,'15l'!$H$7:$H$100,$A205,'15l'!$I$7:$I$100,"")+SUMIFS('15m'!$N$7:$N$100,'15m'!$H$7:$H$100,$A205,'15m'!$I$7:$I$100,"")+SUMIFS('15n'!$N$7:$N$100,'15n'!$H$7:$H$100,$A205,'15n'!$I$7:$I$100,"")+SUMIFS('16'!$N$7:$N$100,'16'!$H$7:$H$100,$A205,'16'!$I$7:$I$100,"")+SUMIFS('16a'!$N$7:$N$100,'16a'!$H$7:$H$100,$A205,'16a'!$I$7:$I$100,"")+SUMIFS('17'!$N$7:$N$100,'17'!$H$7:$H$100,$A205,'17'!$I$7:$I$100,"")+SUMIFS('17a'!$N$7:$N$100,'17a'!$H$7:$H$100,$A205,'17a'!$I$7:$I$100,"")+SUMIFS('18'!$N$7:$N$100,'18'!$H$7:$H$100,$A205,'18'!$I$7:$I$100,"")+SUMIFS('18a'!$N$7:$N$100,'18a'!$H$7:$H$100,$A205,'18a'!$I$7:$I$100,"")
+SUMIFS('19'!$N$7:$N$100,'19'!$H$7:$H$100,$A205,'19'!$I$7:$I$100,"")+SUMIFS('20'!$N$7:$N$100,'20'!$H$7:$H$100,$A205,'20'!$I$7:$I$100,"")+SUMIFS('20a'!$N$7:$N$100,'20a'!$H$7:$H$100,$A205,'20a'!$I$7:$I$100,"")+SUMIFS('21'!$N$7:$N$100,'21'!$H$7:$H$100,$A205,'21'!$I$7:$I$100,"")+SUMIFS('22'!$N$7:$N$100,'22'!$H$7:$H$100,$A205,'22'!$I$7:$I$100,"")+SUMIFS('22a'!$N$7:$N$100,'22a'!$H$7:$H$100,$A205,'22a'!$I$7:$I$100,"")+SUMIFS('22b'!$N$7:$N$100,'22b'!$H$7:$H$100,$A205,'22b'!$I$7:$I$100,"")+SUMIFS('23'!$N$7:$N$100,'23'!$H$7:$H$100,$A205,'23'!$I$7:$I$100,"")+SUMIFS('24'!$N$7:$N$100,'24'!$H$7:$H$100,$A205,'24'!$I$7:$I$100,"")+SUMIFS('24a'!$N$7:$N$100,'24a'!$H$7:$H$100,$A205,'24a'!$I$7:$I$100,"")+SUMIFS('24b'!$N$7:$N$100,'24b'!$H$7:$H$100,$A205,'24b'!$I$7:$I$100,"")+SUMIFS('24c'!$N$7:$N$100,'24c'!$H$7:$H$100,$A205,'24c'!$I$7:$I$100,"")+SUMIFS('24d'!$N$7:$N$100,'24d'!$H$7:$H$100,$A205,'24d'!$I$7:$I$100,"")+SUMIFS('24e'!$N$7:$N$100,'24e'!$H$7:$H$100,$A205,'24e'!$I$7:$I$100,"")+SUMIFS('24f'!$N$7:$N$100,'24f'!$H$7:$H$100,$A205,'24f'!$I$7:$I$100,"")+SUMIFS('24g'!$N$7:$N$100,'24g'!$H$7:$H$100,$A205,'24g'!$I$7:$I$100,"")+SUMIFS('24h'!$N$7:$N$100,'24h'!$H$7:$H$100,$A205,'24h'!$I$7:$I$100,"")+SUMIFS('24i'!$N$7:$N$100,'24i'!$H$7:$H$100,$A205,'24i'!$I$7:$I$100,"")+SUMIFS('25'!$N$7:$N$100,'25'!$H$7:$H$100,$A205,'25'!$I$7:$I$100,"")+SUMIFS('26'!$N$7:$N$100,'26'!$H$7:$H$100,$A205,'26'!$I$7:$I$100,"")+SUMIFS('26a'!$N$7:$N$100,'26a'!$H$7:$H$100,$A205,'26a'!$I$7:$I$100,"")+SUMIFS('27'!$N$7:$N$100,'27'!$H$7:$H$100,$A205,'27'!$I$7:$I$100,"")+SUMIFS('27a'!$N$7:$N$100,'27a'!$H$7:$H$100,$A205,'27a'!$I$7:$I$100,"")+SUMIFS('28'!$N$7:$N$100,'28'!$H$7:$H$100,$A205,'28'!$I$7:$I$100,"")+SUMIFS('29'!$N$7:$N$100,'29'!$H$7:$H$100,$A205,'29'!$I$7:$I$100,"")</f>
        <v>0</v>
      </c>
      <c r="F205" s="1296">
        <f t="shared" si="12"/>
        <v>0</v>
      </c>
      <c r="G205" s="1295">
        <f>SUMIFS('12'!$J$7:$J$100,'12'!$H$7:$H$100,$A205,'12'!$I$7:$I$100,1)+SUMIFS('13'!$J$7:$J$100,'13'!$H$7:$H$100,$A205,'13'!$I$7:$I$100,1)+SUMIFS('14'!$J$7:$J$100,'14'!$H$7:$H$100,$A205,'14'!$I$7:$I$100,1)+SUMIFS('15'!$J$7:$J$100,'15'!$H$7:$H$100,$A205,'15'!$I$7:$I$100,1)+SUMIFS('15a'!$J$7:$J$100,'15a'!$H$7:$H$100,$A205,'15a'!$I$7:$I$100,1)+SUMIFS('15b'!$J$7:$J$100,'15b'!$H$7:$H$100,$A205,'15b'!$I$7:$I$100,1)+SUMIFS('15c'!$J$7:$J$100,'15c'!$H$7:$H$100,$A205,'15c'!$I$7:$I$100,1)+SUMIFS('15d'!$J$7:$J$100,'15d'!$H$7:$H$100,$A205,'15d'!$I$7:$I$100,1)+SUMIFS('15e'!$J$7:$J$100,'15e'!$H$7:$H$100,$A205,'15e'!$I$7:$I$100,1)+SUMIFS('15f'!$J$7:$J$100,'15f'!$H$7:$H$100,$A205,'15f'!$I$7:$I$100,1)+SUMIFS('15g'!$J$7:$J$100,'15g'!$H$7:$H$100,$A205,'15g'!$I$7:$I$100,1)+SUMIFS('15h'!$J$7:$J$100,'15h'!$H$7:$H$100,$A205,'15h'!$I$7:$I$100,1)+SUMIFS('15i'!$J$7:$J$100,'15i'!$H$7:$H$100,$A205,'15i'!$I$7:$I$100,1)+SUMIFS('15j'!$J$7:$J$100,'15j'!$H$7:$H$100,$A205,'15j'!$I$7:$I$100,1)+SUMIFS('15k'!$J$7:$J$100,'15k'!$H$7:$H$100,$A205,'15k'!$I$7:$I$100,1)+SUMIFS('15l'!$J$7:$J$100,'15l'!$H$7:$H$100,$A205,'15l'!$I$7:$I$100,1)+SUMIFS('15m'!$J$7:$J$100,'15m'!$H$7:$H$100,$A205,'15m'!$I$7:$I$100,1)+SUMIFS('15n'!$J$7:$J$100,'15n'!$H$7:$H$100,$A205,'15n'!$I$7:$I$100,1)+SUMIFS('16'!$J$7:$J$100,'16'!$H$7:$H$100,$A205,'16'!$I$7:$I$100,1)+SUMIFS('16a'!$J$7:$J$100,'16a'!$H$7:$H$100,$A205,'16a'!$I$7:$I$100,1)+SUMIFS('17'!$J$7:$J$100,'17'!$H$7:$H$100,$A205,'17'!$I$7:$I$100,1)+SUMIFS('17a'!$J$7:$J$100,'17a'!$H$7:$H$100,$A205,'17a'!$I$7:$I$100,1)+SUMIFS('18'!$J$7:$J$100,'18'!$H$7:$H$100,$A205,'18'!$I$7:$I$100,1)+SUMIFS('18a'!$J$7:$J$100,'18a'!$H$7:$H$100,$A205,'18a'!$I$7:$I$100,1)
+SUMIFS('19'!$J$7:$J$100,'19'!$H$7:$H$100,$A205,'19'!$I$7:$I$100,1)+SUMIFS('20'!$J$7:$J$100,'20'!$H$7:$H$100,$A205,'20'!$I$7:$I$100,1)+SUMIFS('20a'!$J$7:$J$100,'20a'!$H$7:$H$100,$A205,'20a'!$I$7:$I$100,1)+SUMIFS('21'!$J$7:$J$100,'21'!$H$7:$H$100,$A205,'21'!$I$7:$I$100,1)+SUMIFS('22'!$J$7:$J$100,'22'!$H$7:$H$100,$A205,'22'!$I$7:$I$100,1)+SUMIFS('22a'!$J$7:$J$100,'22a'!$H$7:$H$100,$A205,'22a'!$I$7:$I$100,1)+SUMIFS('22b'!$J$7:$J$100,'22b'!$H$7:$H$100,$A205,'22b'!$I$7:$I$100,1)+SUMIFS('23'!$J$7:$J$100,'23'!$H$7:$H$100,$A205,'23'!$I$7:$I$100,1)+SUMIFS('24'!$J$7:$J$100,'24'!$H$7:$H$100,$A205,'24'!$I$7:$I$100,1)+SUMIFS('24a'!$J$7:$J$100,'24a'!$H$7:$H$100,$A205,'24a'!$I$7:$I$100,1)+SUMIFS('24b'!$J$7:$J$100,'24b'!$H$7:$H$100,$A205,'24b'!$I$7:$I$100,1)+SUMIFS('24c'!$J$7:$J$100,'24c'!$H$7:$H$100,$A205,'24c'!$I$7:$I$100,1)+SUMIFS('24d'!$J$7:$J$100,'24d'!$H$7:$H$100,$A205,'24d'!$I$7:$I$100,1)+SUMIFS('24e'!$J$7:$J$100,'24e'!$H$7:$H$100,$A205,'24e'!$I$7:$I$100,1)+SUMIFS('24f'!$J$7:$J$100,'24f'!$H$7:$H$100,$A205,'24f'!$I$7:$I$100,1)+SUMIFS('24g'!$J$7:$J$100,'24g'!$H$7:$H$100,$A205,'24g'!$I$7:$I$100,1)+SUMIFS('24h'!$J$7:$J$100,'24h'!$H$7:$H$100,$A205,'24h'!$I$7:$I$100,1)+SUMIFS('24i'!$J$7:$J$100,'24i'!$H$7:$H$100,$A205,'24i'!$I$7:$I$100,1)+SUMIFS('25'!$J$7:$J$100,'25'!$H$7:$H$100,$A205,'25'!$I$7:$I$100,1)+SUMIFS('26'!$J$7:$J$100,'26'!$H$7:$H$100,$A205,'26'!$I$7:$I$100,1)+SUMIFS('26a'!$J$7:$J$100,'26a'!$H$7:$H$100,$A205,'26a'!$I$7:$I$100,1)+SUMIFS('27'!$J$7:$J$100,'27'!$H$7:$H$100,$A205,'27'!$I$7:$I$100,1)+SUMIFS('27a'!$J$7:$J$100,'27a'!$H$7:$H$100,$A205,'27a'!$I$7:$I$100,1)+SUMIFS('28'!$J$7:$J$100,'28'!$H$7:$H$100,$A205,'28'!$I$7:$I$100,1)+SUMIFS('29'!$J$7:$J$100,'29'!$H$7:$H$100,$A205,'29'!$I$7:$I$100,1)</f>
        <v>0</v>
      </c>
      <c r="H205" s="1315">
        <f>SUMIFS('12'!$J$7:$J$100,'12'!$H$7:$H$100,$A205,'12'!$I$7:$I$100,2)+SUMIFS('13'!$J$7:$J$100,'13'!$H$7:$H$100,$A205,'13'!$I$7:$I$100,2)+SUMIFS('14'!$J$7:$J$100,'14'!$H$7:$H$100,$A205,'14'!$I$7:$I$100,2)+SUMIFS('15'!$J$7:$J$100,'15'!$H$7:$H$100,$A205,'15'!$I$7:$I$100,2)+SUMIFS('15a'!$J$7:$J$100,'15a'!$H$7:$H$100,$A205,'15a'!$I$7:$I$100,2)+SUMIFS('15b'!$J$7:$J$100,'15b'!$H$7:$H$100,$A205,'15b'!$I$7:$I$100,2)+SUMIFS('15c'!$J$7:$J$100,'15c'!$H$7:$H$100,$A205,'15c'!$I$7:$I$100,2)+SUMIFS('15d'!$J$7:$J$100,'15d'!$H$7:$H$100,$A205,'15d'!$I$7:$I$100,2)+SUMIFS('15e'!$J$7:$J$100,'15e'!$H$7:$H$100,$A205,'15e'!$I$7:$I$100,2)+SUMIFS('15f'!$J$7:$J$100,'15f'!$H$7:$H$100,$A205,'15f'!$I$7:$I$100,2)+SUMIFS('15g'!$J$7:$J$100,'15g'!$H$7:$H$100,$A205,'15g'!$I$7:$I$100,2)+SUMIFS('15h'!$J$7:$J$100,'15h'!$H$7:$H$100,$A205,'15h'!$I$7:$I$100,2)+SUMIFS('15i'!$J$7:$J$100,'15i'!$H$7:$H$100,$A205,'15i'!$I$7:$I$100,2)+SUMIFS('15j'!$J$7:$J$100,'15j'!$H$7:$H$100,$A205,'15j'!$I$7:$I$100,2)+SUMIFS('15k'!$J$7:$J$100,'15k'!$H$7:$H$100,$A205,'15k'!$I$7:$I$100,2)+SUMIFS('15l'!$J$7:$J$100,'15l'!$H$7:$H$100,$A205,'15l'!$I$7:$I$100,2)+SUMIFS('15m'!$J$7:$J$100,'15m'!$H$7:$H$100,$A205,'15m'!$I$7:$I$100,2)+SUMIFS('15n'!$J$7:$J$100,'15n'!$H$7:$H$100,$A205,'15n'!$I$7:$I$100,2)+SUMIFS('16'!$J$7:$J$100,'16'!$H$7:$H$100,$A205,'16'!$I$7:$I$100,2)+SUMIFS('16a'!$J$7:$J$100,'16a'!$H$7:$H$100,$A205,'16a'!$I$7:$I$100,2)+SUMIFS('17'!$J$7:$J$100,'17'!$H$7:$H$100,$A205,'17'!$I$7:$I$100,2)+SUMIFS('17a'!$J$7:$J$100,'17a'!$H$7:$H$100,$A205,'17a'!$I$7:$I$100,2)+SUMIFS('18'!$J$7:$J$100,'18'!$H$7:$H$100,$A205,'18'!$I$7:$I$100,2)+SUMIFS('18a'!$J$7:$J$100,'18a'!$H$7:$H$100,$A205,'18a'!$I$7:$I$100,2)
+SUMIFS('19'!$J$7:$J$100,'19'!$H$7:$H$100,$A205,'19'!$I$7:$I$100,2)+SUMIFS('20'!$J$7:$J$100,'20'!$H$7:$H$100,$A205,'20'!$I$7:$I$100,2)+SUMIFS('20a'!$J$7:$J$100,'20a'!$H$7:$H$100,$A205,'20a'!$I$7:$I$100,2)+SUMIFS('21'!$J$7:$J$100,'21'!$H$7:$H$100,$A205,'21'!$I$7:$I$100,2)+SUMIFS('22'!$J$7:$J$100,'22'!$H$7:$H$100,$A205,'22'!$I$7:$I$100,2)+SUMIFS('22a'!$J$7:$J$100,'22a'!$H$7:$H$100,$A205,'22a'!$I$7:$I$100,2)+SUMIFS('22b'!$J$7:$J$100,'22b'!$H$7:$H$100,$A205,'22b'!$I$7:$I$100,2)+SUMIFS('23'!$J$7:$J$100,'23'!$H$7:$H$100,$A205,'23'!$I$7:$I$100,2)+SUMIFS('24'!$J$7:$J$100,'24'!$H$7:$H$100,$A205,'24'!$I$7:$I$100,2)+SUMIFS('24a'!$J$7:$J$100,'24a'!$H$7:$H$100,$A205,'24a'!$I$7:$I$100,2)+SUMIFS('24b'!$J$7:$J$100,'24b'!$H$7:$H$100,$A205,'24b'!$I$7:$I$100,2)+SUMIFS('24c'!$J$7:$J$100,'24c'!$H$7:$H$100,$A205,'24c'!$I$7:$I$100,2)+SUMIFS('24d'!$J$7:$J$100,'24d'!$H$7:$H$100,$A205,'24d'!$I$7:$I$100,2)+SUMIFS('24e'!$J$7:$J$100,'24e'!$H$7:$H$100,$A205,'24e'!$I$7:$I$100,2)+SUMIFS('24f'!$J$7:$J$100,'24f'!$H$7:$H$100,$A205,'24f'!$I$7:$I$100,2)+SUMIFS('24g'!$J$7:$J$100,'24g'!$H$7:$H$100,$A205,'24g'!$I$7:$I$100,2)+SUMIFS('24h'!$J$7:$J$100,'24h'!$H$7:$H$100,$A205,'24h'!$I$7:$I$100,2)+SUMIFS('24i'!$J$7:$J$100,'24i'!$H$7:$H$100,$A205,'24i'!$I$7:$I$100,2)+SUMIFS('25'!$J$7:$J$100,'25'!$H$7:$H$100,$A205,'25'!$I$7:$I$100,2)+SUMIFS('26'!$J$7:$J$100,'26'!$H$7:$H$100,$A205,'26'!$I$7:$I$100,2)+SUMIFS('26a'!$J$7:$J$100,'26a'!$H$7:$H$100,$A205,'26a'!$I$7:$I$100,2)+SUMIFS('27'!$J$7:$J$100,'27'!$H$7:$H$100,$A205,'27'!$I$7:$I$100,2)+SUMIFS('27a'!$J$7:$J$100,'27a'!$H$7:$H$100,$A205,'27a'!$I$7:$I$100,2)+SUMIFS('28'!$J$7:$J$100,'28'!$H$7:$H$100,$A205,'28'!$I$7:$I$100,2)+SUMIFS('29'!$J$7:$J$100,'29'!$H$7:$H$100,$A205,'29'!$I$7:$I$100,2)</f>
        <v>0</v>
      </c>
      <c r="I205" s="1315">
        <f>SUMIFS('12'!$J$7:$J$100,'12'!$H$7:$H$100,$A205,'12'!$I$7:$I$100,"")+SUMIFS('13'!$J$7:$J$100,'13'!$H$7:$H$100,$A205,'13'!$I$7:$I$100,"")+SUMIFS('14'!$J$7:$J$100,'14'!$H$7:$H$100,$A205,'14'!$I$7:$I$100,"")+SUMIFS('15'!$J$7:$J$100,'15'!$H$7:$H$100,$A205,'15'!$I$7:$I$100,"")+SUMIFS('15a'!$J$7:$J$100,'15a'!$H$7:$H$100,$A205,'15a'!$I$7:$I$100,"")+SUMIFS('15b'!$J$7:$J$100,'15b'!$H$7:$H$100,$A205,'15b'!$I$7:$I$100,"")+SUMIFS('15c'!$J$7:$J$100,'15c'!$H$7:$H$100,$A205,'15c'!$I$7:$I$100,"")+SUMIFS('15d'!$J$7:$J$100,'15d'!$H$7:$H$100,$A205,'15d'!$I$7:$I$100,"")+SUMIFS('15e'!$J$7:$J$100,'15e'!$H$7:$H$100,$A205,'15e'!$I$7:$I$100,"")+SUMIFS('15f'!$J$7:$J$100,'15f'!$H$7:$H$100,$A205,'15f'!$I$7:$I$100,"")+SUMIFS('15g'!$J$7:$J$100,'15g'!$H$7:$H$100,$A205,'15g'!$I$7:$I$100,"")+SUMIFS('15h'!$J$7:$J$100,'15h'!$H$7:$H$100,$A205,'15h'!$I$7:$I$100,"")+SUMIFS('15i'!$J$7:$J$100,'15i'!$H$7:$H$100,$A205,'15i'!$I$7:$I$100,"")+SUMIFS('15j'!$J$7:$J$100,'15j'!$H$7:$H$100,$A205,'15j'!$I$7:$I$100,"")+SUMIFS('15k'!$J$7:$J$100,'15k'!$H$7:$H$100,$A205,'15k'!$I$7:$I$100,"")+SUMIFS('15l'!$J$7:$J$100,'15l'!$H$7:$H$100,$A205,'15l'!$I$7:$I$100,"")+SUMIFS('15m'!$J$7:$J$100,'15m'!$H$7:$H$100,$A205,'15m'!$I$7:$I$100,"")+SUMIFS('15n'!$J$7:$J$100,'15n'!$H$7:$H$100,$A205,'15n'!$I$7:$I$100,"")+SUMIFS('16'!$J$7:$J$100,'16'!$H$7:$H$100,$A205,'16'!$I$7:$I$100,"")+SUMIFS('16a'!$J$7:$J$100,'16a'!$H$7:$H$100,$A205,'16a'!$I$7:$I$100,"")+SUMIFS('17'!$J$7:$J$100,'17'!$H$7:$H$100,$A205,'17'!$I$7:$I$100,"")+SUMIFS('17a'!$J$7:$J$100,'17a'!$H$7:$H$100,$A205,'17a'!$I$7:$I$100,"")+SUMIFS('18'!$J$7:$J$100,'18'!$H$7:$H$100,$A205,'18'!$I$7:$I$100,"")+SUMIFS('18a'!$J$7:$J$100,'18a'!$H$7:$H$100,$A205,'18a'!$I$7:$I$100,"")
+SUMIFS('19'!$J$7:$J$100,'19'!$H$7:$H$100,$A205,'19'!$I$7:$I$100,"")+SUMIFS('20'!$J$7:$J$100,'20'!$H$7:$H$100,$A205,'20'!$I$7:$I$100,"")+SUMIFS('20a'!$J$7:$J$100,'20a'!$H$7:$H$100,$A205,'20a'!$I$7:$I$100,"")+SUMIFS('21'!$J$7:$J$100,'21'!$H$7:$H$100,$A205,'21'!$I$7:$I$100,"")+SUMIFS('22'!$J$7:$J$100,'22'!$H$7:$H$100,$A205,'22'!$I$7:$I$100,"")+SUMIFS('22a'!$J$7:$J$100,'22a'!$H$7:$H$100,$A205,'22a'!$I$7:$I$100,"")+SUMIFS('22b'!$J$7:$J$100,'22b'!$H$7:$H$100,$A205,'22b'!$I$7:$I$100,"")+SUMIFS('23'!$J$7:$J$100,'23'!$H$7:$H$100,$A205,'23'!$I$7:$I$100,"")+SUMIFS('24'!$J$7:$J$100,'24'!$H$7:$H$100,$A205,'24'!$I$7:$I$100,"")+SUMIFS('24a'!$J$7:$J$100,'24a'!$H$7:$H$100,$A205,'24a'!$I$7:$I$100,"")+SUMIFS('24b'!$J$7:$J$100,'24b'!$H$7:$H$100,$A205,'24b'!$I$7:$I$100,"")+SUMIFS('24c'!$J$7:$J$100,'24c'!$H$7:$H$100,$A205,'24c'!$I$7:$I$100,"")+SUMIFS('24d'!$J$7:$J$100,'24d'!$H$7:$H$100,$A205,'24d'!$I$7:$I$100,"")+SUMIFS('24e'!$J$7:$J$100,'24e'!$H$7:$H$100,$A205,'24e'!$I$7:$I$100,"")+SUMIFS('24f'!$J$7:$J$100,'24f'!$H$7:$H$100,$A205,'24f'!$I$7:$I$100,"")+SUMIFS('24g'!$J$7:$J$100,'24g'!$H$7:$H$100,$A205,'24g'!$I$7:$I$100,"")+SUMIFS('24h'!$J$7:$J$100,'24h'!$H$7:$H$100,$A205,'24h'!$I$7:$I$100,"")+SUMIFS('24i'!$J$7:$J$100,'24i'!$H$7:$H$100,$A205,'24i'!$I$7:$I$100,"")+SUMIFS('25'!$J$7:$J$100,'25'!$H$7:$H$100,$A205,'25'!$I$7:$I$100,"")+SUMIFS('26'!$J$7:$J$100,'26'!$H$7:$H$100,$A205,'26'!$I$7:$I$100,"")+SUMIFS('26a'!$J$7:$J$100,'26a'!$H$7:$H$100,$A205,'26a'!$I$7:$I$100,"")+SUMIFS('27'!$J$7:$J$100,'27'!$H$7:$H$100,$A205,'27'!$I$7:$I$100,"")+SUMIFS('27a'!$J$7:$J$100,'27a'!$H$7:$H$100,$A205,'27a'!$I$7:$I$100,"")+SUMIFS('28'!$J$7:$J$100,'28'!$H$7:$H$100,$A205,'28'!$I$7:$I$100,"")+SUMIFS('29'!$J$7:$J$100,'29'!$H$7:$H$100,$A205,'29'!$I$7:$I$100,"")</f>
        <v>0</v>
      </c>
      <c r="J205" s="1296">
        <f t="shared" si="13"/>
        <v>0</v>
      </c>
      <c r="K205"/>
      <c r="L205"/>
      <c r="M205"/>
      <c r="N205"/>
      <c r="O205"/>
      <c r="P205"/>
      <c r="Q205"/>
      <c r="R205"/>
      <c r="S205" s="1307">
        <f t="shared" si="2"/>
        <v>0</v>
      </c>
      <c r="T205"/>
    </row>
    <row r="206" spans="1:20" ht="12.75" customHeight="1" outlineLevel="1" x14ac:dyDescent="0.2">
      <c r="A206" t="s">
        <v>5270</v>
      </c>
      <c r="B206" t="s">
        <v>5482</v>
      </c>
      <c r="C206" s="1295">
        <f>SUMIFS('12'!$N$7:$N$100,'12'!$H$7:$H$100,$A206,'12'!$I$7:$I$100,1)+SUMIFS('13'!$N$7:$N$100,'13'!$H$7:$H$100,$A206,'13'!$I$7:$I$100,1)+SUMIFS('14'!$N$7:$N$100,'14'!$H$7:$H$100,$A206,'14'!$I$7:$I$100,1)+SUMIFS('15'!$N$7:$N$100,'15'!$H$7:$H$100,$A206,'15'!$I$7:$I$100,1)+SUMIFS('15a'!$N$7:$N$100,'15a'!$H$7:$H$100,$A206,'15a'!$I$7:$I$100,1)+SUMIFS('15b'!$N$7:$N$100,'15b'!$H$7:$H$100,$A206,'15b'!$I$7:$I$100,1)+SUMIFS('15c'!$N$7:$N$100,'15c'!$H$7:$H$100,$A206,'15c'!$I$7:$I$100,1)+SUMIFS('15d'!$N$7:$N$100,'15d'!$H$7:$H$100,$A206,'15d'!$I$7:$I$100,1)+SUMIFS('15e'!$N$7:$N$100,'15e'!$H$7:$H$100,$A206,'15e'!$I$7:$I$100,1)+SUMIFS('15f'!$N$7:$N$100,'15f'!$H$7:$H$100,$A206,'15f'!$I$7:$I$100,1)+SUMIFS('15g'!$N$7:$N$100,'15g'!$H$7:$H$100,$A206,'15g'!$I$7:$I$100,1)+SUMIFS('15h'!$N$7:$N$100,'15h'!$H$7:$H$100,$A206,'15h'!$I$7:$I$100,1)+SUMIFS('15i'!$N$7:$N$100,'15i'!$H$7:$H$100,$A206,'15i'!$I$7:$I$100,1)+SUMIFS('15j'!$N$7:$N$100,'15j'!$H$7:$H$100,$A206,'15j'!$I$7:$I$100,1)+SUMIFS('15k'!$N$7:$N$100,'15k'!$H$7:$H$100,$A206,'15k'!$I$7:$I$100,1)+SUMIFS('15l'!$N$7:$N$100,'15l'!$H$7:$H$100,$A206,'15l'!$I$7:$I$100,1)+SUMIFS('15m'!$N$7:$N$100,'15m'!$H$7:$H$100,$A206,'15m'!$I$7:$I$100,1)+SUMIFS('15n'!$N$7:$N$100,'15n'!$H$7:$H$100,$A206,'15n'!$I$7:$I$100,1)+SUMIFS('16'!$N$7:$N$100,'16'!$H$7:$H$100,$A206,'16'!$I$7:$I$100,1)+SUMIFS('16a'!$N$7:$N$100,'16a'!$H$7:$H$100,$A206,'16a'!$I$7:$I$100,1)+SUMIFS('17'!$N$7:$N$100,'17'!$H$7:$H$100,$A206,'17'!$I$7:$I$100,1)+SUMIFS('17a'!$N$7:$N$100,'17a'!$H$7:$H$100,$A206,'17a'!$I$7:$I$100,1)+SUMIFS('18'!$N$7:$N$100,'18'!$H$7:$H$100,$A206,'18'!$I$7:$I$100,1)+SUMIFS('18a'!$N$7:$N$100,'18a'!$H$7:$H$100,$A206,'18a'!$I$7:$I$100,1)
+SUMIFS('19'!$N$7:$N$100,'19'!$H$7:$H$100,$A206,'19'!$I$7:$I$100,1)+SUMIFS('20'!$N$7:$N$100,'20'!$H$7:$H$100,$A206,'20'!$I$7:$I$100,1)+SUMIFS('20a'!$N$7:$N$100,'20a'!$H$7:$H$100,$A206,'20a'!$I$7:$I$100,1)+SUMIFS('21'!$N$7:$N$100,'21'!$H$7:$H$100,$A206,'21'!$I$7:$I$100,1)+SUMIFS('22'!$N$7:$N$100,'22'!$H$7:$H$100,$A206,'22'!$I$7:$I$100,1)+SUMIFS('22a'!$N$7:$N$100,'22a'!$H$7:$H$100,$A206,'22a'!$I$7:$I$100,1)+SUMIFS('22b'!$N$7:$N$100,'22b'!$H$7:$H$100,$A206,'22b'!$I$7:$I$100,1)+SUMIFS('23'!$N$7:$N$100,'23'!$H$7:$H$100,$A206,'23'!$I$7:$I$100,1)+SUMIFS('24'!$N$7:$N$100,'24'!$H$7:$H$100,$A206,'24'!$I$7:$I$100,1)+SUMIFS('24a'!$N$7:$N$100,'24a'!$H$7:$H$100,$A206,'24a'!$I$7:$I$100,1)+SUMIFS('24b'!$N$7:$N$100,'24b'!$H$7:$H$100,$A206,'24b'!$I$7:$I$100,1)+SUMIFS('24c'!$N$7:$N$100,'24c'!$H$7:$H$100,$A206,'24c'!$I$7:$I$100,1)+SUMIFS('24d'!$N$7:$N$100,'24d'!$H$7:$H$100,$A206,'24d'!$I$7:$I$100,1)+SUMIFS('24e'!$N$7:$N$100,'24e'!$H$7:$H$100,$A206,'24e'!$I$7:$I$100,1)+SUMIFS('24f'!$N$7:$N$100,'24f'!$H$7:$H$100,$A206,'24f'!$I$7:$I$100,1)+SUMIFS('24g'!$N$7:$N$100,'24g'!$H$7:$H$100,$A206,'24g'!$I$7:$I$100,1)+SUMIFS('24h'!$N$7:$N$100,'24h'!$H$7:$H$100,$A206,'24h'!$I$7:$I$100,1)+SUMIFS('24i'!$N$7:$N$100,'24i'!$H$7:$H$100,$A206,'24i'!$I$7:$I$100,1)+SUMIFS('25'!$N$7:$N$100,'25'!$H$7:$H$100,$A206,'25'!$I$7:$I$100,1)+SUMIFS('26'!$N$7:$N$100,'26'!$H$7:$H$100,$A206,'26'!$I$7:$I$100,1)+SUMIFS('26a'!$N$7:$N$100,'26a'!$H$7:$H$100,$A206,'26a'!$I$7:$I$100,1)+SUMIFS('27'!$N$7:$N$100,'27'!$H$7:$H$100,$A206,'27'!$I$7:$I$100,1)+SUMIFS('27a'!$N$7:$N$100,'27a'!$H$7:$H$100,$A206,'27a'!$I$7:$I$100,1)+SUMIFS('28'!$N$7:$N$100,'28'!$H$7:$H$100,$A206,'28'!$I$7:$I$100,1)+SUMIFS('29'!$N$7:$N$100,'29'!$H$7:$H$100,$A206,'29'!$I$7:$I$100,1)</f>
        <v>0</v>
      </c>
      <c r="D206" s="1315">
        <f>SUMIFS('12'!$N$7:$N$100,'12'!$H$7:$H$100,$A206,'12'!$I$7:$I$100,2)+SUMIFS('13'!$N$7:$N$100,'13'!$H$7:$H$100,$A206,'13'!$I$7:$I$100,2)+SUMIFS('14'!$N$7:$N$100,'14'!$H$7:$H$100,$A206,'14'!$I$7:$I$100,2)+SUMIFS('15'!$N$7:$N$100,'15'!$H$7:$H$100,$A206,'15'!$I$7:$I$100,2)+SUMIFS('15a'!$N$7:$N$100,'15a'!$H$7:$H$100,$A206,'15a'!$I$7:$I$100,2)+SUMIFS('15b'!$N$7:$N$100,'15b'!$H$7:$H$100,$A206,'15b'!$I$7:$I$100,2)+SUMIFS('15c'!$N$7:$N$100,'15c'!$H$7:$H$100,$A206,'15c'!$I$7:$I$100,2)+SUMIFS('15d'!$N$7:$N$100,'15d'!$H$7:$H$100,$A206,'15d'!$I$7:$I$100,2)+SUMIFS('15e'!$N$7:$N$100,'15e'!$H$7:$H$100,$A206,'15e'!$I$7:$I$100,2)+SUMIFS('15f'!$N$7:$N$100,'15f'!$H$7:$H$100,$A206,'15f'!$I$7:$I$100,2)+SUMIFS('15g'!$N$7:$N$100,'15g'!$H$7:$H$100,$A206,'15g'!$I$7:$I$100,2)+SUMIFS('15h'!$N$7:$N$100,'15h'!$H$7:$H$100,$A206,'15h'!$I$7:$I$100,2)+SUMIFS('15i'!$N$7:$N$100,'15i'!$H$7:$H$100,$A206,'15i'!$I$7:$I$100,2)+SUMIFS('15j'!$N$7:$N$100,'15j'!$H$7:$H$100,$A206,'15j'!$I$7:$I$100,2)+SUMIFS('15k'!$N$7:$N$100,'15k'!$H$7:$H$100,$A206,'15k'!$I$7:$I$100,2)+SUMIFS('15l'!$N$7:$N$100,'15l'!$H$7:$H$100,$A206,'15l'!$I$7:$I$100,2)+SUMIFS('15m'!$N$7:$N$100,'15m'!$H$7:$H$100,$A206,'15m'!$I$7:$I$100,2)+SUMIFS('15n'!$N$7:$N$100,'15n'!$H$7:$H$100,$A206,'15n'!$I$7:$I$100,2)+SUMIFS('16'!$N$7:$N$100,'16'!$H$7:$H$100,$A206,'16'!$I$7:$I$100,2)+SUMIFS('16a'!$N$7:$N$100,'16a'!$H$7:$H$100,$A206,'16a'!$I$7:$I$100,2)+SUMIFS('17'!$N$7:$N$100,'17'!$H$7:$H$100,$A206,'17'!$I$7:$I$100,2)+SUMIFS('17a'!$N$7:$N$100,'17a'!$H$7:$H$100,$A206,'17a'!$I$7:$I$100,2)+SUMIFS('18'!$N$7:$N$100,'18'!$H$7:$H$100,$A206,'18'!$I$7:$I$100,2)+SUMIFS('18a'!$N$7:$N$100,'18a'!$H$7:$H$100,$A206,'18a'!$I$7:$I$100,2)
+SUMIFS('19'!$N$7:$N$100,'19'!$H$7:$H$100,$A206,'19'!$I$7:$I$100,2)+SUMIFS('20'!$N$7:$N$100,'20'!$H$7:$H$100,$A206,'20'!$I$7:$I$100,2)+SUMIFS('20a'!$N$7:$N$100,'20a'!$H$7:$H$100,$A206,'20a'!$I$7:$I$100,2)+SUMIFS('21'!$N$7:$N$100,'21'!$H$7:$H$100,$A206,'21'!$I$7:$I$100,2)+SUMIFS('22'!$N$7:$N$100,'22'!$H$7:$H$100,$A206,'22'!$I$7:$I$100,2)+SUMIFS('22a'!$N$7:$N$100,'22a'!$H$7:$H$100,$A206,'22a'!$I$7:$I$100,2)+SUMIFS('22b'!$N$7:$N$100,'22b'!$H$7:$H$100,$A206,'22b'!$I$7:$I$100,2)+SUMIFS('23'!$N$7:$N$100,'23'!$H$7:$H$100,$A206,'23'!$I$7:$I$100,2)+SUMIFS('24'!$N$7:$N$100,'24'!$H$7:$H$100,$A206,'24'!$I$7:$I$100,2)+SUMIFS('24a'!$N$7:$N$100,'24a'!$H$7:$H$100,$A206,'24a'!$I$7:$I$100,2)+SUMIFS('24b'!$N$7:$N$100,'24b'!$H$7:$H$100,$A206,'24b'!$I$7:$I$100,2)+SUMIFS('24c'!$N$7:$N$100,'24c'!$H$7:$H$100,$A206,'24c'!$I$7:$I$100,2)+SUMIFS('24d'!$N$7:$N$100,'24d'!$H$7:$H$100,$A206,'24d'!$I$7:$I$100,2)+SUMIFS('24e'!$N$7:$N$100,'24e'!$H$7:$H$100,$A206,'24e'!$I$7:$I$100,2)+SUMIFS('24f'!$N$7:$N$100,'24f'!$H$7:$H$100,$A206,'24f'!$I$7:$I$100,2)+SUMIFS('24g'!$N$7:$N$100,'24g'!$H$7:$H$100,$A206,'24g'!$I$7:$I$100,2)+SUMIFS('24h'!$N$7:$N$100,'24h'!$H$7:$H$100,$A206,'24h'!$I$7:$I$100,2)+SUMIFS('24i'!$N$7:$N$100,'24i'!$H$7:$H$100,$A206,'24i'!$I$7:$I$100,2)+SUMIFS('25'!$N$7:$N$100,'25'!$H$7:$H$100,$A206,'25'!$I$7:$I$100,2)+SUMIFS('26'!$N$7:$N$100,'26'!$H$7:$H$100,$A206,'26'!$I$7:$I$100,2)+SUMIFS('26a'!$N$7:$N$100,'26a'!$H$7:$H$100,$A206,'26a'!$I$7:$I$100,2)+SUMIFS('27'!$N$7:$N$100,'27'!$H$7:$H$100,$A206,'27'!$I$7:$I$100,2)+SUMIFS('27a'!$N$7:$N$100,'27a'!$H$7:$H$100,$A206,'27a'!$I$7:$I$100,2)+SUMIFS('28'!$N$7:$N$100,'28'!$H$7:$H$100,$A206,'28'!$I$7:$I$100,2)+SUMIFS('29'!$N$7:$N$100,'29'!$H$7:$H$100,$A206,'29'!$I$7:$I$100,2)</f>
        <v>0</v>
      </c>
      <c r="E206" s="1315">
        <f>SUMIFS('12'!$N$7:$N$100,'12'!$H$7:$H$100,$A206,'12'!$I$7:$I$100,"")+SUMIFS('13'!$N$7:$N$100,'13'!$H$7:$H$100,$A206,'13'!$I$7:$I$100,"")+SUMIFS('14'!$N$7:$N$100,'14'!$H$7:$H$100,$A206,'14'!$I$7:$I$100,"")+SUMIFS('15'!$N$7:$N$100,'15'!$H$7:$H$100,$A206,'15'!$I$7:$I$100,"")+SUMIFS('15a'!$N$7:$N$100,'15a'!$H$7:$H$100,$A206,'15a'!$I$7:$I$100,"")+SUMIFS('15b'!$N$7:$N$100,'15b'!$H$7:$H$100,$A206,'15b'!$I$7:$I$100,"")+SUMIFS('15c'!$N$7:$N$100,'15c'!$H$7:$H$100,$A206,'15c'!$I$7:$I$100,"")+SUMIFS('15d'!$N$7:$N$100,'15d'!$H$7:$H$100,$A206,'15d'!$I$7:$I$100,"")+SUMIFS('15e'!$N$7:$N$100,'15e'!$H$7:$H$100,$A206,'15e'!$I$7:$I$100,"")+SUMIFS('15f'!$N$7:$N$100,'15f'!$H$7:$H$100,$A206,'15f'!$I$7:$I$100,"")+SUMIFS('15g'!$N$7:$N$100,'15g'!$H$7:$H$100,$A206,'15g'!$I$7:$I$100,"")+SUMIFS('15h'!$N$7:$N$100,'15h'!$H$7:$H$100,$A206,'15h'!$I$7:$I$100,"")+SUMIFS('15i'!$N$7:$N$100,'15i'!$H$7:$H$100,$A206,'15i'!$I$7:$I$100,"")+SUMIFS('15j'!$N$7:$N$100,'15j'!$H$7:$H$100,$A206,'15j'!$I$7:$I$100,"")+SUMIFS('15k'!$N$7:$N$100,'15k'!$H$7:$H$100,$A206,'15k'!$I$7:$I$100,"")+SUMIFS('15l'!$N$7:$N$100,'15l'!$H$7:$H$100,$A206,'15l'!$I$7:$I$100,"")+SUMIFS('15m'!$N$7:$N$100,'15m'!$H$7:$H$100,$A206,'15m'!$I$7:$I$100,"")+SUMIFS('15n'!$N$7:$N$100,'15n'!$H$7:$H$100,$A206,'15n'!$I$7:$I$100,"")+SUMIFS('16'!$N$7:$N$100,'16'!$H$7:$H$100,$A206,'16'!$I$7:$I$100,"")+SUMIFS('16a'!$N$7:$N$100,'16a'!$H$7:$H$100,$A206,'16a'!$I$7:$I$100,"")+SUMIFS('17'!$N$7:$N$100,'17'!$H$7:$H$100,$A206,'17'!$I$7:$I$100,"")+SUMIFS('17a'!$N$7:$N$100,'17a'!$H$7:$H$100,$A206,'17a'!$I$7:$I$100,"")+SUMIFS('18'!$N$7:$N$100,'18'!$H$7:$H$100,$A206,'18'!$I$7:$I$100,"")+SUMIFS('18a'!$N$7:$N$100,'18a'!$H$7:$H$100,$A206,'18a'!$I$7:$I$100,"")
+SUMIFS('19'!$N$7:$N$100,'19'!$H$7:$H$100,$A206,'19'!$I$7:$I$100,"")+SUMIFS('20'!$N$7:$N$100,'20'!$H$7:$H$100,$A206,'20'!$I$7:$I$100,"")+SUMIFS('20a'!$N$7:$N$100,'20a'!$H$7:$H$100,$A206,'20a'!$I$7:$I$100,"")+SUMIFS('21'!$N$7:$N$100,'21'!$H$7:$H$100,$A206,'21'!$I$7:$I$100,"")+SUMIFS('22'!$N$7:$N$100,'22'!$H$7:$H$100,$A206,'22'!$I$7:$I$100,"")+SUMIFS('22a'!$N$7:$N$100,'22a'!$H$7:$H$100,$A206,'22a'!$I$7:$I$100,"")+SUMIFS('22b'!$N$7:$N$100,'22b'!$H$7:$H$100,$A206,'22b'!$I$7:$I$100,"")+SUMIFS('23'!$N$7:$N$100,'23'!$H$7:$H$100,$A206,'23'!$I$7:$I$100,"")+SUMIFS('24'!$N$7:$N$100,'24'!$H$7:$H$100,$A206,'24'!$I$7:$I$100,"")+SUMIFS('24a'!$N$7:$N$100,'24a'!$H$7:$H$100,$A206,'24a'!$I$7:$I$100,"")+SUMIFS('24b'!$N$7:$N$100,'24b'!$H$7:$H$100,$A206,'24b'!$I$7:$I$100,"")+SUMIFS('24c'!$N$7:$N$100,'24c'!$H$7:$H$100,$A206,'24c'!$I$7:$I$100,"")+SUMIFS('24d'!$N$7:$N$100,'24d'!$H$7:$H$100,$A206,'24d'!$I$7:$I$100,"")+SUMIFS('24e'!$N$7:$N$100,'24e'!$H$7:$H$100,$A206,'24e'!$I$7:$I$100,"")+SUMIFS('24f'!$N$7:$N$100,'24f'!$H$7:$H$100,$A206,'24f'!$I$7:$I$100,"")+SUMIFS('24g'!$N$7:$N$100,'24g'!$H$7:$H$100,$A206,'24g'!$I$7:$I$100,"")+SUMIFS('24h'!$N$7:$N$100,'24h'!$H$7:$H$100,$A206,'24h'!$I$7:$I$100,"")+SUMIFS('24i'!$N$7:$N$100,'24i'!$H$7:$H$100,$A206,'24i'!$I$7:$I$100,"")+SUMIFS('25'!$N$7:$N$100,'25'!$H$7:$H$100,$A206,'25'!$I$7:$I$100,"")+SUMIFS('26'!$N$7:$N$100,'26'!$H$7:$H$100,$A206,'26'!$I$7:$I$100,"")+SUMIFS('26a'!$N$7:$N$100,'26a'!$H$7:$H$100,$A206,'26a'!$I$7:$I$100,"")+SUMIFS('27'!$N$7:$N$100,'27'!$H$7:$H$100,$A206,'27'!$I$7:$I$100,"")+SUMIFS('27a'!$N$7:$N$100,'27a'!$H$7:$H$100,$A206,'27a'!$I$7:$I$100,"")+SUMIFS('28'!$N$7:$N$100,'28'!$H$7:$H$100,$A206,'28'!$I$7:$I$100,"")+SUMIFS('29'!$N$7:$N$100,'29'!$H$7:$H$100,$A206,'29'!$I$7:$I$100,"")</f>
        <v>0</v>
      </c>
      <c r="F206" s="1296">
        <f t="shared" si="12"/>
        <v>0</v>
      </c>
      <c r="G206" s="1295">
        <f>SUMIFS('12'!$J$7:$J$100,'12'!$H$7:$H$100,$A206,'12'!$I$7:$I$100,1)+SUMIFS('13'!$J$7:$J$100,'13'!$H$7:$H$100,$A206,'13'!$I$7:$I$100,1)+SUMIFS('14'!$J$7:$J$100,'14'!$H$7:$H$100,$A206,'14'!$I$7:$I$100,1)+SUMIFS('15'!$J$7:$J$100,'15'!$H$7:$H$100,$A206,'15'!$I$7:$I$100,1)+SUMIFS('15a'!$J$7:$J$100,'15a'!$H$7:$H$100,$A206,'15a'!$I$7:$I$100,1)+SUMIFS('15b'!$J$7:$J$100,'15b'!$H$7:$H$100,$A206,'15b'!$I$7:$I$100,1)+SUMIFS('15c'!$J$7:$J$100,'15c'!$H$7:$H$100,$A206,'15c'!$I$7:$I$100,1)+SUMIFS('15d'!$J$7:$J$100,'15d'!$H$7:$H$100,$A206,'15d'!$I$7:$I$100,1)+SUMIFS('15e'!$J$7:$J$100,'15e'!$H$7:$H$100,$A206,'15e'!$I$7:$I$100,1)+SUMIFS('15f'!$J$7:$J$100,'15f'!$H$7:$H$100,$A206,'15f'!$I$7:$I$100,1)+SUMIFS('15g'!$J$7:$J$100,'15g'!$H$7:$H$100,$A206,'15g'!$I$7:$I$100,1)+SUMIFS('15h'!$J$7:$J$100,'15h'!$H$7:$H$100,$A206,'15h'!$I$7:$I$100,1)+SUMIFS('15i'!$J$7:$J$100,'15i'!$H$7:$H$100,$A206,'15i'!$I$7:$I$100,1)+SUMIFS('15j'!$J$7:$J$100,'15j'!$H$7:$H$100,$A206,'15j'!$I$7:$I$100,1)+SUMIFS('15k'!$J$7:$J$100,'15k'!$H$7:$H$100,$A206,'15k'!$I$7:$I$100,1)+SUMIFS('15l'!$J$7:$J$100,'15l'!$H$7:$H$100,$A206,'15l'!$I$7:$I$100,1)+SUMIFS('15m'!$J$7:$J$100,'15m'!$H$7:$H$100,$A206,'15m'!$I$7:$I$100,1)+SUMIFS('15n'!$J$7:$J$100,'15n'!$H$7:$H$100,$A206,'15n'!$I$7:$I$100,1)+SUMIFS('16'!$J$7:$J$100,'16'!$H$7:$H$100,$A206,'16'!$I$7:$I$100,1)+SUMIFS('16a'!$J$7:$J$100,'16a'!$H$7:$H$100,$A206,'16a'!$I$7:$I$100,1)+SUMIFS('17'!$J$7:$J$100,'17'!$H$7:$H$100,$A206,'17'!$I$7:$I$100,1)+SUMIFS('17a'!$J$7:$J$100,'17a'!$H$7:$H$100,$A206,'17a'!$I$7:$I$100,1)+SUMIFS('18'!$J$7:$J$100,'18'!$H$7:$H$100,$A206,'18'!$I$7:$I$100,1)+SUMIFS('18a'!$J$7:$J$100,'18a'!$H$7:$H$100,$A206,'18a'!$I$7:$I$100,1)
+SUMIFS('19'!$J$7:$J$100,'19'!$H$7:$H$100,$A206,'19'!$I$7:$I$100,1)+SUMIFS('20'!$J$7:$J$100,'20'!$H$7:$H$100,$A206,'20'!$I$7:$I$100,1)+SUMIFS('20a'!$J$7:$J$100,'20a'!$H$7:$H$100,$A206,'20a'!$I$7:$I$100,1)+SUMIFS('21'!$J$7:$J$100,'21'!$H$7:$H$100,$A206,'21'!$I$7:$I$100,1)+SUMIFS('22'!$J$7:$J$100,'22'!$H$7:$H$100,$A206,'22'!$I$7:$I$100,1)+SUMIFS('22a'!$J$7:$J$100,'22a'!$H$7:$H$100,$A206,'22a'!$I$7:$I$100,1)+SUMIFS('22b'!$J$7:$J$100,'22b'!$H$7:$H$100,$A206,'22b'!$I$7:$I$100,1)+SUMIFS('23'!$J$7:$J$100,'23'!$H$7:$H$100,$A206,'23'!$I$7:$I$100,1)+SUMIFS('24'!$J$7:$J$100,'24'!$H$7:$H$100,$A206,'24'!$I$7:$I$100,1)+SUMIFS('24a'!$J$7:$J$100,'24a'!$H$7:$H$100,$A206,'24a'!$I$7:$I$100,1)+SUMIFS('24b'!$J$7:$J$100,'24b'!$H$7:$H$100,$A206,'24b'!$I$7:$I$100,1)+SUMIFS('24c'!$J$7:$J$100,'24c'!$H$7:$H$100,$A206,'24c'!$I$7:$I$100,1)+SUMIFS('24d'!$J$7:$J$100,'24d'!$H$7:$H$100,$A206,'24d'!$I$7:$I$100,1)+SUMIFS('24e'!$J$7:$J$100,'24e'!$H$7:$H$100,$A206,'24e'!$I$7:$I$100,1)+SUMIFS('24f'!$J$7:$J$100,'24f'!$H$7:$H$100,$A206,'24f'!$I$7:$I$100,1)+SUMIFS('24g'!$J$7:$J$100,'24g'!$H$7:$H$100,$A206,'24g'!$I$7:$I$100,1)+SUMIFS('24h'!$J$7:$J$100,'24h'!$H$7:$H$100,$A206,'24h'!$I$7:$I$100,1)+SUMIFS('24i'!$J$7:$J$100,'24i'!$H$7:$H$100,$A206,'24i'!$I$7:$I$100,1)+SUMIFS('25'!$J$7:$J$100,'25'!$H$7:$H$100,$A206,'25'!$I$7:$I$100,1)+SUMIFS('26'!$J$7:$J$100,'26'!$H$7:$H$100,$A206,'26'!$I$7:$I$100,1)+SUMIFS('26a'!$J$7:$J$100,'26a'!$H$7:$H$100,$A206,'26a'!$I$7:$I$100,1)+SUMIFS('27'!$J$7:$J$100,'27'!$H$7:$H$100,$A206,'27'!$I$7:$I$100,1)+SUMIFS('27a'!$J$7:$J$100,'27a'!$H$7:$H$100,$A206,'27a'!$I$7:$I$100,1)+SUMIFS('28'!$J$7:$J$100,'28'!$H$7:$H$100,$A206,'28'!$I$7:$I$100,1)+SUMIFS('29'!$J$7:$J$100,'29'!$H$7:$H$100,$A206,'29'!$I$7:$I$100,1)</f>
        <v>0</v>
      </c>
      <c r="H206" s="1315">
        <f>SUMIFS('12'!$J$7:$J$100,'12'!$H$7:$H$100,$A206,'12'!$I$7:$I$100,2)+SUMIFS('13'!$J$7:$J$100,'13'!$H$7:$H$100,$A206,'13'!$I$7:$I$100,2)+SUMIFS('14'!$J$7:$J$100,'14'!$H$7:$H$100,$A206,'14'!$I$7:$I$100,2)+SUMIFS('15'!$J$7:$J$100,'15'!$H$7:$H$100,$A206,'15'!$I$7:$I$100,2)+SUMIFS('15a'!$J$7:$J$100,'15a'!$H$7:$H$100,$A206,'15a'!$I$7:$I$100,2)+SUMIFS('15b'!$J$7:$J$100,'15b'!$H$7:$H$100,$A206,'15b'!$I$7:$I$100,2)+SUMIFS('15c'!$J$7:$J$100,'15c'!$H$7:$H$100,$A206,'15c'!$I$7:$I$100,2)+SUMIFS('15d'!$J$7:$J$100,'15d'!$H$7:$H$100,$A206,'15d'!$I$7:$I$100,2)+SUMIFS('15e'!$J$7:$J$100,'15e'!$H$7:$H$100,$A206,'15e'!$I$7:$I$100,2)+SUMIFS('15f'!$J$7:$J$100,'15f'!$H$7:$H$100,$A206,'15f'!$I$7:$I$100,2)+SUMIFS('15g'!$J$7:$J$100,'15g'!$H$7:$H$100,$A206,'15g'!$I$7:$I$100,2)+SUMIFS('15h'!$J$7:$J$100,'15h'!$H$7:$H$100,$A206,'15h'!$I$7:$I$100,2)+SUMIFS('15i'!$J$7:$J$100,'15i'!$H$7:$H$100,$A206,'15i'!$I$7:$I$100,2)+SUMIFS('15j'!$J$7:$J$100,'15j'!$H$7:$H$100,$A206,'15j'!$I$7:$I$100,2)+SUMIFS('15k'!$J$7:$J$100,'15k'!$H$7:$H$100,$A206,'15k'!$I$7:$I$100,2)+SUMIFS('15l'!$J$7:$J$100,'15l'!$H$7:$H$100,$A206,'15l'!$I$7:$I$100,2)+SUMIFS('15m'!$J$7:$J$100,'15m'!$H$7:$H$100,$A206,'15m'!$I$7:$I$100,2)+SUMIFS('15n'!$J$7:$J$100,'15n'!$H$7:$H$100,$A206,'15n'!$I$7:$I$100,2)+SUMIFS('16'!$J$7:$J$100,'16'!$H$7:$H$100,$A206,'16'!$I$7:$I$100,2)+SUMIFS('16a'!$J$7:$J$100,'16a'!$H$7:$H$100,$A206,'16a'!$I$7:$I$100,2)+SUMIFS('17'!$J$7:$J$100,'17'!$H$7:$H$100,$A206,'17'!$I$7:$I$100,2)+SUMIFS('17a'!$J$7:$J$100,'17a'!$H$7:$H$100,$A206,'17a'!$I$7:$I$100,2)+SUMIFS('18'!$J$7:$J$100,'18'!$H$7:$H$100,$A206,'18'!$I$7:$I$100,2)+SUMIFS('18a'!$J$7:$J$100,'18a'!$H$7:$H$100,$A206,'18a'!$I$7:$I$100,2)
+SUMIFS('19'!$J$7:$J$100,'19'!$H$7:$H$100,$A206,'19'!$I$7:$I$100,2)+SUMIFS('20'!$J$7:$J$100,'20'!$H$7:$H$100,$A206,'20'!$I$7:$I$100,2)+SUMIFS('20a'!$J$7:$J$100,'20a'!$H$7:$H$100,$A206,'20a'!$I$7:$I$100,2)+SUMIFS('21'!$J$7:$J$100,'21'!$H$7:$H$100,$A206,'21'!$I$7:$I$100,2)+SUMIFS('22'!$J$7:$J$100,'22'!$H$7:$H$100,$A206,'22'!$I$7:$I$100,2)+SUMIFS('22a'!$J$7:$J$100,'22a'!$H$7:$H$100,$A206,'22a'!$I$7:$I$100,2)+SUMIFS('22b'!$J$7:$J$100,'22b'!$H$7:$H$100,$A206,'22b'!$I$7:$I$100,2)+SUMIFS('23'!$J$7:$J$100,'23'!$H$7:$H$100,$A206,'23'!$I$7:$I$100,2)+SUMIFS('24'!$J$7:$J$100,'24'!$H$7:$H$100,$A206,'24'!$I$7:$I$100,2)+SUMIFS('24a'!$J$7:$J$100,'24a'!$H$7:$H$100,$A206,'24a'!$I$7:$I$100,2)+SUMIFS('24b'!$J$7:$J$100,'24b'!$H$7:$H$100,$A206,'24b'!$I$7:$I$100,2)+SUMIFS('24c'!$J$7:$J$100,'24c'!$H$7:$H$100,$A206,'24c'!$I$7:$I$100,2)+SUMIFS('24d'!$J$7:$J$100,'24d'!$H$7:$H$100,$A206,'24d'!$I$7:$I$100,2)+SUMIFS('24e'!$J$7:$J$100,'24e'!$H$7:$H$100,$A206,'24e'!$I$7:$I$100,2)+SUMIFS('24f'!$J$7:$J$100,'24f'!$H$7:$H$100,$A206,'24f'!$I$7:$I$100,2)+SUMIFS('24g'!$J$7:$J$100,'24g'!$H$7:$H$100,$A206,'24g'!$I$7:$I$100,2)+SUMIFS('24h'!$J$7:$J$100,'24h'!$H$7:$H$100,$A206,'24h'!$I$7:$I$100,2)+SUMIFS('24i'!$J$7:$J$100,'24i'!$H$7:$H$100,$A206,'24i'!$I$7:$I$100,2)+SUMIFS('25'!$J$7:$J$100,'25'!$H$7:$H$100,$A206,'25'!$I$7:$I$100,2)+SUMIFS('26'!$J$7:$J$100,'26'!$H$7:$H$100,$A206,'26'!$I$7:$I$100,2)+SUMIFS('26a'!$J$7:$J$100,'26a'!$H$7:$H$100,$A206,'26a'!$I$7:$I$100,2)+SUMIFS('27'!$J$7:$J$100,'27'!$H$7:$H$100,$A206,'27'!$I$7:$I$100,2)+SUMIFS('27a'!$J$7:$J$100,'27a'!$H$7:$H$100,$A206,'27a'!$I$7:$I$100,2)+SUMIFS('28'!$J$7:$J$100,'28'!$H$7:$H$100,$A206,'28'!$I$7:$I$100,2)+SUMIFS('29'!$J$7:$J$100,'29'!$H$7:$H$100,$A206,'29'!$I$7:$I$100,2)</f>
        <v>0</v>
      </c>
      <c r="I206" s="1315">
        <f>SUMIFS('12'!$J$7:$J$100,'12'!$H$7:$H$100,$A206,'12'!$I$7:$I$100,"")+SUMIFS('13'!$J$7:$J$100,'13'!$H$7:$H$100,$A206,'13'!$I$7:$I$100,"")+SUMIFS('14'!$J$7:$J$100,'14'!$H$7:$H$100,$A206,'14'!$I$7:$I$100,"")+SUMIFS('15'!$J$7:$J$100,'15'!$H$7:$H$100,$A206,'15'!$I$7:$I$100,"")+SUMIFS('15a'!$J$7:$J$100,'15a'!$H$7:$H$100,$A206,'15a'!$I$7:$I$100,"")+SUMIFS('15b'!$J$7:$J$100,'15b'!$H$7:$H$100,$A206,'15b'!$I$7:$I$100,"")+SUMIFS('15c'!$J$7:$J$100,'15c'!$H$7:$H$100,$A206,'15c'!$I$7:$I$100,"")+SUMIFS('15d'!$J$7:$J$100,'15d'!$H$7:$H$100,$A206,'15d'!$I$7:$I$100,"")+SUMIFS('15e'!$J$7:$J$100,'15e'!$H$7:$H$100,$A206,'15e'!$I$7:$I$100,"")+SUMIFS('15f'!$J$7:$J$100,'15f'!$H$7:$H$100,$A206,'15f'!$I$7:$I$100,"")+SUMIFS('15g'!$J$7:$J$100,'15g'!$H$7:$H$100,$A206,'15g'!$I$7:$I$100,"")+SUMIFS('15h'!$J$7:$J$100,'15h'!$H$7:$H$100,$A206,'15h'!$I$7:$I$100,"")+SUMIFS('15i'!$J$7:$J$100,'15i'!$H$7:$H$100,$A206,'15i'!$I$7:$I$100,"")+SUMIFS('15j'!$J$7:$J$100,'15j'!$H$7:$H$100,$A206,'15j'!$I$7:$I$100,"")+SUMIFS('15k'!$J$7:$J$100,'15k'!$H$7:$H$100,$A206,'15k'!$I$7:$I$100,"")+SUMIFS('15l'!$J$7:$J$100,'15l'!$H$7:$H$100,$A206,'15l'!$I$7:$I$100,"")+SUMIFS('15m'!$J$7:$J$100,'15m'!$H$7:$H$100,$A206,'15m'!$I$7:$I$100,"")+SUMIFS('15n'!$J$7:$J$100,'15n'!$H$7:$H$100,$A206,'15n'!$I$7:$I$100,"")+SUMIFS('16'!$J$7:$J$100,'16'!$H$7:$H$100,$A206,'16'!$I$7:$I$100,"")+SUMIFS('16a'!$J$7:$J$100,'16a'!$H$7:$H$100,$A206,'16a'!$I$7:$I$100,"")+SUMIFS('17'!$J$7:$J$100,'17'!$H$7:$H$100,$A206,'17'!$I$7:$I$100,"")+SUMIFS('17a'!$J$7:$J$100,'17a'!$H$7:$H$100,$A206,'17a'!$I$7:$I$100,"")+SUMIFS('18'!$J$7:$J$100,'18'!$H$7:$H$100,$A206,'18'!$I$7:$I$100,"")+SUMIFS('18a'!$J$7:$J$100,'18a'!$H$7:$H$100,$A206,'18a'!$I$7:$I$100,"")
+SUMIFS('19'!$J$7:$J$100,'19'!$H$7:$H$100,$A206,'19'!$I$7:$I$100,"")+SUMIFS('20'!$J$7:$J$100,'20'!$H$7:$H$100,$A206,'20'!$I$7:$I$100,"")+SUMIFS('20a'!$J$7:$J$100,'20a'!$H$7:$H$100,$A206,'20a'!$I$7:$I$100,"")+SUMIFS('21'!$J$7:$J$100,'21'!$H$7:$H$100,$A206,'21'!$I$7:$I$100,"")+SUMIFS('22'!$J$7:$J$100,'22'!$H$7:$H$100,$A206,'22'!$I$7:$I$100,"")+SUMIFS('22a'!$J$7:$J$100,'22a'!$H$7:$H$100,$A206,'22a'!$I$7:$I$100,"")+SUMIFS('22b'!$J$7:$J$100,'22b'!$H$7:$H$100,$A206,'22b'!$I$7:$I$100,"")+SUMIFS('23'!$J$7:$J$100,'23'!$H$7:$H$100,$A206,'23'!$I$7:$I$100,"")+SUMIFS('24'!$J$7:$J$100,'24'!$H$7:$H$100,$A206,'24'!$I$7:$I$100,"")+SUMIFS('24a'!$J$7:$J$100,'24a'!$H$7:$H$100,$A206,'24a'!$I$7:$I$100,"")+SUMIFS('24b'!$J$7:$J$100,'24b'!$H$7:$H$100,$A206,'24b'!$I$7:$I$100,"")+SUMIFS('24c'!$J$7:$J$100,'24c'!$H$7:$H$100,$A206,'24c'!$I$7:$I$100,"")+SUMIFS('24d'!$J$7:$J$100,'24d'!$H$7:$H$100,$A206,'24d'!$I$7:$I$100,"")+SUMIFS('24e'!$J$7:$J$100,'24e'!$H$7:$H$100,$A206,'24e'!$I$7:$I$100,"")+SUMIFS('24f'!$J$7:$J$100,'24f'!$H$7:$H$100,$A206,'24f'!$I$7:$I$100,"")+SUMIFS('24g'!$J$7:$J$100,'24g'!$H$7:$H$100,$A206,'24g'!$I$7:$I$100,"")+SUMIFS('24h'!$J$7:$J$100,'24h'!$H$7:$H$100,$A206,'24h'!$I$7:$I$100,"")+SUMIFS('24i'!$J$7:$J$100,'24i'!$H$7:$H$100,$A206,'24i'!$I$7:$I$100,"")+SUMIFS('25'!$J$7:$J$100,'25'!$H$7:$H$100,$A206,'25'!$I$7:$I$100,"")+SUMIFS('26'!$J$7:$J$100,'26'!$H$7:$H$100,$A206,'26'!$I$7:$I$100,"")+SUMIFS('26a'!$J$7:$J$100,'26a'!$H$7:$H$100,$A206,'26a'!$I$7:$I$100,"")+SUMIFS('27'!$J$7:$J$100,'27'!$H$7:$H$100,$A206,'27'!$I$7:$I$100,"")+SUMIFS('27a'!$J$7:$J$100,'27a'!$H$7:$H$100,$A206,'27a'!$I$7:$I$100,"")+SUMIFS('28'!$J$7:$J$100,'28'!$H$7:$H$100,$A206,'28'!$I$7:$I$100,"")+SUMIFS('29'!$J$7:$J$100,'29'!$H$7:$H$100,$A206,'29'!$I$7:$I$100,"")</f>
        <v>0</v>
      </c>
      <c r="J206" s="1296">
        <f t="shared" si="13"/>
        <v>0</v>
      </c>
      <c r="K206"/>
      <c r="L206"/>
      <c r="M206"/>
      <c r="N206"/>
      <c r="O206"/>
      <c r="P206"/>
      <c r="Q206"/>
      <c r="R206"/>
      <c r="S206" s="1307">
        <f t="shared" si="2"/>
        <v>0</v>
      </c>
      <c r="T206"/>
    </row>
    <row r="207" spans="1:20" ht="12.75" customHeight="1" outlineLevel="1" x14ac:dyDescent="0.2">
      <c r="A207" t="s">
        <v>5271</v>
      </c>
      <c r="B207" t="s">
        <v>5482</v>
      </c>
      <c r="C207" s="1295">
        <f>SUMIFS('12'!$N$7:$N$100,'12'!$H$7:$H$100,$A207,'12'!$I$7:$I$100,1)+SUMIFS('13'!$N$7:$N$100,'13'!$H$7:$H$100,$A207,'13'!$I$7:$I$100,1)+SUMIFS('14'!$N$7:$N$100,'14'!$H$7:$H$100,$A207,'14'!$I$7:$I$100,1)+SUMIFS('15'!$N$7:$N$100,'15'!$H$7:$H$100,$A207,'15'!$I$7:$I$100,1)+SUMIFS('15a'!$N$7:$N$100,'15a'!$H$7:$H$100,$A207,'15a'!$I$7:$I$100,1)+SUMIFS('15b'!$N$7:$N$100,'15b'!$H$7:$H$100,$A207,'15b'!$I$7:$I$100,1)+SUMIFS('15c'!$N$7:$N$100,'15c'!$H$7:$H$100,$A207,'15c'!$I$7:$I$100,1)+SUMIFS('15d'!$N$7:$N$100,'15d'!$H$7:$H$100,$A207,'15d'!$I$7:$I$100,1)+SUMIFS('15e'!$N$7:$N$100,'15e'!$H$7:$H$100,$A207,'15e'!$I$7:$I$100,1)+SUMIFS('15f'!$N$7:$N$100,'15f'!$H$7:$H$100,$A207,'15f'!$I$7:$I$100,1)+SUMIFS('15g'!$N$7:$N$100,'15g'!$H$7:$H$100,$A207,'15g'!$I$7:$I$100,1)+SUMIFS('15h'!$N$7:$N$100,'15h'!$H$7:$H$100,$A207,'15h'!$I$7:$I$100,1)+SUMIFS('15i'!$N$7:$N$100,'15i'!$H$7:$H$100,$A207,'15i'!$I$7:$I$100,1)+SUMIFS('15j'!$N$7:$N$100,'15j'!$H$7:$H$100,$A207,'15j'!$I$7:$I$100,1)+SUMIFS('15k'!$N$7:$N$100,'15k'!$H$7:$H$100,$A207,'15k'!$I$7:$I$100,1)+SUMIFS('15l'!$N$7:$N$100,'15l'!$H$7:$H$100,$A207,'15l'!$I$7:$I$100,1)+SUMIFS('15m'!$N$7:$N$100,'15m'!$H$7:$H$100,$A207,'15m'!$I$7:$I$100,1)+SUMIFS('15n'!$N$7:$N$100,'15n'!$H$7:$H$100,$A207,'15n'!$I$7:$I$100,1)+SUMIFS('16'!$N$7:$N$100,'16'!$H$7:$H$100,$A207,'16'!$I$7:$I$100,1)+SUMIFS('16a'!$N$7:$N$100,'16a'!$H$7:$H$100,$A207,'16a'!$I$7:$I$100,1)+SUMIFS('17'!$N$7:$N$100,'17'!$H$7:$H$100,$A207,'17'!$I$7:$I$100,1)+SUMIFS('17a'!$N$7:$N$100,'17a'!$H$7:$H$100,$A207,'17a'!$I$7:$I$100,1)+SUMIFS('18'!$N$7:$N$100,'18'!$H$7:$H$100,$A207,'18'!$I$7:$I$100,1)+SUMIFS('18a'!$N$7:$N$100,'18a'!$H$7:$H$100,$A207,'18a'!$I$7:$I$100,1)
+SUMIFS('19'!$N$7:$N$100,'19'!$H$7:$H$100,$A207,'19'!$I$7:$I$100,1)+SUMIFS('20'!$N$7:$N$100,'20'!$H$7:$H$100,$A207,'20'!$I$7:$I$100,1)+SUMIFS('20a'!$N$7:$N$100,'20a'!$H$7:$H$100,$A207,'20a'!$I$7:$I$100,1)+SUMIFS('21'!$N$7:$N$100,'21'!$H$7:$H$100,$A207,'21'!$I$7:$I$100,1)+SUMIFS('22'!$N$7:$N$100,'22'!$H$7:$H$100,$A207,'22'!$I$7:$I$100,1)+SUMIFS('22a'!$N$7:$N$100,'22a'!$H$7:$H$100,$A207,'22a'!$I$7:$I$100,1)+SUMIFS('22b'!$N$7:$N$100,'22b'!$H$7:$H$100,$A207,'22b'!$I$7:$I$100,1)+SUMIFS('23'!$N$7:$N$100,'23'!$H$7:$H$100,$A207,'23'!$I$7:$I$100,1)+SUMIFS('24'!$N$7:$N$100,'24'!$H$7:$H$100,$A207,'24'!$I$7:$I$100,1)+SUMIFS('24a'!$N$7:$N$100,'24a'!$H$7:$H$100,$A207,'24a'!$I$7:$I$100,1)+SUMIFS('24b'!$N$7:$N$100,'24b'!$H$7:$H$100,$A207,'24b'!$I$7:$I$100,1)+SUMIFS('24c'!$N$7:$N$100,'24c'!$H$7:$H$100,$A207,'24c'!$I$7:$I$100,1)+SUMIFS('24d'!$N$7:$N$100,'24d'!$H$7:$H$100,$A207,'24d'!$I$7:$I$100,1)+SUMIFS('24e'!$N$7:$N$100,'24e'!$H$7:$H$100,$A207,'24e'!$I$7:$I$100,1)+SUMIFS('24f'!$N$7:$N$100,'24f'!$H$7:$H$100,$A207,'24f'!$I$7:$I$100,1)+SUMIFS('24g'!$N$7:$N$100,'24g'!$H$7:$H$100,$A207,'24g'!$I$7:$I$100,1)+SUMIFS('24h'!$N$7:$N$100,'24h'!$H$7:$H$100,$A207,'24h'!$I$7:$I$100,1)+SUMIFS('24i'!$N$7:$N$100,'24i'!$H$7:$H$100,$A207,'24i'!$I$7:$I$100,1)+SUMIFS('25'!$N$7:$N$100,'25'!$H$7:$H$100,$A207,'25'!$I$7:$I$100,1)+SUMIFS('26'!$N$7:$N$100,'26'!$H$7:$H$100,$A207,'26'!$I$7:$I$100,1)+SUMIFS('26a'!$N$7:$N$100,'26a'!$H$7:$H$100,$A207,'26a'!$I$7:$I$100,1)+SUMIFS('27'!$N$7:$N$100,'27'!$H$7:$H$100,$A207,'27'!$I$7:$I$100,1)+SUMIFS('27a'!$N$7:$N$100,'27a'!$H$7:$H$100,$A207,'27a'!$I$7:$I$100,1)+SUMIFS('28'!$N$7:$N$100,'28'!$H$7:$H$100,$A207,'28'!$I$7:$I$100,1)+SUMIFS('29'!$N$7:$N$100,'29'!$H$7:$H$100,$A207,'29'!$I$7:$I$100,1)</f>
        <v>0</v>
      </c>
      <c r="D207" s="1315">
        <f>SUMIFS('12'!$N$7:$N$100,'12'!$H$7:$H$100,$A207,'12'!$I$7:$I$100,2)+SUMIFS('13'!$N$7:$N$100,'13'!$H$7:$H$100,$A207,'13'!$I$7:$I$100,2)+SUMIFS('14'!$N$7:$N$100,'14'!$H$7:$H$100,$A207,'14'!$I$7:$I$100,2)+SUMIFS('15'!$N$7:$N$100,'15'!$H$7:$H$100,$A207,'15'!$I$7:$I$100,2)+SUMIFS('15a'!$N$7:$N$100,'15a'!$H$7:$H$100,$A207,'15a'!$I$7:$I$100,2)+SUMIFS('15b'!$N$7:$N$100,'15b'!$H$7:$H$100,$A207,'15b'!$I$7:$I$100,2)+SUMIFS('15c'!$N$7:$N$100,'15c'!$H$7:$H$100,$A207,'15c'!$I$7:$I$100,2)+SUMIFS('15d'!$N$7:$N$100,'15d'!$H$7:$H$100,$A207,'15d'!$I$7:$I$100,2)+SUMIFS('15e'!$N$7:$N$100,'15e'!$H$7:$H$100,$A207,'15e'!$I$7:$I$100,2)+SUMIFS('15f'!$N$7:$N$100,'15f'!$H$7:$H$100,$A207,'15f'!$I$7:$I$100,2)+SUMIFS('15g'!$N$7:$N$100,'15g'!$H$7:$H$100,$A207,'15g'!$I$7:$I$100,2)+SUMIFS('15h'!$N$7:$N$100,'15h'!$H$7:$H$100,$A207,'15h'!$I$7:$I$100,2)+SUMIFS('15i'!$N$7:$N$100,'15i'!$H$7:$H$100,$A207,'15i'!$I$7:$I$100,2)+SUMIFS('15j'!$N$7:$N$100,'15j'!$H$7:$H$100,$A207,'15j'!$I$7:$I$100,2)+SUMIFS('15k'!$N$7:$N$100,'15k'!$H$7:$H$100,$A207,'15k'!$I$7:$I$100,2)+SUMIFS('15l'!$N$7:$N$100,'15l'!$H$7:$H$100,$A207,'15l'!$I$7:$I$100,2)+SUMIFS('15m'!$N$7:$N$100,'15m'!$H$7:$H$100,$A207,'15m'!$I$7:$I$100,2)+SUMIFS('15n'!$N$7:$N$100,'15n'!$H$7:$H$100,$A207,'15n'!$I$7:$I$100,2)+SUMIFS('16'!$N$7:$N$100,'16'!$H$7:$H$100,$A207,'16'!$I$7:$I$100,2)+SUMIFS('16a'!$N$7:$N$100,'16a'!$H$7:$H$100,$A207,'16a'!$I$7:$I$100,2)+SUMIFS('17'!$N$7:$N$100,'17'!$H$7:$H$100,$A207,'17'!$I$7:$I$100,2)+SUMIFS('17a'!$N$7:$N$100,'17a'!$H$7:$H$100,$A207,'17a'!$I$7:$I$100,2)+SUMIFS('18'!$N$7:$N$100,'18'!$H$7:$H$100,$A207,'18'!$I$7:$I$100,2)+SUMIFS('18a'!$N$7:$N$100,'18a'!$H$7:$H$100,$A207,'18a'!$I$7:$I$100,2)
+SUMIFS('19'!$N$7:$N$100,'19'!$H$7:$H$100,$A207,'19'!$I$7:$I$100,2)+SUMIFS('20'!$N$7:$N$100,'20'!$H$7:$H$100,$A207,'20'!$I$7:$I$100,2)+SUMIFS('20a'!$N$7:$N$100,'20a'!$H$7:$H$100,$A207,'20a'!$I$7:$I$100,2)+SUMIFS('21'!$N$7:$N$100,'21'!$H$7:$H$100,$A207,'21'!$I$7:$I$100,2)+SUMIFS('22'!$N$7:$N$100,'22'!$H$7:$H$100,$A207,'22'!$I$7:$I$100,2)+SUMIFS('22a'!$N$7:$N$100,'22a'!$H$7:$H$100,$A207,'22a'!$I$7:$I$100,2)+SUMIFS('22b'!$N$7:$N$100,'22b'!$H$7:$H$100,$A207,'22b'!$I$7:$I$100,2)+SUMIFS('23'!$N$7:$N$100,'23'!$H$7:$H$100,$A207,'23'!$I$7:$I$100,2)+SUMIFS('24'!$N$7:$N$100,'24'!$H$7:$H$100,$A207,'24'!$I$7:$I$100,2)+SUMIFS('24a'!$N$7:$N$100,'24a'!$H$7:$H$100,$A207,'24a'!$I$7:$I$100,2)+SUMIFS('24b'!$N$7:$N$100,'24b'!$H$7:$H$100,$A207,'24b'!$I$7:$I$100,2)+SUMIFS('24c'!$N$7:$N$100,'24c'!$H$7:$H$100,$A207,'24c'!$I$7:$I$100,2)+SUMIFS('24d'!$N$7:$N$100,'24d'!$H$7:$H$100,$A207,'24d'!$I$7:$I$100,2)+SUMIFS('24e'!$N$7:$N$100,'24e'!$H$7:$H$100,$A207,'24e'!$I$7:$I$100,2)+SUMIFS('24f'!$N$7:$N$100,'24f'!$H$7:$H$100,$A207,'24f'!$I$7:$I$100,2)+SUMIFS('24g'!$N$7:$N$100,'24g'!$H$7:$H$100,$A207,'24g'!$I$7:$I$100,2)+SUMIFS('24h'!$N$7:$N$100,'24h'!$H$7:$H$100,$A207,'24h'!$I$7:$I$100,2)+SUMIFS('24i'!$N$7:$N$100,'24i'!$H$7:$H$100,$A207,'24i'!$I$7:$I$100,2)+SUMIFS('25'!$N$7:$N$100,'25'!$H$7:$H$100,$A207,'25'!$I$7:$I$100,2)+SUMIFS('26'!$N$7:$N$100,'26'!$H$7:$H$100,$A207,'26'!$I$7:$I$100,2)+SUMIFS('26a'!$N$7:$N$100,'26a'!$H$7:$H$100,$A207,'26a'!$I$7:$I$100,2)+SUMIFS('27'!$N$7:$N$100,'27'!$H$7:$H$100,$A207,'27'!$I$7:$I$100,2)+SUMIFS('27a'!$N$7:$N$100,'27a'!$H$7:$H$100,$A207,'27a'!$I$7:$I$100,2)+SUMIFS('28'!$N$7:$N$100,'28'!$H$7:$H$100,$A207,'28'!$I$7:$I$100,2)+SUMIFS('29'!$N$7:$N$100,'29'!$H$7:$H$100,$A207,'29'!$I$7:$I$100,2)</f>
        <v>0</v>
      </c>
      <c r="E207" s="1315">
        <f>SUMIFS('12'!$N$7:$N$100,'12'!$H$7:$H$100,$A207,'12'!$I$7:$I$100,"")+SUMIFS('13'!$N$7:$N$100,'13'!$H$7:$H$100,$A207,'13'!$I$7:$I$100,"")+SUMIFS('14'!$N$7:$N$100,'14'!$H$7:$H$100,$A207,'14'!$I$7:$I$100,"")+SUMIFS('15'!$N$7:$N$100,'15'!$H$7:$H$100,$A207,'15'!$I$7:$I$100,"")+SUMIFS('15a'!$N$7:$N$100,'15a'!$H$7:$H$100,$A207,'15a'!$I$7:$I$100,"")+SUMIFS('15b'!$N$7:$N$100,'15b'!$H$7:$H$100,$A207,'15b'!$I$7:$I$100,"")+SUMIFS('15c'!$N$7:$N$100,'15c'!$H$7:$H$100,$A207,'15c'!$I$7:$I$100,"")+SUMIFS('15d'!$N$7:$N$100,'15d'!$H$7:$H$100,$A207,'15d'!$I$7:$I$100,"")+SUMIFS('15e'!$N$7:$N$100,'15e'!$H$7:$H$100,$A207,'15e'!$I$7:$I$100,"")+SUMIFS('15f'!$N$7:$N$100,'15f'!$H$7:$H$100,$A207,'15f'!$I$7:$I$100,"")+SUMIFS('15g'!$N$7:$N$100,'15g'!$H$7:$H$100,$A207,'15g'!$I$7:$I$100,"")+SUMIFS('15h'!$N$7:$N$100,'15h'!$H$7:$H$100,$A207,'15h'!$I$7:$I$100,"")+SUMIFS('15i'!$N$7:$N$100,'15i'!$H$7:$H$100,$A207,'15i'!$I$7:$I$100,"")+SUMIFS('15j'!$N$7:$N$100,'15j'!$H$7:$H$100,$A207,'15j'!$I$7:$I$100,"")+SUMIFS('15k'!$N$7:$N$100,'15k'!$H$7:$H$100,$A207,'15k'!$I$7:$I$100,"")+SUMIFS('15l'!$N$7:$N$100,'15l'!$H$7:$H$100,$A207,'15l'!$I$7:$I$100,"")+SUMIFS('15m'!$N$7:$N$100,'15m'!$H$7:$H$100,$A207,'15m'!$I$7:$I$100,"")+SUMIFS('15n'!$N$7:$N$100,'15n'!$H$7:$H$100,$A207,'15n'!$I$7:$I$100,"")+SUMIFS('16'!$N$7:$N$100,'16'!$H$7:$H$100,$A207,'16'!$I$7:$I$100,"")+SUMIFS('16a'!$N$7:$N$100,'16a'!$H$7:$H$100,$A207,'16a'!$I$7:$I$100,"")+SUMIFS('17'!$N$7:$N$100,'17'!$H$7:$H$100,$A207,'17'!$I$7:$I$100,"")+SUMIFS('17a'!$N$7:$N$100,'17a'!$H$7:$H$100,$A207,'17a'!$I$7:$I$100,"")+SUMIFS('18'!$N$7:$N$100,'18'!$H$7:$H$100,$A207,'18'!$I$7:$I$100,"")+SUMIFS('18a'!$N$7:$N$100,'18a'!$H$7:$H$100,$A207,'18a'!$I$7:$I$100,"")
+SUMIFS('19'!$N$7:$N$100,'19'!$H$7:$H$100,$A207,'19'!$I$7:$I$100,"")+SUMIFS('20'!$N$7:$N$100,'20'!$H$7:$H$100,$A207,'20'!$I$7:$I$100,"")+SUMIFS('20a'!$N$7:$N$100,'20a'!$H$7:$H$100,$A207,'20a'!$I$7:$I$100,"")+SUMIFS('21'!$N$7:$N$100,'21'!$H$7:$H$100,$A207,'21'!$I$7:$I$100,"")+SUMIFS('22'!$N$7:$N$100,'22'!$H$7:$H$100,$A207,'22'!$I$7:$I$100,"")+SUMIFS('22a'!$N$7:$N$100,'22a'!$H$7:$H$100,$A207,'22a'!$I$7:$I$100,"")+SUMIFS('22b'!$N$7:$N$100,'22b'!$H$7:$H$100,$A207,'22b'!$I$7:$I$100,"")+SUMIFS('23'!$N$7:$N$100,'23'!$H$7:$H$100,$A207,'23'!$I$7:$I$100,"")+SUMIFS('24'!$N$7:$N$100,'24'!$H$7:$H$100,$A207,'24'!$I$7:$I$100,"")+SUMIFS('24a'!$N$7:$N$100,'24a'!$H$7:$H$100,$A207,'24a'!$I$7:$I$100,"")+SUMIFS('24b'!$N$7:$N$100,'24b'!$H$7:$H$100,$A207,'24b'!$I$7:$I$100,"")+SUMIFS('24c'!$N$7:$N$100,'24c'!$H$7:$H$100,$A207,'24c'!$I$7:$I$100,"")+SUMIFS('24d'!$N$7:$N$100,'24d'!$H$7:$H$100,$A207,'24d'!$I$7:$I$100,"")+SUMIFS('24e'!$N$7:$N$100,'24e'!$H$7:$H$100,$A207,'24e'!$I$7:$I$100,"")+SUMIFS('24f'!$N$7:$N$100,'24f'!$H$7:$H$100,$A207,'24f'!$I$7:$I$100,"")+SUMIFS('24g'!$N$7:$N$100,'24g'!$H$7:$H$100,$A207,'24g'!$I$7:$I$100,"")+SUMIFS('24h'!$N$7:$N$100,'24h'!$H$7:$H$100,$A207,'24h'!$I$7:$I$100,"")+SUMIFS('24i'!$N$7:$N$100,'24i'!$H$7:$H$100,$A207,'24i'!$I$7:$I$100,"")+SUMIFS('25'!$N$7:$N$100,'25'!$H$7:$H$100,$A207,'25'!$I$7:$I$100,"")+SUMIFS('26'!$N$7:$N$100,'26'!$H$7:$H$100,$A207,'26'!$I$7:$I$100,"")+SUMIFS('26a'!$N$7:$N$100,'26a'!$H$7:$H$100,$A207,'26a'!$I$7:$I$100,"")+SUMIFS('27'!$N$7:$N$100,'27'!$H$7:$H$100,$A207,'27'!$I$7:$I$100,"")+SUMIFS('27a'!$N$7:$N$100,'27a'!$H$7:$H$100,$A207,'27a'!$I$7:$I$100,"")+SUMIFS('28'!$N$7:$N$100,'28'!$H$7:$H$100,$A207,'28'!$I$7:$I$100,"")+SUMIFS('29'!$N$7:$N$100,'29'!$H$7:$H$100,$A207,'29'!$I$7:$I$100,"")</f>
        <v>0</v>
      </c>
      <c r="F207" s="1296">
        <f t="shared" si="12"/>
        <v>0</v>
      </c>
      <c r="G207" s="1295">
        <f>SUMIFS('12'!$J$7:$J$100,'12'!$H$7:$H$100,$A207,'12'!$I$7:$I$100,1)+SUMIFS('13'!$J$7:$J$100,'13'!$H$7:$H$100,$A207,'13'!$I$7:$I$100,1)+SUMIFS('14'!$J$7:$J$100,'14'!$H$7:$H$100,$A207,'14'!$I$7:$I$100,1)+SUMIFS('15'!$J$7:$J$100,'15'!$H$7:$H$100,$A207,'15'!$I$7:$I$100,1)+SUMIFS('15a'!$J$7:$J$100,'15a'!$H$7:$H$100,$A207,'15a'!$I$7:$I$100,1)+SUMIFS('15b'!$J$7:$J$100,'15b'!$H$7:$H$100,$A207,'15b'!$I$7:$I$100,1)+SUMIFS('15c'!$J$7:$J$100,'15c'!$H$7:$H$100,$A207,'15c'!$I$7:$I$100,1)+SUMIFS('15d'!$J$7:$J$100,'15d'!$H$7:$H$100,$A207,'15d'!$I$7:$I$100,1)+SUMIFS('15e'!$J$7:$J$100,'15e'!$H$7:$H$100,$A207,'15e'!$I$7:$I$100,1)+SUMIFS('15f'!$J$7:$J$100,'15f'!$H$7:$H$100,$A207,'15f'!$I$7:$I$100,1)+SUMIFS('15g'!$J$7:$J$100,'15g'!$H$7:$H$100,$A207,'15g'!$I$7:$I$100,1)+SUMIFS('15h'!$J$7:$J$100,'15h'!$H$7:$H$100,$A207,'15h'!$I$7:$I$100,1)+SUMIFS('15i'!$J$7:$J$100,'15i'!$H$7:$H$100,$A207,'15i'!$I$7:$I$100,1)+SUMIFS('15j'!$J$7:$J$100,'15j'!$H$7:$H$100,$A207,'15j'!$I$7:$I$100,1)+SUMIFS('15k'!$J$7:$J$100,'15k'!$H$7:$H$100,$A207,'15k'!$I$7:$I$100,1)+SUMIFS('15l'!$J$7:$J$100,'15l'!$H$7:$H$100,$A207,'15l'!$I$7:$I$100,1)+SUMIFS('15m'!$J$7:$J$100,'15m'!$H$7:$H$100,$A207,'15m'!$I$7:$I$100,1)+SUMIFS('15n'!$J$7:$J$100,'15n'!$H$7:$H$100,$A207,'15n'!$I$7:$I$100,1)+SUMIFS('16'!$J$7:$J$100,'16'!$H$7:$H$100,$A207,'16'!$I$7:$I$100,1)+SUMIFS('16a'!$J$7:$J$100,'16a'!$H$7:$H$100,$A207,'16a'!$I$7:$I$100,1)+SUMIFS('17'!$J$7:$J$100,'17'!$H$7:$H$100,$A207,'17'!$I$7:$I$100,1)+SUMIFS('17a'!$J$7:$J$100,'17a'!$H$7:$H$100,$A207,'17a'!$I$7:$I$100,1)+SUMIFS('18'!$J$7:$J$100,'18'!$H$7:$H$100,$A207,'18'!$I$7:$I$100,1)+SUMIFS('18a'!$J$7:$J$100,'18a'!$H$7:$H$100,$A207,'18a'!$I$7:$I$100,1)
+SUMIFS('19'!$J$7:$J$100,'19'!$H$7:$H$100,$A207,'19'!$I$7:$I$100,1)+SUMIFS('20'!$J$7:$J$100,'20'!$H$7:$H$100,$A207,'20'!$I$7:$I$100,1)+SUMIFS('20a'!$J$7:$J$100,'20a'!$H$7:$H$100,$A207,'20a'!$I$7:$I$100,1)+SUMIFS('21'!$J$7:$J$100,'21'!$H$7:$H$100,$A207,'21'!$I$7:$I$100,1)+SUMIFS('22'!$J$7:$J$100,'22'!$H$7:$H$100,$A207,'22'!$I$7:$I$100,1)+SUMIFS('22a'!$J$7:$J$100,'22a'!$H$7:$H$100,$A207,'22a'!$I$7:$I$100,1)+SUMIFS('22b'!$J$7:$J$100,'22b'!$H$7:$H$100,$A207,'22b'!$I$7:$I$100,1)+SUMIFS('23'!$J$7:$J$100,'23'!$H$7:$H$100,$A207,'23'!$I$7:$I$100,1)+SUMIFS('24'!$J$7:$J$100,'24'!$H$7:$H$100,$A207,'24'!$I$7:$I$100,1)+SUMIFS('24a'!$J$7:$J$100,'24a'!$H$7:$H$100,$A207,'24a'!$I$7:$I$100,1)+SUMIFS('24b'!$J$7:$J$100,'24b'!$H$7:$H$100,$A207,'24b'!$I$7:$I$100,1)+SUMIFS('24c'!$J$7:$J$100,'24c'!$H$7:$H$100,$A207,'24c'!$I$7:$I$100,1)+SUMIFS('24d'!$J$7:$J$100,'24d'!$H$7:$H$100,$A207,'24d'!$I$7:$I$100,1)+SUMIFS('24e'!$J$7:$J$100,'24e'!$H$7:$H$100,$A207,'24e'!$I$7:$I$100,1)+SUMIFS('24f'!$J$7:$J$100,'24f'!$H$7:$H$100,$A207,'24f'!$I$7:$I$100,1)+SUMIFS('24g'!$J$7:$J$100,'24g'!$H$7:$H$100,$A207,'24g'!$I$7:$I$100,1)+SUMIFS('24h'!$J$7:$J$100,'24h'!$H$7:$H$100,$A207,'24h'!$I$7:$I$100,1)+SUMIFS('24i'!$J$7:$J$100,'24i'!$H$7:$H$100,$A207,'24i'!$I$7:$I$100,1)+SUMIFS('25'!$J$7:$J$100,'25'!$H$7:$H$100,$A207,'25'!$I$7:$I$100,1)+SUMIFS('26'!$J$7:$J$100,'26'!$H$7:$H$100,$A207,'26'!$I$7:$I$100,1)+SUMIFS('26a'!$J$7:$J$100,'26a'!$H$7:$H$100,$A207,'26a'!$I$7:$I$100,1)+SUMIFS('27'!$J$7:$J$100,'27'!$H$7:$H$100,$A207,'27'!$I$7:$I$100,1)+SUMIFS('27a'!$J$7:$J$100,'27a'!$H$7:$H$100,$A207,'27a'!$I$7:$I$100,1)+SUMIFS('28'!$J$7:$J$100,'28'!$H$7:$H$100,$A207,'28'!$I$7:$I$100,1)+SUMIFS('29'!$J$7:$J$100,'29'!$H$7:$H$100,$A207,'29'!$I$7:$I$100,1)</f>
        <v>0</v>
      </c>
      <c r="H207" s="1315">
        <f>SUMIFS('12'!$J$7:$J$100,'12'!$H$7:$H$100,$A207,'12'!$I$7:$I$100,2)+SUMIFS('13'!$J$7:$J$100,'13'!$H$7:$H$100,$A207,'13'!$I$7:$I$100,2)+SUMIFS('14'!$J$7:$J$100,'14'!$H$7:$H$100,$A207,'14'!$I$7:$I$100,2)+SUMIFS('15'!$J$7:$J$100,'15'!$H$7:$H$100,$A207,'15'!$I$7:$I$100,2)+SUMIFS('15a'!$J$7:$J$100,'15a'!$H$7:$H$100,$A207,'15a'!$I$7:$I$100,2)+SUMIFS('15b'!$J$7:$J$100,'15b'!$H$7:$H$100,$A207,'15b'!$I$7:$I$100,2)+SUMIFS('15c'!$J$7:$J$100,'15c'!$H$7:$H$100,$A207,'15c'!$I$7:$I$100,2)+SUMIFS('15d'!$J$7:$J$100,'15d'!$H$7:$H$100,$A207,'15d'!$I$7:$I$100,2)+SUMIFS('15e'!$J$7:$J$100,'15e'!$H$7:$H$100,$A207,'15e'!$I$7:$I$100,2)+SUMIFS('15f'!$J$7:$J$100,'15f'!$H$7:$H$100,$A207,'15f'!$I$7:$I$100,2)+SUMIFS('15g'!$J$7:$J$100,'15g'!$H$7:$H$100,$A207,'15g'!$I$7:$I$100,2)+SUMIFS('15h'!$J$7:$J$100,'15h'!$H$7:$H$100,$A207,'15h'!$I$7:$I$100,2)+SUMIFS('15i'!$J$7:$J$100,'15i'!$H$7:$H$100,$A207,'15i'!$I$7:$I$100,2)+SUMIFS('15j'!$J$7:$J$100,'15j'!$H$7:$H$100,$A207,'15j'!$I$7:$I$100,2)+SUMIFS('15k'!$J$7:$J$100,'15k'!$H$7:$H$100,$A207,'15k'!$I$7:$I$100,2)+SUMIFS('15l'!$J$7:$J$100,'15l'!$H$7:$H$100,$A207,'15l'!$I$7:$I$100,2)+SUMIFS('15m'!$J$7:$J$100,'15m'!$H$7:$H$100,$A207,'15m'!$I$7:$I$100,2)+SUMIFS('15n'!$J$7:$J$100,'15n'!$H$7:$H$100,$A207,'15n'!$I$7:$I$100,2)+SUMIFS('16'!$J$7:$J$100,'16'!$H$7:$H$100,$A207,'16'!$I$7:$I$100,2)+SUMIFS('16a'!$J$7:$J$100,'16a'!$H$7:$H$100,$A207,'16a'!$I$7:$I$100,2)+SUMIFS('17'!$J$7:$J$100,'17'!$H$7:$H$100,$A207,'17'!$I$7:$I$100,2)+SUMIFS('17a'!$J$7:$J$100,'17a'!$H$7:$H$100,$A207,'17a'!$I$7:$I$100,2)+SUMIFS('18'!$J$7:$J$100,'18'!$H$7:$H$100,$A207,'18'!$I$7:$I$100,2)+SUMIFS('18a'!$J$7:$J$100,'18a'!$H$7:$H$100,$A207,'18a'!$I$7:$I$100,2)
+SUMIFS('19'!$J$7:$J$100,'19'!$H$7:$H$100,$A207,'19'!$I$7:$I$100,2)+SUMIFS('20'!$J$7:$J$100,'20'!$H$7:$H$100,$A207,'20'!$I$7:$I$100,2)+SUMIFS('20a'!$J$7:$J$100,'20a'!$H$7:$H$100,$A207,'20a'!$I$7:$I$100,2)+SUMIFS('21'!$J$7:$J$100,'21'!$H$7:$H$100,$A207,'21'!$I$7:$I$100,2)+SUMIFS('22'!$J$7:$J$100,'22'!$H$7:$H$100,$A207,'22'!$I$7:$I$100,2)+SUMIFS('22a'!$J$7:$J$100,'22a'!$H$7:$H$100,$A207,'22a'!$I$7:$I$100,2)+SUMIFS('22b'!$J$7:$J$100,'22b'!$H$7:$H$100,$A207,'22b'!$I$7:$I$100,2)+SUMIFS('23'!$J$7:$J$100,'23'!$H$7:$H$100,$A207,'23'!$I$7:$I$100,2)+SUMIFS('24'!$J$7:$J$100,'24'!$H$7:$H$100,$A207,'24'!$I$7:$I$100,2)+SUMIFS('24a'!$J$7:$J$100,'24a'!$H$7:$H$100,$A207,'24a'!$I$7:$I$100,2)+SUMIFS('24b'!$J$7:$J$100,'24b'!$H$7:$H$100,$A207,'24b'!$I$7:$I$100,2)+SUMIFS('24c'!$J$7:$J$100,'24c'!$H$7:$H$100,$A207,'24c'!$I$7:$I$100,2)+SUMIFS('24d'!$J$7:$J$100,'24d'!$H$7:$H$100,$A207,'24d'!$I$7:$I$100,2)+SUMIFS('24e'!$J$7:$J$100,'24e'!$H$7:$H$100,$A207,'24e'!$I$7:$I$100,2)+SUMIFS('24f'!$J$7:$J$100,'24f'!$H$7:$H$100,$A207,'24f'!$I$7:$I$100,2)+SUMIFS('24g'!$J$7:$J$100,'24g'!$H$7:$H$100,$A207,'24g'!$I$7:$I$100,2)+SUMIFS('24h'!$J$7:$J$100,'24h'!$H$7:$H$100,$A207,'24h'!$I$7:$I$100,2)+SUMIFS('24i'!$J$7:$J$100,'24i'!$H$7:$H$100,$A207,'24i'!$I$7:$I$100,2)+SUMIFS('25'!$J$7:$J$100,'25'!$H$7:$H$100,$A207,'25'!$I$7:$I$100,2)+SUMIFS('26'!$J$7:$J$100,'26'!$H$7:$H$100,$A207,'26'!$I$7:$I$100,2)+SUMIFS('26a'!$J$7:$J$100,'26a'!$H$7:$H$100,$A207,'26a'!$I$7:$I$100,2)+SUMIFS('27'!$J$7:$J$100,'27'!$H$7:$H$100,$A207,'27'!$I$7:$I$100,2)+SUMIFS('27a'!$J$7:$J$100,'27a'!$H$7:$H$100,$A207,'27a'!$I$7:$I$100,2)+SUMIFS('28'!$J$7:$J$100,'28'!$H$7:$H$100,$A207,'28'!$I$7:$I$100,2)+SUMIFS('29'!$J$7:$J$100,'29'!$H$7:$H$100,$A207,'29'!$I$7:$I$100,2)</f>
        <v>0</v>
      </c>
      <c r="I207" s="1315">
        <f>SUMIFS('12'!$J$7:$J$100,'12'!$H$7:$H$100,$A207,'12'!$I$7:$I$100,"")+SUMIFS('13'!$J$7:$J$100,'13'!$H$7:$H$100,$A207,'13'!$I$7:$I$100,"")+SUMIFS('14'!$J$7:$J$100,'14'!$H$7:$H$100,$A207,'14'!$I$7:$I$100,"")+SUMIFS('15'!$J$7:$J$100,'15'!$H$7:$H$100,$A207,'15'!$I$7:$I$100,"")+SUMIFS('15a'!$J$7:$J$100,'15a'!$H$7:$H$100,$A207,'15a'!$I$7:$I$100,"")+SUMIFS('15b'!$J$7:$J$100,'15b'!$H$7:$H$100,$A207,'15b'!$I$7:$I$100,"")+SUMIFS('15c'!$J$7:$J$100,'15c'!$H$7:$H$100,$A207,'15c'!$I$7:$I$100,"")+SUMIFS('15d'!$J$7:$J$100,'15d'!$H$7:$H$100,$A207,'15d'!$I$7:$I$100,"")+SUMIFS('15e'!$J$7:$J$100,'15e'!$H$7:$H$100,$A207,'15e'!$I$7:$I$100,"")+SUMIFS('15f'!$J$7:$J$100,'15f'!$H$7:$H$100,$A207,'15f'!$I$7:$I$100,"")+SUMIFS('15g'!$J$7:$J$100,'15g'!$H$7:$H$100,$A207,'15g'!$I$7:$I$100,"")+SUMIFS('15h'!$J$7:$J$100,'15h'!$H$7:$H$100,$A207,'15h'!$I$7:$I$100,"")+SUMIFS('15i'!$J$7:$J$100,'15i'!$H$7:$H$100,$A207,'15i'!$I$7:$I$100,"")+SUMIFS('15j'!$J$7:$J$100,'15j'!$H$7:$H$100,$A207,'15j'!$I$7:$I$100,"")+SUMIFS('15k'!$J$7:$J$100,'15k'!$H$7:$H$100,$A207,'15k'!$I$7:$I$100,"")+SUMIFS('15l'!$J$7:$J$100,'15l'!$H$7:$H$100,$A207,'15l'!$I$7:$I$100,"")+SUMIFS('15m'!$J$7:$J$100,'15m'!$H$7:$H$100,$A207,'15m'!$I$7:$I$100,"")+SUMIFS('15n'!$J$7:$J$100,'15n'!$H$7:$H$100,$A207,'15n'!$I$7:$I$100,"")+SUMIFS('16'!$J$7:$J$100,'16'!$H$7:$H$100,$A207,'16'!$I$7:$I$100,"")+SUMIFS('16a'!$J$7:$J$100,'16a'!$H$7:$H$100,$A207,'16a'!$I$7:$I$100,"")+SUMIFS('17'!$J$7:$J$100,'17'!$H$7:$H$100,$A207,'17'!$I$7:$I$100,"")+SUMIFS('17a'!$J$7:$J$100,'17a'!$H$7:$H$100,$A207,'17a'!$I$7:$I$100,"")+SUMIFS('18'!$J$7:$J$100,'18'!$H$7:$H$100,$A207,'18'!$I$7:$I$100,"")+SUMIFS('18a'!$J$7:$J$100,'18a'!$H$7:$H$100,$A207,'18a'!$I$7:$I$100,"")
+SUMIFS('19'!$J$7:$J$100,'19'!$H$7:$H$100,$A207,'19'!$I$7:$I$100,"")+SUMIFS('20'!$J$7:$J$100,'20'!$H$7:$H$100,$A207,'20'!$I$7:$I$100,"")+SUMIFS('20a'!$J$7:$J$100,'20a'!$H$7:$H$100,$A207,'20a'!$I$7:$I$100,"")+SUMIFS('21'!$J$7:$J$100,'21'!$H$7:$H$100,$A207,'21'!$I$7:$I$100,"")+SUMIFS('22'!$J$7:$J$100,'22'!$H$7:$H$100,$A207,'22'!$I$7:$I$100,"")+SUMIFS('22a'!$J$7:$J$100,'22a'!$H$7:$H$100,$A207,'22a'!$I$7:$I$100,"")+SUMIFS('22b'!$J$7:$J$100,'22b'!$H$7:$H$100,$A207,'22b'!$I$7:$I$100,"")+SUMIFS('23'!$J$7:$J$100,'23'!$H$7:$H$100,$A207,'23'!$I$7:$I$100,"")+SUMIFS('24'!$J$7:$J$100,'24'!$H$7:$H$100,$A207,'24'!$I$7:$I$100,"")+SUMIFS('24a'!$J$7:$J$100,'24a'!$H$7:$H$100,$A207,'24a'!$I$7:$I$100,"")+SUMIFS('24b'!$J$7:$J$100,'24b'!$H$7:$H$100,$A207,'24b'!$I$7:$I$100,"")+SUMIFS('24c'!$J$7:$J$100,'24c'!$H$7:$H$100,$A207,'24c'!$I$7:$I$100,"")+SUMIFS('24d'!$J$7:$J$100,'24d'!$H$7:$H$100,$A207,'24d'!$I$7:$I$100,"")+SUMIFS('24e'!$J$7:$J$100,'24e'!$H$7:$H$100,$A207,'24e'!$I$7:$I$100,"")+SUMIFS('24f'!$J$7:$J$100,'24f'!$H$7:$H$100,$A207,'24f'!$I$7:$I$100,"")+SUMIFS('24g'!$J$7:$J$100,'24g'!$H$7:$H$100,$A207,'24g'!$I$7:$I$100,"")+SUMIFS('24h'!$J$7:$J$100,'24h'!$H$7:$H$100,$A207,'24h'!$I$7:$I$100,"")+SUMIFS('24i'!$J$7:$J$100,'24i'!$H$7:$H$100,$A207,'24i'!$I$7:$I$100,"")+SUMIFS('25'!$J$7:$J$100,'25'!$H$7:$H$100,$A207,'25'!$I$7:$I$100,"")+SUMIFS('26'!$J$7:$J$100,'26'!$H$7:$H$100,$A207,'26'!$I$7:$I$100,"")+SUMIFS('26a'!$J$7:$J$100,'26a'!$H$7:$H$100,$A207,'26a'!$I$7:$I$100,"")+SUMIFS('27'!$J$7:$J$100,'27'!$H$7:$H$100,$A207,'27'!$I$7:$I$100,"")+SUMIFS('27a'!$J$7:$J$100,'27a'!$H$7:$H$100,$A207,'27a'!$I$7:$I$100,"")+SUMIFS('28'!$J$7:$J$100,'28'!$H$7:$H$100,$A207,'28'!$I$7:$I$100,"")+SUMIFS('29'!$J$7:$J$100,'29'!$H$7:$H$100,$A207,'29'!$I$7:$I$100,"")</f>
        <v>0</v>
      </c>
      <c r="J207" s="1296">
        <f t="shared" si="13"/>
        <v>0</v>
      </c>
      <c r="K207"/>
      <c r="L207"/>
      <c r="M207"/>
      <c r="N207"/>
      <c r="O207"/>
      <c r="P207"/>
      <c r="Q207"/>
      <c r="R207"/>
      <c r="S207" s="1307">
        <f t="shared" si="2"/>
        <v>0</v>
      </c>
      <c r="T207"/>
    </row>
    <row r="208" spans="1:20" ht="12.75" customHeight="1" outlineLevel="1" x14ac:dyDescent="0.2">
      <c r="A208" t="s">
        <v>5272</v>
      </c>
      <c r="B208" t="s">
        <v>5482</v>
      </c>
      <c r="C208" s="1295">
        <f>SUMIFS('12'!$N$7:$N$100,'12'!$H$7:$H$100,$A208,'12'!$I$7:$I$100,1)+SUMIFS('13'!$N$7:$N$100,'13'!$H$7:$H$100,$A208,'13'!$I$7:$I$100,1)+SUMIFS('14'!$N$7:$N$100,'14'!$H$7:$H$100,$A208,'14'!$I$7:$I$100,1)+SUMIFS('15'!$N$7:$N$100,'15'!$H$7:$H$100,$A208,'15'!$I$7:$I$100,1)+SUMIFS('15a'!$N$7:$N$100,'15a'!$H$7:$H$100,$A208,'15a'!$I$7:$I$100,1)+SUMIFS('15b'!$N$7:$N$100,'15b'!$H$7:$H$100,$A208,'15b'!$I$7:$I$100,1)+SUMIFS('15c'!$N$7:$N$100,'15c'!$H$7:$H$100,$A208,'15c'!$I$7:$I$100,1)+SUMIFS('15d'!$N$7:$N$100,'15d'!$H$7:$H$100,$A208,'15d'!$I$7:$I$100,1)+SUMIFS('15e'!$N$7:$N$100,'15e'!$H$7:$H$100,$A208,'15e'!$I$7:$I$100,1)+SUMIFS('15f'!$N$7:$N$100,'15f'!$H$7:$H$100,$A208,'15f'!$I$7:$I$100,1)+SUMIFS('15g'!$N$7:$N$100,'15g'!$H$7:$H$100,$A208,'15g'!$I$7:$I$100,1)+SUMIFS('15h'!$N$7:$N$100,'15h'!$H$7:$H$100,$A208,'15h'!$I$7:$I$100,1)+SUMIFS('15i'!$N$7:$N$100,'15i'!$H$7:$H$100,$A208,'15i'!$I$7:$I$100,1)+SUMIFS('15j'!$N$7:$N$100,'15j'!$H$7:$H$100,$A208,'15j'!$I$7:$I$100,1)+SUMIFS('15k'!$N$7:$N$100,'15k'!$H$7:$H$100,$A208,'15k'!$I$7:$I$100,1)+SUMIFS('15l'!$N$7:$N$100,'15l'!$H$7:$H$100,$A208,'15l'!$I$7:$I$100,1)+SUMIFS('15m'!$N$7:$N$100,'15m'!$H$7:$H$100,$A208,'15m'!$I$7:$I$100,1)+SUMIFS('15n'!$N$7:$N$100,'15n'!$H$7:$H$100,$A208,'15n'!$I$7:$I$100,1)+SUMIFS('16'!$N$7:$N$100,'16'!$H$7:$H$100,$A208,'16'!$I$7:$I$100,1)+SUMIFS('16a'!$N$7:$N$100,'16a'!$H$7:$H$100,$A208,'16a'!$I$7:$I$100,1)+SUMIFS('17'!$N$7:$N$100,'17'!$H$7:$H$100,$A208,'17'!$I$7:$I$100,1)+SUMIFS('17a'!$N$7:$N$100,'17a'!$H$7:$H$100,$A208,'17a'!$I$7:$I$100,1)+SUMIFS('18'!$N$7:$N$100,'18'!$H$7:$H$100,$A208,'18'!$I$7:$I$100,1)+SUMIFS('18a'!$N$7:$N$100,'18a'!$H$7:$H$100,$A208,'18a'!$I$7:$I$100,1)
+SUMIFS('19'!$N$7:$N$100,'19'!$H$7:$H$100,$A208,'19'!$I$7:$I$100,1)+SUMIFS('20'!$N$7:$N$100,'20'!$H$7:$H$100,$A208,'20'!$I$7:$I$100,1)+SUMIFS('20a'!$N$7:$N$100,'20a'!$H$7:$H$100,$A208,'20a'!$I$7:$I$100,1)+SUMIFS('21'!$N$7:$N$100,'21'!$H$7:$H$100,$A208,'21'!$I$7:$I$100,1)+SUMIFS('22'!$N$7:$N$100,'22'!$H$7:$H$100,$A208,'22'!$I$7:$I$100,1)+SUMIFS('22a'!$N$7:$N$100,'22a'!$H$7:$H$100,$A208,'22a'!$I$7:$I$100,1)+SUMIFS('22b'!$N$7:$N$100,'22b'!$H$7:$H$100,$A208,'22b'!$I$7:$I$100,1)+SUMIFS('23'!$N$7:$N$100,'23'!$H$7:$H$100,$A208,'23'!$I$7:$I$100,1)+SUMIFS('24'!$N$7:$N$100,'24'!$H$7:$H$100,$A208,'24'!$I$7:$I$100,1)+SUMIFS('24a'!$N$7:$N$100,'24a'!$H$7:$H$100,$A208,'24a'!$I$7:$I$100,1)+SUMIFS('24b'!$N$7:$N$100,'24b'!$H$7:$H$100,$A208,'24b'!$I$7:$I$100,1)+SUMIFS('24c'!$N$7:$N$100,'24c'!$H$7:$H$100,$A208,'24c'!$I$7:$I$100,1)+SUMIFS('24d'!$N$7:$N$100,'24d'!$H$7:$H$100,$A208,'24d'!$I$7:$I$100,1)+SUMIFS('24e'!$N$7:$N$100,'24e'!$H$7:$H$100,$A208,'24e'!$I$7:$I$100,1)+SUMIFS('24f'!$N$7:$N$100,'24f'!$H$7:$H$100,$A208,'24f'!$I$7:$I$100,1)+SUMIFS('24g'!$N$7:$N$100,'24g'!$H$7:$H$100,$A208,'24g'!$I$7:$I$100,1)+SUMIFS('24h'!$N$7:$N$100,'24h'!$H$7:$H$100,$A208,'24h'!$I$7:$I$100,1)+SUMIFS('24i'!$N$7:$N$100,'24i'!$H$7:$H$100,$A208,'24i'!$I$7:$I$100,1)+SUMIFS('25'!$N$7:$N$100,'25'!$H$7:$H$100,$A208,'25'!$I$7:$I$100,1)+SUMIFS('26'!$N$7:$N$100,'26'!$H$7:$H$100,$A208,'26'!$I$7:$I$100,1)+SUMIFS('26a'!$N$7:$N$100,'26a'!$H$7:$H$100,$A208,'26a'!$I$7:$I$100,1)+SUMIFS('27'!$N$7:$N$100,'27'!$H$7:$H$100,$A208,'27'!$I$7:$I$100,1)+SUMIFS('27a'!$N$7:$N$100,'27a'!$H$7:$H$100,$A208,'27a'!$I$7:$I$100,1)+SUMIFS('28'!$N$7:$N$100,'28'!$H$7:$H$100,$A208,'28'!$I$7:$I$100,1)+SUMIFS('29'!$N$7:$N$100,'29'!$H$7:$H$100,$A208,'29'!$I$7:$I$100,1)</f>
        <v>3840</v>
      </c>
      <c r="D208" s="1315">
        <f>SUMIFS('12'!$N$7:$N$100,'12'!$H$7:$H$100,$A208,'12'!$I$7:$I$100,2)+SUMIFS('13'!$N$7:$N$100,'13'!$H$7:$H$100,$A208,'13'!$I$7:$I$100,2)+SUMIFS('14'!$N$7:$N$100,'14'!$H$7:$H$100,$A208,'14'!$I$7:$I$100,2)+SUMIFS('15'!$N$7:$N$100,'15'!$H$7:$H$100,$A208,'15'!$I$7:$I$100,2)+SUMIFS('15a'!$N$7:$N$100,'15a'!$H$7:$H$100,$A208,'15a'!$I$7:$I$100,2)+SUMIFS('15b'!$N$7:$N$100,'15b'!$H$7:$H$100,$A208,'15b'!$I$7:$I$100,2)+SUMIFS('15c'!$N$7:$N$100,'15c'!$H$7:$H$100,$A208,'15c'!$I$7:$I$100,2)+SUMIFS('15d'!$N$7:$N$100,'15d'!$H$7:$H$100,$A208,'15d'!$I$7:$I$100,2)+SUMIFS('15e'!$N$7:$N$100,'15e'!$H$7:$H$100,$A208,'15e'!$I$7:$I$100,2)+SUMIFS('15f'!$N$7:$N$100,'15f'!$H$7:$H$100,$A208,'15f'!$I$7:$I$100,2)+SUMIFS('15g'!$N$7:$N$100,'15g'!$H$7:$H$100,$A208,'15g'!$I$7:$I$100,2)+SUMIFS('15h'!$N$7:$N$100,'15h'!$H$7:$H$100,$A208,'15h'!$I$7:$I$100,2)+SUMIFS('15i'!$N$7:$N$100,'15i'!$H$7:$H$100,$A208,'15i'!$I$7:$I$100,2)+SUMIFS('15j'!$N$7:$N$100,'15j'!$H$7:$H$100,$A208,'15j'!$I$7:$I$100,2)+SUMIFS('15k'!$N$7:$N$100,'15k'!$H$7:$H$100,$A208,'15k'!$I$7:$I$100,2)+SUMIFS('15l'!$N$7:$N$100,'15l'!$H$7:$H$100,$A208,'15l'!$I$7:$I$100,2)+SUMIFS('15m'!$N$7:$N$100,'15m'!$H$7:$H$100,$A208,'15m'!$I$7:$I$100,2)+SUMIFS('15n'!$N$7:$N$100,'15n'!$H$7:$H$100,$A208,'15n'!$I$7:$I$100,2)+SUMIFS('16'!$N$7:$N$100,'16'!$H$7:$H$100,$A208,'16'!$I$7:$I$100,2)+SUMIFS('16a'!$N$7:$N$100,'16a'!$H$7:$H$100,$A208,'16a'!$I$7:$I$100,2)+SUMIFS('17'!$N$7:$N$100,'17'!$H$7:$H$100,$A208,'17'!$I$7:$I$100,2)+SUMIFS('17a'!$N$7:$N$100,'17a'!$H$7:$H$100,$A208,'17a'!$I$7:$I$100,2)+SUMIFS('18'!$N$7:$N$100,'18'!$H$7:$H$100,$A208,'18'!$I$7:$I$100,2)+SUMIFS('18a'!$N$7:$N$100,'18a'!$H$7:$H$100,$A208,'18a'!$I$7:$I$100,2)
+SUMIFS('19'!$N$7:$N$100,'19'!$H$7:$H$100,$A208,'19'!$I$7:$I$100,2)+SUMIFS('20'!$N$7:$N$100,'20'!$H$7:$H$100,$A208,'20'!$I$7:$I$100,2)+SUMIFS('20a'!$N$7:$N$100,'20a'!$H$7:$H$100,$A208,'20a'!$I$7:$I$100,2)+SUMIFS('21'!$N$7:$N$100,'21'!$H$7:$H$100,$A208,'21'!$I$7:$I$100,2)+SUMIFS('22'!$N$7:$N$100,'22'!$H$7:$H$100,$A208,'22'!$I$7:$I$100,2)+SUMIFS('22a'!$N$7:$N$100,'22a'!$H$7:$H$100,$A208,'22a'!$I$7:$I$100,2)+SUMIFS('22b'!$N$7:$N$100,'22b'!$H$7:$H$100,$A208,'22b'!$I$7:$I$100,2)+SUMIFS('23'!$N$7:$N$100,'23'!$H$7:$H$100,$A208,'23'!$I$7:$I$100,2)+SUMIFS('24'!$N$7:$N$100,'24'!$H$7:$H$100,$A208,'24'!$I$7:$I$100,2)+SUMIFS('24a'!$N$7:$N$100,'24a'!$H$7:$H$100,$A208,'24a'!$I$7:$I$100,2)+SUMIFS('24b'!$N$7:$N$100,'24b'!$H$7:$H$100,$A208,'24b'!$I$7:$I$100,2)+SUMIFS('24c'!$N$7:$N$100,'24c'!$H$7:$H$100,$A208,'24c'!$I$7:$I$100,2)+SUMIFS('24d'!$N$7:$N$100,'24d'!$H$7:$H$100,$A208,'24d'!$I$7:$I$100,2)+SUMIFS('24e'!$N$7:$N$100,'24e'!$H$7:$H$100,$A208,'24e'!$I$7:$I$100,2)+SUMIFS('24f'!$N$7:$N$100,'24f'!$H$7:$H$100,$A208,'24f'!$I$7:$I$100,2)+SUMIFS('24g'!$N$7:$N$100,'24g'!$H$7:$H$100,$A208,'24g'!$I$7:$I$100,2)+SUMIFS('24h'!$N$7:$N$100,'24h'!$H$7:$H$100,$A208,'24h'!$I$7:$I$100,2)+SUMIFS('24i'!$N$7:$N$100,'24i'!$H$7:$H$100,$A208,'24i'!$I$7:$I$100,2)+SUMIFS('25'!$N$7:$N$100,'25'!$H$7:$H$100,$A208,'25'!$I$7:$I$100,2)+SUMIFS('26'!$N$7:$N$100,'26'!$H$7:$H$100,$A208,'26'!$I$7:$I$100,2)+SUMIFS('26a'!$N$7:$N$100,'26a'!$H$7:$H$100,$A208,'26a'!$I$7:$I$100,2)+SUMIFS('27'!$N$7:$N$100,'27'!$H$7:$H$100,$A208,'27'!$I$7:$I$100,2)+SUMIFS('27a'!$N$7:$N$100,'27a'!$H$7:$H$100,$A208,'27a'!$I$7:$I$100,2)+SUMIFS('28'!$N$7:$N$100,'28'!$H$7:$H$100,$A208,'28'!$I$7:$I$100,2)+SUMIFS('29'!$N$7:$N$100,'29'!$H$7:$H$100,$A208,'29'!$I$7:$I$100,2)</f>
        <v>45.71</v>
      </c>
      <c r="E208" s="1315">
        <f>SUMIFS('12'!$N$7:$N$100,'12'!$H$7:$H$100,$A208,'12'!$I$7:$I$100,"")+SUMIFS('13'!$N$7:$N$100,'13'!$H$7:$H$100,$A208,'13'!$I$7:$I$100,"")+SUMIFS('14'!$N$7:$N$100,'14'!$H$7:$H$100,$A208,'14'!$I$7:$I$100,"")+SUMIFS('15'!$N$7:$N$100,'15'!$H$7:$H$100,$A208,'15'!$I$7:$I$100,"")+SUMIFS('15a'!$N$7:$N$100,'15a'!$H$7:$H$100,$A208,'15a'!$I$7:$I$100,"")+SUMIFS('15b'!$N$7:$N$100,'15b'!$H$7:$H$100,$A208,'15b'!$I$7:$I$100,"")+SUMIFS('15c'!$N$7:$N$100,'15c'!$H$7:$H$100,$A208,'15c'!$I$7:$I$100,"")+SUMIFS('15d'!$N$7:$N$100,'15d'!$H$7:$H$100,$A208,'15d'!$I$7:$I$100,"")+SUMIFS('15e'!$N$7:$N$100,'15e'!$H$7:$H$100,$A208,'15e'!$I$7:$I$100,"")+SUMIFS('15f'!$N$7:$N$100,'15f'!$H$7:$H$100,$A208,'15f'!$I$7:$I$100,"")+SUMIFS('15g'!$N$7:$N$100,'15g'!$H$7:$H$100,$A208,'15g'!$I$7:$I$100,"")+SUMIFS('15h'!$N$7:$N$100,'15h'!$H$7:$H$100,$A208,'15h'!$I$7:$I$100,"")+SUMIFS('15i'!$N$7:$N$100,'15i'!$H$7:$H$100,$A208,'15i'!$I$7:$I$100,"")+SUMIFS('15j'!$N$7:$N$100,'15j'!$H$7:$H$100,$A208,'15j'!$I$7:$I$100,"")+SUMIFS('15k'!$N$7:$N$100,'15k'!$H$7:$H$100,$A208,'15k'!$I$7:$I$100,"")+SUMIFS('15l'!$N$7:$N$100,'15l'!$H$7:$H$100,$A208,'15l'!$I$7:$I$100,"")+SUMIFS('15m'!$N$7:$N$100,'15m'!$H$7:$H$100,$A208,'15m'!$I$7:$I$100,"")+SUMIFS('15n'!$N$7:$N$100,'15n'!$H$7:$H$100,$A208,'15n'!$I$7:$I$100,"")+SUMIFS('16'!$N$7:$N$100,'16'!$H$7:$H$100,$A208,'16'!$I$7:$I$100,"")+SUMIFS('16a'!$N$7:$N$100,'16a'!$H$7:$H$100,$A208,'16a'!$I$7:$I$100,"")+SUMIFS('17'!$N$7:$N$100,'17'!$H$7:$H$100,$A208,'17'!$I$7:$I$100,"")+SUMIFS('17a'!$N$7:$N$100,'17a'!$H$7:$H$100,$A208,'17a'!$I$7:$I$100,"")+SUMIFS('18'!$N$7:$N$100,'18'!$H$7:$H$100,$A208,'18'!$I$7:$I$100,"")+SUMIFS('18a'!$N$7:$N$100,'18a'!$H$7:$H$100,$A208,'18a'!$I$7:$I$100,"")
+SUMIFS('19'!$N$7:$N$100,'19'!$H$7:$H$100,$A208,'19'!$I$7:$I$100,"")+SUMIFS('20'!$N$7:$N$100,'20'!$H$7:$H$100,$A208,'20'!$I$7:$I$100,"")+SUMIFS('20a'!$N$7:$N$100,'20a'!$H$7:$H$100,$A208,'20a'!$I$7:$I$100,"")+SUMIFS('21'!$N$7:$N$100,'21'!$H$7:$H$100,$A208,'21'!$I$7:$I$100,"")+SUMIFS('22'!$N$7:$N$100,'22'!$H$7:$H$100,$A208,'22'!$I$7:$I$100,"")+SUMIFS('22a'!$N$7:$N$100,'22a'!$H$7:$H$100,$A208,'22a'!$I$7:$I$100,"")+SUMIFS('22b'!$N$7:$N$100,'22b'!$H$7:$H$100,$A208,'22b'!$I$7:$I$100,"")+SUMIFS('23'!$N$7:$N$100,'23'!$H$7:$H$100,$A208,'23'!$I$7:$I$100,"")+SUMIFS('24'!$N$7:$N$100,'24'!$H$7:$H$100,$A208,'24'!$I$7:$I$100,"")+SUMIFS('24a'!$N$7:$N$100,'24a'!$H$7:$H$100,$A208,'24a'!$I$7:$I$100,"")+SUMIFS('24b'!$N$7:$N$100,'24b'!$H$7:$H$100,$A208,'24b'!$I$7:$I$100,"")+SUMIFS('24c'!$N$7:$N$100,'24c'!$H$7:$H$100,$A208,'24c'!$I$7:$I$100,"")+SUMIFS('24d'!$N$7:$N$100,'24d'!$H$7:$H$100,$A208,'24d'!$I$7:$I$100,"")+SUMIFS('24e'!$N$7:$N$100,'24e'!$H$7:$H$100,$A208,'24e'!$I$7:$I$100,"")+SUMIFS('24f'!$N$7:$N$100,'24f'!$H$7:$H$100,$A208,'24f'!$I$7:$I$100,"")+SUMIFS('24g'!$N$7:$N$100,'24g'!$H$7:$H$100,$A208,'24g'!$I$7:$I$100,"")+SUMIFS('24h'!$N$7:$N$100,'24h'!$H$7:$H$100,$A208,'24h'!$I$7:$I$100,"")+SUMIFS('24i'!$N$7:$N$100,'24i'!$H$7:$H$100,$A208,'24i'!$I$7:$I$100,"")+SUMIFS('25'!$N$7:$N$100,'25'!$H$7:$H$100,$A208,'25'!$I$7:$I$100,"")+SUMIFS('26'!$N$7:$N$100,'26'!$H$7:$H$100,$A208,'26'!$I$7:$I$100,"")+SUMIFS('26a'!$N$7:$N$100,'26a'!$H$7:$H$100,$A208,'26a'!$I$7:$I$100,"")+SUMIFS('27'!$N$7:$N$100,'27'!$H$7:$H$100,$A208,'27'!$I$7:$I$100,"")+SUMIFS('27a'!$N$7:$N$100,'27a'!$H$7:$H$100,$A208,'27a'!$I$7:$I$100,"")+SUMIFS('28'!$N$7:$N$100,'28'!$H$7:$H$100,$A208,'28'!$I$7:$I$100,"")+SUMIFS('29'!$N$7:$N$100,'29'!$H$7:$H$100,$A208,'29'!$I$7:$I$100,"")</f>
        <v>0</v>
      </c>
      <c r="F208" s="1296">
        <f t="shared" si="12"/>
        <v>3885.71</v>
      </c>
      <c r="G208" s="1295">
        <f>SUMIFS('12'!$J$7:$J$100,'12'!$H$7:$H$100,$A208,'12'!$I$7:$I$100,1)+SUMIFS('13'!$J$7:$J$100,'13'!$H$7:$H$100,$A208,'13'!$I$7:$I$100,1)+SUMIFS('14'!$J$7:$J$100,'14'!$H$7:$H$100,$A208,'14'!$I$7:$I$100,1)+SUMIFS('15'!$J$7:$J$100,'15'!$H$7:$H$100,$A208,'15'!$I$7:$I$100,1)+SUMIFS('15a'!$J$7:$J$100,'15a'!$H$7:$H$100,$A208,'15a'!$I$7:$I$100,1)+SUMIFS('15b'!$J$7:$J$100,'15b'!$H$7:$H$100,$A208,'15b'!$I$7:$I$100,1)+SUMIFS('15c'!$J$7:$J$100,'15c'!$H$7:$H$100,$A208,'15c'!$I$7:$I$100,1)+SUMIFS('15d'!$J$7:$J$100,'15d'!$H$7:$H$100,$A208,'15d'!$I$7:$I$100,1)+SUMIFS('15e'!$J$7:$J$100,'15e'!$H$7:$H$100,$A208,'15e'!$I$7:$I$100,1)+SUMIFS('15f'!$J$7:$J$100,'15f'!$H$7:$H$100,$A208,'15f'!$I$7:$I$100,1)+SUMIFS('15g'!$J$7:$J$100,'15g'!$H$7:$H$100,$A208,'15g'!$I$7:$I$100,1)+SUMIFS('15h'!$J$7:$J$100,'15h'!$H$7:$H$100,$A208,'15h'!$I$7:$I$100,1)+SUMIFS('15i'!$J$7:$J$100,'15i'!$H$7:$H$100,$A208,'15i'!$I$7:$I$100,1)+SUMIFS('15j'!$J$7:$J$100,'15j'!$H$7:$H$100,$A208,'15j'!$I$7:$I$100,1)+SUMIFS('15k'!$J$7:$J$100,'15k'!$H$7:$H$100,$A208,'15k'!$I$7:$I$100,1)+SUMIFS('15l'!$J$7:$J$100,'15l'!$H$7:$H$100,$A208,'15l'!$I$7:$I$100,1)+SUMIFS('15m'!$J$7:$J$100,'15m'!$H$7:$H$100,$A208,'15m'!$I$7:$I$100,1)+SUMIFS('15n'!$J$7:$J$100,'15n'!$H$7:$H$100,$A208,'15n'!$I$7:$I$100,1)+SUMIFS('16'!$J$7:$J$100,'16'!$H$7:$H$100,$A208,'16'!$I$7:$I$100,1)+SUMIFS('16a'!$J$7:$J$100,'16a'!$H$7:$H$100,$A208,'16a'!$I$7:$I$100,1)+SUMIFS('17'!$J$7:$J$100,'17'!$H$7:$H$100,$A208,'17'!$I$7:$I$100,1)+SUMIFS('17a'!$J$7:$J$100,'17a'!$H$7:$H$100,$A208,'17a'!$I$7:$I$100,1)+SUMIFS('18'!$J$7:$J$100,'18'!$H$7:$H$100,$A208,'18'!$I$7:$I$100,1)+SUMIFS('18a'!$J$7:$J$100,'18a'!$H$7:$H$100,$A208,'18a'!$I$7:$I$100,1)
+SUMIFS('19'!$J$7:$J$100,'19'!$H$7:$H$100,$A208,'19'!$I$7:$I$100,1)+SUMIFS('20'!$J$7:$J$100,'20'!$H$7:$H$100,$A208,'20'!$I$7:$I$100,1)+SUMIFS('20a'!$J$7:$J$100,'20a'!$H$7:$H$100,$A208,'20a'!$I$7:$I$100,1)+SUMIFS('21'!$J$7:$J$100,'21'!$H$7:$H$100,$A208,'21'!$I$7:$I$100,1)+SUMIFS('22'!$J$7:$J$100,'22'!$H$7:$H$100,$A208,'22'!$I$7:$I$100,1)+SUMIFS('22a'!$J$7:$J$100,'22a'!$H$7:$H$100,$A208,'22a'!$I$7:$I$100,1)+SUMIFS('22b'!$J$7:$J$100,'22b'!$H$7:$H$100,$A208,'22b'!$I$7:$I$100,1)+SUMIFS('23'!$J$7:$J$100,'23'!$H$7:$H$100,$A208,'23'!$I$7:$I$100,1)+SUMIFS('24'!$J$7:$J$100,'24'!$H$7:$H$100,$A208,'24'!$I$7:$I$100,1)+SUMIFS('24a'!$J$7:$J$100,'24a'!$H$7:$H$100,$A208,'24a'!$I$7:$I$100,1)+SUMIFS('24b'!$J$7:$J$100,'24b'!$H$7:$H$100,$A208,'24b'!$I$7:$I$100,1)+SUMIFS('24c'!$J$7:$J$100,'24c'!$H$7:$H$100,$A208,'24c'!$I$7:$I$100,1)+SUMIFS('24d'!$J$7:$J$100,'24d'!$H$7:$H$100,$A208,'24d'!$I$7:$I$100,1)+SUMIFS('24e'!$J$7:$J$100,'24e'!$H$7:$H$100,$A208,'24e'!$I$7:$I$100,1)+SUMIFS('24f'!$J$7:$J$100,'24f'!$H$7:$H$100,$A208,'24f'!$I$7:$I$100,1)+SUMIFS('24g'!$J$7:$J$100,'24g'!$H$7:$H$100,$A208,'24g'!$I$7:$I$100,1)+SUMIFS('24h'!$J$7:$J$100,'24h'!$H$7:$H$100,$A208,'24h'!$I$7:$I$100,1)+SUMIFS('24i'!$J$7:$J$100,'24i'!$H$7:$H$100,$A208,'24i'!$I$7:$I$100,1)+SUMIFS('25'!$J$7:$J$100,'25'!$H$7:$H$100,$A208,'25'!$I$7:$I$100,1)+SUMIFS('26'!$J$7:$J$100,'26'!$H$7:$H$100,$A208,'26'!$I$7:$I$100,1)+SUMIFS('26a'!$J$7:$J$100,'26a'!$H$7:$H$100,$A208,'26a'!$I$7:$I$100,1)+SUMIFS('27'!$J$7:$J$100,'27'!$H$7:$H$100,$A208,'27'!$I$7:$I$100,1)+SUMIFS('27a'!$J$7:$J$100,'27a'!$H$7:$H$100,$A208,'27a'!$I$7:$I$100,1)+SUMIFS('28'!$J$7:$J$100,'28'!$H$7:$H$100,$A208,'28'!$I$7:$I$100,1)+SUMIFS('29'!$J$7:$J$100,'29'!$H$7:$H$100,$A208,'29'!$I$7:$I$100,1)</f>
        <v>3917</v>
      </c>
      <c r="H208" s="1315">
        <f>SUMIFS('12'!$J$7:$J$100,'12'!$H$7:$H$100,$A208,'12'!$I$7:$I$100,2)+SUMIFS('13'!$J$7:$J$100,'13'!$H$7:$H$100,$A208,'13'!$I$7:$I$100,2)+SUMIFS('14'!$J$7:$J$100,'14'!$H$7:$H$100,$A208,'14'!$I$7:$I$100,2)+SUMIFS('15'!$J$7:$J$100,'15'!$H$7:$H$100,$A208,'15'!$I$7:$I$100,2)+SUMIFS('15a'!$J$7:$J$100,'15a'!$H$7:$H$100,$A208,'15a'!$I$7:$I$100,2)+SUMIFS('15b'!$J$7:$J$100,'15b'!$H$7:$H$100,$A208,'15b'!$I$7:$I$100,2)+SUMIFS('15c'!$J$7:$J$100,'15c'!$H$7:$H$100,$A208,'15c'!$I$7:$I$100,2)+SUMIFS('15d'!$J$7:$J$100,'15d'!$H$7:$H$100,$A208,'15d'!$I$7:$I$100,2)+SUMIFS('15e'!$J$7:$J$100,'15e'!$H$7:$H$100,$A208,'15e'!$I$7:$I$100,2)+SUMIFS('15f'!$J$7:$J$100,'15f'!$H$7:$H$100,$A208,'15f'!$I$7:$I$100,2)+SUMIFS('15g'!$J$7:$J$100,'15g'!$H$7:$H$100,$A208,'15g'!$I$7:$I$100,2)+SUMIFS('15h'!$J$7:$J$100,'15h'!$H$7:$H$100,$A208,'15h'!$I$7:$I$100,2)+SUMIFS('15i'!$J$7:$J$100,'15i'!$H$7:$H$100,$A208,'15i'!$I$7:$I$100,2)+SUMIFS('15j'!$J$7:$J$100,'15j'!$H$7:$H$100,$A208,'15j'!$I$7:$I$100,2)+SUMIFS('15k'!$J$7:$J$100,'15k'!$H$7:$H$100,$A208,'15k'!$I$7:$I$100,2)+SUMIFS('15l'!$J$7:$J$100,'15l'!$H$7:$H$100,$A208,'15l'!$I$7:$I$100,2)+SUMIFS('15m'!$J$7:$J$100,'15m'!$H$7:$H$100,$A208,'15m'!$I$7:$I$100,2)+SUMIFS('15n'!$J$7:$J$100,'15n'!$H$7:$H$100,$A208,'15n'!$I$7:$I$100,2)+SUMIFS('16'!$J$7:$J$100,'16'!$H$7:$H$100,$A208,'16'!$I$7:$I$100,2)+SUMIFS('16a'!$J$7:$J$100,'16a'!$H$7:$H$100,$A208,'16a'!$I$7:$I$100,2)+SUMIFS('17'!$J$7:$J$100,'17'!$H$7:$H$100,$A208,'17'!$I$7:$I$100,2)+SUMIFS('17a'!$J$7:$J$100,'17a'!$H$7:$H$100,$A208,'17a'!$I$7:$I$100,2)+SUMIFS('18'!$J$7:$J$100,'18'!$H$7:$H$100,$A208,'18'!$I$7:$I$100,2)+SUMIFS('18a'!$J$7:$J$100,'18a'!$H$7:$H$100,$A208,'18a'!$I$7:$I$100,2)
+SUMIFS('19'!$J$7:$J$100,'19'!$H$7:$H$100,$A208,'19'!$I$7:$I$100,2)+SUMIFS('20'!$J$7:$J$100,'20'!$H$7:$H$100,$A208,'20'!$I$7:$I$100,2)+SUMIFS('20a'!$J$7:$J$100,'20a'!$H$7:$H$100,$A208,'20a'!$I$7:$I$100,2)+SUMIFS('21'!$J$7:$J$100,'21'!$H$7:$H$100,$A208,'21'!$I$7:$I$100,2)+SUMIFS('22'!$J$7:$J$100,'22'!$H$7:$H$100,$A208,'22'!$I$7:$I$100,2)+SUMIFS('22a'!$J$7:$J$100,'22a'!$H$7:$H$100,$A208,'22a'!$I$7:$I$100,2)+SUMIFS('22b'!$J$7:$J$100,'22b'!$H$7:$H$100,$A208,'22b'!$I$7:$I$100,2)+SUMIFS('23'!$J$7:$J$100,'23'!$H$7:$H$100,$A208,'23'!$I$7:$I$100,2)+SUMIFS('24'!$J$7:$J$100,'24'!$H$7:$H$100,$A208,'24'!$I$7:$I$100,2)+SUMIFS('24a'!$J$7:$J$100,'24a'!$H$7:$H$100,$A208,'24a'!$I$7:$I$100,2)+SUMIFS('24b'!$J$7:$J$100,'24b'!$H$7:$H$100,$A208,'24b'!$I$7:$I$100,2)+SUMIFS('24c'!$J$7:$J$100,'24c'!$H$7:$H$100,$A208,'24c'!$I$7:$I$100,2)+SUMIFS('24d'!$J$7:$J$100,'24d'!$H$7:$H$100,$A208,'24d'!$I$7:$I$100,2)+SUMIFS('24e'!$J$7:$J$100,'24e'!$H$7:$H$100,$A208,'24e'!$I$7:$I$100,2)+SUMIFS('24f'!$J$7:$J$100,'24f'!$H$7:$H$100,$A208,'24f'!$I$7:$I$100,2)+SUMIFS('24g'!$J$7:$J$100,'24g'!$H$7:$H$100,$A208,'24g'!$I$7:$I$100,2)+SUMIFS('24h'!$J$7:$J$100,'24h'!$H$7:$H$100,$A208,'24h'!$I$7:$I$100,2)+SUMIFS('24i'!$J$7:$J$100,'24i'!$H$7:$H$100,$A208,'24i'!$I$7:$I$100,2)+SUMIFS('25'!$J$7:$J$100,'25'!$H$7:$H$100,$A208,'25'!$I$7:$I$100,2)+SUMIFS('26'!$J$7:$J$100,'26'!$H$7:$H$100,$A208,'26'!$I$7:$I$100,2)+SUMIFS('26a'!$J$7:$J$100,'26a'!$H$7:$H$100,$A208,'26a'!$I$7:$I$100,2)+SUMIFS('27'!$J$7:$J$100,'27'!$H$7:$H$100,$A208,'27'!$I$7:$I$100,2)+SUMIFS('27a'!$J$7:$J$100,'27a'!$H$7:$H$100,$A208,'27a'!$I$7:$I$100,2)+SUMIFS('28'!$J$7:$J$100,'28'!$H$7:$H$100,$A208,'28'!$I$7:$I$100,2)+SUMIFS('29'!$J$7:$J$100,'29'!$H$7:$H$100,$A208,'29'!$I$7:$I$100,2)</f>
        <v>100</v>
      </c>
      <c r="I208" s="1315">
        <f>SUMIFS('12'!$J$7:$J$100,'12'!$H$7:$H$100,$A208,'12'!$I$7:$I$100,"")+SUMIFS('13'!$J$7:$J$100,'13'!$H$7:$H$100,$A208,'13'!$I$7:$I$100,"")+SUMIFS('14'!$J$7:$J$100,'14'!$H$7:$H$100,$A208,'14'!$I$7:$I$100,"")+SUMIFS('15'!$J$7:$J$100,'15'!$H$7:$H$100,$A208,'15'!$I$7:$I$100,"")+SUMIFS('15a'!$J$7:$J$100,'15a'!$H$7:$H$100,$A208,'15a'!$I$7:$I$100,"")+SUMIFS('15b'!$J$7:$J$100,'15b'!$H$7:$H$100,$A208,'15b'!$I$7:$I$100,"")+SUMIFS('15c'!$J$7:$J$100,'15c'!$H$7:$H$100,$A208,'15c'!$I$7:$I$100,"")+SUMIFS('15d'!$J$7:$J$100,'15d'!$H$7:$H$100,$A208,'15d'!$I$7:$I$100,"")+SUMIFS('15e'!$J$7:$J$100,'15e'!$H$7:$H$100,$A208,'15e'!$I$7:$I$100,"")+SUMIFS('15f'!$J$7:$J$100,'15f'!$H$7:$H$100,$A208,'15f'!$I$7:$I$100,"")+SUMIFS('15g'!$J$7:$J$100,'15g'!$H$7:$H$100,$A208,'15g'!$I$7:$I$100,"")+SUMIFS('15h'!$J$7:$J$100,'15h'!$H$7:$H$100,$A208,'15h'!$I$7:$I$100,"")+SUMIFS('15i'!$J$7:$J$100,'15i'!$H$7:$H$100,$A208,'15i'!$I$7:$I$100,"")+SUMIFS('15j'!$J$7:$J$100,'15j'!$H$7:$H$100,$A208,'15j'!$I$7:$I$100,"")+SUMIFS('15k'!$J$7:$J$100,'15k'!$H$7:$H$100,$A208,'15k'!$I$7:$I$100,"")+SUMIFS('15l'!$J$7:$J$100,'15l'!$H$7:$H$100,$A208,'15l'!$I$7:$I$100,"")+SUMIFS('15m'!$J$7:$J$100,'15m'!$H$7:$H$100,$A208,'15m'!$I$7:$I$100,"")+SUMIFS('15n'!$J$7:$J$100,'15n'!$H$7:$H$100,$A208,'15n'!$I$7:$I$100,"")+SUMIFS('16'!$J$7:$J$100,'16'!$H$7:$H$100,$A208,'16'!$I$7:$I$100,"")+SUMIFS('16a'!$J$7:$J$100,'16a'!$H$7:$H$100,$A208,'16a'!$I$7:$I$100,"")+SUMIFS('17'!$J$7:$J$100,'17'!$H$7:$H$100,$A208,'17'!$I$7:$I$100,"")+SUMIFS('17a'!$J$7:$J$100,'17a'!$H$7:$H$100,$A208,'17a'!$I$7:$I$100,"")+SUMIFS('18'!$J$7:$J$100,'18'!$H$7:$H$100,$A208,'18'!$I$7:$I$100,"")+SUMIFS('18a'!$J$7:$J$100,'18a'!$H$7:$H$100,$A208,'18a'!$I$7:$I$100,"")
+SUMIFS('19'!$J$7:$J$100,'19'!$H$7:$H$100,$A208,'19'!$I$7:$I$100,"")+SUMIFS('20'!$J$7:$J$100,'20'!$H$7:$H$100,$A208,'20'!$I$7:$I$100,"")+SUMIFS('20a'!$J$7:$J$100,'20a'!$H$7:$H$100,$A208,'20a'!$I$7:$I$100,"")+SUMIFS('21'!$J$7:$J$100,'21'!$H$7:$H$100,$A208,'21'!$I$7:$I$100,"")+SUMIFS('22'!$J$7:$J$100,'22'!$H$7:$H$100,$A208,'22'!$I$7:$I$100,"")+SUMIFS('22a'!$J$7:$J$100,'22a'!$H$7:$H$100,$A208,'22a'!$I$7:$I$100,"")+SUMIFS('22b'!$J$7:$J$100,'22b'!$H$7:$H$100,$A208,'22b'!$I$7:$I$100,"")+SUMIFS('23'!$J$7:$J$100,'23'!$H$7:$H$100,$A208,'23'!$I$7:$I$100,"")+SUMIFS('24'!$J$7:$J$100,'24'!$H$7:$H$100,$A208,'24'!$I$7:$I$100,"")+SUMIFS('24a'!$J$7:$J$100,'24a'!$H$7:$H$100,$A208,'24a'!$I$7:$I$100,"")+SUMIFS('24b'!$J$7:$J$100,'24b'!$H$7:$H$100,$A208,'24b'!$I$7:$I$100,"")+SUMIFS('24c'!$J$7:$J$100,'24c'!$H$7:$H$100,$A208,'24c'!$I$7:$I$100,"")+SUMIFS('24d'!$J$7:$J$100,'24d'!$H$7:$H$100,$A208,'24d'!$I$7:$I$100,"")+SUMIFS('24e'!$J$7:$J$100,'24e'!$H$7:$H$100,$A208,'24e'!$I$7:$I$100,"")+SUMIFS('24f'!$J$7:$J$100,'24f'!$H$7:$H$100,$A208,'24f'!$I$7:$I$100,"")+SUMIFS('24g'!$J$7:$J$100,'24g'!$H$7:$H$100,$A208,'24g'!$I$7:$I$100,"")+SUMIFS('24h'!$J$7:$J$100,'24h'!$H$7:$H$100,$A208,'24h'!$I$7:$I$100,"")+SUMIFS('24i'!$J$7:$J$100,'24i'!$H$7:$H$100,$A208,'24i'!$I$7:$I$100,"")+SUMIFS('25'!$J$7:$J$100,'25'!$H$7:$H$100,$A208,'25'!$I$7:$I$100,"")+SUMIFS('26'!$J$7:$J$100,'26'!$H$7:$H$100,$A208,'26'!$I$7:$I$100,"")+SUMIFS('26a'!$J$7:$J$100,'26a'!$H$7:$H$100,$A208,'26a'!$I$7:$I$100,"")+SUMIFS('27'!$J$7:$J$100,'27'!$H$7:$H$100,$A208,'27'!$I$7:$I$100,"")+SUMIFS('27a'!$J$7:$J$100,'27a'!$H$7:$H$100,$A208,'27a'!$I$7:$I$100,"")+SUMIFS('28'!$J$7:$J$100,'28'!$H$7:$H$100,$A208,'28'!$I$7:$I$100,"")+SUMIFS('29'!$J$7:$J$100,'29'!$H$7:$H$100,$A208,'29'!$I$7:$I$100,"")</f>
        <v>0</v>
      </c>
      <c r="J208" s="1296">
        <f t="shared" si="13"/>
        <v>4017</v>
      </c>
      <c r="K208"/>
      <c r="L208"/>
      <c r="M208"/>
      <c r="N208"/>
      <c r="O208"/>
      <c r="P208"/>
      <c r="Q208"/>
      <c r="R208"/>
      <c r="S208" s="1307">
        <f t="shared" si="2"/>
        <v>15805.42</v>
      </c>
      <c r="T208"/>
    </row>
    <row r="209" spans="1:20" ht="12.75" customHeight="1" outlineLevel="1" x14ac:dyDescent="0.2">
      <c r="A209" t="s">
        <v>5273</v>
      </c>
      <c r="B209" t="s">
        <v>5482</v>
      </c>
      <c r="C209" s="1295">
        <f>SUMIFS('12'!$N$7:$N$100,'12'!$H$7:$H$100,$A209,'12'!$I$7:$I$100,1)+SUMIFS('13'!$N$7:$N$100,'13'!$H$7:$H$100,$A209,'13'!$I$7:$I$100,1)+SUMIFS('14'!$N$7:$N$100,'14'!$H$7:$H$100,$A209,'14'!$I$7:$I$100,1)+SUMIFS('15'!$N$7:$N$100,'15'!$H$7:$H$100,$A209,'15'!$I$7:$I$100,1)+SUMIFS('15a'!$N$7:$N$100,'15a'!$H$7:$H$100,$A209,'15a'!$I$7:$I$100,1)+SUMIFS('15b'!$N$7:$N$100,'15b'!$H$7:$H$100,$A209,'15b'!$I$7:$I$100,1)+SUMIFS('15c'!$N$7:$N$100,'15c'!$H$7:$H$100,$A209,'15c'!$I$7:$I$100,1)+SUMIFS('15d'!$N$7:$N$100,'15d'!$H$7:$H$100,$A209,'15d'!$I$7:$I$100,1)+SUMIFS('15e'!$N$7:$N$100,'15e'!$H$7:$H$100,$A209,'15e'!$I$7:$I$100,1)+SUMIFS('15f'!$N$7:$N$100,'15f'!$H$7:$H$100,$A209,'15f'!$I$7:$I$100,1)+SUMIFS('15g'!$N$7:$N$100,'15g'!$H$7:$H$100,$A209,'15g'!$I$7:$I$100,1)+SUMIFS('15h'!$N$7:$N$100,'15h'!$H$7:$H$100,$A209,'15h'!$I$7:$I$100,1)+SUMIFS('15i'!$N$7:$N$100,'15i'!$H$7:$H$100,$A209,'15i'!$I$7:$I$100,1)+SUMIFS('15j'!$N$7:$N$100,'15j'!$H$7:$H$100,$A209,'15j'!$I$7:$I$100,1)+SUMIFS('15k'!$N$7:$N$100,'15k'!$H$7:$H$100,$A209,'15k'!$I$7:$I$100,1)+SUMIFS('15l'!$N$7:$N$100,'15l'!$H$7:$H$100,$A209,'15l'!$I$7:$I$100,1)+SUMIFS('15m'!$N$7:$N$100,'15m'!$H$7:$H$100,$A209,'15m'!$I$7:$I$100,1)+SUMIFS('15n'!$N$7:$N$100,'15n'!$H$7:$H$100,$A209,'15n'!$I$7:$I$100,1)+SUMIFS('16'!$N$7:$N$100,'16'!$H$7:$H$100,$A209,'16'!$I$7:$I$100,1)+SUMIFS('16a'!$N$7:$N$100,'16a'!$H$7:$H$100,$A209,'16a'!$I$7:$I$100,1)+SUMIFS('17'!$N$7:$N$100,'17'!$H$7:$H$100,$A209,'17'!$I$7:$I$100,1)+SUMIFS('17a'!$N$7:$N$100,'17a'!$H$7:$H$100,$A209,'17a'!$I$7:$I$100,1)+SUMIFS('18'!$N$7:$N$100,'18'!$H$7:$H$100,$A209,'18'!$I$7:$I$100,1)+SUMIFS('18a'!$N$7:$N$100,'18a'!$H$7:$H$100,$A209,'18a'!$I$7:$I$100,1)
+SUMIFS('19'!$N$7:$N$100,'19'!$H$7:$H$100,$A209,'19'!$I$7:$I$100,1)+SUMIFS('20'!$N$7:$N$100,'20'!$H$7:$H$100,$A209,'20'!$I$7:$I$100,1)+SUMIFS('20a'!$N$7:$N$100,'20a'!$H$7:$H$100,$A209,'20a'!$I$7:$I$100,1)+SUMIFS('21'!$N$7:$N$100,'21'!$H$7:$H$100,$A209,'21'!$I$7:$I$100,1)+SUMIFS('22'!$N$7:$N$100,'22'!$H$7:$H$100,$A209,'22'!$I$7:$I$100,1)+SUMIFS('22a'!$N$7:$N$100,'22a'!$H$7:$H$100,$A209,'22a'!$I$7:$I$100,1)+SUMIFS('22b'!$N$7:$N$100,'22b'!$H$7:$H$100,$A209,'22b'!$I$7:$I$100,1)+SUMIFS('23'!$N$7:$N$100,'23'!$H$7:$H$100,$A209,'23'!$I$7:$I$100,1)+SUMIFS('24'!$N$7:$N$100,'24'!$H$7:$H$100,$A209,'24'!$I$7:$I$100,1)+SUMIFS('24a'!$N$7:$N$100,'24a'!$H$7:$H$100,$A209,'24a'!$I$7:$I$100,1)+SUMIFS('24b'!$N$7:$N$100,'24b'!$H$7:$H$100,$A209,'24b'!$I$7:$I$100,1)+SUMIFS('24c'!$N$7:$N$100,'24c'!$H$7:$H$100,$A209,'24c'!$I$7:$I$100,1)+SUMIFS('24d'!$N$7:$N$100,'24d'!$H$7:$H$100,$A209,'24d'!$I$7:$I$100,1)+SUMIFS('24e'!$N$7:$N$100,'24e'!$H$7:$H$100,$A209,'24e'!$I$7:$I$100,1)+SUMIFS('24f'!$N$7:$N$100,'24f'!$H$7:$H$100,$A209,'24f'!$I$7:$I$100,1)+SUMIFS('24g'!$N$7:$N$100,'24g'!$H$7:$H$100,$A209,'24g'!$I$7:$I$100,1)+SUMIFS('24h'!$N$7:$N$100,'24h'!$H$7:$H$100,$A209,'24h'!$I$7:$I$100,1)+SUMIFS('24i'!$N$7:$N$100,'24i'!$H$7:$H$100,$A209,'24i'!$I$7:$I$100,1)+SUMIFS('25'!$N$7:$N$100,'25'!$H$7:$H$100,$A209,'25'!$I$7:$I$100,1)+SUMIFS('26'!$N$7:$N$100,'26'!$H$7:$H$100,$A209,'26'!$I$7:$I$100,1)+SUMIFS('26a'!$N$7:$N$100,'26a'!$H$7:$H$100,$A209,'26a'!$I$7:$I$100,1)+SUMIFS('27'!$N$7:$N$100,'27'!$H$7:$H$100,$A209,'27'!$I$7:$I$100,1)+SUMIFS('27a'!$N$7:$N$100,'27a'!$H$7:$H$100,$A209,'27a'!$I$7:$I$100,1)+SUMIFS('28'!$N$7:$N$100,'28'!$H$7:$H$100,$A209,'28'!$I$7:$I$100,1)+SUMIFS('29'!$N$7:$N$100,'29'!$H$7:$H$100,$A209,'29'!$I$7:$I$100,1)</f>
        <v>0</v>
      </c>
      <c r="D209" s="1315">
        <f>SUMIFS('12'!$N$7:$N$100,'12'!$H$7:$H$100,$A209,'12'!$I$7:$I$100,2)+SUMIFS('13'!$N$7:$N$100,'13'!$H$7:$H$100,$A209,'13'!$I$7:$I$100,2)+SUMIFS('14'!$N$7:$N$100,'14'!$H$7:$H$100,$A209,'14'!$I$7:$I$100,2)+SUMIFS('15'!$N$7:$N$100,'15'!$H$7:$H$100,$A209,'15'!$I$7:$I$100,2)+SUMIFS('15a'!$N$7:$N$100,'15a'!$H$7:$H$100,$A209,'15a'!$I$7:$I$100,2)+SUMIFS('15b'!$N$7:$N$100,'15b'!$H$7:$H$100,$A209,'15b'!$I$7:$I$100,2)+SUMIFS('15c'!$N$7:$N$100,'15c'!$H$7:$H$100,$A209,'15c'!$I$7:$I$100,2)+SUMIFS('15d'!$N$7:$N$100,'15d'!$H$7:$H$100,$A209,'15d'!$I$7:$I$100,2)+SUMIFS('15e'!$N$7:$N$100,'15e'!$H$7:$H$100,$A209,'15e'!$I$7:$I$100,2)+SUMIFS('15f'!$N$7:$N$100,'15f'!$H$7:$H$100,$A209,'15f'!$I$7:$I$100,2)+SUMIFS('15g'!$N$7:$N$100,'15g'!$H$7:$H$100,$A209,'15g'!$I$7:$I$100,2)+SUMIFS('15h'!$N$7:$N$100,'15h'!$H$7:$H$100,$A209,'15h'!$I$7:$I$100,2)+SUMIFS('15i'!$N$7:$N$100,'15i'!$H$7:$H$100,$A209,'15i'!$I$7:$I$100,2)+SUMIFS('15j'!$N$7:$N$100,'15j'!$H$7:$H$100,$A209,'15j'!$I$7:$I$100,2)+SUMIFS('15k'!$N$7:$N$100,'15k'!$H$7:$H$100,$A209,'15k'!$I$7:$I$100,2)+SUMIFS('15l'!$N$7:$N$100,'15l'!$H$7:$H$100,$A209,'15l'!$I$7:$I$100,2)+SUMIFS('15m'!$N$7:$N$100,'15m'!$H$7:$H$100,$A209,'15m'!$I$7:$I$100,2)+SUMIFS('15n'!$N$7:$N$100,'15n'!$H$7:$H$100,$A209,'15n'!$I$7:$I$100,2)+SUMIFS('16'!$N$7:$N$100,'16'!$H$7:$H$100,$A209,'16'!$I$7:$I$100,2)+SUMIFS('16a'!$N$7:$N$100,'16a'!$H$7:$H$100,$A209,'16a'!$I$7:$I$100,2)+SUMIFS('17'!$N$7:$N$100,'17'!$H$7:$H$100,$A209,'17'!$I$7:$I$100,2)+SUMIFS('17a'!$N$7:$N$100,'17a'!$H$7:$H$100,$A209,'17a'!$I$7:$I$100,2)+SUMIFS('18'!$N$7:$N$100,'18'!$H$7:$H$100,$A209,'18'!$I$7:$I$100,2)+SUMIFS('18a'!$N$7:$N$100,'18a'!$H$7:$H$100,$A209,'18a'!$I$7:$I$100,2)
+SUMIFS('19'!$N$7:$N$100,'19'!$H$7:$H$100,$A209,'19'!$I$7:$I$100,2)+SUMIFS('20'!$N$7:$N$100,'20'!$H$7:$H$100,$A209,'20'!$I$7:$I$100,2)+SUMIFS('20a'!$N$7:$N$100,'20a'!$H$7:$H$100,$A209,'20a'!$I$7:$I$100,2)+SUMIFS('21'!$N$7:$N$100,'21'!$H$7:$H$100,$A209,'21'!$I$7:$I$100,2)+SUMIFS('22'!$N$7:$N$100,'22'!$H$7:$H$100,$A209,'22'!$I$7:$I$100,2)+SUMIFS('22a'!$N$7:$N$100,'22a'!$H$7:$H$100,$A209,'22a'!$I$7:$I$100,2)+SUMIFS('22b'!$N$7:$N$100,'22b'!$H$7:$H$100,$A209,'22b'!$I$7:$I$100,2)+SUMIFS('23'!$N$7:$N$100,'23'!$H$7:$H$100,$A209,'23'!$I$7:$I$100,2)+SUMIFS('24'!$N$7:$N$100,'24'!$H$7:$H$100,$A209,'24'!$I$7:$I$100,2)+SUMIFS('24a'!$N$7:$N$100,'24a'!$H$7:$H$100,$A209,'24a'!$I$7:$I$100,2)+SUMIFS('24b'!$N$7:$N$100,'24b'!$H$7:$H$100,$A209,'24b'!$I$7:$I$100,2)+SUMIFS('24c'!$N$7:$N$100,'24c'!$H$7:$H$100,$A209,'24c'!$I$7:$I$100,2)+SUMIFS('24d'!$N$7:$N$100,'24d'!$H$7:$H$100,$A209,'24d'!$I$7:$I$100,2)+SUMIFS('24e'!$N$7:$N$100,'24e'!$H$7:$H$100,$A209,'24e'!$I$7:$I$100,2)+SUMIFS('24f'!$N$7:$N$100,'24f'!$H$7:$H$100,$A209,'24f'!$I$7:$I$100,2)+SUMIFS('24g'!$N$7:$N$100,'24g'!$H$7:$H$100,$A209,'24g'!$I$7:$I$100,2)+SUMIFS('24h'!$N$7:$N$100,'24h'!$H$7:$H$100,$A209,'24h'!$I$7:$I$100,2)+SUMIFS('24i'!$N$7:$N$100,'24i'!$H$7:$H$100,$A209,'24i'!$I$7:$I$100,2)+SUMIFS('25'!$N$7:$N$100,'25'!$H$7:$H$100,$A209,'25'!$I$7:$I$100,2)+SUMIFS('26'!$N$7:$N$100,'26'!$H$7:$H$100,$A209,'26'!$I$7:$I$100,2)+SUMIFS('26a'!$N$7:$N$100,'26a'!$H$7:$H$100,$A209,'26a'!$I$7:$I$100,2)+SUMIFS('27'!$N$7:$N$100,'27'!$H$7:$H$100,$A209,'27'!$I$7:$I$100,2)+SUMIFS('27a'!$N$7:$N$100,'27a'!$H$7:$H$100,$A209,'27a'!$I$7:$I$100,2)+SUMIFS('28'!$N$7:$N$100,'28'!$H$7:$H$100,$A209,'28'!$I$7:$I$100,2)+SUMIFS('29'!$N$7:$N$100,'29'!$H$7:$H$100,$A209,'29'!$I$7:$I$100,2)</f>
        <v>0</v>
      </c>
      <c r="E209" s="1315">
        <f>SUMIFS('12'!$N$7:$N$100,'12'!$H$7:$H$100,$A209,'12'!$I$7:$I$100,"")+SUMIFS('13'!$N$7:$N$100,'13'!$H$7:$H$100,$A209,'13'!$I$7:$I$100,"")+SUMIFS('14'!$N$7:$N$100,'14'!$H$7:$H$100,$A209,'14'!$I$7:$I$100,"")+SUMIFS('15'!$N$7:$N$100,'15'!$H$7:$H$100,$A209,'15'!$I$7:$I$100,"")+SUMIFS('15a'!$N$7:$N$100,'15a'!$H$7:$H$100,$A209,'15a'!$I$7:$I$100,"")+SUMIFS('15b'!$N$7:$N$100,'15b'!$H$7:$H$100,$A209,'15b'!$I$7:$I$100,"")+SUMIFS('15c'!$N$7:$N$100,'15c'!$H$7:$H$100,$A209,'15c'!$I$7:$I$100,"")+SUMIFS('15d'!$N$7:$N$100,'15d'!$H$7:$H$100,$A209,'15d'!$I$7:$I$100,"")+SUMIFS('15e'!$N$7:$N$100,'15e'!$H$7:$H$100,$A209,'15e'!$I$7:$I$100,"")+SUMIFS('15f'!$N$7:$N$100,'15f'!$H$7:$H$100,$A209,'15f'!$I$7:$I$100,"")+SUMIFS('15g'!$N$7:$N$100,'15g'!$H$7:$H$100,$A209,'15g'!$I$7:$I$100,"")+SUMIFS('15h'!$N$7:$N$100,'15h'!$H$7:$H$100,$A209,'15h'!$I$7:$I$100,"")+SUMIFS('15i'!$N$7:$N$100,'15i'!$H$7:$H$100,$A209,'15i'!$I$7:$I$100,"")+SUMIFS('15j'!$N$7:$N$100,'15j'!$H$7:$H$100,$A209,'15j'!$I$7:$I$100,"")+SUMIFS('15k'!$N$7:$N$100,'15k'!$H$7:$H$100,$A209,'15k'!$I$7:$I$100,"")+SUMIFS('15l'!$N$7:$N$100,'15l'!$H$7:$H$100,$A209,'15l'!$I$7:$I$100,"")+SUMIFS('15m'!$N$7:$N$100,'15m'!$H$7:$H$100,$A209,'15m'!$I$7:$I$100,"")+SUMIFS('15n'!$N$7:$N$100,'15n'!$H$7:$H$100,$A209,'15n'!$I$7:$I$100,"")+SUMIFS('16'!$N$7:$N$100,'16'!$H$7:$H$100,$A209,'16'!$I$7:$I$100,"")+SUMIFS('16a'!$N$7:$N$100,'16a'!$H$7:$H$100,$A209,'16a'!$I$7:$I$100,"")+SUMIFS('17'!$N$7:$N$100,'17'!$H$7:$H$100,$A209,'17'!$I$7:$I$100,"")+SUMIFS('17a'!$N$7:$N$100,'17a'!$H$7:$H$100,$A209,'17a'!$I$7:$I$100,"")+SUMIFS('18'!$N$7:$N$100,'18'!$H$7:$H$100,$A209,'18'!$I$7:$I$100,"")+SUMIFS('18a'!$N$7:$N$100,'18a'!$H$7:$H$100,$A209,'18a'!$I$7:$I$100,"")
+SUMIFS('19'!$N$7:$N$100,'19'!$H$7:$H$100,$A209,'19'!$I$7:$I$100,"")+SUMIFS('20'!$N$7:$N$100,'20'!$H$7:$H$100,$A209,'20'!$I$7:$I$100,"")+SUMIFS('20a'!$N$7:$N$100,'20a'!$H$7:$H$100,$A209,'20a'!$I$7:$I$100,"")+SUMIFS('21'!$N$7:$N$100,'21'!$H$7:$H$100,$A209,'21'!$I$7:$I$100,"")+SUMIFS('22'!$N$7:$N$100,'22'!$H$7:$H$100,$A209,'22'!$I$7:$I$100,"")+SUMIFS('22a'!$N$7:$N$100,'22a'!$H$7:$H$100,$A209,'22a'!$I$7:$I$100,"")+SUMIFS('22b'!$N$7:$N$100,'22b'!$H$7:$H$100,$A209,'22b'!$I$7:$I$100,"")+SUMIFS('23'!$N$7:$N$100,'23'!$H$7:$H$100,$A209,'23'!$I$7:$I$100,"")+SUMIFS('24'!$N$7:$N$100,'24'!$H$7:$H$100,$A209,'24'!$I$7:$I$100,"")+SUMIFS('24a'!$N$7:$N$100,'24a'!$H$7:$H$100,$A209,'24a'!$I$7:$I$100,"")+SUMIFS('24b'!$N$7:$N$100,'24b'!$H$7:$H$100,$A209,'24b'!$I$7:$I$100,"")+SUMIFS('24c'!$N$7:$N$100,'24c'!$H$7:$H$100,$A209,'24c'!$I$7:$I$100,"")+SUMIFS('24d'!$N$7:$N$100,'24d'!$H$7:$H$100,$A209,'24d'!$I$7:$I$100,"")+SUMIFS('24e'!$N$7:$N$100,'24e'!$H$7:$H$100,$A209,'24e'!$I$7:$I$100,"")+SUMIFS('24f'!$N$7:$N$100,'24f'!$H$7:$H$100,$A209,'24f'!$I$7:$I$100,"")+SUMIFS('24g'!$N$7:$N$100,'24g'!$H$7:$H$100,$A209,'24g'!$I$7:$I$100,"")+SUMIFS('24h'!$N$7:$N$100,'24h'!$H$7:$H$100,$A209,'24h'!$I$7:$I$100,"")+SUMIFS('24i'!$N$7:$N$100,'24i'!$H$7:$H$100,$A209,'24i'!$I$7:$I$100,"")+SUMIFS('25'!$N$7:$N$100,'25'!$H$7:$H$100,$A209,'25'!$I$7:$I$100,"")+SUMIFS('26'!$N$7:$N$100,'26'!$H$7:$H$100,$A209,'26'!$I$7:$I$100,"")+SUMIFS('26a'!$N$7:$N$100,'26a'!$H$7:$H$100,$A209,'26a'!$I$7:$I$100,"")+SUMIFS('27'!$N$7:$N$100,'27'!$H$7:$H$100,$A209,'27'!$I$7:$I$100,"")+SUMIFS('27a'!$N$7:$N$100,'27a'!$H$7:$H$100,$A209,'27a'!$I$7:$I$100,"")+SUMIFS('28'!$N$7:$N$100,'28'!$H$7:$H$100,$A209,'28'!$I$7:$I$100,"")+SUMIFS('29'!$N$7:$N$100,'29'!$H$7:$H$100,$A209,'29'!$I$7:$I$100,"")</f>
        <v>0</v>
      </c>
      <c r="F209" s="1296">
        <f t="shared" si="12"/>
        <v>0</v>
      </c>
      <c r="G209" s="1295">
        <f>SUMIFS('12'!$J$7:$J$100,'12'!$H$7:$H$100,$A209,'12'!$I$7:$I$100,1)+SUMIFS('13'!$J$7:$J$100,'13'!$H$7:$H$100,$A209,'13'!$I$7:$I$100,1)+SUMIFS('14'!$J$7:$J$100,'14'!$H$7:$H$100,$A209,'14'!$I$7:$I$100,1)+SUMIFS('15'!$J$7:$J$100,'15'!$H$7:$H$100,$A209,'15'!$I$7:$I$100,1)+SUMIFS('15a'!$J$7:$J$100,'15a'!$H$7:$H$100,$A209,'15a'!$I$7:$I$100,1)+SUMIFS('15b'!$J$7:$J$100,'15b'!$H$7:$H$100,$A209,'15b'!$I$7:$I$100,1)+SUMIFS('15c'!$J$7:$J$100,'15c'!$H$7:$H$100,$A209,'15c'!$I$7:$I$100,1)+SUMIFS('15d'!$J$7:$J$100,'15d'!$H$7:$H$100,$A209,'15d'!$I$7:$I$100,1)+SUMIFS('15e'!$J$7:$J$100,'15e'!$H$7:$H$100,$A209,'15e'!$I$7:$I$100,1)+SUMIFS('15f'!$J$7:$J$100,'15f'!$H$7:$H$100,$A209,'15f'!$I$7:$I$100,1)+SUMIFS('15g'!$J$7:$J$100,'15g'!$H$7:$H$100,$A209,'15g'!$I$7:$I$100,1)+SUMIFS('15h'!$J$7:$J$100,'15h'!$H$7:$H$100,$A209,'15h'!$I$7:$I$100,1)+SUMIFS('15i'!$J$7:$J$100,'15i'!$H$7:$H$100,$A209,'15i'!$I$7:$I$100,1)+SUMIFS('15j'!$J$7:$J$100,'15j'!$H$7:$H$100,$A209,'15j'!$I$7:$I$100,1)+SUMIFS('15k'!$J$7:$J$100,'15k'!$H$7:$H$100,$A209,'15k'!$I$7:$I$100,1)+SUMIFS('15l'!$J$7:$J$100,'15l'!$H$7:$H$100,$A209,'15l'!$I$7:$I$100,1)+SUMIFS('15m'!$J$7:$J$100,'15m'!$H$7:$H$100,$A209,'15m'!$I$7:$I$100,1)+SUMIFS('15n'!$J$7:$J$100,'15n'!$H$7:$H$100,$A209,'15n'!$I$7:$I$100,1)+SUMIFS('16'!$J$7:$J$100,'16'!$H$7:$H$100,$A209,'16'!$I$7:$I$100,1)+SUMIFS('16a'!$J$7:$J$100,'16a'!$H$7:$H$100,$A209,'16a'!$I$7:$I$100,1)+SUMIFS('17'!$J$7:$J$100,'17'!$H$7:$H$100,$A209,'17'!$I$7:$I$100,1)+SUMIFS('17a'!$J$7:$J$100,'17a'!$H$7:$H$100,$A209,'17a'!$I$7:$I$100,1)+SUMIFS('18'!$J$7:$J$100,'18'!$H$7:$H$100,$A209,'18'!$I$7:$I$100,1)+SUMIFS('18a'!$J$7:$J$100,'18a'!$H$7:$H$100,$A209,'18a'!$I$7:$I$100,1)
+SUMIFS('19'!$J$7:$J$100,'19'!$H$7:$H$100,$A209,'19'!$I$7:$I$100,1)+SUMIFS('20'!$J$7:$J$100,'20'!$H$7:$H$100,$A209,'20'!$I$7:$I$100,1)+SUMIFS('20a'!$J$7:$J$100,'20a'!$H$7:$H$100,$A209,'20a'!$I$7:$I$100,1)+SUMIFS('21'!$J$7:$J$100,'21'!$H$7:$H$100,$A209,'21'!$I$7:$I$100,1)+SUMIFS('22'!$J$7:$J$100,'22'!$H$7:$H$100,$A209,'22'!$I$7:$I$100,1)+SUMIFS('22a'!$J$7:$J$100,'22a'!$H$7:$H$100,$A209,'22a'!$I$7:$I$100,1)+SUMIFS('22b'!$J$7:$J$100,'22b'!$H$7:$H$100,$A209,'22b'!$I$7:$I$100,1)+SUMIFS('23'!$J$7:$J$100,'23'!$H$7:$H$100,$A209,'23'!$I$7:$I$100,1)+SUMIFS('24'!$J$7:$J$100,'24'!$H$7:$H$100,$A209,'24'!$I$7:$I$100,1)+SUMIFS('24a'!$J$7:$J$100,'24a'!$H$7:$H$100,$A209,'24a'!$I$7:$I$100,1)+SUMIFS('24b'!$J$7:$J$100,'24b'!$H$7:$H$100,$A209,'24b'!$I$7:$I$100,1)+SUMIFS('24c'!$J$7:$J$100,'24c'!$H$7:$H$100,$A209,'24c'!$I$7:$I$100,1)+SUMIFS('24d'!$J$7:$J$100,'24d'!$H$7:$H$100,$A209,'24d'!$I$7:$I$100,1)+SUMIFS('24e'!$J$7:$J$100,'24e'!$H$7:$H$100,$A209,'24e'!$I$7:$I$100,1)+SUMIFS('24f'!$J$7:$J$100,'24f'!$H$7:$H$100,$A209,'24f'!$I$7:$I$100,1)+SUMIFS('24g'!$J$7:$J$100,'24g'!$H$7:$H$100,$A209,'24g'!$I$7:$I$100,1)+SUMIFS('24h'!$J$7:$J$100,'24h'!$H$7:$H$100,$A209,'24h'!$I$7:$I$100,1)+SUMIFS('24i'!$J$7:$J$100,'24i'!$H$7:$H$100,$A209,'24i'!$I$7:$I$100,1)+SUMIFS('25'!$J$7:$J$100,'25'!$H$7:$H$100,$A209,'25'!$I$7:$I$100,1)+SUMIFS('26'!$J$7:$J$100,'26'!$H$7:$H$100,$A209,'26'!$I$7:$I$100,1)+SUMIFS('26a'!$J$7:$J$100,'26a'!$H$7:$H$100,$A209,'26a'!$I$7:$I$100,1)+SUMIFS('27'!$J$7:$J$100,'27'!$H$7:$H$100,$A209,'27'!$I$7:$I$100,1)+SUMIFS('27a'!$J$7:$J$100,'27a'!$H$7:$H$100,$A209,'27a'!$I$7:$I$100,1)+SUMIFS('28'!$J$7:$J$100,'28'!$H$7:$H$100,$A209,'28'!$I$7:$I$100,1)+SUMIFS('29'!$J$7:$J$100,'29'!$H$7:$H$100,$A209,'29'!$I$7:$I$100,1)</f>
        <v>0</v>
      </c>
      <c r="H209" s="1315">
        <f>SUMIFS('12'!$J$7:$J$100,'12'!$H$7:$H$100,$A209,'12'!$I$7:$I$100,2)+SUMIFS('13'!$J$7:$J$100,'13'!$H$7:$H$100,$A209,'13'!$I$7:$I$100,2)+SUMIFS('14'!$J$7:$J$100,'14'!$H$7:$H$100,$A209,'14'!$I$7:$I$100,2)+SUMIFS('15'!$J$7:$J$100,'15'!$H$7:$H$100,$A209,'15'!$I$7:$I$100,2)+SUMIFS('15a'!$J$7:$J$100,'15a'!$H$7:$H$100,$A209,'15a'!$I$7:$I$100,2)+SUMIFS('15b'!$J$7:$J$100,'15b'!$H$7:$H$100,$A209,'15b'!$I$7:$I$100,2)+SUMIFS('15c'!$J$7:$J$100,'15c'!$H$7:$H$100,$A209,'15c'!$I$7:$I$100,2)+SUMIFS('15d'!$J$7:$J$100,'15d'!$H$7:$H$100,$A209,'15d'!$I$7:$I$100,2)+SUMIFS('15e'!$J$7:$J$100,'15e'!$H$7:$H$100,$A209,'15e'!$I$7:$I$100,2)+SUMIFS('15f'!$J$7:$J$100,'15f'!$H$7:$H$100,$A209,'15f'!$I$7:$I$100,2)+SUMIFS('15g'!$J$7:$J$100,'15g'!$H$7:$H$100,$A209,'15g'!$I$7:$I$100,2)+SUMIFS('15h'!$J$7:$J$100,'15h'!$H$7:$H$100,$A209,'15h'!$I$7:$I$100,2)+SUMIFS('15i'!$J$7:$J$100,'15i'!$H$7:$H$100,$A209,'15i'!$I$7:$I$100,2)+SUMIFS('15j'!$J$7:$J$100,'15j'!$H$7:$H$100,$A209,'15j'!$I$7:$I$100,2)+SUMIFS('15k'!$J$7:$J$100,'15k'!$H$7:$H$100,$A209,'15k'!$I$7:$I$100,2)+SUMIFS('15l'!$J$7:$J$100,'15l'!$H$7:$H$100,$A209,'15l'!$I$7:$I$100,2)+SUMIFS('15m'!$J$7:$J$100,'15m'!$H$7:$H$100,$A209,'15m'!$I$7:$I$100,2)+SUMIFS('15n'!$J$7:$J$100,'15n'!$H$7:$H$100,$A209,'15n'!$I$7:$I$100,2)+SUMIFS('16'!$J$7:$J$100,'16'!$H$7:$H$100,$A209,'16'!$I$7:$I$100,2)+SUMIFS('16a'!$J$7:$J$100,'16a'!$H$7:$H$100,$A209,'16a'!$I$7:$I$100,2)+SUMIFS('17'!$J$7:$J$100,'17'!$H$7:$H$100,$A209,'17'!$I$7:$I$100,2)+SUMIFS('17a'!$J$7:$J$100,'17a'!$H$7:$H$100,$A209,'17a'!$I$7:$I$100,2)+SUMIFS('18'!$J$7:$J$100,'18'!$H$7:$H$100,$A209,'18'!$I$7:$I$100,2)+SUMIFS('18a'!$J$7:$J$100,'18a'!$H$7:$H$100,$A209,'18a'!$I$7:$I$100,2)
+SUMIFS('19'!$J$7:$J$100,'19'!$H$7:$H$100,$A209,'19'!$I$7:$I$100,2)+SUMIFS('20'!$J$7:$J$100,'20'!$H$7:$H$100,$A209,'20'!$I$7:$I$100,2)+SUMIFS('20a'!$J$7:$J$100,'20a'!$H$7:$H$100,$A209,'20a'!$I$7:$I$100,2)+SUMIFS('21'!$J$7:$J$100,'21'!$H$7:$H$100,$A209,'21'!$I$7:$I$100,2)+SUMIFS('22'!$J$7:$J$100,'22'!$H$7:$H$100,$A209,'22'!$I$7:$I$100,2)+SUMIFS('22a'!$J$7:$J$100,'22a'!$H$7:$H$100,$A209,'22a'!$I$7:$I$100,2)+SUMIFS('22b'!$J$7:$J$100,'22b'!$H$7:$H$100,$A209,'22b'!$I$7:$I$100,2)+SUMIFS('23'!$J$7:$J$100,'23'!$H$7:$H$100,$A209,'23'!$I$7:$I$100,2)+SUMIFS('24'!$J$7:$J$100,'24'!$H$7:$H$100,$A209,'24'!$I$7:$I$100,2)+SUMIFS('24a'!$J$7:$J$100,'24a'!$H$7:$H$100,$A209,'24a'!$I$7:$I$100,2)+SUMIFS('24b'!$J$7:$J$100,'24b'!$H$7:$H$100,$A209,'24b'!$I$7:$I$100,2)+SUMIFS('24c'!$J$7:$J$100,'24c'!$H$7:$H$100,$A209,'24c'!$I$7:$I$100,2)+SUMIFS('24d'!$J$7:$J$100,'24d'!$H$7:$H$100,$A209,'24d'!$I$7:$I$100,2)+SUMIFS('24e'!$J$7:$J$100,'24e'!$H$7:$H$100,$A209,'24e'!$I$7:$I$100,2)+SUMIFS('24f'!$J$7:$J$100,'24f'!$H$7:$H$100,$A209,'24f'!$I$7:$I$100,2)+SUMIFS('24g'!$J$7:$J$100,'24g'!$H$7:$H$100,$A209,'24g'!$I$7:$I$100,2)+SUMIFS('24h'!$J$7:$J$100,'24h'!$H$7:$H$100,$A209,'24h'!$I$7:$I$100,2)+SUMIFS('24i'!$J$7:$J$100,'24i'!$H$7:$H$100,$A209,'24i'!$I$7:$I$100,2)+SUMIFS('25'!$J$7:$J$100,'25'!$H$7:$H$100,$A209,'25'!$I$7:$I$100,2)+SUMIFS('26'!$J$7:$J$100,'26'!$H$7:$H$100,$A209,'26'!$I$7:$I$100,2)+SUMIFS('26a'!$J$7:$J$100,'26a'!$H$7:$H$100,$A209,'26a'!$I$7:$I$100,2)+SUMIFS('27'!$J$7:$J$100,'27'!$H$7:$H$100,$A209,'27'!$I$7:$I$100,2)+SUMIFS('27a'!$J$7:$J$100,'27a'!$H$7:$H$100,$A209,'27a'!$I$7:$I$100,2)+SUMIFS('28'!$J$7:$J$100,'28'!$H$7:$H$100,$A209,'28'!$I$7:$I$100,2)+SUMIFS('29'!$J$7:$J$100,'29'!$H$7:$H$100,$A209,'29'!$I$7:$I$100,2)</f>
        <v>0</v>
      </c>
      <c r="I209" s="1315">
        <f>SUMIFS('12'!$J$7:$J$100,'12'!$H$7:$H$100,$A209,'12'!$I$7:$I$100,"")+SUMIFS('13'!$J$7:$J$100,'13'!$H$7:$H$100,$A209,'13'!$I$7:$I$100,"")+SUMIFS('14'!$J$7:$J$100,'14'!$H$7:$H$100,$A209,'14'!$I$7:$I$100,"")+SUMIFS('15'!$J$7:$J$100,'15'!$H$7:$H$100,$A209,'15'!$I$7:$I$100,"")+SUMIFS('15a'!$J$7:$J$100,'15a'!$H$7:$H$100,$A209,'15a'!$I$7:$I$100,"")+SUMIFS('15b'!$J$7:$J$100,'15b'!$H$7:$H$100,$A209,'15b'!$I$7:$I$100,"")+SUMIFS('15c'!$J$7:$J$100,'15c'!$H$7:$H$100,$A209,'15c'!$I$7:$I$100,"")+SUMIFS('15d'!$J$7:$J$100,'15d'!$H$7:$H$100,$A209,'15d'!$I$7:$I$100,"")+SUMIFS('15e'!$J$7:$J$100,'15e'!$H$7:$H$100,$A209,'15e'!$I$7:$I$100,"")+SUMIFS('15f'!$J$7:$J$100,'15f'!$H$7:$H$100,$A209,'15f'!$I$7:$I$100,"")+SUMIFS('15g'!$J$7:$J$100,'15g'!$H$7:$H$100,$A209,'15g'!$I$7:$I$100,"")+SUMIFS('15h'!$J$7:$J$100,'15h'!$H$7:$H$100,$A209,'15h'!$I$7:$I$100,"")+SUMIFS('15i'!$J$7:$J$100,'15i'!$H$7:$H$100,$A209,'15i'!$I$7:$I$100,"")+SUMIFS('15j'!$J$7:$J$100,'15j'!$H$7:$H$100,$A209,'15j'!$I$7:$I$100,"")+SUMIFS('15k'!$J$7:$J$100,'15k'!$H$7:$H$100,$A209,'15k'!$I$7:$I$100,"")+SUMIFS('15l'!$J$7:$J$100,'15l'!$H$7:$H$100,$A209,'15l'!$I$7:$I$100,"")+SUMIFS('15m'!$J$7:$J$100,'15m'!$H$7:$H$100,$A209,'15m'!$I$7:$I$100,"")+SUMIFS('15n'!$J$7:$J$100,'15n'!$H$7:$H$100,$A209,'15n'!$I$7:$I$100,"")+SUMIFS('16'!$J$7:$J$100,'16'!$H$7:$H$100,$A209,'16'!$I$7:$I$100,"")+SUMIFS('16a'!$J$7:$J$100,'16a'!$H$7:$H$100,$A209,'16a'!$I$7:$I$100,"")+SUMIFS('17'!$J$7:$J$100,'17'!$H$7:$H$100,$A209,'17'!$I$7:$I$100,"")+SUMIFS('17a'!$J$7:$J$100,'17a'!$H$7:$H$100,$A209,'17a'!$I$7:$I$100,"")+SUMIFS('18'!$J$7:$J$100,'18'!$H$7:$H$100,$A209,'18'!$I$7:$I$100,"")+SUMIFS('18a'!$J$7:$J$100,'18a'!$H$7:$H$100,$A209,'18a'!$I$7:$I$100,"")
+SUMIFS('19'!$J$7:$J$100,'19'!$H$7:$H$100,$A209,'19'!$I$7:$I$100,"")+SUMIFS('20'!$J$7:$J$100,'20'!$H$7:$H$100,$A209,'20'!$I$7:$I$100,"")+SUMIFS('20a'!$J$7:$J$100,'20a'!$H$7:$H$100,$A209,'20a'!$I$7:$I$100,"")+SUMIFS('21'!$J$7:$J$100,'21'!$H$7:$H$100,$A209,'21'!$I$7:$I$100,"")+SUMIFS('22'!$J$7:$J$100,'22'!$H$7:$H$100,$A209,'22'!$I$7:$I$100,"")+SUMIFS('22a'!$J$7:$J$100,'22a'!$H$7:$H$100,$A209,'22a'!$I$7:$I$100,"")+SUMIFS('22b'!$J$7:$J$100,'22b'!$H$7:$H$100,$A209,'22b'!$I$7:$I$100,"")+SUMIFS('23'!$J$7:$J$100,'23'!$H$7:$H$100,$A209,'23'!$I$7:$I$100,"")+SUMIFS('24'!$J$7:$J$100,'24'!$H$7:$H$100,$A209,'24'!$I$7:$I$100,"")+SUMIFS('24a'!$J$7:$J$100,'24a'!$H$7:$H$100,$A209,'24a'!$I$7:$I$100,"")+SUMIFS('24b'!$J$7:$J$100,'24b'!$H$7:$H$100,$A209,'24b'!$I$7:$I$100,"")+SUMIFS('24c'!$J$7:$J$100,'24c'!$H$7:$H$100,$A209,'24c'!$I$7:$I$100,"")+SUMIFS('24d'!$J$7:$J$100,'24d'!$H$7:$H$100,$A209,'24d'!$I$7:$I$100,"")+SUMIFS('24e'!$J$7:$J$100,'24e'!$H$7:$H$100,$A209,'24e'!$I$7:$I$100,"")+SUMIFS('24f'!$J$7:$J$100,'24f'!$H$7:$H$100,$A209,'24f'!$I$7:$I$100,"")+SUMIFS('24g'!$J$7:$J$100,'24g'!$H$7:$H$100,$A209,'24g'!$I$7:$I$100,"")+SUMIFS('24h'!$J$7:$J$100,'24h'!$H$7:$H$100,$A209,'24h'!$I$7:$I$100,"")+SUMIFS('24i'!$J$7:$J$100,'24i'!$H$7:$H$100,$A209,'24i'!$I$7:$I$100,"")+SUMIFS('25'!$J$7:$J$100,'25'!$H$7:$H$100,$A209,'25'!$I$7:$I$100,"")+SUMIFS('26'!$J$7:$J$100,'26'!$H$7:$H$100,$A209,'26'!$I$7:$I$100,"")+SUMIFS('26a'!$J$7:$J$100,'26a'!$H$7:$H$100,$A209,'26a'!$I$7:$I$100,"")+SUMIFS('27'!$J$7:$J$100,'27'!$H$7:$H$100,$A209,'27'!$I$7:$I$100,"")+SUMIFS('27a'!$J$7:$J$100,'27a'!$H$7:$H$100,$A209,'27a'!$I$7:$I$100,"")+SUMIFS('28'!$J$7:$J$100,'28'!$H$7:$H$100,$A209,'28'!$I$7:$I$100,"")+SUMIFS('29'!$J$7:$J$100,'29'!$H$7:$H$100,$A209,'29'!$I$7:$I$100,"")</f>
        <v>0</v>
      </c>
      <c r="J209" s="1296">
        <f t="shared" si="13"/>
        <v>0</v>
      </c>
      <c r="K209"/>
      <c r="L209"/>
      <c r="M209"/>
      <c r="N209"/>
      <c r="O209"/>
      <c r="P209"/>
      <c r="Q209"/>
      <c r="R209"/>
      <c r="S209" s="1307">
        <f t="shared" si="2"/>
        <v>0</v>
      </c>
      <c r="T209"/>
    </row>
    <row r="210" spans="1:20" ht="12.75" customHeight="1" outlineLevel="1" x14ac:dyDescent="0.2">
      <c r="A210" t="s">
        <v>5274</v>
      </c>
      <c r="B210" t="s">
        <v>5482</v>
      </c>
      <c r="C210" s="1295">
        <f>SUMIFS('12'!$N$7:$N$100,'12'!$H$7:$H$100,$A210,'12'!$I$7:$I$100,1)+SUMIFS('13'!$N$7:$N$100,'13'!$H$7:$H$100,$A210,'13'!$I$7:$I$100,1)+SUMIFS('14'!$N$7:$N$100,'14'!$H$7:$H$100,$A210,'14'!$I$7:$I$100,1)+SUMIFS('15'!$N$7:$N$100,'15'!$H$7:$H$100,$A210,'15'!$I$7:$I$100,1)+SUMIFS('15a'!$N$7:$N$100,'15a'!$H$7:$H$100,$A210,'15a'!$I$7:$I$100,1)+SUMIFS('15b'!$N$7:$N$100,'15b'!$H$7:$H$100,$A210,'15b'!$I$7:$I$100,1)+SUMIFS('15c'!$N$7:$N$100,'15c'!$H$7:$H$100,$A210,'15c'!$I$7:$I$100,1)+SUMIFS('15d'!$N$7:$N$100,'15d'!$H$7:$H$100,$A210,'15d'!$I$7:$I$100,1)+SUMIFS('15e'!$N$7:$N$100,'15e'!$H$7:$H$100,$A210,'15e'!$I$7:$I$100,1)+SUMIFS('15f'!$N$7:$N$100,'15f'!$H$7:$H$100,$A210,'15f'!$I$7:$I$100,1)+SUMIFS('15g'!$N$7:$N$100,'15g'!$H$7:$H$100,$A210,'15g'!$I$7:$I$100,1)+SUMIFS('15h'!$N$7:$N$100,'15h'!$H$7:$H$100,$A210,'15h'!$I$7:$I$100,1)+SUMIFS('15i'!$N$7:$N$100,'15i'!$H$7:$H$100,$A210,'15i'!$I$7:$I$100,1)+SUMIFS('15j'!$N$7:$N$100,'15j'!$H$7:$H$100,$A210,'15j'!$I$7:$I$100,1)+SUMIFS('15k'!$N$7:$N$100,'15k'!$H$7:$H$100,$A210,'15k'!$I$7:$I$100,1)+SUMIFS('15l'!$N$7:$N$100,'15l'!$H$7:$H$100,$A210,'15l'!$I$7:$I$100,1)+SUMIFS('15m'!$N$7:$N$100,'15m'!$H$7:$H$100,$A210,'15m'!$I$7:$I$100,1)+SUMIFS('15n'!$N$7:$N$100,'15n'!$H$7:$H$100,$A210,'15n'!$I$7:$I$100,1)+SUMIFS('16'!$N$7:$N$100,'16'!$H$7:$H$100,$A210,'16'!$I$7:$I$100,1)+SUMIFS('16a'!$N$7:$N$100,'16a'!$H$7:$H$100,$A210,'16a'!$I$7:$I$100,1)+SUMIFS('17'!$N$7:$N$100,'17'!$H$7:$H$100,$A210,'17'!$I$7:$I$100,1)+SUMIFS('17a'!$N$7:$N$100,'17a'!$H$7:$H$100,$A210,'17a'!$I$7:$I$100,1)+SUMIFS('18'!$N$7:$N$100,'18'!$H$7:$H$100,$A210,'18'!$I$7:$I$100,1)+SUMIFS('18a'!$N$7:$N$100,'18a'!$H$7:$H$100,$A210,'18a'!$I$7:$I$100,1)
+SUMIFS('19'!$N$7:$N$100,'19'!$H$7:$H$100,$A210,'19'!$I$7:$I$100,1)+SUMIFS('20'!$N$7:$N$100,'20'!$H$7:$H$100,$A210,'20'!$I$7:$I$100,1)+SUMIFS('20a'!$N$7:$N$100,'20a'!$H$7:$H$100,$A210,'20a'!$I$7:$I$100,1)+SUMIFS('21'!$N$7:$N$100,'21'!$H$7:$H$100,$A210,'21'!$I$7:$I$100,1)+SUMIFS('22'!$N$7:$N$100,'22'!$H$7:$H$100,$A210,'22'!$I$7:$I$100,1)+SUMIFS('22a'!$N$7:$N$100,'22a'!$H$7:$H$100,$A210,'22a'!$I$7:$I$100,1)+SUMIFS('22b'!$N$7:$N$100,'22b'!$H$7:$H$100,$A210,'22b'!$I$7:$I$100,1)+SUMIFS('23'!$N$7:$N$100,'23'!$H$7:$H$100,$A210,'23'!$I$7:$I$100,1)+SUMIFS('24'!$N$7:$N$100,'24'!$H$7:$H$100,$A210,'24'!$I$7:$I$100,1)+SUMIFS('24a'!$N$7:$N$100,'24a'!$H$7:$H$100,$A210,'24a'!$I$7:$I$100,1)+SUMIFS('24b'!$N$7:$N$100,'24b'!$H$7:$H$100,$A210,'24b'!$I$7:$I$100,1)+SUMIFS('24c'!$N$7:$N$100,'24c'!$H$7:$H$100,$A210,'24c'!$I$7:$I$100,1)+SUMIFS('24d'!$N$7:$N$100,'24d'!$H$7:$H$100,$A210,'24d'!$I$7:$I$100,1)+SUMIFS('24e'!$N$7:$N$100,'24e'!$H$7:$H$100,$A210,'24e'!$I$7:$I$100,1)+SUMIFS('24f'!$N$7:$N$100,'24f'!$H$7:$H$100,$A210,'24f'!$I$7:$I$100,1)+SUMIFS('24g'!$N$7:$N$100,'24g'!$H$7:$H$100,$A210,'24g'!$I$7:$I$100,1)+SUMIFS('24h'!$N$7:$N$100,'24h'!$H$7:$H$100,$A210,'24h'!$I$7:$I$100,1)+SUMIFS('24i'!$N$7:$N$100,'24i'!$H$7:$H$100,$A210,'24i'!$I$7:$I$100,1)+SUMIFS('25'!$N$7:$N$100,'25'!$H$7:$H$100,$A210,'25'!$I$7:$I$100,1)+SUMIFS('26'!$N$7:$N$100,'26'!$H$7:$H$100,$A210,'26'!$I$7:$I$100,1)+SUMIFS('26a'!$N$7:$N$100,'26a'!$H$7:$H$100,$A210,'26a'!$I$7:$I$100,1)+SUMIFS('27'!$N$7:$N$100,'27'!$H$7:$H$100,$A210,'27'!$I$7:$I$100,1)+SUMIFS('27a'!$N$7:$N$100,'27a'!$H$7:$H$100,$A210,'27a'!$I$7:$I$100,1)+SUMIFS('28'!$N$7:$N$100,'28'!$H$7:$H$100,$A210,'28'!$I$7:$I$100,1)+SUMIFS('29'!$N$7:$N$100,'29'!$H$7:$H$100,$A210,'29'!$I$7:$I$100,1)</f>
        <v>0</v>
      </c>
      <c r="D210" s="1315">
        <f>SUMIFS('12'!$N$7:$N$100,'12'!$H$7:$H$100,$A210,'12'!$I$7:$I$100,2)+SUMIFS('13'!$N$7:$N$100,'13'!$H$7:$H$100,$A210,'13'!$I$7:$I$100,2)+SUMIFS('14'!$N$7:$N$100,'14'!$H$7:$H$100,$A210,'14'!$I$7:$I$100,2)+SUMIFS('15'!$N$7:$N$100,'15'!$H$7:$H$100,$A210,'15'!$I$7:$I$100,2)+SUMIFS('15a'!$N$7:$N$100,'15a'!$H$7:$H$100,$A210,'15a'!$I$7:$I$100,2)+SUMIFS('15b'!$N$7:$N$100,'15b'!$H$7:$H$100,$A210,'15b'!$I$7:$I$100,2)+SUMIFS('15c'!$N$7:$N$100,'15c'!$H$7:$H$100,$A210,'15c'!$I$7:$I$100,2)+SUMIFS('15d'!$N$7:$N$100,'15d'!$H$7:$H$100,$A210,'15d'!$I$7:$I$100,2)+SUMIFS('15e'!$N$7:$N$100,'15e'!$H$7:$H$100,$A210,'15e'!$I$7:$I$100,2)+SUMIFS('15f'!$N$7:$N$100,'15f'!$H$7:$H$100,$A210,'15f'!$I$7:$I$100,2)+SUMIFS('15g'!$N$7:$N$100,'15g'!$H$7:$H$100,$A210,'15g'!$I$7:$I$100,2)+SUMIFS('15h'!$N$7:$N$100,'15h'!$H$7:$H$100,$A210,'15h'!$I$7:$I$100,2)+SUMIFS('15i'!$N$7:$N$100,'15i'!$H$7:$H$100,$A210,'15i'!$I$7:$I$100,2)+SUMIFS('15j'!$N$7:$N$100,'15j'!$H$7:$H$100,$A210,'15j'!$I$7:$I$100,2)+SUMIFS('15k'!$N$7:$N$100,'15k'!$H$7:$H$100,$A210,'15k'!$I$7:$I$100,2)+SUMIFS('15l'!$N$7:$N$100,'15l'!$H$7:$H$100,$A210,'15l'!$I$7:$I$100,2)+SUMIFS('15m'!$N$7:$N$100,'15m'!$H$7:$H$100,$A210,'15m'!$I$7:$I$100,2)+SUMIFS('15n'!$N$7:$N$100,'15n'!$H$7:$H$100,$A210,'15n'!$I$7:$I$100,2)+SUMIFS('16'!$N$7:$N$100,'16'!$H$7:$H$100,$A210,'16'!$I$7:$I$100,2)+SUMIFS('16a'!$N$7:$N$100,'16a'!$H$7:$H$100,$A210,'16a'!$I$7:$I$100,2)+SUMIFS('17'!$N$7:$N$100,'17'!$H$7:$H$100,$A210,'17'!$I$7:$I$100,2)+SUMIFS('17a'!$N$7:$N$100,'17a'!$H$7:$H$100,$A210,'17a'!$I$7:$I$100,2)+SUMIFS('18'!$N$7:$N$100,'18'!$H$7:$H$100,$A210,'18'!$I$7:$I$100,2)+SUMIFS('18a'!$N$7:$N$100,'18a'!$H$7:$H$100,$A210,'18a'!$I$7:$I$100,2)
+SUMIFS('19'!$N$7:$N$100,'19'!$H$7:$H$100,$A210,'19'!$I$7:$I$100,2)+SUMIFS('20'!$N$7:$N$100,'20'!$H$7:$H$100,$A210,'20'!$I$7:$I$100,2)+SUMIFS('20a'!$N$7:$N$100,'20a'!$H$7:$H$100,$A210,'20a'!$I$7:$I$100,2)+SUMIFS('21'!$N$7:$N$100,'21'!$H$7:$H$100,$A210,'21'!$I$7:$I$100,2)+SUMIFS('22'!$N$7:$N$100,'22'!$H$7:$H$100,$A210,'22'!$I$7:$I$100,2)+SUMIFS('22a'!$N$7:$N$100,'22a'!$H$7:$H$100,$A210,'22a'!$I$7:$I$100,2)+SUMIFS('22b'!$N$7:$N$100,'22b'!$H$7:$H$100,$A210,'22b'!$I$7:$I$100,2)+SUMIFS('23'!$N$7:$N$100,'23'!$H$7:$H$100,$A210,'23'!$I$7:$I$100,2)+SUMIFS('24'!$N$7:$N$100,'24'!$H$7:$H$100,$A210,'24'!$I$7:$I$100,2)+SUMIFS('24a'!$N$7:$N$100,'24a'!$H$7:$H$100,$A210,'24a'!$I$7:$I$100,2)+SUMIFS('24b'!$N$7:$N$100,'24b'!$H$7:$H$100,$A210,'24b'!$I$7:$I$100,2)+SUMIFS('24c'!$N$7:$N$100,'24c'!$H$7:$H$100,$A210,'24c'!$I$7:$I$100,2)+SUMIFS('24d'!$N$7:$N$100,'24d'!$H$7:$H$100,$A210,'24d'!$I$7:$I$100,2)+SUMIFS('24e'!$N$7:$N$100,'24e'!$H$7:$H$100,$A210,'24e'!$I$7:$I$100,2)+SUMIFS('24f'!$N$7:$N$100,'24f'!$H$7:$H$100,$A210,'24f'!$I$7:$I$100,2)+SUMIFS('24g'!$N$7:$N$100,'24g'!$H$7:$H$100,$A210,'24g'!$I$7:$I$100,2)+SUMIFS('24h'!$N$7:$N$100,'24h'!$H$7:$H$100,$A210,'24h'!$I$7:$I$100,2)+SUMIFS('24i'!$N$7:$N$100,'24i'!$H$7:$H$100,$A210,'24i'!$I$7:$I$100,2)+SUMIFS('25'!$N$7:$N$100,'25'!$H$7:$H$100,$A210,'25'!$I$7:$I$100,2)+SUMIFS('26'!$N$7:$N$100,'26'!$H$7:$H$100,$A210,'26'!$I$7:$I$100,2)+SUMIFS('26a'!$N$7:$N$100,'26a'!$H$7:$H$100,$A210,'26a'!$I$7:$I$100,2)+SUMIFS('27'!$N$7:$N$100,'27'!$H$7:$H$100,$A210,'27'!$I$7:$I$100,2)+SUMIFS('27a'!$N$7:$N$100,'27a'!$H$7:$H$100,$A210,'27a'!$I$7:$I$100,2)+SUMIFS('28'!$N$7:$N$100,'28'!$H$7:$H$100,$A210,'28'!$I$7:$I$100,2)+SUMIFS('29'!$N$7:$N$100,'29'!$H$7:$H$100,$A210,'29'!$I$7:$I$100,2)</f>
        <v>0</v>
      </c>
      <c r="E210" s="1315">
        <f>SUMIFS('12'!$N$7:$N$100,'12'!$H$7:$H$100,$A210,'12'!$I$7:$I$100,"")+SUMIFS('13'!$N$7:$N$100,'13'!$H$7:$H$100,$A210,'13'!$I$7:$I$100,"")+SUMIFS('14'!$N$7:$N$100,'14'!$H$7:$H$100,$A210,'14'!$I$7:$I$100,"")+SUMIFS('15'!$N$7:$N$100,'15'!$H$7:$H$100,$A210,'15'!$I$7:$I$100,"")+SUMIFS('15a'!$N$7:$N$100,'15a'!$H$7:$H$100,$A210,'15a'!$I$7:$I$100,"")+SUMIFS('15b'!$N$7:$N$100,'15b'!$H$7:$H$100,$A210,'15b'!$I$7:$I$100,"")+SUMIFS('15c'!$N$7:$N$100,'15c'!$H$7:$H$100,$A210,'15c'!$I$7:$I$100,"")+SUMIFS('15d'!$N$7:$N$100,'15d'!$H$7:$H$100,$A210,'15d'!$I$7:$I$100,"")+SUMIFS('15e'!$N$7:$N$100,'15e'!$H$7:$H$100,$A210,'15e'!$I$7:$I$100,"")+SUMIFS('15f'!$N$7:$N$100,'15f'!$H$7:$H$100,$A210,'15f'!$I$7:$I$100,"")+SUMIFS('15g'!$N$7:$N$100,'15g'!$H$7:$H$100,$A210,'15g'!$I$7:$I$100,"")+SUMIFS('15h'!$N$7:$N$100,'15h'!$H$7:$H$100,$A210,'15h'!$I$7:$I$100,"")+SUMIFS('15i'!$N$7:$N$100,'15i'!$H$7:$H$100,$A210,'15i'!$I$7:$I$100,"")+SUMIFS('15j'!$N$7:$N$100,'15j'!$H$7:$H$100,$A210,'15j'!$I$7:$I$100,"")+SUMIFS('15k'!$N$7:$N$100,'15k'!$H$7:$H$100,$A210,'15k'!$I$7:$I$100,"")+SUMIFS('15l'!$N$7:$N$100,'15l'!$H$7:$H$100,$A210,'15l'!$I$7:$I$100,"")+SUMIFS('15m'!$N$7:$N$100,'15m'!$H$7:$H$100,$A210,'15m'!$I$7:$I$100,"")+SUMIFS('15n'!$N$7:$N$100,'15n'!$H$7:$H$100,$A210,'15n'!$I$7:$I$100,"")+SUMIFS('16'!$N$7:$N$100,'16'!$H$7:$H$100,$A210,'16'!$I$7:$I$100,"")+SUMIFS('16a'!$N$7:$N$100,'16a'!$H$7:$H$100,$A210,'16a'!$I$7:$I$100,"")+SUMIFS('17'!$N$7:$N$100,'17'!$H$7:$H$100,$A210,'17'!$I$7:$I$100,"")+SUMIFS('17a'!$N$7:$N$100,'17a'!$H$7:$H$100,$A210,'17a'!$I$7:$I$100,"")+SUMIFS('18'!$N$7:$N$100,'18'!$H$7:$H$100,$A210,'18'!$I$7:$I$100,"")+SUMIFS('18a'!$N$7:$N$100,'18a'!$H$7:$H$100,$A210,'18a'!$I$7:$I$100,"")
+SUMIFS('19'!$N$7:$N$100,'19'!$H$7:$H$100,$A210,'19'!$I$7:$I$100,"")+SUMIFS('20'!$N$7:$N$100,'20'!$H$7:$H$100,$A210,'20'!$I$7:$I$100,"")+SUMIFS('20a'!$N$7:$N$100,'20a'!$H$7:$H$100,$A210,'20a'!$I$7:$I$100,"")+SUMIFS('21'!$N$7:$N$100,'21'!$H$7:$H$100,$A210,'21'!$I$7:$I$100,"")+SUMIFS('22'!$N$7:$N$100,'22'!$H$7:$H$100,$A210,'22'!$I$7:$I$100,"")+SUMIFS('22a'!$N$7:$N$100,'22a'!$H$7:$H$100,$A210,'22a'!$I$7:$I$100,"")+SUMIFS('22b'!$N$7:$N$100,'22b'!$H$7:$H$100,$A210,'22b'!$I$7:$I$100,"")+SUMIFS('23'!$N$7:$N$100,'23'!$H$7:$H$100,$A210,'23'!$I$7:$I$100,"")+SUMIFS('24'!$N$7:$N$100,'24'!$H$7:$H$100,$A210,'24'!$I$7:$I$100,"")+SUMIFS('24a'!$N$7:$N$100,'24a'!$H$7:$H$100,$A210,'24a'!$I$7:$I$100,"")+SUMIFS('24b'!$N$7:$N$100,'24b'!$H$7:$H$100,$A210,'24b'!$I$7:$I$100,"")+SUMIFS('24c'!$N$7:$N$100,'24c'!$H$7:$H$100,$A210,'24c'!$I$7:$I$100,"")+SUMIFS('24d'!$N$7:$N$100,'24d'!$H$7:$H$100,$A210,'24d'!$I$7:$I$100,"")+SUMIFS('24e'!$N$7:$N$100,'24e'!$H$7:$H$100,$A210,'24e'!$I$7:$I$100,"")+SUMIFS('24f'!$N$7:$N$100,'24f'!$H$7:$H$100,$A210,'24f'!$I$7:$I$100,"")+SUMIFS('24g'!$N$7:$N$100,'24g'!$H$7:$H$100,$A210,'24g'!$I$7:$I$100,"")+SUMIFS('24h'!$N$7:$N$100,'24h'!$H$7:$H$100,$A210,'24h'!$I$7:$I$100,"")+SUMIFS('24i'!$N$7:$N$100,'24i'!$H$7:$H$100,$A210,'24i'!$I$7:$I$100,"")+SUMIFS('25'!$N$7:$N$100,'25'!$H$7:$H$100,$A210,'25'!$I$7:$I$100,"")+SUMIFS('26'!$N$7:$N$100,'26'!$H$7:$H$100,$A210,'26'!$I$7:$I$100,"")+SUMIFS('26a'!$N$7:$N$100,'26a'!$H$7:$H$100,$A210,'26a'!$I$7:$I$100,"")+SUMIFS('27'!$N$7:$N$100,'27'!$H$7:$H$100,$A210,'27'!$I$7:$I$100,"")+SUMIFS('27a'!$N$7:$N$100,'27a'!$H$7:$H$100,$A210,'27a'!$I$7:$I$100,"")+SUMIFS('28'!$N$7:$N$100,'28'!$H$7:$H$100,$A210,'28'!$I$7:$I$100,"")+SUMIFS('29'!$N$7:$N$100,'29'!$H$7:$H$100,$A210,'29'!$I$7:$I$100,"")</f>
        <v>0</v>
      </c>
      <c r="F210" s="1296">
        <f t="shared" si="12"/>
        <v>0</v>
      </c>
      <c r="G210" s="1295">
        <f>SUMIFS('12'!$J$7:$J$100,'12'!$H$7:$H$100,$A210,'12'!$I$7:$I$100,1)+SUMIFS('13'!$J$7:$J$100,'13'!$H$7:$H$100,$A210,'13'!$I$7:$I$100,1)+SUMIFS('14'!$J$7:$J$100,'14'!$H$7:$H$100,$A210,'14'!$I$7:$I$100,1)+SUMIFS('15'!$J$7:$J$100,'15'!$H$7:$H$100,$A210,'15'!$I$7:$I$100,1)+SUMIFS('15a'!$J$7:$J$100,'15a'!$H$7:$H$100,$A210,'15a'!$I$7:$I$100,1)+SUMIFS('15b'!$J$7:$J$100,'15b'!$H$7:$H$100,$A210,'15b'!$I$7:$I$100,1)+SUMIFS('15c'!$J$7:$J$100,'15c'!$H$7:$H$100,$A210,'15c'!$I$7:$I$100,1)+SUMIFS('15d'!$J$7:$J$100,'15d'!$H$7:$H$100,$A210,'15d'!$I$7:$I$100,1)+SUMIFS('15e'!$J$7:$J$100,'15e'!$H$7:$H$100,$A210,'15e'!$I$7:$I$100,1)+SUMIFS('15f'!$J$7:$J$100,'15f'!$H$7:$H$100,$A210,'15f'!$I$7:$I$100,1)+SUMIFS('15g'!$J$7:$J$100,'15g'!$H$7:$H$100,$A210,'15g'!$I$7:$I$100,1)+SUMIFS('15h'!$J$7:$J$100,'15h'!$H$7:$H$100,$A210,'15h'!$I$7:$I$100,1)+SUMIFS('15i'!$J$7:$J$100,'15i'!$H$7:$H$100,$A210,'15i'!$I$7:$I$100,1)+SUMIFS('15j'!$J$7:$J$100,'15j'!$H$7:$H$100,$A210,'15j'!$I$7:$I$100,1)+SUMIFS('15k'!$J$7:$J$100,'15k'!$H$7:$H$100,$A210,'15k'!$I$7:$I$100,1)+SUMIFS('15l'!$J$7:$J$100,'15l'!$H$7:$H$100,$A210,'15l'!$I$7:$I$100,1)+SUMIFS('15m'!$J$7:$J$100,'15m'!$H$7:$H$100,$A210,'15m'!$I$7:$I$100,1)+SUMIFS('15n'!$J$7:$J$100,'15n'!$H$7:$H$100,$A210,'15n'!$I$7:$I$100,1)+SUMIFS('16'!$J$7:$J$100,'16'!$H$7:$H$100,$A210,'16'!$I$7:$I$100,1)+SUMIFS('16a'!$J$7:$J$100,'16a'!$H$7:$H$100,$A210,'16a'!$I$7:$I$100,1)+SUMIFS('17'!$J$7:$J$100,'17'!$H$7:$H$100,$A210,'17'!$I$7:$I$100,1)+SUMIFS('17a'!$J$7:$J$100,'17a'!$H$7:$H$100,$A210,'17a'!$I$7:$I$100,1)+SUMIFS('18'!$J$7:$J$100,'18'!$H$7:$H$100,$A210,'18'!$I$7:$I$100,1)+SUMIFS('18a'!$J$7:$J$100,'18a'!$H$7:$H$100,$A210,'18a'!$I$7:$I$100,1)
+SUMIFS('19'!$J$7:$J$100,'19'!$H$7:$H$100,$A210,'19'!$I$7:$I$100,1)+SUMIFS('20'!$J$7:$J$100,'20'!$H$7:$H$100,$A210,'20'!$I$7:$I$100,1)+SUMIFS('20a'!$J$7:$J$100,'20a'!$H$7:$H$100,$A210,'20a'!$I$7:$I$100,1)+SUMIFS('21'!$J$7:$J$100,'21'!$H$7:$H$100,$A210,'21'!$I$7:$I$100,1)+SUMIFS('22'!$J$7:$J$100,'22'!$H$7:$H$100,$A210,'22'!$I$7:$I$100,1)+SUMIFS('22a'!$J$7:$J$100,'22a'!$H$7:$H$100,$A210,'22a'!$I$7:$I$100,1)+SUMIFS('22b'!$J$7:$J$100,'22b'!$H$7:$H$100,$A210,'22b'!$I$7:$I$100,1)+SUMIFS('23'!$J$7:$J$100,'23'!$H$7:$H$100,$A210,'23'!$I$7:$I$100,1)+SUMIFS('24'!$J$7:$J$100,'24'!$H$7:$H$100,$A210,'24'!$I$7:$I$100,1)+SUMIFS('24a'!$J$7:$J$100,'24a'!$H$7:$H$100,$A210,'24a'!$I$7:$I$100,1)+SUMIFS('24b'!$J$7:$J$100,'24b'!$H$7:$H$100,$A210,'24b'!$I$7:$I$100,1)+SUMIFS('24c'!$J$7:$J$100,'24c'!$H$7:$H$100,$A210,'24c'!$I$7:$I$100,1)+SUMIFS('24d'!$J$7:$J$100,'24d'!$H$7:$H$100,$A210,'24d'!$I$7:$I$100,1)+SUMIFS('24e'!$J$7:$J$100,'24e'!$H$7:$H$100,$A210,'24e'!$I$7:$I$100,1)+SUMIFS('24f'!$J$7:$J$100,'24f'!$H$7:$H$100,$A210,'24f'!$I$7:$I$100,1)+SUMIFS('24g'!$J$7:$J$100,'24g'!$H$7:$H$100,$A210,'24g'!$I$7:$I$100,1)+SUMIFS('24h'!$J$7:$J$100,'24h'!$H$7:$H$100,$A210,'24h'!$I$7:$I$100,1)+SUMIFS('24i'!$J$7:$J$100,'24i'!$H$7:$H$100,$A210,'24i'!$I$7:$I$100,1)+SUMIFS('25'!$J$7:$J$100,'25'!$H$7:$H$100,$A210,'25'!$I$7:$I$100,1)+SUMIFS('26'!$J$7:$J$100,'26'!$H$7:$H$100,$A210,'26'!$I$7:$I$100,1)+SUMIFS('26a'!$J$7:$J$100,'26a'!$H$7:$H$100,$A210,'26a'!$I$7:$I$100,1)+SUMIFS('27'!$J$7:$J$100,'27'!$H$7:$H$100,$A210,'27'!$I$7:$I$100,1)+SUMIFS('27a'!$J$7:$J$100,'27a'!$H$7:$H$100,$A210,'27a'!$I$7:$I$100,1)+SUMIFS('28'!$J$7:$J$100,'28'!$H$7:$H$100,$A210,'28'!$I$7:$I$100,1)+SUMIFS('29'!$J$7:$J$100,'29'!$H$7:$H$100,$A210,'29'!$I$7:$I$100,1)</f>
        <v>0</v>
      </c>
      <c r="H210" s="1315">
        <f>SUMIFS('12'!$J$7:$J$100,'12'!$H$7:$H$100,$A210,'12'!$I$7:$I$100,2)+SUMIFS('13'!$J$7:$J$100,'13'!$H$7:$H$100,$A210,'13'!$I$7:$I$100,2)+SUMIFS('14'!$J$7:$J$100,'14'!$H$7:$H$100,$A210,'14'!$I$7:$I$100,2)+SUMIFS('15'!$J$7:$J$100,'15'!$H$7:$H$100,$A210,'15'!$I$7:$I$100,2)+SUMIFS('15a'!$J$7:$J$100,'15a'!$H$7:$H$100,$A210,'15a'!$I$7:$I$100,2)+SUMIFS('15b'!$J$7:$J$100,'15b'!$H$7:$H$100,$A210,'15b'!$I$7:$I$100,2)+SUMIFS('15c'!$J$7:$J$100,'15c'!$H$7:$H$100,$A210,'15c'!$I$7:$I$100,2)+SUMIFS('15d'!$J$7:$J$100,'15d'!$H$7:$H$100,$A210,'15d'!$I$7:$I$100,2)+SUMIFS('15e'!$J$7:$J$100,'15e'!$H$7:$H$100,$A210,'15e'!$I$7:$I$100,2)+SUMIFS('15f'!$J$7:$J$100,'15f'!$H$7:$H$100,$A210,'15f'!$I$7:$I$100,2)+SUMIFS('15g'!$J$7:$J$100,'15g'!$H$7:$H$100,$A210,'15g'!$I$7:$I$100,2)+SUMIFS('15h'!$J$7:$J$100,'15h'!$H$7:$H$100,$A210,'15h'!$I$7:$I$100,2)+SUMIFS('15i'!$J$7:$J$100,'15i'!$H$7:$H$100,$A210,'15i'!$I$7:$I$100,2)+SUMIFS('15j'!$J$7:$J$100,'15j'!$H$7:$H$100,$A210,'15j'!$I$7:$I$100,2)+SUMIFS('15k'!$J$7:$J$100,'15k'!$H$7:$H$100,$A210,'15k'!$I$7:$I$100,2)+SUMIFS('15l'!$J$7:$J$100,'15l'!$H$7:$H$100,$A210,'15l'!$I$7:$I$100,2)+SUMIFS('15m'!$J$7:$J$100,'15m'!$H$7:$H$100,$A210,'15m'!$I$7:$I$100,2)+SUMIFS('15n'!$J$7:$J$100,'15n'!$H$7:$H$100,$A210,'15n'!$I$7:$I$100,2)+SUMIFS('16'!$J$7:$J$100,'16'!$H$7:$H$100,$A210,'16'!$I$7:$I$100,2)+SUMIFS('16a'!$J$7:$J$100,'16a'!$H$7:$H$100,$A210,'16a'!$I$7:$I$100,2)+SUMIFS('17'!$J$7:$J$100,'17'!$H$7:$H$100,$A210,'17'!$I$7:$I$100,2)+SUMIFS('17a'!$J$7:$J$100,'17a'!$H$7:$H$100,$A210,'17a'!$I$7:$I$100,2)+SUMIFS('18'!$J$7:$J$100,'18'!$H$7:$H$100,$A210,'18'!$I$7:$I$100,2)+SUMIFS('18a'!$J$7:$J$100,'18a'!$H$7:$H$100,$A210,'18a'!$I$7:$I$100,2)
+SUMIFS('19'!$J$7:$J$100,'19'!$H$7:$H$100,$A210,'19'!$I$7:$I$100,2)+SUMIFS('20'!$J$7:$J$100,'20'!$H$7:$H$100,$A210,'20'!$I$7:$I$100,2)+SUMIFS('20a'!$J$7:$J$100,'20a'!$H$7:$H$100,$A210,'20a'!$I$7:$I$100,2)+SUMIFS('21'!$J$7:$J$100,'21'!$H$7:$H$100,$A210,'21'!$I$7:$I$100,2)+SUMIFS('22'!$J$7:$J$100,'22'!$H$7:$H$100,$A210,'22'!$I$7:$I$100,2)+SUMIFS('22a'!$J$7:$J$100,'22a'!$H$7:$H$100,$A210,'22a'!$I$7:$I$100,2)+SUMIFS('22b'!$J$7:$J$100,'22b'!$H$7:$H$100,$A210,'22b'!$I$7:$I$100,2)+SUMIFS('23'!$J$7:$J$100,'23'!$H$7:$H$100,$A210,'23'!$I$7:$I$100,2)+SUMIFS('24'!$J$7:$J$100,'24'!$H$7:$H$100,$A210,'24'!$I$7:$I$100,2)+SUMIFS('24a'!$J$7:$J$100,'24a'!$H$7:$H$100,$A210,'24a'!$I$7:$I$100,2)+SUMIFS('24b'!$J$7:$J$100,'24b'!$H$7:$H$100,$A210,'24b'!$I$7:$I$100,2)+SUMIFS('24c'!$J$7:$J$100,'24c'!$H$7:$H$100,$A210,'24c'!$I$7:$I$100,2)+SUMIFS('24d'!$J$7:$J$100,'24d'!$H$7:$H$100,$A210,'24d'!$I$7:$I$100,2)+SUMIFS('24e'!$J$7:$J$100,'24e'!$H$7:$H$100,$A210,'24e'!$I$7:$I$100,2)+SUMIFS('24f'!$J$7:$J$100,'24f'!$H$7:$H$100,$A210,'24f'!$I$7:$I$100,2)+SUMIFS('24g'!$J$7:$J$100,'24g'!$H$7:$H$100,$A210,'24g'!$I$7:$I$100,2)+SUMIFS('24h'!$J$7:$J$100,'24h'!$H$7:$H$100,$A210,'24h'!$I$7:$I$100,2)+SUMIFS('24i'!$J$7:$J$100,'24i'!$H$7:$H$100,$A210,'24i'!$I$7:$I$100,2)+SUMIFS('25'!$J$7:$J$100,'25'!$H$7:$H$100,$A210,'25'!$I$7:$I$100,2)+SUMIFS('26'!$J$7:$J$100,'26'!$H$7:$H$100,$A210,'26'!$I$7:$I$100,2)+SUMIFS('26a'!$J$7:$J$100,'26a'!$H$7:$H$100,$A210,'26a'!$I$7:$I$100,2)+SUMIFS('27'!$J$7:$J$100,'27'!$H$7:$H$100,$A210,'27'!$I$7:$I$100,2)+SUMIFS('27a'!$J$7:$J$100,'27a'!$H$7:$H$100,$A210,'27a'!$I$7:$I$100,2)+SUMIFS('28'!$J$7:$J$100,'28'!$H$7:$H$100,$A210,'28'!$I$7:$I$100,2)+SUMIFS('29'!$J$7:$J$100,'29'!$H$7:$H$100,$A210,'29'!$I$7:$I$100,2)</f>
        <v>0</v>
      </c>
      <c r="I210" s="1315">
        <f>SUMIFS('12'!$J$7:$J$100,'12'!$H$7:$H$100,$A210,'12'!$I$7:$I$100,"")+SUMIFS('13'!$J$7:$J$100,'13'!$H$7:$H$100,$A210,'13'!$I$7:$I$100,"")+SUMIFS('14'!$J$7:$J$100,'14'!$H$7:$H$100,$A210,'14'!$I$7:$I$100,"")+SUMIFS('15'!$J$7:$J$100,'15'!$H$7:$H$100,$A210,'15'!$I$7:$I$100,"")+SUMIFS('15a'!$J$7:$J$100,'15a'!$H$7:$H$100,$A210,'15a'!$I$7:$I$100,"")+SUMIFS('15b'!$J$7:$J$100,'15b'!$H$7:$H$100,$A210,'15b'!$I$7:$I$100,"")+SUMIFS('15c'!$J$7:$J$100,'15c'!$H$7:$H$100,$A210,'15c'!$I$7:$I$100,"")+SUMIFS('15d'!$J$7:$J$100,'15d'!$H$7:$H$100,$A210,'15d'!$I$7:$I$100,"")+SUMIFS('15e'!$J$7:$J$100,'15e'!$H$7:$H$100,$A210,'15e'!$I$7:$I$100,"")+SUMIFS('15f'!$J$7:$J$100,'15f'!$H$7:$H$100,$A210,'15f'!$I$7:$I$100,"")+SUMIFS('15g'!$J$7:$J$100,'15g'!$H$7:$H$100,$A210,'15g'!$I$7:$I$100,"")+SUMIFS('15h'!$J$7:$J$100,'15h'!$H$7:$H$100,$A210,'15h'!$I$7:$I$100,"")+SUMIFS('15i'!$J$7:$J$100,'15i'!$H$7:$H$100,$A210,'15i'!$I$7:$I$100,"")+SUMIFS('15j'!$J$7:$J$100,'15j'!$H$7:$H$100,$A210,'15j'!$I$7:$I$100,"")+SUMIFS('15k'!$J$7:$J$100,'15k'!$H$7:$H$100,$A210,'15k'!$I$7:$I$100,"")+SUMIFS('15l'!$J$7:$J$100,'15l'!$H$7:$H$100,$A210,'15l'!$I$7:$I$100,"")+SUMIFS('15m'!$J$7:$J$100,'15m'!$H$7:$H$100,$A210,'15m'!$I$7:$I$100,"")+SUMIFS('15n'!$J$7:$J$100,'15n'!$H$7:$H$100,$A210,'15n'!$I$7:$I$100,"")+SUMIFS('16'!$J$7:$J$100,'16'!$H$7:$H$100,$A210,'16'!$I$7:$I$100,"")+SUMIFS('16a'!$J$7:$J$100,'16a'!$H$7:$H$100,$A210,'16a'!$I$7:$I$100,"")+SUMIFS('17'!$J$7:$J$100,'17'!$H$7:$H$100,$A210,'17'!$I$7:$I$100,"")+SUMIFS('17a'!$J$7:$J$100,'17a'!$H$7:$H$100,$A210,'17a'!$I$7:$I$100,"")+SUMIFS('18'!$J$7:$J$100,'18'!$H$7:$H$100,$A210,'18'!$I$7:$I$100,"")+SUMIFS('18a'!$J$7:$J$100,'18a'!$H$7:$H$100,$A210,'18a'!$I$7:$I$100,"")
+SUMIFS('19'!$J$7:$J$100,'19'!$H$7:$H$100,$A210,'19'!$I$7:$I$100,"")+SUMIFS('20'!$J$7:$J$100,'20'!$H$7:$H$100,$A210,'20'!$I$7:$I$100,"")+SUMIFS('20a'!$J$7:$J$100,'20a'!$H$7:$H$100,$A210,'20a'!$I$7:$I$100,"")+SUMIFS('21'!$J$7:$J$100,'21'!$H$7:$H$100,$A210,'21'!$I$7:$I$100,"")+SUMIFS('22'!$J$7:$J$100,'22'!$H$7:$H$100,$A210,'22'!$I$7:$I$100,"")+SUMIFS('22a'!$J$7:$J$100,'22a'!$H$7:$H$100,$A210,'22a'!$I$7:$I$100,"")+SUMIFS('22b'!$J$7:$J$100,'22b'!$H$7:$H$100,$A210,'22b'!$I$7:$I$100,"")+SUMIFS('23'!$J$7:$J$100,'23'!$H$7:$H$100,$A210,'23'!$I$7:$I$100,"")+SUMIFS('24'!$J$7:$J$100,'24'!$H$7:$H$100,$A210,'24'!$I$7:$I$100,"")+SUMIFS('24a'!$J$7:$J$100,'24a'!$H$7:$H$100,$A210,'24a'!$I$7:$I$100,"")+SUMIFS('24b'!$J$7:$J$100,'24b'!$H$7:$H$100,$A210,'24b'!$I$7:$I$100,"")+SUMIFS('24c'!$J$7:$J$100,'24c'!$H$7:$H$100,$A210,'24c'!$I$7:$I$100,"")+SUMIFS('24d'!$J$7:$J$100,'24d'!$H$7:$H$100,$A210,'24d'!$I$7:$I$100,"")+SUMIFS('24e'!$J$7:$J$100,'24e'!$H$7:$H$100,$A210,'24e'!$I$7:$I$100,"")+SUMIFS('24f'!$J$7:$J$100,'24f'!$H$7:$H$100,$A210,'24f'!$I$7:$I$100,"")+SUMIFS('24g'!$J$7:$J$100,'24g'!$H$7:$H$100,$A210,'24g'!$I$7:$I$100,"")+SUMIFS('24h'!$J$7:$J$100,'24h'!$H$7:$H$100,$A210,'24h'!$I$7:$I$100,"")+SUMIFS('24i'!$J$7:$J$100,'24i'!$H$7:$H$100,$A210,'24i'!$I$7:$I$100,"")+SUMIFS('25'!$J$7:$J$100,'25'!$H$7:$H$100,$A210,'25'!$I$7:$I$100,"")+SUMIFS('26'!$J$7:$J$100,'26'!$H$7:$H$100,$A210,'26'!$I$7:$I$100,"")+SUMIFS('26a'!$J$7:$J$100,'26a'!$H$7:$H$100,$A210,'26a'!$I$7:$I$100,"")+SUMIFS('27'!$J$7:$J$100,'27'!$H$7:$H$100,$A210,'27'!$I$7:$I$100,"")+SUMIFS('27a'!$J$7:$J$100,'27a'!$H$7:$H$100,$A210,'27a'!$I$7:$I$100,"")+SUMIFS('28'!$J$7:$J$100,'28'!$H$7:$H$100,$A210,'28'!$I$7:$I$100,"")+SUMIFS('29'!$J$7:$J$100,'29'!$H$7:$H$100,$A210,'29'!$I$7:$I$100,"")</f>
        <v>0</v>
      </c>
      <c r="J210" s="1296">
        <f t="shared" si="13"/>
        <v>0</v>
      </c>
      <c r="K210"/>
      <c r="L210"/>
      <c r="M210"/>
      <c r="N210"/>
      <c r="O210"/>
      <c r="P210"/>
      <c r="Q210"/>
      <c r="R210"/>
      <c r="S210" s="1307">
        <f t="shared" si="2"/>
        <v>0</v>
      </c>
      <c r="T210"/>
    </row>
    <row r="211" spans="1:20" ht="12.75" customHeight="1" outlineLevel="1" x14ac:dyDescent="0.2">
      <c r="A211" t="s">
        <v>5275</v>
      </c>
      <c r="B211" t="s">
        <v>5482</v>
      </c>
      <c r="C211" s="1295">
        <f>SUMIFS('12'!$N$7:$N$100,'12'!$H$7:$H$100,$A211,'12'!$I$7:$I$100,1)+SUMIFS('13'!$N$7:$N$100,'13'!$H$7:$H$100,$A211,'13'!$I$7:$I$100,1)+SUMIFS('14'!$N$7:$N$100,'14'!$H$7:$H$100,$A211,'14'!$I$7:$I$100,1)+SUMIFS('15'!$N$7:$N$100,'15'!$H$7:$H$100,$A211,'15'!$I$7:$I$100,1)+SUMIFS('15a'!$N$7:$N$100,'15a'!$H$7:$H$100,$A211,'15a'!$I$7:$I$100,1)+SUMIFS('15b'!$N$7:$N$100,'15b'!$H$7:$H$100,$A211,'15b'!$I$7:$I$100,1)+SUMIFS('15c'!$N$7:$N$100,'15c'!$H$7:$H$100,$A211,'15c'!$I$7:$I$100,1)+SUMIFS('15d'!$N$7:$N$100,'15d'!$H$7:$H$100,$A211,'15d'!$I$7:$I$100,1)+SUMIFS('15e'!$N$7:$N$100,'15e'!$H$7:$H$100,$A211,'15e'!$I$7:$I$100,1)+SUMIFS('15f'!$N$7:$N$100,'15f'!$H$7:$H$100,$A211,'15f'!$I$7:$I$100,1)+SUMIFS('15g'!$N$7:$N$100,'15g'!$H$7:$H$100,$A211,'15g'!$I$7:$I$100,1)+SUMIFS('15h'!$N$7:$N$100,'15h'!$H$7:$H$100,$A211,'15h'!$I$7:$I$100,1)+SUMIFS('15i'!$N$7:$N$100,'15i'!$H$7:$H$100,$A211,'15i'!$I$7:$I$100,1)+SUMIFS('15j'!$N$7:$N$100,'15j'!$H$7:$H$100,$A211,'15j'!$I$7:$I$100,1)+SUMIFS('15k'!$N$7:$N$100,'15k'!$H$7:$H$100,$A211,'15k'!$I$7:$I$100,1)+SUMIFS('15l'!$N$7:$N$100,'15l'!$H$7:$H$100,$A211,'15l'!$I$7:$I$100,1)+SUMIFS('15m'!$N$7:$N$100,'15m'!$H$7:$H$100,$A211,'15m'!$I$7:$I$100,1)+SUMIFS('15n'!$N$7:$N$100,'15n'!$H$7:$H$100,$A211,'15n'!$I$7:$I$100,1)+SUMIFS('16'!$N$7:$N$100,'16'!$H$7:$H$100,$A211,'16'!$I$7:$I$100,1)+SUMIFS('16a'!$N$7:$N$100,'16a'!$H$7:$H$100,$A211,'16a'!$I$7:$I$100,1)+SUMIFS('17'!$N$7:$N$100,'17'!$H$7:$H$100,$A211,'17'!$I$7:$I$100,1)+SUMIFS('17a'!$N$7:$N$100,'17a'!$H$7:$H$100,$A211,'17a'!$I$7:$I$100,1)+SUMIFS('18'!$N$7:$N$100,'18'!$H$7:$H$100,$A211,'18'!$I$7:$I$100,1)+SUMIFS('18a'!$N$7:$N$100,'18a'!$H$7:$H$100,$A211,'18a'!$I$7:$I$100,1)
+SUMIFS('19'!$N$7:$N$100,'19'!$H$7:$H$100,$A211,'19'!$I$7:$I$100,1)+SUMIFS('20'!$N$7:$N$100,'20'!$H$7:$H$100,$A211,'20'!$I$7:$I$100,1)+SUMIFS('20a'!$N$7:$N$100,'20a'!$H$7:$H$100,$A211,'20a'!$I$7:$I$100,1)+SUMIFS('21'!$N$7:$N$100,'21'!$H$7:$H$100,$A211,'21'!$I$7:$I$100,1)+SUMIFS('22'!$N$7:$N$100,'22'!$H$7:$H$100,$A211,'22'!$I$7:$I$100,1)+SUMIFS('22a'!$N$7:$N$100,'22a'!$H$7:$H$100,$A211,'22a'!$I$7:$I$100,1)+SUMIFS('22b'!$N$7:$N$100,'22b'!$H$7:$H$100,$A211,'22b'!$I$7:$I$100,1)+SUMIFS('23'!$N$7:$N$100,'23'!$H$7:$H$100,$A211,'23'!$I$7:$I$100,1)+SUMIFS('24'!$N$7:$N$100,'24'!$H$7:$H$100,$A211,'24'!$I$7:$I$100,1)+SUMIFS('24a'!$N$7:$N$100,'24a'!$H$7:$H$100,$A211,'24a'!$I$7:$I$100,1)+SUMIFS('24b'!$N$7:$N$100,'24b'!$H$7:$H$100,$A211,'24b'!$I$7:$I$100,1)+SUMIFS('24c'!$N$7:$N$100,'24c'!$H$7:$H$100,$A211,'24c'!$I$7:$I$100,1)+SUMIFS('24d'!$N$7:$N$100,'24d'!$H$7:$H$100,$A211,'24d'!$I$7:$I$100,1)+SUMIFS('24e'!$N$7:$N$100,'24e'!$H$7:$H$100,$A211,'24e'!$I$7:$I$100,1)+SUMIFS('24f'!$N$7:$N$100,'24f'!$H$7:$H$100,$A211,'24f'!$I$7:$I$100,1)+SUMIFS('24g'!$N$7:$N$100,'24g'!$H$7:$H$100,$A211,'24g'!$I$7:$I$100,1)+SUMIFS('24h'!$N$7:$N$100,'24h'!$H$7:$H$100,$A211,'24h'!$I$7:$I$100,1)+SUMIFS('24i'!$N$7:$N$100,'24i'!$H$7:$H$100,$A211,'24i'!$I$7:$I$100,1)+SUMIFS('25'!$N$7:$N$100,'25'!$H$7:$H$100,$A211,'25'!$I$7:$I$100,1)+SUMIFS('26'!$N$7:$N$100,'26'!$H$7:$H$100,$A211,'26'!$I$7:$I$100,1)+SUMIFS('26a'!$N$7:$N$100,'26a'!$H$7:$H$100,$A211,'26a'!$I$7:$I$100,1)+SUMIFS('27'!$N$7:$N$100,'27'!$H$7:$H$100,$A211,'27'!$I$7:$I$100,1)+SUMIFS('27a'!$N$7:$N$100,'27a'!$H$7:$H$100,$A211,'27a'!$I$7:$I$100,1)+SUMIFS('28'!$N$7:$N$100,'28'!$H$7:$H$100,$A211,'28'!$I$7:$I$100,1)+SUMIFS('29'!$N$7:$N$100,'29'!$H$7:$H$100,$A211,'29'!$I$7:$I$100,1)</f>
        <v>0</v>
      </c>
      <c r="D211" s="1315">
        <f>SUMIFS('12'!$N$7:$N$100,'12'!$H$7:$H$100,$A211,'12'!$I$7:$I$100,2)+SUMIFS('13'!$N$7:$N$100,'13'!$H$7:$H$100,$A211,'13'!$I$7:$I$100,2)+SUMIFS('14'!$N$7:$N$100,'14'!$H$7:$H$100,$A211,'14'!$I$7:$I$100,2)+SUMIFS('15'!$N$7:$N$100,'15'!$H$7:$H$100,$A211,'15'!$I$7:$I$100,2)+SUMIFS('15a'!$N$7:$N$100,'15a'!$H$7:$H$100,$A211,'15a'!$I$7:$I$100,2)+SUMIFS('15b'!$N$7:$N$100,'15b'!$H$7:$H$100,$A211,'15b'!$I$7:$I$100,2)+SUMIFS('15c'!$N$7:$N$100,'15c'!$H$7:$H$100,$A211,'15c'!$I$7:$I$100,2)+SUMIFS('15d'!$N$7:$N$100,'15d'!$H$7:$H$100,$A211,'15d'!$I$7:$I$100,2)+SUMIFS('15e'!$N$7:$N$100,'15e'!$H$7:$H$100,$A211,'15e'!$I$7:$I$100,2)+SUMIFS('15f'!$N$7:$N$100,'15f'!$H$7:$H$100,$A211,'15f'!$I$7:$I$100,2)+SUMIFS('15g'!$N$7:$N$100,'15g'!$H$7:$H$100,$A211,'15g'!$I$7:$I$100,2)+SUMIFS('15h'!$N$7:$N$100,'15h'!$H$7:$H$100,$A211,'15h'!$I$7:$I$100,2)+SUMIFS('15i'!$N$7:$N$100,'15i'!$H$7:$H$100,$A211,'15i'!$I$7:$I$100,2)+SUMIFS('15j'!$N$7:$N$100,'15j'!$H$7:$H$100,$A211,'15j'!$I$7:$I$100,2)+SUMIFS('15k'!$N$7:$N$100,'15k'!$H$7:$H$100,$A211,'15k'!$I$7:$I$100,2)+SUMIFS('15l'!$N$7:$N$100,'15l'!$H$7:$H$100,$A211,'15l'!$I$7:$I$100,2)+SUMIFS('15m'!$N$7:$N$100,'15m'!$H$7:$H$100,$A211,'15m'!$I$7:$I$100,2)+SUMIFS('15n'!$N$7:$N$100,'15n'!$H$7:$H$100,$A211,'15n'!$I$7:$I$100,2)+SUMIFS('16'!$N$7:$N$100,'16'!$H$7:$H$100,$A211,'16'!$I$7:$I$100,2)+SUMIFS('16a'!$N$7:$N$100,'16a'!$H$7:$H$100,$A211,'16a'!$I$7:$I$100,2)+SUMIFS('17'!$N$7:$N$100,'17'!$H$7:$H$100,$A211,'17'!$I$7:$I$100,2)+SUMIFS('17a'!$N$7:$N$100,'17a'!$H$7:$H$100,$A211,'17a'!$I$7:$I$100,2)+SUMIFS('18'!$N$7:$N$100,'18'!$H$7:$H$100,$A211,'18'!$I$7:$I$100,2)+SUMIFS('18a'!$N$7:$N$100,'18a'!$H$7:$H$100,$A211,'18a'!$I$7:$I$100,2)
+SUMIFS('19'!$N$7:$N$100,'19'!$H$7:$H$100,$A211,'19'!$I$7:$I$100,2)+SUMIFS('20'!$N$7:$N$100,'20'!$H$7:$H$100,$A211,'20'!$I$7:$I$100,2)+SUMIFS('20a'!$N$7:$N$100,'20a'!$H$7:$H$100,$A211,'20a'!$I$7:$I$100,2)+SUMIFS('21'!$N$7:$N$100,'21'!$H$7:$H$100,$A211,'21'!$I$7:$I$100,2)+SUMIFS('22'!$N$7:$N$100,'22'!$H$7:$H$100,$A211,'22'!$I$7:$I$100,2)+SUMIFS('22a'!$N$7:$N$100,'22a'!$H$7:$H$100,$A211,'22a'!$I$7:$I$100,2)+SUMIFS('22b'!$N$7:$N$100,'22b'!$H$7:$H$100,$A211,'22b'!$I$7:$I$100,2)+SUMIFS('23'!$N$7:$N$100,'23'!$H$7:$H$100,$A211,'23'!$I$7:$I$100,2)+SUMIFS('24'!$N$7:$N$100,'24'!$H$7:$H$100,$A211,'24'!$I$7:$I$100,2)+SUMIFS('24a'!$N$7:$N$100,'24a'!$H$7:$H$100,$A211,'24a'!$I$7:$I$100,2)+SUMIFS('24b'!$N$7:$N$100,'24b'!$H$7:$H$100,$A211,'24b'!$I$7:$I$100,2)+SUMIFS('24c'!$N$7:$N$100,'24c'!$H$7:$H$100,$A211,'24c'!$I$7:$I$100,2)+SUMIFS('24d'!$N$7:$N$100,'24d'!$H$7:$H$100,$A211,'24d'!$I$7:$I$100,2)+SUMIFS('24e'!$N$7:$N$100,'24e'!$H$7:$H$100,$A211,'24e'!$I$7:$I$100,2)+SUMIFS('24f'!$N$7:$N$100,'24f'!$H$7:$H$100,$A211,'24f'!$I$7:$I$100,2)+SUMIFS('24g'!$N$7:$N$100,'24g'!$H$7:$H$100,$A211,'24g'!$I$7:$I$100,2)+SUMIFS('24h'!$N$7:$N$100,'24h'!$H$7:$H$100,$A211,'24h'!$I$7:$I$100,2)+SUMIFS('24i'!$N$7:$N$100,'24i'!$H$7:$H$100,$A211,'24i'!$I$7:$I$100,2)+SUMIFS('25'!$N$7:$N$100,'25'!$H$7:$H$100,$A211,'25'!$I$7:$I$100,2)+SUMIFS('26'!$N$7:$N$100,'26'!$H$7:$H$100,$A211,'26'!$I$7:$I$100,2)+SUMIFS('26a'!$N$7:$N$100,'26a'!$H$7:$H$100,$A211,'26a'!$I$7:$I$100,2)+SUMIFS('27'!$N$7:$N$100,'27'!$H$7:$H$100,$A211,'27'!$I$7:$I$100,2)+SUMIFS('27a'!$N$7:$N$100,'27a'!$H$7:$H$100,$A211,'27a'!$I$7:$I$100,2)+SUMIFS('28'!$N$7:$N$100,'28'!$H$7:$H$100,$A211,'28'!$I$7:$I$100,2)+SUMIFS('29'!$N$7:$N$100,'29'!$H$7:$H$100,$A211,'29'!$I$7:$I$100,2)</f>
        <v>0</v>
      </c>
      <c r="E211" s="1315">
        <f>SUMIFS('12'!$N$7:$N$100,'12'!$H$7:$H$100,$A211,'12'!$I$7:$I$100,"")+SUMIFS('13'!$N$7:$N$100,'13'!$H$7:$H$100,$A211,'13'!$I$7:$I$100,"")+SUMIFS('14'!$N$7:$N$100,'14'!$H$7:$H$100,$A211,'14'!$I$7:$I$100,"")+SUMIFS('15'!$N$7:$N$100,'15'!$H$7:$H$100,$A211,'15'!$I$7:$I$100,"")+SUMIFS('15a'!$N$7:$N$100,'15a'!$H$7:$H$100,$A211,'15a'!$I$7:$I$100,"")+SUMIFS('15b'!$N$7:$N$100,'15b'!$H$7:$H$100,$A211,'15b'!$I$7:$I$100,"")+SUMIFS('15c'!$N$7:$N$100,'15c'!$H$7:$H$100,$A211,'15c'!$I$7:$I$100,"")+SUMIFS('15d'!$N$7:$N$100,'15d'!$H$7:$H$100,$A211,'15d'!$I$7:$I$100,"")+SUMIFS('15e'!$N$7:$N$100,'15e'!$H$7:$H$100,$A211,'15e'!$I$7:$I$100,"")+SUMIFS('15f'!$N$7:$N$100,'15f'!$H$7:$H$100,$A211,'15f'!$I$7:$I$100,"")+SUMIFS('15g'!$N$7:$N$100,'15g'!$H$7:$H$100,$A211,'15g'!$I$7:$I$100,"")+SUMIFS('15h'!$N$7:$N$100,'15h'!$H$7:$H$100,$A211,'15h'!$I$7:$I$100,"")+SUMIFS('15i'!$N$7:$N$100,'15i'!$H$7:$H$100,$A211,'15i'!$I$7:$I$100,"")+SUMIFS('15j'!$N$7:$N$100,'15j'!$H$7:$H$100,$A211,'15j'!$I$7:$I$100,"")+SUMIFS('15k'!$N$7:$N$100,'15k'!$H$7:$H$100,$A211,'15k'!$I$7:$I$100,"")+SUMIFS('15l'!$N$7:$N$100,'15l'!$H$7:$H$100,$A211,'15l'!$I$7:$I$100,"")+SUMIFS('15m'!$N$7:$N$100,'15m'!$H$7:$H$100,$A211,'15m'!$I$7:$I$100,"")+SUMIFS('15n'!$N$7:$N$100,'15n'!$H$7:$H$100,$A211,'15n'!$I$7:$I$100,"")+SUMIFS('16'!$N$7:$N$100,'16'!$H$7:$H$100,$A211,'16'!$I$7:$I$100,"")+SUMIFS('16a'!$N$7:$N$100,'16a'!$H$7:$H$100,$A211,'16a'!$I$7:$I$100,"")+SUMIFS('17'!$N$7:$N$100,'17'!$H$7:$H$100,$A211,'17'!$I$7:$I$100,"")+SUMIFS('17a'!$N$7:$N$100,'17a'!$H$7:$H$100,$A211,'17a'!$I$7:$I$100,"")+SUMIFS('18'!$N$7:$N$100,'18'!$H$7:$H$100,$A211,'18'!$I$7:$I$100,"")+SUMIFS('18a'!$N$7:$N$100,'18a'!$H$7:$H$100,$A211,'18a'!$I$7:$I$100,"")
+SUMIFS('19'!$N$7:$N$100,'19'!$H$7:$H$100,$A211,'19'!$I$7:$I$100,"")+SUMIFS('20'!$N$7:$N$100,'20'!$H$7:$H$100,$A211,'20'!$I$7:$I$100,"")+SUMIFS('20a'!$N$7:$N$100,'20a'!$H$7:$H$100,$A211,'20a'!$I$7:$I$100,"")+SUMIFS('21'!$N$7:$N$100,'21'!$H$7:$H$100,$A211,'21'!$I$7:$I$100,"")+SUMIFS('22'!$N$7:$N$100,'22'!$H$7:$H$100,$A211,'22'!$I$7:$I$100,"")+SUMIFS('22a'!$N$7:$N$100,'22a'!$H$7:$H$100,$A211,'22a'!$I$7:$I$100,"")+SUMIFS('22b'!$N$7:$N$100,'22b'!$H$7:$H$100,$A211,'22b'!$I$7:$I$100,"")+SUMIFS('23'!$N$7:$N$100,'23'!$H$7:$H$100,$A211,'23'!$I$7:$I$100,"")+SUMIFS('24'!$N$7:$N$100,'24'!$H$7:$H$100,$A211,'24'!$I$7:$I$100,"")+SUMIFS('24a'!$N$7:$N$100,'24a'!$H$7:$H$100,$A211,'24a'!$I$7:$I$100,"")+SUMIFS('24b'!$N$7:$N$100,'24b'!$H$7:$H$100,$A211,'24b'!$I$7:$I$100,"")+SUMIFS('24c'!$N$7:$N$100,'24c'!$H$7:$H$100,$A211,'24c'!$I$7:$I$100,"")+SUMIFS('24d'!$N$7:$N$100,'24d'!$H$7:$H$100,$A211,'24d'!$I$7:$I$100,"")+SUMIFS('24e'!$N$7:$N$100,'24e'!$H$7:$H$100,$A211,'24e'!$I$7:$I$100,"")+SUMIFS('24f'!$N$7:$N$100,'24f'!$H$7:$H$100,$A211,'24f'!$I$7:$I$100,"")+SUMIFS('24g'!$N$7:$N$100,'24g'!$H$7:$H$100,$A211,'24g'!$I$7:$I$100,"")+SUMIFS('24h'!$N$7:$N$100,'24h'!$H$7:$H$100,$A211,'24h'!$I$7:$I$100,"")+SUMIFS('24i'!$N$7:$N$100,'24i'!$H$7:$H$100,$A211,'24i'!$I$7:$I$100,"")+SUMIFS('25'!$N$7:$N$100,'25'!$H$7:$H$100,$A211,'25'!$I$7:$I$100,"")+SUMIFS('26'!$N$7:$N$100,'26'!$H$7:$H$100,$A211,'26'!$I$7:$I$100,"")+SUMIFS('26a'!$N$7:$N$100,'26a'!$H$7:$H$100,$A211,'26a'!$I$7:$I$100,"")+SUMIFS('27'!$N$7:$N$100,'27'!$H$7:$H$100,$A211,'27'!$I$7:$I$100,"")+SUMIFS('27a'!$N$7:$N$100,'27a'!$H$7:$H$100,$A211,'27a'!$I$7:$I$100,"")+SUMIFS('28'!$N$7:$N$100,'28'!$H$7:$H$100,$A211,'28'!$I$7:$I$100,"")+SUMIFS('29'!$N$7:$N$100,'29'!$H$7:$H$100,$A211,'29'!$I$7:$I$100,"")</f>
        <v>0</v>
      </c>
      <c r="F211" s="1296">
        <f t="shared" si="12"/>
        <v>0</v>
      </c>
      <c r="G211" s="1295">
        <f>SUMIFS('12'!$J$7:$J$100,'12'!$H$7:$H$100,$A211,'12'!$I$7:$I$100,1)+SUMIFS('13'!$J$7:$J$100,'13'!$H$7:$H$100,$A211,'13'!$I$7:$I$100,1)+SUMIFS('14'!$J$7:$J$100,'14'!$H$7:$H$100,$A211,'14'!$I$7:$I$100,1)+SUMIFS('15'!$J$7:$J$100,'15'!$H$7:$H$100,$A211,'15'!$I$7:$I$100,1)+SUMIFS('15a'!$J$7:$J$100,'15a'!$H$7:$H$100,$A211,'15a'!$I$7:$I$100,1)+SUMIFS('15b'!$J$7:$J$100,'15b'!$H$7:$H$100,$A211,'15b'!$I$7:$I$100,1)+SUMIFS('15c'!$J$7:$J$100,'15c'!$H$7:$H$100,$A211,'15c'!$I$7:$I$100,1)+SUMIFS('15d'!$J$7:$J$100,'15d'!$H$7:$H$100,$A211,'15d'!$I$7:$I$100,1)+SUMIFS('15e'!$J$7:$J$100,'15e'!$H$7:$H$100,$A211,'15e'!$I$7:$I$100,1)+SUMIFS('15f'!$J$7:$J$100,'15f'!$H$7:$H$100,$A211,'15f'!$I$7:$I$100,1)+SUMIFS('15g'!$J$7:$J$100,'15g'!$H$7:$H$100,$A211,'15g'!$I$7:$I$100,1)+SUMIFS('15h'!$J$7:$J$100,'15h'!$H$7:$H$100,$A211,'15h'!$I$7:$I$100,1)+SUMIFS('15i'!$J$7:$J$100,'15i'!$H$7:$H$100,$A211,'15i'!$I$7:$I$100,1)+SUMIFS('15j'!$J$7:$J$100,'15j'!$H$7:$H$100,$A211,'15j'!$I$7:$I$100,1)+SUMIFS('15k'!$J$7:$J$100,'15k'!$H$7:$H$100,$A211,'15k'!$I$7:$I$100,1)+SUMIFS('15l'!$J$7:$J$100,'15l'!$H$7:$H$100,$A211,'15l'!$I$7:$I$100,1)+SUMIFS('15m'!$J$7:$J$100,'15m'!$H$7:$H$100,$A211,'15m'!$I$7:$I$100,1)+SUMIFS('15n'!$J$7:$J$100,'15n'!$H$7:$H$100,$A211,'15n'!$I$7:$I$100,1)+SUMIFS('16'!$J$7:$J$100,'16'!$H$7:$H$100,$A211,'16'!$I$7:$I$100,1)+SUMIFS('16a'!$J$7:$J$100,'16a'!$H$7:$H$100,$A211,'16a'!$I$7:$I$100,1)+SUMIFS('17'!$J$7:$J$100,'17'!$H$7:$H$100,$A211,'17'!$I$7:$I$100,1)+SUMIFS('17a'!$J$7:$J$100,'17a'!$H$7:$H$100,$A211,'17a'!$I$7:$I$100,1)+SUMIFS('18'!$J$7:$J$100,'18'!$H$7:$H$100,$A211,'18'!$I$7:$I$100,1)+SUMIFS('18a'!$J$7:$J$100,'18a'!$H$7:$H$100,$A211,'18a'!$I$7:$I$100,1)
+SUMIFS('19'!$J$7:$J$100,'19'!$H$7:$H$100,$A211,'19'!$I$7:$I$100,1)+SUMIFS('20'!$J$7:$J$100,'20'!$H$7:$H$100,$A211,'20'!$I$7:$I$100,1)+SUMIFS('20a'!$J$7:$J$100,'20a'!$H$7:$H$100,$A211,'20a'!$I$7:$I$100,1)+SUMIFS('21'!$J$7:$J$100,'21'!$H$7:$H$100,$A211,'21'!$I$7:$I$100,1)+SUMIFS('22'!$J$7:$J$100,'22'!$H$7:$H$100,$A211,'22'!$I$7:$I$100,1)+SUMIFS('22a'!$J$7:$J$100,'22a'!$H$7:$H$100,$A211,'22a'!$I$7:$I$100,1)+SUMIFS('22b'!$J$7:$J$100,'22b'!$H$7:$H$100,$A211,'22b'!$I$7:$I$100,1)+SUMIFS('23'!$J$7:$J$100,'23'!$H$7:$H$100,$A211,'23'!$I$7:$I$100,1)+SUMIFS('24'!$J$7:$J$100,'24'!$H$7:$H$100,$A211,'24'!$I$7:$I$100,1)+SUMIFS('24a'!$J$7:$J$100,'24a'!$H$7:$H$100,$A211,'24a'!$I$7:$I$100,1)+SUMIFS('24b'!$J$7:$J$100,'24b'!$H$7:$H$100,$A211,'24b'!$I$7:$I$100,1)+SUMIFS('24c'!$J$7:$J$100,'24c'!$H$7:$H$100,$A211,'24c'!$I$7:$I$100,1)+SUMIFS('24d'!$J$7:$J$100,'24d'!$H$7:$H$100,$A211,'24d'!$I$7:$I$100,1)+SUMIFS('24e'!$J$7:$J$100,'24e'!$H$7:$H$100,$A211,'24e'!$I$7:$I$100,1)+SUMIFS('24f'!$J$7:$J$100,'24f'!$H$7:$H$100,$A211,'24f'!$I$7:$I$100,1)+SUMIFS('24g'!$J$7:$J$100,'24g'!$H$7:$H$100,$A211,'24g'!$I$7:$I$100,1)+SUMIFS('24h'!$J$7:$J$100,'24h'!$H$7:$H$100,$A211,'24h'!$I$7:$I$100,1)+SUMIFS('24i'!$J$7:$J$100,'24i'!$H$7:$H$100,$A211,'24i'!$I$7:$I$100,1)+SUMIFS('25'!$J$7:$J$100,'25'!$H$7:$H$100,$A211,'25'!$I$7:$I$100,1)+SUMIFS('26'!$J$7:$J$100,'26'!$H$7:$H$100,$A211,'26'!$I$7:$I$100,1)+SUMIFS('26a'!$J$7:$J$100,'26a'!$H$7:$H$100,$A211,'26a'!$I$7:$I$100,1)+SUMIFS('27'!$J$7:$J$100,'27'!$H$7:$H$100,$A211,'27'!$I$7:$I$100,1)+SUMIFS('27a'!$J$7:$J$100,'27a'!$H$7:$H$100,$A211,'27a'!$I$7:$I$100,1)+SUMIFS('28'!$J$7:$J$100,'28'!$H$7:$H$100,$A211,'28'!$I$7:$I$100,1)+SUMIFS('29'!$J$7:$J$100,'29'!$H$7:$H$100,$A211,'29'!$I$7:$I$100,1)</f>
        <v>0</v>
      </c>
      <c r="H211" s="1315">
        <f>SUMIFS('12'!$J$7:$J$100,'12'!$H$7:$H$100,$A211,'12'!$I$7:$I$100,2)+SUMIFS('13'!$J$7:$J$100,'13'!$H$7:$H$100,$A211,'13'!$I$7:$I$100,2)+SUMIFS('14'!$J$7:$J$100,'14'!$H$7:$H$100,$A211,'14'!$I$7:$I$100,2)+SUMIFS('15'!$J$7:$J$100,'15'!$H$7:$H$100,$A211,'15'!$I$7:$I$100,2)+SUMIFS('15a'!$J$7:$J$100,'15a'!$H$7:$H$100,$A211,'15a'!$I$7:$I$100,2)+SUMIFS('15b'!$J$7:$J$100,'15b'!$H$7:$H$100,$A211,'15b'!$I$7:$I$100,2)+SUMIFS('15c'!$J$7:$J$100,'15c'!$H$7:$H$100,$A211,'15c'!$I$7:$I$100,2)+SUMIFS('15d'!$J$7:$J$100,'15d'!$H$7:$H$100,$A211,'15d'!$I$7:$I$100,2)+SUMIFS('15e'!$J$7:$J$100,'15e'!$H$7:$H$100,$A211,'15e'!$I$7:$I$100,2)+SUMIFS('15f'!$J$7:$J$100,'15f'!$H$7:$H$100,$A211,'15f'!$I$7:$I$100,2)+SUMIFS('15g'!$J$7:$J$100,'15g'!$H$7:$H$100,$A211,'15g'!$I$7:$I$100,2)+SUMIFS('15h'!$J$7:$J$100,'15h'!$H$7:$H$100,$A211,'15h'!$I$7:$I$100,2)+SUMIFS('15i'!$J$7:$J$100,'15i'!$H$7:$H$100,$A211,'15i'!$I$7:$I$100,2)+SUMIFS('15j'!$J$7:$J$100,'15j'!$H$7:$H$100,$A211,'15j'!$I$7:$I$100,2)+SUMIFS('15k'!$J$7:$J$100,'15k'!$H$7:$H$100,$A211,'15k'!$I$7:$I$100,2)+SUMIFS('15l'!$J$7:$J$100,'15l'!$H$7:$H$100,$A211,'15l'!$I$7:$I$100,2)+SUMIFS('15m'!$J$7:$J$100,'15m'!$H$7:$H$100,$A211,'15m'!$I$7:$I$100,2)+SUMIFS('15n'!$J$7:$J$100,'15n'!$H$7:$H$100,$A211,'15n'!$I$7:$I$100,2)+SUMIFS('16'!$J$7:$J$100,'16'!$H$7:$H$100,$A211,'16'!$I$7:$I$100,2)+SUMIFS('16a'!$J$7:$J$100,'16a'!$H$7:$H$100,$A211,'16a'!$I$7:$I$100,2)+SUMIFS('17'!$J$7:$J$100,'17'!$H$7:$H$100,$A211,'17'!$I$7:$I$100,2)+SUMIFS('17a'!$J$7:$J$100,'17a'!$H$7:$H$100,$A211,'17a'!$I$7:$I$100,2)+SUMIFS('18'!$J$7:$J$100,'18'!$H$7:$H$100,$A211,'18'!$I$7:$I$100,2)+SUMIFS('18a'!$J$7:$J$100,'18a'!$H$7:$H$100,$A211,'18a'!$I$7:$I$100,2)
+SUMIFS('19'!$J$7:$J$100,'19'!$H$7:$H$100,$A211,'19'!$I$7:$I$100,2)+SUMIFS('20'!$J$7:$J$100,'20'!$H$7:$H$100,$A211,'20'!$I$7:$I$100,2)+SUMIFS('20a'!$J$7:$J$100,'20a'!$H$7:$H$100,$A211,'20a'!$I$7:$I$100,2)+SUMIFS('21'!$J$7:$J$100,'21'!$H$7:$H$100,$A211,'21'!$I$7:$I$100,2)+SUMIFS('22'!$J$7:$J$100,'22'!$H$7:$H$100,$A211,'22'!$I$7:$I$100,2)+SUMIFS('22a'!$J$7:$J$100,'22a'!$H$7:$H$100,$A211,'22a'!$I$7:$I$100,2)+SUMIFS('22b'!$J$7:$J$100,'22b'!$H$7:$H$100,$A211,'22b'!$I$7:$I$100,2)+SUMIFS('23'!$J$7:$J$100,'23'!$H$7:$H$100,$A211,'23'!$I$7:$I$100,2)+SUMIFS('24'!$J$7:$J$100,'24'!$H$7:$H$100,$A211,'24'!$I$7:$I$100,2)+SUMIFS('24a'!$J$7:$J$100,'24a'!$H$7:$H$100,$A211,'24a'!$I$7:$I$100,2)+SUMIFS('24b'!$J$7:$J$100,'24b'!$H$7:$H$100,$A211,'24b'!$I$7:$I$100,2)+SUMIFS('24c'!$J$7:$J$100,'24c'!$H$7:$H$100,$A211,'24c'!$I$7:$I$100,2)+SUMIFS('24d'!$J$7:$J$100,'24d'!$H$7:$H$100,$A211,'24d'!$I$7:$I$100,2)+SUMIFS('24e'!$J$7:$J$100,'24e'!$H$7:$H$100,$A211,'24e'!$I$7:$I$100,2)+SUMIFS('24f'!$J$7:$J$100,'24f'!$H$7:$H$100,$A211,'24f'!$I$7:$I$100,2)+SUMIFS('24g'!$J$7:$J$100,'24g'!$H$7:$H$100,$A211,'24g'!$I$7:$I$100,2)+SUMIFS('24h'!$J$7:$J$100,'24h'!$H$7:$H$100,$A211,'24h'!$I$7:$I$100,2)+SUMIFS('24i'!$J$7:$J$100,'24i'!$H$7:$H$100,$A211,'24i'!$I$7:$I$100,2)+SUMIFS('25'!$J$7:$J$100,'25'!$H$7:$H$100,$A211,'25'!$I$7:$I$100,2)+SUMIFS('26'!$J$7:$J$100,'26'!$H$7:$H$100,$A211,'26'!$I$7:$I$100,2)+SUMIFS('26a'!$J$7:$J$100,'26a'!$H$7:$H$100,$A211,'26a'!$I$7:$I$100,2)+SUMIFS('27'!$J$7:$J$100,'27'!$H$7:$H$100,$A211,'27'!$I$7:$I$100,2)+SUMIFS('27a'!$J$7:$J$100,'27a'!$H$7:$H$100,$A211,'27a'!$I$7:$I$100,2)+SUMIFS('28'!$J$7:$J$100,'28'!$H$7:$H$100,$A211,'28'!$I$7:$I$100,2)+SUMIFS('29'!$J$7:$J$100,'29'!$H$7:$H$100,$A211,'29'!$I$7:$I$100,2)</f>
        <v>0</v>
      </c>
      <c r="I211" s="1315">
        <f>SUMIFS('12'!$J$7:$J$100,'12'!$H$7:$H$100,$A211,'12'!$I$7:$I$100,"")+SUMIFS('13'!$J$7:$J$100,'13'!$H$7:$H$100,$A211,'13'!$I$7:$I$100,"")+SUMIFS('14'!$J$7:$J$100,'14'!$H$7:$H$100,$A211,'14'!$I$7:$I$100,"")+SUMIFS('15'!$J$7:$J$100,'15'!$H$7:$H$100,$A211,'15'!$I$7:$I$100,"")+SUMIFS('15a'!$J$7:$J$100,'15a'!$H$7:$H$100,$A211,'15a'!$I$7:$I$100,"")+SUMIFS('15b'!$J$7:$J$100,'15b'!$H$7:$H$100,$A211,'15b'!$I$7:$I$100,"")+SUMIFS('15c'!$J$7:$J$100,'15c'!$H$7:$H$100,$A211,'15c'!$I$7:$I$100,"")+SUMIFS('15d'!$J$7:$J$100,'15d'!$H$7:$H$100,$A211,'15d'!$I$7:$I$100,"")+SUMIFS('15e'!$J$7:$J$100,'15e'!$H$7:$H$100,$A211,'15e'!$I$7:$I$100,"")+SUMIFS('15f'!$J$7:$J$100,'15f'!$H$7:$H$100,$A211,'15f'!$I$7:$I$100,"")+SUMIFS('15g'!$J$7:$J$100,'15g'!$H$7:$H$100,$A211,'15g'!$I$7:$I$100,"")+SUMIFS('15h'!$J$7:$J$100,'15h'!$H$7:$H$100,$A211,'15h'!$I$7:$I$100,"")+SUMIFS('15i'!$J$7:$J$100,'15i'!$H$7:$H$100,$A211,'15i'!$I$7:$I$100,"")+SUMIFS('15j'!$J$7:$J$100,'15j'!$H$7:$H$100,$A211,'15j'!$I$7:$I$100,"")+SUMIFS('15k'!$J$7:$J$100,'15k'!$H$7:$H$100,$A211,'15k'!$I$7:$I$100,"")+SUMIFS('15l'!$J$7:$J$100,'15l'!$H$7:$H$100,$A211,'15l'!$I$7:$I$100,"")+SUMIFS('15m'!$J$7:$J$100,'15m'!$H$7:$H$100,$A211,'15m'!$I$7:$I$100,"")+SUMIFS('15n'!$J$7:$J$100,'15n'!$H$7:$H$100,$A211,'15n'!$I$7:$I$100,"")+SUMIFS('16'!$J$7:$J$100,'16'!$H$7:$H$100,$A211,'16'!$I$7:$I$100,"")+SUMIFS('16a'!$J$7:$J$100,'16a'!$H$7:$H$100,$A211,'16a'!$I$7:$I$100,"")+SUMIFS('17'!$J$7:$J$100,'17'!$H$7:$H$100,$A211,'17'!$I$7:$I$100,"")+SUMIFS('17a'!$J$7:$J$100,'17a'!$H$7:$H$100,$A211,'17a'!$I$7:$I$100,"")+SUMIFS('18'!$J$7:$J$100,'18'!$H$7:$H$100,$A211,'18'!$I$7:$I$100,"")+SUMIFS('18a'!$J$7:$J$100,'18a'!$H$7:$H$100,$A211,'18a'!$I$7:$I$100,"")
+SUMIFS('19'!$J$7:$J$100,'19'!$H$7:$H$100,$A211,'19'!$I$7:$I$100,"")+SUMIFS('20'!$J$7:$J$100,'20'!$H$7:$H$100,$A211,'20'!$I$7:$I$100,"")+SUMIFS('20a'!$J$7:$J$100,'20a'!$H$7:$H$100,$A211,'20a'!$I$7:$I$100,"")+SUMIFS('21'!$J$7:$J$100,'21'!$H$7:$H$100,$A211,'21'!$I$7:$I$100,"")+SUMIFS('22'!$J$7:$J$100,'22'!$H$7:$H$100,$A211,'22'!$I$7:$I$100,"")+SUMIFS('22a'!$J$7:$J$100,'22a'!$H$7:$H$100,$A211,'22a'!$I$7:$I$100,"")+SUMIFS('22b'!$J$7:$J$100,'22b'!$H$7:$H$100,$A211,'22b'!$I$7:$I$100,"")+SUMIFS('23'!$J$7:$J$100,'23'!$H$7:$H$100,$A211,'23'!$I$7:$I$100,"")+SUMIFS('24'!$J$7:$J$100,'24'!$H$7:$H$100,$A211,'24'!$I$7:$I$100,"")+SUMIFS('24a'!$J$7:$J$100,'24a'!$H$7:$H$100,$A211,'24a'!$I$7:$I$100,"")+SUMIFS('24b'!$J$7:$J$100,'24b'!$H$7:$H$100,$A211,'24b'!$I$7:$I$100,"")+SUMIFS('24c'!$J$7:$J$100,'24c'!$H$7:$H$100,$A211,'24c'!$I$7:$I$100,"")+SUMIFS('24d'!$J$7:$J$100,'24d'!$H$7:$H$100,$A211,'24d'!$I$7:$I$100,"")+SUMIFS('24e'!$J$7:$J$100,'24e'!$H$7:$H$100,$A211,'24e'!$I$7:$I$100,"")+SUMIFS('24f'!$J$7:$J$100,'24f'!$H$7:$H$100,$A211,'24f'!$I$7:$I$100,"")+SUMIFS('24g'!$J$7:$J$100,'24g'!$H$7:$H$100,$A211,'24g'!$I$7:$I$100,"")+SUMIFS('24h'!$J$7:$J$100,'24h'!$H$7:$H$100,$A211,'24h'!$I$7:$I$100,"")+SUMIFS('24i'!$J$7:$J$100,'24i'!$H$7:$H$100,$A211,'24i'!$I$7:$I$100,"")+SUMIFS('25'!$J$7:$J$100,'25'!$H$7:$H$100,$A211,'25'!$I$7:$I$100,"")+SUMIFS('26'!$J$7:$J$100,'26'!$H$7:$H$100,$A211,'26'!$I$7:$I$100,"")+SUMIFS('26a'!$J$7:$J$100,'26a'!$H$7:$H$100,$A211,'26a'!$I$7:$I$100,"")+SUMIFS('27'!$J$7:$J$100,'27'!$H$7:$H$100,$A211,'27'!$I$7:$I$100,"")+SUMIFS('27a'!$J$7:$J$100,'27a'!$H$7:$H$100,$A211,'27a'!$I$7:$I$100,"")+SUMIFS('28'!$J$7:$J$100,'28'!$H$7:$H$100,$A211,'28'!$I$7:$I$100,"")+SUMIFS('29'!$J$7:$J$100,'29'!$H$7:$H$100,$A211,'29'!$I$7:$I$100,"")</f>
        <v>0</v>
      </c>
      <c r="J211" s="1296">
        <f t="shared" si="13"/>
        <v>0</v>
      </c>
      <c r="K211"/>
      <c r="L211"/>
      <c r="M211"/>
      <c r="N211"/>
      <c r="O211"/>
      <c r="P211"/>
      <c r="Q211"/>
      <c r="R211"/>
      <c r="S211" s="1307">
        <f t="shared" si="2"/>
        <v>0</v>
      </c>
      <c r="T211"/>
    </row>
    <row r="212" spans="1:20" ht="12.75" customHeight="1" outlineLevel="1" x14ac:dyDescent="0.2">
      <c r="A212" t="s">
        <v>5276</v>
      </c>
      <c r="B212" t="s">
        <v>5482</v>
      </c>
      <c r="C212" s="1295">
        <f>SUMIFS('12'!$N$7:$N$100,'12'!$H$7:$H$100,$A212,'12'!$I$7:$I$100,1)+SUMIFS('13'!$N$7:$N$100,'13'!$H$7:$H$100,$A212,'13'!$I$7:$I$100,1)+SUMIFS('14'!$N$7:$N$100,'14'!$H$7:$H$100,$A212,'14'!$I$7:$I$100,1)+SUMIFS('15'!$N$7:$N$100,'15'!$H$7:$H$100,$A212,'15'!$I$7:$I$100,1)+SUMIFS('15a'!$N$7:$N$100,'15a'!$H$7:$H$100,$A212,'15a'!$I$7:$I$100,1)+SUMIFS('15b'!$N$7:$N$100,'15b'!$H$7:$H$100,$A212,'15b'!$I$7:$I$100,1)+SUMIFS('15c'!$N$7:$N$100,'15c'!$H$7:$H$100,$A212,'15c'!$I$7:$I$100,1)+SUMIFS('15d'!$N$7:$N$100,'15d'!$H$7:$H$100,$A212,'15d'!$I$7:$I$100,1)+SUMIFS('15e'!$N$7:$N$100,'15e'!$H$7:$H$100,$A212,'15e'!$I$7:$I$100,1)+SUMIFS('15f'!$N$7:$N$100,'15f'!$H$7:$H$100,$A212,'15f'!$I$7:$I$100,1)+SUMIFS('15g'!$N$7:$N$100,'15g'!$H$7:$H$100,$A212,'15g'!$I$7:$I$100,1)+SUMIFS('15h'!$N$7:$N$100,'15h'!$H$7:$H$100,$A212,'15h'!$I$7:$I$100,1)+SUMIFS('15i'!$N$7:$N$100,'15i'!$H$7:$H$100,$A212,'15i'!$I$7:$I$100,1)+SUMIFS('15j'!$N$7:$N$100,'15j'!$H$7:$H$100,$A212,'15j'!$I$7:$I$100,1)+SUMIFS('15k'!$N$7:$N$100,'15k'!$H$7:$H$100,$A212,'15k'!$I$7:$I$100,1)+SUMIFS('15l'!$N$7:$N$100,'15l'!$H$7:$H$100,$A212,'15l'!$I$7:$I$100,1)+SUMIFS('15m'!$N$7:$N$100,'15m'!$H$7:$H$100,$A212,'15m'!$I$7:$I$100,1)+SUMIFS('15n'!$N$7:$N$100,'15n'!$H$7:$H$100,$A212,'15n'!$I$7:$I$100,1)+SUMIFS('16'!$N$7:$N$100,'16'!$H$7:$H$100,$A212,'16'!$I$7:$I$100,1)+SUMIFS('16a'!$N$7:$N$100,'16a'!$H$7:$H$100,$A212,'16a'!$I$7:$I$100,1)+SUMIFS('17'!$N$7:$N$100,'17'!$H$7:$H$100,$A212,'17'!$I$7:$I$100,1)+SUMIFS('17a'!$N$7:$N$100,'17a'!$H$7:$H$100,$A212,'17a'!$I$7:$I$100,1)+SUMIFS('18'!$N$7:$N$100,'18'!$H$7:$H$100,$A212,'18'!$I$7:$I$100,1)+SUMIFS('18a'!$N$7:$N$100,'18a'!$H$7:$H$100,$A212,'18a'!$I$7:$I$100,1)
+SUMIFS('19'!$N$7:$N$100,'19'!$H$7:$H$100,$A212,'19'!$I$7:$I$100,1)+SUMIFS('20'!$N$7:$N$100,'20'!$H$7:$H$100,$A212,'20'!$I$7:$I$100,1)+SUMIFS('20a'!$N$7:$N$100,'20a'!$H$7:$H$100,$A212,'20a'!$I$7:$I$100,1)+SUMIFS('21'!$N$7:$N$100,'21'!$H$7:$H$100,$A212,'21'!$I$7:$I$100,1)+SUMIFS('22'!$N$7:$N$100,'22'!$H$7:$H$100,$A212,'22'!$I$7:$I$100,1)+SUMIFS('22a'!$N$7:$N$100,'22a'!$H$7:$H$100,$A212,'22a'!$I$7:$I$100,1)+SUMIFS('22b'!$N$7:$N$100,'22b'!$H$7:$H$100,$A212,'22b'!$I$7:$I$100,1)+SUMIFS('23'!$N$7:$N$100,'23'!$H$7:$H$100,$A212,'23'!$I$7:$I$100,1)+SUMIFS('24'!$N$7:$N$100,'24'!$H$7:$H$100,$A212,'24'!$I$7:$I$100,1)+SUMIFS('24a'!$N$7:$N$100,'24a'!$H$7:$H$100,$A212,'24a'!$I$7:$I$100,1)+SUMIFS('24b'!$N$7:$N$100,'24b'!$H$7:$H$100,$A212,'24b'!$I$7:$I$100,1)+SUMIFS('24c'!$N$7:$N$100,'24c'!$H$7:$H$100,$A212,'24c'!$I$7:$I$100,1)+SUMIFS('24d'!$N$7:$N$100,'24d'!$H$7:$H$100,$A212,'24d'!$I$7:$I$100,1)+SUMIFS('24e'!$N$7:$N$100,'24e'!$H$7:$H$100,$A212,'24e'!$I$7:$I$100,1)+SUMIFS('24f'!$N$7:$N$100,'24f'!$H$7:$H$100,$A212,'24f'!$I$7:$I$100,1)+SUMIFS('24g'!$N$7:$N$100,'24g'!$H$7:$H$100,$A212,'24g'!$I$7:$I$100,1)+SUMIFS('24h'!$N$7:$N$100,'24h'!$H$7:$H$100,$A212,'24h'!$I$7:$I$100,1)+SUMIFS('24i'!$N$7:$N$100,'24i'!$H$7:$H$100,$A212,'24i'!$I$7:$I$100,1)+SUMIFS('25'!$N$7:$N$100,'25'!$H$7:$H$100,$A212,'25'!$I$7:$I$100,1)+SUMIFS('26'!$N$7:$N$100,'26'!$H$7:$H$100,$A212,'26'!$I$7:$I$100,1)+SUMIFS('26a'!$N$7:$N$100,'26a'!$H$7:$H$100,$A212,'26a'!$I$7:$I$100,1)+SUMIFS('27'!$N$7:$N$100,'27'!$H$7:$H$100,$A212,'27'!$I$7:$I$100,1)+SUMIFS('27a'!$N$7:$N$100,'27a'!$H$7:$H$100,$A212,'27a'!$I$7:$I$100,1)+SUMIFS('28'!$N$7:$N$100,'28'!$H$7:$H$100,$A212,'28'!$I$7:$I$100,1)+SUMIFS('29'!$N$7:$N$100,'29'!$H$7:$H$100,$A212,'29'!$I$7:$I$100,1)</f>
        <v>0</v>
      </c>
      <c r="D212" s="1315">
        <f>SUMIFS('12'!$N$7:$N$100,'12'!$H$7:$H$100,$A212,'12'!$I$7:$I$100,2)+SUMIFS('13'!$N$7:$N$100,'13'!$H$7:$H$100,$A212,'13'!$I$7:$I$100,2)+SUMIFS('14'!$N$7:$N$100,'14'!$H$7:$H$100,$A212,'14'!$I$7:$I$100,2)+SUMIFS('15'!$N$7:$N$100,'15'!$H$7:$H$100,$A212,'15'!$I$7:$I$100,2)+SUMIFS('15a'!$N$7:$N$100,'15a'!$H$7:$H$100,$A212,'15a'!$I$7:$I$100,2)+SUMIFS('15b'!$N$7:$N$100,'15b'!$H$7:$H$100,$A212,'15b'!$I$7:$I$100,2)+SUMIFS('15c'!$N$7:$N$100,'15c'!$H$7:$H$100,$A212,'15c'!$I$7:$I$100,2)+SUMIFS('15d'!$N$7:$N$100,'15d'!$H$7:$H$100,$A212,'15d'!$I$7:$I$100,2)+SUMIFS('15e'!$N$7:$N$100,'15e'!$H$7:$H$100,$A212,'15e'!$I$7:$I$100,2)+SUMIFS('15f'!$N$7:$N$100,'15f'!$H$7:$H$100,$A212,'15f'!$I$7:$I$100,2)+SUMIFS('15g'!$N$7:$N$100,'15g'!$H$7:$H$100,$A212,'15g'!$I$7:$I$100,2)+SUMIFS('15h'!$N$7:$N$100,'15h'!$H$7:$H$100,$A212,'15h'!$I$7:$I$100,2)+SUMIFS('15i'!$N$7:$N$100,'15i'!$H$7:$H$100,$A212,'15i'!$I$7:$I$100,2)+SUMIFS('15j'!$N$7:$N$100,'15j'!$H$7:$H$100,$A212,'15j'!$I$7:$I$100,2)+SUMIFS('15k'!$N$7:$N$100,'15k'!$H$7:$H$100,$A212,'15k'!$I$7:$I$100,2)+SUMIFS('15l'!$N$7:$N$100,'15l'!$H$7:$H$100,$A212,'15l'!$I$7:$I$100,2)+SUMIFS('15m'!$N$7:$N$100,'15m'!$H$7:$H$100,$A212,'15m'!$I$7:$I$100,2)+SUMIFS('15n'!$N$7:$N$100,'15n'!$H$7:$H$100,$A212,'15n'!$I$7:$I$100,2)+SUMIFS('16'!$N$7:$N$100,'16'!$H$7:$H$100,$A212,'16'!$I$7:$I$100,2)+SUMIFS('16a'!$N$7:$N$100,'16a'!$H$7:$H$100,$A212,'16a'!$I$7:$I$100,2)+SUMIFS('17'!$N$7:$N$100,'17'!$H$7:$H$100,$A212,'17'!$I$7:$I$100,2)+SUMIFS('17a'!$N$7:$N$100,'17a'!$H$7:$H$100,$A212,'17a'!$I$7:$I$100,2)+SUMIFS('18'!$N$7:$N$100,'18'!$H$7:$H$100,$A212,'18'!$I$7:$I$100,2)+SUMIFS('18a'!$N$7:$N$100,'18a'!$H$7:$H$100,$A212,'18a'!$I$7:$I$100,2)
+SUMIFS('19'!$N$7:$N$100,'19'!$H$7:$H$100,$A212,'19'!$I$7:$I$100,2)+SUMIFS('20'!$N$7:$N$100,'20'!$H$7:$H$100,$A212,'20'!$I$7:$I$100,2)+SUMIFS('20a'!$N$7:$N$100,'20a'!$H$7:$H$100,$A212,'20a'!$I$7:$I$100,2)+SUMIFS('21'!$N$7:$N$100,'21'!$H$7:$H$100,$A212,'21'!$I$7:$I$100,2)+SUMIFS('22'!$N$7:$N$100,'22'!$H$7:$H$100,$A212,'22'!$I$7:$I$100,2)+SUMIFS('22a'!$N$7:$N$100,'22a'!$H$7:$H$100,$A212,'22a'!$I$7:$I$100,2)+SUMIFS('22b'!$N$7:$N$100,'22b'!$H$7:$H$100,$A212,'22b'!$I$7:$I$100,2)+SUMIFS('23'!$N$7:$N$100,'23'!$H$7:$H$100,$A212,'23'!$I$7:$I$100,2)+SUMIFS('24'!$N$7:$N$100,'24'!$H$7:$H$100,$A212,'24'!$I$7:$I$100,2)+SUMIFS('24a'!$N$7:$N$100,'24a'!$H$7:$H$100,$A212,'24a'!$I$7:$I$100,2)+SUMIFS('24b'!$N$7:$N$100,'24b'!$H$7:$H$100,$A212,'24b'!$I$7:$I$100,2)+SUMIFS('24c'!$N$7:$N$100,'24c'!$H$7:$H$100,$A212,'24c'!$I$7:$I$100,2)+SUMIFS('24d'!$N$7:$N$100,'24d'!$H$7:$H$100,$A212,'24d'!$I$7:$I$100,2)+SUMIFS('24e'!$N$7:$N$100,'24e'!$H$7:$H$100,$A212,'24e'!$I$7:$I$100,2)+SUMIFS('24f'!$N$7:$N$100,'24f'!$H$7:$H$100,$A212,'24f'!$I$7:$I$100,2)+SUMIFS('24g'!$N$7:$N$100,'24g'!$H$7:$H$100,$A212,'24g'!$I$7:$I$100,2)+SUMIFS('24h'!$N$7:$N$100,'24h'!$H$7:$H$100,$A212,'24h'!$I$7:$I$100,2)+SUMIFS('24i'!$N$7:$N$100,'24i'!$H$7:$H$100,$A212,'24i'!$I$7:$I$100,2)+SUMIFS('25'!$N$7:$N$100,'25'!$H$7:$H$100,$A212,'25'!$I$7:$I$100,2)+SUMIFS('26'!$N$7:$N$100,'26'!$H$7:$H$100,$A212,'26'!$I$7:$I$100,2)+SUMIFS('26a'!$N$7:$N$100,'26a'!$H$7:$H$100,$A212,'26a'!$I$7:$I$100,2)+SUMIFS('27'!$N$7:$N$100,'27'!$H$7:$H$100,$A212,'27'!$I$7:$I$100,2)+SUMIFS('27a'!$N$7:$N$100,'27a'!$H$7:$H$100,$A212,'27a'!$I$7:$I$100,2)+SUMIFS('28'!$N$7:$N$100,'28'!$H$7:$H$100,$A212,'28'!$I$7:$I$100,2)+SUMIFS('29'!$N$7:$N$100,'29'!$H$7:$H$100,$A212,'29'!$I$7:$I$100,2)</f>
        <v>0</v>
      </c>
      <c r="E212" s="1315">
        <f>SUMIFS('12'!$N$7:$N$100,'12'!$H$7:$H$100,$A212,'12'!$I$7:$I$100,"")+SUMIFS('13'!$N$7:$N$100,'13'!$H$7:$H$100,$A212,'13'!$I$7:$I$100,"")+SUMIFS('14'!$N$7:$N$100,'14'!$H$7:$H$100,$A212,'14'!$I$7:$I$100,"")+SUMIFS('15'!$N$7:$N$100,'15'!$H$7:$H$100,$A212,'15'!$I$7:$I$100,"")+SUMIFS('15a'!$N$7:$N$100,'15a'!$H$7:$H$100,$A212,'15a'!$I$7:$I$100,"")+SUMIFS('15b'!$N$7:$N$100,'15b'!$H$7:$H$100,$A212,'15b'!$I$7:$I$100,"")+SUMIFS('15c'!$N$7:$N$100,'15c'!$H$7:$H$100,$A212,'15c'!$I$7:$I$100,"")+SUMIFS('15d'!$N$7:$N$100,'15d'!$H$7:$H$100,$A212,'15d'!$I$7:$I$100,"")+SUMIFS('15e'!$N$7:$N$100,'15e'!$H$7:$H$100,$A212,'15e'!$I$7:$I$100,"")+SUMIFS('15f'!$N$7:$N$100,'15f'!$H$7:$H$100,$A212,'15f'!$I$7:$I$100,"")+SUMIFS('15g'!$N$7:$N$100,'15g'!$H$7:$H$100,$A212,'15g'!$I$7:$I$100,"")+SUMIFS('15h'!$N$7:$N$100,'15h'!$H$7:$H$100,$A212,'15h'!$I$7:$I$100,"")+SUMIFS('15i'!$N$7:$N$100,'15i'!$H$7:$H$100,$A212,'15i'!$I$7:$I$100,"")+SUMIFS('15j'!$N$7:$N$100,'15j'!$H$7:$H$100,$A212,'15j'!$I$7:$I$100,"")+SUMIFS('15k'!$N$7:$N$100,'15k'!$H$7:$H$100,$A212,'15k'!$I$7:$I$100,"")+SUMIFS('15l'!$N$7:$N$100,'15l'!$H$7:$H$100,$A212,'15l'!$I$7:$I$100,"")+SUMIFS('15m'!$N$7:$N$100,'15m'!$H$7:$H$100,$A212,'15m'!$I$7:$I$100,"")+SUMIFS('15n'!$N$7:$N$100,'15n'!$H$7:$H$100,$A212,'15n'!$I$7:$I$100,"")+SUMIFS('16'!$N$7:$N$100,'16'!$H$7:$H$100,$A212,'16'!$I$7:$I$100,"")+SUMIFS('16a'!$N$7:$N$100,'16a'!$H$7:$H$100,$A212,'16a'!$I$7:$I$100,"")+SUMIFS('17'!$N$7:$N$100,'17'!$H$7:$H$100,$A212,'17'!$I$7:$I$100,"")+SUMIFS('17a'!$N$7:$N$100,'17a'!$H$7:$H$100,$A212,'17a'!$I$7:$I$100,"")+SUMIFS('18'!$N$7:$N$100,'18'!$H$7:$H$100,$A212,'18'!$I$7:$I$100,"")+SUMIFS('18a'!$N$7:$N$100,'18a'!$H$7:$H$100,$A212,'18a'!$I$7:$I$100,"")
+SUMIFS('19'!$N$7:$N$100,'19'!$H$7:$H$100,$A212,'19'!$I$7:$I$100,"")+SUMIFS('20'!$N$7:$N$100,'20'!$H$7:$H$100,$A212,'20'!$I$7:$I$100,"")+SUMIFS('20a'!$N$7:$N$100,'20a'!$H$7:$H$100,$A212,'20a'!$I$7:$I$100,"")+SUMIFS('21'!$N$7:$N$100,'21'!$H$7:$H$100,$A212,'21'!$I$7:$I$100,"")+SUMIFS('22'!$N$7:$N$100,'22'!$H$7:$H$100,$A212,'22'!$I$7:$I$100,"")+SUMIFS('22a'!$N$7:$N$100,'22a'!$H$7:$H$100,$A212,'22a'!$I$7:$I$100,"")+SUMIFS('22b'!$N$7:$N$100,'22b'!$H$7:$H$100,$A212,'22b'!$I$7:$I$100,"")+SUMIFS('23'!$N$7:$N$100,'23'!$H$7:$H$100,$A212,'23'!$I$7:$I$100,"")+SUMIFS('24'!$N$7:$N$100,'24'!$H$7:$H$100,$A212,'24'!$I$7:$I$100,"")+SUMIFS('24a'!$N$7:$N$100,'24a'!$H$7:$H$100,$A212,'24a'!$I$7:$I$100,"")+SUMIFS('24b'!$N$7:$N$100,'24b'!$H$7:$H$100,$A212,'24b'!$I$7:$I$100,"")+SUMIFS('24c'!$N$7:$N$100,'24c'!$H$7:$H$100,$A212,'24c'!$I$7:$I$100,"")+SUMIFS('24d'!$N$7:$N$100,'24d'!$H$7:$H$100,$A212,'24d'!$I$7:$I$100,"")+SUMIFS('24e'!$N$7:$N$100,'24e'!$H$7:$H$100,$A212,'24e'!$I$7:$I$100,"")+SUMIFS('24f'!$N$7:$N$100,'24f'!$H$7:$H$100,$A212,'24f'!$I$7:$I$100,"")+SUMIFS('24g'!$N$7:$N$100,'24g'!$H$7:$H$100,$A212,'24g'!$I$7:$I$100,"")+SUMIFS('24h'!$N$7:$N$100,'24h'!$H$7:$H$100,$A212,'24h'!$I$7:$I$100,"")+SUMIFS('24i'!$N$7:$N$100,'24i'!$H$7:$H$100,$A212,'24i'!$I$7:$I$100,"")+SUMIFS('25'!$N$7:$N$100,'25'!$H$7:$H$100,$A212,'25'!$I$7:$I$100,"")+SUMIFS('26'!$N$7:$N$100,'26'!$H$7:$H$100,$A212,'26'!$I$7:$I$100,"")+SUMIFS('26a'!$N$7:$N$100,'26a'!$H$7:$H$100,$A212,'26a'!$I$7:$I$100,"")+SUMIFS('27'!$N$7:$N$100,'27'!$H$7:$H$100,$A212,'27'!$I$7:$I$100,"")+SUMIFS('27a'!$N$7:$N$100,'27a'!$H$7:$H$100,$A212,'27a'!$I$7:$I$100,"")+SUMIFS('28'!$N$7:$N$100,'28'!$H$7:$H$100,$A212,'28'!$I$7:$I$100,"")+SUMIFS('29'!$N$7:$N$100,'29'!$H$7:$H$100,$A212,'29'!$I$7:$I$100,"")</f>
        <v>0</v>
      </c>
      <c r="F212" s="1296">
        <f t="shared" si="12"/>
        <v>0</v>
      </c>
      <c r="G212" s="1295">
        <f>SUMIFS('12'!$J$7:$J$100,'12'!$H$7:$H$100,$A212,'12'!$I$7:$I$100,1)+SUMIFS('13'!$J$7:$J$100,'13'!$H$7:$H$100,$A212,'13'!$I$7:$I$100,1)+SUMIFS('14'!$J$7:$J$100,'14'!$H$7:$H$100,$A212,'14'!$I$7:$I$100,1)+SUMIFS('15'!$J$7:$J$100,'15'!$H$7:$H$100,$A212,'15'!$I$7:$I$100,1)+SUMIFS('15a'!$J$7:$J$100,'15a'!$H$7:$H$100,$A212,'15a'!$I$7:$I$100,1)+SUMIFS('15b'!$J$7:$J$100,'15b'!$H$7:$H$100,$A212,'15b'!$I$7:$I$100,1)+SUMIFS('15c'!$J$7:$J$100,'15c'!$H$7:$H$100,$A212,'15c'!$I$7:$I$100,1)+SUMIFS('15d'!$J$7:$J$100,'15d'!$H$7:$H$100,$A212,'15d'!$I$7:$I$100,1)+SUMIFS('15e'!$J$7:$J$100,'15e'!$H$7:$H$100,$A212,'15e'!$I$7:$I$100,1)+SUMIFS('15f'!$J$7:$J$100,'15f'!$H$7:$H$100,$A212,'15f'!$I$7:$I$100,1)+SUMIFS('15g'!$J$7:$J$100,'15g'!$H$7:$H$100,$A212,'15g'!$I$7:$I$100,1)+SUMIFS('15h'!$J$7:$J$100,'15h'!$H$7:$H$100,$A212,'15h'!$I$7:$I$100,1)+SUMIFS('15i'!$J$7:$J$100,'15i'!$H$7:$H$100,$A212,'15i'!$I$7:$I$100,1)+SUMIFS('15j'!$J$7:$J$100,'15j'!$H$7:$H$100,$A212,'15j'!$I$7:$I$100,1)+SUMIFS('15k'!$J$7:$J$100,'15k'!$H$7:$H$100,$A212,'15k'!$I$7:$I$100,1)+SUMIFS('15l'!$J$7:$J$100,'15l'!$H$7:$H$100,$A212,'15l'!$I$7:$I$100,1)+SUMIFS('15m'!$J$7:$J$100,'15m'!$H$7:$H$100,$A212,'15m'!$I$7:$I$100,1)+SUMIFS('15n'!$J$7:$J$100,'15n'!$H$7:$H$100,$A212,'15n'!$I$7:$I$100,1)+SUMIFS('16'!$J$7:$J$100,'16'!$H$7:$H$100,$A212,'16'!$I$7:$I$100,1)+SUMIFS('16a'!$J$7:$J$100,'16a'!$H$7:$H$100,$A212,'16a'!$I$7:$I$100,1)+SUMIFS('17'!$J$7:$J$100,'17'!$H$7:$H$100,$A212,'17'!$I$7:$I$100,1)+SUMIFS('17a'!$J$7:$J$100,'17a'!$H$7:$H$100,$A212,'17a'!$I$7:$I$100,1)+SUMIFS('18'!$J$7:$J$100,'18'!$H$7:$H$100,$A212,'18'!$I$7:$I$100,1)+SUMIFS('18a'!$J$7:$J$100,'18a'!$H$7:$H$100,$A212,'18a'!$I$7:$I$100,1)
+SUMIFS('19'!$J$7:$J$100,'19'!$H$7:$H$100,$A212,'19'!$I$7:$I$100,1)+SUMIFS('20'!$J$7:$J$100,'20'!$H$7:$H$100,$A212,'20'!$I$7:$I$100,1)+SUMIFS('20a'!$J$7:$J$100,'20a'!$H$7:$H$100,$A212,'20a'!$I$7:$I$100,1)+SUMIFS('21'!$J$7:$J$100,'21'!$H$7:$H$100,$A212,'21'!$I$7:$I$100,1)+SUMIFS('22'!$J$7:$J$100,'22'!$H$7:$H$100,$A212,'22'!$I$7:$I$100,1)+SUMIFS('22a'!$J$7:$J$100,'22a'!$H$7:$H$100,$A212,'22a'!$I$7:$I$100,1)+SUMIFS('22b'!$J$7:$J$100,'22b'!$H$7:$H$100,$A212,'22b'!$I$7:$I$100,1)+SUMIFS('23'!$J$7:$J$100,'23'!$H$7:$H$100,$A212,'23'!$I$7:$I$100,1)+SUMIFS('24'!$J$7:$J$100,'24'!$H$7:$H$100,$A212,'24'!$I$7:$I$100,1)+SUMIFS('24a'!$J$7:$J$100,'24a'!$H$7:$H$100,$A212,'24a'!$I$7:$I$100,1)+SUMIFS('24b'!$J$7:$J$100,'24b'!$H$7:$H$100,$A212,'24b'!$I$7:$I$100,1)+SUMIFS('24c'!$J$7:$J$100,'24c'!$H$7:$H$100,$A212,'24c'!$I$7:$I$100,1)+SUMIFS('24d'!$J$7:$J$100,'24d'!$H$7:$H$100,$A212,'24d'!$I$7:$I$100,1)+SUMIFS('24e'!$J$7:$J$100,'24e'!$H$7:$H$100,$A212,'24e'!$I$7:$I$100,1)+SUMIFS('24f'!$J$7:$J$100,'24f'!$H$7:$H$100,$A212,'24f'!$I$7:$I$100,1)+SUMIFS('24g'!$J$7:$J$100,'24g'!$H$7:$H$100,$A212,'24g'!$I$7:$I$100,1)+SUMIFS('24h'!$J$7:$J$100,'24h'!$H$7:$H$100,$A212,'24h'!$I$7:$I$100,1)+SUMIFS('24i'!$J$7:$J$100,'24i'!$H$7:$H$100,$A212,'24i'!$I$7:$I$100,1)+SUMIFS('25'!$J$7:$J$100,'25'!$H$7:$H$100,$A212,'25'!$I$7:$I$100,1)+SUMIFS('26'!$J$7:$J$100,'26'!$H$7:$H$100,$A212,'26'!$I$7:$I$100,1)+SUMIFS('26a'!$J$7:$J$100,'26a'!$H$7:$H$100,$A212,'26a'!$I$7:$I$100,1)+SUMIFS('27'!$J$7:$J$100,'27'!$H$7:$H$100,$A212,'27'!$I$7:$I$100,1)+SUMIFS('27a'!$J$7:$J$100,'27a'!$H$7:$H$100,$A212,'27a'!$I$7:$I$100,1)+SUMIFS('28'!$J$7:$J$100,'28'!$H$7:$H$100,$A212,'28'!$I$7:$I$100,1)+SUMIFS('29'!$J$7:$J$100,'29'!$H$7:$H$100,$A212,'29'!$I$7:$I$100,1)</f>
        <v>0</v>
      </c>
      <c r="H212" s="1315">
        <f>SUMIFS('12'!$J$7:$J$100,'12'!$H$7:$H$100,$A212,'12'!$I$7:$I$100,2)+SUMIFS('13'!$J$7:$J$100,'13'!$H$7:$H$100,$A212,'13'!$I$7:$I$100,2)+SUMIFS('14'!$J$7:$J$100,'14'!$H$7:$H$100,$A212,'14'!$I$7:$I$100,2)+SUMIFS('15'!$J$7:$J$100,'15'!$H$7:$H$100,$A212,'15'!$I$7:$I$100,2)+SUMIFS('15a'!$J$7:$J$100,'15a'!$H$7:$H$100,$A212,'15a'!$I$7:$I$100,2)+SUMIFS('15b'!$J$7:$J$100,'15b'!$H$7:$H$100,$A212,'15b'!$I$7:$I$100,2)+SUMIFS('15c'!$J$7:$J$100,'15c'!$H$7:$H$100,$A212,'15c'!$I$7:$I$100,2)+SUMIFS('15d'!$J$7:$J$100,'15d'!$H$7:$H$100,$A212,'15d'!$I$7:$I$100,2)+SUMIFS('15e'!$J$7:$J$100,'15e'!$H$7:$H$100,$A212,'15e'!$I$7:$I$100,2)+SUMIFS('15f'!$J$7:$J$100,'15f'!$H$7:$H$100,$A212,'15f'!$I$7:$I$100,2)+SUMIFS('15g'!$J$7:$J$100,'15g'!$H$7:$H$100,$A212,'15g'!$I$7:$I$100,2)+SUMIFS('15h'!$J$7:$J$100,'15h'!$H$7:$H$100,$A212,'15h'!$I$7:$I$100,2)+SUMIFS('15i'!$J$7:$J$100,'15i'!$H$7:$H$100,$A212,'15i'!$I$7:$I$100,2)+SUMIFS('15j'!$J$7:$J$100,'15j'!$H$7:$H$100,$A212,'15j'!$I$7:$I$100,2)+SUMIFS('15k'!$J$7:$J$100,'15k'!$H$7:$H$100,$A212,'15k'!$I$7:$I$100,2)+SUMIFS('15l'!$J$7:$J$100,'15l'!$H$7:$H$100,$A212,'15l'!$I$7:$I$100,2)+SUMIFS('15m'!$J$7:$J$100,'15m'!$H$7:$H$100,$A212,'15m'!$I$7:$I$100,2)+SUMIFS('15n'!$J$7:$J$100,'15n'!$H$7:$H$100,$A212,'15n'!$I$7:$I$100,2)+SUMIFS('16'!$J$7:$J$100,'16'!$H$7:$H$100,$A212,'16'!$I$7:$I$100,2)+SUMIFS('16a'!$J$7:$J$100,'16a'!$H$7:$H$100,$A212,'16a'!$I$7:$I$100,2)+SUMIFS('17'!$J$7:$J$100,'17'!$H$7:$H$100,$A212,'17'!$I$7:$I$100,2)+SUMIFS('17a'!$J$7:$J$100,'17a'!$H$7:$H$100,$A212,'17a'!$I$7:$I$100,2)+SUMIFS('18'!$J$7:$J$100,'18'!$H$7:$H$100,$A212,'18'!$I$7:$I$100,2)+SUMIFS('18a'!$J$7:$J$100,'18a'!$H$7:$H$100,$A212,'18a'!$I$7:$I$100,2)
+SUMIFS('19'!$J$7:$J$100,'19'!$H$7:$H$100,$A212,'19'!$I$7:$I$100,2)+SUMIFS('20'!$J$7:$J$100,'20'!$H$7:$H$100,$A212,'20'!$I$7:$I$100,2)+SUMIFS('20a'!$J$7:$J$100,'20a'!$H$7:$H$100,$A212,'20a'!$I$7:$I$100,2)+SUMIFS('21'!$J$7:$J$100,'21'!$H$7:$H$100,$A212,'21'!$I$7:$I$100,2)+SUMIFS('22'!$J$7:$J$100,'22'!$H$7:$H$100,$A212,'22'!$I$7:$I$100,2)+SUMIFS('22a'!$J$7:$J$100,'22a'!$H$7:$H$100,$A212,'22a'!$I$7:$I$100,2)+SUMIFS('22b'!$J$7:$J$100,'22b'!$H$7:$H$100,$A212,'22b'!$I$7:$I$100,2)+SUMIFS('23'!$J$7:$J$100,'23'!$H$7:$H$100,$A212,'23'!$I$7:$I$100,2)+SUMIFS('24'!$J$7:$J$100,'24'!$H$7:$H$100,$A212,'24'!$I$7:$I$100,2)+SUMIFS('24a'!$J$7:$J$100,'24a'!$H$7:$H$100,$A212,'24a'!$I$7:$I$100,2)+SUMIFS('24b'!$J$7:$J$100,'24b'!$H$7:$H$100,$A212,'24b'!$I$7:$I$100,2)+SUMIFS('24c'!$J$7:$J$100,'24c'!$H$7:$H$100,$A212,'24c'!$I$7:$I$100,2)+SUMIFS('24d'!$J$7:$J$100,'24d'!$H$7:$H$100,$A212,'24d'!$I$7:$I$100,2)+SUMIFS('24e'!$J$7:$J$100,'24e'!$H$7:$H$100,$A212,'24e'!$I$7:$I$100,2)+SUMIFS('24f'!$J$7:$J$100,'24f'!$H$7:$H$100,$A212,'24f'!$I$7:$I$100,2)+SUMIFS('24g'!$J$7:$J$100,'24g'!$H$7:$H$100,$A212,'24g'!$I$7:$I$100,2)+SUMIFS('24h'!$J$7:$J$100,'24h'!$H$7:$H$100,$A212,'24h'!$I$7:$I$100,2)+SUMIFS('24i'!$J$7:$J$100,'24i'!$H$7:$H$100,$A212,'24i'!$I$7:$I$100,2)+SUMIFS('25'!$J$7:$J$100,'25'!$H$7:$H$100,$A212,'25'!$I$7:$I$100,2)+SUMIFS('26'!$J$7:$J$100,'26'!$H$7:$H$100,$A212,'26'!$I$7:$I$100,2)+SUMIFS('26a'!$J$7:$J$100,'26a'!$H$7:$H$100,$A212,'26a'!$I$7:$I$100,2)+SUMIFS('27'!$J$7:$J$100,'27'!$H$7:$H$100,$A212,'27'!$I$7:$I$100,2)+SUMIFS('27a'!$J$7:$J$100,'27a'!$H$7:$H$100,$A212,'27a'!$I$7:$I$100,2)+SUMIFS('28'!$J$7:$J$100,'28'!$H$7:$H$100,$A212,'28'!$I$7:$I$100,2)+SUMIFS('29'!$J$7:$J$100,'29'!$H$7:$H$100,$A212,'29'!$I$7:$I$100,2)</f>
        <v>0</v>
      </c>
      <c r="I212" s="1315">
        <f>SUMIFS('12'!$J$7:$J$100,'12'!$H$7:$H$100,$A212,'12'!$I$7:$I$100,"")+SUMIFS('13'!$J$7:$J$100,'13'!$H$7:$H$100,$A212,'13'!$I$7:$I$100,"")+SUMIFS('14'!$J$7:$J$100,'14'!$H$7:$H$100,$A212,'14'!$I$7:$I$100,"")+SUMIFS('15'!$J$7:$J$100,'15'!$H$7:$H$100,$A212,'15'!$I$7:$I$100,"")+SUMIFS('15a'!$J$7:$J$100,'15a'!$H$7:$H$100,$A212,'15a'!$I$7:$I$100,"")+SUMIFS('15b'!$J$7:$J$100,'15b'!$H$7:$H$100,$A212,'15b'!$I$7:$I$100,"")+SUMIFS('15c'!$J$7:$J$100,'15c'!$H$7:$H$100,$A212,'15c'!$I$7:$I$100,"")+SUMIFS('15d'!$J$7:$J$100,'15d'!$H$7:$H$100,$A212,'15d'!$I$7:$I$100,"")+SUMIFS('15e'!$J$7:$J$100,'15e'!$H$7:$H$100,$A212,'15e'!$I$7:$I$100,"")+SUMIFS('15f'!$J$7:$J$100,'15f'!$H$7:$H$100,$A212,'15f'!$I$7:$I$100,"")+SUMIFS('15g'!$J$7:$J$100,'15g'!$H$7:$H$100,$A212,'15g'!$I$7:$I$100,"")+SUMIFS('15h'!$J$7:$J$100,'15h'!$H$7:$H$100,$A212,'15h'!$I$7:$I$100,"")+SUMIFS('15i'!$J$7:$J$100,'15i'!$H$7:$H$100,$A212,'15i'!$I$7:$I$100,"")+SUMIFS('15j'!$J$7:$J$100,'15j'!$H$7:$H$100,$A212,'15j'!$I$7:$I$100,"")+SUMIFS('15k'!$J$7:$J$100,'15k'!$H$7:$H$100,$A212,'15k'!$I$7:$I$100,"")+SUMIFS('15l'!$J$7:$J$100,'15l'!$H$7:$H$100,$A212,'15l'!$I$7:$I$100,"")+SUMIFS('15m'!$J$7:$J$100,'15m'!$H$7:$H$100,$A212,'15m'!$I$7:$I$100,"")+SUMIFS('15n'!$J$7:$J$100,'15n'!$H$7:$H$100,$A212,'15n'!$I$7:$I$100,"")+SUMIFS('16'!$J$7:$J$100,'16'!$H$7:$H$100,$A212,'16'!$I$7:$I$100,"")+SUMIFS('16a'!$J$7:$J$100,'16a'!$H$7:$H$100,$A212,'16a'!$I$7:$I$100,"")+SUMIFS('17'!$J$7:$J$100,'17'!$H$7:$H$100,$A212,'17'!$I$7:$I$100,"")+SUMIFS('17a'!$J$7:$J$100,'17a'!$H$7:$H$100,$A212,'17a'!$I$7:$I$100,"")+SUMIFS('18'!$J$7:$J$100,'18'!$H$7:$H$100,$A212,'18'!$I$7:$I$100,"")+SUMIFS('18a'!$J$7:$J$100,'18a'!$H$7:$H$100,$A212,'18a'!$I$7:$I$100,"")
+SUMIFS('19'!$J$7:$J$100,'19'!$H$7:$H$100,$A212,'19'!$I$7:$I$100,"")+SUMIFS('20'!$J$7:$J$100,'20'!$H$7:$H$100,$A212,'20'!$I$7:$I$100,"")+SUMIFS('20a'!$J$7:$J$100,'20a'!$H$7:$H$100,$A212,'20a'!$I$7:$I$100,"")+SUMIFS('21'!$J$7:$J$100,'21'!$H$7:$H$100,$A212,'21'!$I$7:$I$100,"")+SUMIFS('22'!$J$7:$J$100,'22'!$H$7:$H$100,$A212,'22'!$I$7:$I$100,"")+SUMIFS('22a'!$J$7:$J$100,'22a'!$H$7:$H$100,$A212,'22a'!$I$7:$I$100,"")+SUMIFS('22b'!$J$7:$J$100,'22b'!$H$7:$H$100,$A212,'22b'!$I$7:$I$100,"")+SUMIFS('23'!$J$7:$J$100,'23'!$H$7:$H$100,$A212,'23'!$I$7:$I$100,"")+SUMIFS('24'!$J$7:$J$100,'24'!$H$7:$H$100,$A212,'24'!$I$7:$I$100,"")+SUMIFS('24a'!$J$7:$J$100,'24a'!$H$7:$H$100,$A212,'24a'!$I$7:$I$100,"")+SUMIFS('24b'!$J$7:$J$100,'24b'!$H$7:$H$100,$A212,'24b'!$I$7:$I$100,"")+SUMIFS('24c'!$J$7:$J$100,'24c'!$H$7:$H$100,$A212,'24c'!$I$7:$I$100,"")+SUMIFS('24d'!$J$7:$J$100,'24d'!$H$7:$H$100,$A212,'24d'!$I$7:$I$100,"")+SUMIFS('24e'!$J$7:$J$100,'24e'!$H$7:$H$100,$A212,'24e'!$I$7:$I$100,"")+SUMIFS('24f'!$J$7:$J$100,'24f'!$H$7:$H$100,$A212,'24f'!$I$7:$I$100,"")+SUMIFS('24g'!$J$7:$J$100,'24g'!$H$7:$H$100,$A212,'24g'!$I$7:$I$100,"")+SUMIFS('24h'!$J$7:$J$100,'24h'!$H$7:$H$100,$A212,'24h'!$I$7:$I$100,"")+SUMIFS('24i'!$J$7:$J$100,'24i'!$H$7:$H$100,$A212,'24i'!$I$7:$I$100,"")+SUMIFS('25'!$J$7:$J$100,'25'!$H$7:$H$100,$A212,'25'!$I$7:$I$100,"")+SUMIFS('26'!$J$7:$J$100,'26'!$H$7:$H$100,$A212,'26'!$I$7:$I$100,"")+SUMIFS('26a'!$J$7:$J$100,'26a'!$H$7:$H$100,$A212,'26a'!$I$7:$I$100,"")+SUMIFS('27'!$J$7:$J$100,'27'!$H$7:$H$100,$A212,'27'!$I$7:$I$100,"")+SUMIFS('27a'!$J$7:$J$100,'27a'!$H$7:$H$100,$A212,'27a'!$I$7:$I$100,"")+SUMIFS('28'!$J$7:$J$100,'28'!$H$7:$H$100,$A212,'28'!$I$7:$I$100,"")+SUMIFS('29'!$J$7:$J$100,'29'!$H$7:$H$100,$A212,'29'!$I$7:$I$100,"")</f>
        <v>0</v>
      </c>
      <c r="J212" s="1296">
        <f t="shared" si="13"/>
        <v>0</v>
      </c>
      <c r="K212"/>
      <c r="L212"/>
      <c r="M212"/>
      <c r="N212"/>
      <c r="O212"/>
      <c r="P212"/>
      <c r="Q212"/>
      <c r="R212"/>
      <c r="S212" s="1307">
        <f t="shared" si="2"/>
        <v>0</v>
      </c>
      <c r="T212"/>
    </row>
    <row r="213" spans="1:20" ht="12.75" customHeight="1" outlineLevel="1" x14ac:dyDescent="0.2">
      <c r="A213" t="s">
        <v>5277</v>
      </c>
      <c r="B213" t="s">
        <v>5482</v>
      </c>
      <c r="C213" s="1295">
        <f>SUMIFS('12'!$N$7:$N$100,'12'!$H$7:$H$100,$A213,'12'!$I$7:$I$100,1)+SUMIFS('13'!$N$7:$N$100,'13'!$H$7:$H$100,$A213,'13'!$I$7:$I$100,1)+SUMIFS('14'!$N$7:$N$100,'14'!$H$7:$H$100,$A213,'14'!$I$7:$I$100,1)+SUMIFS('15'!$N$7:$N$100,'15'!$H$7:$H$100,$A213,'15'!$I$7:$I$100,1)+SUMIFS('15a'!$N$7:$N$100,'15a'!$H$7:$H$100,$A213,'15a'!$I$7:$I$100,1)+SUMIFS('15b'!$N$7:$N$100,'15b'!$H$7:$H$100,$A213,'15b'!$I$7:$I$100,1)+SUMIFS('15c'!$N$7:$N$100,'15c'!$H$7:$H$100,$A213,'15c'!$I$7:$I$100,1)+SUMIFS('15d'!$N$7:$N$100,'15d'!$H$7:$H$100,$A213,'15d'!$I$7:$I$100,1)+SUMIFS('15e'!$N$7:$N$100,'15e'!$H$7:$H$100,$A213,'15e'!$I$7:$I$100,1)+SUMIFS('15f'!$N$7:$N$100,'15f'!$H$7:$H$100,$A213,'15f'!$I$7:$I$100,1)+SUMIFS('15g'!$N$7:$N$100,'15g'!$H$7:$H$100,$A213,'15g'!$I$7:$I$100,1)+SUMIFS('15h'!$N$7:$N$100,'15h'!$H$7:$H$100,$A213,'15h'!$I$7:$I$100,1)+SUMIFS('15i'!$N$7:$N$100,'15i'!$H$7:$H$100,$A213,'15i'!$I$7:$I$100,1)+SUMIFS('15j'!$N$7:$N$100,'15j'!$H$7:$H$100,$A213,'15j'!$I$7:$I$100,1)+SUMIFS('15k'!$N$7:$N$100,'15k'!$H$7:$H$100,$A213,'15k'!$I$7:$I$100,1)+SUMIFS('15l'!$N$7:$N$100,'15l'!$H$7:$H$100,$A213,'15l'!$I$7:$I$100,1)+SUMIFS('15m'!$N$7:$N$100,'15m'!$H$7:$H$100,$A213,'15m'!$I$7:$I$100,1)+SUMIFS('15n'!$N$7:$N$100,'15n'!$H$7:$H$100,$A213,'15n'!$I$7:$I$100,1)+SUMIFS('16'!$N$7:$N$100,'16'!$H$7:$H$100,$A213,'16'!$I$7:$I$100,1)+SUMIFS('16a'!$N$7:$N$100,'16a'!$H$7:$H$100,$A213,'16a'!$I$7:$I$100,1)+SUMIFS('17'!$N$7:$N$100,'17'!$H$7:$H$100,$A213,'17'!$I$7:$I$100,1)+SUMIFS('17a'!$N$7:$N$100,'17a'!$H$7:$H$100,$A213,'17a'!$I$7:$I$100,1)+SUMIFS('18'!$N$7:$N$100,'18'!$H$7:$H$100,$A213,'18'!$I$7:$I$100,1)+SUMIFS('18a'!$N$7:$N$100,'18a'!$H$7:$H$100,$A213,'18a'!$I$7:$I$100,1)
+SUMIFS('19'!$N$7:$N$100,'19'!$H$7:$H$100,$A213,'19'!$I$7:$I$100,1)+SUMIFS('20'!$N$7:$N$100,'20'!$H$7:$H$100,$A213,'20'!$I$7:$I$100,1)+SUMIFS('20a'!$N$7:$N$100,'20a'!$H$7:$H$100,$A213,'20a'!$I$7:$I$100,1)+SUMIFS('21'!$N$7:$N$100,'21'!$H$7:$H$100,$A213,'21'!$I$7:$I$100,1)+SUMIFS('22'!$N$7:$N$100,'22'!$H$7:$H$100,$A213,'22'!$I$7:$I$100,1)+SUMIFS('22a'!$N$7:$N$100,'22a'!$H$7:$H$100,$A213,'22a'!$I$7:$I$100,1)+SUMIFS('22b'!$N$7:$N$100,'22b'!$H$7:$H$100,$A213,'22b'!$I$7:$I$100,1)+SUMIFS('23'!$N$7:$N$100,'23'!$H$7:$H$100,$A213,'23'!$I$7:$I$100,1)+SUMIFS('24'!$N$7:$N$100,'24'!$H$7:$H$100,$A213,'24'!$I$7:$I$100,1)+SUMIFS('24a'!$N$7:$N$100,'24a'!$H$7:$H$100,$A213,'24a'!$I$7:$I$100,1)+SUMIFS('24b'!$N$7:$N$100,'24b'!$H$7:$H$100,$A213,'24b'!$I$7:$I$100,1)+SUMIFS('24c'!$N$7:$N$100,'24c'!$H$7:$H$100,$A213,'24c'!$I$7:$I$100,1)+SUMIFS('24d'!$N$7:$N$100,'24d'!$H$7:$H$100,$A213,'24d'!$I$7:$I$100,1)+SUMIFS('24e'!$N$7:$N$100,'24e'!$H$7:$H$100,$A213,'24e'!$I$7:$I$100,1)+SUMIFS('24f'!$N$7:$N$100,'24f'!$H$7:$H$100,$A213,'24f'!$I$7:$I$100,1)+SUMIFS('24g'!$N$7:$N$100,'24g'!$H$7:$H$100,$A213,'24g'!$I$7:$I$100,1)+SUMIFS('24h'!$N$7:$N$100,'24h'!$H$7:$H$100,$A213,'24h'!$I$7:$I$100,1)+SUMIFS('24i'!$N$7:$N$100,'24i'!$H$7:$H$100,$A213,'24i'!$I$7:$I$100,1)+SUMIFS('25'!$N$7:$N$100,'25'!$H$7:$H$100,$A213,'25'!$I$7:$I$100,1)+SUMIFS('26'!$N$7:$N$100,'26'!$H$7:$H$100,$A213,'26'!$I$7:$I$100,1)+SUMIFS('26a'!$N$7:$N$100,'26a'!$H$7:$H$100,$A213,'26a'!$I$7:$I$100,1)+SUMIFS('27'!$N$7:$N$100,'27'!$H$7:$H$100,$A213,'27'!$I$7:$I$100,1)+SUMIFS('27a'!$N$7:$N$100,'27a'!$H$7:$H$100,$A213,'27a'!$I$7:$I$100,1)+SUMIFS('28'!$N$7:$N$100,'28'!$H$7:$H$100,$A213,'28'!$I$7:$I$100,1)+SUMIFS('29'!$N$7:$N$100,'29'!$H$7:$H$100,$A213,'29'!$I$7:$I$100,1)</f>
        <v>0</v>
      </c>
      <c r="D213" s="1315">
        <f>SUMIFS('12'!$N$7:$N$100,'12'!$H$7:$H$100,$A213,'12'!$I$7:$I$100,2)+SUMIFS('13'!$N$7:$N$100,'13'!$H$7:$H$100,$A213,'13'!$I$7:$I$100,2)+SUMIFS('14'!$N$7:$N$100,'14'!$H$7:$H$100,$A213,'14'!$I$7:$I$100,2)+SUMIFS('15'!$N$7:$N$100,'15'!$H$7:$H$100,$A213,'15'!$I$7:$I$100,2)+SUMIFS('15a'!$N$7:$N$100,'15a'!$H$7:$H$100,$A213,'15a'!$I$7:$I$100,2)+SUMIFS('15b'!$N$7:$N$100,'15b'!$H$7:$H$100,$A213,'15b'!$I$7:$I$100,2)+SUMIFS('15c'!$N$7:$N$100,'15c'!$H$7:$H$100,$A213,'15c'!$I$7:$I$100,2)+SUMIFS('15d'!$N$7:$N$100,'15d'!$H$7:$H$100,$A213,'15d'!$I$7:$I$100,2)+SUMIFS('15e'!$N$7:$N$100,'15e'!$H$7:$H$100,$A213,'15e'!$I$7:$I$100,2)+SUMIFS('15f'!$N$7:$N$100,'15f'!$H$7:$H$100,$A213,'15f'!$I$7:$I$100,2)+SUMIFS('15g'!$N$7:$N$100,'15g'!$H$7:$H$100,$A213,'15g'!$I$7:$I$100,2)+SUMIFS('15h'!$N$7:$N$100,'15h'!$H$7:$H$100,$A213,'15h'!$I$7:$I$100,2)+SUMIFS('15i'!$N$7:$N$100,'15i'!$H$7:$H$100,$A213,'15i'!$I$7:$I$100,2)+SUMIFS('15j'!$N$7:$N$100,'15j'!$H$7:$H$100,$A213,'15j'!$I$7:$I$100,2)+SUMIFS('15k'!$N$7:$N$100,'15k'!$H$7:$H$100,$A213,'15k'!$I$7:$I$100,2)+SUMIFS('15l'!$N$7:$N$100,'15l'!$H$7:$H$100,$A213,'15l'!$I$7:$I$100,2)+SUMIFS('15m'!$N$7:$N$100,'15m'!$H$7:$H$100,$A213,'15m'!$I$7:$I$100,2)+SUMIFS('15n'!$N$7:$N$100,'15n'!$H$7:$H$100,$A213,'15n'!$I$7:$I$100,2)+SUMIFS('16'!$N$7:$N$100,'16'!$H$7:$H$100,$A213,'16'!$I$7:$I$100,2)+SUMIFS('16a'!$N$7:$N$100,'16a'!$H$7:$H$100,$A213,'16a'!$I$7:$I$100,2)+SUMIFS('17'!$N$7:$N$100,'17'!$H$7:$H$100,$A213,'17'!$I$7:$I$100,2)+SUMIFS('17a'!$N$7:$N$100,'17a'!$H$7:$H$100,$A213,'17a'!$I$7:$I$100,2)+SUMIFS('18'!$N$7:$N$100,'18'!$H$7:$H$100,$A213,'18'!$I$7:$I$100,2)+SUMIFS('18a'!$N$7:$N$100,'18a'!$H$7:$H$100,$A213,'18a'!$I$7:$I$100,2)
+SUMIFS('19'!$N$7:$N$100,'19'!$H$7:$H$100,$A213,'19'!$I$7:$I$100,2)+SUMIFS('20'!$N$7:$N$100,'20'!$H$7:$H$100,$A213,'20'!$I$7:$I$100,2)+SUMIFS('20a'!$N$7:$N$100,'20a'!$H$7:$H$100,$A213,'20a'!$I$7:$I$100,2)+SUMIFS('21'!$N$7:$N$100,'21'!$H$7:$H$100,$A213,'21'!$I$7:$I$100,2)+SUMIFS('22'!$N$7:$N$100,'22'!$H$7:$H$100,$A213,'22'!$I$7:$I$100,2)+SUMIFS('22a'!$N$7:$N$100,'22a'!$H$7:$H$100,$A213,'22a'!$I$7:$I$100,2)+SUMIFS('22b'!$N$7:$N$100,'22b'!$H$7:$H$100,$A213,'22b'!$I$7:$I$100,2)+SUMIFS('23'!$N$7:$N$100,'23'!$H$7:$H$100,$A213,'23'!$I$7:$I$100,2)+SUMIFS('24'!$N$7:$N$100,'24'!$H$7:$H$100,$A213,'24'!$I$7:$I$100,2)+SUMIFS('24a'!$N$7:$N$100,'24a'!$H$7:$H$100,$A213,'24a'!$I$7:$I$100,2)+SUMIFS('24b'!$N$7:$N$100,'24b'!$H$7:$H$100,$A213,'24b'!$I$7:$I$100,2)+SUMIFS('24c'!$N$7:$N$100,'24c'!$H$7:$H$100,$A213,'24c'!$I$7:$I$100,2)+SUMIFS('24d'!$N$7:$N$100,'24d'!$H$7:$H$100,$A213,'24d'!$I$7:$I$100,2)+SUMIFS('24e'!$N$7:$N$100,'24e'!$H$7:$H$100,$A213,'24e'!$I$7:$I$100,2)+SUMIFS('24f'!$N$7:$N$100,'24f'!$H$7:$H$100,$A213,'24f'!$I$7:$I$100,2)+SUMIFS('24g'!$N$7:$N$100,'24g'!$H$7:$H$100,$A213,'24g'!$I$7:$I$100,2)+SUMIFS('24h'!$N$7:$N$100,'24h'!$H$7:$H$100,$A213,'24h'!$I$7:$I$100,2)+SUMIFS('24i'!$N$7:$N$100,'24i'!$H$7:$H$100,$A213,'24i'!$I$7:$I$100,2)+SUMIFS('25'!$N$7:$N$100,'25'!$H$7:$H$100,$A213,'25'!$I$7:$I$100,2)+SUMIFS('26'!$N$7:$N$100,'26'!$H$7:$H$100,$A213,'26'!$I$7:$I$100,2)+SUMIFS('26a'!$N$7:$N$100,'26a'!$H$7:$H$100,$A213,'26a'!$I$7:$I$100,2)+SUMIFS('27'!$N$7:$N$100,'27'!$H$7:$H$100,$A213,'27'!$I$7:$I$100,2)+SUMIFS('27a'!$N$7:$N$100,'27a'!$H$7:$H$100,$A213,'27a'!$I$7:$I$100,2)+SUMIFS('28'!$N$7:$N$100,'28'!$H$7:$H$100,$A213,'28'!$I$7:$I$100,2)+SUMIFS('29'!$N$7:$N$100,'29'!$H$7:$H$100,$A213,'29'!$I$7:$I$100,2)</f>
        <v>0</v>
      </c>
      <c r="E213" s="1315">
        <f>SUMIFS('12'!$N$7:$N$100,'12'!$H$7:$H$100,$A213,'12'!$I$7:$I$100,"")+SUMIFS('13'!$N$7:$N$100,'13'!$H$7:$H$100,$A213,'13'!$I$7:$I$100,"")+SUMIFS('14'!$N$7:$N$100,'14'!$H$7:$H$100,$A213,'14'!$I$7:$I$100,"")+SUMIFS('15'!$N$7:$N$100,'15'!$H$7:$H$100,$A213,'15'!$I$7:$I$100,"")+SUMIFS('15a'!$N$7:$N$100,'15a'!$H$7:$H$100,$A213,'15a'!$I$7:$I$100,"")+SUMIFS('15b'!$N$7:$N$100,'15b'!$H$7:$H$100,$A213,'15b'!$I$7:$I$100,"")+SUMIFS('15c'!$N$7:$N$100,'15c'!$H$7:$H$100,$A213,'15c'!$I$7:$I$100,"")+SUMIFS('15d'!$N$7:$N$100,'15d'!$H$7:$H$100,$A213,'15d'!$I$7:$I$100,"")+SUMIFS('15e'!$N$7:$N$100,'15e'!$H$7:$H$100,$A213,'15e'!$I$7:$I$100,"")+SUMIFS('15f'!$N$7:$N$100,'15f'!$H$7:$H$100,$A213,'15f'!$I$7:$I$100,"")+SUMIFS('15g'!$N$7:$N$100,'15g'!$H$7:$H$100,$A213,'15g'!$I$7:$I$100,"")+SUMIFS('15h'!$N$7:$N$100,'15h'!$H$7:$H$100,$A213,'15h'!$I$7:$I$100,"")+SUMIFS('15i'!$N$7:$N$100,'15i'!$H$7:$H$100,$A213,'15i'!$I$7:$I$100,"")+SUMIFS('15j'!$N$7:$N$100,'15j'!$H$7:$H$100,$A213,'15j'!$I$7:$I$100,"")+SUMIFS('15k'!$N$7:$N$100,'15k'!$H$7:$H$100,$A213,'15k'!$I$7:$I$100,"")+SUMIFS('15l'!$N$7:$N$100,'15l'!$H$7:$H$100,$A213,'15l'!$I$7:$I$100,"")+SUMIFS('15m'!$N$7:$N$100,'15m'!$H$7:$H$100,$A213,'15m'!$I$7:$I$100,"")+SUMIFS('15n'!$N$7:$N$100,'15n'!$H$7:$H$100,$A213,'15n'!$I$7:$I$100,"")+SUMIFS('16'!$N$7:$N$100,'16'!$H$7:$H$100,$A213,'16'!$I$7:$I$100,"")+SUMIFS('16a'!$N$7:$N$100,'16a'!$H$7:$H$100,$A213,'16a'!$I$7:$I$100,"")+SUMIFS('17'!$N$7:$N$100,'17'!$H$7:$H$100,$A213,'17'!$I$7:$I$100,"")+SUMIFS('17a'!$N$7:$N$100,'17a'!$H$7:$H$100,$A213,'17a'!$I$7:$I$100,"")+SUMIFS('18'!$N$7:$N$100,'18'!$H$7:$H$100,$A213,'18'!$I$7:$I$100,"")+SUMIFS('18a'!$N$7:$N$100,'18a'!$H$7:$H$100,$A213,'18a'!$I$7:$I$100,"")
+SUMIFS('19'!$N$7:$N$100,'19'!$H$7:$H$100,$A213,'19'!$I$7:$I$100,"")+SUMIFS('20'!$N$7:$N$100,'20'!$H$7:$H$100,$A213,'20'!$I$7:$I$100,"")+SUMIFS('20a'!$N$7:$N$100,'20a'!$H$7:$H$100,$A213,'20a'!$I$7:$I$100,"")+SUMIFS('21'!$N$7:$N$100,'21'!$H$7:$H$100,$A213,'21'!$I$7:$I$100,"")+SUMIFS('22'!$N$7:$N$100,'22'!$H$7:$H$100,$A213,'22'!$I$7:$I$100,"")+SUMIFS('22a'!$N$7:$N$100,'22a'!$H$7:$H$100,$A213,'22a'!$I$7:$I$100,"")+SUMIFS('22b'!$N$7:$N$100,'22b'!$H$7:$H$100,$A213,'22b'!$I$7:$I$100,"")+SUMIFS('23'!$N$7:$N$100,'23'!$H$7:$H$100,$A213,'23'!$I$7:$I$100,"")+SUMIFS('24'!$N$7:$N$100,'24'!$H$7:$H$100,$A213,'24'!$I$7:$I$100,"")+SUMIFS('24a'!$N$7:$N$100,'24a'!$H$7:$H$100,$A213,'24a'!$I$7:$I$100,"")+SUMIFS('24b'!$N$7:$N$100,'24b'!$H$7:$H$100,$A213,'24b'!$I$7:$I$100,"")+SUMIFS('24c'!$N$7:$N$100,'24c'!$H$7:$H$100,$A213,'24c'!$I$7:$I$100,"")+SUMIFS('24d'!$N$7:$N$100,'24d'!$H$7:$H$100,$A213,'24d'!$I$7:$I$100,"")+SUMIFS('24e'!$N$7:$N$100,'24e'!$H$7:$H$100,$A213,'24e'!$I$7:$I$100,"")+SUMIFS('24f'!$N$7:$N$100,'24f'!$H$7:$H$100,$A213,'24f'!$I$7:$I$100,"")+SUMIFS('24g'!$N$7:$N$100,'24g'!$H$7:$H$100,$A213,'24g'!$I$7:$I$100,"")+SUMIFS('24h'!$N$7:$N$100,'24h'!$H$7:$H$100,$A213,'24h'!$I$7:$I$100,"")+SUMIFS('24i'!$N$7:$N$100,'24i'!$H$7:$H$100,$A213,'24i'!$I$7:$I$100,"")+SUMIFS('25'!$N$7:$N$100,'25'!$H$7:$H$100,$A213,'25'!$I$7:$I$100,"")+SUMIFS('26'!$N$7:$N$100,'26'!$H$7:$H$100,$A213,'26'!$I$7:$I$100,"")+SUMIFS('26a'!$N$7:$N$100,'26a'!$H$7:$H$100,$A213,'26a'!$I$7:$I$100,"")+SUMIFS('27'!$N$7:$N$100,'27'!$H$7:$H$100,$A213,'27'!$I$7:$I$100,"")+SUMIFS('27a'!$N$7:$N$100,'27a'!$H$7:$H$100,$A213,'27a'!$I$7:$I$100,"")+SUMIFS('28'!$N$7:$N$100,'28'!$H$7:$H$100,$A213,'28'!$I$7:$I$100,"")+SUMIFS('29'!$N$7:$N$100,'29'!$H$7:$H$100,$A213,'29'!$I$7:$I$100,"")</f>
        <v>0</v>
      </c>
      <c r="F213" s="1296">
        <f t="shared" si="12"/>
        <v>0</v>
      </c>
      <c r="G213" s="1295">
        <f>SUMIFS('12'!$J$7:$J$100,'12'!$H$7:$H$100,$A213,'12'!$I$7:$I$100,1)+SUMIFS('13'!$J$7:$J$100,'13'!$H$7:$H$100,$A213,'13'!$I$7:$I$100,1)+SUMIFS('14'!$J$7:$J$100,'14'!$H$7:$H$100,$A213,'14'!$I$7:$I$100,1)+SUMIFS('15'!$J$7:$J$100,'15'!$H$7:$H$100,$A213,'15'!$I$7:$I$100,1)+SUMIFS('15a'!$J$7:$J$100,'15a'!$H$7:$H$100,$A213,'15a'!$I$7:$I$100,1)+SUMIFS('15b'!$J$7:$J$100,'15b'!$H$7:$H$100,$A213,'15b'!$I$7:$I$100,1)+SUMIFS('15c'!$J$7:$J$100,'15c'!$H$7:$H$100,$A213,'15c'!$I$7:$I$100,1)+SUMIFS('15d'!$J$7:$J$100,'15d'!$H$7:$H$100,$A213,'15d'!$I$7:$I$100,1)+SUMIFS('15e'!$J$7:$J$100,'15e'!$H$7:$H$100,$A213,'15e'!$I$7:$I$100,1)+SUMIFS('15f'!$J$7:$J$100,'15f'!$H$7:$H$100,$A213,'15f'!$I$7:$I$100,1)+SUMIFS('15g'!$J$7:$J$100,'15g'!$H$7:$H$100,$A213,'15g'!$I$7:$I$100,1)+SUMIFS('15h'!$J$7:$J$100,'15h'!$H$7:$H$100,$A213,'15h'!$I$7:$I$100,1)+SUMIFS('15i'!$J$7:$J$100,'15i'!$H$7:$H$100,$A213,'15i'!$I$7:$I$100,1)+SUMIFS('15j'!$J$7:$J$100,'15j'!$H$7:$H$100,$A213,'15j'!$I$7:$I$100,1)+SUMIFS('15k'!$J$7:$J$100,'15k'!$H$7:$H$100,$A213,'15k'!$I$7:$I$100,1)+SUMIFS('15l'!$J$7:$J$100,'15l'!$H$7:$H$100,$A213,'15l'!$I$7:$I$100,1)+SUMIFS('15m'!$J$7:$J$100,'15m'!$H$7:$H$100,$A213,'15m'!$I$7:$I$100,1)+SUMIFS('15n'!$J$7:$J$100,'15n'!$H$7:$H$100,$A213,'15n'!$I$7:$I$100,1)+SUMIFS('16'!$J$7:$J$100,'16'!$H$7:$H$100,$A213,'16'!$I$7:$I$100,1)+SUMIFS('16a'!$J$7:$J$100,'16a'!$H$7:$H$100,$A213,'16a'!$I$7:$I$100,1)+SUMIFS('17'!$J$7:$J$100,'17'!$H$7:$H$100,$A213,'17'!$I$7:$I$100,1)+SUMIFS('17a'!$J$7:$J$100,'17a'!$H$7:$H$100,$A213,'17a'!$I$7:$I$100,1)+SUMIFS('18'!$J$7:$J$100,'18'!$H$7:$H$100,$A213,'18'!$I$7:$I$100,1)+SUMIFS('18a'!$J$7:$J$100,'18a'!$H$7:$H$100,$A213,'18a'!$I$7:$I$100,1)
+SUMIFS('19'!$J$7:$J$100,'19'!$H$7:$H$100,$A213,'19'!$I$7:$I$100,1)+SUMIFS('20'!$J$7:$J$100,'20'!$H$7:$H$100,$A213,'20'!$I$7:$I$100,1)+SUMIFS('20a'!$J$7:$J$100,'20a'!$H$7:$H$100,$A213,'20a'!$I$7:$I$100,1)+SUMIFS('21'!$J$7:$J$100,'21'!$H$7:$H$100,$A213,'21'!$I$7:$I$100,1)+SUMIFS('22'!$J$7:$J$100,'22'!$H$7:$H$100,$A213,'22'!$I$7:$I$100,1)+SUMIFS('22a'!$J$7:$J$100,'22a'!$H$7:$H$100,$A213,'22a'!$I$7:$I$100,1)+SUMIFS('22b'!$J$7:$J$100,'22b'!$H$7:$H$100,$A213,'22b'!$I$7:$I$100,1)+SUMIFS('23'!$J$7:$J$100,'23'!$H$7:$H$100,$A213,'23'!$I$7:$I$100,1)+SUMIFS('24'!$J$7:$J$100,'24'!$H$7:$H$100,$A213,'24'!$I$7:$I$100,1)+SUMIFS('24a'!$J$7:$J$100,'24a'!$H$7:$H$100,$A213,'24a'!$I$7:$I$100,1)+SUMIFS('24b'!$J$7:$J$100,'24b'!$H$7:$H$100,$A213,'24b'!$I$7:$I$100,1)+SUMIFS('24c'!$J$7:$J$100,'24c'!$H$7:$H$100,$A213,'24c'!$I$7:$I$100,1)+SUMIFS('24d'!$J$7:$J$100,'24d'!$H$7:$H$100,$A213,'24d'!$I$7:$I$100,1)+SUMIFS('24e'!$J$7:$J$100,'24e'!$H$7:$H$100,$A213,'24e'!$I$7:$I$100,1)+SUMIFS('24f'!$J$7:$J$100,'24f'!$H$7:$H$100,$A213,'24f'!$I$7:$I$100,1)+SUMIFS('24g'!$J$7:$J$100,'24g'!$H$7:$H$100,$A213,'24g'!$I$7:$I$100,1)+SUMIFS('24h'!$J$7:$J$100,'24h'!$H$7:$H$100,$A213,'24h'!$I$7:$I$100,1)+SUMIFS('24i'!$J$7:$J$100,'24i'!$H$7:$H$100,$A213,'24i'!$I$7:$I$100,1)+SUMIFS('25'!$J$7:$J$100,'25'!$H$7:$H$100,$A213,'25'!$I$7:$I$100,1)+SUMIFS('26'!$J$7:$J$100,'26'!$H$7:$H$100,$A213,'26'!$I$7:$I$100,1)+SUMIFS('26a'!$J$7:$J$100,'26a'!$H$7:$H$100,$A213,'26a'!$I$7:$I$100,1)+SUMIFS('27'!$J$7:$J$100,'27'!$H$7:$H$100,$A213,'27'!$I$7:$I$100,1)+SUMIFS('27a'!$J$7:$J$100,'27a'!$H$7:$H$100,$A213,'27a'!$I$7:$I$100,1)+SUMIFS('28'!$J$7:$J$100,'28'!$H$7:$H$100,$A213,'28'!$I$7:$I$100,1)+SUMIFS('29'!$J$7:$J$100,'29'!$H$7:$H$100,$A213,'29'!$I$7:$I$100,1)</f>
        <v>0</v>
      </c>
      <c r="H213" s="1315">
        <f>SUMIFS('12'!$J$7:$J$100,'12'!$H$7:$H$100,$A213,'12'!$I$7:$I$100,2)+SUMIFS('13'!$J$7:$J$100,'13'!$H$7:$H$100,$A213,'13'!$I$7:$I$100,2)+SUMIFS('14'!$J$7:$J$100,'14'!$H$7:$H$100,$A213,'14'!$I$7:$I$100,2)+SUMIFS('15'!$J$7:$J$100,'15'!$H$7:$H$100,$A213,'15'!$I$7:$I$100,2)+SUMIFS('15a'!$J$7:$J$100,'15a'!$H$7:$H$100,$A213,'15a'!$I$7:$I$100,2)+SUMIFS('15b'!$J$7:$J$100,'15b'!$H$7:$H$100,$A213,'15b'!$I$7:$I$100,2)+SUMIFS('15c'!$J$7:$J$100,'15c'!$H$7:$H$100,$A213,'15c'!$I$7:$I$100,2)+SUMIFS('15d'!$J$7:$J$100,'15d'!$H$7:$H$100,$A213,'15d'!$I$7:$I$100,2)+SUMIFS('15e'!$J$7:$J$100,'15e'!$H$7:$H$100,$A213,'15e'!$I$7:$I$100,2)+SUMIFS('15f'!$J$7:$J$100,'15f'!$H$7:$H$100,$A213,'15f'!$I$7:$I$100,2)+SUMIFS('15g'!$J$7:$J$100,'15g'!$H$7:$H$100,$A213,'15g'!$I$7:$I$100,2)+SUMIFS('15h'!$J$7:$J$100,'15h'!$H$7:$H$100,$A213,'15h'!$I$7:$I$100,2)+SUMIFS('15i'!$J$7:$J$100,'15i'!$H$7:$H$100,$A213,'15i'!$I$7:$I$100,2)+SUMIFS('15j'!$J$7:$J$100,'15j'!$H$7:$H$100,$A213,'15j'!$I$7:$I$100,2)+SUMIFS('15k'!$J$7:$J$100,'15k'!$H$7:$H$100,$A213,'15k'!$I$7:$I$100,2)+SUMIFS('15l'!$J$7:$J$100,'15l'!$H$7:$H$100,$A213,'15l'!$I$7:$I$100,2)+SUMIFS('15m'!$J$7:$J$100,'15m'!$H$7:$H$100,$A213,'15m'!$I$7:$I$100,2)+SUMIFS('15n'!$J$7:$J$100,'15n'!$H$7:$H$100,$A213,'15n'!$I$7:$I$100,2)+SUMIFS('16'!$J$7:$J$100,'16'!$H$7:$H$100,$A213,'16'!$I$7:$I$100,2)+SUMIFS('16a'!$J$7:$J$100,'16a'!$H$7:$H$100,$A213,'16a'!$I$7:$I$100,2)+SUMIFS('17'!$J$7:$J$100,'17'!$H$7:$H$100,$A213,'17'!$I$7:$I$100,2)+SUMIFS('17a'!$J$7:$J$100,'17a'!$H$7:$H$100,$A213,'17a'!$I$7:$I$100,2)+SUMIFS('18'!$J$7:$J$100,'18'!$H$7:$H$100,$A213,'18'!$I$7:$I$100,2)+SUMIFS('18a'!$J$7:$J$100,'18a'!$H$7:$H$100,$A213,'18a'!$I$7:$I$100,2)
+SUMIFS('19'!$J$7:$J$100,'19'!$H$7:$H$100,$A213,'19'!$I$7:$I$100,2)+SUMIFS('20'!$J$7:$J$100,'20'!$H$7:$H$100,$A213,'20'!$I$7:$I$100,2)+SUMIFS('20a'!$J$7:$J$100,'20a'!$H$7:$H$100,$A213,'20a'!$I$7:$I$100,2)+SUMIFS('21'!$J$7:$J$100,'21'!$H$7:$H$100,$A213,'21'!$I$7:$I$100,2)+SUMIFS('22'!$J$7:$J$100,'22'!$H$7:$H$100,$A213,'22'!$I$7:$I$100,2)+SUMIFS('22a'!$J$7:$J$100,'22a'!$H$7:$H$100,$A213,'22a'!$I$7:$I$100,2)+SUMIFS('22b'!$J$7:$J$100,'22b'!$H$7:$H$100,$A213,'22b'!$I$7:$I$100,2)+SUMIFS('23'!$J$7:$J$100,'23'!$H$7:$H$100,$A213,'23'!$I$7:$I$100,2)+SUMIFS('24'!$J$7:$J$100,'24'!$H$7:$H$100,$A213,'24'!$I$7:$I$100,2)+SUMIFS('24a'!$J$7:$J$100,'24a'!$H$7:$H$100,$A213,'24a'!$I$7:$I$100,2)+SUMIFS('24b'!$J$7:$J$100,'24b'!$H$7:$H$100,$A213,'24b'!$I$7:$I$100,2)+SUMIFS('24c'!$J$7:$J$100,'24c'!$H$7:$H$100,$A213,'24c'!$I$7:$I$100,2)+SUMIFS('24d'!$J$7:$J$100,'24d'!$H$7:$H$100,$A213,'24d'!$I$7:$I$100,2)+SUMIFS('24e'!$J$7:$J$100,'24e'!$H$7:$H$100,$A213,'24e'!$I$7:$I$100,2)+SUMIFS('24f'!$J$7:$J$100,'24f'!$H$7:$H$100,$A213,'24f'!$I$7:$I$100,2)+SUMIFS('24g'!$J$7:$J$100,'24g'!$H$7:$H$100,$A213,'24g'!$I$7:$I$100,2)+SUMIFS('24h'!$J$7:$J$100,'24h'!$H$7:$H$100,$A213,'24h'!$I$7:$I$100,2)+SUMIFS('24i'!$J$7:$J$100,'24i'!$H$7:$H$100,$A213,'24i'!$I$7:$I$100,2)+SUMIFS('25'!$J$7:$J$100,'25'!$H$7:$H$100,$A213,'25'!$I$7:$I$100,2)+SUMIFS('26'!$J$7:$J$100,'26'!$H$7:$H$100,$A213,'26'!$I$7:$I$100,2)+SUMIFS('26a'!$J$7:$J$100,'26a'!$H$7:$H$100,$A213,'26a'!$I$7:$I$100,2)+SUMIFS('27'!$J$7:$J$100,'27'!$H$7:$H$100,$A213,'27'!$I$7:$I$100,2)+SUMIFS('27a'!$J$7:$J$100,'27a'!$H$7:$H$100,$A213,'27a'!$I$7:$I$100,2)+SUMIFS('28'!$J$7:$J$100,'28'!$H$7:$H$100,$A213,'28'!$I$7:$I$100,2)+SUMIFS('29'!$J$7:$J$100,'29'!$H$7:$H$100,$A213,'29'!$I$7:$I$100,2)</f>
        <v>0</v>
      </c>
      <c r="I213" s="1315">
        <f>SUMIFS('12'!$J$7:$J$100,'12'!$H$7:$H$100,$A213,'12'!$I$7:$I$100,"")+SUMIFS('13'!$J$7:$J$100,'13'!$H$7:$H$100,$A213,'13'!$I$7:$I$100,"")+SUMIFS('14'!$J$7:$J$100,'14'!$H$7:$H$100,$A213,'14'!$I$7:$I$100,"")+SUMIFS('15'!$J$7:$J$100,'15'!$H$7:$H$100,$A213,'15'!$I$7:$I$100,"")+SUMIFS('15a'!$J$7:$J$100,'15a'!$H$7:$H$100,$A213,'15a'!$I$7:$I$100,"")+SUMIFS('15b'!$J$7:$J$100,'15b'!$H$7:$H$100,$A213,'15b'!$I$7:$I$100,"")+SUMIFS('15c'!$J$7:$J$100,'15c'!$H$7:$H$100,$A213,'15c'!$I$7:$I$100,"")+SUMIFS('15d'!$J$7:$J$100,'15d'!$H$7:$H$100,$A213,'15d'!$I$7:$I$100,"")+SUMIFS('15e'!$J$7:$J$100,'15e'!$H$7:$H$100,$A213,'15e'!$I$7:$I$100,"")+SUMIFS('15f'!$J$7:$J$100,'15f'!$H$7:$H$100,$A213,'15f'!$I$7:$I$100,"")+SUMIFS('15g'!$J$7:$J$100,'15g'!$H$7:$H$100,$A213,'15g'!$I$7:$I$100,"")+SUMIFS('15h'!$J$7:$J$100,'15h'!$H$7:$H$100,$A213,'15h'!$I$7:$I$100,"")+SUMIFS('15i'!$J$7:$J$100,'15i'!$H$7:$H$100,$A213,'15i'!$I$7:$I$100,"")+SUMIFS('15j'!$J$7:$J$100,'15j'!$H$7:$H$100,$A213,'15j'!$I$7:$I$100,"")+SUMIFS('15k'!$J$7:$J$100,'15k'!$H$7:$H$100,$A213,'15k'!$I$7:$I$100,"")+SUMIFS('15l'!$J$7:$J$100,'15l'!$H$7:$H$100,$A213,'15l'!$I$7:$I$100,"")+SUMIFS('15m'!$J$7:$J$100,'15m'!$H$7:$H$100,$A213,'15m'!$I$7:$I$100,"")+SUMIFS('15n'!$J$7:$J$100,'15n'!$H$7:$H$100,$A213,'15n'!$I$7:$I$100,"")+SUMIFS('16'!$J$7:$J$100,'16'!$H$7:$H$100,$A213,'16'!$I$7:$I$100,"")+SUMIFS('16a'!$J$7:$J$100,'16a'!$H$7:$H$100,$A213,'16a'!$I$7:$I$100,"")+SUMIFS('17'!$J$7:$J$100,'17'!$H$7:$H$100,$A213,'17'!$I$7:$I$100,"")+SUMIFS('17a'!$J$7:$J$100,'17a'!$H$7:$H$100,$A213,'17a'!$I$7:$I$100,"")+SUMIFS('18'!$J$7:$J$100,'18'!$H$7:$H$100,$A213,'18'!$I$7:$I$100,"")+SUMIFS('18a'!$J$7:$J$100,'18a'!$H$7:$H$100,$A213,'18a'!$I$7:$I$100,"")
+SUMIFS('19'!$J$7:$J$100,'19'!$H$7:$H$100,$A213,'19'!$I$7:$I$100,"")+SUMIFS('20'!$J$7:$J$100,'20'!$H$7:$H$100,$A213,'20'!$I$7:$I$100,"")+SUMIFS('20a'!$J$7:$J$100,'20a'!$H$7:$H$100,$A213,'20a'!$I$7:$I$100,"")+SUMIFS('21'!$J$7:$J$100,'21'!$H$7:$H$100,$A213,'21'!$I$7:$I$100,"")+SUMIFS('22'!$J$7:$J$100,'22'!$H$7:$H$100,$A213,'22'!$I$7:$I$100,"")+SUMIFS('22a'!$J$7:$J$100,'22a'!$H$7:$H$100,$A213,'22a'!$I$7:$I$100,"")+SUMIFS('22b'!$J$7:$J$100,'22b'!$H$7:$H$100,$A213,'22b'!$I$7:$I$100,"")+SUMIFS('23'!$J$7:$J$100,'23'!$H$7:$H$100,$A213,'23'!$I$7:$I$100,"")+SUMIFS('24'!$J$7:$J$100,'24'!$H$7:$H$100,$A213,'24'!$I$7:$I$100,"")+SUMIFS('24a'!$J$7:$J$100,'24a'!$H$7:$H$100,$A213,'24a'!$I$7:$I$100,"")+SUMIFS('24b'!$J$7:$J$100,'24b'!$H$7:$H$100,$A213,'24b'!$I$7:$I$100,"")+SUMIFS('24c'!$J$7:$J$100,'24c'!$H$7:$H$100,$A213,'24c'!$I$7:$I$100,"")+SUMIFS('24d'!$J$7:$J$100,'24d'!$H$7:$H$100,$A213,'24d'!$I$7:$I$100,"")+SUMIFS('24e'!$J$7:$J$100,'24e'!$H$7:$H$100,$A213,'24e'!$I$7:$I$100,"")+SUMIFS('24f'!$J$7:$J$100,'24f'!$H$7:$H$100,$A213,'24f'!$I$7:$I$100,"")+SUMIFS('24g'!$J$7:$J$100,'24g'!$H$7:$H$100,$A213,'24g'!$I$7:$I$100,"")+SUMIFS('24h'!$J$7:$J$100,'24h'!$H$7:$H$100,$A213,'24h'!$I$7:$I$100,"")+SUMIFS('24i'!$J$7:$J$100,'24i'!$H$7:$H$100,$A213,'24i'!$I$7:$I$100,"")+SUMIFS('25'!$J$7:$J$100,'25'!$H$7:$H$100,$A213,'25'!$I$7:$I$100,"")+SUMIFS('26'!$J$7:$J$100,'26'!$H$7:$H$100,$A213,'26'!$I$7:$I$100,"")+SUMIFS('26a'!$J$7:$J$100,'26a'!$H$7:$H$100,$A213,'26a'!$I$7:$I$100,"")+SUMIFS('27'!$J$7:$J$100,'27'!$H$7:$H$100,$A213,'27'!$I$7:$I$100,"")+SUMIFS('27a'!$J$7:$J$100,'27a'!$H$7:$H$100,$A213,'27a'!$I$7:$I$100,"")+SUMIFS('28'!$J$7:$J$100,'28'!$H$7:$H$100,$A213,'28'!$I$7:$I$100,"")+SUMIFS('29'!$J$7:$J$100,'29'!$H$7:$H$100,$A213,'29'!$I$7:$I$100,"")</f>
        <v>0</v>
      </c>
      <c r="J213" s="1296">
        <f t="shared" si="13"/>
        <v>0</v>
      </c>
      <c r="K213"/>
      <c r="L213"/>
      <c r="M213"/>
      <c r="N213"/>
      <c r="O213"/>
      <c r="P213"/>
      <c r="Q213"/>
      <c r="R213"/>
      <c r="S213" s="1307">
        <f t="shared" si="2"/>
        <v>0</v>
      </c>
      <c r="T213"/>
    </row>
    <row r="214" spans="1:20" ht="12.75" customHeight="1" outlineLevel="1" x14ac:dyDescent="0.2">
      <c r="A214" t="s">
        <v>5278</v>
      </c>
      <c r="B214" t="s">
        <v>5482</v>
      </c>
      <c r="C214" s="1295">
        <f>SUMIFS('12'!$N$7:$N$100,'12'!$H$7:$H$100,$A214,'12'!$I$7:$I$100,1)+SUMIFS('13'!$N$7:$N$100,'13'!$H$7:$H$100,$A214,'13'!$I$7:$I$100,1)+SUMIFS('14'!$N$7:$N$100,'14'!$H$7:$H$100,$A214,'14'!$I$7:$I$100,1)+SUMIFS('15'!$N$7:$N$100,'15'!$H$7:$H$100,$A214,'15'!$I$7:$I$100,1)+SUMIFS('15a'!$N$7:$N$100,'15a'!$H$7:$H$100,$A214,'15a'!$I$7:$I$100,1)+SUMIFS('15b'!$N$7:$N$100,'15b'!$H$7:$H$100,$A214,'15b'!$I$7:$I$100,1)+SUMIFS('15c'!$N$7:$N$100,'15c'!$H$7:$H$100,$A214,'15c'!$I$7:$I$100,1)+SUMIFS('15d'!$N$7:$N$100,'15d'!$H$7:$H$100,$A214,'15d'!$I$7:$I$100,1)+SUMIFS('15e'!$N$7:$N$100,'15e'!$H$7:$H$100,$A214,'15e'!$I$7:$I$100,1)+SUMIFS('15f'!$N$7:$N$100,'15f'!$H$7:$H$100,$A214,'15f'!$I$7:$I$100,1)+SUMIFS('15g'!$N$7:$N$100,'15g'!$H$7:$H$100,$A214,'15g'!$I$7:$I$100,1)+SUMIFS('15h'!$N$7:$N$100,'15h'!$H$7:$H$100,$A214,'15h'!$I$7:$I$100,1)+SUMIFS('15i'!$N$7:$N$100,'15i'!$H$7:$H$100,$A214,'15i'!$I$7:$I$100,1)+SUMIFS('15j'!$N$7:$N$100,'15j'!$H$7:$H$100,$A214,'15j'!$I$7:$I$100,1)+SUMIFS('15k'!$N$7:$N$100,'15k'!$H$7:$H$100,$A214,'15k'!$I$7:$I$100,1)+SUMIFS('15l'!$N$7:$N$100,'15l'!$H$7:$H$100,$A214,'15l'!$I$7:$I$100,1)+SUMIFS('15m'!$N$7:$N$100,'15m'!$H$7:$H$100,$A214,'15m'!$I$7:$I$100,1)+SUMIFS('15n'!$N$7:$N$100,'15n'!$H$7:$H$100,$A214,'15n'!$I$7:$I$100,1)+SUMIFS('16'!$N$7:$N$100,'16'!$H$7:$H$100,$A214,'16'!$I$7:$I$100,1)+SUMIFS('16a'!$N$7:$N$100,'16a'!$H$7:$H$100,$A214,'16a'!$I$7:$I$100,1)+SUMIFS('17'!$N$7:$N$100,'17'!$H$7:$H$100,$A214,'17'!$I$7:$I$100,1)+SUMIFS('17a'!$N$7:$N$100,'17a'!$H$7:$H$100,$A214,'17a'!$I$7:$I$100,1)+SUMIFS('18'!$N$7:$N$100,'18'!$H$7:$H$100,$A214,'18'!$I$7:$I$100,1)+SUMIFS('18a'!$N$7:$N$100,'18a'!$H$7:$H$100,$A214,'18a'!$I$7:$I$100,1)
+SUMIFS('19'!$N$7:$N$100,'19'!$H$7:$H$100,$A214,'19'!$I$7:$I$100,1)+SUMIFS('20'!$N$7:$N$100,'20'!$H$7:$H$100,$A214,'20'!$I$7:$I$100,1)+SUMIFS('20a'!$N$7:$N$100,'20a'!$H$7:$H$100,$A214,'20a'!$I$7:$I$100,1)+SUMIFS('21'!$N$7:$N$100,'21'!$H$7:$H$100,$A214,'21'!$I$7:$I$100,1)+SUMIFS('22'!$N$7:$N$100,'22'!$H$7:$H$100,$A214,'22'!$I$7:$I$100,1)+SUMIFS('22a'!$N$7:$N$100,'22a'!$H$7:$H$100,$A214,'22a'!$I$7:$I$100,1)+SUMIFS('22b'!$N$7:$N$100,'22b'!$H$7:$H$100,$A214,'22b'!$I$7:$I$100,1)+SUMIFS('23'!$N$7:$N$100,'23'!$H$7:$H$100,$A214,'23'!$I$7:$I$100,1)+SUMIFS('24'!$N$7:$N$100,'24'!$H$7:$H$100,$A214,'24'!$I$7:$I$100,1)+SUMIFS('24a'!$N$7:$N$100,'24a'!$H$7:$H$100,$A214,'24a'!$I$7:$I$100,1)+SUMIFS('24b'!$N$7:$N$100,'24b'!$H$7:$H$100,$A214,'24b'!$I$7:$I$100,1)+SUMIFS('24c'!$N$7:$N$100,'24c'!$H$7:$H$100,$A214,'24c'!$I$7:$I$100,1)+SUMIFS('24d'!$N$7:$N$100,'24d'!$H$7:$H$100,$A214,'24d'!$I$7:$I$100,1)+SUMIFS('24e'!$N$7:$N$100,'24e'!$H$7:$H$100,$A214,'24e'!$I$7:$I$100,1)+SUMIFS('24f'!$N$7:$N$100,'24f'!$H$7:$H$100,$A214,'24f'!$I$7:$I$100,1)+SUMIFS('24g'!$N$7:$N$100,'24g'!$H$7:$H$100,$A214,'24g'!$I$7:$I$100,1)+SUMIFS('24h'!$N$7:$N$100,'24h'!$H$7:$H$100,$A214,'24h'!$I$7:$I$100,1)+SUMIFS('24i'!$N$7:$N$100,'24i'!$H$7:$H$100,$A214,'24i'!$I$7:$I$100,1)+SUMIFS('25'!$N$7:$N$100,'25'!$H$7:$H$100,$A214,'25'!$I$7:$I$100,1)+SUMIFS('26'!$N$7:$N$100,'26'!$H$7:$H$100,$A214,'26'!$I$7:$I$100,1)+SUMIFS('26a'!$N$7:$N$100,'26a'!$H$7:$H$100,$A214,'26a'!$I$7:$I$100,1)+SUMIFS('27'!$N$7:$N$100,'27'!$H$7:$H$100,$A214,'27'!$I$7:$I$100,1)+SUMIFS('27a'!$N$7:$N$100,'27a'!$H$7:$H$100,$A214,'27a'!$I$7:$I$100,1)+SUMIFS('28'!$N$7:$N$100,'28'!$H$7:$H$100,$A214,'28'!$I$7:$I$100,1)+SUMIFS('29'!$N$7:$N$100,'29'!$H$7:$H$100,$A214,'29'!$I$7:$I$100,1)</f>
        <v>0</v>
      </c>
      <c r="D214" s="1315">
        <f>SUMIFS('12'!$N$7:$N$100,'12'!$H$7:$H$100,$A214,'12'!$I$7:$I$100,2)+SUMIFS('13'!$N$7:$N$100,'13'!$H$7:$H$100,$A214,'13'!$I$7:$I$100,2)+SUMIFS('14'!$N$7:$N$100,'14'!$H$7:$H$100,$A214,'14'!$I$7:$I$100,2)+SUMIFS('15'!$N$7:$N$100,'15'!$H$7:$H$100,$A214,'15'!$I$7:$I$100,2)+SUMIFS('15a'!$N$7:$N$100,'15a'!$H$7:$H$100,$A214,'15a'!$I$7:$I$100,2)+SUMIFS('15b'!$N$7:$N$100,'15b'!$H$7:$H$100,$A214,'15b'!$I$7:$I$100,2)+SUMIFS('15c'!$N$7:$N$100,'15c'!$H$7:$H$100,$A214,'15c'!$I$7:$I$100,2)+SUMIFS('15d'!$N$7:$N$100,'15d'!$H$7:$H$100,$A214,'15d'!$I$7:$I$100,2)+SUMIFS('15e'!$N$7:$N$100,'15e'!$H$7:$H$100,$A214,'15e'!$I$7:$I$100,2)+SUMIFS('15f'!$N$7:$N$100,'15f'!$H$7:$H$100,$A214,'15f'!$I$7:$I$100,2)+SUMIFS('15g'!$N$7:$N$100,'15g'!$H$7:$H$100,$A214,'15g'!$I$7:$I$100,2)+SUMIFS('15h'!$N$7:$N$100,'15h'!$H$7:$H$100,$A214,'15h'!$I$7:$I$100,2)+SUMIFS('15i'!$N$7:$N$100,'15i'!$H$7:$H$100,$A214,'15i'!$I$7:$I$100,2)+SUMIFS('15j'!$N$7:$N$100,'15j'!$H$7:$H$100,$A214,'15j'!$I$7:$I$100,2)+SUMIFS('15k'!$N$7:$N$100,'15k'!$H$7:$H$100,$A214,'15k'!$I$7:$I$100,2)+SUMIFS('15l'!$N$7:$N$100,'15l'!$H$7:$H$100,$A214,'15l'!$I$7:$I$100,2)+SUMIFS('15m'!$N$7:$N$100,'15m'!$H$7:$H$100,$A214,'15m'!$I$7:$I$100,2)+SUMIFS('15n'!$N$7:$N$100,'15n'!$H$7:$H$100,$A214,'15n'!$I$7:$I$100,2)+SUMIFS('16'!$N$7:$N$100,'16'!$H$7:$H$100,$A214,'16'!$I$7:$I$100,2)+SUMIFS('16a'!$N$7:$N$100,'16a'!$H$7:$H$100,$A214,'16a'!$I$7:$I$100,2)+SUMIFS('17'!$N$7:$N$100,'17'!$H$7:$H$100,$A214,'17'!$I$7:$I$100,2)+SUMIFS('17a'!$N$7:$N$100,'17a'!$H$7:$H$100,$A214,'17a'!$I$7:$I$100,2)+SUMIFS('18'!$N$7:$N$100,'18'!$H$7:$H$100,$A214,'18'!$I$7:$I$100,2)+SUMIFS('18a'!$N$7:$N$100,'18a'!$H$7:$H$100,$A214,'18a'!$I$7:$I$100,2)
+SUMIFS('19'!$N$7:$N$100,'19'!$H$7:$H$100,$A214,'19'!$I$7:$I$100,2)+SUMIFS('20'!$N$7:$N$100,'20'!$H$7:$H$100,$A214,'20'!$I$7:$I$100,2)+SUMIFS('20a'!$N$7:$N$100,'20a'!$H$7:$H$100,$A214,'20a'!$I$7:$I$100,2)+SUMIFS('21'!$N$7:$N$100,'21'!$H$7:$H$100,$A214,'21'!$I$7:$I$100,2)+SUMIFS('22'!$N$7:$N$100,'22'!$H$7:$H$100,$A214,'22'!$I$7:$I$100,2)+SUMIFS('22a'!$N$7:$N$100,'22a'!$H$7:$H$100,$A214,'22a'!$I$7:$I$100,2)+SUMIFS('22b'!$N$7:$N$100,'22b'!$H$7:$H$100,$A214,'22b'!$I$7:$I$100,2)+SUMIFS('23'!$N$7:$N$100,'23'!$H$7:$H$100,$A214,'23'!$I$7:$I$100,2)+SUMIFS('24'!$N$7:$N$100,'24'!$H$7:$H$100,$A214,'24'!$I$7:$I$100,2)+SUMIFS('24a'!$N$7:$N$100,'24a'!$H$7:$H$100,$A214,'24a'!$I$7:$I$100,2)+SUMIFS('24b'!$N$7:$N$100,'24b'!$H$7:$H$100,$A214,'24b'!$I$7:$I$100,2)+SUMIFS('24c'!$N$7:$N$100,'24c'!$H$7:$H$100,$A214,'24c'!$I$7:$I$100,2)+SUMIFS('24d'!$N$7:$N$100,'24d'!$H$7:$H$100,$A214,'24d'!$I$7:$I$100,2)+SUMIFS('24e'!$N$7:$N$100,'24e'!$H$7:$H$100,$A214,'24e'!$I$7:$I$100,2)+SUMIFS('24f'!$N$7:$N$100,'24f'!$H$7:$H$100,$A214,'24f'!$I$7:$I$100,2)+SUMIFS('24g'!$N$7:$N$100,'24g'!$H$7:$H$100,$A214,'24g'!$I$7:$I$100,2)+SUMIFS('24h'!$N$7:$N$100,'24h'!$H$7:$H$100,$A214,'24h'!$I$7:$I$100,2)+SUMIFS('24i'!$N$7:$N$100,'24i'!$H$7:$H$100,$A214,'24i'!$I$7:$I$100,2)+SUMIFS('25'!$N$7:$N$100,'25'!$H$7:$H$100,$A214,'25'!$I$7:$I$100,2)+SUMIFS('26'!$N$7:$N$100,'26'!$H$7:$H$100,$A214,'26'!$I$7:$I$100,2)+SUMIFS('26a'!$N$7:$N$100,'26a'!$H$7:$H$100,$A214,'26a'!$I$7:$I$100,2)+SUMIFS('27'!$N$7:$N$100,'27'!$H$7:$H$100,$A214,'27'!$I$7:$I$100,2)+SUMIFS('27a'!$N$7:$N$100,'27a'!$H$7:$H$100,$A214,'27a'!$I$7:$I$100,2)+SUMIFS('28'!$N$7:$N$100,'28'!$H$7:$H$100,$A214,'28'!$I$7:$I$100,2)+SUMIFS('29'!$N$7:$N$100,'29'!$H$7:$H$100,$A214,'29'!$I$7:$I$100,2)</f>
        <v>0</v>
      </c>
      <c r="E214" s="1315">
        <f>SUMIFS('12'!$N$7:$N$100,'12'!$H$7:$H$100,$A214,'12'!$I$7:$I$100,"")+SUMIFS('13'!$N$7:$N$100,'13'!$H$7:$H$100,$A214,'13'!$I$7:$I$100,"")+SUMIFS('14'!$N$7:$N$100,'14'!$H$7:$H$100,$A214,'14'!$I$7:$I$100,"")+SUMIFS('15'!$N$7:$N$100,'15'!$H$7:$H$100,$A214,'15'!$I$7:$I$100,"")+SUMIFS('15a'!$N$7:$N$100,'15a'!$H$7:$H$100,$A214,'15a'!$I$7:$I$100,"")+SUMIFS('15b'!$N$7:$N$100,'15b'!$H$7:$H$100,$A214,'15b'!$I$7:$I$100,"")+SUMIFS('15c'!$N$7:$N$100,'15c'!$H$7:$H$100,$A214,'15c'!$I$7:$I$100,"")+SUMIFS('15d'!$N$7:$N$100,'15d'!$H$7:$H$100,$A214,'15d'!$I$7:$I$100,"")+SUMIFS('15e'!$N$7:$N$100,'15e'!$H$7:$H$100,$A214,'15e'!$I$7:$I$100,"")+SUMIFS('15f'!$N$7:$N$100,'15f'!$H$7:$H$100,$A214,'15f'!$I$7:$I$100,"")+SUMIFS('15g'!$N$7:$N$100,'15g'!$H$7:$H$100,$A214,'15g'!$I$7:$I$100,"")+SUMIFS('15h'!$N$7:$N$100,'15h'!$H$7:$H$100,$A214,'15h'!$I$7:$I$100,"")+SUMIFS('15i'!$N$7:$N$100,'15i'!$H$7:$H$100,$A214,'15i'!$I$7:$I$100,"")+SUMIFS('15j'!$N$7:$N$100,'15j'!$H$7:$H$100,$A214,'15j'!$I$7:$I$100,"")+SUMIFS('15k'!$N$7:$N$100,'15k'!$H$7:$H$100,$A214,'15k'!$I$7:$I$100,"")+SUMIFS('15l'!$N$7:$N$100,'15l'!$H$7:$H$100,$A214,'15l'!$I$7:$I$100,"")+SUMIFS('15m'!$N$7:$N$100,'15m'!$H$7:$H$100,$A214,'15m'!$I$7:$I$100,"")+SUMIFS('15n'!$N$7:$N$100,'15n'!$H$7:$H$100,$A214,'15n'!$I$7:$I$100,"")+SUMIFS('16'!$N$7:$N$100,'16'!$H$7:$H$100,$A214,'16'!$I$7:$I$100,"")+SUMIFS('16a'!$N$7:$N$100,'16a'!$H$7:$H$100,$A214,'16a'!$I$7:$I$100,"")+SUMIFS('17'!$N$7:$N$100,'17'!$H$7:$H$100,$A214,'17'!$I$7:$I$100,"")+SUMIFS('17a'!$N$7:$N$100,'17a'!$H$7:$H$100,$A214,'17a'!$I$7:$I$100,"")+SUMIFS('18'!$N$7:$N$100,'18'!$H$7:$H$100,$A214,'18'!$I$7:$I$100,"")+SUMIFS('18a'!$N$7:$N$100,'18a'!$H$7:$H$100,$A214,'18a'!$I$7:$I$100,"")
+SUMIFS('19'!$N$7:$N$100,'19'!$H$7:$H$100,$A214,'19'!$I$7:$I$100,"")+SUMIFS('20'!$N$7:$N$100,'20'!$H$7:$H$100,$A214,'20'!$I$7:$I$100,"")+SUMIFS('20a'!$N$7:$N$100,'20a'!$H$7:$H$100,$A214,'20a'!$I$7:$I$100,"")+SUMIFS('21'!$N$7:$N$100,'21'!$H$7:$H$100,$A214,'21'!$I$7:$I$100,"")+SUMIFS('22'!$N$7:$N$100,'22'!$H$7:$H$100,$A214,'22'!$I$7:$I$100,"")+SUMIFS('22a'!$N$7:$N$100,'22a'!$H$7:$H$100,$A214,'22a'!$I$7:$I$100,"")+SUMIFS('22b'!$N$7:$N$100,'22b'!$H$7:$H$100,$A214,'22b'!$I$7:$I$100,"")+SUMIFS('23'!$N$7:$N$100,'23'!$H$7:$H$100,$A214,'23'!$I$7:$I$100,"")+SUMIFS('24'!$N$7:$N$100,'24'!$H$7:$H$100,$A214,'24'!$I$7:$I$100,"")+SUMIFS('24a'!$N$7:$N$100,'24a'!$H$7:$H$100,$A214,'24a'!$I$7:$I$100,"")+SUMIFS('24b'!$N$7:$N$100,'24b'!$H$7:$H$100,$A214,'24b'!$I$7:$I$100,"")+SUMIFS('24c'!$N$7:$N$100,'24c'!$H$7:$H$100,$A214,'24c'!$I$7:$I$100,"")+SUMIFS('24d'!$N$7:$N$100,'24d'!$H$7:$H$100,$A214,'24d'!$I$7:$I$100,"")+SUMIFS('24e'!$N$7:$N$100,'24e'!$H$7:$H$100,$A214,'24e'!$I$7:$I$100,"")+SUMIFS('24f'!$N$7:$N$100,'24f'!$H$7:$H$100,$A214,'24f'!$I$7:$I$100,"")+SUMIFS('24g'!$N$7:$N$100,'24g'!$H$7:$H$100,$A214,'24g'!$I$7:$I$100,"")+SUMIFS('24h'!$N$7:$N$100,'24h'!$H$7:$H$100,$A214,'24h'!$I$7:$I$100,"")+SUMIFS('24i'!$N$7:$N$100,'24i'!$H$7:$H$100,$A214,'24i'!$I$7:$I$100,"")+SUMIFS('25'!$N$7:$N$100,'25'!$H$7:$H$100,$A214,'25'!$I$7:$I$100,"")+SUMIFS('26'!$N$7:$N$100,'26'!$H$7:$H$100,$A214,'26'!$I$7:$I$100,"")+SUMIFS('26a'!$N$7:$N$100,'26a'!$H$7:$H$100,$A214,'26a'!$I$7:$I$100,"")+SUMIFS('27'!$N$7:$N$100,'27'!$H$7:$H$100,$A214,'27'!$I$7:$I$100,"")+SUMIFS('27a'!$N$7:$N$100,'27a'!$H$7:$H$100,$A214,'27a'!$I$7:$I$100,"")+SUMIFS('28'!$N$7:$N$100,'28'!$H$7:$H$100,$A214,'28'!$I$7:$I$100,"")+SUMIFS('29'!$N$7:$N$100,'29'!$H$7:$H$100,$A214,'29'!$I$7:$I$100,"")</f>
        <v>0</v>
      </c>
      <c r="F214" s="1296">
        <f t="shared" si="12"/>
        <v>0</v>
      </c>
      <c r="G214" s="1295">
        <f>SUMIFS('12'!$J$7:$J$100,'12'!$H$7:$H$100,$A214,'12'!$I$7:$I$100,1)+SUMIFS('13'!$J$7:$J$100,'13'!$H$7:$H$100,$A214,'13'!$I$7:$I$100,1)+SUMIFS('14'!$J$7:$J$100,'14'!$H$7:$H$100,$A214,'14'!$I$7:$I$100,1)+SUMIFS('15'!$J$7:$J$100,'15'!$H$7:$H$100,$A214,'15'!$I$7:$I$100,1)+SUMIFS('15a'!$J$7:$J$100,'15a'!$H$7:$H$100,$A214,'15a'!$I$7:$I$100,1)+SUMIFS('15b'!$J$7:$J$100,'15b'!$H$7:$H$100,$A214,'15b'!$I$7:$I$100,1)+SUMIFS('15c'!$J$7:$J$100,'15c'!$H$7:$H$100,$A214,'15c'!$I$7:$I$100,1)+SUMIFS('15d'!$J$7:$J$100,'15d'!$H$7:$H$100,$A214,'15d'!$I$7:$I$100,1)+SUMIFS('15e'!$J$7:$J$100,'15e'!$H$7:$H$100,$A214,'15e'!$I$7:$I$100,1)+SUMIFS('15f'!$J$7:$J$100,'15f'!$H$7:$H$100,$A214,'15f'!$I$7:$I$100,1)+SUMIFS('15g'!$J$7:$J$100,'15g'!$H$7:$H$100,$A214,'15g'!$I$7:$I$100,1)+SUMIFS('15h'!$J$7:$J$100,'15h'!$H$7:$H$100,$A214,'15h'!$I$7:$I$100,1)+SUMIFS('15i'!$J$7:$J$100,'15i'!$H$7:$H$100,$A214,'15i'!$I$7:$I$100,1)+SUMIFS('15j'!$J$7:$J$100,'15j'!$H$7:$H$100,$A214,'15j'!$I$7:$I$100,1)+SUMIFS('15k'!$J$7:$J$100,'15k'!$H$7:$H$100,$A214,'15k'!$I$7:$I$100,1)+SUMIFS('15l'!$J$7:$J$100,'15l'!$H$7:$H$100,$A214,'15l'!$I$7:$I$100,1)+SUMIFS('15m'!$J$7:$J$100,'15m'!$H$7:$H$100,$A214,'15m'!$I$7:$I$100,1)+SUMIFS('15n'!$J$7:$J$100,'15n'!$H$7:$H$100,$A214,'15n'!$I$7:$I$100,1)+SUMIFS('16'!$J$7:$J$100,'16'!$H$7:$H$100,$A214,'16'!$I$7:$I$100,1)+SUMIFS('16a'!$J$7:$J$100,'16a'!$H$7:$H$100,$A214,'16a'!$I$7:$I$100,1)+SUMIFS('17'!$J$7:$J$100,'17'!$H$7:$H$100,$A214,'17'!$I$7:$I$100,1)+SUMIFS('17a'!$J$7:$J$100,'17a'!$H$7:$H$100,$A214,'17a'!$I$7:$I$100,1)+SUMIFS('18'!$J$7:$J$100,'18'!$H$7:$H$100,$A214,'18'!$I$7:$I$100,1)+SUMIFS('18a'!$J$7:$J$100,'18a'!$H$7:$H$100,$A214,'18a'!$I$7:$I$100,1)
+SUMIFS('19'!$J$7:$J$100,'19'!$H$7:$H$100,$A214,'19'!$I$7:$I$100,1)+SUMIFS('20'!$J$7:$J$100,'20'!$H$7:$H$100,$A214,'20'!$I$7:$I$100,1)+SUMIFS('20a'!$J$7:$J$100,'20a'!$H$7:$H$100,$A214,'20a'!$I$7:$I$100,1)+SUMIFS('21'!$J$7:$J$100,'21'!$H$7:$H$100,$A214,'21'!$I$7:$I$100,1)+SUMIFS('22'!$J$7:$J$100,'22'!$H$7:$H$100,$A214,'22'!$I$7:$I$100,1)+SUMIFS('22a'!$J$7:$J$100,'22a'!$H$7:$H$100,$A214,'22a'!$I$7:$I$100,1)+SUMIFS('22b'!$J$7:$J$100,'22b'!$H$7:$H$100,$A214,'22b'!$I$7:$I$100,1)+SUMIFS('23'!$J$7:$J$100,'23'!$H$7:$H$100,$A214,'23'!$I$7:$I$100,1)+SUMIFS('24'!$J$7:$J$100,'24'!$H$7:$H$100,$A214,'24'!$I$7:$I$100,1)+SUMIFS('24a'!$J$7:$J$100,'24a'!$H$7:$H$100,$A214,'24a'!$I$7:$I$100,1)+SUMIFS('24b'!$J$7:$J$100,'24b'!$H$7:$H$100,$A214,'24b'!$I$7:$I$100,1)+SUMIFS('24c'!$J$7:$J$100,'24c'!$H$7:$H$100,$A214,'24c'!$I$7:$I$100,1)+SUMIFS('24d'!$J$7:$J$100,'24d'!$H$7:$H$100,$A214,'24d'!$I$7:$I$100,1)+SUMIFS('24e'!$J$7:$J$100,'24e'!$H$7:$H$100,$A214,'24e'!$I$7:$I$100,1)+SUMIFS('24f'!$J$7:$J$100,'24f'!$H$7:$H$100,$A214,'24f'!$I$7:$I$100,1)+SUMIFS('24g'!$J$7:$J$100,'24g'!$H$7:$H$100,$A214,'24g'!$I$7:$I$100,1)+SUMIFS('24h'!$J$7:$J$100,'24h'!$H$7:$H$100,$A214,'24h'!$I$7:$I$100,1)+SUMIFS('24i'!$J$7:$J$100,'24i'!$H$7:$H$100,$A214,'24i'!$I$7:$I$100,1)+SUMIFS('25'!$J$7:$J$100,'25'!$H$7:$H$100,$A214,'25'!$I$7:$I$100,1)+SUMIFS('26'!$J$7:$J$100,'26'!$H$7:$H$100,$A214,'26'!$I$7:$I$100,1)+SUMIFS('26a'!$J$7:$J$100,'26a'!$H$7:$H$100,$A214,'26a'!$I$7:$I$100,1)+SUMIFS('27'!$J$7:$J$100,'27'!$H$7:$H$100,$A214,'27'!$I$7:$I$100,1)+SUMIFS('27a'!$J$7:$J$100,'27a'!$H$7:$H$100,$A214,'27a'!$I$7:$I$100,1)+SUMIFS('28'!$J$7:$J$100,'28'!$H$7:$H$100,$A214,'28'!$I$7:$I$100,1)+SUMIFS('29'!$J$7:$J$100,'29'!$H$7:$H$100,$A214,'29'!$I$7:$I$100,1)</f>
        <v>0</v>
      </c>
      <c r="H214" s="1315">
        <f>SUMIFS('12'!$J$7:$J$100,'12'!$H$7:$H$100,$A214,'12'!$I$7:$I$100,2)+SUMIFS('13'!$J$7:$J$100,'13'!$H$7:$H$100,$A214,'13'!$I$7:$I$100,2)+SUMIFS('14'!$J$7:$J$100,'14'!$H$7:$H$100,$A214,'14'!$I$7:$I$100,2)+SUMIFS('15'!$J$7:$J$100,'15'!$H$7:$H$100,$A214,'15'!$I$7:$I$100,2)+SUMIFS('15a'!$J$7:$J$100,'15a'!$H$7:$H$100,$A214,'15a'!$I$7:$I$100,2)+SUMIFS('15b'!$J$7:$J$100,'15b'!$H$7:$H$100,$A214,'15b'!$I$7:$I$100,2)+SUMIFS('15c'!$J$7:$J$100,'15c'!$H$7:$H$100,$A214,'15c'!$I$7:$I$100,2)+SUMIFS('15d'!$J$7:$J$100,'15d'!$H$7:$H$100,$A214,'15d'!$I$7:$I$100,2)+SUMIFS('15e'!$J$7:$J$100,'15e'!$H$7:$H$100,$A214,'15e'!$I$7:$I$100,2)+SUMIFS('15f'!$J$7:$J$100,'15f'!$H$7:$H$100,$A214,'15f'!$I$7:$I$100,2)+SUMIFS('15g'!$J$7:$J$100,'15g'!$H$7:$H$100,$A214,'15g'!$I$7:$I$100,2)+SUMIFS('15h'!$J$7:$J$100,'15h'!$H$7:$H$100,$A214,'15h'!$I$7:$I$100,2)+SUMIFS('15i'!$J$7:$J$100,'15i'!$H$7:$H$100,$A214,'15i'!$I$7:$I$100,2)+SUMIFS('15j'!$J$7:$J$100,'15j'!$H$7:$H$100,$A214,'15j'!$I$7:$I$100,2)+SUMIFS('15k'!$J$7:$J$100,'15k'!$H$7:$H$100,$A214,'15k'!$I$7:$I$100,2)+SUMIFS('15l'!$J$7:$J$100,'15l'!$H$7:$H$100,$A214,'15l'!$I$7:$I$100,2)+SUMIFS('15m'!$J$7:$J$100,'15m'!$H$7:$H$100,$A214,'15m'!$I$7:$I$100,2)+SUMIFS('15n'!$J$7:$J$100,'15n'!$H$7:$H$100,$A214,'15n'!$I$7:$I$100,2)+SUMIFS('16'!$J$7:$J$100,'16'!$H$7:$H$100,$A214,'16'!$I$7:$I$100,2)+SUMIFS('16a'!$J$7:$J$100,'16a'!$H$7:$H$100,$A214,'16a'!$I$7:$I$100,2)+SUMIFS('17'!$J$7:$J$100,'17'!$H$7:$H$100,$A214,'17'!$I$7:$I$100,2)+SUMIFS('17a'!$J$7:$J$100,'17a'!$H$7:$H$100,$A214,'17a'!$I$7:$I$100,2)+SUMIFS('18'!$J$7:$J$100,'18'!$H$7:$H$100,$A214,'18'!$I$7:$I$100,2)+SUMIFS('18a'!$J$7:$J$100,'18a'!$H$7:$H$100,$A214,'18a'!$I$7:$I$100,2)
+SUMIFS('19'!$J$7:$J$100,'19'!$H$7:$H$100,$A214,'19'!$I$7:$I$100,2)+SUMIFS('20'!$J$7:$J$100,'20'!$H$7:$H$100,$A214,'20'!$I$7:$I$100,2)+SUMIFS('20a'!$J$7:$J$100,'20a'!$H$7:$H$100,$A214,'20a'!$I$7:$I$100,2)+SUMIFS('21'!$J$7:$J$100,'21'!$H$7:$H$100,$A214,'21'!$I$7:$I$100,2)+SUMIFS('22'!$J$7:$J$100,'22'!$H$7:$H$100,$A214,'22'!$I$7:$I$100,2)+SUMIFS('22a'!$J$7:$J$100,'22a'!$H$7:$H$100,$A214,'22a'!$I$7:$I$100,2)+SUMIFS('22b'!$J$7:$J$100,'22b'!$H$7:$H$100,$A214,'22b'!$I$7:$I$100,2)+SUMIFS('23'!$J$7:$J$100,'23'!$H$7:$H$100,$A214,'23'!$I$7:$I$100,2)+SUMIFS('24'!$J$7:$J$100,'24'!$H$7:$H$100,$A214,'24'!$I$7:$I$100,2)+SUMIFS('24a'!$J$7:$J$100,'24a'!$H$7:$H$100,$A214,'24a'!$I$7:$I$100,2)+SUMIFS('24b'!$J$7:$J$100,'24b'!$H$7:$H$100,$A214,'24b'!$I$7:$I$100,2)+SUMIFS('24c'!$J$7:$J$100,'24c'!$H$7:$H$100,$A214,'24c'!$I$7:$I$100,2)+SUMIFS('24d'!$J$7:$J$100,'24d'!$H$7:$H$100,$A214,'24d'!$I$7:$I$100,2)+SUMIFS('24e'!$J$7:$J$100,'24e'!$H$7:$H$100,$A214,'24e'!$I$7:$I$100,2)+SUMIFS('24f'!$J$7:$J$100,'24f'!$H$7:$H$100,$A214,'24f'!$I$7:$I$100,2)+SUMIFS('24g'!$J$7:$J$100,'24g'!$H$7:$H$100,$A214,'24g'!$I$7:$I$100,2)+SUMIFS('24h'!$J$7:$J$100,'24h'!$H$7:$H$100,$A214,'24h'!$I$7:$I$100,2)+SUMIFS('24i'!$J$7:$J$100,'24i'!$H$7:$H$100,$A214,'24i'!$I$7:$I$100,2)+SUMIFS('25'!$J$7:$J$100,'25'!$H$7:$H$100,$A214,'25'!$I$7:$I$100,2)+SUMIFS('26'!$J$7:$J$100,'26'!$H$7:$H$100,$A214,'26'!$I$7:$I$100,2)+SUMIFS('26a'!$J$7:$J$100,'26a'!$H$7:$H$100,$A214,'26a'!$I$7:$I$100,2)+SUMIFS('27'!$J$7:$J$100,'27'!$H$7:$H$100,$A214,'27'!$I$7:$I$100,2)+SUMIFS('27a'!$J$7:$J$100,'27a'!$H$7:$H$100,$A214,'27a'!$I$7:$I$100,2)+SUMIFS('28'!$J$7:$J$100,'28'!$H$7:$H$100,$A214,'28'!$I$7:$I$100,2)+SUMIFS('29'!$J$7:$J$100,'29'!$H$7:$H$100,$A214,'29'!$I$7:$I$100,2)</f>
        <v>0</v>
      </c>
      <c r="I214" s="1315">
        <f>SUMIFS('12'!$J$7:$J$100,'12'!$H$7:$H$100,$A214,'12'!$I$7:$I$100,"")+SUMIFS('13'!$J$7:$J$100,'13'!$H$7:$H$100,$A214,'13'!$I$7:$I$100,"")+SUMIFS('14'!$J$7:$J$100,'14'!$H$7:$H$100,$A214,'14'!$I$7:$I$100,"")+SUMIFS('15'!$J$7:$J$100,'15'!$H$7:$H$100,$A214,'15'!$I$7:$I$100,"")+SUMIFS('15a'!$J$7:$J$100,'15a'!$H$7:$H$100,$A214,'15a'!$I$7:$I$100,"")+SUMIFS('15b'!$J$7:$J$100,'15b'!$H$7:$H$100,$A214,'15b'!$I$7:$I$100,"")+SUMIFS('15c'!$J$7:$J$100,'15c'!$H$7:$H$100,$A214,'15c'!$I$7:$I$100,"")+SUMIFS('15d'!$J$7:$J$100,'15d'!$H$7:$H$100,$A214,'15d'!$I$7:$I$100,"")+SUMIFS('15e'!$J$7:$J$100,'15e'!$H$7:$H$100,$A214,'15e'!$I$7:$I$100,"")+SUMIFS('15f'!$J$7:$J$100,'15f'!$H$7:$H$100,$A214,'15f'!$I$7:$I$100,"")+SUMIFS('15g'!$J$7:$J$100,'15g'!$H$7:$H$100,$A214,'15g'!$I$7:$I$100,"")+SUMIFS('15h'!$J$7:$J$100,'15h'!$H$7:$H$100,$A214,'15h'!$I$7:$I$100,"")+SUMIFS('15i'!$J$7:$J$100,'15i'!$H$7:$H$100,$A214,'15i'!$I$7:$I$100,"")+SUMIFS('15j'!$J$7:$J$100,'15j'!$H$7:$H$100,$A214,'15j'!$I$7:$I$100,"")+SUMIFS('15k'!$J$7:$J$100,'15k'!$H$7:$H$100,$A214,'15k'!$I$7:$I$100,"")+SUMIFS('15l'!$J$7:$J$100,'15l'!$H$7:$H$100,$A214,'15l'!$I$7:$I$100,"")+SUMIFS('15m'!$J$7:$J$100,'15m'!$H$7:$H$100,$A214,'15m'!$I$7:$I$100,"")+SUMIFS('15n'!$J$7:$J$100,'15n'!$H$7:$H$100,$A214,'15n'!$I$7:$I$100,"")+SUMIFS('16'!$J$7:$J$100,'16'!$H$7:$H$100,$A214,'16'!$I$7:$I$100,"")+SUMIFS('16a'!$J$7:$J$100,'16a'!$H$7:$H$100,$A214,'16a'!$I$7:$I$100,"")+SUMIFS('17'!$J$7:$J$100,'17'!$H$7:$H$100,$A214,'17'!$I$7:$I$100,"")+SUMIFS('17a'!$J$7:$J$100,'17a'!$H$7:$H$100,$A214,'17a'!$I$7:$I$100,"")+SUMIFS('18'!$J$7:$J$100,'18'!$H$7:$H$100,$A214,'18'!$I$7:$I$100,"")+SUMIFS('18a'!$J$7:$J$100,'18a'!$H$7:$H$100,$A214,'18a'!$I$7:$I$100,"")
+SUMIFS('19'!$J$7:$J$100,'19'!$H$7:$H$100,$A214,'19'!$I$7:$I$100,"")+SUMIFS('20'!$J$7:$J$100,'20'!$H$7:$H$100,$A214,'20'!$I$7:$I$100,"")+SUMIFS('20a'!$J$7:$J$100,'20a'!$H$7:$H$100,$A214,'20a'!$I$7:$I$100,"")+SUMIFS('21'!$J$7:$J$100,'21'!$H$7:$H$100,$A214,'21'!$I$7:$I$100,"")+SUMIFS('22'!$J$7:$J$100,'22'!$H$7:$H$100,$A214,'22'!$I$7:$I$100,"")+SUMIFS('22a'!$J$7:$J$100,'22a'!$H$7:$H$100,$A214,'22a'!$I$7:$I$100,"")+SUMIFS('22b'!$J$7:$J$100,'22b'!$H$7:$H$100,$A214,'22b'!$I$7:$I$100,"")+SUMIFS('23'!$J$7:$J$100,'23'!$H$7:$H$100,$A214,'23'!$I$7:$I$100,"")+SUMIFS('24'!$J$7:$J$100,'24'!$H$7:$H$100,$A214,'24'!$I$7:$I$100,"")+SUMIFS('24a'!$J$7:$J$100,'24a'!$H$7:$H$100,$A214,'24a'!$I$7:$I$100,"")+SUMIFS('24b'!$J$7:$J$100,'24b'!$H$7:$H$100,$A214,'24b'!$I$7:$I$100,"")+SUMIFS('24c'!$J$7:$J$100,'24c'!$H$7:$H$100,$A214,'24c'!$I$7:$I$100,"")+SUMIFS('24d'!$J$7:$J$100,'24d'!$H$7:$H$100,$A214,'24d'!$I$7:$I$100,"")+SUMIFS('24e'!$J$7:$J$100,'24e'!$H$7:$H$100,$A214,'24e'!$I$7:$I$100,"")+SUMIFS('24f'!$J$7:$J$100,'24f'!$H$7:$H$100,$A214,'24f'!$I$7:$I$100,"")+SUMIFS('24g'!$J$7:$J$100,'24g'!$H$7:$H$100,$A214,'24g'!$I$7:$I$100,"")+SUMIFS('24h'!$J$7:$J$100,'24h'!$H$7:$H$100,$A214,'24h'!$I$7:$I$100,"")+SUMIFS('24i'!$J$7:$J$100,'24i'!$H$7:$H$100,$A214,'24i'!$I$7:$I$100,"")+SUMIFS('25'!$J$7:$J$100,'25'!$H$7:$H$100,$A214,'25'!$I$7:$I$100,"")+SUMIFS('26'!$J$7:$J$100,'26'!$H$7:$H$100,$A214,'26'!$I$7:$I$100,"")+SUMIFS('26a'!$J$7:$J$100,'26a'!$H$7:$H$100,$A214,'26a'!$I$7:$I$100,"")+SUMIFS('27'!$J$7:$J$100,'27'!$H$7:$H$100,$A214,'27'!$I$7:$I$100,"")+SUMIFS('27a'!$J$7:$J$100,'27a'!$H$7:$H$100,$A214,'27a'!$I$7:$I$100,"")+SUMIFS('28'!$J$7:$J$100,'28'!$H$7:$H$100,$A214,'28'!$I$7:$I$100,"")+SUMIFS('29'!$J$7:$J$100,'29'!$H$7:$H$100,$A214,'29'!$I$7:$I$100,"")</f>
        <v>0</v>
      </c>
      <c r="J214" s="1296">
        <f t="shared" si="13"/>
        <v>0</v>
      </c>
      <c r="K214"/>
      <c r="L214"/>
      <c r="M214"/>
      <c r="N214"/>
      <c r="O214"/>
      <c r="P214"/>
      <c r="Q214"/>
      <c r="R214"/>
      <c r="S214" s="1307">
        <f t="shared" si="2"/>
        <v>0</v>
      </c>
      <c r="T214"/>
    </row>
    <row r="215" spans="1:20" ht="12.75" customHeight="1" outlineLevel="1" x14ac:dyDescent="0.2">
      <c r="A215" t="s">
        <v>5279</v>
      </c>
      <c r="B215" t="s">
        <v>5482</v>
      </c>
      <c r="C215" s="1295">
        <f>SUMIFS('12'!$N$7:$N$100,'12'!$H$7:$H$100,$A215,'12'!$I$7:$I$100,1)+SUMIFS('13'!$N$7:$N$100,'13'!$H$7:$H$100,$A215,'13'!$I$7:$I$100,1)+SUMIFS('14'!$N$7:$N$100,'14'!$H$7:$H$100,$A215,'14'!$I$7:$I$100,1)+SUMIFS('15'!$N$7:$N$100,'15'!$H$7:$H$100,$A215,'15'!$I$7:$I$100,1)+SUMIFS('15a'!$N$7:$N$100,'15a'!$H$7:$H$100,$A215,'15a'!$I$7:$I$100,1)+SUMIFS('15b'!$N$7:$N$100,'15b'!$H$7:$H$100,$A215,'15b'!$I$7:$I$100,1)+SUMIFS('15c'!$N$7:$N$100,'15c'!$H$7:$H$100,$A215,'15c'!$I$7:$I$100,1)+SUMIFS('15d'!$N$7:$N$100,'15d'!$H$7:$H$100,$A215,'15d'!$I$7:$I$100,1)+SUMIFS('15e'!$N$7:$N$100,'15e'!$H$7:$H$100,$A215,'15e'!$I$7:$I$100,1)+SUMIFS('15f'!$N$7:$N$100,'15f'!$H$7:$H$100,$A215,'15f'!$I$7:$I$100,1)+SUMIFS('15g'!$N$7:$N$100,'15g'!$H$7:$H$100,$A215,'15g'!$I$7:$I$100,1)+SUMIFS('15h'!$N$7:$N$100,'15h'!$H$7:$H$100,$A215,'15h'!$I$7:$I$100,1)+SUMIFS('15i'!$N$7:$N$100,'15i'!$H$7:$H$100,$A215,'15i'!$I$7:$I$100,1)+SUMIFS('15j'!$N$7:$N$100,'15j'!$H$7:$H$100,$A215,'15j'!$I$7:$I$100,1)+SUMIFS('15k'!$N$7:$N$100,'15k'!$H$7:$H$100,$A215,'15k'!$I$7:$I$100,1)+SUMIFS('15l'!$N$7:$N$100,'15l'!$H$7:$H$100,$A215,'15l'!$I$7:$I$100,1)+SUMIFS('15m'!$N$7:$N$100,'15m'!$H$7:$H$100,$A215,'15m'!$I$7:$I$100,1)+SUMIFS('15n'!$N$7:$N$100,'15n'!$H$7:$H$100,$A215,'15n'!$I$7:$I$100,1)+SUMIFS('16'!$N$7:$N$100,'16'!$H$7:$H$100,$A215,'16'!$I$7:$I$100,1)+SUMIFS('16a'!$N$7:$N$100,'16a'!$H$7:$H$100,$A215,'16a'!$I$7:$I$100,1)+SUMIFS('17'!$N$7:$N$100,'17'!$H$7:$H$100,$A215,'17'!$I$7:$I$100,1)+SUMIFS('17a'!$N$7:$N$100,'17a'!$H$7:$H$100,$A215,'17a'!$I$7:$I$100,1)+SUMIFS('18'!$N$7:$N$100,'18'!$H$7:$H$100,$A215,'18'!$I$7:$I$100,1)+SUMIFS('18a'!$N$7:$N$100,'18a'!$H$7:$H$100,$A215,'18a'!$I$7:$I$100,1)
+SUMIFS('19'!$N$7:$N$100,'19'!$H$7:$H$100,$A215,'19'!$I$7:$I$100,1)+SUMIFS('20'!$N$7:$N$100,'20'!$H$7:$H$100,$A215,'20'!$I$7:$I$100,1)+SUMIFS('20a'!$N$7:$N$100,'20a'!$H$7:$H$100,$A215,'20a'!$I$7:$I$100,1)+SUMIFS('21'!$N$7:$N$100,'21'!$H$7:$H$100,$A215,'21'!$I$7:$I$100,1)+SUMIFS('22'!$N$7:$N$100,'22'!$H$7:$H$100,$A215,'22'!$I$7:$I$100,1)+SUMIFS('22a'!$N$7:$N$100,'22a'!$H$7:$H$100,$A215,'22a'!$I$7:$I$100,1)+SUMIFS('22b'!$N$7:$N$100,'22b'!$H$7:$H$100,$A215,'22b'!$I$7:$I$100,1)+SUMIFS('23'!$N$7:$N$100,'23'!$H$7:$H$100,$A215,'23'!$I$7:$I$100,1)+SUMIFS('24'!$N$7:$N$100,'24'!$H$7:$H$100,$A215,'24'!$I$7:$I$100,1)+SUMIFS('24a'!$N$7:$N$100,'24a'!$H$7:$H$100,$A215,'24a'!$I$7:$I$100,1)+SUMIFS('24b'!$N$7:$N$100,'24b'!$H$7:$H$100,$A215,'24b'!$I$7:$I$100,1)+SUMIFS('24c'!$N$7:$N$100,'24c'!$H$7:$H$100,$A215,'24c'!$I$7:$I$100,1)+SUMIFS('24d'!$N$7:$N$100,'24d'!$H$7:$H$100,$A215,'24d'!$I$7:$I$100,1)+SUMIFS('24e'!$N$7:$N$100,'24e'!$H$7:$H$100,$A215,'24e'!$I$7:$I$100,1)+SUMIFS('24f'!$N$7:$N$100,'24f'!$H$7:$H$100,$A215,'24f'!$I$7:$I$100,1)+SUMIFS('24g'!$N$7:$N$100,'24g'!$H$7:$H$100,$A215,'24g'!$I$7:$I$100,1)+SUMIFS('24h'!$N$7:$N$100,'24h'!$H$7:$H$100,$A215,'24h'!$I$7:$I$100,1)+SUMIFS('24i'!$N$7:$N$100,'24i'!$H$7:$H$100,$A215,'24i'!$I$7:$I$100,1)+SUMIFS('25'!$N$7:$N$100,'25'!$H$7:$H$100,$A215,'25'!$I$7:$I$100,1)+SUMIFS('26'!$N$7:$N$100,'26'!$H$7:$H$100,$A215,'26'!$I$7:$I$100,1)+SUMIFS('26a'!$N$7:$N$100,'26a'!$H$7:$H$100,$A215,'26a'!$I$7:$I$100,1)+SUMIFS('27'!$N$7:$N$100,'27'!$H$7:$H$100,$A215,'27'!$I$7:$I$100,1)+SUMIFS('27a'!$N$7:$N$100,'27a'!$H$7:$H$100,$A215,'27a'!$I$7:$I$100,1)+SUMIFS('28'!$N$7:$N$100,'28'!$H$7:$H$100,$A215,'28'!$I$7:$I$100,1)+SUMIFS('29'!$N$7:$N$100,'29'!$H$7:$H$100,$A215,'29'!$I$7:$I$100,1)</f>
        <v>0</v>
      </c>
      <c r="D215" s="1315">
        <f>SUMIFS('12'!$N$7:$N$100,'12'!$H$7:$H$100,$A215,'12'!$I$7:$I$100,2)+SUMIFS('13'!$N$7:$N$100,'13'!$H$7:$H$100,$A215,'13'!$I$7:$I$100,2)+SUMIFS('14'!$N$7:$N$100,'14'!$H$7:$H$100,$A215,'14'!$I$7:$I$100,2)+SUMIFS('15'!$N$7:$N$100,'15'!$H$7:$H$100,$A215,'15'!$I$7:$I$100,2)+SUMIFS('15a'!$N$7:$N$100,'15a'!$H$7:$H$100,$A215,'15a'!$I$7:$I$100,2)+SUMIFS('15b'!$N$7:$N$100,'15b'!$H$7:$H$100,$A215,'15b'!$I$7:$I$100,2)+SUMIFS('15c'!$N$7:$N$100,'15c'!$H$7:$H$100,$A215,'15c'!$I$7:$I$100,2)+SUMIFS('15d'!$N$7:$N$100,'15d'!$H$7:$H$100,$A215,'15d'!$I$7:$I$100,2)+SUMIFS('15e'!$N$7:$N$100,'15e'!$H$7:$H$100,$A215,'15e'!$I$7:$I$100,2)+SUMIFS('15f'!$N$7:$N$100,'15f'!$H$7:$H$100,$A215,'15f'!$I$7:$I$100,2)+SUMIFS('15g'!$N$7:$N$100,'15g'!$H$7:$H$100,$A215,'15g'!$I$7:$I$100,2)+SUMIFS('15h'!$N$7:$N$100,'15h'!$H$7:$H$100,$A215,'15h'!$I$7:$I$100,2)+SUMIFS('15i'!$N$7:$N$100,'15i'!$H$7:$H$100,$A215,'15i'!$I$7:$I$100,2)+SUMIFS('15j'!$N$7:$N$100,'15j'!$H$7:$H$100,$A215,'15j'!$I$7:$I$100,2)+SUMIFS('15k'!$N$7:$N$100,'15k'!$H$7:$H$100,$A215,'15k'!$I$7:$I$100,2)+SUMIFS('15l'!$N$7:$N$100,'15l'!$H$7:$H$100,$A215,'15l'!$I$7:$I$100,2)+SUMIFS('15m'!$N$7:$N$100,'15m'!$H$7:$H$100,$A215,'15m'!$I$7:$I$100,2)+SUMIFS('15n'!$N$7:$N$100,'15n'!$H$7:$H$100,$A215,'15n'!$I$7:$I$100,2)+SUMIFS('16'!$N$7:$N$100,'16'!$H$7:$H$100,$A215,'16'!$I$7:$I$100,2)+SUMIFS('16a'!$N$7:$N$100,'16a'!$H$7:$H$100,$A215,'16a'!$I$7:$I$100,2)+SUMIFS('17'!$N$7:$N$100,'17'!$H$7:$H$100,$A215,'17'!$I$7:$I$100,2)+SUMIFS('17a'!$N$7:$N$100,'17a'!$H$7:$H$100,$A215,'17a'!$I$7:$I$100,2)+SUMIFS('18'!$N$7:$N$100,'18'!$H$7:$H$100,$A215,'18'!$I$7:$I$100,2)+SUMIFS('18a'!$N$7:$N$100,'18a'!$H$7:$H$100,$A215,'18a'!$I$7:$I$100,2)
+SUMIFS('19'!$N$7:$N$100,'19'!$H$7:$H$100,$A215,'19'!$I$7:$I$100,2)+SUMIFS('20'!$N$7:$N$100,'20'!$H$7:$H$100,$A215,'20'!$I$7:$I$100,2)+SUMIFS('20a'!$N$7:$N$100,'20a'!$H$7:$H$100,$A215,'20a'!$I$7:$I$100,2)+SUMIFS('21'!$N$7:$N$100,'21'!$H$7:$H$100,$A215,'21'!$I$7:$I$100,2)+SUMIFS('22'!$N$7:$N$100,'22'!$H$7:$H$100,$A215,'22'!$I$7:$I$100,2)+SUMIFS('22a'!$N$7:$N$100,'22a'!$H$7:$H$100,$A215,'22a'!$I$7:$I$100,2)+SUMIFS('22b'!$N$7:$N$100,'22b'!$H$7:$H$100,$A215,'22b'!$I$7:$I$100,2)+SUMIFS('23'!$N$7:$N$100,'23'!$H$7:$H$100,$A215,'23'!$I$7:$I$100,2)+SUMIFS('24'!$N$7:$N$100,'24'!$H$7:$H$100,$A215,'24'!$I$7:$I$100,2)+SUMIFS('24a'!$N$7:$N$100,'24a'!$H$7:$H$100,$A215,'24a'!$I$7:$I$100,2)+SUMIFS('24b'!$N$7:$N$100,'24b'!$H$7:$H$100,$A215,'24b'!$I$7:$I$100,2)+SUMIFS('24c'!$N$7:$N$100,'24c'!$H$7:$H$100,$A215,'24c'!$I$7:$I$100,2)+SUMIFS('24d'!$N$7:$N$100,'24d'!$H$7:$H$100,$A215,'24d'!$I$7:$I$100,2)+SUMIFS('24e'!$N$7:$N$100,'24e'!$H$7:$H$100,$A215,'24e'!$I$7:$I$100,2)+SUMIFS('24f'!$N$7:$N$100,'24f'!$H$7:$H$100,$A215,'24f'!$I$7:$I$100,2)+SUMIFS('24g'!$N$7:$N$100,'24g'!$H$7:$H$100,$A215,'24g'!$I$7:$I$100,2)+SUMIFS('24h'!$N$7:$N$100,'24h'!$H$7:$H$100,$A215,'24h'!$I$7:$I$100,2)+SUMIFS('24i'!$N$7:$N$100,'24i'!$H$7:$H$100,$A215,'24i'!$I$7:$I$100,2)+SUMIFS('25'!$N$7:$N$100,'25'!$H$7:$H$100,$A215,'25'!$I$7:$I$100,2)+SUMIFS('26'!$N$7:$N$100,'26'!$H$7:$H$100,$A215,'26'!$I$7:$I$100,2)+SUMIFS('26a'!$N$7:$N$100,'26a'!$H$7:$H$100,$A215,'26a'!$I$7:$I$100,2)+SUMIFS('27'!$N$7:$N$100,'27'!$H$7:$H$100,$A215,'27'!$I$7:$I$100,2)+SUMIFS('27a'!$N$7:$N$100,'27a'!$H$7:$H$100,$A215,'27a'!$I$7:$I$100,2)+SUMIFS('28'!$N$7:$N$100,'28'!$H$7:$H$100,$A215,'28'!$I$7:$I$100,2)+SUMIFS('29'!$N$7:$N$100,'29'!$H$7:$H$100,$A215,'29'!$I$7:$I$100,2)</f>
        <v>0</v>
      </c>
      <c r="E215" s="1315">
        <f>SUMIFS('12'!$N$7:$N$100,'12'!$H$7:$H$100,$A215,'12'!$I$7:$I$100,"")+SUMIFS('13'!$N$7:$N$100,'13'!$H$7:$H$100,$A215,'13'!$I$7:$I$100,"")+SUMIFS('14'!$N$7:$N$100,'14'!$H$7:$H$100,$A215,'14'!$I$7:$I$100,"")+SUMIFS('15'!$N$7:$N$100,'15'!$H$7:$H$100,$A215,'15'!$I$7:$I$100,"")+SUMIFS('15a'!$N$7:$N$100,'15a'!$H$7:$H$100,$A215,'15a'!$I$7:$I$100,"")+SUMIFS('15b'!$N$7:$N$100,'15b'!$H$7:$H$100,$A215,'15b'!$I$7:$I$100,"")+SUMIFS('15c'!$N$7:$N$100,'15c'!$H$7:$H$100,$A215,'15c'!$I$7:$I$100,"")+SUMIFS('15d'!$N$7:$N$100,'15d'!$H$7:$H$100,$A215,'15d'!$I$7:$I$100,"")+SUMIFS('15e'!$N$7:$N$100,'15e'!$H$7:$H$100,$A215,'15e'!$I$7:$I$100,"")+SUMIFS('15f'!$N$7:$N$100,'15f'!$H$7:$H$100,$A215,'15f'!$I$7:$I$100,"")+SUMIFS('15g'!$N$7:$N$100,'15g'!$H$7:$H$100,$A215,'15g'!$I$7:$I$100,"")+SUMIFS('15h'!$N$7:$N$100,'15h'!$H$7:$H$100,$A215,'15h'!$I$7:$I$100,"")+SUMIFS('15i'!$N$7:$N$100,'15i'!$H$7:$H$100,$A215,'15i'!$I$7:$I$100,"")+SUMIFS('15j'!$N$7:$N$100,'15j'!$H$7:$H$100,$A215,'15j'!$I$7:$I$100,"")+SUMIFS('15k'!$N$7:$N$100,'15k'!$H$7:$H$100,$A215,'15k'!$I$7:$I$100,"")+SUMIFS('15l'!$N$7:$N$100,'15l'!$H$7:$H$100,$A215,'15l'!$I$7:$I$100,"")+SUMIFS('15m'!$N$7:$N$100,'15m'!$H$7:$H$100,$A215,'15m'!$I$7:$I$100,"")+SUMIFS('15n'!$N$7:$N$100,'15n'!$H$7:$H$100,$A215,'15n'!$I$7:$I$100,"")+SUMIFS('16'!$N$7:$N$100,'16'!$H$7:$H$100,$A215,'16'!$I$7:$I$100,"")+SUMIFS('16a'!$N$7:$N$100,'16a'!$H$7:$H$100,$A215,'16a'!$I$7:$I$100,"")+SUMIFS('17'!$N$7:$N$100,'17'!$H$7:$H$100,$A215,'17'!$I$7:$I$100,"")+SUMIFS('17a'!$N$7:$N$100,'17a'!$H$7:$H$100,$A215,'17a'!$I$7:$I$100,"")+SUMIFS('18'!$N$7:$N$100,'18'!$H$7:$H$100,$A215,'18'!$I$7:$I$100,"")+SUMIFS('18a'!$N$7:$N$100,'18a'!$H$7:$H$100,$A215,'18a'!$I$7:$I$100,"")
+SUMIFS('19'!$N$7:$N$100,'19'!$H$7:$H$100,$A215,'19'!$I$7:$I$100,"")+SUMIFS('20'!$N$7:$N$100,'20'!$H$7:$H$100,$A215,'20'!$I$7:$I$100,"")+SUMIFS('20a'!$N$7:$N$100,'20a'!$H$7:$H$100,$A215,'20a'!$I$7:$I$100,"")+SUMIFS('21'!$N$7:$N$100,'21'!$H$7:$H$100,$A215,'21'!$I$7:$I$100,"")+SUMIFS('22'!$N$7:$N$100,'22'!$H$7:$H$100,$A215,'22'!$I$7:$I$100,"")+SUMIFS('22a'!$N$7:$N$100,'22a'!$H$7:$H$100,$A215,'22a'!$I$7:$I$100,"")+SUMIFS('22b'!$N$7:$N$100,'22b'!$H$7:$H$100,$A215,'22b'!$I$7:$I$100,"")+SUMIFS('23'!$N$7:$N$100,'23'!$H$7:$H$100,$A215,'23'!$I$7:$I$100,"")+SUMIFS('24'!$N$7:$N$100,'24'!$H$7:$H$100,$A215,'24'!$I$7:$I$100,"")+SUMIFS('24a'!$N$7:$N$100,'24a'!$H$7:$H$100,$A215,'24a'!$I$7:$I$100,"")+SUMIFS('24b'!$N$7:$N$100,'24b'!$H$7:$H$100,$A215,'24b'!$I$7:$I$100,"")+SUMIFS('24c'!$N$7:$N$100,'24c'!$H$7:$H$100,$A215,'24c'!$I$7:$I$100,"")+SUMIFS('24d'!$N$7:$N$100,'24d'!$H$7:$H$100,$A215,'24d'!$I$7:$I$100,"")+SUMIFS('24e'!$N$7:$N$100,'24e'!$H$7:$H$100,$A215,'24e'!$I$7:$I$100,"")+SUMIFS('24f'!$N$7:$N$100,'24f'!$H$7:$H$100,$A215,'24f'!$I$7:$I$100,"")+SUMIFS('24g'!$N$7:$N$100,'24g'!$H$7:$H$100,$A215,'24g'!$I$7:$I$100,"")+SUMIFS('24h'!$N$7:$N$100,'24h'!$H$7:$H$100,$A215,'24h'!$I$7:$I$100,"")+SUMIFS('24i'!$N$7:$N$100,'24i'!$H$7:$H$100,$A215,'24i'!$I$7:$I$100,"")+SUMIFS('25'!$N$7:$N$100,'25'!$H$7:$H$100,$A215,'25'!$I$7:$I$100,"")+SUMIFS('26'!$N$7:$N$100,'26'!$H$7:$H$100,$A215,'26'!$I$7:$I$100,"")+SUMIFS('26a'!$N$7:$N$100,'26a'!$H$7:$H$100,$A215,'26a'!$I$7:$I$100,"")+SUMIFS('27'!$N$7:$N$100,'27'!$H$7:$H$100,$A215,'27'!$I$7:$I$100,"")+SUMIFS('27a'!$N$7:$N$100,'27a'!$H$7:$H$100,$A215,'27a'!$I$7:$I$100,"")+SUMIFS('28'!$N$7:$N$100,'28'!$H$7:$H$100,$A215,'28'!$I$7:$I$100,"")+SUMIFS('29'!$N$7:$N$100,'29'!$H$7:$H$100,$A215,'29'!$I$7:$I$100,"")</f>
        <v>0</v>
      </c>
      <c r="F215" s="1296">
        <f t="shared" si="12"/>
        <v>0</v>
      </c>
      <c r="G215" s="1295">
        <f>SUMIFS('12'!$J$7:$J$100,'12'!$H$7:$H$100,$A215,'12'!$I$7:$I$100,1)+SUMIFS('13'!$J$7:$J$100,'13'!$H$7:$H$100,$A215,'13'!$I$7:$I$100,1)+SUMIFS('14'!$J$7:$J$100,'14'!$H$7:$H$100,$A215,'14'!$I$7:$I$100,1)+SUMIFS('15'!$J$7:$J$100,'15'!$H$7:$H$100,$A215,'15'!$I$7:$I$100,1)+SUMIFS('15a'!$J$7:$J$100,'15a'!$H$7:$H$100,$A215,'15a'!$I$7:$I$100,1)+SUMIFS('15b'!$J$7:$J$100,'15b'!$H$7:$H$100,$A215,'15b'!$I$7:$I$100,1)+SUMIFS('15c'!$J$7:$J$100,'15c'!$H$7:$H$100,$A215,'15c'!$I$7:$I$100,1)+SUMIFS('15d'!$J$7:$J$100,'15d'!$H$7:$H$100,$A215,'15d'!$I$7:$I$100,1)+SUMIFS('15e'!$J$7:$J$100,'15e'!$H$7:$H$100,$A215,'15e'!$I$7:$I$100,1)+SUMIFS('15f'!$J$7:$J$100,'15f'!$H$7:$H$100,$A215,'15f'!$I$7:$I$100,1)+SUMIFS('15g'!$J$7:$J$100,'15g'!$H$7:$H$100,$A215,'15g'!$I$7:$I$100,1)+SUMIFS('15h'!$J$7:$J$100,'15h'!$H$7:$H$100,$A215,'15h'!$I$7:$I$100,1)+SUMIFS('15i'!$J$7:$J$100,'15i'!$H$7:$H$100,$A215,'15i'!$I$7:$I$100,1)+SUMIFS('15j'!$J$7:$J$100,'15j'!$H$7:$H$100,$A215,'15j'!$I$7:$I$100,1)+SUMIFS('15k'!$J$7:$J$100,'15k'!$H$7:$H$100,$A215,'15k'!$I$7:$I$100,1)+SUMIFS('15l'!$J$7:$J$100,'15l'!$H$7:$H$100,$A215,'15l'!$I$7:$I$100,1)+SUMIFS('15m'!$J$7:$J$100,'15m'!$H$7:$H$100,$A215,'15m'!$I$7:$I$100,1)+SUMIFS('15n'!$J$7:$J$100,'15n'!$H$7:$H$100,$A215,'15n'!$I$7:$I$100,1)+SUMIFS('16'!$J$7:$J$100,'16'!$H$7:$H$100,$A215,'16'!$I$7:$I$100,1)+SUMIFS('16a'!$J$7:$J$100,'16a'!$H$7:$H$100,$A215,'16a'!$I$7:$I$100,1)+SUMIFS('17'!$J$7:$J$100,'17'!$H$7:$H$100,$A215,'17'!$I$7:$I$100,1)+SUMIFS('17a'!$J$7:$J$100,'17a'!$H$7:$H$100,$A215,'17a'!$I$7:$I$100,1)+SUMIFS('18'!$J$7:$J$100,'18'!$H$7:$H$100,$A215,'18'!$I$7:$I$100,1)+SUMIFS('18a'!$J$7:$J$100,'18a'!$H$7:$H$100,$A215,'18a'!$I$7:$I$100,1)
+SUMIFS('19'!$J$7:$J$100,'19'!$H$7:$H$100,$A215,'19'!$I$7:$I$100,1)+SUMIFS('20'!$J$7:$J$100,'20'!$H$7:$H$100,$A215,'20'!$I$7:$I$100,1)+SUMIFS('20a'!$J$7:$J$100,'20a'!$H$7:$H$100,$A215,'20a'!$I$7:$I$100,1)+SUMIFS('21'!$J$7:$J$100,'21'!$H$7:$H$100,$A215,'21'!$I$7:$I$100,1)+SUMIFS('22'!$J$7:$J$100,'22'!$H$7:$H$100,$A215,'22'!$I$7:$I$100,1)+SUMIFS('22a'!$J$7:$J$100,'22a'!$H$7:$H$100,$A215,'22a'!$I$7:$I$100,1)+SUMIFS('22b'!$J$7:$J$100,'22b'!$H$7:$H$100,$A215,'22b'!$I$7:$I$100,1)+SUMIFS('23'!$J$7:$J$100,'23'!$H$7:$H$100,$A215,'23'!$I$7:$I$100,1)+SUMIFS('24'!$J$7:$J$100,'24'!$H$7:$H$100,$A215,'24'!$I$7:$I$100,1)+SUMIFS('24a'!$J$7:$J$100,'24a'!$H$7:$H$100,$A215,'24a'!$I$7:$I$100,1)+SUMIFS('24b'!$J$7:$J$100,'24b'!$H$7:$H$100,$A215,'24b'!$I$7:$I$100,1)+SUMIFS('24c'!$J$7:$J$100,'24c'!$H$7:$H$100,$A215,'24c'!$I$7:$I$100,1)+SUMIFS('24d'!$J$7:$J$100,'24d'!$H$7:$H$100,$A215,'24d'!$I$7:$I$100,1)+SUMIFS('24e'!$J$7:$J$100,'24e'!$H$7:$H$100,$A215,'24e'!$I$7:$I$100,1)+SUMIFS('24f'!$J$7:$J$100,'24f'!$H$7:$H$100,$A215,'24f'!$I$7:$I$100,1)+SUMIFS('24g'!$J$7:$J$100,'24g'!$H$7:$H$100,$A215,'24g'!$I$7:$I$100,1)+SUMIFS('24h'!$J$7:$J$100,'24h'!$H$7:$H$100,$A215,'24h'!$I$7:$I$100,1)+SUMIFS('24i'!$J$7:$J$100,'24i'!$H$7:$H$100,$A215,'24i'!$I$7:$I$100,1)+SUMIFS('25'!$J$7:$J$100,'25'!$H$7:$H$100,$A215,'25'!$I$7:$I$100,1)+SUMIFS('26'!$J$7:$J$100,'26'!$H$7:$H$100,$A215,'26'!$I$7:$I$100,1)+SUMIFS('26a'!$J$7:$J$100,'26a'!$H$7:$H$100,$A215,'26a'!$I$7:$I$100,1)+SUMIFS('27'!$J$7:$J$100,'27'!$H$7:$H$100,$A215,'27'!$I$7:$I$100,1)+SUMIFS('27a'!$J$7:$J$100,'27a'!$H$7:$H$100,$A215,'27a'!$I$7:$I$100,1)+SUMIFS('28'!$J$7:$J$100,'28'!$H$7:$H$100,$A215,'28'!$I$7:$I$100,1)+SUMIFS('29'!$J$7:$J$100,'29'!$H$7:$H$100,$A215,'29'!$I$7:$I$100,1)</f>
        <v>0</v>
      </c>
      <c r="H215" s="1315">
        <f>SUMIFS('12'!$J$7:$J$100,'12'!$H$7:$H$100,$A215,'12'!$I$7:$I$100,2)+SUMIFS('13'!$J$7:$J$100,'13'!$H$7:$H$100,$A215,'13'!$I$7:$I$100,2)+SUMIFS('14'!$J$7:$J$100,'14'!$H$7:$H$100,$A215,'14'!$I$7:$I$100,2)+SUMIFS('15'!$J$7:$J$100,'15'!$H$7:$H$100,$A215,'15'!$I$7:$I$100,2)+SUMIFS('15a'!$J$7:$J$100,'15a'!$H$7:$H$100,$A215,'15a'!$I$7:$I$100,2)+SUMIFS('15b'!$J$7:$J$100,'15b'!$H$7:$H$100,$A215,'15b'!$I$7:$I$100,2)+SUMIFS('15c'!$J$7:$J$100,'15c'!$H$7:$H$100,$A215,'15c'!$I$7:$I$100,2)+SUMIFS('15d'!$J$7:$J$100,'15d'!$H$7:$H$100,$A215,'15d'!$I$7:$I$100,2)+SUMIFS('15e'!$J$7:$J$100,'15e'!$H$7:$H$100,$A215,'15e'!$I$7:$I$100,2)+SUMIFS('15f'!$J$7:$J$100,'15f'!$H$7:$H$100,$A215,'15f'!$I$7:$I$100,2)+SUMIFS('15g'!$J$7:$J$100,'15g'!$H$7:$H$100,$A215,'15g'!$I$7:$I$100,2)+SUMIFS('15h'!$J$7:$J$100,'15h'!$H$7:$H$100,$A215,'15h'!$I$7:$I$100,2)+SUMIFS('15i'!$J$7:$J$100,'15i'!$H$7:$H$100,$A215,'15i'!$I$7:$I$100,2)+SUMIFS('15j'!$J$7:$J$100,'15j'!$H$7:$H$100,$A215,'15j'!$I$7:$I$100,2)+SUMIFS('15k'!$J$7:$J$100,'15k'!$H$7:$H$100,$A215,'15k'!$I$7:$I$100,2)+SUMIFS('15l'!$J$7:$J$100,'15l'!$H$7:$H$100,$A215,'15l'!$I$7:$I$100,2)+SUMIFS('15m'!$J$7:$J$100,'15m'!$H$7:$H$100,$A215,'15m'!$I$7:$I$100,2)+SUMIFS('15n'!$J$7:$J$100,'15n'!$H$7:$H$100,$A215,'15n'!$I$7:$I$100,2)+SUMIFS('16'!$J$7:$J$100,'16'!$H$7:$H$100,$A215,'16'!$I$7:$I$100,2)+SUMIFS('16a'!$J$7:$J$100,'16a'!$H$7:$H$100,$A215,'16a'!$I$7:$I$100,2)+SUMIFS('17'!$J$7:$J$100,'17'!$H$7:$H$100,$A215,'17'!$I$7:$I$100,2)+SUMIFS('17a'!$J$7:$J$100,'17a'!$H$7:$H$100,$A215,'17a'!$I$7:$I$100,2)+SUMIFS('18'!$J$7:$J$100,'18'!$H$7:$H$100,$A215,'18'!$I$7:$I$100,2)+SUMIFS('18a'!$J$7:$J$100,'18a'!$H$7:$H$100,$A215,'18a'!$I$7:$I$100,2)
+SUMIFS('19'!$J$7:$J$100,'19'!$H$7:$H$100,$A215,'19'!$I$7:$I$100,2)+SUMIFS('20'!$J$7:$J$100,'20'!$H$7:$H$100,$A215,'20'!$I$7:$I$100,2)+SUMIFS('20a'!$J$7:$J$100,'20a'!$H$7:$H$100,$A215,'20a'!$I$7:$I$100,2)+SUMIFS('21'!$J$7:$J$100,'21'!$H$7:$H$100,$A215,'21'!$I$7:$I$100,2)+SUMIFS('22'!$J$7:$J$100,'22'!$H$7:$H$100,$A215,'22'!$I$7:$I$100,2)+SUMIFS('22a'!$J$7:$J$100,'22a'!$H$7:$H$100,$A215,'22a'!$I$7:$I$100,2)+SUMIFS('22b'!$J$7:$J$100,'22b'!$H$7:$H$100,$A215,'22b'!$I$7:$I$100,2)+SUMIFS('23'!$J$7:$J$100,'23'!$H$7:$H$100,$A215,'23'!$I$7:$I$100,2)+SUMIFS('24'!$J$7:$J$100,'24'!$H$7:$H$100,$A215,'24'!$I$7:$I$100,2)+SUMIFS('24a'!$J$7:$J$100,'24a'!$H$7:$H$100,$A215,'24a'!$I$7:$I$100,2)+SUMIFS('24b'!$J$7:$J$100,'24b'!$H$7:$H$100,$A215,'24b'!$I$7:$I$100,2)+SUMIFS('24c'!$J$7:$J$100,'24c'!$H$7:$H$100,$A215,'24c'!$I$7:$I$100,2)+SUMIFS('24d'!$J$7:$J$100,'24d'!$H$7:$H$100,$A215,'24d'!$I$7:$I$100,2)+SUMIFS('24e'!$J$7:$J$100,'24e'!$H$7:$H$100,$A215,'24e'!$I$7:$I$100,2)+SUMIFS('24f'!$J$7:$J$100,'24f'!$H$7:$H$100,$A215,'24f'!$I$7:$I$100,2)+SUMIFS('24g'!$J$7:$J$100,'24g'!$H$7:$H$100,$A215,'24g'!$I$7:$I$100,2)+SUMIFS('24h'!$J$7:$J$100,'24h'!$H$7:$H$100,$A215,'24h'!$I$7:$I$100,2)+SUMIFS('24i'!$J$7:$J$100,'24i'!$H$7:$H$100,$A215,'24i'!$I$7:$I$100,2)+SUMIFS('25'!$J$7:$J$100,'25'!$H$7:$H$100,$A215,'25'!$I$7:$I$100,2)+SUMIFS('26'!$J$7:$J$100,'26'!$H$7:$H$100,$A215,'26'!$I$7:$I$100,2)+SUMIFS('26a'!$J$7:$J$100,'26a'!$H$7:$H$100,$A215,'26a'!$I$7:$I$100,2)+SUMIFS('27'!$J$7:$J$100,'27'!$H$7:$H$100,$A215,'27'!$I$7:$I$100,2)+SUMIFS('27a'!$J$7:$J$100,'27a'!$H$7:$H$100,$A215,'27a'!$I$7:$I$100,2)+SUMIFS('28'!$J$7:$J$100,'28'!$H$7:$H$100,$A215,'28'!$I$7:$I$100,2)+SUMIFS('29'!$J$7:$J$100,'29'!$H$7:$H$100,$A215,'29'!$I$7:$I$100,2)</f>
        <v>0</v>
      </c>
      <c r="I215" s="1315">
        <f>SUMIFS('12'!$J$7:$J$100,'12'!$H$7:$H$100,$A215,'12'!$I$7:$I$100,"")+SUMIFS('13'!$J$7:$J$100,'13'!$H$7:$H$100,$A215,'13'!$I$7:$I$100,"")+SUMIFS('14'!$J$7:$J$100,'14'!$H$7:$H$100,$A215,'14'!$I$7:$I$100,"")+SUMIFS('15'!$J$7:$J$100,'15'!$H$7:$H$100,$A215,'15'!$I$7:$I$100,"")+SUMIFS('15a'!$J$7:$J$100,'15a'!$H$7:$H$100,$A215,'15a'!$I$7:$I$100,"")+SUMIFS('15b'!$J$7:$J$100,'15b'!$H$7:$H$100,$A215,'15b'!$I$7:$I$100,"")+SUMIFS('15c'!$J$7:$J$100,'15c'!$H$7:$H$100,$A215,'15c'!$I$7:$I$100,"")+SUMIFS('15d'!$J$7:$J$100,'15d'!$H$7:$H$100,$A215,'15d'!$I$7:$I$100,"")+SUMIFS('15e'!$J$7:$J$100,'15e'!$H$7:$H$100,$A215,'15e'!$I$7:$I$100,"")+SUMIFS('15f'!$J$7:$J$100,'15f'!$H$7:$H$100,$A215,'15f'!$I$7:$I$100,"")+SUMIFS('15g'!$J$7:$J$100,'15g'!$H$7:$H$100,$A215,'15g'!$I$7:$I$100,"")+SUMIFS('15h'!$J$7:$J$100,'15h'!$H$7:$H$100,$A215,'15h'!$I$7:$I$100,"")+SUMIFS('15i'!$J$7:$J$100,'15i'!$H$7:$H$100,$A215,'15i'!$I$7:$I$100,"")+SUMIFS('15j'!$J$7:$J$100,'15j'!$H$7:$H$100,$A215,'15j'!$I$7:$I$100,"")+SUMIFS('15k'!$J$7:$J$100,'15k'!$H$7:$H$100,$A215,'15k'!$I$7:$I$100,"")+SUMIFS('15l'!$J$7:$J$100,'15l'!$H$7:$H$100,$A215,'15l'!$I$7:$I$100,"")+SUMIFS('15m'!$J$7:$J$100,'15m'!$H$7:$H$100,$A215,'15m'!$I$7:$I$100,"")+SUMIFS('15n'!$J$7:$J$100,'15n'!$H$7:$H$100,$A215,'15n'!$I$7:$I$100,"")+SUMIFS('16'!$J$7:$J$100,'16'!$H$7:$H$100,$A215,'16'!$I$7:$I$100,"")+SUMIFS('16a'!$J$7:$J$100,'16a'!$H$7:$H$100,$A215,'16a'!$I$7:$I$100,"")+SUMIFS('17'!$J$7:$J$100,'17'!$H$7:$H$100,$A215,'17'!$I$7:$I$100,"")+SUMIFS('17a'!$J$7:$J$100,'17a'!$H$7:$H$100,$A215,'17a'!$I$7:$I$100,"")+SUMIFS('18'!$J$7:$J$100,'18'!$H$7:$H$100,$A215,'18'!$I$7:$I$100,"")+SUMIFS('18a'!$J$7:$J$100,'18a'!$H$7:$H$100,$A215,'18a'!$I$7:$I$100,"")
+SUMIFS('19'!$J$7:$J$100,'19'!$H$7:$H$100,$A215,'19'!$I$7:$I$100,"")+SUMIFS('20'!$J$7:$J$100,'20'!$H$7:$H$100,$A215,'20'!$I$7:$I$100,"")+SUMIFS('20a'!$J$7:$J$100,'20a'!$H$7:$H$100,$A215,'20a'!$I$7:$I$100,"")+SUMIFS('21'!$J$7:$J$100,'21'!$H$7:$H$100,$A215,'21'!$I$7:$I$100,"")+SUMIFS('22'!$J$7:$J$100,'22'!$H$7:$H$100,$A215,'22'!$I$7:$I$100,"")+SUMIFS('22a'!$J$7:$J$100,'22a'!$H$7:$H$100,$A215,'22a'!$I$7:$I$100,"")+SUMIFS('22b'!$J$7:$J$100,'22b'!$H$7:$H$100,$A215,'22b'!$I$7:$I$100,"")+SUMIFS('23'!$J$7:$J$100,'23'!$H$7:$H$100,$A215,'23'!$I$7:$I$100,"")+SUMIFS('24'!$J$7:$J$100,'24'!$H$7:$H$100,$A215,'24'!$I$7:$I$100,"")+SUMIFS('24a'!$J$7:$J$100,'24a'!$H$7:$H$100,$A215,'24a'!$I$7:$I$100,"")+SUMIFS('24b'!$J$7:$J$100,'24b'!$H$7:$H$100,$A215,'24b'!$I$7:$I$100,"")+SUMIFS('24c'!$J$7:$J$100,'24c'!$H$7:$H$100,$A215,'24c'!$I$7:$I$100,"")+SUMIFS('24d'!$J$7:$J$100,'24d'!$H$7:$H$100,$A215,'24d'!$I$7:$I$100,"")+SUMIFS('24e'!$J$7:$J$100,'24e'!$H$7:$H$100,$A215,'24e'!$I$7:$I$100,"")+SUMIFS('24f'!$J$7:$J$100,'24f'!$H$7:$H$100,$A215,'24f'!$I$7:$I$100,"")+SUMIFS('24g'!$J$7:$J$100,'24g'!$H$7:$H$100,$A215,'24g'!$I$7:$I$100,"")+SUMIFS('24h'!$J$7:$J$100,'24h'!$H$7:$H$100,$A215,'24h'!$I$7:$I$100,"")+SUMIFS('24i'!$J$7:$J$100,'24i'!$H$7:$H$100,$A215,'24i'!$I$7:$I$100,"")+SUMIFS('25'!$J$7:$J$100,'25'!$H$7:$H$100,$A215,'25'!$I$7:$I$100,"")+SUMIFS('26'!$J$7:$J$100,'26'!$H$7:$H$100,$A215,'26'!$I$7:$I$100,"")+SUMIFS('26a'!$J$7:$J$100,'26a'!$H$7:$H$100,$A215,'26a'!$I$7:$I$100,"")+SUMIFS('27'!$J$7:$J$100,'27'!$H$7:$H$100,$A215,'27'!$I$7:$I$100,"")+SUMIFS('27a'!$J$7:$J$100,'27a'!$H$7:$H$100,$A215,'27a'!$I$7:$I$100,"")+SUMIFS('28'!$J$7:$J$100,'28'!$H$7:$H$100,$A215,'28'!$I$7:$I$100,"")+SUMIFS('29'!$J$7:$J$100,'29'!$H$7:$H$100,$A215,'29'!$I$7:$I$100,"")</f>
        <v>0</v>
      </c>
      <c r="J215" s="1296">
        <f t="shared" si="13"/>
        <v>0</v>
      </c>
      <c r="K215"/>
      <c r="L215"/>
      <c r="M215"/>
      <c r="N215"/>
      <c r="O215"/>
      <c r="P215"/>
      <c r="Q215"/>
      <c r="R215"/>
      <c r="S215" s="1307">
        <f t="shared" si="2"/>
        <v>0</v>
      </c>
      <c r="T215"/>
    </row>
    <row r="216" spans="1:20" outlineLevel="1" x14ac:dyDescent="0.2">
      <c r="A216" t="s">
        <v>5280</v>
      </c>
      <c r="B216" t="s">
        <v>5482</v>
      </c>
      <c r="C216" s="1295">
        <f>SUMIFS('12'!$N$7:$N$100,'12'!$H$7:$H$100,$A216,'12'!$I$7:$I$100,1)+SUMIFS('13'!$N$7:$N$100,'13'!$H$7:$H$100,$A216,'13'!$I$7:$I$100,1)+SUMIFS('14'!$N$7:$N$100,'14'!$H$7:$H$100,$A216,'14'!$I$7:$I$100,1)+SUMIFS('15'!$N$7:$N$100,'15'!$H$7:$H$100,$A216,'15'!$I$7:$I$100,1)+SUMIFS('15a'!$N$7:$N$100,'15a'!$H$7:$H$100,$A216,'15a'!$I$7:$I$100,1)+SUMIFS('15b'!$N$7:$N$100,'15b'!$H$7:$H$100,$A216,'15b'!$I$7:$I$100,1)+SUMIFS('15c'!$N$7:$N$100,'15c'!$H$7:$H$100,$A216,'15c'!$I$7:$I$100,1)+SUMIFS('15d'!$N$7:$N$100,'15d'!$H$7:$H$100,$A216,'15d'!$I$7:$I$100,1)+SUMIFS('15e'!$N$7:$N$100,'15e'!$H$7:$H$100,$A216,'15e'!$I$7:$I$100,1)+SUMIFS('15f'!$N$7:$N$100,'15f'!$H$7:$H$100,$A216,'15f'!$I$7:$I$100,1)+SUMIFS('15g'!$N$7:$N$100,'15g'!$H$7:$H$100,$A216,'15g'!$I$7:$I$100,1)+SUMIFS('15h'!$N$7:$N$100,'15h'!$H$7:$H$100,$A216,'15h'!$I$7:$I$100,1)+SUMIFS('15i'!$N$7:$N$100,'15i'!$H$7:$H$100,$A216,'15i'!$I$7:$I$100,1)+SUMIFS('15j'!$N$7:$N$100,'15j'!$H$7:$H$100,$A216,'15j'!$I$7:$I$100,1)+SUMIFS('15k'!$N$7:$N$100,'15k'!$H$7:$H$100,$A216,'15k'!$I$7:$I$100,1)+SUMIFS('15l'!$N$7:$N$100,'15l'!$H$7:$H$100,$A216,'15l'!$I$7:$I$100,1)+SUMIFS('15m'!$N$7:$N$100,'15m'!$H$7:$H$100,$A216,'15m'!$I$7:$I$100,1)+SUMIFS('15n'!$N$7:$N$100,'15n'!$H$7:$H$100,$A216,'15n'!$I$7:$I$100,1)+SUMIFS('16'!$N$7:$N$100,'16'!$H$7:$H$100,$A216,'16'!$I$7:$I$100,1)+SUMIFS('16a'!$N$7:$N$100,'16a'!$H$7:$H$100,$A216,'16a'!$I$7:$I$100,1)+SUMIFS('17'!$N$7:$N$100,'17'!$H$7:$H$100,$A216,'17'!$I$7:$I$100,1)+SUMIFS('17a'!$N$7:$N$100,'17a'!$H$7:$H$100,$A216,'17a'!$I$7:$I$100,1)+SUMIFS('18'!$N$7:$N$100,'18'!$H$7:$H$100,$A216,'18'!$I$7:$I$100,1)+SUMIFS('18a'!$N$7:$N$100,'18a'!$H$7:$H$100,$A216,'18a'!$I$7:$I$100,1)
+SUMIFS('19'!$N$7:$N$100,'19'!$H$7:$H$100,$A216,'19'!$I$7:$I$100,1)+SUMIFS('20'!$N$7:$N$100,'20'!$H$7:$H$100,$A216,'20'!$I$7:$I$100,1)+SUMIFS('20a'!$N$7:$N$100,'20a'!$H$7:$H$100,$A216,'20a'!$I$7:$I$100,1)+SUMIFS('21'!$N$7:$N$100,'21'!$H$7:$H$100,$A216,'21'!$I$7:$I$100,1)+SUMIFS('22'!$N$7:$N$100,'22'!$H$7:$H$100,$A216,'22'!$I$7:$I$100,1)+SUMIFS('22a'!$N$7:$N$100,'22a'!$H$7:$H$100,$A216,'22a'!$I$7:$I$100,1)+SUMIFS('22b'!$N$7:$N$100,'22b'!$H$7:$H$100,$A216,'22b'!$I$7:$I$100,1)+SUMIFS('23'!$N$7:$N$100,'23'!$H$7:$H$100,$A216,'23'!$I$7:$I$100,1)+SUMIFS('24'!$N$7:$N$100,'24'!$H$7:$H$100,$A216,'24'!$I$7:$I$100,1)+SUMIFS('24a'!$N$7:$N$100,'24a'!$H$7:$H$100,$A216,'24a'!$I$7:$I$100,1)+SUMIFS('24b'!$N$7:$N$100,'24b'!$H$7:$H$100,$A216,'24b'!$I$7:$I$100,1)+SUMIFS('24c'!$N$7:$N$100,'24c'!$H$7:$H$100,$A216,'24c'!$I$7:$I$100,1)+SUMIFS('24d'!$N$7:$N$100,'24d'!$H$7:$H$100,$A216,'24d'!$I$7:$I$100,1)+SUMIFS('24e'!$N$7:$N$100,'24e'!$H$7:$H$100,$A216,'24e'!$I$7:$I$100,1)+SUMIFS('24f'!$N$7:$N$100,'24f'!$H$7:$H$100,$A216,'24f'!$I$7:$I$100,1)+SUMIFS('24g'!$N$7:$N$100,'24g'!$H$7:$H$100,$A216,'24g'!$I$7:$I$100,1)+SUMIFS('24h'!$N$7:$N$100,'24h'!$H$7:$H$100,$A216,'24h'!$I$7:$I$100,1)+SUMIFS('24i'!$N$7:$N$100,'24i'!$H$7:$H$100,$A216,'24i'!$I$7:$I$100,1)+SUMIFS('25'!$N$7:$N$100,'25'!$H$7:$H$100,$A216,'25'!$I$7:$I$100,1)+SUMIFS('26'!$N$7:$N$100,'26'!$H$7:$H$100,$A216,'26'!$I$7:$I$100,1)+SUMIFS('26a'!$N$7:$N$100,'26a'!$H$7:$H$100,$A216,'26a'!$I$7:$I$100,1)+SUMIFS('27'!$N$7:$N$100,'27'!$H$7:$H$100,$A216,'27'!$I$7:$I$100,1)+SUMIFS('27a'!$N$7:$N$100,'27a'!$H$7:$H$100,$A216,'27a'!$I$7:$I$100,1)+SUMIFS('28'!$N$7:$N$100,'28'!$H$7:$H$100,$A216,'28'!$I$7:$I$100,1)+SUMIFS('29'!$N$7:$N$100,'29'!$H$7:$H$100,$A216,'29'!$I$7:$I$100,1)</f>
        <v>0</v>
      </c>
      <c r="D216" s="1315">
        <f>SUMIFS('12'!$N$7:$N$100,'12'!$H$7:$H$100,$A216,'12'!$I$7:$I$100,2)+SUMIFS('13'!$N$7:$N$100,'13'!$H$7:$H$100,$A216,'13'!$I$7:$I$100,2)+SUMIFS('14'!$N$7:$N$100,'14'!$H$7:$H$100,$A216,'14'!$I$7:$I$100,2)+SUMIFS('15'!$N$7:$N$100,'15'!$H$7:$H$100,$A216,'15'!$I$7:$I$100,2)+SUMIFS('15a'!$N$7:$N$100,'15a'!$H$7:$H$100,$A216,'15a'!$I$7:$I$100,2)+SUMIFS('15b'!$N$7:$N$100,'15b'!$H$7:$H$100,$A216,'15b'!$I$7:$I$100,2)+SUMIFS('15c'!$N$7:$N$100,'15c'!$H$7:$H$100,$A216,'15c'!$I$7:$I$100,2)+SUMIFS('15d'!$N$7:$N$100,'15d'!$H$7:$H$100,$A216,'15d'!$I$7:$I$100,2)+SUMIFS('15e'!$N$7:$N$100,'15e'!$H$7:$H$100,$A216,'15e'!$I$7:$I$100,2)+SUMIFS('15f'!$N$7:$N$100,'15f'!$H$7:$H$100,$A216,'15f'!$I$7:$I$100,2)+SUMIFS('15g'!$N$7:$N$100,'15g'!$H$7:$H$100,$A216,'15g'!$I$7:$I$100,2)+SUMIFS('15h'!$N$7:$N$100,'15h'!$H$7:$H$100,$A216,'15h'!$I$7:$I$100,2)+SUMIFS('15i'!$N$7:$N$100,'15i'!$H$7:$H$100,$A216,'15i'!$I$7:$I$100,2)+SUMIFS('15j'!$N$7:$N$100,'15j'!$H$7:$H$100,$A216,'15j'!$I$7:$I$100,2)+SUMIFS('15k'!$N$7:$N$100,'15k'!$H$7:$H$100,$A216,'15k'!$I$7:$I$100,2)+SUMIFS('15l'!$N$7:$N$100,'15l'!$H$7:$H$100,$A216,'15l'!$I$7:$I$100,2)+SUMIFS('15m'!$N$7:$N$100,'15m'!$H$7:$H$100,$A216,'15m'!$I$7:$I$100,2)+SUMIFS('15n'!$N$7:$N$100,'15n'!$H$7:$H$100,$A216,'15n'!$I$7:$I$100,2)+SUMIFS('16'!$N$7:$N$100,'16'!$H$7:$H$100,$A216,'16'!$I$7:$I$100,2)+SUMIFS('16a'!$N$7:$N$100,'16a'!$H$7:$H$100,$A216,'16a'!$I$7:$I$100,2)+SUMIFS('17'!$N$7:$N$100,'17'!$H$7:$H$100,$A216,'17'!$I$7:$I$100,2)+SUMIFS('17a'!$N$7:$N$100,'17a'!$H$7:$H$100,$A216,'17a'!$I$7:$I$100,2)+SUMIFS('18'!$N$7:$N$100,'18'!$H$7:$H$100,$A216,'18'!$I$7:$I$100,2)+SUMIFS('18a'!$N$7:$N$100,'18a'!$H$7:$H$100,$A216,'18a'!$I$7:$I$100,2)
+SUMIFS('19'!$N$7:$N$100,'19'!$H$7:$H$100,$A216,'19'!$I$7:$I$100,2)+SUMIFS('20'!$N$7:$N$100,'20'!$H$7:$H$100,$A216,'20'!$I$7:$I$100,2)+SUMIFS('20a'!$N$7:$N$100,'20a'!$H$7:$H$100,$A216,'20a'!$I$7:$I$100,2)+SUMIFS('21'!$N$7:$N$100,'21'!$H$7:$H$100,$A216,'21'!$I$7:$I$100,2)+SUMIFS('22'!$N$7:$N$100,'22'!$H$7:$H$100,$A216,'22'!$I$7:$I$100,2)+SUMIFS('22a'!$N$7:$N$100,'22a'!$H$7:$H$100,$A216,'22a'!$I$7:$I$100,2)+SUMIFS('22b'!$N$7:$N$100,'22b'!$H$7:$H$100,$A216,'22b'!$I$7:$I$100,2)+SUMIFS('23'!$N$7:$N$100,'23'!$H$7:$H$100,$A216,'23'!$I$7:$I$100,2)+SUMIFS('24'!$N$7:$N$100,'24'!$H$7:$H$100,$A216,'24'!$I$7:$I$100,2)+SUMIFS('24a'!$N$7:$N$100,'24a'!$H$7:$H$100,$A216,'24a'!$I$7:$I$100,2)+SUMIFS('24b'!$N$7:$N$100,'24b'!$H$7:$H$100,$A216,'24b'!$I$7:$I$100,2)+SUMIFS('24c'!$N$7:$N$100,'24c'!$H$7:$H$100,$A216,'24c'!$I$7:$I$100,2)+SUMIFS('24d'!$N$7:$N$100,'24d'!$H$7:$H$100,$A216,'24d'!$I$7:$I$100,2)+SUMIFS('24e'!$N$7:$N$100,'24e'!$H$7:$H$100,$A216,'24e'!$I$7:$I$100,2)+SUMIFS('24f'!$N$7:$N$100,'24f'!$H$7:$H$100,$A216,'24f'!$I$7:$I$100,2)+SUMIFS('24g'!$N$7:$N$100,'24g'!$H$7:$H$100,$A216,'24g'!$I$7:$I$100,2)+SUMIFS('24h'!$N$7:$N$100,'24h'!$H$7:$H$100,$A216,'24h'!$I$7:$I$100,2)+SUMIFS('24i'!$N$7:$N$100,'24i'!$H$7:$H$100,$A216,'24i'!$I$7:$I$100,2)+SUMIFS('25'!$N$7:$N$100,'25'!$H$7:$H$100,$A216,'25'!$I$7:$I$100,2)+SUMIFS('26'!$N$7:$N$100,'26'!$H$7:$H$100,$A216,'26'!$I$7:$I$100,2)+SUMIFS('26a'!$N$7:$N$100,'26a'!$H$7:$H$100,$A216,'26a'!$I$7:$I$100,2)+SUMIFS('27'!$N$7:$N$100,'27'!$H$7:$H$100,$A216,'27'!$I$7:$I$100,2)+SUMIFS('27a'!$N$7:$N$100,'27a'!$H$7:$H$100,$A216,'27a'!$I$7:$I$100,2)+SUMIFS('28'!$N$7:$N$100,'28'!$H$7:$H$100,$A216,'28'!$I$7:$I$100,2)+SUMIFS('29'!$N$7:$N$100,'29'!$H$7:$H$100,$A216,'29'!$I$7:$I$100,2)</f>
        <v>0</v>
      </c>
      <c r="E216" s="1315">
        <f>SUMIFS('12'!$N$7:$N$100,'12'!$H$7:$H$100,$A216,'12'!$I$7:$I$100,"")+SUMIFS('13'!$N$7:$N$100,'13'!$H$7:$H$100,$A216,'13'!$I$7:$I$100,"")+SUMIFS('14'!$N$7:$N$100,'14'!$H$7:$H$100,$A216,'14'!$I$7:$I$100,"")+SUMIFS('15'!$N$7:$N$100,'15'!$H$7:$H$100,$A216,'15'!$I$7:$I$100,"")+SUMIFS('15a'!$N$7:$N$100,'15a'!$H$7:$H$100,$A216,'15a'!$I$7:$I$100,"")+SUMIFS('15b'!$N$7:$N$100,'15b'!$H$7:$H$100,$A216,'15b'!$I$7:$I$100,"")+SUMIFS('15c'!$N$7:$N$100,'15c'!$H$7:$H$100,$A216,'15c'!$I$7:$I$100,"")+SUMIFS('15d'!$N$7:$N$100,'15d'!$H$7:$H$100,$A216,'15d'!$I$7:$I$100,"")+SUMIFS('15e'!$N$7:$N$100,'15e'!$H$7:$H$100,$A216,'15e'!$I$7:$I$100,"")+SUMIFS('15f'!$N$7:$N$100,'15f'!$H$7:$H$100,$A216,'15f'!$I$7:$I$100,"")+SUMIFS('15g'!$N$7:$N$100,'15g'!$H$7:$H$100,$A216,'15g'!$I$7:$I$100,"")+SUMIFS('15h'!$N$7:$N$100,'15h'!$H$7:$H$100,$A216,'15h'!$I$7:$I$100,"")+SUMIFS('15i'!$N$7:$N$100,'15i'!$H$7:$H$100,$A216,'15i'!$I$7:$I$100,"")+SUMIFS('15j'!$N$7:$N$100,'15j'!$H$7:$H$100,$A216,'15j'!$I$7:$I$100,"")+SUMIFS('15k'!$N$7:$N$100,'15k'!$H$7:$H$100,$A216,'15k'!$I$7:$I$100,"")+SUMIFS('15l'!$N$7:$N$100,'15l'!$H$7:$H$100,$A216,'15l'!$I$7:$I$100,"")+SUMIFS('15m'!$N$7:$N$100,'15m'!$H$7:$H$100,$A216,'15m'!$I$7:$I$100,"")+SUMIFS('15n'!$N$7:$N$100,'15n'!$H$7:$H$100,$A216,'15n'!$I$7:$I$100,"")+SUMIFS('16'!$N$7:$N$100,'16'!$H$7:$H$100,$A216,'16'!$I$7:$I$100,"")+SUMIFS('16a'!$N$7:$N$100,'16a'!$H$7:$H$100,$A216,'16a'!$I$7:$I$100,"")+SUMIFS('17'!$N$7:$N$100,'17'!$H$7:$H$100,$A216,'17'!$I$7:$I$100,"")+SUMIFS('17a'!$N$7:$N$100,'17a'!$H$7:$H$100,$A216,'17a'!$I$7:$I$100,"")+SUMIFS('18'!$N$7:$N$100,'18'!$H$7:$H$100,$A216,'18'!$I$7:$I$100,"")+SUMIFS('18a'!$N$7:$N$100,'18a'!$H$7:$H$100,$A216,'18a'!$I$7:$I$100,"")
+SUMIFS('19'!$N$7:$N$100,'19'!$H$7:$H$100,$A216,'19'!$I$7:$I$100,"")+SUMIFS('20'!$N$7:$N$100,'20'!$H$7:$H$100,$A216,'20'!$I$7:$I$100,"")+SUMIFS('20a'!$N$7:$N$100,'20a'!$H$7:$H$100,$A216,'20a'!$I$7:$I$100,"")+SUMIFS('21'!$N$7:$N$100,'21'!$H$7:$H$100,$A216,'21'!$I$7:$I$100,"")+SUMIFS('22'!$N$7:$N$100,'22'!$H$7:$H$100,$A216,'22'!$I$7:$I$100,"")+SUMIFS('22a'!$N$7:$N$100,'22a'!$H$7:$H$100,$A216,'22a'!$I$7:$I$100,"")+SUMIFS('22b'!$N$7:$N$100,'22b'!$H$7:$H$100,$A216,'22b'!$I$7:$I$100,"")+SUMIFS('23'!$N$7:$N$100,'23'!$H$7:$H$100,$A216,'23'!$I$7:$I$100,"")+SUMIFS('24'!$N$7:$N$100,'24'!$H$7:$H$100,$A216,'24'!$I$7:$I$100,"")+SUMIFS('24a'!$N$7:$N$100,'24a'!$H$7:$H$100,$A216,'24a'!$I$7:$I$100,"")+SUMIFS('24b'!$N$7:$N$100,'24b'!$H$7:$H$100,$A216,'24b'!$I$7:$I$100,"")+SUMIFS('24c'!$N$7:$N$100,'24c'!$H$7:$H$100,$A216,'24c'!$I$7:$I$100,"")+SUMIFS('24d'!$N$7:$N$100,'24d'!$H$7:$H$100,$A216,'24d'!$I$7:$I$100,"")+SUMIFS('24e'!$N$7:$N$100,'24e'!$H$7:$H$100,$A216,'24e'!$I$7:$I$100,"")+SUMIFS('24f'!$N$7:$N$100,'24f'!$H$7:$H$100,$A216,'24f'!$I$7:$I$100,"")+SUMIFS('24g'!$N$7:$N$100,'24g'!$H$7:$H$100,$A216,'24g'!$I$7:$I$100,"")+SUMIFS('24h'!$N$7:$N$100,'24h'!$H$7:$H$100,$A216,'24h'!$I$7:$I$100,"")+SUMIFS('24i'!$N$7:$N$100,'24i'!$H$7:$H$100,$A216,'24i'!$I$7:$I$100,"")+SUMIFS('25'!$N$7:$N$100,'25'!$H$7:$H$100,$A216,'25'!$I$7:$I$100,"")+SUMIFS('26'!$N$7:$N$100,'26'!$H$7:$H$100,$A216,'26'!$I$7:$I$100,"")+SUMIFS('26a'!$N$7:$N$100,'26a'!$H$7:$H$100,$A216,'26a'!$I$7:$I$100,"")+SUMIFS('27'!$N$7:$N$100,'27'!$H$7:$H$100,$A216,'27'!$I$7:$I$100,"")+SUMIFS('27a'!$N$7:$N$100,'27a'!$H$7:$H$100,$A216,'27a'!$I$7:$I$100,"")+SUMIFS('28'!$N$7:$N$100,'28'!$H$7:$H$100,$A216,'28'!$I$7:$I$100,"")+SUMIFS('29'!$N$7:$N$100,'29'!$H$7:$H$100,$A216,'29'!$I$7:$I$100,"")</f>
        <v>0</v>
      </c>
      <c r="F216" s="1296">
        <f t="shared" si="12"/>
        <v>0</v>
      </c>
      <c r="G216" s="1295">
        <f>SUMIFS('12'!$J$7:$J$100,'12'!$H$7:$H$100,$A216,'12'!$I$7:$I$100,1)+SUMIFS('13'!$J$7:$J$100,'13'!$H$7:$H$100,$A216,'13'!$I$7:$I$100,1)+SUMIFS('14'!$J$7:$J$100,'14'!$H$7:$H$100,$A216,'14'!$I$7:$I$100,1)+SUMIFS('15'!$J$7:$J$100,'15'!$H$7:$H$100,$A216,'15'!$I$7:$I$100,1)+SUMIFS('15a'!$J$7:$J$100,'15a'!$H$7:$H$100,$A216,'15a'!$I$7:$I$100,1)+SUMIFS('15b'!$J$7:$J$100,'15b'!$H$7:$H$100,$A216,'15b'!$I$7:$I$100,1)+SUMIFS('15c'!$J$7:$J$100,'15c'!$H$7:$H$100,$A216,'15c'!$I$7:$I$100,1)+SUMIFS('15d'!$J$7:$J$100,'15d'!$H$7:$H$100,$A216,'15d'!$I$7:$I$100,1)+SUMIFS('15e'!$J$7:$J$100,'15e'!$H$7:$H$100,$A216,'15e'!$I$7:$I$100,1)+SUMIFS('15f'!$J$7:$J$100,'15f'!$H$7:$H$100,$A216,'15f'!$I$7:$I$100,1)+SUMIFS('15g'!$J$7:$J$100,'15g'!$H$7:$H$100,$A216,'15g'!$I$7:$I$100,1)+SUMIFS('15h'!$J$7:$J$100,'15h'!$H$7:$H$100,$A216,'15h'!$I$7:$I$100,1)+SUMIFS('15i'!$J$7:$J$100,'15i'!$H$7:$H$100,$A216,'15i'!$I$7:$I$100,1)+SUMIFS('15j'!$J$7:$J$100,'15j'!$H$7:$H$100,$A216,'15j'!$I$7:$I$100,1)+SUMIFS('15k'!$J$7:$J$100,'15k'!$H$7:$H$100,$A216,'15k'!$I$7:$I$100,1)+SUMIFS('15l'!$J$7:$J$100,'15l'!$H$7:$H$100,$A216,'15l'!$I$7:$I$100,1)+SUMIFS('15m'!$J$7:$J$100,'15m'!$H$7:$H$100,$A216,'15m'!$I$7:$I$100,1)+SUMIFS('15n'!$J$7:$J$100,'15n'!$H$7:$H$100,$A216,'15n'!$I$7:$I$100,1)+SUMIFS('16'!$J$7:$J$100,'16'!$H$7:$H$100,$A216,'16'!$I$7:$I$100,1)+SUMIFS('16a'!$J$7:$J$100,'16a'!$H$7:$H$100,$A216,'16a'!$I$7:$I$100,1)+SUMIFS('17'!$J$7:$J$100,'17'!$H$7:$H$100,$A216,'17'!$I$7:$I$100,1)+SUMIFS('17a'!$J$7:$J$100,'17a'!$H$7:$H$100,$A216,'17a'!$I$7:$I$100,1)+SUMIFS('18'!$J$7:$J$100,'18'!$H$7:$H$100,$A216,'18'!$I$7:$I$100,1)+SUMIFS('18a'!$J$7:$J$100,'18a'!$H$7:$H$100,$A216,'18a'!$I$7:$I$100,1)
+SUMIFS('19'!$J$7:$J$100,'19'!$H$7:$H$100,$A216,'19'!$I$7:$I$100,1)+SUMIFS('20'!$J$7:$J$100,'20'!$H$7:$H$100,$A216,'20'!$I$7:$I$100,1)+SUMIFS('20a'!$J$7:$J$100,'20a'!$H$7:$H$100,$A216,'20a'!$I$7:$I$100,1)+SUMIFS('21'!$J$7:$J$100,'21'!$H$7:$H$100,$A216,'21'!$I$7:$I$100,1)+SUMIFS('22'!$J$7:$J$100,'22'!$H$7:$H$100,$A216,'22'!$I$7:$I$100,1)+SUMIFS('22a'!$J$7:$J$100,'22a'!$H$7:$H$100,$A216,'22a'!$I$7:$I$100,1)+SUMIFS('22b'!$J$7:$J$100,'22b'!$H$7:$H$100,$A216,'22b'!$I$7:$I$100,1)+SUMIFS('23'!$J$7:$J$100,'23'!$H$7:$H$100,$A216,'23'!$I$7:$I$100,1)+SUMIFS('24'!$J$7:$J$100,'24'!$H$7:$H$100,$A216,'24'!$I$7:$I$100,1)+SUMIFS('24a'!$J$7:$J$100,'24a'!$H$7:$H$100,$A216,'24a'!$I$7:$I$100,1)+SUMIFS('24b'!$J$7:$J$100,'24b'!$H$7:$H$100,$A216,'24b'!$I$7:$I$100,1)+SUMIFS('24c'!$J$7:$J$100,'24c'!$H$7:$H$100,$A216,'24c'!$I$7:$I$100,1)+SUMIFS('24d'!$J$7:$J$100,'24d'!$H$7:$H$100,$A216,'24d'!$I$7:$I$100,1)+SUMIFS('24e'!$J$7:$J$100,'24e'!$H$7:$H$100,$A216,'24e'!$I$7:$I$100,1)+SUMIFS('24f'!$J$7:$J$100,'24f'!$H$7:$H$100,$A216,'24f'!$I$7:$I$100,1)+SUMIFS('24g'!$J$7:$J$100,'24g'!$H$7:$H$100,$A216,'24g'!$I$7:$I$100,1)+SUMIFS('24h'!$J$7:$J$100,'24h'!$H$7:$H$100,$A216,'24h'!$I$7:$I$100,1)+SUMIFS('24i'!$J$7:$J$100,'24i'!$H$7:$H$100,$A216,'24i'!$I$7:$I$100,1)+SUMIFS('25'!$J$7:$J$100,'25'!$H$7:$H$100,$A216,'25'!$I$7:$I$100,1)+SUMIFS('26'!$J$7:$J$100,'26'!$H$7:$H$100,$A216,'26'!$I$7:$I$100,1)+SUMIFS('26a'!$J$7:$J$100,'26a'!$H$7:$H$100,$A216,'26a'!$I$7:$I$100,1)+SUMIFS('27'!$J$7:$J$100,'27'!$H$7:$H$100,$A216,'27'!$I$7:$I$100,1)+SUMIFS('27a'!$J$7:$J$100,'27a'!$H$7:$H$100,$A216,'27a'!$I$7:$I$100,1)+SUMIFS('28'!$J$7:$J$100,'28'!$H$7:$H$100,$A216,'28'!$I$7:$I$100,1)+SUMIFS('29'!$J$7:$J$100,'29'!$H$7:$H$100,$A216,'29'!$I$7:$I$100,1)</f>
        <v>0</v>
      </c>
      <c r="H216" s="1315">
        <f>SUMIFS('12'!$J$7:$J$100,'12'!$H$7:$H$100,$A216,'12'!$I$7:$I$100,2)+SUMIFS('13'!$J$7:$J$100,'13'!$H$7:$H$100,$A216,'13'!$I$7:$I$100,2)+SUMIFS('14'!$J$7:$J$100,'14'!$H$7:$H$100,$A216,'14'!$I$7:$I$100,2)+SUMIFS('15'!$J$7:$J$100,'15'!$H$7:$H$100,$A216,'15'!$I$7:$I$100,2)+SUMIFS('15a'!$J$7:$J$100,'15a'!$H$7:$H$100,$A216,'15a'!$I$7:$I$100,2)+SUMIFS('15b'!$J$7:$J$100,'15b'!$H$7:$H$100,$A216,'15b'!$I$7:$I$100,2)+SUMIFS('15c'!$J$7:$J$100,'15c'!$H$7:$H$100,$A216,'15c'!$I$7:$I$100,2)+SUMIFS('15d'!$J$7:$J$100,'15d'!$H$7:$H$100,$A216,'15d'!$I$7:$I$100,2)+SUMIFS('15e'!$J$7:$J$100,'15e'!$H$7:$H$100,$A216,'15e'!$I$7:$I$100,2)+SUMIFS('15f'!$J$7:$J$100,'15f'!$H$7:$H$100,$A216,'15f'!$I$7:$I$100,2)+SUMIFS('15g'!$J$7:$J$100,'15g'!$H$7:$H$100,$A216,'15g'!$I$7:$I$100,2)+SUMIFS('15h'!$J$7:$J$100,'15h'!$H$7:$H$100,$A216,'15h'!$I$7:$I$100,2)+SUMIFS('15i'!$J$7:$J$100,'15i'!$H$7:$H$100,$A216,'15i'!$I$7:$I$100,2)+SUMIFS('15j'!$J$7:$J$100,'15j'!$H$7:$H$100,$A216,'15j'!$I$7:$I$100,2)+SUMIFS('15k'!$J$7:$J$100,'15k'!$H$7:$H$100,$A216,'15k'!$I$7:$I$100,2)+SUMIFS('15l'!$J$7:$J$100,'15l'!$H$7:$H$100,$A216,'15l'!$I$7:$I$100,2)+SUMIFS('15m'!$J$7:$J$100,'15m'!$H$7:$H$100,$A216,'15m'!$I$7:$I$100,2)+SUMIFS('15n'!$J$7:$J$100,'15n'!$H$7:$H$100,$A216,'15n'!$I$7:$I$100,2)+SUMIFS('16'!$J$7:$J$100,'16'!$H$7:$H$100,$A216,'16'!$I$7:$I$100,2)+SUMIFS('16a'!$J$7:$J$100,'16a'!$H$7:$H$100,$A216,'16a'!$I$7:$I$100,2)+SUMIFS('17'!$J$7:$J$100,'17'!$H$7:$H$100,$A216,'17'!$I$7:$I$100,2)+SUMIFS('17a'!$J$7:$J$100,'17a'!$H$7:$H$100,$A216,'17a'!$I$7:$I$100,2)+SUMIFS('18'!$J$7:$J$100,'18'!$H$7:$H$100,$A216,'18'!$I$7:$I$100,2)+SUMIFS('18a'!$J$7:$J$100,'18a'!$H$7:$H$100,$A216,'18a'!$I$7:$I$100,2)
+SUMIFS('19'!$J$7:$J$100,'19'!$H$7:$H$100,$A216,'19'!$I$7:$I$100,2)+SUMIFS('20'!$J$7:$J$100,'20'!$H$7:$H$100,$A216,'20'!$I$7:$I$100,2)+SUMIFS('20a'!$J$7:$J$100,'20a'!$H$7:$H$100,$A216,'20a'!$I$7:$I$100,2)+SUMIFS('21'!$J$7:$J$100,'21'!$H$7:$H$100,$A216,'21'!$I$7:$I$100,2)+SUMIFS('22'!$J$7:$J$100,'22'!$H$7:$H$100,$A216,'22'!$I$7:$I$100,2)+SUMIFS('22a'!$J$7:$J$100,'22a'!$H$7:$H$100,$A216,'22a'!$I$7:$I$100,2)+SUMIFS('22b'!$J$7:$J$100,'22b'!$H$7:$H$100,$A216,'22b'!$I$7:$I$100,2)+SUMIFS('23'!$J$7:$J$100,'23'!$H$7:$H$100,$A216,'23'!$I$7:$I$100,2)+SUMIFS('24'!$J$7:$J$100,'24'!$H$7:$H$100,$A216,'24'!$I$7:$I$100,2)+SUMIFS('24a'!$J$7:$J$100,'24a'!$H$7:$H$100,$A216,'24a'!$I$7:$I$100,2)+SUMIFS('24b'!$J$7:$J$100,'24b'!$H$7:$H$100,$A216,'24b'!$I$7:$I$100,2)+SUMIFS('24c'!$J$7:$J$100,'24c'!$H$7:$H$100,$A216,'24c'!$I$7:$I$100,2)+SUMIFS('24d'!$J$7:$J$100,'24d'!$H$7:$H$100,$A216,'24d'!$I$7:$I$100,2)+SUMIFS('24e'!$J$7:$J$100,'24e'!$H$7:$H$100,$A216,'24e'!$I$7:$I$100,2)+SUMIFS('24f'!$J$7:$J$100,'24f'!$H$7:$H$100,$A216,'24f'!$I$7:$I$100,2)+SUMIFS('24g'!$J$7:$J$100,'24g'!$H$7:$H$100,$A216,'24g'!$I$7:$I$100,2)+SUMIFS('24h'!$J$7:$J$100,'24h'!$H$7:$H$100,$A216,'24h'!$I$7:$I$100,2)+SUMIFS('24i'!$J$7:$J$100,'24i'!$H$7:$H$100,$A216,'24i'!$I$7:$I$100,2)+SUMIFS('25'!$J$7:$J$100,'25'!$H$7:$H$100,$A216,'25'!$I$7:$I$100,2)+SUMIFS('26'!$J$7:$J$100,'26'!$H$7:$H$100,$A216,'26'!$I$7:$I$100,2)+SUMIFS('26a'!$J$7:$J$100,'26a'!$H$7:$H$100,$A216,'26a'!$I$7:$I$100,2)+SUMIFS('27'!$J$7:$J$100,'27'!$H$7:$H$100,$A216,'27'!$I$7:$I$100,2)+SUMIFS('27a'!$J$7:$J$100,'27a'!$H$7:$H$100,$A216,'27a'!$I$7:$I$100,2)+SUMIFS('28'!$J$7:$J$100,'28'!$H$7:$H$100,$A216,'28'!$I$7:$I$100,2)+SUMIFS('29'!$J$7:$J$100,'29'!$H$7:$H$100,$A216,'29'!$I$7:$I$100,2)</f>
        <v>0</v>
      </c>
      <c r="I216" s="1315">
        <f>SUMIFS('12'!$J$7:$J$100,'12'!$H$7:$H$100,$A216,'12'!$I$7:$I$100,"")+SUMIFS('13'!$J$7:$J$100,'13'!$H$7:$H$100,$A216,'13'!$I$7:$I$100,"")+SUMIFS('14'!$J$7:$J$100,'14'!$H$7:$H$100,$A216,'14'!$I$7:$I$100,"")+SUMIFS('15'!$J$7:$J$100,'15'!$H$7:$H$100,$A216,'15'!$I$7:$I$100,"")+SUMIFS('15a'!$J$7:$J$100,'15a'!$H$7:$H$100,$A216,'15a'!$I$7:$I$100,"")+SUMIFS('15b'!$J$7:$J$100,'15b'!$H$7:$H$100,$A216,'15b'!$I$7:$I$100,"")+SUMIFS('15c'!$J$7:$J$100,'15c'!$H$7:$H$100,$A216,'15c'!$I$7:$I$100,"")+SUMIFS('15d'!$J$7:$J$100,'15d'!$H$7:$H$100,$A216,'15d'!$I$7:$I$100,"")+SUMIFS('15e'!$J$7:$J$100,'15e'!$H$7:$H$100,$A216,'15e'!$I$7:$I$100,"")+SUMIFS('15f'!$J$7:$J$100,'15f'!$H$7:$H$100,$A216,'15f'!$I$7:$I$100,"")+SUMIFS('15g'!$J$7:$J$100,'15g'!$H$7:$H$100,$A216,'15g'!$I$7:$I$100,"")+SUMIFS('15h'!$J$7:$J$100,'15h'!$H$7:$H$100,$A216,'15h'!$I$7:$I$100,"")+SUMIFS('15i'!$J$7:$J$100,'15i'!$H$7:$H$100,$A216,'15i'!$I$7:$I$100,"")+SUMIFS('15j'!$J$7:$J$100,'15j'!$H$7:$H$100,$A216,'15j'!$I$7:$I$100,"")+SUMIFS('15k'!$J$7:$J$100,'15k'!$H$7:$H$100,$A216,'15k'!$I$7:$I$100,"")+SUMIFS('15l'!$J$7:$J$100,'15l'!$H$7:$H$100,$A216,'15l'!$I$7:$I$100,"")+SUMIFS('15m'!$J$7:$J$100,'15m'!$H$7:$H$100,$A216,'15m'!$I$7:$I$100,"")+SUMIFS('15n'!$J$7:$J$100,'15n'!$H$7:$H$100,$A216,'15n'!$I$7:$I$100,"")+SUMIFS('16'!$J$7:$J$100,'16'!$H$7:$H$100,$A216,'16'!$I$7:$I$100,"")+SUMIFS('16a'!$J$7:$J$100,'16a'!$H$7:$H$100,$A216,'16a'!$I$7:$I$100,"")+SUMIFS('17'!$J$7:$J$100,'17'!$H$7:$H$100,$A216,'17'!$I$7:$I$100,"")+SUMIFS('17a'!$J$7:$J$100,'17a'!$H$7:$H$100,$A216,'17a'!$I$7:$I$100,"")+SUMIFS('18'!$J$7:$J$100,'18'!$H$7:$H$100,$A216,'18'!$I$7:$I$100,"")+SUMIFS('18a'!$J$7:$J$100,'18a'!$H$7:$H$100,$A216,'18a'!$I$7:$I$100,"")
+SUMIFS('19'!$J$7:$J$100,'19'!$H$7:$H$100,$A216,'19'!$I$7:$I$100,"")+SUMIFS('20'!$J$7:$J$100,'20'!$H$7:$H$100,$A216,'20'!$I$7:$I$100,"")+SUMIFS('20a'!$J$7:$J$100,'20a'!$H$7:$H$100,$A216,'20a'!$I$7:$I$100,"")+SUMIFS('21'!$J$7:$J$100,'21'!$H$7:$H$100,$A216,'21'!$I$7:$I$100,"")+SUMIFS('22'!$J$7:$J$100,'22'!$H$7:$H$100,$A216,'22'!$I$7:$I$100,"")+SUMIFS('22a'!$J$7:$J$100,'22a'!$H$7:$H$100,$A216,'22a'!$I$7:$I$100,"")+SUMIFS('22b'!$J$7:$J$100,'22b'!$H$7:$H$100,$A216,'22b'!$I$7:$I$100,"")+SUMIFS('23'!$J$7:$J$100,'23'!$H$7:$H$100,$A216,'23'!$I$7:$I$100,"")+SUMIFS('24'!$J$7:$J$100,'24'!$H$7:$H$100,$A216,'24'!$I$7:$I$100,"")+SUMIFS('24a'!$J$7:$J$100,'24a'!$H$7:$H$100,$A216,'24a'!$I$7:$I$100,"")+SUMIFS('24b'!$J$7:$J$100,'24b'!$H$7:$H$100,$A216,'24b'!$I$7:$I$100,"")+SUMIFS('24c'!$J$7:$J$100,'24c'!$H$7:$H$100,$A216,'24c'!$I$7:$I$100,"")+SUMIFS('24d'!$J$7:$J$100,'24d'!$H$7:$H$100,$A216,'24d'!$I$7:$I$100,"")+SUMIFS('24e'!$J$7:$J$100,'24e'!$H$7:$H$100,$A216,'24e'!$I$7:$I$100,"")+SUMIFS('24f'!$J$7:$J$100,'24f'!$H$7:$H$100,$A216,'24f'!$I$7:$I$100,"")+SUMIFS('24g'!$J$7:$J$100,'24g'!$H$7:$H$100,$A216,'24g'!$I$7:$I$100,"")+SUMIFS('24h'!$J$7:$J$100,'24h'!$H$7:$H$100,$A216,'24h'!$I$7:$I$100,"")+SUMIFS('24i'!$J$7:$J$100,'24i'!$H$7:$H$100,$A216,'24i'!$I$7:$I$100,"")+SUMIFS('25'!$J$7:$J$100,'25'!$H$7:$H$100,$A216,'25'!$I$7:$I$100,"")+SUMIFS('26'!$J$7:$J$100,'26'!$H$7:$H$100,$A216,'26'!$I$7:$I$100,"")+SUMIFS('26a'!$J$7:$J$100,'26a'!$H$7:$H$100,$A216,'26a'!$I$7:$I$100,"")+SUMIFS('27'!$J$7:$J$100,'27'!$H$7:$H$100,$A216,'27'!$I$7:$I$100,"")+SUMIFS('27a'!$J$7:$J$100,'27a'!$H$7:$H$100,$A216,'27a'!$I$7:$I$100,"")+SUMIFS('28'!$J$7:$J$100,'28'!$H$7:$H$100,$A216,'28'!$I$7:$I$100,"")+SUMIFS('29'!$J$7:$J$100,'29'!$H$7:$H$100,$A216,'29'!$I$7:$I$100,"")</f>
        <v>0</v>
      </c>
      <c r="J216" s="1296">
        <f t="shared" si="13"/>
        <v>0</v>
      </c>
      <c r="K216"/>
      <c r="L216"/>
      <c r="M216"/>
      <c r="N216"/>
      <c r="O216"/>
      <c r="P216"/>
      <c r="Q216"/>
      <c r="R216"/>
      <c r="S216" s="1307">
        <f t="shared" ref="S216:S279" si="14">SUM(C216:J216)</f>
        <v>0</v>
      </c>
      <c r="T216"/>
    </row>
    <row r="217" spans="1:20" outlineLevel="1" x14ac:dyDescent="0.2">
      <c r="A217" t="s">
        <v>5281</v>
      </c>
      <c r="B217" t="s">
        <v>5482</v>
      </c>
      <c r="C217" s="1295">
        <f>SUMIFS('12'!$N$7:$N$100,'12'!$H$7:$H$100,$A217,'12'!$I$7:$I$100,1)+SUMIFS('13'!$N$7:$N$100,'13'!$H$7:$H$100,$A217,'13'!$I$7:$I$100,1)+SUMIFS('14'!$N$7:$N$100,'14'!$H$7:$H$100,$A217,'14'!$I$7:$I$100,1)+SUMIFS('15'!$N$7:$N$100,'15'!$H$7:$H$100,$A217,'15'!$I$7:$I$100,1)+SUMIFS('15a'!$N$7:$N$100,'15a'!$H$7:$H$100,$A217,'15a'!$I$7:$I$100,1)+SUMIFS('15b'!$N$7:$N$100,'15b'!$H$7:$H$100,$A217,'15b'!$I$7:$I$100,1)+SUMIFS('15c'!$N$7:$N$100,'15c'!$H$7:$H$100,$A217,'15c'!$I$7:$I$100,1)+SUMIFS('15d'!$N$7:$N$100,'15d'!$H$7:$H$100,$A217,'15d'!$I$7:$I$100,1)+SUMIFS('15e'!$N$7:$N$100,'15e'!$H$7:$H$100,$A217,'15e'!$I$7:$I$100,1)+SUMIFS('15f'!$N$7:$N$100,'15f'!$H$7:$H$100,$A217,'15f'!$I$7:$I$100,1)+SUMIFS('15g'!$N$7:$N$100,'15g'!$H$7:$H$100,$A217,'15g'!$I$7:$I$100,1)+SUMIFS('15h'!$N$7:$N$100,'15h'!$H$7:$H$100,$A217,'15h'!$I$7:$I$100,1)+SUMIFS('15i'!$N$7:$N$100,'15i'!$H$7:$H$100,$A217,'15i'!$I$7:$I$100,1)+SUMIFS('15j'!$N$7:$N$100,'15j'!$H$7:$H$100,$A217,'15j'!$I$7:$I$100,1)+SUMIFS('15k'!$N$7:$N$100,'15k'!$H$7:$H$100,$A217,'15k'!$I$7:$I$100,1)+SUMIFS('15l'!$N$7:$N$100,'15l'!$H$7:$H$100,$A217,'15l'!$I$7:$I$100,1)+SUMIFS('15m'!$N$7:$N$100,'15m'!$H$7:$H$100,$A217,'15m'!$I$7:$I$100,1)+SUMIFS('15n'!$N$7:$N$100,'15n'!$H$7:$H$100,$A217,'15n'!$I$7:$I$100,1)+SUMIFS('16'!$N$7:$N$100,'16'!$H$7:$H$100,$A217,'16'!$I$7:$I$100,1)+SUMIFS('16a'!$N$7:$N$100,'16a'!$H$7:$H$100,$A217,'16a'!$I$7:$I$100,1)+SUMIFS('17'!$N$7:$N$100,'17'!$H$7:$H$100,$A217,'17'!$I$7:$I$100,1)+SUMIFS('17a'!$N$7:$N$100,'17a'!$H$7:$H$100,$A217,'17a'!$I$7:$I$100,1)+SUMIFS('18'!$N$7:$N$100,'18'!$H$7:$H$100,$A217,'18'!$I$7:$I$100,1)+SUMIFS('18a'!$N$7:$N$100,'18a'!$H$7:$H$100,$A217,'18a'!$I$7:$I$100,1)
+SUMIFS('19'!$N$7:$N$100,'19'!$H$7:$H$100,$A217,'19'!$I$7:$I$100,1)+SUMIFS('20'!$N$7:$N$100,'20'!$H$7:$H$100,$A217,'20'!$I$7:$I$100,1)+SUMIFS('20a'!$N$7:$N$100,'20a'!$H$7:$H$100,$A217,'20a'!$I$7:$I$100,1)+SUMIFS('21'!$N$7:$N$100,'21'!$H$7:$H$100,$A217,'21'!$I$7:$I$100,1)+SUMIFS('22'!$N$7:$N$100,'22'!$H$7:$H$100,$A217,'22'!$I$7:$I$100,1)+SUMIFS('22a'!$N$7:$N$100,'22a'!$H$7:$H$100,$A217,'22a'!$I$7:$I$100,1)+SUMIFS('22b'!$N$7:$N$100,'22b'!$H$7:$H$100,$A217,'22b'!$I$7:$I$100,1)+SUMIFS('23'!$N$7:$N$100,'23'!$H$7:$H$100,$A217,'23'!$I$7:$I$100,1)+SUMIFS('24'!$N$7:$N$100,'24'!$H$7:$H$100,$A217,'24'!$I$7:$I$100,1)+SUMIFS('24a'!$N$7:$N$100,'24a'!$H$7:$H$100,$A217,'24a'!$I$7:$I$100,1)+SUMIFS('24b'!$N$7:$N$100,'24b'!$H$7:$H$100,$A217,'24b'!$I$7:$I$100,1)+SUMIFS('24c'!$N$7:$N$100,'24c'!$H$7:$H$100,$A217,'24c'!$I$7:$I$100,1)+SUMIFS('24d'!$N$7:$N$100,'24d'!$H$7:$H$100,$A217,'24d'!$I$7:$I$100,1)+SUMIFS('24e'!$N$7:$N$100,'24e'!$H$7:$H$100,$A217,'24e'!$I$7:$I$100,1)+SUMIFS('24f'!$N$7:$N$100,'24f'!$H$7:$H$100,$A217,'24f'!$I$7:$I$100,1)+SUMIFS('24g'!$N$7:$N$100,'24g'!$H$7:$H$100,$A217,'24g'!$I$7:$I$100,1)+SUMIFS('24h'!$N$7:$N$100,'24h'!$H$7:$H$100,$A217,'24h'!$I$7:$I$100,1)+SUMIFS('24i'!$N$7:$N$100,'24i'!$H$7:$H$100,$A217,'24i'!$I$7:$I$100,1)+SUMIFS('25'!$N$7:$N$100,'25'!$H$7:$H$100,$A217,'25'!$I$7:$I$100,1)+SUMIFS('26'!$N$7:$N$100,'26'!$H$7:$H$100,$A217,'26'!$I$7:$I$100,1)+SUMIFS('26a'!$N$7:$N$100,'26a'!$H$7:$H$100,$A217,'26a'!$I$7:$I$100,1)+SUMIFS('27'!$N$7:$N$100,'27'!$H$7:$H$100,$A217,'27'!$I$7:$I$100,1)+SUMIFS('27a'!$N$7:$N$100,'27a'!$H$7:$H$100,$A217,'27a'!$I$7:$I$100,1)+SUMIFS('28'!$N$7:$N$100,'28'!$H$7:$H$100,$A217,'28'!$I$7:$I$100,1)+SUMIFS('29'!$N$7:$N$100,'29'!$H$7:$H$100,$A217,'29'!$I$7:$I$100,1)</f>
        <v>0</v>
      </c>
      <c r="D217" s="1315">
        <f>SUMIFS('12'!$N$7:$N$100,'12'!$H$7:$H$100,$A217,'12'!$I$7:$I$100,2)+SUMIFS('13'!$N$7:$N$100,'13'!$H$7:$H$100,$A217,'13'!$I$7:$I$100,2)+SUMIFS('14'!$N$7:$N$100,'14'!$H$7:$H$100,$A217,'14'!$I$7:$I$100,2)+SUMIFS('15'!$N$7:$N$100,'15'!$H$7:$H$100,$A217,'15'!$I$7:$I$100,2)+SUMIFS('15a'!$N$7:$N$100,'15a'!$H$7:$H$100,$A217,'15a'!$I$7:$I$100,2)+SUMIFS('15b'!$N$7:$N$100,'15b'!$H$7:$H$100,$A217,'15b'!$I$7:$I$100,2)+SUMIFS('15c'!$N$7:$N$100,'15c'!$H$7:$H$100,$A217,'15c'!$I$7:$I$100,2)+SUMIFS('15d'!$N$7:$N$100,'15d'!$H$7:$H$100,$A217,'15d'!$I$7:$I$100,2)+SUMIFS('15e'!$N$7:$N$100,'15e'!$H$7:$H$100,$A217,'15e'!$I$7:$I$100,2)+SUMIFS('15f'!$N$7:$N$100,'15f'!$H$7:$H$100,$A217,'15f'!$I$7:$I$100,2)+SUMIFS('15g'!$N$7:$N$100,'15g'!$H$7:$H$100,$A217,'15g'!$I$7:$I$100,2)+SUMIFS('15h'!$N$7:$N$100,'15h'!$H$7:$H$100,$A217,'15h'!$I$7:$I$100,2)+SUMIFS('15i'!$N$7:$N$100,'15i'!$H$7:$H$100,$A217,'15i'!$I$7:$I$100,2)+SUMIFS('15j'!$N$7:$N$100,'15j'!$H$7:$H$100,$A217,'15j'!$I$7:$I$100,2)+SUMIFS('15k'!$N$7:$N$100,'15k'!$H$7:$H$100,$A217,'15k'!$I$7:$I$100,2)+SUMIFS('15l'!$N$7:$N$100,'15l'!$H$7:$H$100,$A217,'15l'!$I$7:$I$100,2)+SUMIFS('15m'!$N$7:$N$100,'15m'!$H$7:$H$100,$A217,'15m'!$I$7:$I$100,2)+SUMIFS('15n'!$N$7:$N$100,'15n'!$H$7:$H$100,$A217,'15n'!$I$7:$I$100,2)+SUMIFS('16'!$N$7:$N$100,'16'!$H$7:$H$100,$A217,'16'!$I$7:$I$100,2)+SUMIFS('16a'!$N$7:$N$100,'16a'!$H$7:$H$100,$A217,'16a'!$I$7:$I$100,2)+SUMIFS('17'!$N$7:$N$100,'17'!$H$7:$H$100,$A217,'17'!$I$7:$I$100,2)+SUMIFS('17a'!$N$7:$N$100,'17a'!$H$7:$H$100,$A217,'17a'!$I$7:$I$100,2)+SUMIFS('18'!$N$7:$N$100,'18'!$H$7:$H$100,$A217,'18'!$I$7:$I$100,2)+SUMIFS('18a'!$N$7:$N$100,'18a'!$H$7:$H$100,$A217,'18a'!$I$7:$I$100,2)
+SUMIFS('19'!$N$7:$N$100,'19'!$H$7:$H$100,$A217,'19'!$I$7:$I$100,2)+SUMIFS('20'!$N$7:$N$100,'20'!$H$7:$H$100,$A217,'20'!$I$7:$I$100,2)+SUMIFS('20a'!$N$7:$N$100,'20a'!$H$7:$H$100,$A217,'20a'!$I$7:$I$100,2)+SUMIFS('21'!$N$7:$N$100,'21'!$H$7:$H$100,$A217,'21'!$I$7:$I$100,2)+SUMIFS('22'!$N$7:$N$100,'22'!$H$7:$H$100,$A217,'22'!$I$7:$I$100,2)+SUMIFS('22a'!$N$7:$N$100,'22a'!$H$7:$H$100,$A217,'22a'!$I$7:$I$100,2)+SUMIFS('22b'!$N$7:$N$100,'22b'!$H$7:$H$100,$A217,'22b'!$I$7:$I$100,2)+SUMIFS('23'!$N$7:$N$100,'23'!$H$7:$H$100,$A217,'23'!$I$7:$I$100,2)+SUMIFS('24'!$N$7:$N$100,'24'!$H$7:$H$100,$A217,'24'!$I$7:$I$100,2)+SUMIFS('24a'!$N$7:$N$100,'24a'!$H$7:$H$100,$A217,'24a'!$I$7:$I$100,2)+SUMIFS('24b'!$N$7:$N$100,'24b'!$H$7:$H$100,$A217,'24b'!$I$7:$I$100,2)+SUMIFS('24c'!$N$7:$N$100,'24c'!$H$7:$H$100,$A217,'24c'!$I$7:$I$100,2)+SUMIFS('24d'!$N$7:$N$100,'24d'!$H$7:$H$100,$A217,'24d'!$I$7:$I$100,2)+SUMIFS('24e'!$N$7:$N$100,'24e'!$H$7:$H$100,$A217,'24e'!$I$7:$I$100,2)+SUMIFS('24f'!$N$7:$N$100,'24f'!$H$7:$H$100,$A217,'24f'!$I$7:$I$100,2)+SUMIFS('24g'!$N$7:$N$100,'24g'!$H$7:$H$100,$A217,'24g'!$I$7:$I$100,2)+SUMIFS('24h'!$N$7:$N$100,'24h'!$H$7:$H$100,$A217,'24h'!$I$7:$I$100,2)+SUMIFS('24i'!$N$7:$N$100,'24i'!$H$7:$H$100,$A217,'24i'!$I$7:$I$100,2)+SUMIFS('25'!$N$7:$N$100,'25'!$H$7:$H$100,$A217,'25'!$I$7:$I$100,2)+SUMIFS('26'!$N$7:$N$100,'26'!$H$7:$H$100,$A217,'26'!$I$7:$I$100,2)+SUMIFS('26a'!$N$7:$N$100,'26a'!$H$7:$H$100,$A217,'26a'!$I$7:$I$100,2)+SUMIFS('27'!$N$7:$N$100,'27'!$H$7:$H$100,$A217,'27'!$I$7:$I$100,2)+SUMIFS('27a'!$N$7:$N$100,'27a'!$H$7:$H$100,$A217,'27a'!$I$7:$I$100,2)+SUMIFS('28'!$N$7:$N$100,'28'!$H$7:$H$100,$A217,'28'!$I$7:$I$100,2)+SUMIFS('29'!$N$7:$N$100,'29'!$H$7:$H$100,$A217,'29'!$I$7:$I$100,2)</f>
        <v>0</v>
      </c>
      <c r="E217" s="1315">
        <f>SUMIFS('12'!$N$7:$N$100,'12'!$H$7:$H$100,$A217,'12'!$I$7:$I$100,"")+SUMIFS('13'!$N$7:$N$100,'13'!$H$7:$H$100,$A217,'13'!$I$7:$I$100,"")+SUMIFS('14'!$N$7:$N$100,'14'!$H$7:$H$100,$A217,'14'!$I$7:$I$100,"")+SUMIFS('15'!$N$7:$N$100,'15'!$H$7:$H$100,$A217,'15'!$I$7:$I$100,"")+SUMIFS('15a'!$N$7:$N$100,'15a'!$H$7:$H$100,$A217,'15a'!$I$7:$I$100,"")+SUMIFS('15b'!$N$7:$N$100,'15b'!$H$7:$H$100,$A217,'15b'!$I$7:$I$100,"")+SUMIFS('15c'!$N$7:$N$100,'15c'!$H$7:$H$100,$A217,'15c'!$I$7:$I$100,"")+SUMIFS('15d'!$N$7:$N$100,'15d'!$H$7:$H$100,$A217,'15d'!$I$7:$I$100,"")+SUMIFS('15e'!$N$7:$N$100,'15e'!$H$7:$H$100,$A217,'15e'!$I$7:$I$100,"")+SUMIFS('15f'!$N$7:$N$100,'15f'!$H$7:$H$100,$A217,'15f'!$I$7:$I$100,"")+SUMIFS('15g'!$N$7:$N$100,'15g'!$H$7:$H$100,$A217,'15g'!$I$7:$I$100,"")+SUMIFS('15h'!$N$7:$N$100,'15h'!$H$7:$H$100,$A217,'15h'!$I$7:$I$100,"")+SUMIFS('15i'!$N$7:$N$100,'15i'!$H$7:$H$100,$A217,'15i'!$I$7:$I$100,"")+SUMIFS('15j'!$N$7:$N$100,'15j'!$H$7:$H$100,$A217,'15j'!$I$7:$I$100,"")+SUMIFS('15k'!$N$7:$N$100,'15k'!$H$7:$H$100,$A217,'15k'!$I$7:$I$100,"")+SUMIFS('15l'!$N$7:$N$100,'15l'!$H$7:$H$100,$A217,'15l'!$I$7:$I$100,"")+SUMIFS('15m'!$N$7:$N$100,'15m'!$H$7:$H$100,$A217,'15m'!$I$7:$I$100,"")+SUMIFS('15n'!$N$7:$N$100,'15n'!$H$7:$H$100,$A217,'15n'!$I$7:$I$100,"")+SUMIFS('16'!$N$7:$N$100,'16'!$H$7:$H$100,$A217,'16'!$I$7:$I$100,"")+SUMIFS('16a'!$N$7:$N$100,'16a'!$H$7:$H$100,$A217,'16a'!$I$7:$I$100,"")+SUMIFS('17'!$N$7:$N$100,'17'!$H$7:$H$100,$A217,'17'!$I$7:$I$100,"")+SUMIFS('17a'!$N$7:$N$100,'17a'!$H$7:$H$100,$A217,'17a'!$I$7:$I$100,"")+SUMIFS('18'!$N$7:$N$100,'18'!$H$7:$H$100,$A217,'18'!$I$7:$I$100,"")+SUMIFS('18a'!$N$7:$N$100,'18a'!$H$7:$H$100,$A217,'18a'!$I$7:$I$100,"")
+SUMIFS('19'!$N$7:$N$100,'19'!$H$7:$H$100,$A217,'19'!$I$7:$I$100,"")+SUMIFS('20'!$N$7:$N$100,'20'!$H$7:$H$100,$A217,'20'!$I$7:$I$100,"")+SUMIFS('20a'!$N$7:$N$100,'20a'!$H$7:$H$100,$A217,'20a'!$I$7:$I$100,"")+SUMIFS('21'!$N$7:$N$100,'21'!$H$7:$H$100,$A217,'21'!$I$7:$I$100,"")+SUMIFS('22'!$N$7:$N$100,'22'!$H$7:$H$100,$A217,'22'!$I$7:$I$100,"")+SUMIFS('22a'!$N$7:$N$100,'22a'!$H$7:$H$100,$A217,'22a'!$I$7:$I$100,"")+SUMIFS('22b'!$N$7:$N$100,'22b'!$H$7:$H$100,$A217,'22b'!$I$7:$I$100,"")+SUMIFS('23'!$N$7:$N$100,'23'!$H$7:$H$100,$A217,'23'!$I$7:$I$100,"")+SUMIFS('24'!$N$7:$N$100,'24'!$H$7:$H$100,$A217,'24'!$I$7:$I$100,"")+SUMIFS('24a'!$N$7:$N$100,'24a'!$H$7:$H$100,$A217,'24a'!$I$7:$I$100,"")+SUMIFS('24b'!$N$7:$N$100,'24b'!$H$7:$H$100,$A217,'24b'!$I$7:$I$100,"")+SUMIFS('24c'!$N$7:$N$100,'24c'!$H$7:$H$100,$A217,'24c'!$I$7:$I$100,"")+SUMIFS('24d'!$N$7:$N$100,'24d'!$H$7:$H$100,$A217,'24d'!$I$7:$I$100,"")+SUMIFS('24e'!$N$7:$N$100,'24e'!$H$7:$H$100,$A217,'24e'!$I$7:$I$100,"")+SUMIFS('24f'!$N$7:$N$100,'24f'!$H$7:$H$100,$A217,'24f'!$I$7:$I$100,"")+SUMIFS('24g'!$N$7:$N$100,'24g'!$H$7:$H$100,$A217,'24g'!$I$7:$I$100,"")+SUMIFS('24h'!$N$7:$N$100,'24h'!$H$7:$H$100,$A217,'24h'!$I$7:$I$100,"")+SUMIFS('24i'!$N$7:$N$100,'24i'!$H$7:$H$100,$A217,'24i'!$I$7:$I$100,"")+SUMIFS('25'!$N$7:$N$100,'25'!$H$7:$H$100,$A217,'25'!$I$7:$I$100,"")+SUMIFS('26'!$N$7:$N$100,'26'!$H$7:$H$100,$A217,'26'!$I$7:$I$100,"")+SUMIFS('26a'!$N$7:$N$100,'26a'!$H$7:$H$100,$A217,'26a'!$I$7:$I$100,"")+SUMIFS('27'!$N$7:$N$100,'27'!$H$7:$H$100,$A217,'27'!$I$7:$I$100,"")+SUMIFS('27a'!$N$7:$N$100,'27a'!$H$7:$H$100,$A217,'27a'!$I$7:$I$100,"")+SUMIFS('28'!$N$7:$N$100,'28'!$H$7:$H$100,$A217,'28'!$I$7:$I$100,"")+SUMIFS('29'!$N$7:$N$100,'29'!$H$7:$H$100,$A217,'29'!$I$7:$I$100,"")</f>
        <v>0</v>
      </c>
      <c r="F217" s="1296">
        <f>SUM(C217:E217)</f>
        <v>0</v>
      </c>
      <c r="G217" s="1295">
        <f>SUMIFS('12'!$J$7:$J$100,'12'!$H$7:$H$100,$A217,'12'!$I$7:$I$100,1)+SUMIFS('13'!$J$7:$J$100,'13'!$H$7:$H$100,$A217,'13'!$I$7:$I$100,1)+SUMIFS('14'!$J$7:$J$100,'14'!$H$7:$H$100,$A217,'14'!$I$7:$I$100,1)+SUMIFS('15'!$J$7:$J$100,'15'!$H$7:$H$100,$A217,'15'!$I$7:$I$100,1)+SUMIFS('15a'!$J$7:$J$100,'15a'!$H$7:$H$100,$A217,'15a'!$I$7:$I$100,1)+SUMIFS('15b'!$J$7:$J$100,'15b'!$H$7:$H$100,$A217,'15b'!$I$7:$I$100,1)+SUMIFS('15c'!$J$7:$J$100,'15c'!$H$7:$H$100,$A217,'15c'!$I$7:$I$100,1)+SUMIFS('15d'!$J$7:$J$100,'15d'!$H$7:$H$100,$A217,'15d'!$I$7:$I$100,1)+SUMIFS('15e'!$J$7:$J$100,'15e'!$H$7:$H$100,$A217,'15e'!$I$7:$I$100,1)+SUMIFS('15f'!$J$7:$J$100,'15f'!$H$7:$H$100,$A217,'15f'!$I$7:$I$100,1)+SUMIFS('15g'!$J$7:$J$100,'15g'!$H$7:$H$100,$A217,'15g'!$I$7:$I$100,1)+SUMIFS('15h'!$J$7:$J$100,'15h'!$H$7:$H$100,$A217,'15h'!$I$7:$I$100,1)+SUMIFS('15i'!$J$7:$J$100,'15i'!$H$7:$H$100,$A217,'15i'!$I$7:$I$100,1)+SUMIFS('15j'!$J$7:$J$100,'15j'!$H$7:$H$100,$A217,'15j'!$I$7:$I$100,1)+SUMIFS('15k'!$J$7:$J$100,'15k'!$H$7:$H$100,$A217,'15k'!$I$7:$I$100,1)+SUMIFS('15l'!$J$7:$J$100,'15l'!$H$7:$H$100,$A217,'15l'!$I$7:$I$100,1)+SUMIFS('15m'!$J$7:$J$100,'15m'!$H$7:$H$100,$A217,'15m'!$I$7:$I$100,1)+SUMIFS('15n'!$J$7:$J$100,'15n'!$H$7:$H$100,$A217,'15n'!$I$7:$I$100,1)+SUMIFS('16'!$J$7:$J$100,'16'!$H$7:$H$100,$A217,'16'!$I$7:$I$100,1)+SUMIFS('16a'!$J$7:$J$100,'16a'!$H$7:$H$100,$A217,'16a'!$I$7:$I$100,1)+SUMIFS('17'!$J$7:$J$100,'17'!$H$7:$H$100,$A217,'17'!$I$7:$I$100,1)+SUMIFS('17a'!$J$7:$J$100,'17a'!$H$7:$H$100,$A217,'17a'!$I$7:$I$100,1)+SUMIFS('18'!$J$7:$J$100,'18'!$H$7:$H$100,$A217,'18'!$I$7:$I$100,1)+SUMIFS('18a'!$J$7:$J$100,'18a'!$H$7:$H$100,$A217,'18a'!$I$7:$I$100,1)
+SUMIFS('19'!$J$7:$J$100,'19'!$H$7:$H$100,$A217,'19'!$I$7:$I$100,1)+SUMIFS('20'!$J$7:$J$100,'20'!$H$7:$H$100,$A217,'20'!$I$7:$I$100,1)+SUMIFS('20a'!$J$7:$J$100,'20a'!$H$7:$H$100,$A217,'20a'!$I$7:$I$100,1)+SUMIFS('21'!$J$7:$J$100,'21'!$H$7:$H$100,$A217,'21'!$I$7:$I$100,1)+SUMIFS('22'!$J$7:$J$100,'22'!$H$7:$H$100,$A217,'22'!$I$7:$I$100,1)+SUMIFS('22a'!$J$7:$J$100,'22a'!$H$7:$H$100,$A217,'22a'!$I$7:$I$100,1)+SUMIFS('22b'!$J$7:$J$100,'22b'!$H$7:$H$100,$A217,'22b'!$I$7:$I$100,1)+SUMIFS('23'!$J$7:$J$100,'23'!$H$7:$H$100,$A217,'23'!$I$7:$I$100,1)+SUMIFS('24'!$J$7:$J$100,'24'!$H$7:$H$100,$A217,'24'!$I$7:$I$100,1)+SUMIFS('24a'!$J$7:$J$100,'24a'!$H$7:$H$100,$A217,'24a'!$I$7:$I$100,1)+SUMIFS('24b'!$J$7:$J$100,'24b'!$H$7:$H$100,$A217,'24b'!$I$7:$I$100,1)+SUMIFS('24c'!$J$7:$J$100,'24c'!$H$7:$H$100,$A217,'24c'!$I$7:$I$100,1)+SUMIFS('24d'!$J$7:$J$100,'24d'!$H$7:$H$100,$A217,'24d'!$I$7:$I$100,1)+SUMIFS('24e'!$J$7:$J$100,'24e'!$H$7:$H$100,$A217,'24e'!$I$7:$I$100,1)+SUMIFS('24f'!$J$7:$J$100,'24f'!$H$7:$H$100,$A217,'24f'!$I$7:$I$100,1)+SUMIFS('24g'!$J$7:$J$100,'24g'!$H$7:$H$100,$A217,'24g'!$I$7:$I$100,1)+SUMIFS('24h'!$J$7:$J$100,'24h'!$H$7:$H$100,$A217,'24h'!$I$7:$I$100,1)+SUMIFS('24i'!$J$7:$J$100,'24i'!$H$7:$H$100,$A217,'24i'!$I$7:$I$100,1)+SUMIFS('25'!$J$7:$J$100,'25'!$H$7:$H$100,$A217,'25'!$I$7:$I$100,1)+SUMIFS('26'!$J$7:$J$100,'26'!$H$7:$H$100,$A217,'26'!$I$7:$I$100,1)+SUMIFS('26a'!$J$7:$J$100,'26a'!$H$7:$H$100,$A217,'26a'!$I$7:$I$100,1)+SUMIFS('27'!$J$7:$J$100,'27'!$H$7:$H$100,$A217,'27'!$I$7:$I$100,1)+SUMIFS('27a'!$J$7:$J$100,'27a'!$H$7:$H$100,$A217,'27a'!$I$7:$I$100,1)+SUMIFS('28'!$J$7:$J$100,'28'!$H$7:$H$100,$A217,'28'!$I$7:$I$100,1)+SUMIFS('29'!$J$7:$J$100,'29'!$H$7:$H$100,$A217,'29'!$I$7:$I$100,1)</f>
        <v>0</v>
      </c>
      <c r="H217" s="1315">
        <f>SUMIFS('12'!$J$7:$J$100,'12'!$H$7:$H$100,$A217,'12'!$I$7:$I$100,2)+SUMIFS('13'!$J$7:$J$100,'13'!$H$7:$H$100,$A217,'13'!$I$7:$I$100,2)+SUMIFS('14'!$J$7:$J$100,'14'!$H$7:$H$100,$A217,'14'!$I$7:$I$100,2)+SUMIFS('15'!$J$7:$J$100,'15'!$H$7:$H$100,$A217,'15'!$I$7:$I$100,2)+SUMIFS('15a'!$J$7:$J$100,'15a'!$H$7:$H$100,$A217,'15a'!$I$7:$I$100,2)+SUMIFS('15b'!$J$7:$J$100,'15b'!$H$7:$H$100,$A217,'15b'!$I$7:$I$100,2)+SUMIFS('15c'!$J$7:$J$100,'15c'!$H$7:$H$100,$A217,'15c'!$I$7:$I$100,2)+SUMIFS('15d'!$J$7:$J$100,'15d'!$H$7:$H$100,$A217,'15d'!$I$7:$I$100,2)+SUMIFS('15e'!$J$7:$J$100,'15e'!$H$7:$H$100,$A217,'15e'!$I$7:$I$100,2)+SUMIFS('15f'!$J$7:$J$100,'15f'!$H$7:$H$100,$A217,'15f'!$I$7:$I$100,2)+SUMIFS('15g'!$J$7:$J$100,'15g'!$H$7:$H$100,$A217,'15g'!$I$7:$I$100,2)+SUMIFS('15h'!$J$7:$J$100,'15h'!$H$7:$H$100,$A217,'15h'!$I$7:$I$100,2)+SUMIFS('15i'!$J$7:$J$100,'15i'!$H$7:$H$100,$A217,'15i'!$I$7:$I$100,2)+SUMIFS('15j'!$J$7:$J$100,'15j'!$H$7:$H$100,$A217,'15j'!$I$7:$I$100,2)+SUMIFS('15k'!$J$7:$J$100,'15k'!$H$7:$H$100,$A217,'15k'!$I$7:$I$100,2)+SUMIFS('15l'!$J$7:$J$100,'15l'!$H$7:$H$100,$A217,'15l'!$I$7:$I$100,2)+SUMIFS('15m'!$J$7:$J$100,'15m'!$H$7:$H$100,$A217,'15m'!$I$7:$I$100,2)+SUMIFS('15n'!$J$7:$J$100,'15n'!$H$7:$H$100,$A217,'15n'!$I$7:$I$100,2)+SUMIFS('16'!$J$7:$J$100,'16'!$H$7:$H$100,$A217,'16'!$I$7:$I$100,2)+SUMIFS('16a'!$J$7:$J$100,'16a'!$H$7:$H$100,$A217,'16a'!$I$7:$I$100,2)+SUMIFS('17'!$J$7:$J$100,'17'!$H$7:$H$100,$A217,'17'!$I$7:$I$100,2)+SUMIFS('17a'!$J$7:$J$100,'17a'!$H$7:$H$100,$A217,'17a'!$I$7:$I$100,2)+SUMIFS('18'!$J$7:$J$100,'18'!$H$7:$H$100,$A217,'18'!$I$7:$I$100,2)+SUMIFS('18a'!$J$7:$J$100,'18a'!$H$7:$H$100,$A217,'18a'!$I$7:$I$100,2)
+SUMIFS('19'!$J$7:$J$100,'19'!$H$7:$H$100,$A217,'19'!$I$7:$I$100,2)+SUMIFS('20'!$J$7:$J$100,'20'!$H$7:$H$100,$A217,'20'!$I$7:$I$100,2)+SUMIFS('20a'!$J$7:$J$100,'20a'!$H$7:$H$100,$A217,'20a'!$I$7:$I$100,2)+SUMIFS('21'!$J$7:$J$100,'21'!$H$7:$H$100,$A217,'21'!$I$7:$I$100,2)+SUMIFS('22'!$J$7:$J$100,'22'!$H$7:$H$100,$A217,'22'!$I$7:$I$100,2)+SUMIFS('22a'!$J$7:$J$100,'22a'!$H$7:$H$100,$A217,'22a'!$I$7:$I$100,2)+SUMIFS('22b'!$J$7:$J$100,'22b'!$H$7:$H$100,$A217,'22b'!$I$7:$I$100,2)+SUMIFS('23'!$J$7:$J$100,'23'!$H$7:$H$100,$A217,'23'!$I$7:$I$100,2)+SUMIFS('24'!$J$7:$J$100,'24'!$H$7:$H$100,$A217,'24'!$I$7:$I$100,2)+SUMIFS('24a'!$J$7:$J$100,'24a'!$H$7:$H$100,$A217,'24a'!$I$7:$I$100,2)+SUMIFS('24b'!$J$7:$J$100,'24b'!$H$7:$H$100,$A217,'24b'!$I$7:$I$100,2)+SUMIFS('24c'!$J$7:$J$100,'24c'!$H$7:$H$100,$A217,'24c'!$I$7:$I$100,2)+SUMIFS('24d'!$J$7:$J$100,'24d'!$H$7:$H$100,$A217,'24d'!$I$7:$I$100,2)+SUMIFS('24e'!$J$7:$J$100,'24e'!$H$7:$H$100,$A217,'24e'!$I$7:$I$100,2)+SUMIFS('24f'!$J$7:$J$100,'24f'!$H$7:$H$100,$A217,'24f'!$I$7:$I$100,2)+SUMIFS('24g'!$J$7:$J$100,'24g'!$H$7:$H$100,$A217,'24g'!$I$7:$I$100,2)+SUMIFS('24h'!$J$7:$J$100,'24h'!$H$7:$H$100,$A217,'24h'!$I$7:$I$100,2)+SUMIFS('24i'!$J$7:$J$100,'24i'!$H$7:$H$100,$A217,'24i'!$I$7:$I$100,2)+SUMIFS('25'!$J$7:$J$100,'25'!$H$7:$H$100,$A217,'25'!$I$7:$I$100,2)+SUMIFS('26'!$J$7:$J$100,'26'!$H$7:$H$100,$A217,'26'!$I$7:$I$100,2)+SUMIFS('26a'!$J$7:$J$100,'26a'!$H$7:$H$100,$A217,'26a'!$I$7:$I$100,2)+SUMIFS('27'!$J$7:$J$100,'27'!$H$7:$H$100,$A217,'27'!$I$7:$I$100,2)+SUMIFS('27a'!$J$7:$J$100,'27a'!$H$7:$H$100,$A217,'27a'!$I$7:$I$100,2)+SUMIFS('28'!$J$7:$J$100,'28'!$H$7:$H$100,$A217,'28'!$I$7:$I$100,2)+SUMIFS('29'!$J$7:$J$100,'29'!$H$7:$H$100,$A217,'29'!$I$7:$I$100,2)</f>
        <v>0</v>
      </c>
      <c r="I217" s="1315">
        <f>SUMIFS('12'!$J$7:$J$100,'12'!$H$7:$H$100,$A217,'12'!$I$7:$I$100,"")+SUMIFS('13'!$J$7:$J$100,'13'!$H$7:$H$100,$A217,'13'!$I$7:$I$100,"")+SUMIFS('14'!$J$7:$J$100,'14'!$H$7:$H$100,$A217,'14'!$I$7:$I$100,"")+SUMIFS('15'!$J$7:$J$100,'15'!$H$7:$H$100,$A217,'15'!$I$7:$I$100,"")+SUMIFS('15a'!$J$7:$J$100,'15a'!$H$7:$H$100,$A217,'15a'!$I$7:$I$100,"")+SUMIFS('15b'!$J$7:$J$100,'15b'!$H$7:$H$100,$A217,'15b'!$I$7:$I$100,"")+SUMIFS('15c'!$J$7:$J$100,'15c'!$H$7:$H$100,$A217,'15c'!$I$7:$I$100,"")+SUMIFS('15d'!$J$7:$J$100,'15d'!$H$7:$H$100,$A217,'15d'!$I$7:$I$100,"")+SUMIFS('15e'!$J$7:$J$100,'15e'!$H$7:$H$100,$A217,'15e'!$I$7:$I$100,"")+SUMIFS('15f'!$J$7:$J$100,'15f'!$H$7:$H$100,$A217,'15f'!$I$7:$I$100,"")+SUMIFS('15g'!$J$7:$J$100,'15g'!$H$7:$H$100,$A217,'15g'!$I$7:$I$100,"")+SUMIFS('15h'!$J$7:$J$100,'15h'!$H$7:$H$100,$A217,'15h'!$I$7:$I$100,"")+SUMIFS('15i'!$J$7:$J$100,'15i'!$H$7:$H$100,$A217,'15i'!$I$7:$I$100,"")+SUMIFS('15j'!$J$7:$J$100,'15j'!$H$7:$H$100,$A217,'15j'!$I$7:$I$100,"")+SUMIFS('15k'!$J$7:$J$100,'15k'!$H$7:$H$100,$A217,'15k'!$I$7:$I$100,"")+SUMIFS('15l'!$J$7:$J$100,'15l'!$H$7:$H$100,$A217,'15l'!$I$7:$I$100,"")+SUMIFS('15m'!$J$7:$J$100,'15m'!$H$7:$H$100,$A217,'15m'!$I$7:$I$100,"")+SUMIFS('15n'!$J$7:$J$100,'15n'!$H$7:$H$100,$A217,'15n'!$I$7:$I$100,"")+SUMIFS('16'!$J$7:$J$100,'16'!$H$7:$H$100,$A217,'16'!$I$7:$I$100,"")+SUMIFS('16a'!$J$7:$J$100,'16a'!$H$7:$H$100,$A217,'16a'!$I$7:$I$100,"")+SUMIFS('17'!$J$7:$J$100,'17'!$H$7:$H$100,$A217,'17'!$I$7:$I$100,"")+SUMIFS('17a'!$J$7:$J$100,'17a'!$H$7:$H$100,$A217,'17a'!$I$7:$I$100,"")+SUMIFS('18'!$J$7:$J$100,'18'!$H$7:$H$100,$A217,'18'!$I$7:$I$100,"")+SUMIFS('18a'!$J$7:$J$100,'18a'!$H$7:$H$100,$A217,'18a'!$I$7:$I$100,"")
+SUMIFS('19'!$J$7:$J$100,'19'!$H$7:$H$100,$A217,'19'!$I$7:$I$100,"")+SUMIFS('20'!$J$7:$J$100,'20'!$H$7:$H$100,$A217,'20'!$I$7:$I$100,"")+SUMIFS('20a'!$J$7:$J$100,'20a'!$H$7:$H$100,$A217,'20a'!$I$7:$I$100,"")+SUMIFS('21'!$J$7:$J$100,'21'!$H$7:$H$100,$A217,'21'!$I$7:$I$100,"")+SUMIFS('22'!$J$7:$J$100,'22'!$H$7:$H$100,$A217,'22'!$I$7:$I$100,"")+SUMIFS('22a'!$J$7:$J$100,'22a'!$H$7:$H$100,$A217,'22a'!$I$7:$I$100,"")+SUMIFS('22b'!$J$7:$J$100,'22b'!$H$7:$H$100,$A217,'22b'!$I$7:$I$100,"")+SUMIFS('23'!$J$7:$J$100,'23'!$H$7:$H$100,$A217,'23'!$I$7:$I$100,"")+SUMIFS('24'!$J$7:$J$100,'24'!$H$7:$H$100,$A217,'24'!$I$7:$I$100,"")+SUMIFS('24a'!$J$7:$J$100,'24a'!$H$7:$H$100,$A217,'24a'!$I$7:$I$100,"")+SUMIFS('24b'!$J$7:$J$100,'24b'!$H$7:$H$100,$A217,'24b'!$I$7:$I$100,"")+SUMIFS('24c'!$J$7:$J$100,'24c'!$H$7:$H$100,$A217,'24c'!$I$7:$I$100,"")+SUMIFS('24d'!$J$7:$J$100,'24d'!$H$7:$H$100,$A217,'24d'!$I$7:$I$100,"")+SUMIFS('24e'!$J$7:$J$100,'24e'!$H$7:$H$100,$A217,'24e'!$I$7:$I$100,"")+SUMIFS('24f'!$J$7:$J$100,'24f'!$H$7:$H$100,$A217,'24f'!$I$7:$I$100,"")+SUMIFS('24g'!$J$7:$J$100,'24g'!$H$7:$H$100,$A217,'24g'!$I$7:$I$100,"")+SUMIFS('24h'!$J$7:$J$100,'24h'!$H$7:$H$100,$A217,'24h'!$I$7:$I$100,"")+SUMIFS('24i'!$J$7:$J$100,'24i'!$H$7:$H$100,$A217,'24i'!$I$7:$I$100,"")+SUMIFS('25'!$J$7:$J$100,'25'!$H$7:$H$100,$A217,'25'!$I$7:$I$100,"")+SUMIFS('26'!$J$7:$J$100,'26'!$H$7:$H$100,$A217,'26'!$I$7:$I$100,"")+SUMIFS('26a'!$J$7:$J$100,'26a'!$H$7:$H$100,$A217,'26a'!$I$7:$I$100,"")+SUMIFS('27'!$J$7:$J$100,'27'!$H$7:$H$100,$A217,'27'!$I$7:$I$100,"")+SUMIFS('27a'!$J$7:$J$100,'27a'!$H$7:$H$100,$A217,'27a'!$I$7:$I$100,"")+SUMIFS('28'!$J$7:$J$100,'28'!$H$7:$H$100,$A217,'28'!$I$7:$I$100,"")+SUMIFS('29'!$J$7:$J$100,'29'!$H$7:$H$100,$A217,'29'!$I$7:$I$100,"")</f>
        <v>0</v>
      </c>
      <c r="J217" s="1296">
        <f>SUM(G217:I217)</f>
        <v>0</v>
      </c>
      <c r="K217"/>
      <c r="L217"/>
      <c r="M217"/>
      <c r="N217"/>
      <c r="O217"/>
      <c r="P217"/>
      <c r="Q217"/>
      <c r="R217"/>
      <c r="S217" s="1307">
        <f t="shared" si="14"/>
        <v>0</v>
      </c>
      <c r="T217"/>
    </row>
    <row r="218" spans="1:20" x14ac:dyDescent="0.2">
      <c r="A218"/>
      <c r="B218" s="1289" t="str">
        <f>"Total- "&amp;A201</f>
        <v>Total- Uniform Construction Code/Code Enforcement</v>
      </c>
      <c r="C218" s="1297">
        <f>SUM(C202:C203)</f>
        <v>3840</v>
      </c>
      <c r="D218" s="1290">
        <f>SUM(D202:D203)</f>
        <v>45.71</v>
      </c>
      <c r="E218" s="1290">
        <f t="shared" ref="E218:J218" si="15">SUM(E202:E203)</f>
        <v>0</v>
      </c>
      <c r="F218" s="1298">
        <f t="shared" si="15"/>
        <v>3885.71</v>
      </c>
      <c r="G218" s="1297">
        <f t="shared" si="15"/>
        <v>3917</v>
      </c>
      <c r="H218" s="1290">
        <f t="shared" si="15"/>
        <v>5100</v>
      </c>
      <c r="I218" s="1290">
        <f t="shared" si="15"/>
        <v>0</v>
      </c>
      <c r="J218" s="1298">
        <f t="shared" si="15"/>
        <v>9017</v>
      </c>
      <c r="K218"/>
      <c r="L218"/>
      <c r="M218"/>
      <c r="N218"/>
      <c r="O218"/>
      <c r="P218"/>
      <c r="Q218"/>
      <c r="R218"/>
      <c r="S218" s="1307"/>
      <c r="T218"/>
    </row>
    <row r="219" spans="1:20" x14ac:dyDescent="0.2">
      <c r="A219"/>
      <c r="B219"/>
      <c r="C219" s="292"/>
      <c r="D219"/>
      <c r="E219"/>
      <c r="F219" s="345"/>
      <c r="G219" s="292"/>
      <c r="H219"/>
      <c r="I219"/>
      <c r="J219" s="345"/>
      <c r="K219"/>
      <c r="L219"/>
      <c r="M219"/>
      <c r="N219"/>
      <c r="O219"/>
      <c r="P219"/>
      <c r="Q219"/>
      <c r="R219"/>
      <c r="S219" s="1307"/>
      <c r="T219"/>
    </row>
    <row r="220" spans="1:20" x14ac:dyDescent="0.2">
      <c r="A220" s="106" t="s">
        <v>453</v>
      </c>
      <c r="B220" s="5" t="s">
        <v>5476</v>
      </c>
      <c r="C220" s="1299"/>
      <c r="D220" s="523"/>
      <c r="E220" s="5"/>
      <c r="F220" s="1322"/>
      <c r="G220" s="1299"/>
      <c r="H220" s="523"/>
      <c r="I220" s="5"/>
      <c r="J220" s="1322"/>
      <c r="K220"/>
      <c r="L220"/>
      <c r="M220"/>
      <c r="N220"/>
      <c r="O220"/>
      <c r="P220"/>
      <c r="Q220"/>
      <c r="R220"/>
      <c r="S220" s="1307"/>
      <c r="T220"/>
    </row>
    <row r="221" spans="1:20" x14ac:dyDescent="0.2">
      <c r="A221" t="s">
        <v>5149</v>
      </c>
      <c r="B221" t="s">
        <v>5483</v>
      </c>
      <c r="C221" s="1295">
        <f>SUMIFS('12'!$N$7:$N$100,'12'!$H$7:$H$100,$A221,'12'!$I$7:$I$100,1)+SUMIFS('13'!$N$7:$N$100,'13'!$H$7:$H$100,$A221,'13'!$I$7:$I$100,1)+SUMIFS('14'!$N$7:$N$100,'14'!$H$7:$H$100,$A221,'14'!$I$7:$I$100,1)+SUMIFS('15'!$N$7:$N$100,'15'!$H$7:$H$100,$A221,'15'!$I$7:$I$100,1)+SUMIFS('15a'!$N$7:$N$100,'15a'!$H$7:$H$100,$A221,'15a'!$I$7:$I$100,1)+SUMIFS('15b'!$N$7:$N$100,'15b'!$H$7:$H$100,$A221,'15b'!$I$7:$I$100,1)+SUMIFS('15c'!$N$7:$N$100,'15c'!$H$7:$H$100,$A221,'15c'!$I$7:$I$100,1)+SUMIFS('15d'!$N$7:$N$100,'15d'!$H$7:$H$100,$A221,'15d'!$I$7:$I$100,1)+SUMIFS('15e'!$N$7:$N$100,'15e'!$H$7:$H$100,$A221,'15e'!$I$7:$I$100,1)+SUMIFS('15f'!$N$7:$N$100,'15f'!$H$7:$H$100,$A221,'15f'!$I$7:$I$100,1)+SUMIFS('15g'!$N$7:$N$100,'15g'!$H$7:$H$100,$A221,'15g'!$I$7:$I$100,1)+SUMIFS('15h'!$N$7:$N$100,'15h'!$H$7:$H$100,$A221,'15h'!$I$7:$I$100,1)+SUMIFS('15i'!$N$7:$N$100,'15i'!$H$7:$H$100,$A221,'15i'!$I$7:$I$100,1)+SUMIFS('15j'!$N$7:$N$100,'15j'!$H$7:$H$100,$A221,'15j'!$I$7:$I$100,1)+SUMIFS('15k'!$N$7:$N$100,'15k'!$H$7:$H$100,$A221,'15k'!$I$7:$I$100,1)+SUMIFS('15l'!$N$7:$N$100,'15l'!$H$7:$H$100,$A221,'15l'!$I$7:$I$100,1)+SUMIFS('15m'!$N$7:$N$100,'15m'!$H$7:$H$100,$A221,'15m'!$I$7:$I$100,1)+SUMIFS('15n'!$N$7:$N$100,'15n'!$H$7:$H$100,$A221,'15n'!$I$7:$I$100,1)+SUMIFS('16'!$N$7:$N$100,'16'!$H$7:$H$100,$A221,'16'!$I$7:$I$100,1)+SUMIFS('16a'!$N$7:$N$100,'16a'!$H$7:$H$100,$A221,'16a'!$I$7:$I$100,1)+SUMIFS('17'!$N$7:$N$100,'17'!$H$7:$H$100,$A221,'17'!$I$7:$I$100,1)+SUMIFS('17a'!$N$7:$N$100,'17a'!$H$7:$H$100,$A221,'17a'!$I$7:$I$100,1)+SUMIFS('18'!$N$7:$N$100,'18'!$H$7:$H$100,$A221,'18'!$I$7:$I$100,1)+SUMIFS('18a'!$N$7:$N$100,'18a'!$H$7:$H$100,$A221,'18a'!$I$7:$I$100,1)
+SUMIFS('19'!$N$7:$N$100,'19'!$H$7:$H$100,$A221,'19'!$I$7:$I$100,1)+SUMIFS('20'!$N$7:$N$100,'20'!$H$7:$H$100,$A221,'20'!$I$7:$I$100,1)+SUMIFS('20a'!$N$7:$N$100,'20a'!$H$7:$H$100,$A221,'20a'!$I$7:$I$100,1)+SUMIFS('21'!$N$7:$N$100,'21'!$H$7:$H$100,$A221,'21'!$I$7:$I$100,1)+SUMIFS('22'!$N$7:$N$100,'22'!$H$7:$H$100,$A221,'22'!$I$7:$I$100,1)+SUMIFS('22a'!$N$7:$N$100,'22a'!$H$7:$H$100,$A221,'22a'!$I$7:$I$100,1)+SUMIFS('22b'!$N$7:$N$100,'22b'!$H$7:$H$100,$A221,'22b'!$I$7:$I$100,1)+SUMIFS('23'!$N$7:$N$100,'23'!$H$7:$H$100,$A221,'23'!$I$7:$I$100,1)+SUMIFS('24'!$N$7:$N$100,'24'!$H$7:$H$100,$A221,'24'!$I$7:$I$100,1)+SUMIFS('24a'!$N$7:$N$100,'24a'!$H$7:$H$100,$A221,'24a'!$I$7:$I$100,1)+SUMIFS('24b'!$N$7:$N$100,'24b'!$H$7:$H$100,$A221,'24b'!$I$7:$I$100,1)+SUMIFS('24c'!$N$7:$N$100,'24c'!$H$7:$H$100,$A221,'24c'!$I$7:$I$100,1)+SUMIFS('24d'!$N$7:$N$100,'24d'!$H$7:$H$100,$A221,'24d'!$I$7:$I$100,1)+SUMIFS('24e'!$N$7:$N$100,'24e'!$H$7:$H$100,$A221,'24e'!$I$7:$I$100,1)+SUMIFS('24f'!$N$7:$N$100,'24f'!$H$7:$H$100,$A221,'24f'!$I$7:$I$100,1)+SUMIFS('24g'!$N$7:$N$100,'24g'!$H$7:$H$100,$A221,'24g'!$I$7:$I$100,1)+SUMIFS('24h'!$N$7:$N$100,'24h'!$H$7:$H$100,$A221,'24h'!$I$7:$I$100,1)+SUMIFS('24i'!$N$7:$N$100,'24i'!$H$7:$H$100,$A221,'24i'!$I$7:$I$100,1)+SUMIFS('25'!$N$7:$N$100,'25'!$H$7:$H$100,$A221,'25'!$I$7:$I$100,1)+SUMIFS('26'!$N$7:$N$100,'26'!$H$7:$H$100,$A221,'26'!$I$7:$I$100,1)+SUMIFS('26a'!$N$7:$N$100,'26a'!$H$7:$H$100,$A221,'26a'!$I$7:$I$100,1)+SUMIFS('27'!$N$7:$N$100,'27'!$H$7:$H$100,$A221,'27'!$I$7:$I$100,1)+SUMIFS('27a'!$N$7:$N$100,'27a'!$H$7:$H$100,$A221,'27a'!$I$7:$I$100,1)+SUMIFS('28'!$N$7:$N$100,'28'!$H$7:$H$100,$A221,'28'!$I$7:$I$100,1)+SUMIFS('29'!$N$7:$N$100,'29'!$H$7:$H$100,$A221,'29'!$I$7:$I$100,1)</f>
        <v>0</v>
      </c>
      <c r="D221" s="1315">
        <f>SUMIFS('12'!$N$7:$N$100,'12'!$H$7:$H$100,$A221,'12'!$I$7:$I$100,2)+SUMIFS('13'!$N$7:$N$100,'13'!$H$7:$H$100,$A221,'13'!$I$7:$I$100,2)+SUMIFS('14'!$N$7:$N$100,'14'!$H$7:$H$100,$A221,'14'!$I$7:$I$100,2)+SUMIFS('15'!$N$7:$N$100,'15'!$H$7:$H$100,$A221,'15'!$I$7:$I$100,2)+SUMIFS('15a'!$N$7:$N$100,'15a'!$H$7:$H$100,$A221,'15a'!$I$7:$I$100,2)+SUMIFS('15b'!$N$7:$N$100,'15b'!$H$7:$H$100,$A221,'15b'!$I$7:$I$100,2)+SUMIFS('15c'!$N$7:$N$100,'15c'!$H$7:$H$100,$A221,'15c'!$I$7:$I$100,2)+SUMIFS('15d'!$N$7:$N$100,'15d'!$H$7:$H$100,$A221,'15d'!$I$7:$I$100,2)+SUMIFS('15e'!$N$7:$N$100,'15e'!$H$7:$H$100,$A221,'15e'!$I$7:$I$100,2)+SUMIFS('15f'!$N$7:$N$100,'15f'!$H$7:$H$100,$A221,'15f'!$I$7:$I$100,2)+SUMIFS('15g'!$N$7:$N$100,'15g'!$H$7:$H$100,$A221,'15g'!$I$7:$I$100,2)+SUMIFS('15h'!$N$7:$N$100,'15h'!$H$7:$H$100,$A221,'15h'!$I$7:$I$100,2)+SUMIFS('15i'!$N$7:$N$100,'15i'!$H$7:$H$100,$A221,'15i'!$I$7:$I$100,2)+SUMIFS('15j'!$N$7:$N$100,'15j'!$H$7:$H$100,$A221,'15j'!$I$7:$I$100,2)+SUMIFS('15k'!$N$7:$N$100,'15k'!$H$7:$H$100,$A221,'15k'!$I$7:$I$100,2)+SUMIFS('15l'!$N$7:$N$100,'15l'!$H$7:$H$100,$A221,'15l'!$I$7:$I$100,2)+SUMIFS('15m'!$N$7:$N$100,'15m'!$H$7:$H$100,$A221,'15m'!$I$7:$I$100,2)+SUMIFS('15n'!$N$7:$N$100,'15n'!$H$7:$H$100,$A221,'15n'!$I$7:$I$100,2)+SUMIFS('16'!$N$7:$N$100,'16'!$H$7:$H$100,$A221,'16'!$I$7:$I$100,2)+SUMIFS('16a'!$N$7:$N$100,'16a'!$H$7:$H$100,$A221,'16a'!$I$7:$I$100,2)+SUMIFS('17'!$N$7:$N$100,'17'!$H$7:$H$100,$A221,'17'!$I$7:$I$100,2)+SUMIFS('17a'!$N$7:$N$100,'17a'!$H$7:$H$100,$A221,'17a'!$I$7:$I$100,2)+SUMIFS('18'!$N$7:$N$100,'18'!$H$7:$H$100,$A221,'18'!$I$7:$I$100,2)+SUMIFS('18a'!$N$7:$N$100,'18a'!$H$7:$H$100,$A221,'18a'!$I$7:$I$100,2)
+SUMIFS('19'!$N$7:$N$100,'19'!$H$7:$H$100,$A221,'19'!$I$7:$I$100,2)+SUMIFS('20'!$N$7:$N$100,'20'!$H$7:$H$100,$A221,'20'!$I$7:$I$100,2)+SUMIFS('20a'!$N$7:$N$100,'20a'!$H$7:$H$100,$A221,'20a'!$I$7:$I$100,2)+SUMIFS('21'!$N$7:$N$100,'21'!$H$7:$H$100,$A221,'21'!$I$7:$I$100,2)+SUMIFS('22'!$N$7:$N$100,'22'!$H$7:$H$100,$A221,'22'!$I$7:$I$100,2)+SUMIFS('22a'!$N$7:$N$100,'22a'!$H$7:$H$100,$A221,'22a'!$I$7:$I$100,2)+SUMIFS('22b'!$N$7:$N$100,'22b'!$H$7:$H$100,$A221,'22b'!$I$7:$I$100,2)+SUMIFS('23'!$N$7:$N$100,'23'!$H$7:$H$100,$A221,'23'!$I$7:$I$100,2)+SUMIFS('24'!$N$7:$N$100,'24'!$H$7:$H$100,$A221,'24'!$I$7:$I$100,2)+SUMIFS('24a'!$N$7:$N$100,'24a'!$H$7:$H$100,$A221,'24a'!$I$7:$I$100,2)+SUMIFS('24b'!$N$7:$N$100,'24b'!$H$7:$H$100,$A221,'24b'!$I$7:$I$100,2)+SUMIFS('24c'!$N$7:$N$100,'24c'!$H$7:$H$100,$A221,'24c'!$I$7:$I$100,2)+SUMIFS('24d'!$N$7:$N$100,'24d'!$H$7:$H$100,$A221,'24d'!$I$7:$I$100,2)+SUMIFS('24e'!$N$7:$N$100,'24e'!$H$7:$H$100,$A221,'24e'!$I$7:$I$100,2)+SUMIFS('24f'!$N$7:$N$100,'24f'!$H$7:$H$100,$A221,'24f'!$I$7:$I$100,2)+SUMIFS('24g'!$N$7:$N$100,'24g'!$H$7:$H$100,$A221,'24g'!$I$7:$I$100,2)+SUMIFS('24h'!$N$7:$N$100,'24h'!$H$7:$H$100,$A221,'24h'!$I$7:$I$100,2)+SUMIFS('24i'!$N$7:$N$100,'24i'!$H$7:$H$100,$A221,'24i'!$I$7:$I$100,2)+SUMIFS('25'!$N$7:$N$100,'25'!$H$7:$H$100,$A221,'25'!$I$7:$I$100,2)+SUMIFS('26'!$N$7:$N$100,'26'!$H$7:$H$100,$A221,'26'!$I$7:$I$100,2)+SUMIFS('26a'!$N$7:$N$100,'26a'!$H$7:$H$100,$A221,'26a'!$I$7:$I$100,2)+SUMIFS('27'!$N$7:$N$100,'27'!$H$7:$H$100,$A221,'27'!$I$7:$I$100,2)+SUMIFS('27a'!$N$7:$N$100,'27a'!$H$7:$H$100,$A221,'27a'!$I$7:$I$100,2)+SUMIFS('28'!$N$7:$N$100,'28'!$H$7:$H$100,$A221,'28'!$I$7:$I$100,2)+SUMIFS('29'!$N$7:$N$100,'29'!$H$7:$H$100,$A221,'29'!$I$7:$I$100,2)</f>
        <v>68257.440000000002</v>
      </c>
      <c r="E221" s="1315">
        <f>SUMIFS('12'!$N$7:$N$100,'12'!$H$7:$H$100,$A221,'12'!$I$7:$I$100,"")+SUMIFS('13'!$N$7:$N$100,'13'!$H$7:$H$100,$A221,'13'!$I$7:$I$100,"")+SUMIFS('14'!$N$7:$N$100,'14'!$H$7:$H$100,$A221,'14'!$I$7:$I$100,"")+SUMIFS('15'!$N$7:$N$100,'15'!$H$7:$H$100,$A221,'15'!$I$7:$I$100,"")+SUMIFS('15a'!$N$7:$N$100,'15a'!$H$7:$H$100,$A221,'15a'!$I$7:$I$100,"")+SUMIFS('15b'!$N$7:$N$100,'15b'!$H$7:$H$100,$A221,'15b'!$I$7:$I$100,"")+SUMIFS('15c'!$N$7:$N$100,'15c'!$H$7:$H$100,$A221,'15c'!$I$7:$I$100,"")+SUMIFS('15d'!$N$7:$N$100,'15d'!$H$7:$H$100,$A221,'15d'!$I$7:$I$100,"")+SUMIFS('15e'!$N$7:$N$100,'15e'!$H$7:$H$100,$A221,'15e'!$I$7:$I$100,"")+SUMIFS('15f'!$N$7:$N$100,'15f'!$H$7:$H$100,$A221,'15f'!$I$7:$I$100,"")+SUMIFS('15g'!$N$7:$N$100,'15g'!$H$7:$H$100,$A221,'15g'!$I$7:$I$100,"")+SUMIFS('15h'!$N$7:$N$100,'15h'!$H$7:$H$100,$A221,'15h'!$I$7:$I$100,"")+SUMIFS('15i'!$N$7:$N$100,'15i'!$H$7:$H$100,$A221,'15i'!$I$7:$I$100,"")+SUMIFS('15j'!$N$7:$N$100,'15j'!$H$7:$H$100,$A221,'15j'!$I$7:$I$100,"")+SUMIFS('15k'!$N$7:$N$100,'15k'!$H$7:$H$100,$A221,'15k'!$I$7:$I$100,"")+SUMIFS('15l'!$N$7:$N$100,'15l'!$H$7:$H$100,$A221,'15l'!$I$7:$I$100,"")+SUMIFS('15m'!$N$7:$N$100,'15m'!$H$7:$H$100,$A221,'15m'!$I$7:$I$100,"")+SUMIFS('15n'!$N$7:$N$100,'15n'!$H$7:$H$100,$A221,'15n'!$I$7:$I$100,"")+SUMIFS('16'!$N$7:$N$100,'16'!$H$7:$H$100,$A221,'16'!$I$7:$I$100,"")+SUMIFS('16a'!$N$7:$N$100,'16a'!$H$7:$H$100,$A221,'16a'!$I$7:$I$100,"")+SUMIFS('17'!$N$7:$N$100,'17'!$H$7:$H$100,$A221,'17'!$I$7:$I$100,"")+SUMIFS('17a'!$N$7:$N$100,'17a'!$H$7:$H$100,$A221,'17a'!$I$7:$I$100,"")+SUMIFS('18'!$N$7:$N$100,'18'!$H$7:$H$100,$A221,'18'!$I$7:$I$100,"")+SUMIFS('18a'!$N$7:$N$100,'18a'!$H$7:$H$100,$A221,'18a'!$I$7:$I$100,"")
+SUMIFS('19'!$N$7:$N$100,'19'!$H$7:$H$100,$A221,'19'!$I$7:$I$100,"")+SUMIFS('20'!$N$7:$N$100,'20'!$H$7:$H$100,$A221,'20'!$I$7:$I$100,"")+SUMIFS('20a'!$N$7:$N$100,'20a'!$H$7:$H$100,$A221,'20a'!$I$7:$I$100,"")+SUMIFS('21'!$N$7:$N$100,'21'!$H$7:$H$100,$A221,'21'!$I$7:$I$100,"")+SUMIFS('22'!$N$7:$N$100,'22'!$H$7:$H$100,$A221,'22'!$I$7:$I$100,"")+SUMIFS('22a'!$N$7:$N$100,'22a'!$H$7:$H$100,$A221,'22a'!$I$7:$I$100,"")+SUMIFS('22b'!$N$7:$N$100,'22b'!$H$7:$H$100,$A221,'22b'!$I$7:$I$100,"")+SUMIFS('23'!$N$7:$N$100,'23'!$H$7:$H$100,$A221,'23'!$I$7:$I$100,"")+SUMIFS('24'!$N$7:$N$100,'24'!$H$7:$H$100,$A221,'24'!$I$7:$I$100,"")+SUMIFS('24a'!$N$7:$N$100,'24a'!$H$7:$H$100,$A221,'24a'!$I$7:$I$100,"")+SUMIFS('24b'!$N$7:$N$100,'24b'!$H$7:$H$100,$A221,'24b'!$I$7:$I$100,"")+SUMIFS('24c'!$N$7:$N$100,'24c'!$H$7:$H$100,$A221,'24c'!$I$7:$I$100,"")+SUMIFS('24d'!$N$7:$N$100,'24d'!$H$7:$H$100,$A221,'24d'!$I$7:$I$100,"")+SUMIFS('24e'!$N$7:$N$100,'24e'!$H$7:$H$100,$A221,'24e'!$I$7:$I$100,"")+SUMIFS('24f'!$N$7:$N$100,'24f'!$H$7:$H$100,$A221,'24f'!$I$7:$I$100,"")+SUMIFS('24g'!$N$7:$N$100,'24g'!$H$7:$H$100,$A221,'24g'!$I$7:$I$100,"")+SUMIFS('24h'!$N$7:$N$100,'24h'!$H$7:$H$100,$A221,'24h'!$I$7:$I$100,"")+SUMIFS('24i'!$N$7:$N$100,'24i'!$H$7:$H$100,$A221,'24i'!$I$7:$I$100,"")+SUMIFS('25'!$N$7:$N$100,'25'!$H$7:$H$100,$A221,'25'!$I$7:$I$100,"")+SUMIFS('26'!$N$7:$N$100,'26'!$H$7:$H$100,$A221,'26'!$I$7:$I$100,"")+SUMIFS('26a'!$N$7:$N$100,'26a'!$H$7:$H$100,$A221,'26a'!$I$7:$I$100,"")+SUMIFS('27'!$N$7:$N$100,'27'!$H$7:$H$100,$A221,'27'!$I$7:$I$100,"")+SUMIFS('27a'!$N$7:$N$100,'27a'!$H$7:$H$100,$A221,'27a'!$I$7:$I$100,"")+SUMIFS('28'!$N$7:$N$100,'28'!$H$7:$H$100,$A221,'28'!$I$7:$I$100,"")+SUMIFS('29'!$N$7:$N$100,'29'!$H$7:$H$100,$A221,'29'!$I$7:$I$100,"")</f>
        <v>0</v>
      </c>
      <c r="F221" s="1296">
        <f t="shared" ref="F221:F227" si="16">SUM(C221:E221)</f>
        <v>68257.440000000002</v>
      </c>
      <c r="G221" s="1295">
        <f>SUMIFS('12'!$J$7:$J$100,'12'!$H$7:$H$100,$A221,'12'!$I$7:$I$100,1)+SUMIFS('13'!$J$7:$J$100,'13'!$H$7:$H$100,$A221,'13'!$I$7:$I$100,1)+SUMIFS('14'!$J$7:$J$100,'14'!$H$7:$H$100,$A221,'14'!$I$7:$I$100,1)+SUMIFS('15'!$J$7:$J$100,'15'!$H$7:$H$100,$A221,'15'!$I$7:$I$100,1)+SUMIFS('15a'!$J$7:$J$100,'15a'!$H$7:$H$100,$A221,'15a'!$I$7:$I$100,1)+SUMIFS('15b'!$J$7:$J$100,'15b'!$H$7:$H$100,$A221,'15b'!$I$7:$I$100,1)+SUMIFS('15c'!$J$7:$J$100,'15c'!$H$7:$H$100,$A221,'15c'!$I$7:$I$100,1)+SUMIFS('15d'!$J$7:$J$100,'15d'!$H$7:$H$100,$A221,'15d'!$I$7:$I$100,1)+SUMIFS('15e'!$J$7:$J$100,'15e'!$H$7:$H$100,$A221,'15e'!$I$7:$I$100,1)+SUMIFS('15f'!$J$7:$J$100,'15f'!$H$7:$H$100,$A221,'15f'!$I$7:$I$100,1)+SUMIFS('15g'!$J$7:$J$100,'15g'!$H$7:$H$100,$A221,'15g'!$I$7:$I$100,1)+SUMIFS('15h'!$J$7:$J$100,'15h'!$H$7:$H$100,$A221,'15h'!$I$7:$I$100,1)+SUMIFS('15i'!$J$7:$J$100,'15i'!$H$7:$H$100,$A221,'15i'!$I$7:$I$100,1)+SUMIFS('15j'!$J$7:$J$100,'15j'!$H$7:$H$100,$A221,'15j'!$I$7:$I$100,1)+SUMIFS('15k'!$J$7:$J$100,'15k'!$H$7:$H$100,$A221,'15k'!$I$7:$I$100,1)+SUMIFS('15l'!$J$7:$J$100,'15l'!$H$7:$H$100,$A221,'15l'!$I$7:$I$100,1)+SUMIFS('15m'!$J$7:$J$100,'15m'!$H$7:$H$100,$A221,'15m'!$I$7:$I$100,1)+SUMIFS('15n'!$J$7:$J$100,'15n'!$H$7:$H$100,$A221,'15n'!$I$7:$I$100,1)+SUMIFS('16'!$J$7:$J$100,'16'!$H$7:$H$100,$A221,'16'!$I$7:$I$100,1)+SUMIFS('16a'!$J$7:$J$100,'16a'!$H$7:$H$100,$A221,'16a'!$I$7:$I$100,1)+SUMIFS('17'!$J$7:$J$100,'17'!$H$7:$H$100,$A221,'17'!$I$7:$I$100,1)+SUMIFS('17a'!$J$7:$J$100,'17a'!$H$7:$H$100,$A221,'17a'!$I$7:$I$100,1)+SUMIFS('18'!$J$7:$J$100,'18'!$H$7:$H$100,$A221,'18'!$I$7:$I$100,1)+SUMIFS('18a'!$J$7:$J$100,'18a'!$H$7:$H$100,$A221,'18a'!$I$7:$I$100,1)
+SUMIFS('19'!$J$7:$J$100,'19'!$H$7:$H$100,$A221,'19'!$I$7:$I$100,1)+SUMIFS('20'!$J$7:$J$100,'20'!$H$7:$H$100,$A221,'20'!$I$7:$I$100,1)+SUMIFS('20a'!$J$7:$J$100,'20a'!$H$7:$H$100,$A221,'20a'!$I$7:$I$100,1)+SUMIFS('21'!$J$7:$J$100,'21'!$H$7:$H$100,$A221,'21'!$I$7:$I$100,1)+SUMIFS('22'!$J$7:$J$100,'22'!$H$7:$H$100,$A221,'22'!$I$7:$I$100,1)+SUMIFS('22a'!$J$7:$J$100,'22a'!$H$7:$H$100,$A221,'22a'!$I$7:$I$100,1)+SUMIFS('22b'!$J$7:$J$100,'22b'!$H$7:$H$100,$A221,'22b'!$I$7:$I$100,1)+SUMIFS('23'!$J$7:$J$100,'23'!$H$7:$H$100,$A221,'23'!$I$7:$I$100,1)+SUMIFS('24'!$J$7:$J$100,'24'!$H$7:$H$100,$A221,'24'!$I$7:$I$100,1)+SUMIFS('24a'!$J$7:$J$100,'24a'!$H$7:$H$100,$A221,'24a'!$I$7:$I$100,1)+SUMIFS('24b'!$J$7:$J$100,'24b'!$H$7:$H$100,$A221,'24b'!$I$7:$I$100,1)+SUMIFS('24c'!$J$7:$J$100,'24c'!$H$7:$H$100,$A221,'24c'!$I$7:$I$100,1)+SUMIFS('24d'!$J$7:$J$100,'24d'!$H$7:$H$100,$A221,'24d'!$I$7:$I$100,1)+SUMIFS('24e'!$J$7:$J$100,'24e'!$H$7:$H$100,$A221,'24e'!$I$7:$I$100,1)+SUMIFS('24f'!$J$7:$J$100,'24f'!$H$7:$H$100,$A221,'24f'!$I$7:$I$100,1)+SUMIFS('24g'!$J$7:$J$100,'24g'!$H$7:$H$100,$A221,'24g'!$I$7:$I$100,1)+SUMIFS('24h'!$J$7:$J$100,'24h'!$H$7:$H$100,$A221,'24h'!$I$7:$I$100,1)+SUMIFS('24i'!$J$7:$J$100,'24i'!$H$7:$H$100,$A221,'24i'!$I$7:$I$100,1)+SUMIFS('25'!$J$7:$J$100,'25'!$H$7:$H$100,$A221,'25'!$I$7:$I$100,1)+SUMIFS('26'!$J$7:$J$100,'26'!$H$7:$H$100,$A221,'26'!$I$7:$I$100,1)+SUMIFS('26a'!$J$7:$J$100,'26a'!$H$7:$H$100,$A221,'26a'!$I$7:$I$100,1)+SUMIFS('27'!$J$7:$J$100,'27'!$H$7:$H$100,$A221,'27'!$I$7:$I$100,1)+SUMIFS('27a'!$J$7:$J$100,'27a'!$H$7:$H$100,$A221,'27a'!$I$7:$I$100,1)+SUMIFS('28'!$J$7:$J$100,'28'!$H$7:$H$100,$A221,'28'!$I$7:$I$100,1)+SUMIFS('29'!$J$7:$J$100,'29'!$H$7:$H$100,$A221,'29'!$I$7:$I$100,1)</f>
        <v>0</v>
      </c>
      <c r="H221" s="1315">
        <f>SUMIFS('12'!$J$7:$J$100,'12'!$H$7:$H$100,$A221,'12'!$I$7:$I$100,2)+SUMIFS('13'!$J$7:$J$100,'13'!$H$7:$H$100,$A221,'13'!$I$7:$I$100,2)+SUMIFS('14'!$J$7:$J$100,'14'!$H$7:$H$100,$A221,'14'!$I$7:$I$100,2)+SUMIFS('15'!$J$7:$J$100,'15'!$H$7:$H$100,$A221,'15'!$I$7:$I$100,2)+SUMIFS('15a'!$J$7:$J$100,'15a'!$H$7:$H$100,$A221,'15a'!$I$7:$I$100,2)+SUMIFS('15b'!$J$7:$J$100,'15b'!$H$7:$H$100,$A221,'15b'!$I$7:$I$100,2)+SUMIFS('15c'!$J$7:$J$100,'15c'!$H$7:$H$100,$A221,'15c'!$I$7:$I$100,2)+SUMIFS('15d'!$J$7:$J$100,'15d'!$H$7:$H$100,$A221,'15d'!$I$7:$I$100,2)+SUMIFS('15e'!$J$7:$J$100,'15e'!$H$7:$H$100,$A221,'15e'!$I$7:$I$100,2)+SUMIFS('15f'!$J$7:$J$100,'15f'!$H$7:$H$100,$A221,'15f'!$I$7:$I$100,2)+SUMIFS('15g'!$J$7:$J$100,'15g'!$H$7:$H$100,$A221,'15g'!$I$7:$I$100,2)+SUMIFS('15h'!$J$7:$J$100,'15h'!$H$7:$H$100,$A221,'15h'!$I$7:$I$100,2)+SUMIFS('15i'!$J$7:$J$100,'15i'!$H$7:$H$100,$A221,'15i'!$I$7:$I$100,2)+SUMIFS('15j'!$J$7:$J$100,'15j'!$H$7:$H$100,$A221,'15j'!$I$7:$I$100,2)+SUMIFS('15k'!$J$7:$J$100,'15k'!$H$7:$H$100,$A221,'15k'!$I$7:$I$100,2)+SUMIFS('15l'!$J$7:$J$100,'15l'!$H$7:$H$100,$A221,'15l'!$I$7:$I$100,2)+SUMIFS('15m'!$J$7:$J$100,'15m'!$H$7:$H$100,$A221,'15m'!$I$7:$I$100,2)+SUMIFS('15n'!$J$7:$J$100,'15n'!$H$7:$H$100,$A221,'15n'!$I$7:$I$100,2)+SUMIFS('16'!$J$7:$J$100,'16'!$H$7:$H$100,$A221,'16'!$I$7:$I$100,2)+SUMIFS('16a'!$J$7:$J$100,'16a'!$H$7:$H$100,$A221,'16a'!$I$7:$I$100,2)+SUMIFS('17'!$J$7:$J$100,'17'!$H$7:$H$100,$A221,'17'!$I$7:$I$100,2)+SUMIFS('17a'!$J$7:$J$100,'17a'!$H$7:$H$100,$A221,'17a'!$I$7:$I$100,2)+SUMIFS('18'!$J$7:$J$100,'18'!$H$7:$H$100,$A221,'18'!$I$7:$I$100,2)+SUMIFS('18a'!$J$7:$J$100,'18a'!$H$7:$H$100,$A221,'18a'!$I$7:$I$100,2)
+SUMIFS('19'!$J$7:$J$100,'19'!$H$7:$H$100,$A221,'19'!$I$7:$I$100,2)+SUMIFS('20'!$J$7:$J$100,'20'!$H$7:$H$100,$A221,'20'!$I$7:$I$100,2)+SUMIFS('20a'!$J$7:$J$100,'20a'!$H$7:$H$100,$A221,'20a'!$I$7:$I$100,2)+SUMIFS('21'!$J$7:$J$100,'21'!$H$7:$H$100,$A221,'21'!$I$7:$I$100,2)+SUMIFS('22'!$J$7:$J$100,'22'!$H$7:$H$100,$A221,'22'!$I$7:$I$100,2)+SUMIFS('22a'!$J$7:$J$100,'22a'!$H$7:$H$100,$A221,'22a'!$I$7:$I$100,2)+SUMIFS('22b'!$J$7:$J$100,'22b'!$H$7:$H$100,$A221,'22b'!$I$7:$I$100,2)+SUMIFS('23'!$J$7:$J$100,'23'!$H$7:$H$100,$A221,'23'!$I$7:$I$100,2)+SUMIFS('24'!$J$7:$J$100,'24'!$H$7:$H$100,$A221,'24'!$I$7:$I$100,2)+SUMIFS('24a'!$J$7:$J$100,'24a'!$H$7:$H$100,$A221,'24a'!$I$7:$I$100,2)+SUMIFS('24b'!$J$7:$J$100,'24b'!$H$7:$H$100,$A221,'24b'!$I$7:$I$100,2)+SUMIFS('24c'!$J$7:$J$100,'24c'!$H$7:$H$100,$A221,'24c'!$I$7:$I$100,2)+SUMIFS('24d'!$J$7:$J$100,'24d'!$H$7:$H$100,$A221,'24d'!$I$7:$I$100,2)+SUMIFS('24e'!$J$7:$J$100,'24e'!$H$7:$H$100,$A221,'24e'!$I$7:$I$100,2)+SUMIFS('24f'!$J$7:$J$100,'24f'!$H$7:$H$100,$A221,'24f'!$I$7:$I$100,2)+SUMIFS('24g'!$J$7:$J$100,'24g'!$H$7:$H$100,$A221,'24g'!$I$7:$I$100,2)+SUMIFS('24h'!$J$7:$J$100,'24h'!$H$7:$H$100,$A221,'24h'!$I$7:$I$100,2)+SUMIFS('24i'!$J$7:$J$100,'24i'!$H$7:$H$100,$A221,'24i'!$I$7:$I$100,2)+SUMIFS('25'!$J$7:$J$100,'25'!$H$7:$H$100,$A221,'25'!$I$7:$I$100,2)+SUMIFS('26'!$J$7:$J$100,'26'!$H$7:$H$100,$A221,'26'!$I$7:$I$100,2)+SUMIFS('26a'!$J$7:$J$100,'26a'!$H$7:$H$100,$A221,'26a'!$I$7:$I$100,2)+SUMIFS('27'!$J$7:$J$100,'27'!$H$7:$H$100,$A221,'27'!$I$7:$I$100,2)+SUMIFS('27a'!$J$7:$J$100,'27a'!$H$7:$H$100,$A221,'27a'!$I$7:$I$100,2)+SUMIFS('28'!$J$7:$J$100,'28'!$H$7:$H$100,$A221,'28'!$I$7:$I$100,2)+SUMIFS('29'!$J$7:$J$100,'29'!$H$7:$H$100,$A221,'29'!$I$7:$I$100,2)</f>
        <v>104974.51</v>
      </c>
      <c r="I221" s="1315">
        <f>SUMIFS('12'!$J$7:$J$100,'12'!$H$7:$H$100,$A221,'12'!$I$7:$I$100,"")+SUMIFS('13'!$J$7:$J$100,'13'!$H$7:$H$100,$A221,'13'!$I$7:$I$100,"")+SUMIFS('14'!$J$7:$J$100,'14'!$H$7:$H$100,$A221,'14'!$I$7:$I$100,"")+SUMIFS('15'!$J$7:$J$100,'15'!$H$7:$H$100,$A221,'15'!$I$7:$I$100,"")+SUMIFS('15a'!$J$7:$J$100,'15a'!$H$7:$H$100,$A221,'15a'!$I$7:$I$100,"")+SUMIFS('15b'!$J$7:$J$100,'15b'!$H$7:$H$100,$A221,'15b'!$I$7:$I$100,"")+SUMIFS('15c'!$J$7:$J$100,'15c'!$H$7:$H$100,$A221,'15c'!$I$7:$I$100,"")+SUMIFS('15d'!$J$7:$J$100,'15d'!$H$7:$H$100,$A221,'15d'!$I$7:$I$100,"")+SUMIFS('15e'!$J$7:$J$100,'15e'!$H$7:$H$100,$A221,'15e'!$I$7:$I$100,"")+SUMIFS('15f'!$J$7:$J$100,'15f'!$H$7:$H$100,$A221,'15f'!$I$7:$I$100,"")+SUMIFS('15g'!$J$7:$J$100,'15g'!$H$7:$H$100,$A221,'15g'!$I$7:$I$100,"")+SUMIFS('15h'!$J$7:$J$100,'15h'!$H$7:$H$100,$A221,'15h'!$I$7:$I$100,"")+SUMIFS('15i'!$J$7:$J$100,'15i'!$H$7:$H$100,$A221,'15i'!$I$7:$I$100,"")+SUMIFS('15j'!$J$7:$J$100,'15j'!$H$7:$H$100,$A221,'15j'!$I$7:$I$100,"")+SUMIFS('15k'!$J$7:$J$100,'15k'!$H$7:$H$100,$A221,'15k'!$I$7:$I$100,"")+SUMIFS('15l'!$J$7:$J$100,'15l'!$H$7:$H$100,$A221,'15l'!$I$7:$I$100,"")+SUMIFS('15m'!$J$7:$J$100,'15m'!$H$7:$H$100,$A221,'15m'!$I$7:$I$100,"")+SUMIFS('15n'!$J$7:$J$100,'15n'!$H$7:$H$100,$A221,'15n'!$I$7:$I$100,"")+SUMIFS('16'!$J$7:$J$100,'16'!$H$7:$H$100,$A221,'16'!$I$7:$I$100,"")+SUMIFS('16a'!$J$7:$J$100,'16a'!$H$7:$H$100,$A221,'16a'!$I$7:$I$100,"")+SUMIFS('17'!$J$7:$J$100,'17'!$H$7:$H$100,$A221,'17'!$I$7:$I$100,"")+SUMIFS('17a'!$J$7:$J$100,'17a'!$H$7:$H$100,$A221,'17a'!$I$7:$I$100,"")+SUMIFS('18'!$J$7:$J$100,'18'!$H$7:$H$100,$A221,'18'!$I$7:$I$100,"")+SUMIFS('18a'!$J$7:$J$100,'18a'!$H$7:$H$100,$A221,'18a'!$I$7:$I$100,"")
+SUMIFS('19'!$J$7:$J$100,'19'!$H$7:$H$100,$A221,'19'!$I$7:$I$100,"")+SUMIFS('20'!$J$7:$J$100,'20'!$H$7:$H$100,$A221,'20'!$I$7:$I$100,"")+SUMIFS('20a'!$J$7:$J$100,'20a'!$H$7:$H$100,$A221,'20a'!$I$7:$I$100,"")+SUMIFS('21'!$J$7:$J$100,'21'!$H$7:$H$100,$A221,'21'!$I$7:$I$100,"")+SUMIFS('22'!$J$7:$J$100,'22'!$H$7:$H$100,$A221,'22'!$I$7:$I$100,"")+SUMIFS('22a'!$J$7:$J$100,'22a'!$H$7:$H$100,$A221,'22a'!$I$7:$I$100,"")+SUMIFS('22b'!$J$7:$J$100,'22b'!$H$7:$H$100,$A221,'22b'!$I$7:$I$100,"")+SUMIFS('23'!$J$7:$J$100,'23'!$H$7:$H$100,$A221,'23'!$I$7:$I$100,"")+SUMIFS('24'!$J$7:$J$100,'24'!$H$7:$H$100,$A221,'24'!$I$7:$I$100,"")+SUMIFS('24a'!$J$7:$J$100,'24a'!$H$7:$H$100,$A221,'24a'!$I$7:$I$100,"")+SUMIFS('24b'!$J$7:$J$100,'24b'!$H$7:$H$100,$A221,'24b'!$I$7:$I$100,"")+SUMIFS('24c'!$J$7:$J$100,'24c'!$H$7:$H$100,$A221,'24c'!$I$7:$I$100,"")+SUMIFS('24d'!$J$7:$J$100,'24d'!$H$7:$H$100,$A221,'24d'!$I$7:$I$100,"")+SUMIFS('24e'!$J$7:$J$100,'24e'!$H$7:$H$100,$A221,'24e'!$I$7:$I$100,"")+SUMIFS('24f'!$J$7:$J$100,'24f'!$H$7:$H$100,$A221,'24f'!$I$7:$I$100,"")+SUMIFS('24g'!$J$7:$J$100,'24g'!$H$7:$H$100,$A221,'24g'!$I$7:$I$100,"")+SUMIFS('24h'!$J$7:$J$100,'24h'!$H$7:$H$100,$A221,'24h'!$I$7:$I$100,"")+SUMIFS('24i'!$J$7:$J$100,'24i'!$H$7:$H$100,$A221,'24i'!$I$7:$I$100,"")+SUMIFS('25'!$J$7:$J$100,'25'!$H$7:$H$100,$A221,'25'!$I$7:$I$100,"")+SUMIFS('26'!$J$7:$J$100,'26'!$H$7:$H$100,$A221,'26'!$I$7:$I$100,"")+SUMIFS('26a'!$J$7:$J$100,'26a'!$H$7:$H$100,$A221,'26a'!$I$7:$I$100,"")+SUMIFS('27'!$J$7:$J$100,'27'!$H$7:$H$100,$A221,'27'!$I$7:$I$100,"")+SUMIFS('27a'!$J$7:$J$100,'27a'!$H$7:$H$100,$A221,'27a'!$I$7:$I$100,"")+SUMIFS('28'!$J$7:$J$100,'28'!$H$7:$H$100,$A221,'28'!$I$7:$I$100,"")+SUMIFS('29'!$J$7:$J$100,'29'!$H$7:$H$100,$A221,'29'!$I$7:$I$100,"")</f>
        <v>0</v>
      </c>
      <c r="J221" s="1296">
        <f t="shared" ref="J221:J227" si="17">SUM(G221:I221)</f>
        <v>104974.51</v>
      </c>
      <c r="K221"/>
      <c r="L221"/>
      <c r="M221"/>
      <c r="N221"/>
      <c r="O221"/>
      <c r="P221"/>
      <c r="Q221"/>
      <c r="R221"/>
      <c r="S221" s="1307">
        <f t="shared" si="14"/>
        <v>346463.9</v>
      </c>
      <c r="T221"/>
    </row>
    <row r="222" spans="1:20" x14ac:dyDescent="0.2">
      <c r="A222" t="s">
        <v>5150</v>
      </c>
      <c r="B222" s="784" t="s">
        <v>5608</v>
      </c>
      <c r="C222" s="1295">
        <f>SUMIFS('12'!$N$7:$N$100,'12'!$H$7:$H$100,$A222,'12'!$I$7:$I$100,1)+SUMIFS('13'!$N$7:$N$100,'13'!$H$7:$H$100,$A222,'13'!$I$7:$I$100,1)+SUMIFS('14'!$N$7:$N$100,'14'!$H$7:$H$100,$A222,'14'!$I$7:$I$100,1)+SUMIFS('15'!$N$7:$N$100,'15'!$H$7:$H$100,$A222,'15'!$I$7:$I$100,1)+SUMIFS('15a'!$N$7:$N$100,'15a'!$H$7:$H$100,$A222,'15a'!$I$7:$I$100,1)+SUMIFS('15b'!$N$7:$N$100,'15b'!$H$7:$H$100,$A222,'15b'!$I$7:$I$100,1)+SUMIFS('15c'!$N$7:$N$100,'15c'!$H$7:$H$100,$A222,'15c'!$I$7:$I$100,1)+SUMIFS('15d'!$N$7:$N$100,'15d'!$H$7:$H$100,$A222,'15d'!$I$7:$I$100,1)+SUMIFS('15e'!$N$7:$N$100,'15e'!$H$7:$H$100,$A222,'15e'!$I$7:$I$100,1)+SUMIFS('15f'!$N$7:$N$100,'15f'!$H$7:$H$100,$A222,'15f'!$I$7:$I$100,1)+SUMIFS('15g'!$N$7:$N$100,'15g'!$H$7:$H$100,$A222,'15g'!$I$7:$I$100,1)+SUMIFS('15h'!$N$7:$N$100,'15h'!$H$7:$H$100,$A222,'15h'!$I$7:$I$100,1)+SUMIFS('15i'!$N$7:$N$100,'15i'!$H$7:$H$100,$A222,'15i'!$I$7:$I$100,1)+SUMIFS('15j'!$N$7:$N$100,'15j'!$H$7:$H$100,$A222,'15j'!$I$7:$I$100,1)+SUMIFS('15k'!$N$7:$N$100,'15k'!$H$7:$H$100,$A222,'15k'!$I$7:$I$100,1)+SUMIFS('15l'!$N$7:$N$100,'15l'!$H$7:$H$100,$A222,'15l'!$I$7:$I$100,1)+SUMIFS('15m'!$N$7:$N$100,'15m'!$H$7:$H$100,$A222,'15m'!$I$7:$I$100,1)+SUMIFS('15n'!$N$7:$N$100,'15n'!$H$7:$H$100,$A222,'15n'!$I$7:$I$100,1)+SUMIFS('16'!$N$7:$N$100,'16'!$H$7:$H$100,$A222,'16'!$I$7:$I$100,1)+SUMIFS('16a'!$N$7:$N$100,'16a'!$H$7:$H$100,$A222,'16a'!$I$7:$I$100,1)+SUMIFS('17'!$N$7:$N$100,'17'!$H$7:$H$100,$A222,'17'!$I$7:$I$100,1)+SUMIFS('17a'!$N$7:$N$100,'17a'!$H$7:$H$100,$A222,'17a'!$I$7:$I$100,1)+SUMIFS('18'!$N$7:$N$100,'18'!$H$7:$H$100,$A222,'18'!$I$7:$I$100,1)+SUMIFS('18a'!$N$7:$N$100,'18a'!$H$7:$H$100,$A222,'18a'!$I$7:$I$100,1)
+SUMIFS('19'!$N$7:$N$100,'19'!$H$7:$H$100,$A222,'19'!$I$7:$I$100,1)+SUMIFS('20'!$N$7:$N$100,'20'!$H$7:$H$100,$A222,'20'!$I$7:$I$100,1)+SUMIFS('20a'!$N$7:$N$100,'20a'!$H$7:$H$100,$A222,'20a'!$I$7:$I$100,1)+SUMIFS('21'!$N$7:$N$100,'21'!$H$7:$H$100,$A222,'21'!$I$7:$I$100,1)+SUMIFS('22'!$N$7:$N$100,'22'!$H$7:$H$100,$A222,'22'!$I$7:$I$100,1)+SUMIFS('22a'!$N$7:$N$100,'22a'!$H$7:$H$100,$A222,'22a'!$I$7:$I$100,1)+SUMIFS('22b'!$N$7:$N$100,'22b'!$H$7:$H$100,$A222,'22b'!$I$7:$I$100,1)+SUMIFS('23'!$N$7:$N$100,'23'!$H$7:$H$100,$A222,'23'!$I$7:$I$100,1)+SUMIFS('24'!$N$7:$N$100,'24'!$H$7:$H$100,$A222,'24'!$I$7:$I$100,1)+SUMIFS('24a'!$N$7:$N$100,'24a'!$H$7:$H$100,$A222,'24a'!$I$7:$I$100,1)+SUMIFS('24b'!$N$7:$N$100,'24b'!$H$7:$H$100,$A222,'24b'!$I$7:$I$100,1)+SUMIFS('24c'!$N$7:$N$100,'24c'!$H$7:$H$100,$A222,'24c'!$I$7:$I$100,1)+SUMIFS('24d'!$N$7:$N$100,'24d'!$H$7:$H$100,$A222,'24d'!$I$7:$I$100,1)+SUMIFS('24e'!$N$7:$N$100,'24e'!$H$7:$H$100,$A222,'24e'!$I$7:$I$100,1)+SUMIFS('24f'!$N$7:$N$100,'24f'!$H$7:$H$100,$A222,'24f'!$I$7:$I$100,1)+SUMIFS('24g'!$N$7:$N$100,'24g'!$H$7:$H$100,$A222,'24g'!$I$7:$I$100,1)+SUMIFS('24h'!$N$7:$N$100,'24h'!$H$7:$H$100,$A222,'24h'!$I$7:$I$100,1)+SUMIFS('24i'!$N$7:$N$100,'24i'!$H$7:$H$100,$A222,'24i'!$I$7:$I$100,1)+SUMIFS('25'!$N$7:$N$100,'25'!$H$7:$H$100,$A222,'25'!$I$7:$I$100,1)+SUMIFS('26'!$N$7:$N$100,'26'!$H$7:$H$100,$A222,'26'!$I$7:$I$100,1)+SUMIFS('26a'!$N$7:$N$100,'26a'!$H$7:$H$100,$A222,'26a'!$I$7:$I$100,1)+SUMIFS('27'!$N$7:$N$100,'27'!$H$7:$H$100,$A222,'27'!$I$7:$I$100,1)+SUMIFS('27a'!$N$7:$N$100,'27a'!$H$7:$H$100,$A222,'27a'!$I$7:$I$100,1)+SUMIFS('28'!$N$7:$N$100,'28'!$H$7:$H$100,$A222,'28'!$I$7:$I$100,1)+SUMIFS('29'!$N$7:$N$100,'29'!$H$7:$H$100,$A222,'29'!$I$7:$I$100,1)</f>
        <v>0</v>
      </c>
      <c r="D222" s="1315">
        <f>SUMIFS('12'!$N$7:$N$100,'12'!$H$7:$H$100,$A222,'12'!$I$7:$I$100,2)+SUMIFS('13'!$N$7:$N$100,'13'!$H$7:$H$100,$A222,'13'!$I$7:$I$100,2)+SUMIFS('14'!$N$7:$N$100,'14'!$H$7:$H$100,$A222,'14'!$I$7:$I$100,2)+SUMIFS('15'!$N$7:$N$100,'15'!$H$7:$H$100,$A222,'15'!$I$7:$I$100,2)+SUMIFS('15a'!$N$7:$N$100,'15a'!$H$7:$H$100,$A222,'15a'!$I$7:$I$100,2)+SUMIFS('15b'!$N$7:$N$100,'15b'!$H$7:$H$100,$A222,'15b'!$I$7:$I$100,2)+SUMIFS('15c'!$N$7:$N$100,'15c'!$H$7:$H$100,$A222,'15c'!$I$7:$I$100,2)+SUMIFS('15d'!$N$7:$N$100,'15d'!$H$7:$H$100,$A222,'15d'!$I$7:$I$100,2)+SUMIFS('15e'!$N$7:$N$100,'15e'!$H$7:$H$100,$A222,'15e'!$I$7:$I$100,2)+SUMIFS('15f'!$N$7:$N$100,'15f'!$H$7:$H$100,$A222,'15f'!$I$7:$I$100,2)+SUMIFS('15g'!$N$7:$N$100,'15g'!$H$7:$H$100,$A222,'15g'!$I$7:$I$100,2)+SUMIFS('15h'!$N$7:$N$100,'15h'!$H$7:$H$100,$A222,'15h'!$I$7:$I$100,2)+SUMIFS('15i'!$N$7:$N$100,'15i'!$H$7:$H$100,$A222,'15i'!$I$7:$I$100,2)+SUMIFS('15j'!$N$7:$N$100,'15j'!$H$7:$H$100,$A222,'15j'!$I$7:$I$100,2)+SUMIFS('15k'!$N$7:$N$100,'15k'!$H$7:$H$100,$A222,'15k'!$I$7:$I$100,2)+SUMIFS('15l'!$N$7:$N$100,'15l'!$H$7:$H$100,$A222,'15l'!$I$7:$I$100,2)+SUMIFS('15m'!$N$7:$N$100,'15m'!$H$7:$H$100,$A222,'15m'!$I$7:$I$100,2)+SUMIFS('15n'!$N$7:$N$100,'15n'!$H$7:$H$100,$A222,'15n'!$I$7:$I$100,2)+SUMIFS('16'!$N$7:$N$100,'16'!$H$7:$H$100,$A222,'16'!$I$7:$I$100,2)+SUMIFS('16a'!$N$7:$N$100,'16a'!$H$7:$H$100,$A222,'16a'!$I$7:$I$100,2)+SUMIFS('17'!$N$7:$N$100,'17'!$H$7:$H$100,$A222,'17'!$I$7:$I$100,2)+SUMIFS('17a'!$N$7:$N$100,'17a'!$H$7:$H$100,$A222,'17a'!$I$7:$I$100,2)+SUMIFS('18'!$N$7:$N$100,'18'!$H$7:$H$100,$A222,'18'!$I$7:$I$100,2)+SUMIFS('18a'!$N$7:$N$100,'18a'!$H$7:$H$100,$A222,'18a'!$I$7:$I$100,2)
+SUMIFS('19'!$N$7:$N$100,'19'!$H$7:$H$100,$A222,'19'!$I$7:$I$100,2)+SUMIFS('20'!$N$7:$N$100,'20'!$H$7:$H$100,$A222,'20'!$I$7:$I$100,2)+SUMIFS('20a'!$N$7:$N$100,'20a'!$H$7:$H$100,$A222,'20a'!$I$7:$I$100,2)+SUMIFS('21'!$N$7:$N$100,'21'!$H$7:$H$100,$A222,'21'!$I$7:$I$100,2)+SUMIFS('22'!$N$7:$N$100,'22'!$H$7:$H$100,$A222,'22'!$I$7:$I$100,2)+SUMIFS('22a'!$N$7:$N$100,'22a'!$H$7:$H$100,$A222,'22a'!$I$7:$I$100,2)+SUMIFS('22b'!$N$7:$N$100,'22b'!$H$7:$H$100,$A222,'22b'!$I$7:$I$100,2)+SUMIFS('23'!$N$7:$N$100,'23'!$H$7:$H$100,$A222,'23'!$I$7:$I$100,2)+SUMIFS('24'!$N$7:$N$100,'24'!$H$7:$H$100,$A222,'24'!$I$7:$I$100,2)+SUMIFS('24a'!$N$7:$N$100,'24a'!$H$7:$H$100,$A222,'24a'!$I$7:$I$100,2)+SUMIFS('24b'!$N$7:$N$100,'24b'!$H$7:$H$100,$A222,'24b'!$I$7:$I$100,2)+SUMIFS('24c'!$N$7:$N$100,'24c'!$H$7:$H$100,$A222,'24c'!$I$7:$I$100,2)+SUMIFS('24d'!$N$7:$N$100,'24d'!$H$7:$H$100,$A222,'24d'!$I$7:$I$100,2)+SUMIFS('24e'!$N$7:$N$100,'24e'!$H$7:$H$100,$A222,'24e'!$I$7:$I$100,2)+SUMIFS('24f'!$N$7:$N$100,'24f'!$H$7:$H$100,$A222,'24f'!$I$7:$I$100,2)+SUMIFS('24g'!$N$7:$N$100,'24g'!$H$7:$H$100,$A222,'24g'!$I$7:$I$100,2)+SUMIFS('24h'!$N$7:$N$100,'24h'!$H$7:$H$100,$A222,'24h'!$I$7:$I$100,2)+SUMIFS('24i'!$N$7:$N$100,'24i'!$H$7:$H$100,$A222,'24i'!$I$7:$I$100,2)+SUMIFS('25'!$N$7:$N$100,'25'!$H$7:$H$100,$A222,'25'!$I$7:$I$100,2)+SUMIFS('26'!$N$7:$N$100,'26'!$H$7:$H$100,$A222,'26'!$I$7:$I$100,2)+SUMIFS('26a'!$N$7:$N$100,'26a'!$H$7:$H$100,$A222,'26a'!$I$7:$I$100,2)+SUMIFS('27'!$N$7:$N$100,'27'!$H$7:$H$100,$A222,'27'!$I$7:$I$100,2)+SUMIFS('27a'!$N$7:$N$100,'27a'!$H$7:$H$100,$A222,'27a'!$I$7:$I$100,2)+SUMIFS('28'!$N$7:$N$100,'28'!$H$7:$H$100,$A222,'28'!$I$7:$I$100,2)+SUMIFS('29'!$N$7:$N$100,'29'!$H$7:$H$100,$A222,'29'!$I$7:$I$100,2)</f>
        <v>0</v>
      </c>
      <c r="E222" s="1315">
        <f>SUMIFS('12'!$N$7:$N$100,'12'!$H$7:$H$100,$A222,'12'!$I$7:$I$100,"")+SUMIFS('13'!$N$7:$N$100,'13'!$H$7:$H$100,$A222,'13'!$I$7:$I$100,"")+SUMIFS('14'!$N$7:$N$100,'14'!$H$7:$H$100,$A222,'14'!$I$7:$I$100,"")+SUMIFS('15'!$N$7:$N$100,'15'!$H$7:$H$100,$A222,'15'!$I$7:$I$100,"")+SUMIFS('15a'!$N$7:$N$100,'15a'!$H$7:$H$100,$A222,'15a'!$I$7:$I$100,"")+SUMIFS('15b'!$N$7:$N$100,'15b'!$H$7:$H$100,$A222,'15b'!$I$7:$I$100,"")+SUMIFS('15c'!$N$7:$N$100,'15c'!$H$7:$H$100,$A222,'15c'!$I$7:$I$100,"")+SUMIFS('15d'!$N$7:$N$100,'15d'!$H$7:$H$100,$A222,'15d'!$I$7:$I$100,"")+SUMIFS('15e'!$N$7:$N$100,'15e'!$H$7:$H$100,$A222,'15e'!$I$7:$I$100,"")+SUMIFS('15f'!$N$7:$N$100,'15f'!$H$7:$H$100,$A222,'15f'!$I$7:$I$100,"")+SUMIFS('15g'!$N$7:$N$100,'15g'!$H$7:$H$100,$A222,'15g'!$I$7:$I$100,"")+SUMIFS('15h'!$N$7:$N$100,'15h'!$H$7:$H$100,$A222,'15h'!$I$7:$I$100,"")+SUMIFS('15i'!$N$7:$N$100,'15i'!$H$7:$H$100,$A222,'15i'!$I$7:$I$100,"")+SUMIFS('15j'!$N$7:$N$100,'15j'!$H$7:$H$100,$A222,'15j'!$I$7:$I$100,"")+SUMIFS('15k'!$N$7:$N$100,'15k'!$H$7:$H$100,$A222,'15k'!$I$7:$I$100,"")+SUMIFS('15l'!$N$7:$N$100,'15l'!$H$7:$H$100,$A222,'15l'!$I$7:$I$100,"")+SUMIFS('15m'!$N$7:$N$100,'15m'!$H$7:$H$100,$A222,'15m'!$I$7:$I$100,"")+SUMIFS('15n'!$N$7:$N$100,'15n'!$H$7:$H$100,$A222,'15n'!$I$7:$I$100,"")+SUMIFS('16'!$N$7:$N$100,'16'!$H$7:$H$100,$A222,'16'!$I$7:$I$100,"")+SUMIFS('16a'!$N$7:$N$100,'16a'!$H$7:$H$100,$A222,'16a'!$I$7:$I$100,"")+SUMIFS('17'!$N$7:$N$100,'17'!$H$7:$H$100,$A222,'17'!$I$7:$I$100,"")+SUMIFS('17a'!$N$7:$N$100,'17a'!$H$7:$H$100,$A222,'17a'!$I$7:$I$100,"")+SUMIFS('18'!$N$7:$N$100,'18'!$H$7:$H$100,$A222,'18'!$I$7:$I$100,"")+SUMIFS('18a'!$N$7:$N$100,'18a'!$H$7:$H$100,$A222,'18a'!$I$7:$I$100,"")
+SUMIFS('19'!$N$7:$N$100,'19'!$H$7:$H$100,$A222,'19'!$I$7:$I$100,"")+SUMIFS('20'!$N$7:$N$100,'20'!$H$7:$H$100,$A222,'20'!$I$7:$I$100,"")+SUMIFS('20a'!$N$7:$N$100,'20a'!$H$7:$H$100,$A222,'20a'!$I$7:$I$100,"")+SUMIFS('21'!$N$7:$N$100,'21'!$H$7:$H$100,$A222,'21'!$I$7:$I$100,"")+SUMIFS('22'!$N$7:$N$100,'22'!$H$7:$H$100,$A222,'22'!$I$7:$I$100,"")+SUMIFS('22a'!$N$7:$N$100,'22a'!$H$7:$H$100,$A222,'22a'!$I$7:$I$100,"")+SUMIFS('22b'!$N$7:$N$100,'22b'!$H$7:$H$100,$A222,'22b'!$I$7:$I$100,"")+SUMIFS('23'!$N$7:$N$100,'23'!$H$7:$H$100,$A222,'23'!$I$7:$I$100,"")+SUMIFS('24'!$N$7:$N$100,'24'!$H$7:$H$100,$A222,'24'!$I$7:$I$100,"")+SUMIFS('24a'!$N$7:$N$100,'24a'!$H$7:$H$100,$A222,'24a'!$I$7:$I$100,"")+SUMIFS('24b'!$N$7:$N$100,'24b'!$H$7:$H$100,$A222,'24b'!$I$7:$I$100,"")+SUMIFS('24c'!$N$7:$N$100,'24c'!$H$7:$H$100,$A222,'24c'!$I$7:$I$100,"")+SUMIFS('24d'!$N$7:$N$100,'24d'!$H$7:$H$100,$A222,'24d'!$I$7:$I$100,"")+SUMIFS('24e'!$N$7:$N$100,'24e'!$H$7:$H$100,$A222,'24e'!$I$7:$I$100,"")+SUMIFS('24f'!$N$7:$N$100,'24f'!$H$7:$H$100,$A222,'24f'!$I$7:$I$100,"")+SUMIFS('24g'!$N$7:$N$100,'24g'!$H$7:$H$100,$A222,'24g'!$I$7:$I$100,"")+SUMIFS('24h'!$N$7:$N$100,'24h'!$H$7:$H$100,$A222,'24h'!$I$7:$I$100,"")+SUMIFS('24i'!$N$7:$N$100,'24i'!$H$7:$H$100,$A222,'24i'!$I$7:$I$100,"")+SUMIFS('25'!$N$7:$N$100,'25'!$H$7:$H$100,$A222,'25'!$I$7:$I$100,"")+SUMIFS('26'!$N$7:$N$100,'26'!$H$7:$H$100,$A222,'26'!$I$7:$I$100,"")+SUMIFS('26a'!$N$7:$N$100,'26a'!$H$7:$H$100,$A222,'26a'!$I$7:$I$100,"")+SUMIFS('27'!$N$7:$N$100,'27'!$H$7:$H$100,$A222,'27'!$I$7:$I$100,"")+SUMIFS('27a'!$N$7:$N$100,'27a'!$H$7:$H$100,$A222,'27a'!$I$7:$I$100,"")+SUMIFS('28'!$N$7:$N$100,'28'!$H$7:$H$100,$A222,'28'!$I$7:$I$100,"")+SUMIFS('29'!$N$7:$N$100,'29'!$H$7:$H$100,$A222,'29'!$I$7:$I$100,"")</f>
        <v>0</v>
      </c>
      <c r="F222" s="1296">
        <f t="shared" si="16"/>
        <v>0</v>
      </c>
      <c r="G222" s="1295">
        <f>SUMIFS('12'!$J$7:$J$100,'12'!$H$7:$H$100,$A222,'12'!$I$7:$I$100,1)+SUMIFS('13'!$J$7:$J$100,'13'!$H$7:$H$100,$A222,'13'!$I$7:$I$100,1)+SUMIFS('14'!$J$7:$J$100,'14'!$H$7:$H$100,$A222,'14'!$I$7:$I$100,1)+SUMIFS('15'!$J$7:$J$100,'15'!$H$7:$H$100,$A222,'15'!$I$7:$I$100,1)+SUMIFS('15a'!$J$7:$J$100,'15a'!$H$7:$H$100,$A222,'15a'!$I$7:$I$100,1)+SUMIFS('15b'!$J$7:$J$100,'15b'!$H$7:$H$100,$A222,'15b'!$I$7:$I$100,1)+SUMIFS('15c'!$J$7:$J$100,'15c'!$H$7:$H$100,$A222,'15c'!$I$7:$I$100,1)+SUMIFS('15d'!$J$7:$J$100,'15d'!$H$7:$H$100,$A222,'15d'!$I$7:$I$100,1)+SUMIFS('15e'!$J$7:$J$100,'15e'!$H$7:$H$100,$A222,'15e'!$I$7:$I$100,1)+SUMIFS('15f'!$J$7:$J$100,'15f'!$H$7:$H$100,$A222,'15f'!$I$7:$I$100,1)+SUMIFS('15g'!$J$7:$J$100,'15g'!$H$7:$H$100,$A222,'15g'!$I$7:$I$100,1)+SUMIFS('15h'!$J$7:$J$100,'15h'!$H$7:$H$100,$A222,'15h'!$I$7:$I$100,1)+SUMIFS('15i'!$J$7:$J$100,'15i'!$H$7:$H$100,$A222,'15i'!$I$7:$I$100,1)+SUMIFS('15j'!$J$7:$J$100,'15j'!$H$7:$H$100,$A222,'15j'!$I$7:$I$100,1)+SUMIFS('15k'!$J$7:$J$100,'15k'!$H$7:$H$100,$A222,'15k'!$I$7:$I$100,1)+SUMIFS('15l'!$J$7:$J$100,'15l'!$H$7:$H$100,$A222,'15l'!$I$7:$I$100,1)+SUMIFS('15m'!$J$7:$J$100,'15m'!$H$7:$H$100,$A222,'15m'!$I$7:$I$100,1)+SUMIFS('15n'!$J$7:$J$100,'15n'!$H$7:$H$100,$A222,'15n'!$I$7:$I$100,1)+SUMIFS('16'!$J$7:$J$100,'16'!$H$7:$H$100,$A222,'16'!$I$7:$I$100,1)+SUMIFS('16a'!$J$7:$J$100,'16a'!$H$7:$H$100,$A222,'16a'!$I$7:$I$100,1)+SUMIFS('17'!$J$7:$J$100,'17'!$H$7:$H$100,$A222,'17'!$I$7:$I$100,1)+SUMIFS('17a'!$J$7:$J$100,'17a'!$H$7:$H$100,$A222,'17a'!$I$7:$I$100,1)+SUMIFS('18'!$J$7:$J$100,'18'!$H$7:$H$100,$A222,'18'!$I$7:$I$100,1)+SUMIFS('18a'!$J$7:$J$100,'18a'!$H$7:$H$100,$A222,'18a'!$I$7:$I$100,1)
+SUMIFS('19'!$J$7:$J$100,'19'!$H$7:$H$100,$A222,'19'!$I$7:$I$100,1)+SUMIFS('20'!$J$7:$J$100,'20'!$H$7:$H$100,$A222,'20'!$I$7:$I$100,1)+SUMIFS('20a'!$J$7:$J$100,'20a'!$H$7:$H$100,$A222,'20a'!$I$7:$I$100,1)+SUMIFS('21'!$J$7:$J$100,'21'!$H$7:$H$100,$A222,'21'!$I$7:$I$100,1)+SUMIFS('22'!$J$7:$J$100,'22'!$H$7:$H$100,$A222,'22'!$I$7:$I$100,1)+SUMIFS('22a'!$J$7:$J$100,'22a'!$H$7:$H$100,$A222,'22a'!$I$7:$I$100,1)+SUMIFS('22b'!$J$7:$J$100,'22b'!$H$7:$H$100,$A222,'22b'!$I$7:$I$100,1)+SUMIFS('23'!$J$7:$J$100,'23'!$H$7:$H$100,$A222,'23'!$I$7:$I$100,1)+SUMIFS('24'!$J$7:$J$100,'24'!$H$7:$H$100,$A222,'24'!$I$7:$I$100,1)+SUMIFS('24a'!$J$7:$J$100,'24a'!$H$7:$H$100,$A222,'24a'!$I$7:$I$100,1)+SUMIFS('24b'!$J$7:$J$100,'24b'!$H$7:$H$100,$A222,'24b'!$I$7:$I$100,1)+SUMIFS('24c'!$J$7:$J$100,'24c'!$H$7:$H$100,$A222,'24c'!$I$7:$I$100,1)+SUMIFS('24d'!$J$7:$J$100,'24d'!$H$7:$H$100,$A222,'24d'!$I$7:$I$100,1)+SUMIFS('24e'!$J$7:$J$100,'24e'!$H$7:$H$100,$A222,'24e'!$I$7:$I$100,1)+SUMIFS('24f'!$J$7:$J$100,'24f'!$H$7:$H$100,$A222,'24f'!$I$7:$I$100,1)+SUMIFS('24g'!$J$7:$J$100,'24g'!$H$7:$H$100,$A222,'24g'!$I$7:$I$100,1)+SUMIFS('24h'!$J$7:$J$100,'24h'!$H$7:$H$100,$A222,'24h'!$I$7:$I$100,1)+SUMIFS('24i'!$J$7:$J$100,'24i'!$H$7:$H$100,$A222,'24i'!$I$7:$I$100,1)+SUMIFS('25'!$J$7:$J$100,'25'!$H$7:$H$100,$A222,'25'!$I$7:$I$100,1)+SUMIFS('26'!$J$7:$J$100,'26'!$H$7:$H$100,$A222,'26'!$I$7:$I$100,1)+SUMIFS('26a'!$J$7:$J$100,'26a'!$H$7:$H$100,$A222,'26a'!$I$7:$I$100,1)+SUMIFS('27'!$J$7:$J$100,'27'!$H$7:$H$100,$A222,'27'!$I$7:$I$100,1)+SUMIFS('27a'!$J$7:$J$100,'27a'!$H$7:$H$100,$A222,'27a'!$I$7:$I$100,1)+SUMIFS('28'!$J$7:$J$100,'28'!$H$7:$H$100,$A222,'28'!$I$7:$I$100,1)+SUMIFS('29'!$J$7:$J$100,'29'!$H$7:$H$100,$A222,'29'!$I$7:$I$100,1)</f>
        <v>0</v>
      </c>
      <c r="H222" s="1315">
        <f>SUMIFS('12'!$J$7:$J$100,'12'!$H$7:$H$100,$A222,'12'!$I$7:$I$100,2)+SUMIFS('13'!$J$7:$J$100,'13'!$H$7:$H$100,$A222,'13'!$I$7:$I$100,2)+SUMIFS('14'!$J$7:$J$100,'14'!$H$7:$H$100,$A222,'14'!$I$7:$I$100,2)+SUMIFS('15'!$J$7:$J$100,'15'!$H$7:$H$100,$A222,'15'!$I$7:$I$100,2)+SUMIFS('15a'!$J$7:$J$100,'15a'!$H$7:$H$100,$A222,'15a'!$I$7:$I$100,2)+SUMIFS('15b'!$J$7:$J$100,'15b'!$H$7:$H$100,$A222,'15b'!$I$7:$I$100,2)+SUMIFS('15c'!$J$7:$J$100,'15c'!$H$7:$H$100,$A222,'15c'!$I$7:$I$100,2)+SUMIFS('15d'!$J$7:$J$100,'15d'!$H$7:$H$100,$A222,'15d'!$I$7:$I$100,2)+SUMIFS('15e'!$J$7:$J$100,'15e'!$H$7:$H$100,$A222,'15e'!$I$7:$I$100,2)+SUMIFS('15f'!$J$7:$J$100,'15f'!$H$7:$H$100,$A222,'15f'!$I$7:$I$100,2)+SUMIFS('15g'!$J$7:$J$100,'15g'!$H$7:$H$100,$A222,'15g'!$I$7:$I$100,2)+SUMIFS('15h'!$J$7:$J$100,'15h'!$H$7:$H$100,$A222,'15h'!$I$7:$I$100,2)+SUMIFS('15i'!$J$7:$J$100,'15i'!$H$7:$H$100,$A222,'15i'!$I$7:$I$100,2)+SUMIFS('15j'!$J$7:$J$100,'15j'!$H$7:$H$100,$A222,'15j'!$I$7:$I$100,2)+SUMIFS('15k'!$J$7:$J$100,'15k'!$H$7:$H$100,$A222,'15k'!$I$7:$I$100,2)+SUMIFS('15l'!$J$7:$J$100,'15l'!$H$7:$H$100,$A222,'15l'!$I$7:$I$100,2)+SUMIFS('15m'!$J$7:$J$100,'15m'!$H$7:$H$100,$A222,'15m'!$I$7:$I$100,2)+SUMIFS('15n'!$J$7:$J$100,'15n'!$H$7:$H$100,$A222,'15n'!$I$7:$I$100,2)+SUMIFS('16'!$J$7:$J$100,'16'!$H$7:$H$100,$A222,'16'!$I$7:$I$100,2)+SUMIFS('16a'!$J$7:$J$100,'16a'!$H$7:$H$100,$A222,'16a'!$I$7:$I$100,2)+SUMIFS('17'!$J$7:$J$100,'17'!$H$7:$H$100,$A222,'17'!$I$7:$I$100,2)+SUMIFS('17a'!$J$7:$J$100,'17a'!$H$7:$H$100,$A222,'17a'!$I$7:$I$100,2)+SUMIFS('18'!$J$7:$J$100,'18'!$H$7:$H$100,$A222,'18'!$I$7:$I$100,2)+SUMIFS('18a'!$J$7:$J$100,'18a'!$H$7:$H$100,$A222,'18a'!$I$7:$I$100,2)
+SUMIFS('19'!$J$7:$J$100,'19'!$H$7:$H$100,$A222,'19'!$I$7:$I$100,2)+SUMIFS('20'!$J$7:$J$100,'20'!$H$7:$H$100,$A222,'20'!$I$7:$I$100,2)+SUMIFS('20a'!$J$7:$J$100,'20a'!$H$7:$H$100,$A222,'20a'!$I$7:$I$100,2)+SUMIFS('21'!$J$7:$J$100,'21'!$H$7:$H$100,$A222,'21'!$I$7:$I$100,2)+SUMIFS('22'!$J$7:$J$100,'22'!$H$7:$H$100,$A222,'22'!$I$7:$I$100,2)+SUMIFS('22a'!$J$7:$J$100,'22a'!$H$7:$H$100,$A222,'22a'!$I$7:$I$100,2)+SUMIFS('22b'!$J$7:$J$100,'22b'!$H$7:$H$100,$A222,'22b'!$I$7:$I$100,2)+SUMIFS('23'!$J$7:$J$100,'23'!$H$7:$H$100,$A222,'23'!$I$7:$I$100,2)+SUMIFS('24'!$J$7:$J$100,'24'!$H$7:$H$100,$A222,'24'!$I$7:$I$100,2)+SUMIFS('24a'!$J$7:$J$100,'24a'!$H$7:$H$100,$A222,'24a'!$I$7:$I$100,2)+SUMIFS('24b'!$J$7:$J$100,'24b'!$H$7:$H$100,$A222,'24b'!$I$7:$I$100,2)+SUMIFS('24c'!$J$7:$J$100,'24c'!$H$7:$H$100,$A222,'24c'!$I$7:$I$100,2)+SUMIFS('24d'!$J$7:$J$100,'24d'!$H$7:$H$100,$A222,'24d'!$I$7:$I$100,2)+SUMIFS('24e'!$J$7:$J$100,'24e'!$H$7:$H$100,$A222,'24e'!$I$7:$I$100,2)+SUMIFS('24f'!$J$7:$J$100,'24f'!$H$7:$H$100,$A222,'24f'!$I$7:$I$100,2)+SUMIFS('24g'!$J$7:$J$100,'24g'!$H$7:$H$100,$A222,'24g'!$I$7:$I$100,2)+SUMIFS('24h'!$J$7:$J$100,'24h'!$H$7:$H$100,$A222,'24h'!$I$7:$I$100,2)+SUMIFS('24i'!$J$7:$J$100,'24i'!$H$7:$H$100,$A222,'24i'!$I$7:$I$100,2)+SUMIFS('25'!$J$7:$J$100,'25'!$H$7:$H$100,$A222,'25'!$I$7:$I$100,2)+SUMIFS('26'!$J$7:$J$100,'26'!$H$7:$H$100,$A222,'26'!$I$7:$I$100,2)+SUMIFS('26a'!$J$7:$J$100,'26a'!$H$7:$H$100,$A222,'26a'!$I$7:$I$100,2)+SUMIFS('27'!$J$7:$J$100,'27'!$H$7:$H$100,$A222,'27'!$I$7:$I$100,2)+SUMIFS('27a'!$J$7:$J$100,'27a'!$H$7:$H$100,$A222,'27a'!$I$7:$I$100,2)+SUMIFS('28'!$J$7:$J$100,'28'!$H$7:$H$100,$A222,'28'!$I$7:$I$100,2)+SUMIFS('29'!$J$7:$J$100,'29'!$H$7:$H$100,$A222,'29'!$I$7:$I$100,2)</f>
        <v>0</v>
      </c>
      <c r="I222" s="1315">
        <f>SUMIFS('12'!$J$7:$J$100,'12'!$H$7:$H$100,$A222,'12'!$I$7:$I$100,"")+SUMIFS('13'!$J$7:$J$100,'13'!$H$7:$H$100,$A222,'13'!$I$7:$I$100,"")+SUMIFS('14'!$J$7:$J$100,'14'!$H$7:$H$100,$A222,'14'!$I$7:$I$100,"")+SUMIFS('15'!$J$7:$J$100,'15'!$H$7:$H$100,$A222,'15'!$I$7:$I$100,"")+SUMIFS('15a'!$J$7:$J$100,'15a'!$H$7:$H$100,$A222,'15a'!$I$7:$I$100,"")+SUMIFS('15b'!$J$7:$J$100,'15b'!$H$7:$H$100,$A222,'15b'!$I$7:$I$100,"")+SUMIFS('15c'!$J$7:$J$100,'15c'!$H$7:$H$100,$A222,'15c'!$I$7:$I$100,"")+SUMIFS('15d'!$J$7:$J$100,'15d'!$H$7:$H$100,$A222,'15d'!$I$7:$I$100,"")+SUMIFS('15e'!$J$7:$J$100,'15e'!$H$7:$H$100,$A222,'15e'!$I$7:$I$100,"")+SUMIFS('15f'!$J$7:$J$100,'15f'!$H$7:$H$100,$A222,'15f'!$I$7:$I$100,"")+SUMIFS('15g'!$J$7:$J$100,'15g'!$H$7:$H$100,$A222,'15g'!$I$7:$I$100,"")+SUMIFS('15h'!$J$7:$J$100,'15h'!$H$7:$H$100,$A222,'15h'!$I$7:$I$100,"")+SUMIFS('15i'!$J$7:$J$100,'15i'!$H$7:$H$100,$A222,'15i'!$I$7:$I$100,"")+SUMIFS('15j'!$J$7:$J$100,'15j'!$H$7:$H$100,$A222,'15j'!$I$7:$I$100,"")+SUMIFS('15k'!$J$7:$J$100,'15k'!$H$7:$H$100,$A222,'15k'!$I$7:$I$100,"")+SUMIFS('15l'!$J$7:$J$100,'15l'!$H$7:$H$100,$A222,'15l'!$I$7:$I$100,"")+SUMIFS('15m'!$J$7:$J$100,'15m'!$H$7:$H$100,$A222,'15m'!$I$7:$I$100,"")+SUMIFS('15n'!$J$7:$J$100,'15n'!$H$7:$H$100,$A222,'15n'!$I$7:$I$100,"")+SUMIFS('16'!$J$7:$J$100,'16'!$H$7:$H$100,$A222,'16'!$I$7:$I$100,"")+SUMIFS('16a'!$J$7:$J$100,'16a'!$H$7:$H$100,$A222,'16a'!$I$7:$I$100,"")+SUMIFS('17'!$J$7:$J$100,'17'!$H$7:$H$100,$A222,'17'!$I$7:$I$100,"")+SUMIFS('17a'!$J$7:$J$100,'17a'!$H$7:$H$100,$A222,'17a'!$I$7:$I$100,"")+SUMIFS('18'!$J$7:$J$100,'18'!$H$7:$H$100,$A222,'18'!$I$7:$I$100,"")+SUMIFS('18a'!$J$7:$J$100,'18a'!$H$7:$H$100,$A222,'18a'!$I$7:$I$100,"")
+SUMIFS('19'!$J$7:$J$100,'19'!$H$7:$H$100,$A222,'19'!$I$7:$I$100,"")+SUMIFS('20'!$J$7:$J$100,'20'!$H$7:$H$100,$A222,'20'!$I$7:$I$100,"")+SUMIFS('20a'!$J$7:$J$100,'20a'!$H$7:$H$100,$A222,'20a'!$I$7:$I$100,"")+SUMIFS('21'!$J$7:$J$100,'21'!$H$7:$H$100,$A222,'21'!$I$7:$I$100,"")+SUMIFS('22'!$J$7:$J$100,'22'!$H$7:$H$100,$A222,'22'!$I$7:$I$100,"")+SUMIFS('22a'!$J$7:$J$100,'22a'!$H$7:$H$100,$A222,'22a'!$I$7:$I$100,"")+SUMIFS('22b'!$J$7:$J$100,'22b'!$H$7:$H$100,$A222,'22b'!$I$7:$I$100,"")+SUMIFS('23'!$J$7:$J$100,'23'!$H$7:$H$100,$A222,'23'!$I$7:$I$100,"")+SUMIFS('24'!$J$7:$J$100,'24'!$H$7:$H$100,$A222,'24'!$I$7:$I$100,"")+SUMIFS('24a'!$J$7:$J$100,'24a'!$H$7:$H$100,$A222,'24a'!$I$7:$I$100,"")+SUMIFS('24b'!$J$7:$J$100,'24b'!$H$7:$H$100,$A222,'24b'!$I$7:$I$100,"")+SUMIFS('24c'!$J$7:$J$100,'24c'!$H$7:$H$100,$A222,'24c'!$I$7:$I$100,"")+SUMIFS('24d'!$J$7:$J$100,'24d'!$H$7:$H$100,$A222,'24d'!$I$7:$I$100,"")+SUMIFS('24e'!$J$7:$J$100,'24e'!$H$7:$H$100,$A222,'24e'!$I$7:$I$100,"")+SUMIFS('24f'!$J$7:$J$100,'24f'!$H$7:$H$100,$A222,'24f'!$I$7:$I$100,"")+SUMIFS('24g'!$J$7:$J$100,'24g'!$H$7:$H$100,$A222,'24g'!$I$7:$I$100,"")+SUMIFS('24h'!$J$7:$J$100,'24h'!$H$7:$H$100,$A222,'24h'!$I$7:$I$100,"")+SUMIFS('24i'!$J$7:$J$100,'24i'!$H$7:$H$100,$A222,'24i'!$I$7:$I$100,"")+SUMIFS('25'!$J$7:$J$100,'25'!$H$7:$H$100,$A222,'25'!$I$7:$I$100,"")+SUMIFS('26'!$J$7:$J$100,'26'!$H$7:$H$100,$A222,'26'!$I$7:$I$100,"")+SUMIFS('26a'!$J$7:$J$100,'26a'!$H$7:$H$100,$A222,'26a'!$I$7:$I$100,"")+SUMIFS('27'!$J$7:$J$100,'27'!$H$7:$H$100,$A222,'27'!$I$7:$I$100,"")+SUMIFS('27a'!$J$7:$J$100,'27a'!$H$7:$H$100,$A222,'27a'!$I$7:$I$100,"")+SUMIFS('28'!$J$7:$J$100,'28'!$H$7:$H$100,$A222,'28'!$I$7:$I$100,"")+SUMIFS('29'!$J$7:$J$100,'29'!$H$7:$H$100,$A222,'29'!$I$7:$I$100,"")</f>
        <v>0</v>
      </c>
      <c r="J222" s="1296">
        <f t="shared" si="17"/>
        <v>0</v>
      </c>
      <c r="K222"/>
      <c r="L222"/>
      <c r="M222"/>
      <c r="N222"/>
      <c r="O222"/>
      <c r="P222"/>
      <c r="Q222"/>
      <c r="R222"/>
      <c r="S222" s="1307">
        <f t="shared" si="14"/>
        <v>0</v>
      </c>
      <c r="T222"/>
    </row>
    <row r="223" spans="1:20" x14ac:dyDescent="0.2">
      <c r="A223" t="s">
        <v>5151</v>
      </c>
      <c r="B223" t="s">
        <v>5484</v>
      </c>
      <c r="C223" s="1295">
        <f>SUMIFS('12'!$N$7:$N$100,'12'!$H$7:$H$100,$A223,'12'!$I$7:$I$100,1)+SUMIFS('13'!$N$7:$N$100,'13'!$H$7:$H$100,$A223,'13'!$I$7:$I$100,1)+SUMIFS('14'!$N$7:$N$100,'14'!$H$7:$H$100,$A223,'14'!$I$7:$I$100,1)+SUMIFS('15'!$N$7:$N$100,'15'!$H$7:$H$100,$A223,'15'!$I$7:$I$100,1)+SUMIFS('15a'!$N$7:$N$100,'15a'!$H$7:$H$100,$A223,'15a'!$I$7:$I$100,1)+SUMIFS('15b'!$N$7:$N$100,'15b'!$H$7:$H$100,$A223,'15b'!$I$7:$I$100,1)+SUMIFS('15c'!$N$7:$N$100,'15c'!$H$7:$H$100,$A223,'15c'!$I$7:$I$100,1)+SUMIFS('15d'!$N$7:$N$100,'15d'!$H$7:$H$100,$A223,'15d'!$I$7:$I$100,1)+SUMIFS('15e'!$N$7:$N$100,'15e'!$H$7:$H$100,$A223,'15e'!$I$7:$I$100,1)+SUMIFS('15f'!$N$7:$N$100,'15f'!$H$7:$H$100,$A223,'15f'!$I$7:$I$100,1)+SUMIFS('15g'!$N$7:$N$100,'15g'!$H$7:$H$100,$A223,'15g'!$I$7:$I$100,1)+SUMIFS('15h'!$N$7:$N$100,'15h'!$H$7:$H$100,$A223,'15h'!$I$7:$I$100,1)+SUMIFS('15i'!$N$7:$N$100,'15i'!$H$7:$H$100,$A223,'15i'!$I$7:$I$100,1)+SUMIFS('15j'!$N$7:$N$100,'15j'!$H$7:$H$100,$A223,'15j'!$I$7:$I$100,1)+SUMIFS('15k'!$N$7:$N$100,'15k'!$H$7:$H$100,$A223,'15k'!$I$7:$I$100,1)+SUMIFS('15l'!$N$7:$N$100,'15l'!$H$7:$H$100,$A223,'15l'!$I$7:$I$100,1)+SUMIFS('15m'!$N$7:$N$100,'15m'!$H$7:$H$100,$A223,'15m'!$I$7:$I$100,1)+SUMIFS('15n'!$N$7:$N$100,'15n'!$H$7:$H$100,$A223,'15n'!$I$7:$I$100,1)+SUMIFS('16'!$N$7:$N$100,'16'!$H$7:$H$100,$A223,'16'!$I$7:$I$100,1)+SUMIFS('16a'!$N$7:$N$100,'16a'!$H$7:$H$100,$A223,'16a'!$I$7:$I$100,1)+SUMIFS('17'!$N$7:$N$100,'17'!$H$7:$H$100,$A223,'17'!$I$7:$I$100,1)+SUMIFS('17a'!$N$7:$N$100,'17a'!$H$7:$H$100,$A223,'17a'!$I$7:$I$100,1)+SUMIFS('18'!$N$7:$N$100,'18'!$H$7:$H$100,$A223,'18'!$I$7:$I$100,1)+SUMIFS('18a'!$N$7:$N$100,'18a'!$H$7:$H$100,$A223,'18a'!$I$7:$I$100,1)
+SUMIFS('19'!$N$7:$N$100,'19'!$H$7:$H$100,$A223,'19'!$I$7:$I$100,1)+SUMIFS('20'!$N$7:$N$100,'20'!$H$7:$H$100,$A223,'20'!$I$7:$I$100,1)+SUMIFS('20a'!$N$7:$N$100,'20a'!$H$7:$H$100,$A223,'20a'!$I$7:$I$100,1)+SUMIFS('21'!$N$7:$N$100,'21'!$H$7:$H$100,$A223,'21'!$I$7:$I$100,1)+SUMIFS('22'!$N$7:$N$100,'22'!$H$7:$H$100,$A223,'22'!$I$7:$I$100,1)+SUMIFS('22a'!$N$7:$N$100,'22a'!$H$7:$H$100,$A223,'22a'!$I$7:$I$100,1)+SUMIFS('22b'!$N$7:$N$100,'22b'!$H$7:$H$100,$A223,'22b'!$I$7:$I$100,1)+SUMIFS('23'!$N$7:$N$100,'23'!$H$7:$H$100,$A223,'23'!$I$7:$I$100,1)+SUMIFS('24'!$N$7:$N$100,'24'!$H$7:$H$100,$A223,'24'!$I$7:$I$100,1)+SUMIFS('24a'!$N$7:$N$100,'24a'!$H$7:$H$100,$A223,'24a'!$I$7:$I$100,1)+SUMIFS('24b'!$N$7:$N$100,'24b'!$H$7:$H$100,$A223,'24b'!$I$7:$I$100,1)+SUMIFS('24c'!$N$7:$N$100,'24c'!$H$7:$H$100,$A223,'24c'!$I$7:$I$100,1)+SUMIFS('24d'!$N$7:$N$100,'24d'!$H$7:$H$100,$A223,'24d'!$I$7:$I$100,1)+SUMIFS('24e'!$N$7:$N$100,'24e'!$H$7:$H$100,$A223,'24e'!$I$7:$I$100,1)+SUMIFS('24f'!$N$7:$N$100,'24f'!$H$7:$H$100,$A223,'24f'!$I$7:$I$100,1)+SUMIFS('24g'!$N$7:$N$100,'24g'!$H$7:$H$100,$A223,'24g'!$I$7:$I$100,1)+SUMIFS('24h'!$N$7:$N$100,'24h'!$H$7:$H$100,$A223,'24h'!$I$7:$I$100,1)+SUMIFS('24i'!$N$7:$N$100,'24i'!$H$7:$H$100,$A223,'24i'!$I$7:$I$100,1)+SUMIFS('25'!$N$7:$N$100,'25'!$H$7:$H$100,$A223,'25'!$I$7:$I$100,1)+SUMIFS('26'!$N$7:$N$100,'26'!$H$7:$H$100,$A223,'26'!$I$7:$I$100,1)+SUMIFS('26a'!$N$7:$N$100,'26a'!$H$7:$H$100,$A223,'26a'!$I$7:$I$100,1)+SUMIFS('27'!$N$7:$N$100,'27'!$H$7:$H$100,$A223,'27'!$I$7:$I$100,1)+SUMIFS('27a'!$N$7:$N$100,'27a'!$H$7:$H$100,$A223,'27a'!$I$7:$I$100,1)+SUMIFS('28'!$N$7:$N$100,'28'!$H$7:$H$100,$A223,'28'!$I$7:$I$100,1)+SUMIFS('29'!$N$7:$N$100,'29'!$H$7:$H$100,$A223,'29'!$I$7:$I$100,1)</f>
        <v>0</v>
      </c>
      <c r="D223" s="1315">
        <f>SUMIFS('12'!$N$7:$N$100,'12'!$H$7:$H$100,$A223,'12'!$I$7:$I$100,2)+SUMIFS('13'!$N$7:$N$100,'13'!$H$7:$H$100,$A223,'13'!$I$7:$I$100,2)+SUMIFS('14'!$N$7:$N$100,'14'!$H$7:$H$100,$A223,'14'!$I$7:$I$100,2)+SUMIFS('15'!$N$7:$N$100,'15'!$H$7:$H$100,$A223,'15'!$I$7:$I$100,2)+SUMIFS('15a'!$N$7:$N$100,'15a'!$H$7:$H$100,$A223,'15a'!$I$7:$I$100,2)+SUMIFS('15b'!$N$7:$N$100,'15b'!$H$7:$H$100,$A223,'15b'!$I$7:$I$100,2)+SUMIFS('15c'!$N$7:$N$100,'15c'!$H$7:$H$100,$A223,'15c'!$I$7:$I$100,2)+SUMIFS('15d'!$N$7:$N$100,'15d'!$H$7:$H$100,$A223,'15d'!$I$7:$I$100,2)+SUMIFS('15e'!$N$7:$N$100,'15e'!$H$7:$H$100,$A223,'15e'!$I$7:$I$100,2)+SUMIFS('15f'!$N$7:$N$100,'15f'!$H$7:$H$100,$A223,'15f'!$I$7:$I$100,2)+SUMIFS('15g'!$N$7:$N$100,'15g'!$H$7:$H$100,$A223,'15g'!$I$7:$I$100,2)+SUMIFS('15h'!$N$7:$N$100,'15h'!$H$7:$H$100,$A223,'15h'!$I$7:$I$100,2)+SUMIFS('15i'!$N$7:$N$100,'15i'!$H$7:$H$100,$A223,'15i'!$I$7:$I$100,2)+SUMIFS('15j'!$N$7:$N$100,'15j'!$H$7:$H$100,$A223,'15j'!$I$7:$I$100,2)+SUMIFS('15k'!$N$7:$N$100,'15k'!$H$7:$H$100,$A223,'15k'!$I$7:$I$100,2)+SUMIFS('15l'!$N$7:$N$100,'15l'!$H$7:$H$100,$A223,'15l'!$I$7:$I$100,2)+SUMIFS('15m'!$N$7:$N$100,'15m'!$H$7:$H$100,$A223,'15m'!$I$7:$I$100,2)+SUMIFS('15n'!$N$7:$N$100,'15n'!$H$7:$H$100,$A223,'15n'!$I$7:$I$100,2)+SUMIFS('16'!$N$7:$N$100,'16'!$H$7:$H$100,$A223,'16'!$I$7:$I$100,2)+SUMIFS('16a'!$N$7:$N$100,'16a'!$H$7:$H$100,$A223,'16a'!$I$7:$I$100,2)+SUMIFS('17'!$N$7:$N$100,'17'!$H$7:$H$100,$A223,'17'!$I$7:$I$100,2)+SUMIFS('17a'!$N$7:$N$100,'17a'!$H$7:$H$100,$A223,'17a'!$I$7:$I$100,2)+SUMIFS('18'!$N$7:$N$100,'18'!$H$7:$H$100,$A223,'18'!$I$7:$I$100,2)+SUMIFS('18a'!$N$7:$N$100,'18a'!$H$7:$H$100,$A223,'18a'!$I$7:$I$100,2)
+SUMIFS('19'!$N$7:$N$100,'19'!$H$7:$H$100,$A223,'19'!$I$7:$I$100,2)+SUMIFS('20'!$N$7:$N$100,'20'!$H$7:$H$100,$A223,'20'!$I$7:$I$100,2)+SUMIFS('20a'!$N$7:$N$100,'20a'!$H$7:$H$100,$A223,'20a'!$I$7:$I$100,2)+SUMIFS('21'!$N$7:$N$100,'21'!$H$7:$H$100,$A223,'21'!$I$7:$I$100,2)+SUMIFS('22'!$N$7:$N$100,'22'!$H$7:$H$100,$A223,'22'!$I$7:$I$100,2)+SUMIFS('22a'!$N$7:$N$100,'22a'!$H$7:$H$100,$A223,'22a'!$I$7:$I$100,2)+SUMIFS('22b'!$N$7:$N$100,'22b'!$H$7:$H$100,$A223,'22b'!$I$7:$I$100,2)+SUMIFS('23'!$N$7:$N$100,'23'!$H$7:$H$100,$A223,'23'!$I$7:$I$100,2)+SUMIFS('24'!$N$7:$N$100,'24'!$H$7:$H$100,$A223,'24'!$I$7:$I$100,2)+SUMIFS('24a'!$N$7:$N$100,'24a'!$H$7:$H$100,$A223,'24a'!$I$7:$I$100,2)+SUMIFS('24b'!$N$7:$N$100,'24b'!$H$7:$H$100,$A223,'24b'!$I$7:$I$100,2)+SUMIFS('24c'!$N$7:$N$100,'24c'!$H$7:$H$100,$A223,'24c'!$I$7:$I$100,2)+SUMIFS('24d'!$N$7:$N$100,'24d'!$H$7:$H$100,$A223,'24d'!$I$7:$I$100,2)+SUMIFS('24e'!$N$7:$N$100,'24e'!$H$7:$H$100,$A223,'24e'!$I$7:$I$100,2)+SUMIFS('24f'!$N$7:$N$100,'24f'!$H$7:$H$100,$A223,'24f'!$I$7:$I$100,2)+SUMIFS('24g'!$N$7:$N$100,'24g'!$H$7:$H$100,$A223,'24g'!$I$7:$I$100,2)+SUMIFS('24h'!$N$7:$N$100,'24h'!$H$7:$H$100,$A223,'24h'!$I$7:$I$100,2)+SUMIFS('24i'!$N$7:$N$100,'24i'!$H$7:$H$100,$A223,'24i'!$I$7:$I$100,2)+SUMIFS('25'!$N$7:$N$100,'25'!$H$7:$H$100,$A223,'25'!$I$7:$I$100,2)+SUMIFS('26'!$N$7:$N$100,'26'!$H$7:$H$100,$A223,'26'!$I$7:$I$100,2)+SUMIFS('26a'!$N$7:$N$100,'26a'!$H$7:$H$100,$A223,'26a'!$I$7:$I$100,2)+SUMIFS('27'!$N$7:$N$100,'27'!$H$7:$H$100,$A223,'27'!$I$7:$I$100,2)+SUMIFS('27a'!$N$7:$N$100,'27a'!$H$7:$H$100,$A223,'27a'!$I$7:$I$100,2)+SUMIFS('28'!$N$7:$N$100,'28'!$H$7:$H$100,$A223,'28'!$I$7:$I$100,2)+SUMIFS('29'!$N$7:$N$100,'29'!$H$7:$H$100,$A223,'29'!$I$7:$I$100,2)</f>
        <v>0</v>
      </c>
      <c r="E223" s="1315">
        <f>SUMIFS('12'!$N$7:$N$100,'12'!$H$7:$H$100,$A223,'12'!$I$7:$I$100,"")+SUMIFS('13'!$N$7:$N$100,'13'!$H$7:$H$100,$A223,'13'!$I$7:$I$100,"")+SUMIFS('14'!$N$7:$N$100,'14'!$H$7:$H$100,$A223,'14'!$I$7:$I$100,"")+SUMIFS('15'!$N$7:$N$100,'15'!$H$7:$H$100,$A223,'15'!$I$7:$I$100,"")+SUMIFS('15a'!$N$7:$N$100,'15a'!$H$7:$H$100,$A223,'15a'!$I$7:$I$100,"")+SUMIFS('15b'!$N$7:$N$100,'15b'!$H$7:$H$100,$A223,'15b'!$I$7:$I$100,"")+SUMIFS('15c'!$N$7:$N$100,'15c'!$H$7:$H$100,$A223,'15c'!$I$7:$I$100,"")+SUMIFS('15d'!$N$7:$N$100,'15d'!$H$7:$H$100,$A223,'15d'!$I$7:$I$100,"")+SUMIFS('15e'!$N$7:$N$100,'15e'!$H$7:$H$100,$A223,'15e'!$I$7:$I$100,"")+SUMIFS('15f'!$N$7:$N$100,'15f'!$H$7:$H$100,$A223,'15f'!$I$7:$I$100,"")+SUMIFS('15g'!$N$7:$N$100,'15g'!$H$7:$H$100,$A223,'15g'!$I$7:$I$100,"")+SUMIFS('15h'!$N$7:$N$100,'15h'!$H$7:$H$100,$A223,'15h'!$I$7:$I$100,"")+SUMIFS('15i'!$N$7:$N$100,'15i'!$H$7:$H$100,$A223,'15i'!$I$7:$I$100,"")+SUMIFS('15j'!$N$7:$N$100,'15j'!$H$7:$H$100,$A223,'15j'!$I$7:$I$100,"")+SUMIFS('15k'!$N$7:$N$100,'15k'!$H$7:$H$100,$A223,'15k'!$I$7:$I$100,"")+SUMIFS('15l'!$N$7:$N$100,'15l'!$H$7:$H$100,$A223,'15l'!$I$7:$I$100,"")+SUMIFS('15m'!$N$7:$N$100,'15m'!$H$7:$H$100,$A223,'15m'!$I$7:$I$100,"")+SUMIFS('15n'!$N$7:$N$100,'15n'!$H$7:$H$100,$A223,'15n'!$I$7:$I$100,"")+SUMIFS('16'!$N$7:$N$100,'16'!$H$7:$H$100,$A223,'16'!$I$7:$I$100,"")+SUMIFS('16a'!$N$7:$N$100,'16a'!$H$7:$H$100,$A223,'16a'!$I$7:$I$100,"")+SUMIFS('17'!$N$7:$N$100,'17'!$H$7:$H$100,$A223,'17'!$I$7:$I$100,"")+SUMIFS('17a'!$N$7:$N$100,'17a'!$H$7:$H$100,$A223,'17a'!$I$7:$I$100,"")+SUMIFS('18'!$N$7:$N$100,'18'!$H$7:$H$100,$A223,'18'!$I$7:$I$100,"")+SUMIFS('18a'!$N$7:$N$100,'18a'!$H$7:$H$100,$A223,'18a'!$I$7:$I$100,"")
+SUMIFS('19'!$N$7:$N$100,'19'!$H$7:$H$100,$A223,'19'!$I$7:$I$100,"")+SUMIFS('20'!$N$7:$N$100,'20'!$H$7:$H$100,$A223,'20'!$I$7:$I$100,"")+SUMIFS('20a'!$N$7:$N$100,'20a'!$H$7:$H$100,$A223,'20a'!$I$7:$I$100,"")+SUMIFS('21'!$N$7:$N$100,'21'!$H$7:$H$100,$A223,'21'!$I$7:$I$100,"")+SUMIFS('22'!$N$7:$N$100,'22'!$H$7:$H$100,$A223,'22'!$I$7:$I$100,"")+SUMIFS('22a'!$N$7:$N$100,'22a'!$H$7:$H$100,$A223,'22a'!$I$7:$I$100,"")+SUMIFS('22b'!$N$7:$N$100,'22b'!$H$7:$H$100,$A223,'22b'!$I$7:$I$100,"")+SUMIFS('23'!$N$7:$N$100,'23'!$H$7:$H$100,$A223,'23'!$I$7:$I$100,"")+SUMIFS('24'!$N$7:$N$100,'24'!$H$7:$H$100,$A223,'24'!$I$7:$I$100,"")+SUMIFS('24a'!$N$7:$N$100,'24a'!$H$7:$H$100,$A223,'24a'!$I$7:$I$100,"")+SUMIFS('24b'!$N$7:$N$100,'24b'!$H$7:$H$100,$A223,'24b'!$I$7:$I$100,"")+SUMIFS('24c'!$N$7:$N$100,'24c'!$H$7:$H$100,$A223,'24c'!$I$7:$I$100,"")+SUMIFS('24d'!$N$7:$N$100,'24d'!$H$7:$H$100,$A223,'24d'!$I$7:$I$100,"")+SUMIFS('24e'!$N$7:$N$100,'24e'!$H$7:$H$100,$A223,'24e'!$I$7:$I$100,"")+SUMIFS('24f'!$N$7:$N$100,'24f'!$H$7:$H$100,$A223,'24f'!$I$7:$I$100,"")+SUMIFS('24g'!$N$7:$N$100,'24g'!$H$7:$H$100,$A223,'24g'!$I$7:$I$100,"")+SUMIFS('24h'!$N$7:$N$100,'24h'!$H$7:$H$100,$A223,'24h'!$I$7:$I$100,"")+SUMIFS('24i'!$N$7:$N$100,'24i'!$H$7:$H$100,$A223,'24i'!$I$7:$I$100,"")+SUMIFS('25'!$N$7:$N$100,'25'!$H$7:$H$100,$A223,'25'!$I$7:$I$100,"")+SUMIFS('26'!$N$7:$N$100,'26'!$H$7:$H$100,$A223,'26'!$I$7:$I$100,"")+SUMIFS('26a'!$N$7:$N$100,'26a'!$H$7:$H$100,$A223,'26a'!$I$7:$I$100,"")+SUMIFS('27'!$N$7:$N$100,'27'!$H$7:$H$100,$A223,'27'!$I$7:$I$100,"")+SUMIFS('27a'!$N$7:$N$100,'27a'!$H$7:$H$100,$A223,'27a'!$I$7:$I$100,"")+SUMIFS('28'!$N$7:$N$100,'28'!$H$7:$H$100,$A223,'28'!$I$7:$I$100,"")+SUMIFS('29'!$N$7:$N$100,'29'!$H$7:$H$100,$A223,'29'!$I$7:$I$100,"")</f>
        <v>0</v>
      </c>
      <c r="F223" s="1296">
        <f t="shared" si="16"/>
        <v>0</v>
      </c>
      <c r="G223" s="1295">
        <f>SUMIFS('12'!$J$7:$J$100,'12'!$H$7:$H$100,$A223,'12'!$I$7:$I$100,1)+SUMIFS('13'!$J$7:$J$100,'13'!$H$7:$H$100,$A223,'13'!$I$7:$I$100,1)+SUMIFS('14'!$J$7:$J$100,'14'!$H$7:$H$100,$A223,'14'!$I$7:$I$100,1)+SUMIFS('15'!$J$7:$J$100,'15'!$H$7:$H$100,$A223,'15'!$I$7:$I$100,1)+SUMIFS('15a'!$J$7:$J$100,'15a'!$H$7:$H$100,$A223,'15a'!$I$7:$I$100,1)+SUMIFS('15b'!$J$7:$J$100,'15b'!$H$7:$H$100,$A223,'15b'!$I$7:$I$100,1)+SUMIFS('15c'!$J$7:$J$100,'15c'!$H$7:$H$100,$A223,'15c'!$I$7:$I$100,1)+SUMIFS('15d'!$J$7:$J$100,'15d'!$H$7:$H$100,$A223,'15d'!$I$7:$I$100,1)+SUMIFS('15e'!$J$7:$J$100,'15e'!$H$7:$H$100,$A223,'15e'!$I$7:$I$100,1)+SUMIFS('15f'!$J$7:$J$100,'15f'!$H$7:$H$100,$A223,'15f'!$I$7:$I$100,1)+SUMIFS('15g'!$J$7:$J$100,'15g'!$H$7:$H$100,$A223,'15g'!$I$7:$I$100,1)+SUMIFS('15h'!$J$7:$J$100,'15h'!$H$7:$H$100,$A223,'15h'!$I$7:$I$100,1)+SUMIFS('15i'!$J$7:$J$100,'15i'!$H$7:$H$100,$A223,'15i'!$I$7:$I$100,1)+SUMIFS('15j'!$J$7:$J$100,'15j'!$H$7:$H$100,$A223,'15j'!$I$7:$I$100,1)+SUMIFS('15k'!$J$7:$J$100,'15k'!$H$7:$H$100,$A223,'15k'!$I$7:$I$100,1)+SUMIFS('15l'!$J$7:$J$100,'15l'!$H$7:$H$100,$A223,'15l'!$I$7:$I$100,1)+SUMIFS('15m'!$J$7:$J$100,'15m'!$H$7:$H$100,$A223,'15m'!$I$7:$I$100,1)+SUMIFS('15n'!$J$7:$J$100,'15n'!$H$7:$H$100,$A223,'15n'!$I$7:$I$100,1)+SUMIFS('16'!$J$7:$J$100,'16'!$H$7:$H$100,$A223,'16'!$I$7:$I$100,1)+SUMIFS('16a'!$J$7:$J$100,'16a'!$H$7:$H$100,$A223,'16a'!$I$7:$I$100,1)+SUMIFS('17'!$J$7:$J$100,'17'!$H$7:$H$100,$A223,'17'!$I$7:$I$100,1)+SUMIFS('17a'!$J$7:$J$100,'17a'!$H$7:$H$100,$A223,'17a'!$I$7:$I$100,1)+SUMIFS('18'!$J$7:$J$100,'18'!$H$7:$H$100,$A223,'18'!$I$7:$I$100,1)+SUMIFS('18a'!$J$7:$J$100,'18a'!$H$7:$H$100,$A223,'18a'!$I$7:$I$100,1)
+SUMIFS('19'!$J$7:$J$100,'19'!$H$7:$H$100,$A223,'19'!$I$7:$I$100,1)+SUMIFS('20'!$J$7:$J$100,'20'!$H$7:$H$100,$A223,'20'!$I$7:$I$100,1)+SUMIFS('20a'!$J$7:$J$100,'20a'!$H$7:$H$100,$A223,'20a'!$I$7:$I$100,1)+SUMIFS('21'!$J$7:$J$100,'21'!$H$7:$H$100,$A223,'21'!$I$7:$I$100,1)+SUMIFS('22'!$J$7:$J$100,'22'!$H$7:$H$100,$A223,'22'!$I$7:$I$100,1)+SUMIFS('22a'!$J$7:$J$100,'22a'!$H$7:$H$100,$A223,'22a'!$I$7:$I$100,1)+SUMIFS('22b'!$J$7:$J$100,'22b'!$H$7:$H$100,$A223,'22b'!$I$7:$I$100,1)+SUMIFS('23'!$J$7:$J$100,'23'!$H$7:$H$100,$A223,'23'!$I$7:$I$100,1)+SUMIFS('24'!$J$7:$J$100,'24'!$H$7:$H$100,$A223,'24'!$I$7:$I$100,1)+SUMIFS('24a'!$J$7:$J$100,'24a'!$H$7:$H$100,$A223,'24a'!$I$7:$I$100,1)+SUMIFS('24b'!$J$7:$J$100,'24b'!$H$7:$H$100,$A223,'24b'!$I$7:$I$100,1)+SUMIFS('24c'!$J$7:$J$100,'24c'!$H$7:$H$100,$A223,'24c'!$I$7:$I$100,1)+SUMIFS('24d'!$J$7:$J$100,'24d'!$H$7:$H$100,$A223,'24d'!$I$7:$I$100,1)+SUMIFS('24e'!$J$7:$J$100,'24e'!$H$7:$H$100,$A223,'24e'!$I$7:$I$100,1)+SUMIFS('24f'!$J$7:$J$100,'24f'!$H$7:$H$100,$A223,'24f'!$I$7:$I$100,1)+SUMIFS('24g'!$J$7:$J$100,'24g'!$H$7:$H$100,$A223,'24g'!$I$7:$I$100,1)+SUMIFS('24h'!$J$7:$J$100,'24h'!$H$7:$H$100,$A223,'24h'!$I$7:$I$100,1)+SUMIFS('24i'!$J$7:$J$100,'24i'!$H$7:$H$100,$A223,'24i'!$I$7:$I$100,1)+SUMIFS('25'!$J$7:$J$100,'25'!$H$7:$H$100,$A223,'25'!$I$7:$I$100,1)+SUMIFS('26'!$J$7:$J$100,'26'!$H$7:$H$100,$A223,'26'!$I$7:$I$100,1)+SUMIFS('26a'!$J$7:$J$100,'26a'!$H$7:$H$100,$A223,'26a'!$I$7:$I$100,1)+SUMIFS('27'!$J$7:$J$100,'27'!$H$7:$H$100,$A223,'27'!$I$7:$I$100,1)+SUMIFS('27a'!$J$7:$J$100,'27a'!$H$7:$H$100,$A223,'27a'!$I$7:$I$100,1)+SUMIFS('28'!$J$7:$J$100,'28'!$H$7:$H$100,$A223,'28'!$I$7:$I$100,1)+SUMIFS('29'!$J$7:$J$100,'29'!$H$7:$H$100,$A223,'29'!$I$7:$I$100,1)</f>
        <v>0</v>
      </c>
      <c r="H223" s="1315">
        <f>SUMIFS('12'!$J$7:$J$100,'12'!$H$7:$H$100,$A223,'12'!$I$7:$I$100,2)+SUMIFS('13'!$J$7:$J$100,'13'!$H$7:$H$100,$A223,'13'!$I$7:$I$100,2)+SUMIFS('14'!$J$7:$J$100,'14'!$H$7:$H$100,$A223,'14'!$I$7:$I$100,2)+SUMIFS('15'!$J$7:$J$100,'15'!$H$7:$H$100,$A223,'15'!$I$7:$I$100,2)+SUMIFS('15a'!$J$7:$J$100,'15a'!$H$7:$H$100,$A223,'15a'!$I$7:$I$100,2)+SUMIFS('15b'!$J$7:$J$100,'15b'!$H$7:$H$100,$A223,'15b'!$I$7:$I$100,2)+SUMIFS('15c'!$J$7:$J$100,'15c'!$H$7:$H$100,$A223,'15c'!$I$7:$I$100,2)+SUMIFS('15d'!$J$7:$J$100,'15d'!$H$7:$H$100,$A223,'15d'!$I$7:$I$100,2)+SUMIFS('15e'!$J$7:$J$100,'15e'!$H$7:$H$100,$A223,'15e'!$I$7:$I$100,2)+SUMIFS('15f'!$J$7:$J$100,'15f'!$H$7:$H$100,$A223,'15f'!$I$7:$I$100,2)+SUMIFS('15g'!$J$7:$J$100,'15g'!$H$7:$H$100,$A223,'15g'!$I$7:$I$100,2)+SUMIFS('15h'!$J$7:$J$100,'15h'!$H$7:$H$100,$A223,'15h'!$I$7:$I$100,2)+SUMIFS('15i'!$J$7:$J$100,'15i'!$H$7:$H$100,$A223,'15i'!$I$7:$I$100,2)+SUMIFS('15j'!$J$7:$J$100,'15j'!$H$7:$H$100,$A223,'15j'!$I$7:$I$100,2)+SUMIFS('15k'!$J$7:$J$100,'15k'!$H$7:$H$100,$A223,'15k'!$I$7:$I$100,2)+SUMIFS('15l'!$J$7:$J$100,'15l'!$H$7:$H$100,$A223,'15l'!$I$7:$I$100,2)+SUMIFS('15m'!$J$7:$J$100,'15m'!$H$7:$H$100,$A223,'15m'!$I$7:$I$100,2)+SUMIFS('15n'!$J$7:$J$100,'15n'!$H$7:$H$100,$A223,'15n'!$I$7:$I$100,2)+SUMIFS('16'!$J$7:$J$100,'16'!$H$7:$H$100,$A223,'16'!$I$7:$I$100,2)+SUMIFS('16a'!$J$7:$J$100,'16a'!$H$7:$H$100,$A223,'16a'!$I$7:$I$100,2)+SUMIFS('17'!$J$7:$J$100,'17'!$H$7:$H$100,$A223,'17'!$I$7:$I$100,2)+SUMIFS('17a'!$J$7:$J$100,'17a'!$H$7:$H$100,$A223,'17a'!$I$7:$I$100,2)+SUMIFS('18'!$J$7:$J$100,'18'!$H$7:$H$100,$A223,'18'!$I$7:$I$100,2)+SUMIFS('18a'!$J$7:$J$100,'18a'!$H$7:$H$100,$A223,'18a'!$I$7:$I$100,2)
+SUMIFS('19'!$J$7:$J$100,'19'!$H$7:$H$100,$A223,'19'!$I$7:$I$100,2)+SUMIFS('20'!$J$7:$J$100,'20'!$H$7:$H$100,$A223,'20'!$I$7:$I$100,2)+SUMIFS('20a'!$J$7:$J$100,'20a'!$H$7:$H$100,$A223,'20a'!$I$7:$I$100,2)+SUMIFS('21'!$J$7:$J$100,'21'!$H$7:$H$100,$A223,'21'!$I$7:$I$100,2)+SUMIFS('22'!$J$7:$J$100,'22'!$H$7:$H$100,$A223,'22'!$I$7:$I$100,2)+SUMIFS('22a'!$J$7:$J$100,'22a'!$H$7:$H$100,$A223,'22a'!$I$7:$I$100,2)+SUMIFS('22b'!$J$7:$J$100,'22b'!$H$7:$H$100,$A223,'22b'!$I$7:$I$100,2)+SUMIFS('23'!$J$7:$J$100,'23'!$H$7:$H$100,$A223,'23'!$I$7:$I$100,2)+SUMIFS('24'!$J$7:$J$100,'24'!$H$7:$H$100,$A223,'24'!$I$7:$I$100,2)+SUMIFS('24a'!$J$7:$J$100,'24a'!$H$7:$H$100,$A223,'24a'!$I$7:$I$100,2)+SUMIFS('24b'!$J$7:$J$100,'24b'!$H$7:$H$100,$A223,'24b'!$I$7:$I$100,2)+SUMIFS('24c'!$J$7:$J$100,'24c'!$H$7:$H$100,$A223,'24c'!$I$7:$I$100,2)+SUMIFS('24d'!$J$7:$J$100,'24d'!$H$7:$H$100,$A223,'24d'!$I$7:$I$100,2)+SUMIFS('24e'!$J$7:$J$100,'24e'!$H$7:$H$100,$A223,'24e'!$I$7:$I$100,2)+SUMIFS('24f'!$J$7:$J$100,'24f'!$H$7:$H$100,$A223,'24f'!$I$7:$I$100,2)+SUMIFS('24g'!$J$7:$J$100,'24g'!$H$7:$H$100,$A223,'24g'!$I$7:$I$100,2)+SUMIFS('24h'!$J$7:$J$100,'24h'!$H$7:$H$100,$A223,'24h'!$I$7:$I$100,2)+SUMIFS('24i'!$J$7:$J$100,'24i'!$H$7:$H$100,$A223,'24i'!$I$7:$I$100,2)+SUMIFS('25'!$J$7:$J$100,'25'!$H$7:$H$100,$A223,'25'!$I$7:$I$100,2)+SUMIFS('26'!$J$7:$J$100,'26'!$H$7:$H$100,$A223,'26'!$I$7:$I$100,2)+SUMIFS('26a'!$J$7:$J$100,'26a'!$H$7:$H$100,$A223,'26a'!$I$7:$I$100,2)+SUMIFS('27'!$J$7:$J$100,'27'!$H$7:$H$100,$A223,'27'!$I$7:$I$100,2)+SUMIFS('27a'!$J$7:$J$100,'27a'!$H$7:$H$100,$A223,'27a'!$I$7:$I$100,2)+SUMIFS('28'!$J$7:$J$100,'28'!$H$7:$H$100,$A223,'28'!$I$7:$I$100,2)+SUMIFS('29'!$J$7:$J$100,'29'!$H$7:$H$100,$A223,'29'!$I$7:$I$100,2)</f>
        <v>0</v>
      </c>
      <c r="I223" s="1315">
        <f>SUMIFS('12'!$J$7:$J$100,'12'!$H$7:$H$100,$A223,'12'!$I$7:$I$100,"")+SUMIFS('13'!$J$7:$J$100,'13'!$H$7:$H$100,$A223,'13'!$I$7:$I$100,"")+SUMIFS('14'!$J$7:$J$100,'14'!$H$7:$H$100,$A223,'14'!$I$7:$I$100,"")+SUMIFS('15'!$J$7:$J$100,'15'!$H$7:$H$100,$A223,'15'!$I$7:$I$100,"")+SUMIFS('15a'!$J$7:$J$100,'15a'!$H$7:$H$100,$A223,'15a'!$I$7:$I$100,"")+SUMIFS('15b'!$J$7:$J$100,'15b'!$H$7:$H$100,$A223,'15b'!$I$7:$I$100,"")+SUMIFS('15c'!$J$7:$J$100,'15c'!$H$7:$H$100,$A223,'15c'!$I$7:$I$100,"")+SUMIFS('15d'!$J$7:$J$100,'15d'!$H$7:$H$100,$A223,'15d'!$I$7:$I$100,"")+SUMIFS('15e'!$J$7:$J$100,'15e'!$H$7:$H$100,$A223,'15e'!$I$7:$I$100,"")+SUMIFS('15f'!$J$7:$J$100,'15f'!$H$7:$H$100,$A223,'15f'!$I$7:$I$100,"")+SUMIFS('15g'!$J$7:$J$100,'15g'!$H$7:$H$100,$A223,'15g'!$I$7:$I$100,"")+SUMIFS('15h'!$J$7:$J$100,'15h'!$H$7:$H$100,$A223,'15h'!$I$7:$I$100,"")+SUMIFS('15i'!$J$7:$J$100,'15i'!$H$7:$H$100,$A223,'15i'!$I$7:$I$100,"")+SUMIFS('15j'!$J$7:$J$100,'15j'!$H$7:$H$100,$A223,'15j'!$I$7:$I$100,"")+SUMIFS('15k'!$J$7:$J$100,'15k'!$H$7:$H$100,$A223,'15k'!$I$7:$I$100,"")+SUMIFS('15l'!$J$7:$J$100,'15l'!$H$7:$H$100,$A223,'15l'!$I$7:$I$100,"")+SUMIFS('15m'!$J$7:$J$100,'15m'!$H$7:$H$100,$A223,'15m'!$I$7:$I$100,"")+SUMIFS('15n'!$J$7:$J$100,'15n'!$H$7:$H$100,$A223,'15n'!$I$7:$I$100,"")+SUMIFS('16'!$J$7:$J$100,'16'!$H$7:$H$100,$A223,'16'!$I$7:$I$100,"")+SUMIFS('16a'!$J$7:$J$100,'16a'!$H$7:$H$100,$A223,'16a'!$I$7:$I$100,"")+SUMIFS('17'!$J$7:$J$100,'17'!$H$7:$H$100,$A223,'17'!$I$7:$I$100,"")+SUMIFS('17a'!$J$7:$J$100,'17a'!$H$7:$H$100,$A223,'17a'!$I$7:$I$100,"")+SUMIFS('18'!$J$7:$J$100,'18'!$H$7:$H$100,$A223,'18'!$I$7:$I$100,"")+SUMIFS('18a'!$J$7:$J$100,'18a'!$H$7:$H$100,$A223,'18a'!$I$7:$I$100,"")
+SUMIFS('19'!$J$7:$J$100,'19'!$H$7:$H$100,$A223,'19'!$I$7:$I$100,"")+SUMIFS('20'!$J$7:$J$100,'20'!$H$7:$H$100,$A223,'20'!$I$7:$I$100,"")+SUMIFS('20a'!$J$7:$J$100,'20a'!$H$7:$H$100,$A223,'20a'!$I$7:$I$100,"")+SUMIFS('21'!$J$7:$J$100,'21'!$H$7:$H$100,$A223,'21'!$I$7:$I$100,"")+SUMIFS('22'!$J$7:$J$100,'22'!$H$7:$H$100,$A223,'22'!$I$7:$I$100,"")+SUMIFS('22a'!$J$7:$J$100,'22a'!$H$7:$H$100,$A223,'22a'!$I$7:$I$100,"")+SUMIFS('22b'!$J$7:$J$100,'22b'!$H$7:$H$100,$A223,'22b'!$I$7:$I$100,"")+SUMIFS('23'!$J$7:$J$100,'23'!$H$7:$H$100,$A223,'23'!$I$7:$I$100,"")+SUMIFS('24'!$J$7:$J$100,'24'!$H$7:$H$100,$A223,'24'!$I$7:$I$100,"")+SUMIFS('24a'!$J$7:$J$100,'24a'!$H$7:$H$100,$A223,'24a'!$I$7:$I$100,"")+SUMIFS('24b'!$J$7:$J$100,'24b'!$H$7:$H$100,$A223,'24b'!$I$7:$I$100,"")+SUMIFS('24c'!$J$7:$J$100,'24c'!$H$7:$H$100,$A223,'24c'!$I$7:$I$100,"")+SUMIFS('24d'!$J$7:$J$100,'24d'!$H$7:$H$100,$A223,'24d'!$I$7:$I$100,"")+SUMIFS('24e'!$J$7:$J$100,'24e'!$H$7:$H$100,$A223,'24e'!$I$7:$I$100,"")+SUMIFS('24f'!$J$7:$J$100,'24f'!$H$7:$H$100,$A223,'24f'!$I$7:$I$100,"")+SUMIFS('24g'!$J$7:$J$100,'24g'!$H$7:$H$100,$A223,'24g'!$I$7:$I$100,"")+SUMIFS('24h'!$J$7:$J$100,'24h'!$H$7:$H$100,$A223,'24h'!$I$7:$I$100,"")+SUMIFS('24i'!$J$7:$J$100,'24i'!$H$7:$H$100,$A223,'24i'!$I$7:$I$100,"")+SUMIFS('25'!$J$7:$J$100,'25'!$H$7:$H$100,$A223,'25'!$I$7:$I$100,"")+SUMIFS('26'!$J$7:$J$100,'26'!$H$7:$H$100,$A223,'26'!$I$7:$I$100,"")+SUMIFS('26a'!$J$7:$J$100,'26a'!$H$7:$H$100,$A223,'26a'!$I$7:$I$100,"")+SUMIFS('27'!$J$7:$J$100,'27'!$H$7:$H$100,$A223,'27'!$I$7:$I$100,"")+SUMIFS('27a'!$J$7:$J$100,'27a'!$H$7:$H$100,$A223,'27a'!$I$7:$I$100,"")+SUMIFS('28'!$J$7:$J$100,'28'!$H$7:$H$100,$A223,'28'!$I$7:$I$100,"")+SUMIFS('29'!$J$7:$J$100,'29'!$H$7:$H$100,$A223,'29'!$I$7:$I$100,"")</f>
        <v>0</v>
      </c>
      <c r="J223" s="1296">
        <f t="shared" si="17"/>
        <v>0</v>
      </c>
      <c r="K223"/>
      <c r="L223"/>
      <c r="M223"/>
      <c r="N223"/>
      <c r="O223"/>
      <c r="P223"/>
      <c r="Q223"/>
      <c r="R223"/>
      <c r="S223" s="1307">
        <f t="shared" si="14"/>
        <v>0</v>
      </c>
      <c r="T223"/>
    </row>
    <row r="224" spans="1:20" x14ac:dyDescent="0.2">
      <c r="A224" t="s">
        <v>5152</v>
      </c>
      <c r="B224" t="s">
        <v>5485</v>
      </c>
      <c r="C224" s="1295">
        <f>SUMIFS('12'!$N$7:$N$100,'12'!$H$7:$H$100,$A224,'12'!$I$7:$I$100,1)+SUMIFS('13'!$N$7:$N$100,'13'!$H$7:$H$100,$A224,'13'!$I$7:$I$100,1)+SUMIFS('14'!$N$7:$N$100,'14'!$H$7:$H$100,$A224,'14'!$I$7:$I$100,1)+SUMIFS('15'!$N$7:$N$100,'15'!$H$7:$H$100,$A224,'15'!$I$7:$I$100,1)+SUMIFS('15a'!$N$7:$N$100,'15a'!$H$7:$H$100,$A224,'15a'!$I$7:$I$100,1)+SUMIFS('15b'!$N$7:$N$100,'15b'!$H$7:$H$100,$A224,'15b'!$I$7:$I$100,1)+SUMIFS('15c'!$N$7:$N$100,'15c'!$H$7:$H$100,$A224,'15c'!$I$7:$I$100,1)+SUMIFS('15d'!$N$7:$N$100,'15d'!$H$7:$H$100,$A224,'15d'!$I$7:$I$100,1)+SUMIFS('15e'!$N$7:$N$100,'15e'!$H$7:$H$100,$A224,'15e'!$I$7:$I$100,1)+SUMIFS('15f'!$N$7:$N$100,'15f'!$H$7:$H$100,$A224,'15f'!$I$7:$I$100,1)+SUMIFS('15g'!$N$7:$N$100,'15g'!$H$7:$H$100,$A224,'15g'!$I$7:$I$100,1)+SUMIFS('15h'!$N$7:$N$100,'15h'!$H$7:$H$100,$A224,'15h'!$I$7:$I$100,1)+SUMIFS('15i'!$N$7:$N$100,'15i'!$H$7:$H$100,$A224,'15i'!$I$7:$I$100,1)+SUMIFS('15j'!$N$7:$N$100,'15j'!$H$7:$H$100,$A224,'15j'!$I$7:$I$100,1)+SUMIFS('15k'!$N$7:$N$100,'15k'!$H$7:$H$100,$A224,'15k'!$I$7:$I$100,1)+SUMIFS('15l'!$N$7:$N$100,'15l'!$H$7:$H$100,$A224,'15l'!$I$7:$I$100,1)+SUMIFS('15m'!$N$7:$N$100,'15m'!$H$7:$H$100,$A224,'15m'!$I$7:$I$100,1)+SUMIFS('15n'!$N$7:$N$100,'15n'!$H$7:$H$100,$A224,'15n'!$I$7:$I$100,1)+SUMIFS('16'!$N$7:$N$100,'16'!$H$7:$H$100,$A224,'16'!$I$7:$I$100,1)+SUMIFS('16a'!$N$7:$N$100,'16a'!$H$7:$H$100,$A224,'16a'!$I$7:$I$100,1)+SUMIFS('17'!$N$7:$N$100,'17'!$H$7:$H$100,$A224,'17'!$I$7:$I$100,1)+SUMIFS('17a'!$N$7:$N$100,'17a'!$H$7:$H$100,$A224,'17a'!$I$7:$I$100,1)+SUMIFS('18'!$N$7:$N$100,'18'!$H$7:$H$100,$A224,'18'!$I$7:$I$100,1)+SUMIFS('18a'!$N$7:$N$100,'18a'!$H$7:$H$100,$A224,'18a'!$I$7:$I$100,1)
+SUMIFS('19'!$N$7:$N$100,'19'!$H$7:$H$100,$A224,'19'!$I$7:$I$100,1)+SUMIFS('20'!$N$7:$N$100,'20'!$H$7:$H$100,$A224,'20'!$I$7:$I$100,1)+SUMIFS('20a'!$N$7:$N$100,'20a'!$H$7:$H$100,$A224,'20a'!$I$7:$I$100,1)+SUMIFS('21'!$N$7:$N$100,'21'!$H$7:$H$100,$A224,'21'!$I$7:$I$100,1)+SUMIFS('22'!$N$7:$N$100,'22'!$H$7:$H$100,$A224,'22'!$I$7:$I$100,1)+SUMIFS('22a'!$N$7:$N$100,'22a'!$H$7:$H$100,$A224,'22a'!$I$7:$I$100,1)+SUMIFS('22b'!$N$7:$N$100,'22b'!$H$7:$H$100,$A224,'22b'!$I$7:$I$100,1)+SUMIFS('23'!$N$7:$N$100,'23'!$H$7:$H$100,$A224,'23'!$I$7:$I$100,1)+SUMIFS('24'!$N$7:$N$100,'24'!$H$7:$H$100,$A224,'24'!$I$7:$I$100,1)+SUMIFS('24a'!$N$7:$N$100,'24a'!$H$7:$H$100,$A224,'24a'!$I$7:$I$100,1)+SUMIFS('24b'!$N$7:$N$100,'24b'!$H$7:$H$100,$A224,'24b'!$I$7:$I$100,1)+SUMIFS('24c'!$N$7:$N$100,'24c'!$H$7:$H$100,$A224,'24c'!$I$7:$I$100,1)+SUMIFS('24d'!$N$7:$N$100,'24d'!$H$7:$H$100,$A224,'24d'!$I$7:$I$100,1)+SUMIFS('24e'!$N$7:$N$100,'24e'!$H$7:$H$100,$A224,'24e'!$I$7:$I$100,1)+SUMIFS('24f'!$N$7:$N$100,'24f'!$H$7:$H$100,$A224,'24f'!$I$7:$I$100,1)+SUMIFS('24g'!$N$7:$N$100,'24g'!$H$7:$H$100,$A224,'24g'!$I$7:$I$100,1)+SUMIFS('24h'!$N$7:$N$100,'24h'!$H$7:$H$100,$A224,'24h'!$I$7:$I$100,1)+SUMIFS('24i'!$N$7:$N$100,'24i'!$H$7:$H$100,$A224,'24i'!$I$7:$I$100,1)+SUMIFS('25'!$N$7:$N$100,'25'!$H$7:$H$100,$A224,'25'!$I$7:$I$100,1)+SUMIFS('26'!$N$7:$N$100,'26'!$H$7:$H$100,$A224,'26'!$I$7:$I$100,1)+SUMIFS('26a'!$N$7:$N$100,'26a'!$H$7:$H$100,$A224,'26a'!$I$7:$I$100,1)+SUMIFS('27'!$N$7:$N$100,'27'!$H$7:$H$100,$A224,'27'!$I$7:$I$100,1)+SUMIFS('27a'!$N$7:$N$100,'27a'!$H$7:$H$100,$A224,'27a'!$I$7:$I$100,1)+SUMIFS('28'!$N$7:$N$100,'28'!$H$7:$H$100,$A224,'28'!$I$7:$I$100,1)+SUMIFS('29'!$N$7:$N$100,'29'!$H$7:$H$100,$A224,'29'!$I$7:$I$100,1)</f>
        <v>0</v>
      </c>
      <c r="D224" s="1315">
        <f>SUMIFS('12'!$N$7:$N$100,'12'!$H$7:$H$100,$A224,'12'!$I$7:$I$100,2)+SUMIFS('13'!$N$7:$N$100,'13'!$H$7:$H$100,$A224,'13'!$I$7:$I$100,2)+SUMIFS('14'!$N$7:$N$100,'14'!$H$7:$H$100,$A224,'14'!$I$7:$I$100,2)+SUMIFS('15'!$N$7:$N$100,'15'!$H$7:$H$100,$A224,'15'!$I$7:$I$100,2)+SUMIFS('15a'!$N$7:$N$100,'15a'!$H$7:$H$100,$A224,'15a'!$I$7:$I$100,2)+SUMIFS('15b'!$N$7:$N$100,'15b'!$H$7:$H$100,$A224,'15b'!$I$7:$I$100,2)+SUMIFS('15c'!$N$7:$N$100,'15c'!$H$7:$H$100,$A224,'15c'!$I$7:$I$100,2)+SUMIFS('15d'!$N$7:$N$100,'15d'!$H$7:$H$100,$A224,'15d'!$I$7:$I$100,2)+SUMIFS('15e'!$N$7:$N$100,'15e'!$H$7:$H$100,$A224,'15e'!$I$7:$I$100,2)+SUMIFS('15f'!$N$7:$N$100,'15f'!$H$7:$H$100,$A224,'15f'!$I$7:$I$100,2)+SUMIFS('15g'!$N$7:$N$100,'15g'!$H$7:$H$100,$A224,'15g'!$I$7:$I$100,2)+SUMIFS('15h'!$N$7:$N$100,'15h'!$H$7:$H$100,$A224,'15h'!$I$7:$I$100,2)+SUMIFS('15i'!$N$7:$N$100,'15i'!$H$7:$H$100,$A224,'15i'!$I$7:$I$100,2)+SUMIFS('15j'!$N$7:$N$100,'15j'!$H$7:$H$100,$A224,'15j'!$I$7:$I$100,2)+SUMIFS('15k'!$N$7:$N$100,'15k'!$H$7:$H$100,$A224,'15k'!$I$7:$I$100,2)+SUMIFS('15l'!$N$7:$N$100,'15l'!$H$7:$H$100,$A224,'15l'!$I$7:$I$100,2)+SUMIFS('15m'!$N$7:$N$100,'15m'!$H$7:$H$100,$A224,'15m'!$I$7:$I$100,2)+SUMIFS('15n'!$N$7:$N$100,'15n'!$H$7:$H$100,$A224,'15n'!$I$7:$I$100,2)+SUMIFS('16'!$N$7:$N$100,'16'!$H$7:$H$100,$A224,'16'!$I$7:$I$100,2)+SUMIFS('16a'!$N$7:$N$100,'16a'!$H$7:$H$100,$A224,'16a'!$I$7:$I$100,2)+SUMIFS('17'!$N$7:$N$100,'17'!$H$7:$H$100,$A224,'17'!$I$7:$I$100,2)+SUMIFS('17a'!$N$7:$N$100,'17a'!$H$7:$H$100,$A224,'17a'!$I$7:$I$100,2)+SUMIFS('18'!$N$7:$N$100,'18'!$H$7:$H$100,$A224,'18'!$I$7:$I$100,2)+SUMIFS('18a'!$N$7:$N$100,'18a'!$H$7:$H$100,$A224,'18a'!$I$7:$I$100,2)
+SUMIFS('19'!$N$7:$N$100,'19'!$H$7:$H$100,$A224,'19'!$I$7:$I$100,2)+SUMIFS('20'!$N$7:$N$100,'20'!$H$7:$H$100,$A224,'20'!$I$7:$I$100,2)+SUMIFS('20a'!$N$7:$N$100,'20a'!$H$7:$H$100,$A224,'20a'!$I$7:$I$100,2)+SUMIFS('21'!$N$7:$N$100,'21'!$H$7:$H$100,$A224,'21'!$I$7:$I$100,2)+SUMIFS('22'!$N$7:$N$100,'22'!$H$7:$H$100,$A224,'22'!$I$7:$I$100,2)+SUMIFS('22a'!$N$7:$N$100,'22a'!$H$7:$H$100,$A224,'22a'!$I$7:$I$100,2)+SUMIFS('22b'!$N$7:$N$100,'22b'!$H$7:$H$100,$A224,'22b'!$I$7:$I$100,2)+SUMIFS('23'!$N$7:$N$100,'23'!$H$7:$H$100,$A224,'23'!$I$7:$I$100,2)+SUMIFS('24'!$N$7:$N$100,'24'!$H$7:$H$100,$A224,'24'!$I$7:$I$100,2)+SUMIFS('24a'!$N$7:$N$100,'24a'!$H$7:$H$100,$A224,'24a'!$I$7:$I$100,2)+SUMIFS('24b'!$N$7:$N$100,'24b'!$H$7:$H$100,$A224,'24b'!$I$7:$I$100,2)+SUMIFS('24c'!$N$7:$N$100,'24c'!$H$7:$H$100,$A224,'24c'!$I$7:$I$100,2)+SUMIFS('24d'!$N$7:$N$100,'24d'!$H$7:$H$100,$A224,'24d'!$I$7:$I$100,2)+SUMIFS('24e'!$N$7:$N$100,'24e'!$H$7:$H$100,$A224,'24e'!$I$7:$I$100,2)+SUMIFS('24f'!$N$7:$N$100,'24f'!$H$7:$H$100,$A224,'24f'!$I$7:$I$100,2)+SUMIFS('24g'!$N$7:$N$100,'24g'!$H$7:$H$100,$A224,'24g'!$I$7:$I$100,2)+SUMIFS('24h'!$N$7:$N$100,'24h'!$H$7:$H$100,$A224,'24h'!$I$7:$I$100,2)+SUMIFS('24i'!$N$7:$N$100,'24i'!$H$7:$H$100,$A224,'24i'!$I$7:$I$100,2)+SUMIFS('25'!$N$7:$N$100,'25'!$H$7:$H$100,$A224,'25'!$I$7:$I$100,2)+SUMIFS('26'!$N$7:$N$100,'26'!$H$7:$H$100,$A224,'26'!$I$7:$I$100,2)+SUMIFS('26a'!$N$7:$N$100,'26a'!$H$7:$H$100,$A224,'26a'!$I$7:$I$100,2)+SUMIFS('27'!$N$7:$N$100,'27'!$H$7:$H$100,$A224,'27'!$I$7:$I$100,2)+SUMIFS('27a'!$N$7:$N$100,'27a'!$H$7:$H$100,$A224,'27a'!$I$7:$I$100,2)+SUMIFS('28'!$N$7:$N$100,'28'!$H$7:$H$100,$A224,'28'!$I$7:$I$100,2)+SUMIFS('29'!$N$7:$N$100,'29'!$H$7:$H$100,$A224,'29'!$I$7:$I$100,2)</f>
        <v>0</v>
      </c>
      <c r="E224" s="1315">
        <f>SUMIFS('12'!$N$7:$N$100,'12'!$H$7:$H$100,$A224,'12'!$I$7:$I$100,"")+SUMIFS('13'!$N$7:$N$100,'13'!$H$7:$H$100,$A224,'13'!$I$7:$I$100,"")+SUMIFS('14'!$N$7:$N$100,'14'!$H$7:$H$100,$A224,'14'!$I$7:$I$100,"")+SUMIFS('15'!$N$7:$N$100,'15'!$H$7:$H$100,$A224,'15'!$I$7:$I$100,"")+SUMIFS('15a'!$N$7:$N$100,'15a'!$H$7:$H$100,$A224,'15a'!$I$7:$I$100,"")+SUMIFS('15b'!$N$7:$N$100,'15b'!$H$7:$H$100,$A224,'15b'!$I$7:$I$100,"")+SUMIFS('15c'!$N$7:$N$100,'15c'!$H$7:$H$100,$A224,'15c'!$I$7:$I$100,"")+SUMIFS('15d'!$N$7:$N$100,'15d'!$H$7:$H$100,$A224,'15d'!$I$7:$I$100,"")+SUMIFS('15e'!$N$7:$N$100,'15e'!$H$7:$H$100,$A224,'15e'!$I$7:$I$100,"")+SUMIFS('15f'!$N$7:$N$100,'15f'!$H$7:$H$100,$A224,'15f'!$I$7:$I$100,"")+SUMIFS('15g'!$N$7:$N$100,'15g'!$H$7:$H$100,$A224,'15g'!$I$7:$I$100,"")+SUMIFS('15h'!$N$7:$N$100,'15h'!$H$7:$H$100,$A224,'15h'!$I$7:$I$100,"")+SUMIFS('15i'!$N$7:$N$100,'15i'!$H$7:$H$100,$A224,'15i'!$I$7:$I$100,"")+SUMIFS('15j'!$N$7:$N$100,'15j'!$H$7:$H$100,$A224,'15j'!$I$7:$I$100,"")+SUMIFS('15k'!$N$7:$N$100,'15k'!$H$7:$H$100,$A224,'15k'!$I$7:$I$100,"")+SUMIFS('15l'!$N$7:$N$100,'15l'!$H$7:$H$100,$A224,'15l'!$I$7:$I$100,"")+SUMIFS('15m'!$N$7:$N$100,'15m'!$H$7:$H$100,$A224,'15m'!$I$7:$I$100,"")+SUMIFS('15n'!$N$7:$N$100,'15n'!$H$7:$H$100,$A224,'15n'!$I$7:$I$100,"")+SUMIFS('16'!$N$7:$N$100,'16'!$H$7:$H$100,$A224,'16'!$I$7:$I$100,"")+SUMIFS('16a'!$N$7:$N$100,'16a'!$H$7:$H$100,$A224,'16a'!$I$7:$I$100,"")+SUMIFS('17'!$N$7:$N$100,'17'!$H$7:$H$100,$A224,'17'!$I$7:$I$100,"")+SUMIFS('17a'!$N$7:$N$100,'17a'!$H$7:$H$100,$A224,'17a'!$I$7:$I$100,"")+SUMIFS('18'!$N$7:$N$100,'18'!$H$7:$H$100,$A224,'18'!$I$7:$I$100,"")+SUMIFS('18a'!$N$7:$N$100,'18a'!$H$7:$H$100,$A224,'18a'!$I$7:$I$100,"")
+SUMIFS('19'!$N$7:$N$100,'19'!$H$7:$H$100,$A224,'19'!$I$7:$I$100,"")+SUMIFS('20'!$N$7:$N$100,'20'!$H$7:$H$100,$A224,'20'!$I$7:$I$100,"")+SUMIFS('20a'!$N$7:$N$100,'20a'!$H$7:$H$100,$A224,'20a'!$I$7:$I$100,"")+SUMIFS('21'!$N$7:$N$100,'21'!$H$7:$H$100,$A224,'21'!$I$7:$I$100,"")+SUMIFS('22'!$N$7:$N$100,'22'!$H$7:$H$100,$A224,'22'!$I$7:$I$100,"")+SUMIFS('22a'!$N$7:$N$100,'22a'!$H$7:$H$100,$A224,'22a'!$I$7:$I$100,"")+SUMIFS('22b'!$N$7:$N$100,'22b'!$H$7:$H$100,$A224,'22b'!$I$7:$I$100,"")+SUMIFS('23'!$N$7:$N$100,'23'!$H$7:$H$100,$A224,'23'!$I$7:$I$100,"")+SUMIFS('24'!$N$7:$N$100,'24'!$H$7:$H$100,$A224,'24'!$I$7:$I$100,"")+SUMIFS('24a'!$N$7:$N$100,'24a'!$H$7:$H$100,$A224,'24a'!$I$7:$I$100,"")+SUMIFS('24b'!$N$7:$N$100,'24b'!$H$7:$H$100,$A224,'24b'!$I$7:$I$100,"")+SUMIFS('24c'!$N$7:$N$100,'24c'!$H$7:$H$100,$A224,'24c'!$I$7:$I$100,"")+SUMIFS('24d'!$N$7:$N$100,'24d'!$H$7:$H$100,$A224,'24d'!$I$7:$I$100,"")+SUMIFS('24e'!$N$7:$N$100,'24e'!$H$7:$H$100,$A224,'24e'!$I$7:$I$100,"")+SUMIFS('24f'!$N$7:$N$100,'24f'!$H$7:$H$100,$A224,'24f'!$I$7:$I$100,"")+SUMIFS('24g'!$N$7:$N$100,'24g'!$H$7:$H$100,$A224,'24g'!$I$7:$I$100,"")+SUMIFS('24h'!$N$7:$N$100,'24h'!$H$7:$H$100,$A224,'24h'!$I$7:$I$100,"")+SUMIFS('24i'!$N$7:$N$100,'24i'!$H$7:$H$100,$A224,'24i'!$I$7:$I$100,"")+SUMIFS('25'!$N$7:$N$100,'25'!$H$7:$H$100,$A224,'25'!$I$7:$I$100,"")+SUMIFS('26'!$N$7:$N$100,'26'!$H$7:$H$100,$A224,'26'!$I$7:$I$100,"")+SUMIFS('26a'!$N$7:$N$100,'26a'!$H$7:$H$100,$A224,'26a'!$I$7:$I$100,"")+SUMIFS('27'!$N$7:$N$100,'27'!$H$7:$H$100,$A224,'27'!$I$7:$I$100,"")+SUMIFS('27a'!$N$7:$N$100,'27a'!$H$7:$H$100,$A224,'27a'!$I$7:$I$100,"")+SUMIFS('28'!$N$7:$N$100,'28'!$H$7:$H$100,$A224,'28'!$I$7:$I$100,"")+SUMIFS('29'!$N$7:$N$100,'29'!$H$7:$H$100,$A224,'29'!$I$7:$I$100,"")</f>
        <v>0</v>
      </c>
      <c r="F224" s="1296">
        <f t="shared" si="16"/>
        <v>0</v>
      </c>
      <c r="G224" s="1295">
        <f>SUMIFS('12'!$J$7:$J$100,'12'!$H$7:$H$100,$A224,'12'!$I$7:$I$100,1)+SUMIFS('13'!$J$7:$J$100,'13'!$H$7:$H$100,$A224,'13'!$I$7:$I$100,1)+SUMIFS('14'!$J$7:$J$100,'14'!$H$7:$H$100,$A224,'14'!$I$7:$I$100,1)+SUMIFS('15'!$J$7:$J$100,'15'!$H$7:$H$100,$A224,'15'!$I$7:$I$100,1)+SUMIFS('15a'!$J$7:$J$100,'15a'!$H$7:$H$100,$A224,'15a'!$I$7:$I$100,1)+SUMIFS('15b'!$J$7:$J$100,'15b'!$H$7:$H$100,$A224,'15b'!$I$7:$I$100,1)+SUMIFS('15c'!$J$7:$J$100,'15c'!$H$7:$H$100,$A224,'15c'!$I$7:$I$100,1)+SUMIFS('15d'!$J$7:$J$100,'15d'!$H$7:$H$100,$A224,'15d'!$I$7:$I$100,1)+SUMIFS('15e'!$J$7:$J$100,'15e'!$H$7:$H$100,$A224,'15e'!$I$7:$I$100,1)+SUMIFS('15f'!$J$7:$J$100,'15f'!$H$7:$H$100,$A224,'15f'!$I$7:$I$100,1)+SUMIFS('15g'!$J$7:$J$100,'15g'!$H$7:$H$100,$A224,'15g'!$I$7:$I$100,1)+SUMIFS('15h'!$J$7:$J$100,'15h'!$H$7:$H$100,$A224,'15h'!$I$7:$I$100,1)+SUMIFS('15i'!$J$7:$J$100,'15i'!$H$7:$H$100,$A224,'15i'!$I$7:$I$100,1)+SUMIFS('15j'!$J$7:$J$100,'15j'!$H$7:$H$100,$A224,'15j'!$I$7:$I$100,1)+SUMIFS('15k'!$J$7:$J$100,'15k'!$H$7:$H$100,$A224,'15k'!$I$7:$I$100,1)+SUMIFS('15l'!$J$7:$J$100,'15l'!$H$7:$H$100,$A224,'15l'!$I$7:$I$100,1)+SUMIFS('15m'!$J$7:$J$100,'15m'!$H$7:$H$100,$A224,'15m'!$I$7:$I$100,1)+SUMIFS('15n'!$J$7:$J$100,'15n'!$H$7:$H$100,$A224,'15n'!$I$7:$I$100,1)+SUMIFS('16'!$J$7:$J$100,'16'!$H$7:$H$100,$A224,'16'!$I$7:$I$100,1)+SUMIFS('16a'!$J$7:$J$100,'16a'!$H$7:$H$100,$A224,'16a'!$I$7:$I$100,1)+SUMIFS('17'!$J$7:$J$100,'17'!$H$7:$H$100,$A224,'17'!$I$7:$I$100,1)+SUMIFS('17a'!$J$7:$J$100,'17a'!$H$7:$H$100,$A224,'17a'!$I$7:$I$100,1)+SUMIFS('18'!$J$7:$J$100,'18'!$H$7:$H$100,$A224,'18'!$I$7:$I$100,1)+SUMIFS('18a'!$J$7:$J$100,'18a'!$H$7:$H$100,$A224,'18a'!$I$7:$I$100,1)
+SUMIFS('19'!$J$7:$J$100,'19'!$H$7:$H$100,$A224,'19'!$I$7:$I$100,1)+SUMIFS('20'!$J$7:$J$100,'20'!$H$7:$H$100,$A224,'20'!$I$7:$I$100,1)+SUMIFS('20a'!$J$7:$J$100,'20a'!$H$7:$H$100,$A224,'20a'!$I$7:$I$100,1)+SUMIFS('21'!$J$7:$J$100,'21'!$H$7:$H$100,$A224,'21'!$I$7:$I$100,1)+SUMIFS('22'!$J$7:$J$100,'22'!$H$7:$H$100,$A224,'22'!$I$7:$I$100,1)+SUMIFS('22a'!$J$7:$J$100,'22a'!$H$7:$H$100,$A224,'22a'!$I$7:$I$100,1)+SUMIFS('22b'!$J$7:$J$100,'22b'!$H$7:$H$100,$A224,'22b'!$I$7:$I$100,1)+SUMIFS('23'!$J$7:$J$100,'23'!$H$7:$H$100,$A224,'23'!$I$7:$I$100,1)+SUMIFS('24'!$J$7:$J$100,'24'!$H$7:$H$100,$A224,'24'!$I$7:$I$100,1)+SUMIFS('24a'!$J$7:$J$100,'24a'!$H$7:$H$100,$A224,'24a'!$I$7:$I$100,1)+SUMIFS('24b'!$J$7:$J$100,'24b'!$H$7:$H$100,$A224,'24b'!$I$7:$I$100,1)+SUMIFS('24c'!$J$7:$J$100,'24c'!$H$7:$H$100,$A224,'24c'!$I$7:$I$100,1)+SUMIFS('24d'!$J$7:$J$100,'24d'!$H$7:$H$100,$A224,'24d'!$I$7:$I$100,1)+SUMIFS('24e'!$J$7:$J$100,'24e'!$H$7:$H$100,$A224,'24e'!$I$7:$I$100,1)+SUMIFS('24f'!$J$7:$J$100,'24f'!$H$7:$H$100,$A224,'24f'!$I$7:$I$100,1)+SUMIFS('24g'!$J$7:$J$100,'24g'!$H$7:$H$100,$A224,'24g'!$I$7:$I$100,1)+SUMIFS('24h'!$J$7:$J$100,'24h'!$H$7:$H$100,$A224,'24h'!$I$7:$I$100,1)+SUMIFS('24i'!$J$7:$J$100,'24i'!$H$7:$H$100,$A224,'24i'!$I$7:$I$100,1)+SUMIFS('25'!$J$7:$J$100,'25'!$H$7:$H$100,$A224,'25'!$I$7:$I$100,1)+SUMIFS('26'!$J$7:$J$100,'26'!$H$7:$H$100,$A224,'26'!$I$7:$I$100,1)+SUMIFS('26a'!$J$7:$J$100,'26a'!$H$7:$H$100,$A224,'26a'!$I$7:$I$100,1)+SUMIFS('27'!$J$7:$J$100,'27'!$H$7:$H$100,$A224,'27'!$I$7:$I$100,1)+SUMIFS('27a'!$J$7:$J$100,'27a'!$H$7:$H$100,$A224,'27a'!$I$7:$I$100,1)+SUMIFS('28'!$J$7:$J$100,'28'!$H$7:$H$100,$A224,'28'!$I$7:$I$100,1)+SUMIFS('29'!$J$7:$J$100,'29'!$H$7:$H$100,$A224,'29'!$I$7:$I$100,1)</f>
        <v>0</v>
      </c>
      <c r="H224" s="1315">
        <f>SUMIFS('12'!$J$7:$J$100,'12'!$H$7:$H$100,$A224,'12'!$I$7:$I$100,2)+SUMIFS('13'!$J$7:$J$100,'13'!$H$7:$H$100,$A224,'13'!$I$7:$I$100,2)+SUMIFS('14'!$J$7:$J$100,'14'!$H$7:$H$100,$A224,'14'!$I$7:$I$100,2)+SUMIFS('15'!$J$7:$J$100,'15'!$H$7:$H$100,$A224,'15'!$I$7:$I$100,2)+SUMIFS('15a'!$J$7:$J$100,'15a'!$H$7:$H$100,$A224,'15a'!$I$7:$I$100,2)+SUMIFS('15b'!$J$7:$J$100,'15b'!$H$7:$H$100,$A224,'15b'!$I$7:$I$100,2)+SUMIFS('15c'!$J$7:$J$100,'15c'!$H$7:$H$100,$A224,'15c'!$I$7:$I$100,2)+SUMIFS('15d'!$J$7:$J$100,'15d'!$H$7:$H$100,$A224,'15d'!$I$7:$I$100,2)+SUMIFS('15e'!$J$7:$J$100,'15e'!$H$7:$H$100,$A224,'15e'!$I$7:$I$100,2)+SUMIFS('15f'!$J$7:$J$100,'15f'!$H$7:$H$100,$A224,'15f'!$I$7:$I$100,2)+SUMIFS('15g'!$J$7:$J$100,'15g'!$H$7:$H$100,$A224,'15g'!$I$7:$I$100,2)+SUMIFS('15h'!$J$7:$J$100,'15h'!$H$7:$H$100,$A224,'15h'!$I$7:$I$100,2)+SUMIFS('15i'!$J$7:$J$100,'15i'!$H$7:$H$100,$A224,'15i'!$I$7:$I$100,2)+SUMIFS('15j'!$J$7:$J$100,'15j'!$H$7:$H$100,$A224,'15j'!$I$7:$I$100,2)+SUMIFS('15k'!$J$7:$J$100,'15k'!$H$7:$H$100,$A224,'15k'!$I$7:$I$100,2)+SUMIFS('15l'!$J$7:$J$100,'15l'!$H$7:$H$100,$A224,'15l'!$I$7:$I$100,2)+SUMIFS('15m'!$J$7:$J$100,'15m'!$H$7:$H$100,$A224,'15m'!$I$7:$I$100,2)+SUMIFS('15n'!$J$7:$J$100,'15n'!$H$7:$H$100,$A224,'15n'!$I$7:$I$100,2)+SUMIFS('16'!$J$7:$J$100,'16'!$H$7:$H$100,$A224,'16'!$I$7:$I$100,2)+SUMIFS('16a'!$J$7:$J$100,'16a'!$H$7:$H$100,$A224,'16a'!$I$7:$I$100,2)+SUMIFS('17'!$J$7:$J$100,'17'!$H$7:$H$100,$A224,'17'!$I$7:$I$100,2)+SUMIFS('17a'!$J$7:$J$100,'17a'!$H$7:$H$100,$A224,'17a'!$I$7:$I$100,2)+SUMIFS('18'!$J$7:$J$100,'18'!$H$7:$H$100,$A224,'18'!$I$7:$I$100,2)+SUMIFS('18a'!$J$7:$J$100,'18a'!$H$7:$H$100,$A224,'18a'!$I$7:$I$100,2)
+SUMIFS('19'!$J$7:$J$100,'19'!$H$7:$H$100,$A224,'19'!$I$7:$I$100,2)+SUMIFS('20'!$J$7:$J$100,'20'!$H$7:$H$100,$A224,'20'!$I$7:$I$100,2)+SUMIFS('20a'!$J$7:$J$100,'20a'!$H$7:$H$100,$A224,'20a'!$I$7:$I$100,2)+SUMIFS('21'!$J$7:$J$100,'21'!$H$7:$H$100,$A224,'21'!$I$7:$I$100,2)+SUMIFS('22'!$J$7:$J$100,'22'!$H$7:$H$100,$A224,'22'!$I$7:$I$100,2)+SUMIFS('22a'!$J$7:$J$100,'22a'!$H$7:$H$100,$A224,'22a'!$I$7:$I$100,2)+SUMIFS('22b'!$J$7:$J$100,'22b'!$H$7:$H$100,$A224,'22b'!$I$7:$I$100,2)+SUMIFS('23'!$J$7:$J$100,'23'!$H$7:$H$100,$A224,'23'!$I$7:$I$100,2)+SUMIFS('24'!$J$7:$J$100,'24'!$H$7:$H$100,$A224,'24'!$I$7:$I$100,2)+SUMIFS('24a'!$J$7:$J$100,'24a'!$H$7:$H$100,$A224,'24a'!$I$7:$I$100,2)+SUMIFS('24b'!$J$7:$J$100,'24b'!$H$7:$H$100,$A224,'24b'!$I$7:$I$100,2)+SUMIFS('24c'!$J$7:$J$100,'24c'!$H$7:$H$100,$A224,'24c'!$I$7:$I$100,2)+SUMIFS('24d'!$J$7:$J$100,'24d'!$H$7:$H$100,$A224,'24d'!$I$7:$I$100,2)+SUMIFS('24e'!$J$7:$J$100,'24e'!$H$7:$H$100,$A224,'24e'!$I$7:$I$100,2)+SUMIFS('24f'!$J$7:$J$100,'24f'!$H$7:$H$100,$A224,'24f'!$I$7:$I$100,2)+SUMIFS('24g'!$J$7:$J$100,'24g'!$H$7:$H$100,$A224,'24g'!$I$7:$I$100,2)+SUMIFS('24h'!$J$7:$J$100,'24h'!$H$7:$H$100,$A224,'24h'!$I$7:$I$100,2)+SUMIFS('24i'!$J$7:$J$100,'24i'!$H$7:$H$100,$A224,'24i'!$I$7:$I$100,2)+SUMIFS('25'!$J$7:$J$100,'25'!$H$7:$H$100,$A224,'25'!$I$7:$I$100,2)+SUMIFS('26'!$J$7:$J$100,'26'!$H$7:$H$100,$A224,'26'!$I$7:$I$100,2)+SUMIFS('26a'!$J$7:$J$100,'26a'!$H$7:$H$100,$A224,'26a'!$I$7:$I$100,2)+SUMIFS('27'!$J$7:$J$100,'27'!$H$7:$H$100,$A224,'27'!$I$7:$I$100,2)+SUMIFS('27a'!$J$7:$J$100,'27a'!$H$7:$H$100,$A224,'27a'!$I$7:$I$100,2)+SUMIFS('28'!$J$7:$J$100,'28'!$H$7:$H$100,$A224,'28'!$I$7:$I$100,2)+SUMIFS('29'!$J$7:$J$100,'29'!$H$7:$H$100,$A224,'29'!$I$7:$I$100,2)</f>
        <v>0</v>
      </c>
      <c r="I224" s="1315">
        <f>SUMIFS('12'!$J$7:$J$100,'12'!$H$7:$H$100,$A224,'12'!$I$7:$I$100,"")+SUMIFS('13'!$J$7:$J$100,'13'!$H$7:$H$100,$A224,'13'!$I$7:$I$100,"")+SUMIFS('14'!$J$7:$J$100,'14'!$H$7:$H$100,$A224,'14'!$I$7:$I$100,"")+SUMIFS('15'!$J$7:$J$100,'15'!$H$7:$H$100,$A224,'15'!$I$7:$I$100,"")+SUMIFS('15a'!$J$7:$J$100,'15a'!$H$7:$H$100,$A224,'15a'!$I$7:$I$100,"")+SUMIFS('15b'!$J$7:$J$100,'15b'!$H$7:$H$100,$A224,'15b'!$I$7:$I$100,"")+SUMIFS('15c'!$J$7:$J$100,'15c'!$H$7:$H$100,$A224,'15c'!$I$7:$I$100,"")+SUMIFS('15d'!$J$7:$J$100,'15d'!$H$7:$H$100,$A224,'15d'!$I$7:$I$100,"")+SUMIFS('15e'!$J$7:$J$100,'15e'!$H$7:$H$100,$A224,'15e'!$I$7:$I$100,"")+SUMIFS('15f'!$J$7:$J$100,'15f'!$H$7:$H$100,$A224,'15f'!$I$7:$I$100,"")+SUMIFS('15g'!$J$7:$J$100,'15g'!$H$7:$H$100,$A224,'15g'!$I$7:$I$100,"")+SUMIFS('15h'!$J$7:$J$100,'15h'!$H$7:$H$100,$A224,'15h'!$I$7:$I$100,"")+SUMIFS('15i'!$J$7:$J$100,'15i'!$H$7:$H$100,$A224,'15i'!$I$7:$I$100,"")+SUMIFS('15j'!$J$7:$J$100,'15j'!$H$7:$H$100,$A224,'15j'!$I$7:$I$100,"")+SUMIFS('15k'!$J$7:$J$100,'15k'!$H$7:$H$100,$A224,'15k'!$I$7:$I$100,"")+SUMIFS('15l'!$J$7:$J$100,'15l'!$H$7:$H$100,$A224,'15l'!$I$7:$I$100,"")+SUMIFS('15m'!$J$7:$J$100,'15m'!$H$7:$H$100,$A224,'15m'!$I$7:$I$100,"")+SUMIFS('15n'!$J$7:$J$100,'15n'!$H$7:$H$100,$A224,'15n'!$I$7:$I$100,"")+SUMIFS('16'!$J$7:$J$100,'16'!$H$7:$H$100,$A224,'16'!$I$7:$I$100,"")+SUMIFS('16a'!$J$7:$J$100,'16a'!$H$7:$H$100,$A224,'16a'!$I$7:$I$100,"")+SUMIFS('17'!$J$7:$J$100,'17'!$H$7:$H$100,$A224,'17'!$I$7:$I$100,"")+SUMIFS('17a'!$J$7:$J$100,'17a'!$H$7:$H$100,$A224,'17a'!$I$7:$I$100,"")+SUMIFS('18'!$J$7:$J$100,'18'!$H$7:$H$100,$A224,'18'!$I$7:$I$100,"")+SUMIFS('18a'!$J$7:$J$100,'18a'!$H$7:$H$100,$A224,'18a'!$I$7:$I$100,"")
+SUMIFS('19'!$J$7:$J$100,'19'!$H$7:$H$100,$A224,'19'!$I$7:$I$100,"")+SUMIFS('20'!$J$7:$J$100,'20'!$H$7:$H$100,$A224,'20'!$I$7:$I$100,"")+SUMIFS('20a'!$J$7:$J$100,'20a'!$H$7:$H$100,$A224,'20a'!$I$7:$I$100,"")+SUMIFS('21'!$J$7:$J$100,'21'!$H$7:$H$100,$A224,'21'!$I$7:$I$100,"")+SUMIFS('22'!$J$7:$J$100,'22'!$H$7:$H$100,$A224,'22'!$I$7:$I$100,"")+SUMIFS('22a'!$J$7:$J$100,'22a'!$H$7:$H$100,$A224,'22a'!$I$7:$I$100,"")+SUMIFS('22b'!$J$7:$J$100,'22b'!$H$7:$H$100,$A224,'22b'!$I$7:$I$100,"")+SUMIFS('23'!$J$7:$J$100,'23'!$H$7:$H$100,$A224,'23'!$I$7:$I$100,"")+SUMIFS('24'!$J$7:$J$100,'24'!$H$7:$H$100,$A224,'24'!$I$7:$I$100,"")+SUMIFS('24a'!$J$7:$J$100,'24a'!$H$7:$H$100,$A224,'24a'!$I$7:$I$100,"")+SUMIFS('24b'!$J$7:$J$100,'24b'!$H$7:$H$100,$A224,'24b'!$I$7:$I$100,"")+SUMIFS('24c'!$J$7:$J$100,'24c'!$H$7:$H$100,$A224,'24c'!$I$7:$I$100,"")+SUMIFS('24d'!$J$7:$J$100,'24d'!$H$7:$H$100,$A224,'24d'!$I$7:$I$100,"")+SUMIFS('24e'!$J$7:$J$100,'24e'!$H$7:$H$100,$A224,'24e'!$I$7:$I$100,"")+SUMIFS('24f'!$J$7:$J$100,'24f'!$H$7:$H$100,$A224,'24f'!$I$7:$I$100,"")+SUMIFS('24g'!$J$7:$J$100,'24g'!$H$7:$H$100,$A224,'24g'!$I$7:$I$100,"")+SUMIFS('24h'!$J$7:$J$100,'24h'!$H$7:$H$100,$A224,'24h'!$I$7:$I$100,"")+SUMIFS('24i'!$J$7:$J$100,'24i'!$H$7:$H$100,$A224,'24i'!$I$7:$I$100,"")+SUMIFS('25'!$J$7:$J$100,'25'!$H$7:$H$100,$A224,'25'!$I$7:$I$100,"")+SUMIFS('26'!$J$7:$J$100,'26'!$H$7:$H$100,$A224,'26'!$I$7:$I$100,"")+SUMIFS('26a'!$J$7:$J$100,'26a'!$H$7:$H$100,$A224,'26a'!$I$7:$I$100,"")+SUMIFS('27'!$J$7:$J$100,'27'!$H$7:$H$100,$A224,'27'!$I$7:$I$100,"")+SUMIFS('27a'!$J$7:$J$100,'27a'!$H$7:$H$100,$A224,'27a'!$I$7:$I$100,"")+SUMIFS('28'!$J$7:$J$100,'28'!$H$7:$H$100,$A224,'28'!$I$7:$I$100,"")+SUMIFS('29'!$J$7:$J$100,'29'!$H$7:$H$100,$A224,'29'!$I$7:$I$100,"")</f>
        <v>0</v>
      </c>
      <c r="J224" s="1296">
        <f t="shared" si="17"/>
        <v>0</v>
      </c>
      <c r="K224"/>
      <c r="L224"/>
      <c r="M224"/>
      <c r="N224"/>
      <c r="O224"/>
      <c r="P224"/>
      <c r="Q224"/>
      <c r="R224"/>
      <c r="S224" s="1307">
        <f t="shared" si="14"/>
        <v>0</v>
      </c>
      <c r="T224"/>
    </row>
    <row r="225" spans="1:20" x14ac:dyDescent="0.2">
      <c r="A225" t="s">
        <v>5082</v>
      </c>
      <c r="B225" t="s">
        <v>5486</v>
      </c>
      <c r="C225" s="1295">
        <f>SUMIFS('12'!$N$7:$N$100,'12'!$H$7:$H$100,$A225,'12'!$I$7:$I$100,1)+SUMIFS('13'!$N$7:$N$100,'13'!$H$7:$H$100,$A225,'13'!$I$7:$I$100,1)+SUMIFS('14'!$N$7:$N$100,'14'!$H$7:$H$100,$A225,'14'!$I$7:$I$100,1)+SUMIFS('15'!$N$7:$N$100,'15'!$H$7:$H$100,$A225,'15'!$I$7:$I$100,1)+SUMIFS('15a'!$N$7:$N$100,'15a'!$H$7:$H$100,$A225,'15a'!$I$7:$I$100,1)+SUMIFS('15b'!$N$7:$N$100,'15b'!$H$7:$H$100,$A225,'15b'!$I$7:$I$100,1)+SUMIFS('15c'!$N$7:$N$100,'15c'!$H$7:$H$100,$A225,'15c'!$I$7:$I$100,1)+SUMIFS('15d'!$N$7:$N$100,'15d'!$H$7:$H$100,$A225,'15d'!$I$7:$I$100,1)+SUMIFS('15e'!$N$7:$N$100,'15e'!$H$7:$H$100,$A225,'15e'!$I$7:$I$100,1)+SUMIFS('15f'!$N$7:$N$100,'15f'!$H$7:$H$100,$A225,'15f'!$I$7:$I$100,1)+SUMIFS('15g'!$N$7:$N$100,'15g'!$H$7:$H$100,$A225,'15g'!$I$7:$I$100,1)+SUMIFS('15h'!$N$7:$N$100,'15h'!$H$7:$H$100,$A225,'15h'!$I$7:$I$100,1)+SUMIFS('15i'!$N$7:$N$100,'15i'!$H$7:$H$100,$A225,'15i'!$I$7:$I$100,1)+SUMIFS('15j'!$N$7:$N$100,'15j'!$H$7:$H$100,$A225,'15j'!$I$7:$I$100,1)+SUMIFS('15k'!$N$7:$N$100,'15k'!$H$7:$H$100,$A225,'15k'!$I$7:$I$100,1)+SUMIFS('15l'!$N$7:$N$100,'15l'!$H$7:$H$100,$A225,'15l'!$I$7:$I$100,1)+SUMIFS('15m'!$N$7:$N$100,'15m'!$H$7:$H$100,$A225,'15m'!$I$7:$I$100,1)+SUMIFS('15n'!$N$7:$N$100,'15n'!$H$7:$H$100,$A225,'15n'!$I$7:$I$100,1)+SUMIFS('16'!$N$7:$N$100,'16'!$H$7:$H$100,$A225,'16'!$I$7:$I$100,1)+SUMIFS('16a'!$N$7:$N$100,'16a'!$H$7:$H$100,$A225,'16a'!$I$7:$I$100,1)+SUMIFS('17'!$N$7:$N$100,'17'!$H$7:$H$100,$A225,'17'!$I$7:$I$100,1)+SUMIFS('17a'!$N$7:$N$100,'17a'!$H$7:$H$100,$A225,'17a'!$I$7:$I$100,1)+SUMIFS('18'!$N$7:$N$100,'18'!$H$7:$H$100,$A225,'18'!$I$7:$I$100,1)+SUMIFS('18a'!$N$7:$N$100,'18a'!$H$7:$H$100,$A225,'18a'!$I$7:$I$100,1)
+SUMIFS('19'!$N$7:$N$100,'19'!$H$7:$H$100,$A225,'19'!$I$7:$I$100,1)+SUMIFS('20'!$N$7:$N$100,'20'!$H$7:$H$100,$A225,'20'!$I$7:$I$100,1)+SUMIFS('20a'!$N$7:$N$100,'20a'!$H$7:$H$100,$A225,'20a'!$I$7:$I$100,1)+SUMIFS('21'!$N$7:$N$100,'21'!$H$7:$H$100,$A225,'21'!$I$7:$I$100,1)+SUMIFS('22'!$N$7:$N$100,'22'!$H$7:$H$100,$A225,'22'!$I$7:$I$100,1)+SUMIFS('22a'!$N$7:$N$100,'22a'!$H$7:$H$100,$A225,'22a'!$I$7:$I$100,1)+SUMIFS('22b'!$N$7:$N$100,'22b'!$H$7:$H$100,$A225,'22b'!$I$7:$I$100,1)+SUMIFS('23'!$N$7:$N$100,'23'!$H$7:$H$100,$A225,'23'!$I$7:$I$100,1)+SUMIFS('24'!$N$7:$N$100,'24'!$H$7:$H$100,$A225,'24'!$I$7:$I$100,1)+SUMIFS('24a'!$N$7:$N$100,'24a'!$H$7:$H$100,$A225,'24a'!$I$7:$I$100,1)+SUMIFS('24b'!$N$7:$N$100,'24b'!$H$7:$H$100,$A225,'24b'!$I$7:$I$100,1)+SUMIFS('24c'!$N$7:$N$100,'24c'!$H$7:$H$100,$A225,'24c'!$I$7:$I$100,1)+SUMIFS('24d'!$N$7:$N$100,'24d'!$H$7:$H$100,$A225,'24d'!$I$7:$I$100,1)+SUMIFS('24e'!$N$7:$N$100,'24e'!$H$7:$H$100,$A225,'24e'!$I$7:$I$100,1)+SUMIFS('24f'!$N$7:$N$100,'24f'!$H$7:$H$100,$A225,'24f'!$I$7:$I$100,1)+SUMIFS('24g'!$N$7:$N$100,'24g'!$H$7:$H$100,$A225,'24g'!$I$7:$I$100,1)+SUMIFS('24h'!$N$7:$N$100,'24h'!$H$7:$H$100,$A225,'24h'!$I$7:$I$100,1)+SUMIFS('24i'!$N$7:$N$100,'24i'!$H$7:$H$100,$A225,'24i'!$I$7:$I$100,1)+SUMIFS('25'!$N$7:$N$100,'25'!$H$7:$H$100,$A225,'25'!$I$7:$I$100,1)+SUMIFS('26'!$N$7:$N$100,'26'!$H$7:$H$100,$A225,'26'!$I$7:$I$100,1)+SUMIFS('26a'!$N$7:$N$100,'26a'!$H$7:$H$100,$A225,'26a'!$I$7:$I$100,1)+SUMIFS('27'!$N$7:$N$100,'27'!$H$7:$H$100,$A225,'27'!$I$7:$I$100,1)+SUMIFS('27a'!$N$7:$N$100,'27a'!$H$7:$H$100,$A225,'27a'!$I$7:$I$100,1)+SUMIFS('28'!$N$7:$N$100,'28'!$H$7:$H$100,$A225,'28'!$I$7:$I$100,1)+SUMIFS('29'!$N$7:$N$100,'29'!$H$7:$H$100,$A225,'29'!$I$7:$I$100,1)</f>
        <v>0</v>
      </c>
      <c r="D225" s="1315">
        <f>SUMIFS('12'!$N$7:$N$100,'12'!$H$7:$H$100,$A225,'12'!$I$7:$I$100,2)+SUMIFS('13'!$N$7:$N$100,'13'!$H$7:$H$100,$A225,'13'!$I$7:$I$100,2)+SUMIFS('14'!$N$7:$N$100,'14'!$H$7:$H$100,$A225,'14'!$I$7:$I$100,2)+SUMIFS('15'!$N$7:$N$100,'15'!$H$7:$H$100,$A225,'15'!$I$7:$I$100,2)+SUMIFS('15a'!$N$7:$N$100,'15a'!$H$7:$H$100,$A225,'15a'!$I$7:$I$100,2)+SUMIFS('15b'!$N$7:$N$100,'15b'!$H$7:$H$100,$A225,'15b'!$I$7:$I$100,2)+SUMIFS('15c'!$N$7:$N$100,'15c'!$H$7:$H$100,$A225,'15c'!$I$7:$I$100,2)+SUMIFS('15d'!$N$7:$N$100,'15d'!$H$7:$H$100,$A225,'15d'!$I$7:$I$100,2)+SUMIFS('15e'!$N$7:$N$100,'15e'!$H$7:$H$100,$A225,'15e'!$I$7:$I$100,2)+SUMIFS('15f'!$N$7:$N$100,'15f'!$H$7:$H$100,$A225,'15f'!$I$7:$I$100,2)+SUMIFS('15g'!$N$7:$N$100,'15g'!$H$7:$H$100,$A225,'15g'!$I$7:$I$100,2)+SUMIFS('15h'!$N$7:$N$100,'15h'!$H$7:$H$100,$A225,'15h'!$I$7:$I$100,2)+SUMIFS('15i'!$N$7:$N$100,'15i'!$H$7:$H$100,$A225,'15i'!$I$7:$I$100,2)+SUMIFS('15j'!$N$7:$N$100,'15j'!$H$7:$H$100,$A225,'15j'!$I$7:$I$100,2)+SUMIFS('15k'!$N$7:$N$100,'15k'!$H$7:$H$100,$A225,'15k'!$I$7:$I$100,2)+SUMIFS('15l'!$N$7:$N$100,'15l'!$H$7:$H$100,$A225,'15l'!$I$7:$I$100,2)+SUMIFS('15m'!$N$7:$N$100,'15m'!$H$7:$H$100,$A225,'15m'!$I$7:$I$100,2)+SUMIFS('15n'!$N$7:$N$100,'15n'!$H$7:$H$100,$A225,'15n'!$I$7:$I$100,2)+SUMIFS('16'!$N$7:$N$100,'16'!$H$7:$H$100,$A225,'16'!$I$7:$I$100,2)+SUMIFS('16a'!$N$7:$N$100,'16a'!$H$7:$H$100,$A225,'16a'!$I$7:$I$100,2)+SUMIFS('17'!$N$7:$N$100,'17'!$H$7:$H$100,$A225,'17'!$I$7:$I$100,2)+SUMIFS('17a'!$N$7:$N$100,'17a'!$H$7:$H$100,$A225,'17a'!$I$7:$I$100,2)+SUMIFS('18'!$N$7:$N$100,'18'!$H$7:$H$100,$A225,'18'!$I$7:$I$100,2)+SUMIFS('18a'!$N$7:$N$100,'18a'!$H$7:$H$100,$A225,'18a'!$I$7:$I$100,2)
+SUMIFS('19'!$N$7:$N$100,'19'!$H$7:$H$100,$A225,'19'!$I$7:$I$100,2)+SUMIFS('20'!$N$7:$N$100,'20'!$H$7:$H$100,$A225,'20'!$I$7:$I$100,2)+SUMIFS('20a'!$N$7:$N$100,'20a'!$H$7:$H$100,$A225,'20a'!$I$7:$I$100,2)+SUMIFS('21'!$N$7:$N$100,'21'!$H$7:$H$100,$A225,'21'!$I$7:$I$100,2)+SUMIFS('22'!$N$7:$N$100,'22'!$H$7:$H$100,$A225,'22'!$I$7:$I$100,2)+SUMIFS('22a'!$N$7:$N$100,'22a'!$H$7:$H$100,$A225,'22a'!$I$7:$I$100,2)+SUMIFS('22b'!$N$7:$N$100,'22b'!$H$7:$H$100,$A225,'22b'!$I$7:$I$100,2)+SUMIFS('23'!$N$7:$N$100,'23'!$H$7:$H$100,$A225,'23'!$I$7:$I$100,2)+SUMIFS('24'!$N$7:$N$100,'24'!$H$7:$H$100,$A225,'24'!$I$7:$I$100,2)+SUMIFS('24a'!$N$7:$N$100,'24a'!$H$7:$H$100,$A225,'24a'!$I$7:$I$100,2)+SUMIFS('24b'!$N$7:$N$100,'24b'!$H$7:$H$100,$A225,'24b'!$I$7:$I$100,2)+SUMIFS('24c'!$N$7:$N$100,'24c'!$H$7:$H$100,$A225,'24c'!$I$7:$I$100,2)+SUMIFS('24d'!$N$7:$N$100,'24d'!$H$7:$H$100,$A225,'24d'!$I$7:$I$100,2)+SUMIFS('24e'!$N$7:$N$100,'24e'!$H$7:$H$100,$A225,'24e'!$I$7:$I$100,2)+SUMIFS('24f'!$N$7:$N$100,'24f'!$H$7:$H$100,$A225,'24f'!$I$7:$I$100,2)+SUMIFS('24g'!$N$7:$N$100,'24g'!$H$7:$H$100,$A225,'24g'!$I$7:$I$100,2)+SUMIFS('24h'!$N$7:$N$100,'24h'!$H$7:$H$100,$A225,'24h'!$I$7:$I$100,2)+SUMIFS('24i'!$N$7:$N$100,'24i'!$H$7:$H$100,$A225,'24i'!$I$7:$I$100,2)+SUMIFS('25'!$N$7:$N$100,'25'!$H$7:$H$100,$A225,'25'!$I$7:$I$100,2)+SUMIFS('26'!$N$7:$N$100,'26'!$H$7:$H$100,$A225,'26'!$I$7:$I$100,2)+SUMIFS('26a'!$N$7:$N$100,'26a'!$H$7:$H$100,$A225,'26a'!$I$7:$I$100,2)+SUMIFS('27'!$N$7:$N$100,'27'!$H$7:$H$100,$A225,'27'!$I$7:$I$100,2)+SUMIFS('27a'!$N$7:$N$100,'27a'!$H$7:$H$100,$A225,'27a'!$I$7:$I$100,2)+SUMIFS('28'!$N$7:$N$100,'28'!$H$7:$H$100,$A225,'28'!$I$7:$I$100,2)+SUMIFS('29'!$N$7:$N$100,'29'!$H$7:$H$100,$A225,'29'!$I$7:$I$100,2)</f>
        <v>0</v>
      </c>
      <c r="E225" s="1315">
        <f>SUMIFS('12'!$N$7:$N$100,'12'!$H$7:$H$100,$A225,'12'!$I$7:$I$100,"")+SUMIFS('13'!$N$7:$N$100,'13'!$H$7:$H$100,$A225,'13'!$I$7:$I$100,"")+SUMIFS('14'!$N$7:$N$100,'14'!$H$7:$H$100,$A225,'14'!$I$7:$I$100,"")+SUMIFS('15'!$N$7:$N$100,'15'!$H$7:$H$100,$A225,'15'!$I$7:$I$100,"")+SUMIFS('15a'!$N$7:$N$100,'15a'!$H$7:$H$100,$A225,'15a'!$I$7:$I$100,"")+SUMIFS('15b'!$N$7:$N$100,'15b'!$H$7:$H$100,$A225,'15b'!$I$7:$I$100,"")+SUMIFS('15c'!$N$7:$N$100,'15c'!$H$7:$H$100,$A225,'15c'!$I$7:$I$100,"")+SUMIFS('15d'!$N$7:$N$100,'15d'!$H$7:$H$100,$A225,'15d'!$I$7:$I$100,"")+SUMIFS('15e'!$N$7:$N$100,'15e'!$H$7:$H$100,$A225,'15e'!$I$7:$I$100,"")+SUMIFS('15f'!$N$7:$N$100,'15f'!$H$7:$H$100,$A225,'15f'!$I$7:$I$100,"")+SUMIFS('15g'!$N$7:$N$100,'15g'!$H$7:$H$100,$A225,'15g'!$I$7:$I$100,"")+SUMIFS('15h'!$N$7:$N$100,'15h'!$H$7:$H$100,$A225,'15h'!$I$7:$I$100,"")+SUMIFS('15i'!$N$7:$N$100,'15i'!$H$7:$H$100,$A225,'15i'!$I$7:$I$100,"")+SUMIFS('15j'!$N$7:$N$100,'15j'!$H$7:$H$100,$A225,'15j'!$I$7:$I$100,"")+SUMIFS('15k'!$N$7:$N$100,'15k'!$H$7:$H$100,$A225,'15k'!$I$7:$I$100,"")+SUMIFS('15l'!$N$7:$N$100,'15l'!$H$7:$H$100,$A225,'15l'!$I$7:$I$100,"")+SUMIFS('15m'!$N$7:$N$100,'15m'!$H$7:$H$100,$A225,'15m'!$I$7:$I$100,"")+SUMIFS('15n'!$N$7:$N$100,'15n'!$H$7:$H$100,$A225,'15n'!$I$7:$I$100,"")+SUMIFS('16'!$N$7:$N$100,'16'!$H$7:$H$100,$A225,'16'!$I$7:$I$100,"")+SUMIFS('16a'!$N$7:$N$100,'16a'!$H$7:$H$100,$A225,'16a'!$I$7:$I$100,"")+SUMIFS('17'!$N$7:$N$100,'17'!$H$7:$H$100,$A225,'17'!$I$7:$I$100,"")+SUMIFS('17a'!$N$7:$N$100,'17a'!$H$7:$H$100,$A225,'17a'!$I$7:$I$100,"")+SUMIFS('18'!$N$7:$N$100,'18'!$H$7:$H$100,$A225,'18'!$I$7:$I$100,"")+SUMIFS('18a'!$N$7:$N$100,'18a'!$H$7:$H$100,$A225,'18a'!$I$7:$I$100,"")
+SUMIFS('19'!$N$7:$N$100,'19'!$H$7:$H$100,$A225,'19'!$I$7:$I$100,"")+SUMIFS('20'!$N$7:$N$100,'20'!$H$7:$H$100,$A225,'20'!$I$7:$I$100,"")+SUMIFS('20a'!$N$7:$N$100,'20a'!$H$7:$H$100,$A225,'20a'!$I$7:$I$100,"")+SUMIFS('21'!$N$7:$N$100,'21'!$H$7:$H$100,$A225,'21'!$I$7:$I$100,"")+SUMIFS('22'!$N$7:$N$100,'22'!$H$7:$H$100,$A225,'22'!$I$7:$I$100,"")+SUMIFS('22a'!$N$7:$N$100,'22a'!$H$7:$H$100,$A225,'22a'!$I$7:$I$100,"")+SUMIFS('22b'!$N$7:$N$100,'22b'!$H$7:$H$100,$A225,'22b'!$I$7:$I$100,"")+SUMIFS('23'!$N$7:$N$100,'23'!$H$7:$H$100,$A225,'23'!$I$7:$I$100,"")+SUMIFS('24'!$N$7:$N$100,'24'!$H$7:$H$100,$A225,'24'!$I$7:$I$100,"")+SUMIFS('24a'!$N$7:$N$100,'24a'!$H$7:$H$100,$A225,'24a'!$I$7:$I$100,"")+SUMIFS('24b'!$N$7:$N$100,'24b'!$H$7:$H$100,$A225,'24b'!$I$7:$I$100,"")+SUMIFS('24c'!$N$7:$N$100,'24c'!$H$7:$H$100,$A225,'24c'!$I$7:$I$100,"")+SUMIFS('24d'!$N$7:$N$100,'24d'!$H$7:$H$100,$A225,'24d'!$I$7:$I$100,"")+SUMIFS('24e'!$N$7:$N$100,'24e'!$H$7:$H$100,$A225,'24e'!$I$7:$I$100,"")+SUMIFS('24f'!$N$7:$N$100,'24f'!$H$7:$H$100,$A225,'24f'!$I$7:$I$100,"")+SUMIFS('24g'!$N$7:$N$100,'24g'!$H$7:$H$100,$A225,'24g'!$I$7:$I$100,"")+SUMIFS('24h'!$N$7:$N$100,'24h'!$H$7:$H$100,$A225,'24h'!$I$7:$I$100,"")+SUMIFS('24i'!$N$7:$N$100,'24i'!$H$7:$H$100,$A225,'24i'!$I$7:$I$100,"")+SUMIFS('25'!$N$7:$N$100,'25'!$H$7:$H$100,$A225,'25'!$I$7:$I$100,"")+SUMIFS('26'!$N$7:$N$100,'26'!$H$7:$H$100,$A225,'26'!$I$7:$I$100,"")+SUMIFS('26a'!$N$7:$N$100,'26a'!$H$7:$H$100,$A225,'26a'!$I$7:$I$100,"")+SUMIFS('27'!$N$7:$N$100,'27'!$H$7:$H$100,$A225,'27'!$I$7:$I$100,"")+SUMIFS('27a'!$N$7:$N$100,'27a'!$H$7:$H$100,$A225,'27a'!$I$7:$I$100,"")+SUMIFS('28'!$N$7:$N$100,'28'!$H$7:$H$100,$A225,'28'!$I$7:$I$100,"")+SUMIFS('29'!$N$7:$N$100,'29'!$H$7:$H$100,$A225,'29'!$I$7:$I$100,"")</f>
        <v>0</v>
      </c>
      <c r="F225" s="1296">
        <f t="shared" si="16"/>
        <v>0</v>
      </c>
      <c r="G225" s="1295">
        <f>SUMIFS('12'!$J$7:$J$100,'12'!$H$7:$H$100,$A225,'12'!$I$7:$I$100,1)+SUMIFS('13'!$J$7:$J$100,'13'!$H$7:$H$100,$A225,'13'!$I$7:$I$100,1)+SUMIFS('14'!$J$7:$J$100,'14'!$H$7:$H$100,$A225,'14'!$I$7:$I$100,1)+SUMIFS('15'!$J$7:$J$100,'15'!$H$7:$H$100,$A225,'15'!$I$7:$I$100,1)+SUMIFS('15a'!$J$7:$J$100,'15a'!$H$7:$H$100,$A225,'15a'!$I$7:$I$100,1)+SUMIFS('15b'!$J$7:$J$100,'15b'!$H$7:$H$100,$A225,'15b'!$I$7:$I$100,1)+SUMIFS('15c'!$J$7:$J$100,'15c'!$H$7:$H$100,$A225,'15c'!$I$7:$I$100,1)+SUMIFS('15d'!$J$7:$J$100,'15d'!$H$7:$H$100,$A225,'15d'!$I$7:$I$100,1)+SUMIFS('15e'!$J$7:$J$100,'15e'!$H$7:$H$100,$A225,'15e'!$I$7:$I$100,1)+SUMIFS('15f'!$J$7:$J$100,'15f'!$H$7:$H$100,$A225,'15f'!$I$7:$I$100,1)+SUMIFS('15g'!$J$7:$J$100,'15g'!$H$7:$H$100,$A225,'15g'!$I$7:$I$100,1)+SUMIFS('15h'!$J$7:$J$100,'15h'!$H$7:$H$100,$A225,'15h'!$I$7:$I$100,1)+SUMIFS('15i'!$J$7:$J$100,'15i'!$H$7:$H$100,$A225,'15i'!$I$7:$I$100,1)+SUMIFS('15j'!$J$7:$J$100,'15j'!$H$7:$H$100,$A225,'15j'!$I$7:$I$100,1)+SUMIFS('15k'!$J$7:$J$100,'15k'!$H$7:$H$100,$A225,'15k'!$I$7:$I$100,1)+SUMIFS('15l'!$J$7:$J$100,'15l'!$H$7:$H$100,$A225,'15l'!$I$7:$I$100,1)+SUMIFS('15m'!$J$7:$J$100,'15m'!$H$7:$H$100,$A225,'15m'!$I$7:$I$100,1)+SUMIFS('15n'!$J$7:$J$100,'15n'!$H$7:$H$100,$A225,'15n'!$I$7:$I$100,1)+SUMIFS('16'!$J$7:$J$100,'16'!$H$7:$H$100,$A225,'16'!$I$7:$I$100,1)+SUMIFS('16a'!$J$7:$J$100,'16a'!$H$7:$H$100,$A225,'16a'!$I$7:$I$100,1)+SUMIFS('17'!$J$7:$J$100,'17'!$H$7:$H$100,$A225,'17'!$I$7:$I$100,1)+SUMIFS('17a'!$J$7:$J$100,'17a'!$H$7:$H$100,$A225,'17a'!$I$7:$I$100,1)+SUMIFS('18'!$J$7:$J$100,'18'!$H$7:$H$100,$A225,'18'!$I$7:$I$100,1)+SUMIFS('18a'!$J$7:$J$100,'18a'!$H$7:$H$100,$A225,'18a'!$I$7:$I$100,1)
+SUMIFS('19'!$J$7:$J$100,'19'!$H$7:$H$100,$A225,'19'!$I$7:$I$100,1)+SUMIFS('20'!$J$7:$J$100,'20'!$H$7:$H$100,$A225,'20'!$I$7:$I$100,1)+SUMIFS('20a'!$J$7:$J$100,'20a'!$H$7:$H$100,$A225,'20a'!$I$7:$I$100,1)+SUMIFS('21'!$J$7:$J$100,'21'!$H$7:$H$100,$A225,'21'!$I$7:$I$100,1)+SUMIFS('22'!$J$7:$J$100,'22'!$H$7:$H$100,$A225,'22'!$I$7:$I$100,1)+SUMIFS('22a'!$J$7:$J$100,'22a'!$H$7:$H$100,$A225,'22a'!$I$7:$I$100,1)+SUMIFS('22b'!$J$7:$J$100,'22b'!$H$7:$H$100,$A225,'22b'!$I$7:$I$100,1)+SUMIFS('23'!$J$7:$J$100,'23'!$H$7:$H$100,$A225,'23'!$I$7:$I$100,1)+SUMIFS('24'!$J$7:$J$100,'24'!$H$7:$H$100,$A225,'24'!$I$7:$I$100,1)+SUMIFS('24a'!$J$7:$J$100,'24a'!$H$7:$H$100,$A225,'24a'!$I$7:$I$100,1)+SUMIFS('24b'!$J$7:$J$100,'24b'!$H$7:$H$100,$A225,'24b'!$I$7:$I$100,1)+SUMIFS('24c'!$J$7:$J$100,'24c'!$H$7:$H$100,$A225,'24c'!$I$7:$I$100,1)+SUMIFS('24d'!$J$7:$J$100,'24d'!$H$7:$H$100,$A225,'24d'!$I$7:$I$100,1)+SUMIFS('24e'!$J$7:$J$100,'24e'!$H$7:$H$100,$A225,'24e'!$I$7:$I$100,1)+SUMIFS('24f'!$J$7:$J$100,'24f'!$H$7:$H$100,$A225,'24f'!$I$7:$I$100,1)+SUMIFS('24g'!$J$7:$J$100,'24g'!$H$7:$H$100,$A225,'24g'!$I$7:$I$100,1)+SUMIFS('24h'!$J$7:$J$100,'24h'!$H$7:$H$100,$A225,'24h'!$I$7:$I$100,1)+SUMIFS('24i'!$J$7:$J$100,'24i'!$H$7:$H$100,$A225,'24i'!$I$7:$I$100,1)+SUMIFS('25'!$J$7:$J$100,'25'!$H$7:$H$100,$A225,'25'!$I$7:$I$100,1)+SUMIFS('26'!$J$7:$J$100,'26'!$H$7:$H$100,$A225,'26'!$I$7:$I$100,1)+SUMIFS('26a'!$J$7:$J$100,'26a'!$H$7:$H$100,$A225,'26a'!$I$7:$I$100,1)+SUMIFS('27'!$J$7:$J$100,'27'!$H$7:$H$100,$A225,'27'!$I$7:$I$100,1)+SUMIFS('27a'!$J$7:$J$100,'27a'!$H$7:$H$100,$A225,'27a'!$I$7:$I$100,1)+SUMIFS('28'!$J$7:$J$100,'28'!$H$7:$H$100,$A225,'28'!$I$7:$I$100,1)+SUMIFS('29'!$J$7:$J$100,'29'!$H$7:$H$100,$A225,'29'!$I$7:$I$100,1)</f>
        <v>0</v>
      </c>
      <c r="H225" s="1315">
        <f>SUMIFS('12'!$J$7:$J$100,'12'!$H$7:$H$100,$A225,'12'!$I$7:$I$100,2)+SUMIFS('13'!$J$7:$J$100,'13'!$H$7:$H$100,$A225,'13'!$I$7:$I$100,2)+SUMIFS('14'!$J$7:$J$100,'14'!$H$7:$H$100,$A225,'14'!$I$7:$I$100,2)+SUMIFS('15'!$J$7:$J$100,'15'!$H$7:$H$100,$A225,'15'!$I$7:$I$100,2)+SUMIFS('15a'!$J$7:$J$100,'15a'!$H$7:$H$100,$A225,'15a'!$I$7:$I$100,2)+SUMIFS('15b'!$J$7:$J$100,'15b'!$H$7:$H$100,$A225,'15b'!$I$7:$I$100,2)+SUMIFS('15c'!$J$7:$J$100,'15c'!$H$7:$H$100,$A225,'15c'!$I$7:$I$100,2)+SUMIFS('15d'!$J$7:$J$100,'15d'!$H$7:$H$100,$A225,'15d'!$I$7:$I$100,2)+SUMIFS('15e'!$J$7:$J$100,'15e'!$H$7:$H$100,$A225,'15e'!$I$7:$I$100,2)+SUMIFS('15f'!$J$7:$J$100,'15f'!$H$7:$H$100,$A225,'15f'!$I$7:$I$100,2)+SUMIFS('15g'!$J$7:$J$100,'15g'!$H$7:$H$100,$A225,'15g'!$I$7:$I$100,2)+SUMIFS('15h'!$J$7:$J$100,'15h'!$H$7:$H$100,$A225,'15h'!$I$7:$I$100,2)+SUMIFS('15i'!$J$7:$J$100,'15i'!$H$7:$H$100,$A225,'15i'!$I$7:$I$100,2)+SUMIFS('15j'!$J$7:$J$100,'15j'!$H$7:$H$100,$A225,'15j'!$I$7:$I$100,2)+SUMIFS('15k'!$J$7:$J$100,'15k'!$H$7:$H$100,$A225,'15k'!$I$7:$I$100,2)+SUMIFS('15l'!$J$7:$J$100,'15l'!$H$7:$H$100,$A225,'15l'!$I$7:$I$100,2)+SUMIFS('15m'!$J$7:$J$100,'15m'!$H$7:$H$100,$A225,'15m'!$I$7:$I$100,2)+SUMIFS('15n'!$J$7:$J$100,'15n'!$H$7:$H$100,$A225,'15n'!$I$7:$I$100,2)+SUMIFS('16'!$J$7:$J$100,'16'!$H$7:$H$100,$A225,'16'!$I$7:$I$100,2)+SUMIFS('16a'!$J$7:$J$100,'16a'!$H$7:$H$100,$A225,'16a'!$I$7:$I$100,2)+SUMIFS('17'!$J$7:$J$100,'17'!$H$7:$H$100,$A225,'17'!$I$7:$I$100,2)+SUMIFS('17a'!$J$7:$J$100,'17a'!$H$7:$H$100,$A225,'17a'!$I$7:$I$100,2)+SUMIFS('18'!$J$7:$J$100,'18'!$H$7:$H$100,$A225,'18'!$I$7:$I$100,2)+SUMIFS('18a'!$J$7:$J$100,'18a'!$H$7:$H$100,$A225,'18a'!$I$7:$I$100,2)
+SUMIFS('19'!$J$7:$J$100,'19'!$H$7:$H$100,$A225,'19'!$I$7:$I$100,2)+SUMIFS('20'!$J$7:$J$100,'20'!$H$7:$H$100,$A225,'20'!$I$7:$I$100,2)+SUMIFS('20a'!$J$7:$J$100,'20a'!$H$7:$H$100,$A225,'20a'!$I$7:$I$100,2)+SUMIFS('21'!$J$7:$J$100,'21'!$H$7:$H$100,$A225,'21'!$I$7:$I$100,2)+SUMIFS('22'!$J$7:$J$100,'22'!$H$7:$H$100,$A225,'22'!$I$7:$I$100,2)+SUMIFS('22a'!$J$7:$J$100,'22a'!$H$7:$H$100,$A225,'22a'!$I$7:$I$100,2)+SUMIFS('22b'!$J$7:$J$100,'22b'!$H$7:$H$100,$A225,'22b'!$I$7:$I$100,2)+SUMIFS('23'!$J$7:$J$100,'23'!$H$7:$H$100,$A225,'23'!$I$7:$I$100,2)+SUMIFS('24'!$J$7:$J$100,'24'!$H$7:$H$100,$A225,'24'!$I$7:$I$100,2)+SUMIFS('24a'!$J$7:$J$100,'24a'!$H$7:$H$100,$A225,'24a'!$I$7:$I$100,2)+SUMIFS('24b'!$J$7:$J$100,'24b'!$H$7:$H$100,$A225,'24b'!$I$7:$I$100,2)+SUMIFS('24c'!$J$7:$J$100,'24c'!$H$7:$H$100,$A225,'24c'!$I$7:$I$100,2)+SUMIFS('24d'!$J$7:$J$100,'24d'!$H$7:$H$100,$A225,'24d'!$I$7:$I$100,2)+SUMIFS('24e'!$J$7:$J$100,'24e'!$H$7:$H$100,$A225,'24e'!$I$7:$I$100,2)+SUMIFS('24f'!$J$7:$J$100,'24f'!$H$7:$H$100,$A225,'24f'!$I$7:$I$100,2)+SUMIFS('24g'!$J$7:$J$100,'24g'!$H$7:$H$100,$A225,'24g'!$I$7:$I$100,2)+SUMIFS('24h'!$J$7:$J$100,'24h'!$H$7:$H$100,$A225,'24h'!$I$7:$I$100,2)+SUMIFS('24i'!$J$7:$J$100,'24i'!$H$7:$H$100,$A225,'24i'!$I$7:$I$100,2)+SUMIFS('25'!$J$7:$J$100,'25'!$H$7:$H$100,$A225,'25'!$I$7:$I$100,2)+SUMIFS('26'!$J$7:$J$100,'26'!$H$7:$H$100,$A225,'26'!$I$7:$I$100,2)+SUMIFS('26a'!$J$7:$J$100,'26a'!$H$7:$H$100,$A225,'26a'!$I$7:$I$100,2)+SUMIFS('27'!$J$7:$J$100,'27'!$H$7:$H$100,$A225,'27'!$I$7:$I$100,2)+SUMIFS('27a'!$J$7:$J$100,'27a'!$H$7:$H$100,$A225,'27a'!$I$7:$I$100,2)+SUMIFS('28'!$J$7:$J$100,'28'!$H$7:$H$100,$A225,'28'!$I$7:$I$100,2)+SUMIFS('29'!$J$7:$J$100,'29'!$H$7:$H$100,$A225,'29'!$I$7:$I$100,2)</f>
        <v>0</v>
      </c>
      <c r="I225" s="1315">
        <f>SUMIFS('12'!$J$7:$J$100,'12'!$H$7:$H$100,$A225,'12'!$I$7:$I$100,"")+SUMIFS('13'!$J$7:$J$100,'13'!$H$7:$H$100,$A225,'13'!$I$7:$I$100,"")+SUMIFS('14'!$J$7:$J$100,'14'!$H$7:$H$100,$A225,'14'!$I$7:$I$100,"")+SUMIFS('15'!$J$7:$J$100,'15'!$H$7:$H$100,$A225,'15'!$I$7:$I$100,"")+SUMIFS('15a'!$J$7:$J$100,'15a'!$H$7:$H$100,$A225,'15a'!$I$7:$I$100,"")+SUMIFS('15b'!$J$7:$J$100,'15b'!$H$7:$H$100,$A225,'15b'!$I$7:$I$100,"")+SUMIFS('15c'!$J$7:$J$100,'15c'!$H$7:$H$100,$A225,'15c'!$I$7:$I$100,"")+SUMIFS('15d'!$J$7:$J$100,'15d'!$H$7:$H$100,$A225,'15d'!$I$7:$I$100,"")+SUMIFS('15e'!$J$7:$J$100,'15e'!$H$7:$H$100,$A225,'15e'!$I$7:$I$100,"")+SUMIFS('15f'!$J$7:$J$100,'15f'!$H$7:$H$100,$A225,'15f'!$I$7:$I$100,"")+SUMIFS('15g'!$J$7:$J$100,'15g'!$H$7:$H$100,$A225,'15g'!$I$7:$I$100,"")+SUMIFS('15h'!$J$7:$J$100,'15h'!$H$7:$H$100,$A225,'15h'!$I$7:$I$100,"")+SUMIFS('15i'!$J$7:$J$100,'15i'!$H$7:$H$100,$A225,'15i'!$I$7:$I$100,"")+SUMIFS('15j'!$J$7:$J$100,'15j'!$H$7:$H$100,$A225,'15j'!$I$7:$I$100,"")+SUMIFS('15k'!$J$7:$J$100,'15k'!$H$7:$H$100,$A225,'15k'!$I$7:$I$100,"")+SUMIFS('15l'!$J$7:$J$100,'15l'!$H$7:$H$100,$A225,'15l'!$I$7:$I$100,"")+SUMIFS('15m'!$J$7:$J$100,'15m'!$H$7:$H$100,$A225,'15m'!$I$7:$I$100,"")+SUMIFS('15n'!$J$7:$J$100,'15n'!$H$7:$H$100,$A225,'15n'!$I$7:$I$100,"")+SUMIFS('16'!$J$7:$J$100,'16'!$H$7:$H$100,$A225,'16'!$I$7:$I$100,"")+SUMIFS('16a'!$J$7:$J$100,'16a'!$H$7:$H$100,$A225,'16a'!$I$7:$I$100,"")+SUMIFS('17'!$J$7:$J$100,'17'!$H$7:$H$100,$A225,'17'!$I$7:$I$100,"")+SUMIFS('17a'!$J$7:$J$100,'17a'!$H$7:$H$100,$A225,'17a'!$I$7:$I$100,"")+SUMIFS('18'!$J$7:$J$100,'18'!$H$7:$H$100,$A225,'18'!$I$7:$I$100,"")+SUMIFS('18a'!$J$7:$J$100,'18a'!$H$7:$H$100,$A225,'18a'!$I$7:$I$100,"")
+SUMIFS('19'!$J$7:$J$100,'19'!$H$7:$H$100,$A225,'19'!$I$7:$I$100,"")+SUMIFS('20'!$J$7:$J$100,'20'!$H$7:$H$100,$A225,'20'!$I$7:$I$100,"")+SUMIFS('20a'!$J$7:$J$100,'20a'!$H$7:$H$100,$A225,'20a'!$I$7:$I$100,"")+SUMIFS('21'!$J$7:$J$100,'21'!$H$7:$H$100,$A225,'21'!$I$7:$I$100,"")+SUMIFS('22'!$J$7:$J$100,'22'!$H$7:$H$100,$A225,'22'!$I$7:$I$100,"")+SUMIFS('22a'!$J$7:$J$100,'22a'!$H$7:$H$100,$A225,'22a'!$I$7:$I$100,"")+SUMIFS('22b'!$J$7:$J$100,'22b'!$H$7:$H$100,$A225,'22b'!$I$7:$I$100,"")+SUMIFS('23'!$J$7:$J$100,'23'!$H$7:$H$100,$A225,'23'!$I$7:$I$100,"")+SUMIFS('24'!$J$7:$J$100,'24'!$H$7:$H$100,$A225,'24'!$I$7:$I$100,"")+SUMIFS('24a'!$J$7:$J$100,'24a'!$H$7:$H$100,$A225,'24a'!$I$7:$I$100,"")+SUMIFS('24b'!$J$7:$J$100,'24b'!$H$7:$H$100,$A225,'24b'!$I$7:$I$100,"")+SUMIFS('24c'!$J$7:$J$100,'24c'!$H$7:$H$100,$A225,'24c'!$I$7:$I$100,"")+SUMIFS('24d'!$J$7:$J$100,'24d'!$H$7:$H$100,$A225,'24d'!$I$7:$I$100,"")+SUMIFS('24e'!$J$7:$J$100,'24e'!$H$7:$H$100,$A225,'24e'!$I$7:$I$100,"")+SUMIFS('24f'!$J$7:$J$100,'24f'!$H$7:$H$100,$A225,'24f'!$I$7:$I$100,"")+SUMIFS('24g'!$J$7:$J$100,'24g'!$H$7:$H$100,$A225,'24g'!$I$7:$I$100,"")+SUMIFS('24h'!$J$7:$J$100,'24h'!$H$7:$H$100,$A225,'24h'!$I$7:$I$100,"")+SUMIFS('24i'!$J$7:$J$100,'24i'!$H$7:$H$100,$A225,'24i'!$I$7:$I$100,"")+SUMIFS('25'!$J$7:$J$100,'25'!$H$7:$H$100,$A225,'25'!$I$7:$I$100,"")+SUMIFS('26'!$J$7:$J$100,'26'!$H$7:$H$100,$A225,'26'!$I$7:$I$100,"")+SUMIFS('26a'!$J$7:$J$100,'26a'!$H$7:$H$100,$A225,'26a'!$I$7:$I$100,"")+SUMIFS('27'!$J$7:$J$100,'27'!$H$7:$H$100,$A225,'27'!$I$7:$I$100,"")+SUMIFS('27a'!$J$7:$J$100,'27a'!$H$7:$H$100,$A225,'27a'!$I$7:$I$100,"")+SUMIFS('28'!$J$7:$J$100,'28'!$H$7:$H$100,$A225,'28'!$I$7:$I$100,"")+SUMIFS('29'!$J$7:$J$100,'29'!$H$7:$H$100,$A225,'29'!$I$7:$I$100,"")</f>
        <v>0</v>
      </c>
      <c r="J225" s="1296">
        <f t="shared" si="17"/>
        <v>0</v>
      </c>
      <c r="K225"/>
      <c r="L225"/>
      <c r="M225"/>
      <c r="N225"/>
      <c r="O225"/>
      <c r="P225"/>
      <c r="Q225"/>
      <c r="R225"/>
      <c r="S225" s="1307">
        <f t="shared" si="14"/>
        <v>0</v>
      </c>
      <c r="T225"/>
    </row>
    <row r="226" spans="1:20" x14ac:dyDescent="0.2">
      <c r="A226" t="s">
        <v>5153</v>
      </c>
      <c r="B226" t="s">
        <v>947</v>
      </c>
      <c r="C226" s="1295">
        <f>SUMIFS('12'!$N$7:$N$100,'12'!$H$7:$H$100,$A226,'12'!$I$7:$I$100,1)+SUMIFS('13'!$N$7:$N$100,'13'!$H$7:$H$100,$A226,'13'!$I$7:$I$100,1)+SUMIFS('14'!$N$7:$N$100,'14'!$H$7:$H$100,$A226,'14'!$I$7:$I$100,1)+SUMIFS('15'!$N$7:$N$100,'15'!$H$7:$H$100,$A226,'15'!$I$7:$I$100,1)+SUMIFS('15a'!$N$7:$N$100,'15a'!$H$7:$H$100,$A226,'15a'!$I$7:$I$100,1)+SUMIFS('15b'!$N$7:$N$100,'15b'!$H$7:$H$100,$A226,'15b'!$I$7:$I$100,1)+SUMIFS('15c'!$N$7:$N$100,'15c'!$H$7:$H$100,$A226,'15c'!$I$7:$I$100,1)+SUMIFS('15d'!$N$7:$N$100,'15d'!$H$7:$H$100,$A226,'15d'!$I$7:$I$100,1)+SUMIFS('15e'!$N$7:$N$100,'15e'!$H$7:$H$100,$A226,'15e'!$I$7:$I$100,1)+SUMIFS('15f'!$N$7:$N$100,'15f'!$H$7:$H$100,$A226,'15f'!$I$7:$I$100,1)+SUMIFS('15g'!$N$7:$N$100,'15g'!$H$7:$H$100,$A226,'15g'!$I$7:$I$100,1)+SUMIFS('15h'!$N$7:$N$100,'15h'!$H$7:$H$100,$A226,'15h'!$I$7:$I$100,1)+SUMIFS('15i'!$N$7:$N$100,'15i'!$H$7:$H$100,$A226,'15i'!$I$7:$I$100,1)+SUMIFS('15j'!$N$7:$N$100,'15j'!$H$7:$H$100,$A226,'15j'!$I$7:$I$100,1)+SUMIFS('15k'!$N$7:$N$100,'15k'!$H$7:$H$100,$A226,'15k'!$I$7:$I$100,1)+SUMIFS('15l'!$N$7:$N$100,'15l'!$H$7:$H$100,$A226,'15l'!$I$7:$I$100,1)+SUMIFS('15m'!$N$7:$N$100,'15m'!$H$7:$H$100,$A226,'15m'!$I$7:$I$100,1)+SUMIFS('15n'!$N$7:$N$100,'15n'!$H$7:$H$100,$A226,'15n'!$I$7:$I$100,1)+SUMIFS('16'!$N$7:$N$100,'16'!$H$7:$H$100,$A226,'16'!$I$7:$I$100,1)+SUMIFS('16a'!$N$7:$N$100,'16a'!$H$7:$H$100,$A226,'16a'!$I$7:$I$100,1)+SUMIFS('17'!$N$7:$N$100,'17'!$H$7:$H$100,$A226,'17'!$I$7:$I$100,1)+SUMIFS('17a'!$N$7:$N$100,'17a'!$H$7:$H$100,$A226,'17a'!$I$7:$I$100,1)+SUMIFS('18'!$N$7:$N$100,'18'!$H$7:$H$100,$A226,'18'!$I$7:$I$100,1)+SUMIFS('18a'!$N$7:$N$100,'18a'!$H$7:$H$100,$A226,'18a'!$I$7:$I$100,1)
+SUMIFS('19'!$N$7:$N$100,'19'!$H$7:$H$100,$A226,'19'!$I$7:$I$100,1)+SUMIFS('20'!$N$7:$N$100,'20'!$H$7:$H$100,$A226,'20'!$I$7:$I$100,1)+SUMIFS('20a'!$N$7:$N$100,'20a'!$H$7:$H$100,$A226,'20a'!$I$7:$I$100,1)+SUMIFS('21'!$N$7:$N$100,'21'!$H$7:$H$100,$A226,'21'!$I$7:$I$100,1)+SUMIFS('22'!$N$7:$N$100,'22'!$H$7:$H$100,$A226,'22'!$I$7:$I$100,1)+SUMIFS('22a'!$N$7:$N$100,'22a'!$H$7:$H$100,$A226,'22a'!$I$7:$I$100,1)+SUMIFS('22b'!$N$7:$N$100,'22b'!$H$7:$H$100,$A226,'22b'!$I$7:$I$100,1)+SUMIFS('23'!$N$7:$N$100,'23'!$H$7:$H$100,$A226,'23'!$I$7:$I$100,1)+SUMIFS('24'!$N$7:$N$100,'24'!$H$7:$H$100,$A226,'24'!$I$7:$I$100,1)+SUMIFS('24a'!$N$7:$N$100,'24a'!$H$7:$H$100,$A226,'24a'!$I$7:$I$100,1)+SUMIFS('24b'!$N$7:$N$100,'24b'!$H$7:$H$100,$A226,'24b'!$I$7:$I$100,1)+SUMIFS('24c'!$N$7:$N$100,'24c'!$H$7:$H$100,$A226,'24c'!$I$7:$I$100,1)+SUMIFS('24d'!$N$7:$N$100,'24d'!$H$7:$H$100,$A226,'24d'!$I$7:$I$100,1)+SUMIFS('24e'!$N$7:$N$100,'24e'!$H$7:$H$100,$A226,'24e'!$I$7:$I$100,1)+SUMIFS('24f'!$N$7:$N$100,'24f'!$H$7:$H$100,$A226,'24f'!$I$7:$I$100,1)+SUMIFS('24g'!$N$7:$N$100,'24g'!$H$7:$H$100,$A226,'24g'!$I$7:$I$100,1)+SUMIFS('24h'!$N$7:$N$100,'24h'!$H$7:$H$100,$A226,'24h'!$I$7:$I$100,1)+SUMIFS('24i'!$N$7:$N$100,'24i'!$H$7:$H$100,$A226,'24i'!$I$7:$I$100,1)+SUMIFS('25'!$N$7:$N$100,'25'!$H$7:$H$100,$A226,'25'!$I$7:$I$100,1)+SUMIFS('26'!$N$7:$N$100,'26'!$H$7:$H$100,$A226,'26'!$I$7:$I$100,1)+SUMIFS('26a'!$N$7:$N$100,'26a'!$H$7:$H$100,$A226,'26a'!$I$7:$I$100,1)+SUMIFS('27'!$N$7:$N$100,'27'!$H$7:$H$100,$A226,'27'!$I$7:$I$100,1)+SUMIFS('27a'!$N$7:$N$100,'27a'!$H$7:$H$100,$A226,'27a'!$I$7:$I$100,1)+SUMIFS('28'!$N$7:$N$100,'28'!$H$7:$H$100,$A226,'28'!$I$7:$I$100,1)+SUMIFS('29'!$N$7:$N$100,'29'!$H$7:$H$100,$A226,'29'!$I$7:$I$100,1)</f>
        <v>0</v>
      </c>
      <c r="D226" s="1315">
        <f>SUMIFS('12'!$N$7:$N$100,'12'!$H$7:$H$100,$A226,'12'!$I$7:$I$100,2)+SUMIFS('13'!$N$7:$N$100,'13'!$H$7:$H$100,$A226,'13'!$I$7:$I$100,2)+SUMIFS('14'!$N$7:$N$100,'14'!$H$7:$H$100,$A226,'14'!$I$7:$I$100,2)+SUMIFS('15'!$N$7:$N$100,'15'!$H$7:$H$100,$A226,'15'!$I$7:$I$100,2)+SUMIFS('15a'!$N$7:$N$100,'15a'!$H$7:$H$100,$A226,'15a'!$I$7:$I$100,2)+SUMIFS('15b'!$N$7:$N$100,'15b'!$H$7:$H$100,$A226,'15b'!$I$7:$I$100,2)+SUMIFS('15c'!$N$7:$N$100,'15c'!$H$7:$H$100,$A226,'15c'!$I$7:$I$100,2)+SUMIFS('15d'!$N$7:$N$100,'15d'!$H$7:$H$100,$A226,'15d'!$I$7:$I$100,2)+SUMIFS('15e'!$N$7:$N$100,'15e'!$H$7:$H$100,$A226,'15e'!$I$7:$I$100,2)+SUMIFS('15f'!$N$7:$N$100,'15f'!$H$7:$H$100,$A226,'15f'!$I$7:$I$100,2)+SUMIFS('15g'!$N$7:$N$100,'15g'!$H$7:$H$100,$A226,'15g'!$I$7:$I$100,2)+SUMIFS('15h'!$N$7:$N$100,'15h'!$H$7:$H$100,$A226,'15h'!$I$7:$I$100,2)+SUMIFS('15i'!$N$7:$N$100,'15i'!$H$7:$H$100,$A226,'15i'!$I$7:$I$100,2)+SUMIFS('15j'!$N$7:$N$100,'15j'!$H$7:$H$100,$A226,'15j'!$I$7:$I$100,2)+SUMIFS('15k'!$N$7:$N$100,'15k'!$H$7:$H$100,$A226,'15k'!$I$7:$I$100,2)+SUMIFS('15l'!$N$7:$N$100,'15l'!$H$7:$H$100,$A226,'15l'!$I$7:$I$100,2)+SUMIFS('15m'!$N$7:$N$100,'15m'!$H$7:$H$100,$A226,'15m'!$I$7:$I$100,2)+SUMIFS('15n'!$N$7:$N$100,'15n'!$H$7:$H$100,$A226,'15n'!$I$7:$I$100,2)+SUMIFS('16'!$N$7:$N$100,'16'!$H$7:$H$100,$A226,'16'!$I$7:$I$100,2)+SUMIFS('16a'!$N$7:$N$100,'16a'!$H$7:$H$100,$A226,'16a'!$I$7:$I$100,2)+SUMIFS('17'!$N$7:$N$100,'17'!$H$7:$H$100,$A226,'17'!$I$7:$I$100,2)+SUMIFS('17a'!$N$7:$N$100,'17a'!$H$7:$H$100,$A226,'17a'!$I$7:$I$100,2)+SUMIFS('18'!$N$7:$N$100,'18'!$H$7:$H$100,$A226,'18'!$I$7:$I$100,2)+SUMIFS('18a'!$N$7:$N$100,'18a'!$H$7:$H$100,$A226,'18a'!$I$7:$I$100,2)
+SUMIFS('19'!$N$7:$N$100,'19'!$H$7:$H$100,$A226,'19'!$I$7:$I$100,2)+SUMIFS('20'!$N$7:$N$100,'20'!$H$7:$H$100,$A226,'20'!$I$7:$I$100,2)+SUMIFS('20a'!$N$7:$N$100,'20a'!$H$7:$H$100,$A226,'20a'!$I$7:$I$100,2)+SUMIFS('21'!$N$7:$N$100,'21'!$H$7:$H$100,$A226,'21'!$I$7:$I$100,2)+SUMIFS('22'!$N$7:$N$100,'22'!$H$7:$H$100,$A226,'22'!$I$7:$I$100,2)+SUMIFS('22a'!$N$7:$N$100,'22a'!$H$7:$H$100,$A226,'22a'!$I$7:$I$100,2)+SUMIFS('22b'!$N$7:$N$100,'22b'!$H$7:$H$100,$A226,'22b'!$I$7:$I$100,2)+SUMIFS('23'!$N$7:$N$100,'23'!$H$7:$H$100,$A226,'23'!$I$7:$I$100,2)+SUMIFS('24'!$N$7:$N$100,'24'!$H$7:$H$100,$A226,'24'!$I$7:$I$100,2)+SUMIFS('24a'!$N$7:$N$100,'24a'!$H$7:$H$100,$A226,'24a'!$I$7:$I$100,2)+SUMIFS('24b'!$N$7:$N$100,'24b'!$H$7:$H$100,$A226,'24b'!$I$7:$I$100,2)+SUMIFS('24c'!$N$7:$N$100,'24c'!$H$7:$H$100,$A226,'24c'!$I$7:$I$100,2)+SUMIFS('24d'!$N$7:$N$100,'24d'!$H$7:$H$100,$A226,'24d'!$I$7:$I$100,2)+SUMIFS('24e'!$N$7:$N$100,'24e'!$H$7:$H$100,$A226,'24e'!$I$7:$I$100,2)+SUMIFS('24f'!$N$7:$N$100,'24f'!$H$7:$H$100,$A226,'24f'!$I$7:$I$100,2)+SUMIFS('24g'!$N$7:$N$100,'24g'!$H$7:$H$100,$A226,'24g'!$I$7:$I$100,2)+SUMIFS('24h'!$N$7:$N$100,'24h'!$H$7:$H$100,$A226,'24h'!$I$7:$I$100,2)+SUMIFS('24i'!$N$7:$N$100,'24i'!$H$7:$H$100,$A226,'24i'!$I$7:$I$100,2)+SUMIFS('25'!$N$7:$N$100,'25'!$H$7:$H$100,$A226,'25'!$I$7:$I$100,2)+SUMIFS('26'!$N$7:$N$100,'26'!$H$7:$H$100,$A226,'26'!$I$7:$I$100,2)+SUMIFS('26a'!$N$7:$N$100,'26a'!$H$7:$H$100,$A226,'26a'!$I$7:$I$100,2)+SUMIFS('27'!$N$7:$N$100,'27'!$H$7:$H$100,$A226,'27'!$I$7:$I$100,2)+SUMIFS('27a'!$N$7:$N$100,'27a'!$H$7:$H$100,$A226,'27a'!$I$7:$I$100,2)+SUMIFS('28'!$N$7:$N$100,'28'!$H$7:$H$100,$A226,'28'!$I$7:$I$100,2)+SUMIFS('29'!$N$7:$N$100,'29'!$H$7:$H$100,$A226,'29'!$I$7:$I$100,2)</f>
        <v>0</v>
      </c>
      <c r="E226" s="1315">
        <f>SUMIFS('12'!$N$7:$N$100,'12'!$H$7:$H$100,$A226,'12'!$I$7:$I$100,"")+SUMIFS('13'!$N$7:$N$100,'13'!$H$7:$H$100,$A226,'13'!$I$7:$I$100,"")+SUMIFS('14'!$N$7:$N$100,'14'!$H$7:$H$100,$A226,'14'!$I$7:$I$100,"")+SUMIFS('15'!$N$7:$N$100,'15'!$H$7:$H$100,$A226,'15'!$I$7:$I$100,"")+SUMIFS('15a'!$N$7:$N$100,'15a'!$H$7:$H$100,$A226,'15a'!$I$7:$I$100,"")+SUMIFS('15b'!$N$7:$N$100,'15b'!$H$7:$H$100,$A226,'15b'!$I$7:$I$100,"")+SUMIFS('15c'!$N$7:$N$100,'15c'!$H$7:$H$100,$A226,'15c'!$I$7:$I$100,"")+SUMIFS('15d'!$N$7:$N$100,'15d'!$H$7:$H$100,$A226,'15d'!$I$7:$I$100,"")+SUMIFS('15e'!$N$7:$N$100,'15e'!$H$7:$H$100,$A226,'15e'!$I$7:$I$100,"")+SUMIFS('15f'!$N$7:$N$100,'15f'!$H$7:$H$100,$A226,'15f'!$I$7:$I$100,"")+SUMIFS('15g'!$N$7:$N$100,'15g'!$H$7:$H$100,$A226,'15g'!$I$7:$I$100,"")+SUMIFS('15h'!$N$7:$N$100,'15h'!$H$7:$H$100,$A226,'15h'!$I$7:$I$100,"")+SUMIFS('15i'!$N$7:$N$100,'15i'!$H$7:$H$100,$A226,'15i'!$I$7:$I$100,"")+SUMIFS('15j'!$N$7:$N$100,'15j'!$H$7:$H$100,$A226,'15j'!$I$7:$I$100,"")+SUMIFS('15k'!$N$7:$N$100,'15k'!$H$7:$H$100,$A226,'15k'!$I$7:$I$100,"")+SUMIFS('15l'!$N$7:$N$100,'15l'!$H$7:$H$100,$A226,'15l'!$I$7:$I$100,"")+SUMIFS('15m'!$N$7:$N$100,'15m'!$H$7:$H$100,$A226,'15m'!$I$7:$I$100,"")+SUMIFS('15n'!$N$7:$N$100,'15n'!$H$7:$H$100,$A226,'15n'!$I$7:$I$100,"")+SUMIFS('16'!$N$7:$N$100,'16'!$H$7:$H$100,$A226,'16'!$I$7:$I$100,"")+SUMIFS('16a'!$N$7:$N$100,'16a'!$H$7:$H$100,$A226,'16a'!$I$7:$I$100,"")+SUMIFS('17'!$N$7:$N$100,'17'!$H$7:$H$100,$A226,'17'!$I$7:$I$100,"")+SUMIFS('17a'!$N$7:$N$100,'17a'!$H$7:$H$100,$A226,'17a'!$I$7:$I$100,"")+SUMIFS('18'!$N$7:$N$100,'18'!$H$7:$H$100,$A226,'18'!$I$7:$I$100,"")+SUMIFS('18a'!$N$7:$N$100,'18a'!$H$7:$H$100,$A226,'18a'!$I$7:$I$100,"")
+SUMIFS('19'!$N$7:$N$100,'19'!$H$7:$H$100,$A226,'19'!$I$7:$I$100,"")+SUMIFS('20'!$N$7:$N$100,'20'!$H$7:$H$100,$A226,'20'!$I$7:$I$100,"")+SUMIFS('20a'!$N$7:$N$100,'20a'!$H$7:$H$100,$A226,'20a'!$I$7:$I$100,"")+SUMIFS('21'!$N$7:$N$100,'21'!$H$7:$H$100,$A226,'21'!$I$7:$I$100,"")+SUMIFS('22'!$N$7:$N$100,'22'!$H$7:$H$100,$A226,'22'!$I$7:$I$100,"")+SUMIFS('22a'!$N$7:$N$100,'22a'!$H$7:$H$100,$A226,'22a'!$I$7:$I$100,"")+SUMIFS('22b'!$N$7:$N$100,'22b'!$H$7:$H$100,$A226,'22b'!$I$7:$I$100,"")+SUMIFS('23'!$N$7:$N$100,'23'!$H$7:$H$100,$A226,'23'!$I$7:$I$100,"")+SUMIFS('24'!$N$7:$N$100,'24'!$H$7:$H$100,$A226,'24'!$I$7:$I$100,"")+SUMIFS('24a'!$N$7:$N$100,'24a'!$H$7:$H$100,$A226,'24a'!$I$7:$I$100,"")+SUMIFS('24b'!$N$7:$N$100,'24b'!$H$7:$H$100,$A226,'24b'!$I$7:$I$100,"")+SUMIFS('24c'!$N$7:$N$100,'24c'!$H$7:$H$100,$A226,'24c'!$I$7:$I$100,"")+SUMIFS('24d'!$N$7:$N$100,'24d'!$H$7:$H$100,$A226,'24d'!$I$7:$I$100,"")+SUMIFS('24e'!$N$7:$N$100,'24e'!$H$7:$H$100,$A226,'24e'!$I$7:$I$100,"")+SUMIFS('24f'!$N$7:$N$100,'24f'!$H$7:$H$100,$A226,'24f'!$I$7:$I$100,"")+SUMIFS('24g'!$N$7:$N$100,'24g'!$H$7:$H$100,$A226,'24g'!$I$7:$I$100,"")+SUMIFS('24h'!$N$7:$N$100,'24h'!$H$7:$H$100,$A226,'24h'!$I$7:$I$100,"")+SUMIFS('24i'!$N$7:$N$100,'24i'!$H$7:$H$100,$A226,'24i'!$I$7:$I$100,"")+SUMIFS('25'!$N$7:$N$100,'25'!$H$7:$H$100,$A226,'25'!$I$7:$I$100,"")+SUMIFS('26'!$N$7:$N$100,'26'!$H$7:$H$100,$A226,'26'!$I$7:$I$100,"")+SUMIFS('26a'!$N$7:$N$100,'26a'!$H$7:$H$100,$A226,'26a'!$I$7:$I$100,"")+SUMIFS('27'!$N$7:$N$100,'27'!$H$7:$H$100,$A226,'27'!$I$7:$I$100,"")+SUMIFS('27a'!$N$7:$N$100,'27a'!$H$7:$H$100,$A226,'27a'!$I$7:$I$100,"")+SUMIFS('28'!$N$7:$N$100,'28'!$H$7:$H$100,$A226,'28'!$I$7:$I$100,"")+SUMIFS('29'!$N$7:$N$100,'29'!$H$7:$H$100,$A226,'29'!$I$7:$I$100,"")</f>
        <v>0</v>
      </c>
      <c r="F226" s="1296">
        <f t="shared" si="16"/>
        <v>0</v>
      </c>
      <c r="G226" s="1295">
        <f>SUMIFS('12'!$J$7:$J$100,'12'!$H$7:$H$100,$A226,'12'!$I$7:$I$100,1)+SUMIFS('13'!$J$7:$J$100,'13'!$H$7:$H$100,$A226,'13'!$I$7:$I$100,1)+SUMIFS('14'!$J$7:$J$100,'14'!$H$7:$H$100,$A226,'14'!$I$7:$I$100,1)+SUMIFS('15'!$J$7:$J$100,'15'!$H$7:$H$100,$A226,'15'!$I$7:$I$100,1)+SUMIFS('15a'!$J$7:$J$100,'15a'!$H$7:$H$100,$A226,'15a'!$I$7:$I$100,1)+SUMIFS('15b'!$J$7:$J$100,'15b'!$H$7:$H$100,$A226,'15b'!$I$7:$I$100,1)+SUMIFS('15c'!$J$7:$J$100,'15c'!$H$7:$H$100,$A226,'15c'!$I$7:$I$100,1)+SUMIFS('15d'!$J$7:$J$100,'15d'!$H$7:$H$100,$A226,'15d'!$I$7:$I$100,1)+SUMIFS('15e'!$J$7:$J$100,'15e'!$H$7:$H$100,$A226,'15e'!$I$7:$I$100,1)+SUMIFS('15f'!$J$7:$J$100,'15f'!$H$7:$H$100,$A226,'15f'!$I$7:$I$100,1)+SUMIFS('15g'!$J$7:$J$100,'15g'!$H$7:$H$100,$A226,'15g'!$I$7:$I$100,1)+SUMIFS('15h'!$J$7:$J$100,'15h'!$H$7:$H$100,$A226,'15h'!$I$7:$I$100,1)+SUMIFS('15i'!$J$7:$J$100,'15i'!$H$7:$H$100,$A226,'15i'!$I$7:$I$100,1)+SUMIFS('15j'!$J$7:$J$100,'15j'!$H$7:$H$100,$A226,'15j'!$I$7:$I$100,1)+SUMIFS('15k'!$J$7:$J$100,'15k'!$H$7:$H$100,$A226,'15k'!$I$7:$I$100,1)+SUMIFS('15l'!$J$7:$J$100,'15l'!$H$7:$H$100,$A226,'15l'!$I$7:$I$100,1)+SUMIFS('15m'!$J$7:$J$100,'15m'!$H$7:$H$100,$A226,'15m'!$I$7:$I$100,1)+SUMIFS('15n'!$J$7:$J$100,'15n'!$H$7:$H$100,$A226,'15n'!$I$7:$I$100,1)+SUMIFS('16'!$J$7:$J$100,'16'!$H$7:$H$100,$A226,'16'!$I$7:$I$100,1)+SUMIFS('16a'!$J$7:$J$100,'16a'!$H$7:$H$100,$A226,'16a'!$I$7:$I$100,1)+SUMIFS('17'!$J$7:$J$100,'17'!$H$7:$H$100,$A226,'17'!$I$7:$I$100,1)+SUMIFS('17a'!$J$7:$J$100,'17a'!$H$7:$H$100,$A226,'17a'!$I$7:$I$100,1)+SUMIFS('18'!$J$7:$J$100,'18'!$H$7:$H$100,$A226,'18'!$I$7:$I$100,1)+SUMIFS('18a'!$J$7:$J$100,'18a'!$H$7:$H$100,$A226,'18a'!$I$7:$I$100,1)
+SUMIFS('19'!$J$7:$J$100,'19'!$H$7:$H$100,$A226,'19'!$I$7:$I$100,1)+SUMIFS('20'!$J$7:$J$100,'20'!$H$7:$H$100,$A226,'20'!$I$7:$I$100,1)+SUMIFS('20a'!$J$7:$J$100,'20a'!$H$7:$H$100,$A226,'20a'!$I$7:$I$100,1)+SUMIFS('21'!$J$7:$J$100,'21'!$H$7:$H$100,$A226,'21'!$I$7:$I$100,1)+SUMIFS('22'!$J$7:$J$100,'22'!$H$7:$H$100,$A226,'22'!$I$7:$I$100,1)+SUMIFS('22a'!$J$7:$J$100,'22a'!$H$7:$H$100,$A226,'22a'!$I$7:$I$100,1)+SUMIFS('22b'!$J$7:$J$100,'22b'!$H$7:$H$100,$A226,'22b'!$I$7:$I$100,1)+SUMIFS('23'!$J$7:$J$100,'23'!$H$7:$H$100,$A226,'23'!$I$7:$I$100,1)+SUMIFS('24'!$J$7:$J$100,'24'!$H$7:$H$100,$A226,'24'!$I$7:$I$100,1)+SUMIFS('24a'!$J$7:$J$100,'24a'!$H$7:$H$100,$A226,'24a'!$I$7:$I$100,1)+SUMIFS('24b'!$J$7:$J$100,'24b'!$H$7:$H$100,$A226,'24b'!$I$7:$I$100,1)+SUMIFS('24c'!$J$7:$J$100,'24c'!$H$7:$H$100,$A226,'24c'!$I$7:$I$100,1)+SUMIFS('24d'!$J$7:$J$100,'24d'!$H$7:$H$100,$A226,'24d'!$I$7:$I$100,1)+SUMIFS('24e'!$J$7:$J$100,'24e'!$H$7:$H$100,$A226,'24e'!$I$7:$I$100,1)+SUMIFS('24f'!$J$7:$J$100,'24f'!$H$7:$H$100,$A226,'24f'!$I$7:$I$100,1)+SUMIFS('24g'!$J$7:$J$100,'24g'!$H$7:$H$100,$A226,'24g'!$I$7:$I$100,1)+SUMIFS('24h'!$J$7:$J$100,'24h'!$H$7:$H$100,$A226,'24h'!$I$7:$I$100,1)+SUMIFS('24i'!$J$7:$J$100,'24i'!$H$7:$H$100,$A226,'24i'!$I$7:$I$100,1)+SUMIFS('25'!$J$7:$J$100,'25'!$H$7:$H$100,$A226,'25'!$I$7:$I$100,1)+SUMIFS('26'!$J$7:$J$100,'26'!$H$7:$H$100,$A226,'26'!$I$7:$I$100,1)+SUMIFS('26a'!$J$7:$J$100,'26a'!$H$7:$H$100,$A226,'26a'!$I$7:$I$100,1)+SUMIFS('27'!$J$7:$J$100,'27'!$H$7:$H$100,$A226,'27'!$I$7:$I$100,1)+SUMIFS('27a'!$J$7:$J$100,'27a'!$H$7:$H$100,$A226,'27a'!$I$7:$I$100,1)+SUMIFS('28'!$J$7:$J$100,'28'!$H$7:$H$100,$A226,'28'!$I$7:$I$100,1)+SUMIFS('29'!$J$7:$J$100,'29'!$H$7:$H$100,$A226,'29'!$I$7:$I$100,1)</f>
        <v>0</v>
      </c>
      <c r="H226" s="1315">
        <f>SUMIFS('12'!$J$7:$J$100,'12'!$H$7:$H$100,$A226,'12'!$I$7:$I$100,2)+SUMIFS('13'!$J$7:$J$100,'13'!$H$7:$H$100,$A226,'13'!$I$7:$I$100,2)+SUMIFS('14'!$J$7:$J$100,'14'!$H$7:$H$100,$A226,'14'!$I$7:$I$100,2)+SUMIFS('15'!$J$7:$J$100,'15'!$H$7:$H$100,$A226,'15'!$I$7:$I$100,2)+SUMIFS('15a'!$J$7:$J$100,'15a'!$H$7:$H$100,$A226,'15a'!$I$7:$I$100,2)+SUMIFS('15b'!$J$7:$J$100,'15b'!$H$7:$H$100,$A226,'15b'!$I$7:$I$100,2)+SUMIFS('15c'!$J$7:$J$100,'15c'!$H$7:$H$100,$A226,'15c'!$I$7:$I$100,2)+SUMIFS('15d'!$J$7:$J$100,'15d'!$H$7:$H$100,$A226,'15d'!$I$7:$I$100,2)+SUMIFS('15e'!$J$7:$J$100,'15e'!$H$7:$H$100,$A226,'15e'!$I$7:$I$100,2)+SUMIFS('15f'!$J$7:$J$100,'15f'!$H$7:$H$100,$A226,'15f'!$I$7:$I$100,2)+SUMIFS('15g'!$J$7:$J$100,'15g'!$H$7:$H$100,$A226,'15g'!$I$7:$I$100,2)+SUMIFS('15h'!$J$7:$J$100,'15h'!$H$7:$H$100,$A226,'15h'!$I$7:$I$100,2)+SUMIFS('15i'!$J$7:$J$100,'15i'!$H$7:$H$100,$A226,'15i'!$I$7:$I$100,2)+SUMIFS('15j'!$J$7:$J$100,'15j'!$H$7:$H$100,$A226,'15j'!$I$7:$I$100,2)+SUMIFS('15k'!$J$7:$J$100,'15k'!$H$7:$H$100,$A226,'15k'!$I$7:$I$100,2)+SUMIFS('15l'!$J$7:$J$100,'15l'!$H$7:$H$100,$A226,'15l'!$I$7:$I$100,2)+SUMIFS('15m'!$J$7:$J$100,'15m'!$H$7:$H$100,$A226,'15m'!$I$7:$I$100,2)+SUMIFS('15n'!$J$7:$J$100,'15n'!$H$7:$H$100,$A226,'15n'!$I$7:$I$100,2)+SUMIFS('16'!$J$7:$J$100,'16'!$H$7:$H$100,$A226,'16'!$I$7:$I$100,2)+SUMIFS('16a'!$J$7:$J$100,'16a'!$H$7:$H$100,$A226,'16a'!$I$7:$I$100,2)+SUMIFS('17'!$J$7:$J$100,'17'!$H$7:$H$100,$A226,'17'!$I$7:$I$100,2)+SUMIFS('17a'!$J$7:$J$100,'17a'!$H$7:$H$100,$A226,'17a'!$I$7:$I$100,2)+SUMIFS('18'!$J$7:$J$100,'18'!$H$7:$H$100,$A226,'18'!$I$7:$I$100,2)+SUMIFS('18a'!$J$7:$J$100,'18a'!$H$7:$H$100,$A226,'18a'!$I$7:$I$100,2)
+SUMIFS('19'!$J$7:$J$100,'19'!$H$7:$H$100,$A226,'19'!$I$7:$I$100,2)+SUMIFS('20'!$J$7:$J$100,'20'!$H$7:$H$100,$A226,'20'!$I$7:$I$100,2)+SUMIFS('20a'!$J$7:$J$100,'20a'!$H$7:$H$100,$A226,'20a'!$I$7:$I$100,2)+SUMIFS('21'!$J$7:$J$100,'21'!$H$7:$H$100,$A226,'21'!$I$7:$I$100,2)+SUMIFS('22'!$J$7:$J$100,'22'!$H$7:$H$100,$A226,'22'!$I$7:$I$100,2)+SUMIFS('22a'!$J$7:$J$100,'22a'!$H$7:$H$100,$A226,'22a'!$I$7:$I$100,2)+SUMIFS('22b'!$J$7:$J$100,'22b'!$H$7:$H$100,$A226,'22b'!$I$7:$I$100,2)+SUMIFS('23'!$J$7:$J$100,'23'!$H$7:$H$100,$A226,'23'!$I$7:$I$100,2)+SUMIFS('24'!$J$7:$J$100,'24'!$H$7:$H$100,$A226,'24'!$I$7:$I$100,2)+SUMIFS('24a'!$J$7:$J$100,'24a'!$H$7:$H$100,$A226,'24a'!$I$7:$I$100,2)+SUMIFS('24b'!$J$7:$J$100,'24b'!$H$7:$H$100,$A226,'24b'!$I$7:$I$100,2)+SUMIFS('24c'!$J$7:$J$100,'24c'!$H$7:$H$100,$A226,'24c'!$I$7:$I$100,2)+SUMIFS('24d'!$J$7:$J$100,'24d'!$H$7:$H$100,$A226,'24d'!$I$7:$I$100,2)+SUMIFS('24e'!$J$7:$J$100,'24e'!$H$7:$H$100,$A226,'24e'!$I$7:$I$100,2)+SUMIFS('24f'!$J$7:$J$100,'24f'!$H$7:$H$100,$A226,'24f'!$I$7:$I$100,2)+SUMIFS('24g'!$J$7:$J$100,'24g'!$H$7:$H$100,$A226,'24g'!$I$7:$I$100,2)+SUMIFS('24h'!$J$7:$J$100,'24h'!$H$7:$H$100,$A226,'24h'!$I$7:$I$100,2)+SUMIFS('24i'!$J$7:$J$100,'24i'!$H$7:$H$100,$A226,'24i'!$I$7:$I$100,2)+SUMIFS('25'!$J$7:$J$100,'25'!$H$7:$H$100,$A226,'25'!$I$7:$I$100,2)+SUMIFS('26'!$J$7:$J$100,'26'!$H$7:$H$100,$A226,'26'!$I$7:$I$100,2)+SUMIFS('26a'!$J$7:$J$100,'26a'!$H$7:$H$100,$A226,'26a'!$I$7:$I$100,2)+SUMIFS('27'!$J$7:$J$100,'27'!$H$7:$H$100,$A226,'27'!$I$7:$I$100,2)+SUMIFS('27a'!$J$7:$J$100,'27a'!$H$7:$H$100,$A226,'27a'!$I$7:$I$100,2)+SUMIFS('28'!$J$7:$J$100,'28'!$H$7:$H$100,$A226,'28'!$I$7:$I$100,2)+SUMIFS('29'!$J$7:$J$100,'29'!$H$7:$H$100,$A226,'29'!$I$7:$I$100,2)</f>
        <v>0</v>
      </c>
      <c r="I226" s="1315">
        <f>SUMIFS('12'!$J$7:$J$100,'12'!$H$7:$H$100,$A226,'12'!$I$7:$I$100,"")+SUMIFS('13'!$J$7:$J$100,'13'!$H$7:$H$100,$A226,'13'!$I$7:$I$100,"")+SUMIFS('14'!$J$7:$J$100,'14'!$H$7:$H$100,$A226,'14'!$I$7:$I$100,"")+SUMIFS('15'!$J$7:$J$100,'15'!$H$7:$H$100,$A226,'15'!$I$7:$I$100,"")+SUMIFS('15a'!$J$7:$J$100,'15a'!$H$7:$H$100,$A226,'15a'!$I$7:$I$100,"")+SUMIFS('15b'!$J$7:$J$100,'15b'!$H$7:$H$100,$A226,'15b'!$I$7:$I$100,"")+SUMIFS('15c'!$J$7:$J$100,'15c'!$H$7:$H$100,$A226,'15c'!$I$7:$I$100,"")+SUMIFS('15d'!$J$7:$J$100,'15d'!$H$7:$H$100,$A226,'15d'!$I$7:$I$100,"")+SUMIFS('15e'!$J$7:$J$100,'15e'!$H$7:$H$100,$A226,'15e'!$I$7:$I$100,"")+SUMIFS('15f'!$J$7:$J$100,'15f'!$H$7:$H$100,$A226,'15f'!$I$7:$I$100,"")+SUMIFS('15g'!$J$7:$J$100,'15g'!$H$7:$H$100,$A226,'15g'!$I$7:$I$100,"")+SUMIFS('15h'!$J$7:$J$100,'15h'!$H$7:$H$100,$A226,'15h'!$I$7:$I$100,"")+SUMIFS('15i'!$J$7:$J$100,'15i'!$H$7:$H$100,$A226,'15i'!$I$7:$I$100,"")+SUMIFS('15j'!$J$7:$J$100,'15j'!$H$7:$H$100,$A226,'15j'!$I$7:$I$100,"")+SUMIFS('15k'!$J$7:$J$100,'15k'!$H$7:$H$100,$A226,'15k'!$I$7:$I$100,"")+SUMIFS('15l'!$J$7:$J$100,'15l'!$H$7:$H$100,$A226,'15l'!$I$7:$I$100,"")+SUMIFS('15m'!$J$7:$J$100,'15m'!$H$7:$H$100,$A226,'15m'!$I$7:$I$100,"")+SUMIFS('15n'!$J$7:$J$100,'15n'!$H$7:$H$100,$A226,'15n'!$I$7:$I$100,"")+SUMIFS('16'!$J$7:$J$100,'16'!$H$7:$H$100,$A226,'16'!$I$7:$I$100,"")+SUMIFS('16a'!$J$7:$J$100,'16a'!$H$7:$H$100,$A226,'16a'!$I$7:$I$100,"")+SUMIFS('17'!$J$7:$J$100,'17'!$H$7:$H$100,$A226,'17'!$I$7:$I$100,"")+SUMIFS('17a'!$J$7:$J$100,'17a'!$H$7:$H$100,$A226,'17a'!$I$7:$I$100,"")+SUMIFS('18'!$J$7:$J$100,'18'!$H$7:$H$100,$A226,'18'!$I$7:$I$100,"")+SUMIFS('18a'!$J$7:$J$100,'18a'!$H$7:$H$100,$A226,'18a'!$I$7:$I$100,"")
+SUMIFS('19'!$J$7:$J$100,'19'!$H$7:$H$100,$A226,'19'!$I$7:$I$100,"")+SUMIFS('20'!$J$7:$J$100,'20'!$H$7:$H$100,$A226,'20'!$I$7:$I$100,"")+SUMIFS('20a'!$J$7:$J$100,'20a'!$H$7:$H$100,$A226,'20a'!$I$7:$I$100,"")+SUMIFS('21'!$J$7:$J$100,'21'!$H$7:$H$100,$A226,'21'!$I$7:$I$100,"")+SUMIFS('22'!$J$7:$J$100,'22'!$H$7:$H$100,$A226,'22'!$I$7:$I$100,"")+SUMIFS('22a'!$J$7:$J$100,'22a'!$H$7:$H$100,$A226,'22a'!$I$7:$I$100,"")+SUMIFS('22b'!$J$7:$J$100,'22b'!$H$7:$H$100,$A226,'22b'!$I$7:$I$100,"")+SUMIFS('23'!$J$7:$J$100,'23'!$H$7:$H$100,$A226,'23'!$I$7:$I$100,"")+SUMIFS('24'!$J$7:$J$100,'24'!$H$7:$H$100,$A226,'24'!$I$7:$I$100,"")+SUMIFS('24a'!$J$7:$J$100,'24a'!$H$7:$H$100,$A226,'24a'!$I$7:$I$100,"")+SUMIFS('24b'!$J$7:$J$100,'24b'!$H$7:$H$100,$A226,'24b'!$I$7:$I$100,"")+SUMIFS('24c'!$J$7:$J$100,'24c'!$H$7:$H$100,$A226,'24c'!$I$7:$I$100,"")+SUMIFS('24d'!$J$7:$J$100,'24d'!$H$7:$H$100,$A226,'24d'!$I$7:$I$100,"")+SUMIFS('24e'!$J$7:$J$100,'24e'!$H$7:$H$100,$A226,'24e'!$I$7:$I$100,"")+SUMIFS('24f'!$J$7:$J$100,'24f'!$H$7:$H$100,$A226,'24f'!$I$7:$I$100,"")+SUMIFS('24g'!$J$7:$J$100,'24g'!$H$7:$H$100,$A226,'24g'!$I$7:$I$100,"")+SUMIFS('24h'!$J$7:$J$100,'24h'!$H$7:$H$100,$A226,'24h'!$I$7:$I$100,"")+SUMIFS('24i'!$J$7:$J$100,'24i'!$H$7:$H$100,$A226,'24i'!$I$7:$I$100,"")+SUMIFS('25'!$J$7:$J$100,'25'!$H$7:$H$100,$A226,'25'!$I$7:$I$100,"")+SUMIFS('26'!$J$7:$J$100,'26'!$H$7:$H$100,$A226,'26'!$I$7:$I$100,"")+SUMIFS('26a'!$J$7:$J$100,'26a'!$H$7:$H$100,$A226,'26a'!$I$7:$I$100,"")+SUMIFS('27'!$J$7:$J$100,'27'!$H$7:$H$100,$A226,'27'!$I$7:$I$100,"")+SUMIFS('27a'!$J$7:$J$100,'27a'!$H$7:$H$100,$A226,'27a'!$I$7:$I$100,"")+SUMIFS('28'!$J$7:$J$100,'28'!$H$7:$H$100,$A226,'28'!$I$7:$I$100,"")+SUMIFS('29'!$J$7:$J$100,'29'!$H$7:$H$100,$A226,'29'!$I$7:$I$100,"")</f>
        <v>0</v>
      </c>
      <c r="J226" s="1296">
        <f t="shared" si="17"/>
        <v>0</v>
      </c>
      <c r="K226"/>
      <c r="L226"/>
      <c r="M226"/>
      <c r="N226"/>
      <c r="O226"/>
      <c r="P226"/>
      <c r="Q226"/>
      <c r="R226"/>
      <c r="S226" s="1307">
        <f t="shared" si="14"/>
        <v>0</v>
      </c>
      <c r="T226"/>
    </row>
    <row r="227" spans="1:20" x14ac:dyDescent="0.2">
      <c r="A227" t="s">
        <v>124</v>
      </c>
      <c r="B227" s="784" t="s">
        <v>5585</v>
      </c>
      <c r="C227" s="1295">
        <f>SUMIFS('12'!$N$7:$N$100,'12'!$H$7:$H$100,$A227,'12'!$I$7:$I$100,1)+SUMIFS('13'!$N$7:$N$100,'13'!$H$7:$H$100,$A227,'13'!$I$7:$I$100,1)+SUMIFS('14'!$N$7:$N$100,'14'!$H$7:$H$100,$A227,'14'!$I$7:$I$100,1)+SUMIFS('15'!$N$7:$N$100,'15'!$H$7:$H$100,$A227,'15'!$I$7:$I$100,1)+SUMIFS('15a'!$N$7:$N$100,'15a'!$H$7:$H$100,$A227,'15a'!$I$7:$I$100,1)+SUMIFS('15b'!$N$7:$N$100,'15b'!$H$7:$H$100,$A227,'15b'!$I$7:$I$100,1)+SUMIFS('15c'!$N$7:$N$100,'15c'!$H$7:$H$100,$A227,'15c'!$I$7:$I$100,1)+SUMIFS('15d'!$N$7:$N$100,'15d'!$H$7:$H$100,$A227,'15d'!$I$7:$I$100,1)+SUMIFS('15e'!$N$7:$N$100,'15e'!$H$7:$H$100,$A227,'15e'!$I$7:$I$100,1)+SUMIFS('15f'!$N$7:$N$100,'15f'!$H$7:$H$100,$A227,'15f'!$I$7:$I$100,1)+SUMIFS('15g'!$N$7:$N$100,'15g'!$H$7:$H$100,$A227,'15g'!$I$7:$I$100,1)+SUMIFS('15h'!$N$7:$N$100,'15h'!$H$7:$H$100,$A227,'15h'!$I$7:$I$100,1)+SUMIFS('15i'!$N$7:$N$100,'15i'!$H$7:$H$100,$A227,'15i'!$I$7:$I$100,1)+SUMIFS('15j'!$N$7:$N$100,'15j'!$H$7:$H$100,$A227,'15j'!$I$7:$I$100,1)+SUMIFS('15k'!$N$7:$N$100,'15k'!$H$7:$H$100,$A227,'15k'!$I$7:$I$100,1)+SUMIFS('15l'!$N$7:$N$100,'15l'!$H$7:$H$100,$A227,'15l'!$I$7:$I$100,1)+SUMIFS('15m'!$N$7:$N$100,'15m'!$H$7:$H$100,$A227,'15m'!$I$7:$I$100,1)+SUMIFS('15n'!$N$7:$N$100,'15n'!$H$7:$H$100,$A227,'15n'!$I$7:$I$100,1)+SUMIFS('16'!$N$7:$N$100,'16'!$H$7:$H$100,$A227,'16'!$I$7:$I$100,1)+SUMIFS('16a'!$N$7:$N$100,'16a'!$H$7:$H$100,$A227,'16a'!$I$7:$I$100,1)+SUMIFS('17'!$N$7:$N$100,'17'!$H$7:$H$100,$A227,'17'!$I$7:$I$100,1)+SUMIFS('17a'!$N$7:$N$100,'17a'!$H$7:$H$100,$A227,'17a'!$I$7:$I$100,1)+SUMIFS('18'!$N$7:$N$100,'18'!$H$7:$H$100,$A227,'18'!$I$7:$I$100,1)+SUMIFS('18a'!$N$7:$N$100,'18a'!$H$7:$H$100,$A227,'18a'!$I$7:$I$100,1)
+SUMIFS('19'!$N$7:$N$100,'19'!$H$7:$H$100,$A227,'19'!$I$7:$I$100,1)+SUMIFS('20'!$N$7:$N$100,'20'!$H$7:$H$100,$A227,'20'!$I$7:$I$100,1)+SUMIFS('20a'!$N$7:$N$100,'20a'!$H$7:$H$100,$A227,'20a'!$I$7:$I$100,1)+SUMIFS('21'!$N$7:$N$100,'21'!$H$7:$H$100,$A227,'21'!$I$7:$I$100,1)+SUMIFS('22'!$N$7:$N$100,'22'!$H$7:$H$100,$A227,'22'!$I$7:$I$100,1)+SUMIFS('22a'!$N$7:$N$100,'22a'!$H$7:$H$100,$A227,'22a'!$I$7:$I$100,1)+SUMIFS('22b'!$N$7:$N$100,'22b'!$H$7:$H$100,$A227,'22b'!$I$7:$I$100,1)+SUMIFS('23'!$N$7:$N$100,'23'!$H$7:$H$100,$A227,'23'!$I$7:$I$100,1)+SUMIFS('24'!$N$7:$N$100,'24'!$H$7:$H$100,$A227,'24'!$I$7:$I$100,1)+SUMIFS('24a'!$N$7:$N$100,'24a'!$H$7:$H$100,$A227,'24a'!$I$7:$I$100,1)+SUMIFS('24b'!$N$7:$N$100,'24b'!$H$7:$H$100,$A227,'24b'!$I$7:$I$100,1)+SUMIFS('24c'!$N$7:$N$100,'24c'!$H$7:$H$100,$A227,'24c'!$I$7:$I$100,1)+SUMIFS('24d'!$N$7:$N$100,'24d'!$H$7:$H$100,$A227,'24d'!$I$7:$I$100,1)+SUMIFS('24e'!$N$7:$N$100,'24e'!$H$7:$H$100,$A227,'24e'!$I$7:$I$100,1)+SUMIFS('24f'!$N$7:$N$100,'24f'!$H$7:$H$100,$A227,'24f'!$I$7:$I$100,1)+SUMIFS('24g'!$N$7:$N$100,'24g'!$H$7:$H$100,$A227,'24g'!$I$7:$I$100,1)+SUMIFS('24h'!$N$7:$N$100,'24h'!$H$7:$H$100,$A227,'24h'!$I$7:$I$100,1)+SUMIFS('24i'!$N$7:$N$100,'24i'!$H$7:$H$100,$A227,'24i'!$I$7:$I$100,1)+SUMIFS('25'!$N$7:$N$100,'25'!$H$7:$H$100,$A227,'25'!$I$7:$I$100,1)+SUMIFS('26'!$N$7:$N$100,'26'!$H$7:$H$100,$A227,'26'!$I$7:$I$100,1)+SUMIFS('26a'!$N$7:$N$100,'26a'!$H$7:$H$100,$A227,'26a'!$I$7:$I$100,1)+SUMIFS('27'!$N$7:$N$100,'27'!$H$7:$H$100,$A227,'27'!$I$7:$I$100,1)+SUMIFS('27a'!$N$7:$N$100,'27a'!$H$7:$H$100,$A227,'27a'!$I$7:$I$100,1)+SUMIFS('28'!$N$7:$N$100,'28'!$H$7:$H$100,$A227,'28'!$I$7:$I$100,1)+SUMIFS('29'!$N$7:$N$100,'29'!$H$7:$H$100,$A227,'29'!$I$7:$I$100,1)</f>
        <v>0</v>
      </c>
      <c r="D227" s="1315">
        <f>SUMIFS('12'!$N$7:$N$100,'12'!$H$7:$H$100,$A227,'12'!$I$7:$I$100,2)+SUMIFS('13'!$N$7:$N$100,'13'!$H$7:$H$100,$A227,'13'!$I$7:$I$100,2)+SUMIFS('14'!$N$7:$N$100,'14'!$H$7:$H$100,$A227,'14'!$I$7:$I$100,2)+SUMIFS('15'!$N$7:$N$100,'15'!$H$7:$H$100,$A227,'15'!$I$7:$I$100,2)+SUMIFS('15a'!$N$7:$N$100,'15a'!$H$7:$H$100,$A227,'15a'!$I$7:$I$100,2)+SUMIFS('15b'!$N$7:$N$100,'15b'!$H$7:$H$100,$A227,'15b'!$I$7:$I$100,2)+SUMIFS('15c'!$N$7:$N$100,'15c'!$H$7:$H$100,$A227,'15c'!$I$7:$I$100,2)+SUMIFS('15d'!$N$7:$N$100,'15d'!$H$7:$H$100,$A227,'15d'!$I$7:$I$100,2)+SUMIFS('15e'!$N$7:$N$100,'15e'!$H$7:$H$100,$A227,'15e'!$I$7:$I$100,2)+SUMIFS('15f'!$N$7:$N$100,'15f'!$H$7:$H$100,$A227,'15f'!$I$7:$I$100,2)+SUMIFS('15g'!$N$7:$N$100,'15g'!$H$7:$H$100,$A227,'15g'!$I$7:$I$100,2)+SUMIFS('15h'!$N$7:$N$100,'15h'!$H$7:$H$100,$A227,'15h'!$I$7:$I$100,2)+SUMIFS('15i'!$N$7:$N$100,'15i'!$H$7:$H$100,$A227,'15i'!$I$7:$I$100,2)+SUMIFS('15j'!$N$7:$N$100,'15j'!$H$7:$H$100,$A227,'15j'!$I$7:$I$100,2)+SUMIFS('15k'!$N$7:$N$100,'15k'!$H$7:$H$100,$A227,'15k'!$I$7:$I$100,2)+SUMIFS('15l'!$N$7:$N$100,'15l'!$H$7:$H$100,$A227,'15l'!$I$7:$I$100,2)+SUMIFS('15m'!$N$7:$N$100,'15m'!$H$7:$H$100,$A227,'15m'!$I$7:$I$100,2)+SUMIFS('15n'!$N$7:$N$100,'15n'!$H$7:$H$100,$A227,'15n'!$I$7:$I$100,2)+SUMIFS('16'!$N$7:$N$100,'16'!$H$7:$H$100,$A227,'16'!$I$7:$I$100,2)+SUMIFS('16a'!$N$7:$N$100,'16a'!$H$7:$H$100,$A227,'16a'!$I$7:$I$100,2)+SUMIFS('17'!$N$7:$N$100,'17'!$H$7:$H$100,$A227,'17'!$I$7:$I$100,2)+SUMIFS('17a'!$N$7:$N$100,'17a'!$H$7:$H$100,$A227,'17a'!$I$7:$I$100,2)+SUMIFS('18'!$N$7:$N$100,'18'!$H$7:$H$100,$A227,'18'!$I$7:$I$100,2)+SUMIFS('18a'!$N$7:$N$100,'18a'!$H$7:$H$100,$A227,'18a'!$I$7:$I$100,2)
+SUMIFS('19'!$N$7:$N$100,'19'!$H$7:$H$100,$A227,'19'!$I$7:$I$100,2)+SUMIFS('20'!$N$7:$N$100,'20'!$H$7:$H$100,$A227,'20'!$I$7:$I$100,2)+SUMIFS('20a'!$N$7:$N$100,'20a'!$H$7:$H$100,$A227,'20a'!$I$7:$I$100,2)+SUMIFS('21'!$N$7:$N$100,'21'!$H$7:$H$100,$A227,'21'!$I$7:$I$100,2)+SUMIFS('22'!$N$7:$N$100,'22'!$H$7:$H$100,$A227,'22'!$I$7:$I$100,2)+SUMIFS('22a'!$N$7:$N$100,'22a'!$H$7:$H$100,$A227,'22a'!$I$7:$I$100,2)+SUMIFS('22b'!$N$7:$N$100,'22b'!$H$7:$H$100,$A227,'22b'!$I$7:$I$100,2)+SUMIFS('23'!$N$7:$N$100,'23'!$H$7:$H$100,$A227,'23'!$I$7:$I$100,2)+SUMIFS('24'!$N$7:$N$100,'24'!$H$7:$H$100,$A227,'24'!$I$7:$I$100,2)+SUMIFS('24a'!$N$7:$N$100,'24a'!$H$7:$H$100,$A227,'24a'!$I$7:$I$100,2)+SUMIFS('24b'!$N$7:$N$100,'24b'!$H$7:$H$100,$A227,'24b'!$I$7:$I$100,2)+SUMIFS('24c'!$N$7:$N$100,'24c'!$H$7:$H$100,$A227,'24c'!$I$7:$I$100,2)+SUMIFS('24d'!$N$7:$N$100,'24d'!$H$7:$H$100,$A227,'24d'!$I$7:$I$100,2)+SUMIFS('24e'!$N$7:$N$100,'24e'!$H$7:$H$100,$A227,'24e'!$I$7:$I$100,2)+SUMIFS('24f'!$N$7:$N$100,'24f'!$H$7:$H$100,$A227,'24f'!$I$7:$I$100,2)+SUMIFS('24g'!$N$7:$N$100,'24g'!$H$7:$H$100,$A227,'24g'!$I$7:$I$100,2)+SUMIFS('24h'!$N$7:$N$100,'24h'!$H$7:$H$100,$A227,'24h'!$I$7:$I$100,2)+SUMIFS('24i'!$N$7:$N$100,'24i'!$H$7:$H$100,$A227,'24i'!$I$7:$I$100,2)+SUMIFS('25'!$N$7:$N$100,'25'!$H$7:$H$100,$A227,'25'!$I$7:$I$100,2)+SUMIFS('26'!$N$7:$N$100,'26'!$H$7:$H$100,$A227,'26'!$I$7:$I$100,2)+SUMIFS('26a'!$N$7:$N$100,'26a'!$H$7:$H$100,$A227,'26a'!$I$7:$I$100,2)+SUMIFS('27'!$N$7:$N$100,'27'!$H$7:$H$100,$A227,'27'!$I$7:$I$100,2)+SUMIFS('27a'!$N$7:$N$100,'27a'!$H$7:$H$100,$A227,'27a'!$I$7:$I$100,2)+SUMIFS('28'!$N$7:$N$100,'28'!$H$7:$H$100,$A227,'28'!$I$7:$I$100,2)+SUMIFS('29'!$N$7:$N$100,'29'!$H$7:$H$100,$A227,'29'!$I$7:$I$100,2)</f>
        <v>0</v>
      </c>
      <c r="E227" s="1315">
        <f>SUMIFS('12'!$N$7:$N$100,'12'!$H$7:$H$100,$A227,'12'!$I$7:$I$100,"")+SUMIFS('13'!$N$7:$N$100,'13'!$H$7:$H$100,$A227,'13'!$I$7:$I$100,"")+SUMIFS('14'!$N$7:$N$100,'14'!$H$7:$H$100,$A227,'14'!$I$7:$I$100,"")+SUMIFS('15'!$N$7:$N$100,'15'!$H$7:$H$100,$A227,'15'!$I$7:$I$100,"")+SUMIFS('15a'!$N$7:$N$100,'15a'!$H$7:$H$100,$A227,'15a'!$I$7:$I$100,"")+SUMIFS('15b'!$N$7:$N$100,'15b'!$H$7:$H$100,$A227,'15b'!$I$7:$I$100,"")+SUMIFS('15c'!$N$7:$N$100,'15c'!$H$7:$H$100,$A227,'15c'!$I$7:$I$100,"")+SUMIFS('15d'!$N$7:$N$100,'15d'!$H$7:$H$100,$A227,'15d'!$I$7:$I$100,"")+SUMIFS('15e'!$N$7:$N$100,'15e'!$H$7:$H$100,$A227,'15e'!$I$7:$I$100,"")+SUMIFS('15f'!$N$7:$N$100,'15f'!$H$7:$H$100,$A227,'15f'!$I$7:$I$100,"")+SUMIFS('15g'!$N$7:$N$100,'15g'!$H$7:$H$100,$A227,'15g'!$I$7:$I$100,"")+SUMIFS('15h'!$N$7:$N$100,'15h'!$H$7:$H$100,$A227,'15h'!$I$7:$I$100,"")+SUMIFS('15i'!$N$7:$N$100,'15i'!$H$7:$H$100,$A227,'15i'!$I$7:$I$100,"")+SUMIFS('15j'!$N$7:$N$100,'15j'!$H$7:$H$100,$A227,'15j'!$I$7:$I$100,"")+SUMIFS('15k'!$N$7:$N$100,'15k'!$H$7:$H$100,$A227,'15k'!$I$7:$I$100,"")+SUMIFS('15l'!$N$7:$N$100,'15l'!$H$7:$H$100,$A227,'15l'!$I$7:$I$100,"")+SUMIFS('15m'!$N$7:$N$100,'15m'!$H$7:$H$100,$A227,'15m'!$I$7:$I$100,"")+SUMIFS('15n'!$N$7:$N$100,'15n'!$H$7:$H$100,$A227,'15n'!$I$7:$I$100,"")+SUMIFS('16'!$N$7:$N$100,'16'!$H$7:$H$100,$A227,'16'!$I$7:$I$100,"")+SUMIFS('16a'!$N$7:$N$100,'16a'!$H$7:$H$100,$A227,'16a'!$I$7:$I$100,"")+SUMIFS('17'!$N$7:$N$100,'17'!$H$7:$H$100,$A227,'17'!$I$7:$I$100,"")+SUMIFS('17a'!$N$7:$N$100,'17a'!$H$7:$H$100,$A227,'17a'!$I$7:$I$100,"")+SUMIFS('18'!$N$7:$N$100,'18'!$H$7:$H$100,$A227,'18'!$I$7:$I$100,"")+SUMIFS('18a'!$N$7:$N$100,'18a'!$H$7:$H$100,$A227,'18a'!$I$7:$I$100,"")
+SUMIFS('19'!$N$7:$N$100,'19'!$H$7:$H$100,$A227,'19'!$I$7:$I$100,"")+SUMIFS('20'!$N$7:$N$100,'20'!$H$7:$H$100,$A227,'20'!$I$7:$I$100,"")+SUMIFS('20a'!$N$7:$N$100,'20a'!$H$7:$H$100,$A227,'20a'!$I$7:$I$100,"")+SUMIFS('21'!$N$7:$N$100,'21'!$H$7:$H$100,$A227,'21'!$I$7:$I$100,"")+SUMIFS('22'!$N$7:$N$100,'22'!$H$7:$H$100,$A227,'22'!$I$7:$I$100,"")+SUMIFS('22a'!$N$7:$N$100,'22a'!$H$7:$H$100,$A227,'22a'!$I$7:$I$100,"")+SUMIFS('22b'!$N$7:$N$100,'22b'!$H$7:$H$100,$A227,'22b'!$I$7:$I$100,"")+SUMIFS('23'!$N$7:$N$100,'23'!$H$7:$H$100,$A227,'23'!$I$7:$I$100,"")+SUMIFS('24'!$N$7:$N$100,'24'!$H$7:$H$100,$A227,'24'!$I$7:$I$100,"")+SUMIFS('24a'!$N$7:$N$100,'24a'!$H$7:$H$100,$A227,'24a'!$I$7:$I$100,"")+SUMIFS('24b'!$N$7:$N$100,'24b'!$H$7:$H$100,$A227,'24b'!$I$7:$I$100,"")+SUMIFS('24c'!$N$7:$N$100,'24c'!$H$7:$H$100,$A227,'24c'!$I$7:$I$100,"")+SUMIFS('24d'!$N$7:$N$100,'24d'!$H$7:$H$100,$A227,'24d'!$I$7:$I$100,"")+SUMIFS('24e'!$N$7:$N$100,'24e'!$H$7:$H$100,$A227,'24e'!$I$7:$I$100,"")+SUMIFS('24f'!$N$7:$N$100,'24f'!$H$7:$H$100,$A227,'24f'!$I$7:$I$100,"")+SUMIFS('24g'!$N$7:$N$100,'24g'!$H$7:$H$100,$A227,'24g'!$I$7:$I$100,"")+SUMIFS('24h'!$N$7:$N$100,'24h'!$H$7:$H$100,$A227,'24h'!$I$7:$I$100,"")+SUMIFS('24i'!$N$7:$N$100,'24i'!$H$7:$H$100,$A227,'24i'!$I$7:$I$100,"")+SUMIFS('25'!$N$7:$N$100,'25'!$H$7:$H$100,$A227,'25'!$I$7:$I$100,"")+SUMIFS('26'!$N$7:$N$100,'26'!$H$7:$H$100,$A227,'26'!$I$7:$I$100,"")+SUMIFS('26a'!$N$7:$N$100,'26a'!$H$7:$H$100,$A227,'26a'!$I$7:$I$100,"")+SUMIFS('27'!$N$7:$N$100,'27'!$H$7:$H$100,$A227,'27'!$I$7:$I$100,"")+SUMIFS('27a'!$N$7:$N$100,'27a'!$H$7:$H$100,$A227,'27a'!$I$7:$I$100,"")+SUMIFS('28'!$N$7:$N$100,'28'!$H$7:$H$100,$A227,'28'!$I$7:$I$100,"")+SUMIFS('29'!$N$7:$N$100,'29'!$H$7:$H$100,$A227,'29'!$I$7:$I$100,"")</f>
        <v>0</v>
      </c>
      <c r="F227" s="1296">
        <f t="shared" si="16"/>
        <v>0</v>
      </c>
      <c r="G227" s="1295">
        <f>SUMIFS('12'!$J$7:$J$100,'12'!$H$7:$H$100,$A227,'12'!$I$7:$I$100,1)+SUMIFS('13'!$J$7:$J$100,'13'!$H$7:$H$100,$A227,'13'!$I$7:$I$100,1)+SUMIFS('14'!$J$7:$J$100,'14'!$H$7:$H$100,$A227,'14'!$I$7:$I$100,1)+SUMIFS('15'!$J$7:$J$100,'15'!$H$7:$H$100,$A227,'15'!$I$7:$I$100,1)+SUMIFS('15a'!$J$7:$J$100,'15a'!$H$7:$H$100,$A227,'15a'!$I$7:$I$100,1)+SUMIFS('15b'!$J$7:$J$100,'15b'!$H$7:$H$100,$A227,'15b'!$I$7:$I$100,1)+SUMIFS('15c'!$J$7:$J$100,'15c'!$H$7:$H$100,$A227,'15c'!$I$7:$I$100,1)+SUMIFS('15d'!$J$7:$J$100,'15d'!$H$7:$H$100,$A227,'15d'!$I$7:$I$100,1)+SUMIFS('15e'!$J$7:$J$100,'15e'!$H$7:$H$100,$A227,'15e'!$I$7:$I$100,1)+SUMIFS('15f'!$J$7:$J$100,'15f'!$H$7:$H$100,$A227,'15f'!$I$7:$I$100,1)+SUMIFS('15g'!$J$7:$J$100,'15g'!$H$7:$H$100,$A227,'15g'!$I$7:$I$100,1)+SUMIFS('15h'!$J$7:$J$100,'15h'!$H$7:$H$100,$A227,'15h'!$I$7:$I$100,1)+SUMIFS('15i'!$J$7:$J$100,'15i'!$H$7:$H$100,$A227,'15i'!$I$7:$I$100,1)+SUMIFS('15j'!$J$7:$J$100,'15j'!$H$7:$H$100,$A227,'15j'!$I$7:$I$100,1)+SUMIFS('15k'!$J$7:$J$100,'15k'!$H$7:$H$100,$A227,'15k'!$I$7:$I$100,1)+SUMIFS('15l'!$J$7:$J$100,'15l'!$H$7:$H$100,$A227,'15l'!$I$7:$I$100,1)+SUMIFS('15m'!$J$7:$J$100,'15m'!$H$7:$H$100,$A227,'15m'!$I$7:$I$100,1)+SUMIFS('15n'!$J$7:$J$100,'15n'!$H$7:$H$100,$A227,'15n'!$I$7:$I$100,1)+SUMIFS('16'!$J$7:$J$100,'16'!$H$7:$H$100,$A227,'16'!$I$7:$I$100,1)+SUMIFS('16a'!$J$7:$J$100,'16a'!$H$7:$H$100,$A227,'16a'!$I$7:$I$100,1)+SUMIFS('17'!$J$7:$J$100,'17'!$H$7:$H$100,$A227,'17'!$I$7:$I$100,1)+SUMIFS('17a'!$J$7:$J$100,'17a'!$H$7:$H$100,$A227,'17a'!$I$7:$I$100,1)+SUMIFS('18'!$J$7:$J$100,'18'!$H$7:$H$100,$A227,'18'!$I$7:$I$100,1)+SUMIFS('18a'!$J$7:$J$100,'18a'!$H$7:$H$100,$A227,'18a'!$I$7:$I$100,1)
+SUMIFS('19'!$J$7:$J$100,'19'!$H$7:$H$100,$A227,'19'!$I$7:$I$100,1)+SUMIFS('20'!$J$7:$J$100,'20'!$H$7:$H$100,$A227,'20'!$I$7:$I$100,1)+SUMIFS('20a'!$J$7:$J$100,'20a'!$H$7:$H$100,$A227,'20a'!$I$7:$I$100,1)+SUMIFS('21'!$J$7:$J$100,'21'!$H$7:$H$100,$A227,'21'!$I$7:$I$100,1)+SUMIFS('22'!$J$7:$J$100,'22'!$H$7:$H$100,$A227,'22'!$I$7:$I$100,1)+SUMIFS('22a'!$J$7:$J$100,'22a'!$H$7:$H$100,$A227,'22a'!$I$7:$I$100,1)+SUMIFS('22b'!$J$7:$J$100,'22b'!$H$7:$H$100,$A227,'22b'!$I$7:$I$100,1)+SUMIFS('23'!$J$7:$J$100,'23'!$H$7:$H$100,$A227,'23'!$I$7:$I$100,1)+SUMIFS('24'!$J$7:$J$100,'24'!$H$7:$H$100,$A227,'24'!$I$7:$I$100,1)+SUMIFS('24a'!$J$7:$J$100,'24a'!$H$7:$H$100,$A227,'24a'!$I$7:$I$100,1)+SUMIFS('24b'!$J$7:$J$100,'24b'!$H$7:$H$100,$A227,'24b'!$I$7:$I$100,1)+SUMIFS('24c'!$J$7:$J$100,'24c'!$H$7:$H$100,$A227,'24c'!$I$7:$I$100,1)+SUMIFS('24d'!$J$7:$J$100,'24d'!$H$7:$H$100,$A227,'24d'!$I$7:$I$100,1)+SUMIFS('24e'!$J$7:$J$100,'24e'!$H$7:$H$100,$A227,'24e'!$I$7:$I$100,1)+SUMIFS('24f'!$J$7:$J$100,'24f'!$H$7:$H$100,$A227,'24f'!$I$7:$I$100,1)+SUMIFS('24g'!$J$7:$J$100,'24g'!$H$7:$H$100,$A227,'24g'!$I$7:$I$100,1)+SUMIFS('24h'!$J$7:$J$100,'24h'!$H$7:$H$100,$A227,'24h'!$I$7:$I$100,1)+SUMIFS('24i'!$J$7:$J$100,'24i'!$H$7:$H$100,$A227,'24i'!$I$7:$I$100,1)+SUMIFS('25'!$J$7:$J$100,'25'!$H$7:$H$100,$A227,'25'!$I$7:$I$100,1)+SUMIFS('26'!$J$7:$J$100,'26'!$H$7:$H$100,$A227,'26'!$I$7:$I$100,1)+SUMIFS('26a'!$J$7:$J$100,'26a'!$H$7:$H$100,$A227,'26a'!$I$7:$I$100,1)+SUMIFS('27'!$J$7:$J$100,'27'!$H$7:$H$100,$A227,'27'!$I$7:$I$100,1)+SUMIFS('27a'!$J$7:$J$100,'27a'!$H$7:$H$100,$A227,'27a'!$I$7:$I$100,1)+SUMIFS('28'!$J$7:$J$100,'28'!$H$7:$H$100,$A227,'28'!$I$7:$I$100,1)+SUMIFS('29'!$J$7:$J$100,'29'!$H$7:$H$100,$A227,'29'!$I$7:$I$100,1)</f>
        <v>0</v>
      </c>
      <c r="H227" s="1315">
        <f>SUMIFS('12'!$J$7:$J$100,'12'!$H$7:$H$100,$A227,'12'!$I$7:$I$100,2)+SUMIFS('13'!$J$7:$J$100,'13'!$H$7:$H$100,$A227,'13'!$I$7:$I$100,2)+SUMIFS('14'!$J$7:$J$100,'14'!$H$7:$H$100,$A227,'14'!$I$7:$I$100,2)+SUMIFS('15'!$J$7:$J$100,'15'!$H$7:$H$100,$A227,'15'!$I$7:$I$100,2)+SUMIFS('15a'!$J$7:$J$100,'15a'!$H$7:$H$100,$A227,'15a'!$I$7:$I$100,2)+SUMIFS('15b'!$J$7:$J$100,'15b'!$H$7:$H$100,$A227,'15b'!$I$7:$I$100,2)+SUMIFS('15c'!$J$7:$J$100,'15c'!$H$7:$H$100,$A227,'15c'!$I$7:$I$100,2)+SUMIFS('15d'!$J$7:$J$100,'15d'!$H$7:$H$100,$A227,'15d'!$I$7:$I$100,2)+SUMIFS('15e'!$J$7:$J$100,'15e'!$H$7:$H$100,$A227,'15e'!$I$7:$I$100,2)+SUMIFS('15f'!$J$7:$J$100,'15f'!$H$7:$H$100,$A227,'15f'!$I$7:$I$100,2)+SUMIFS('15g'!$J$7:$J$100,'15g'!$H$7:$H$100,$A227,'15g'!$I$7:$I$100,2)+SUMIFS('15h'!$J$7:$J$100,'15h'!$H$7:$H$100,$A227,'15h'!$I$7:$I$100,2)+SUMIFS('15i'!$J$7:$J$100,'15i'!$H$7:$H$100,$A227,'15i'!$I$7:$I$100,2)+SUMIFS('15j'!$J$7:$J$100,'15j'!$H$7:$H$100,$A227,'15j'!$I$7:$I$100,2)+SUMIFS('15k'!$J$7:$J$100,'15k'!$H$7:$H$100,$A227,'15k'!$I$7:$I$100,2)+SUMIFS('15l'!$J$7:$J$100,'15l'!$H$7:$H$100,$A227,'15l'!$I$7:$I$100,2)+SUMIFS('15m'!$J$7:$J$100,'15m'!$H$7:$H$100,$A227,'15m'!$I$7:$I$100,2)+SUMIFS('15n'!$J$7:$J$100,'15n'!$H$7:$H$100,$A227,'15n'!$I$7:$I$100,2)+SUMIFS('16'!$J$7:$J$100,'16'!$H$7:$H$100,$A227,'16'!$I$7:$I$100,2)+SUMIFS('16a'!$J$7:$J$100,'16a'!$H$7:$H$100,$A227,'16a'!$I$7:$I$100,2)+SUMIFS('17'!$J$7:$J$100,'17'!$H$7:$H$100,$A227,'17'!$I$7:$I$100,2)+SUMIFS('17a'!$J$7:$J$100,'17a'!$H$7:$H$100,$A227,'17a'!$I$7:$I$100,2)+SUMIFS('18'!$J$7:$J$100,'18'!$H$7:$H$100,$A227,'18'!$I$7:$I$100,2)+SUMIFS('18a'!$J$7:$J$100,'18a'!$H$7:$H$100,$A227,'18a'!$I$7:$I$100,2)
+SUMIFS('19'!$J$7:$J$100,'19'!$H$7:$H$100,$A227,'19'!$I$7:$I$100,2)+SUMIFS('20'!$J$7:$J$100,'20'!$H$7:$H$100,$A227,'20'!$I$7:$I$100,2)+SUMIFS('20a'!$J$7:$J$100,'20a'!$H$7:$H$100,$A227,'20a'!$I$7:$I$100,2)+SUMIFS('21'!$J$7:$J$100,'21'!$H$7:$H$100,$A227,'21'!$I$7:$I$100,2)+SUMIFS('22'!$J$7:$J$100,'22'!$H$7:$H$100,$A227,'22'!$I$7:$I$100,2)+SUMIFS('22a'!$J$7:$J$100,'22a'!$H$7:$H$100,$A227,'22a'!$I$7:$I$100,2)+SUMIFS('22b'!$J$7:$J$100,'22b'!$H$7:$H$100,$A227,'22b'!$I$7:$I$100,2)+SUMIFS('23'!$J$7:$J$100,'23'!$H$7:$H$100,$A227,'23'!$I$7:$I$100,2)+SUMIFS('24'!$J$7:$J$100,'24'!$H$7:$H$100,$A227,'24'!$I$7:$I$100,2)+SUMIFS('24a'!$J$7:$J$100,'24a'!$H$7:$H$100,$A227,'24a'!$I$7:$I$100,2)+SUMIFS('24b'!$J$7:$J$100,'24b'!$H$7:$H$100,$A227,'24b'!$I$7:$I$100,2)+SUMIFS('24c'!$J$7:$J$100,'24c'!$H$7:$H$100,$A227,'24c'!$I$7:$I$100,2)+SUMIFS('24d'!$J$7:$J$100,'24d'!$H$7:$H$100,$A227,'24d'!$I$7:$I$100,2)+SUMIFS('24e'!$J$7:$J$100,'24e'!$H$7:$H$100,$A227,'24e'!$I$7:$I$100,2)+SUMIFS('24f'!$J$7:$J$100,'24f'!$H$7:$H$100,$A227,'24f'!$I$7:$I$100,2)+SUMIFS('24g'!$J$7:$J$100,'24g'!$H$7:$H$100,$A227,'24g'!$I$7:$I$100,2)+SUMIFS('24h'!$J$7:$J$100,'24h'!$H$7:$H$100,$A227,'24h'!$I$7:$I$100,2)+SUMIFS('24i'!$J$7:$J$100,'24i'!$H$7:$H$100,$A227,'24i'!$I$7:$I$100,2)+SUMIFS('25'!$J$7:$J$100,'25'!$H$7:$H$100,$A227,'25'!$I$7:$I$100,2)+SUMIFS('26'!$J$7:$J$100,'26'!$H$7:$H$100,$A227,'26'!$I$7:$I$100,2)+SUMIFS('26a'!$J$7:$J$100,'26a'!$H$7:$H$100,$A227,'26a'!$I$7:$I$100,2)+SUMIFS('27'!$J$7:$J$100,'27'!$H$7:$H$100,$A227,'27'!$I$7:$I$100,2)+SUMIFS('27a'!$J$7:$J$100,'27a'!$H$7:$H$100,$A227,'27a'!$I$7:$I$100,2)+SUMIFS('28'!$J$7:$J$100,'28'!$H$7:$H$100,$A227,'28'!$I$7:$I$100,2)+SUMIFS('29'!$J$7:$J$100,'29'!$H$7:$H$100,$A227,'29'!$I$7:$I$100,2)</f>
        <v>0</v>
      </c>
      <c r="I227" s="1315">
        <f>SUMIFS('12'!$J$7:$J$100,'12'!$H$7:$H$100,$A227,'12'!$I$7:$I$100,"")+SUMIFS('13'!$J$7:$J$100,'13'!$H$7:$H$100,$A227,'13'!$I$7:$I$100,"")+SUMIFS('14'!$J$7:$J$100,'14'!$H$7:$H$100,$A227,'14'!$I$7:$I$100,"")+SUMIFS('15'!$J$7:$J$100,'15'!$H$7:$H$100,$A227,'15'!$I$7:$I$100,"")+SUMIFS('15a'!$J$7:$J$100,'15a'!$H$7:$H$100,$A227,'15a'!$I$7:$I$100,"")+SUMIFS('15b'!$J$7:$J$100,'15b'!$H$7:$H$100,$A227,'15b'!$I$7:$I$100,"")+SUMIFS('15c'!$J$7:$J$100,'15c'!$H$7:$H$100,$A227,'15c'!$I$7:$I$100,"")+SUMIFS('15d'!$J$7:$J$100,'15d'!$H$7:$H$100,$A227,'15d'!$I$7:$I$100,"")+SUMIFS('15e'!$J$7:$J$100,'15e'!$H$7:$H$100,$A227,'15e'!$I$7:$I$100,"")+SUMIFS('15f'!$J$7:$J$100,'15f'!$H$7:$H$100,$A227,'15f'!$I$7:$I$100,"")+SUMIFS('15g'!$J$7:$J$100,'15g'!$H$7:$H$100,$A227,'15g'!$I$7:$I$100,"")+SUMIFS('15h'!$J$7:$J$100,'15h'!$H$7:$H$100,$A227,'15h'!$I$7:$I$100,"")+SUMIFS('15i'!$J$7:$J$100,'15i'!$H$7:$H$100,$A227,'15i'!$I$7:$I$100,"")+SUMIFS('15j'!$J$7:$J$100,'15j'!$H$7:$H$100,$A227,'15j'!$I$7:$I$100,"")+SUMIFS('15k'!$J$7:$J$100,'15k'!$H$7:$H$100,$A227,'15k'!$I$7:$I$100,"")+SUMIFS('15l'!$J$7:$J$100,'15l'!$H$7:$H$100,$A227,'15l'!$I$7:$I$100,"")+SUMIFS('15m'!$J$7:$J$100,'15m'!$H$7:$H$100,$A227,'15m'!$I$7:$I$100,"")+SUMIFS('15n'!$J$7:$J$100,'15n'!$H$7:$H$100,$A227,'15n'!$I$7:$I$100,"")+SUMIFS('16'!$J$7:$J$100,'16'!$H$7:$H$100,$A227,'16'!$I$7:$I$100,"")+SUMIFS('16a'!$J$7:$J$100,'16a'!$H$7:$H$100,$A227,'16a'!$I$7:$I$100,"")+SUMIFS('17'!$J$7:$J$100,'17'!$H$7:$H$100,$A227,'17'!$I$7:$I$100,"")+SUMIFS('17a'!$J$7:$J$100,'17a'!$H$7:$H$100,$A227,'17a'!$I$7:$I$100,"")+SUMIFS('18'!$J$7:$J$100,'18'!$H$7:$H$100,$A227,'18'!$I$7:$I$100,"")+SUMIFS('18a'!$J$7:$J$100,'18a'!$H$7:$H$100,$A227,'18a'!$I$7:$I$100,"")
+SUMIFS('19'!$J$7:$J$100,'19'!$H$7:$H$100,$A227,'19'!$I$7:$I$100,"")+SUMIFS('20'!$J$7:$J$100,'20'!$H$7:$H$100,$A227,'20'!$I$7:$I$100,"")+SUMIFS('20a'!$J$7:$J$100,'20a'!$H$7:$H$100,$A227,'20a'!$I$7:$I$100,"")+SUMIFS('21'!$J$7:$J$100,'21'!$H$7:$H$100,$A227,'21'!$I$7:$I$100,"")+SUMIFS('22'!$J$7:$J$100,'22'!$H$7:$H$100,$A227,'22'!$I$7:$I$100,"")+SUMIFS('22a'!$J$7:$J$100,'22a'!$H$7:$H$100,$A227,'22a'!$I$7:$I$100,"")+SUMIFS('22b'!$J$7:$J$100,'22b'!$H$7:$H$100,$A227,'22b'!$I$7:$I$100,"")+SUMIFS('23'!$J$7:$J$100,'23'!$H$7:$H$100,$A227,'23'!$I$7:$I$100,"")+SUMIFS('24'!$J$7:$J$100,'24'!$H$7:$H$100,$A227,'24'!$I$7:$I$100,"")+SUMIFS('24a'!$J$7:$J$100,'24a'!$H$7:$H$100,$A227,'24a'!$I$7:$I$100,"")+SUMIFS('24b'!$J$7:$J$100,'24b'!$H$7:$H$100,$A227,'24b'!$I$7:$I$100,"")+SUMIFS('24c'!$J$7:$J$100,'24c'!$H$7:$H$100,$A227,'24c'!$I$7:$I$100,"")+SUMIFS('24d'!$J$7:$J$100,'24d'!$H$7:$H$100,$A227,'24d'!$I$7:$I$100,"")+SUMIFS('24e'!$J$7:$J$100,'24e'!$H$7:$H$100,$A227,'24e'!$I$7:$I$100,"")+SUMIFS('24f'!$J$7:$J$100,'24f'!$H$7:$H$100,$A227,'24f'!$I$7:$I$100,"")+SUMIFS('24g'!$J$7:$J$100,'24g'!$H$7:$H$100,$A227,'24g'!$I$7:$I$100,"")+SUMIFS('24h'!$J$7:$J$100,'24h'!$H$7:$H$100,$A227,'24h'!$I$7:$I$100,"")+SUMIFS('24i'!$J$7:$J$100,'24i'!$H$7:$H$100,$A227,'24i'!$I$7:$I$100,"")+SUMIFS('25'!$J$7:$J$100,'25'!$H$7:$H$100,$A227,'25'!$I$7:$I$100,"")+SUMIFS('26'!$J$7:$J$100,'26'!$H$7:$H$100,$A227,'26'!$I$7:$I$100,"")+SUMIFS('26a'!$J$7:$J$100,'26a'!$H$7:$H$100,$A227,'26a'!$I$7:$I$100,"")+SUMIFS('27'!$J$7:$J$100,'27'!$H$7:$H$100,$A227,'27'!$I$7:$I$100,"")+SUMIFS('27a'!$J$7:$J$100,'27a'!$H$7:$H$100,$A227,'27a'!$I$7:$I$100,"")+SUMIFS('28'!$J$7:$J$100,'28'!$H$7:$H$100,$A227,'28'!$I$7:$I$100,"")+SUMIFS('29'!$J$7:$J$100,'29'!$H$7:$H$100,$A227,'29'!$I$7:$I$100,"")</f>
        <v>0</v>
      </c>
      <c r="J227" s="1296">
        <f t="shared" si="17"/>
        <v>0</v>
      </c>
      <c r="K227"/>
      <c r="L227"/>
      <c r="M227"/>
      <c r="N227"/>
      <c r="O227"/>
      <c r="P227"/>
      <c r="Q227"/>
      <c r="R227"/>
      <c r="S227" s="1307">
        <f t="shared" si="14"/>
        <v>0</v>
      </c>
      <c r="T227"/>
    </row>
    <row r="228" spans="1:20" x14ac:dyDescent="0.2">
      <c r="A228"/>
      <c r="B228" s="1289" t="str">
        <f>"Total- "&amp;A220</f>
        <v>Total- Insurance</v>
      </c>
      <c r="C228" s="1297">
        <f>SUM(C221:C227)</f>
        <v>0</v>
      </c>
      <c r="D228" s="1290">
        <f>SUM(D221:D227)</f>
        <v>68257.440000000002</v>
      </c>
      <c r="E228" s="1290">
        <f t="shared" ref="E228:J228" si="18">SUM(E221:E227)</f>
        <v>0</v>
      </c>
      <c r="F228" s="1298">
        <f t="shared" si="18"/>
        <v>68257.440000000002</v>
      </c>
      <c r="G228" s="1297">
        <f t="shared" si="18"/>
        <v>0</v>
      </c>
      <c r="H228" s="1290">
        <f t="shared" si="18"/>
        <v>104974.51</v>
      </c>
      <c r="I228" s="1290">
        <f t="shared" si="18"/>
        <v>0</v>
      </c>
      <c r="J228" s="1298">
        <f t="shared" si="18"/>
        <v>104974.51</v>
      </c>
      <c r="K228"/>
      <c r="L228"/>
      <c r="M228"/>
      <c r="N228"/>
      <c r="O228"/>
      <c r="P228"/>
      <c r="Q228"/>
      <c r="R228"/>
      <c r="S228" s="1307"/>
      <c r="T228"/>
    </row>
    <row r="229" spans="1:20" x14ac:dyDescent="0.2">
      <c r="A229"/>
      <c r="B229"/>
      <c r="C229" s="292"/>
      <c r="D229"/>
      <c r="E229"/>
      <c r="F229" s="345"/>
      <c r="G229" s="292"/>
      <c r="H229"/>
      <c r="I229"/>
      <c r="J229" s="345"/>
      <c r="K229"/>
      <c r="L229"/>
      <c r="M229"/>
      <c r="N229"/>
      <c r="O229"/>
      <c r="P229"/>
      <c r="Q229"/>
      <c r="R229"/>
      <c r="S229" s="1307"/>
      <c r="T229"/>
    </row>
    <row r="230" spans="1:20" x14ac:dyDescent="0.2">
      <c r="A230" s="106" t="s">
        <v>5442</v>
      </c>
      <c r="B230" s="5"/>
      <c r="C230" s="1299"/>
      <c r="D230" s="523"/>
      <c r="E230" s="5"/>
      <c r="F230" s="1322"/>
      <c r="G230" s="1299"/>
      <c r="H230" s="523"/>
      <c r="I230" s="5"/>
      <c r="J230" s="1322"/>
      <c r="K230"/>
      <c r="L230"/>
      <c r="M230"/>
      <c r="N230"/>
      <c r="O230"/>
      <c r="P230"/>
      <c r="Q230"/>
      <c r="R230"/>
      <c r="S230" s="1307"/>
      <c r="T230"/>
    </row>
    <row r="231" spans="1:20" ht="12.75" customHeight="1" x14ac:dyDescent="0.2">
      <c r="A231" t="s">
        <v>5154</v>
      </c>
      <c r="B231" t="s">
        <v>5487</v>
      </c>
      <c r="C231" s="1295">
        <f>SUMIFS('12'!$N$7:$N$100,'12'!$H$7:$H$100,$A231,'12'!$I$7:$I$100,1)+SUMIFS('13'!$N$7:$N$100,'13'!$H$7:$H$100,$A231,'13'!$I$7:$I$100,1)+SUMIFS('14'!$N$7:$N$100,'14'!$H$7:$H$100,$A231,'14'!$I$7:$I$100,1)+SUMIFS('15'!$N$7:$N$100,'15'!$H$7:$H$100,$A231,'15'!$I$7:$I$100,1)+SUMIFS('15a'!$N$7:$N$100,'15a'!$H$7:$H$100,$A231,'15a'!$I$7:$I$100,1)+SUMIFS('15b'!$N$7:$N$100,'15b'!$H$7:$H$100,$A231,'15b'!$I$7:$I$100,1)+SUMIFS('15c'!$N$7:$N$100,'15c'!$H$7:$H$100,$A231,'15c'!$I$7:$I$100,1)+SUMIFS('15d'!$N$7:$N$100,'15d'!$H$7:$H$100,$A231,'15d'!$I$7:$I$100,1)+SUMIFS('15e'!$N$7:$N$100,'15e'!$H$7:$H$100,$A231,'15e'!$I$7:$I$100,1)+SUMIFS('15f'!$N$7:$N$100,'15f'!$H$7:$H$100,$A231,'15f'!$I$7:$I$100,1)+SUMIFS('15g'!$N$7:$N$100,'15g'!$H$7:$H$100,$A231,'15g'!$I$7:$I$100,1)+SUMIFS('15h'!$N$7:$N$100,'15h'!$H$7:$H$100,$A231,'15h'!$I$7:$I$100,1)+SUMIFS('15i'!$N$7:$N$100,'15i'!$H$7:$H$100,$A231,'15i'!$I$7:$I$100,1)+SUMIFS('15j'!$N$7:$N$100,'15j'!$H$7:$H$100,$A231,'15j'!$I$7:$I$100,1)+SUMIFS('15k'!$N$7:$N$100,'15k'!$H$7:$H$100,$A231,'15k'!$I$7:$I$100,1)+SUMIFS('15l'!$N$7:$N$100,'15l'!$H$7:$H$100,$A231,'15l'!$I$7:$I$100,1)+SUMIFS('15m'!$N$7:$N$100,'15m'!$H$7:$H$100,$A231,'15m'!$I$7:$I$100,1)+SUMIFS('15n'!$N$7:$N$100,'15n'!$H$7:$H$100,$A231,'15n'!$I$7:$I$100,1)+SUMIFS('16'!$N$7:$N$100,'16'!$H$7:$H$100,$A231,'16'!$I$7:$I$100,1)+SUMIFS('16a'!$N$7:$N$100,'16a'!$H$7:$H$100,$A231,'16a'!$I$7:$I$100,1)+SUMIFS('17'!$N$7:$N$100,'17'!$H$7:$H$100,$A231,'17'!$I$7:$I$100,1)+SUMIFS('17a'!$N$7:$N$100,'17a'!$H$7:$H$100,$A231,'17a'!$I$7:$I$100,1)+SUMIFS('18'!$N$7:$N$100,'18'!$H$7:$H$100,$A231,'18'!$I$7:$I$100,1)+SUMIFS('18a'!$N$7:$N$100,'18a'!$H$7:$H$100,$A231,'18a'!$I$7:$I$100,1)
+SUMIFS('19'!$N$7:$N$100,'19'!$H$7:$H$100,$A231,'19'!$I$7:$I$100,1)+SUMIFS('20'!$N$7:$N$100,'20'!$H$7:$H$100,$A231,'20'!$I$7:$I$100,1)+SUMIFS('20a'!$N$7:$N$100,'20a'!$H$7:$H$100,$A231,'20a'!$I$7:$I$100,1)+SUMIFS('21'!$N$7:$N$100,'21'!$H$7:$H$100,$A231,'21'!$I$7:$I$100,1)+SUMIFS('22'!$N$7:$N$100,'22'!$H$7:$H$100,$A231,'22'!$I$7:$I$100,1)+SUMIFS('22a'!$N$7:$N$100,'22a'!$H$7:$H$100,$A231,'22a'!$I$7:$I$100,1)+SUMIFS('22b'!$N$7:$N$100,'22b'!$H$7:$H$100,$A231,'22b'!$I$7:$I$100,1)+SUMIFS('23'!$N$7:$N$100,'23'!$H$7:$H$100,$A231,'23'!$I$7:$I$100,1)+SUMIFS('24'!$N$7:$N$100,'24'!$H$7:$H$100,$A231,'24'!$I$7:$I$100,1)+SUMIFS('24a'!$N$7:$N$100,'24a'!$H$7:$H$100,$A231,'24a'!$I$7:$I$100,1)+SUMIFS('24b'!$N$7:$N$100,'24b'!$H$7:$H$100,$A231,'24b'!$I$7:$I$100,1)+SUMIFS('24c'!$N$7:$N$100,'24c'!$H$7:$H$100,$A231,'24c'!$I$7:$I$100,1)+SUMIFS('24d'!$N$7:$N$100,'24d'!$H$7:$H$100,$A231,'24d'!$I$7:$I$100,1)+SUMIFS('24e'!$N$7:$N$100,'24e'!$H$7:$H$100,$A231,'24e'!$I$7:$I$100,1)+SUMIFS('24f'!$N$7:$N$100,'24f'!$H$7:$H$100,$A231,'24f'!$I$7:$I$100,1)+SUMIFS('24g'!$N$7:$N$100,'24g'!$H$7:$H$100,$A231,'24g'!$I$7:$I$100,1)+SUMIFS('24h'!$N$7:$N$100,'24h'!$H$7:$H$100,$A231,'24h'!$I$7:$I$100,1)+SUMIFS('24i'!$N$7:$N$100,'24i'!$H$7:$H$100,$A231,'24i'!$I$7:$I$100,1)+SUMIFS('25'!$N$7:$N$100,'25'!$H$7:$H$100,$A231,'25'!$I$7:$I$100,1)+SUMIFS('26'!$N$7:$N$100,'26'!$H$7:$H$100,$A231,'26'!$I$7:$I$100,1)+SUMIFS('26a'!$N$7:$N$100,'26a'!$H$7:$H$100,$A231,'26a'!$I$7:$I$100,1)+SUMIFS('27'!$N$7:$N$100,'27'!$H$7:$H$100,$A231,'27'!$I$7:$I$100,1)+SUMIFS('27a'!$N$7:$N$100,'27a'!$H$7:$H$100,$A231,'27a'!$I$7:$I$100,1)+SUMIFS('28'!$N$7:$N$100,'28'!$H$7:$H$100,$A231,'28'!$I$7:$I$100,1)+SUMIFS('29'!$N$7:$N$100,'29'!$H$7:$H$100,$A231,'29'!$I$7:$I$100,1)</f>
        <v>0</v>
      </c>
      <c r="D231" s="1315">
        <f>SUMIFS('12'!$N$7:$N$100,'12'!$H$7:$H$100,$A231,'12'!$I$7:$I$100,2)+SUMIFS('13'!$N$7:$N$100,'13'!$H$7:$H$100,$A231,'13'!$I$7:$I$100,2)+SUMIFS('14'!$N$7:$N$100,'14'!$H$7:$H$100,$A231,'14'!$I$7:$I$100,2)+SUMIFS('15'!$N$7:$N$100,'15'!$H$7:$H$100,$A231,'15'!$I$7:$I$100,2)+SUMIFS('15a'!$N$7:$N$100,'15a'!$H$7:$H$100,$A231,'15a'!$I$7:$I$100,2)+SUMIFS('15b'!$N$7:$N$100,'15b'!$H$7:$H$100,$A231,'15b'!$I$7:$I$100,2)+SUMIFS('15c'!$N$7:$N$100,'15c'!$H$7:$H$100,$A231,'15c'!$I$7:$I$100,2)+SUMIFS('15d'!$N$7:$N$100,'15d'!$H$7:$H$100,$A231,'15d'!$I$7:$I$100,2)+SUMIFS('15e'!$N$7:$N$100,'15e'!$H$7:$H$100,$A231,'15e'!$I$7:$I$100,2)+SUMIFS('15f'!$N$7:$N$100,'15f'!$H$7:$H$100,$A231,'15f'!$I$7:$I$100,2)+SUMIFS('15g'!$N$7:$N$100,'15g'!$H$7:$H$100,$A231,'15g'!$I$7:$I$100,2)+SUMIFS('15h'!$N$7:$N$100,'15h'!$H$7:$H$100,$A231,'15h'!$I$7:$I$100,2)+SUMIFS('15i'!$N$7:$N$100,'15i'!$H$7:$H$100,$A231,'15i'!$I$7:$I$100,2)+SUMIFS('15j'!$N$7:$N$100,'15j'!$H$7:$H$100,$A231,'15j'!$I$7:$I$100,2)+SUMIFS('15k'!$N$7:$N$100,'15k'!$H$7:$H$100,$A231,'15k'!$I$7:$I$100,2)+SUMIFS('15l'!$N$7:$N$100,'15l'!$H$7:$H$100,$A231,'15l'!$I$7:$I$100,2)+SUMIFS('15m'!$N$7:$N$100,'15m'!$H$7:$H$100,$A231,'15m'!$I$7:$I$100,2)+SUMIFS('15n'!$N$7:$N$100,'15n'!$H$7:$H$100,$A231,'15n'!$I$7:$I$100,2)+SUMIFS('16'!$N$7:$N$100,'16'!$H$7:$H$100,$A231,'16'!$I$7:$I$100,2)+SUMIFS('16a'!$N$7:$N$100,'16a'!$H$7:$H$100,$A231,'16a'!$I$7:$I$100,2)+SUMIFS('17'!$N$7:$N$100,'17'!$H$7:$H$100,$A231,'17'!$I$7:$I$100,2)+SUMIFS('17a'!$N$7:$N$100,'17a'!$H$7:$H$100,$A231,'17a'!$I$7:$I$100,2)+SUMIFS('18'!$N$7:$N$100,'18'!$H$7:$H$100,$A231,'18'!$I$7:$I$100,2)+SUMIFS('18a'!$N$7:$N$100,'18a'!$H$7:$H$100,$A231,'18a'!$I$7:$I$100,2)
+SUMIFS('19'!$N$7:$N$100,'19'!$H$7:$H$100,$A231,'19'!$I$7:$I$100,2)+SUMIFS('20'!$N$7:$N$100,'20'!$H$7:$H$100,$A231,'20'!$I$7:$I$100,2)+SUMIFS('20a'!$N$7:$N$100,'20a'!$H$7:$H$100,$A231,'20a'!$I$7:$I$100,2)+SUMIFS('21'!$N$7:$N$100,'21'!$H$7:$H$100,$A231,'21'!$I$7:$I$100,2)+SUMIFS('22'!$N$7:$N$100,'22'!$H$7:$H$100,$A231,'22'!$I$7:$I$100,2)+SUMIFS('22a'!$N$7:$N$100,'22a'!$H$7:$H$100,$A231,'22a'!$I$7:$I$100,2)+SUMIFS('22b'!$N$7:$N$100,'22b'!$H$7:$H$100,$A231,'22b'!$I$7:$I$100,2)+SUMIFS('23'!$N$7:$N$100,'23'!$H$7:$H$100,$A231,'23'!$I$7:$I$100,2)+SUMIFS('24'!$N$7:$N$100,'24'!$H$7:$H$100,$A231,'24'!$I$7:$I$100,2)+SUMIFS('24a'!$N$7:$N$100,'24a'!$H$7:$H$100,$A231,'24a'!$I$7:$I$100,2)+SUMIFS('24b'!$N$7:$N$100,'24b'!$H$7:$H$100,$A231,'24b'!$I$7:$I$100,2)+SUMIFS('24c'!$N$7:$N$100,'24c'!$H$7:$H$100,$A231,'24c'!$I$7:$I$100,2)+SUMIFS('24d'!$N$7:$N$100,'24d'!$H$7:$H$100,$A231,'24d'!$I$7:$I$100,2)+SUMIFS('24e'!$N$7:$N$100,'24e'!$H$7:$H$100,$A231,'24e'!$I$7:$I$100,2)+SUMIFS('24f'!$N$7:$N$100,'24f'!$H$7:$H$100,$A231,'24f'!$I$7:$I$100,2)+SUMIFS('24g'!$N$7:$N$100,'24g'!$H$7:$H$100,$A231,'24g'!$I$7:$I$100,2)+SUMIFS('24h'!$N$7:$N$100,'24h'!$H$7:$H$100,$A231,'24h'!$I$7:$I$100,2)+SUMIFS('24i'!$N$7:$N$100,'24i'!$H$7:$H$100,$A231,'24i'!$I$7:$I$100,2)+SUMIFS('25'!$N$7:$N$100,'25'!$H$7:$H$100,$A231,'25'!$I$7:$I$100,2)+SUMIFS('26'!$N$7:$N$100,'26'!$H$7:$H$100,$A231,'26'!$I$7:$I$100,2)+SUMIFS('26a'!$N$7:$N$100,'26a'!$H$7:$H$100,$A231,'26a'!$I$7:$I$100,2)+SUMIFS('27'!$N$7:$N$100,'27'!$H$7:$H$100,$A231,'27'!$I$7:$I$100,2)+SUMIFS('27a'!$N$7:$N$100,'27a'!$H$7:$H$100,$A231,'27a'!$I$7:$I$100,2)+SUMIFS('28'!$N$7:$N$100,'28'!$H$7:$H$100,$A231,'28'!$I$7:$I$100,2)+SUMIFS('29'!$N$7:$N$100,'29'!$H$7:$H$100,$A231,'29'!$I$7:$I$100,2)</f>
        <v>0</v>
      </c>
      <c r="E231" s="1315">
        <f>SUMIFS('12'!$N$7:$N$100,'12'!$H$7:$H$100,$A231,'12'!$I$7:$I$100,"")+SUMIFS('13'!$N$7:$N$100,'13'!$H$7:$H$100,$A231,'13'!$I$7:$I$100,"")+SUMIFS('14'!$N$7:$N$100,'14'!$H$7:$H$100,$A231,'14'!$I$7:$I$100,"")+SUMIFS('15'!$N$7:$N$100,'15'!$H$7:$H$100,$A231,'15'!$I$7:$I$100,"")+SUMIFS('15a'!$N$7:$N$100,'15a'!$H$7:$H$100,$A231,'15a'!$I$7:$I$100,"")+SUMIFS('15b'!$N$7:$N$100,'15b'!$H$7:$H$100,$A231,'15b'!$I$7:$I$100,"")+SUMIFS('15c'!$N$7:$N$100,'15c'!$H$7:$H$100,$A231,'15c'!$I$7:$I$100,"")+SUMIFS('15d'!$N$7:$N$100,'15d'!$H$7:$H$100,$A231,'15d'!$I$7:$I$100,"")+SUMIFS('15e'!$N$7:$N$100,'15e'!$H$7:$H$100,$A231,'15e'!$I$7:$I$100,"")+SUMIFS('15f'!$N$7:$N$100,'15f'!$H$7:$H$100,$A231,'15f'!$I$7:$I$100,"")+SUMIFS('15g'!$N$7:$N$100,'15g'!$H$7:$H$100,$A231,'15g'!$I$7:$I$100,"")+SUMIFS('15h'!$N$7:$N$100,'15h'!$H$7:$H$100,$A231,'15h'!$I$7:$I$100,"")+SUMIFS('15i'!$N$7:$N$100,'15i'!$H$7:$H$100,$A231,'15i'!$I$7:$I$100,"")+SUMIFS('15j'!$N$7:$N$100,'15j'!$H$7:$H$100,$A231,'15j'!$I$7:$I$100,"")+SUMIFS('15k'!$N$7:$N$100,'15k'!$H$7:$H$100,$A231,'15k'!$I$7:$I$100,"")+SUMIFS('15l'!$N$7:$N$100,'15l'!$H$7:$H$100,$A231,'15l'!$I$7:$I$100,"")+SUMIFS('15m'!$N$7:$N$100,'15m'!$H$7:$H$100,$A231,'15m'!$I$7:$I$100,"")+SUMIFS('15n'!$N$7:$N$100,'15n'!$H$7:$H$100,$A231,'15n'!$I$7:$I$100,"")+SUMIFS('16'!$N$7:$N$100,'16'!$H$7:$H$100,$A231,'16'!$I$7:$I$100,"")+SUMIFS('16a'!$N$7:$N$100,'16a'!$H$7:$H$100,$A231,'16a'!$I$7:$I$100,"")+SUMIFS('17'!$N$7:$N$100,'17'!$H$7:$H$100,$A231,'17'!$I$7:$I$100,"")+SUMIFS('17a'!$N$7:$N$100,'17a'!$H$7:$H$100,$A231,'17a'!$I$7:$I$100,"")+SUMIFS('18'!$N$7:$N$100,'18'!$H$7:$H$100,$A231,'18'!$I$7:$I$100,"")+SUMIFS('18a'!$N$7:$N$100,'18a'!$H$7:$H$100,$A231,'18a'!$I$7:$I$100,"")
+SUMIFS('19'!$N$7:$N$100,'19'!$H$7:$H$100,$A231,'19'!$I$7:$I$100,"")+SUMIFS('20'!$N$7:$N$100,'20'!$H$7:$H$100,$A231,'20'!$I$7:$I$100,"")+SUMIFS('20a'!$N$7:$N$100,'20a'!$H$7:$H$100,$A231,'20a'!$I$7:$I$100,"")+SUMIFS('21'!$N$7:$N$100,'21'!$H$7:$H$100,$A231,'21'!$I$7:$I$100,"")+SUMIFS('22'!$N$7:$N$100,'22'!$H$7:$H$100,$A231,'22'!$I$7:$I$100,"")+SUMIFS('22a'!$N$7:$N$100,'22a'!$H$7:$H$100,$A231,'22a'!$I$7:$I$100,"")+SUMIFS('22b'!$N$7:$N$100,'22b'!$H$7:$H$100,$A231,'22b'!$I$7:$I$100,"")+SUMIFS('23'!$N$7:$N$100,'23'!$H$7:$H$100,$A231,'23'!$I$7:$I$100,"")+SUMIFS('24'!$N$7:$N$100,'24'!$H$7:$H$100,$A231,'24'!$I$7:$I$100,"")+SUMIFS('24a'!$N$7:$N$100,'24a'!$H$7:$H$100,$A231,'24a'!$I$7:$I$100,"")+SUMIFS('24b'!$N$7:$N$100,'24b'!$H$7:$H$100,$A231,'24b'!$I$7:$I$100,"")+SUMIFS('24c'!$N$7:$N$100,'24c'!$H$7:$H$100,$A231,'24c'!$I$7:$I$100,"")+SUMIFS('24d'!$N$7:$N$100,'24d'!$H$7:$H$100,$A231,'24d'!$I$7:$I$100,"")+SUMIFS('24e'!$N$7:$N$100,'24e'!$H$7:$H$100,$A231,'24e'!$I$7:$I$100,"")+SUMIFS('24f'!$N$7:$N$100,'24f'!$H$7:$H$100,$A231,'24f'!$I$7:$I$100,"")+SUMIFS('24g'!$N$7:$N$100,'24g'!$H$7:$H$100,$A231,'24g'!$I$7:$I$100,"")+SUMIFS('24h'!$N$7:$N$100,'24h'!$H$7:$H$100,$A231,'24h'!$I$7:$I$100,"")+SUMIFS('24i'!$N$7:$N$100,'24i'!$H$7:$H$100,$A231,'24i'!$I$7:$I$100,"")+SUMIFS('25'!$N$7:$N$100,'25'!$H$7:$H$100,$A231,'25'!$I$7:$I$100,"")+SUMIFS('26'!$N$7:$N$100,'26'!$H$7:$H$100,$A231,'26'!$I$7:$I$100,"")+SUMIFS('26a'!$N$7:$N$100,'26a'!$H$7:$H$100,$A231,'26a'!$I$7:$I$100,"")+SUMIFS('27'!$N$7:$N$100,'27'!$H$7:$H$100,$A231,'27'!$I$7:$I$100,"")+SUMIFS('27a'!$N$7:$N$100,'27a'!$H$7:$H$100,$A231,'27a'!$I$7:$I$100,"")+SUMIFS('28'!$N$7:$N$100,'28'!$H$7:$H$100,$A231,'28'!$I$7:$I$100,"")+SUMIFS('29'!$N$7:$N$100,'29'!$H$7:$H$100,$A231,'29'!$I$7:$I$100,"")</f>
        <v>0</v>
      </c>
      <c r="F231" s="1296">
        <f>SUM(C231:E231)</f>
        <v>0</v>
      </c>
      <c r="G231" s="1295">
        <f>SUMIFS('12'!$J$7:$J$100,'12'!$H$7:$H$100,$A231,'12'!$I$7:$I$100,1)+SUMIFS('13'!$J$7:$J$100,'13'!$H$7:$H$100,$A231,'13'!$I$7:$I$100,1)+SUMIFS('14'!$J$7:$J$100,'14'!$H$7:$H$100,$A231,'14'!$I$7:$I$100,1)+SUMIFS('15'!$J$7:$J$100,'15'!$H$7:$H$100,$A231,'15'!$I$7:$I$100,1)+SUMIFS('15a'!$J$7:$J$100,'15a'!$H$7:$H$100,$A231,'15a'!$I$7:$I$100,1)+SUMIFS('15b'!$J$7:$J$100,'15b'!$H$7:$H$100,$A231,'15b'!$I$7:$I$100,1)+SUMIFS('15c'!$J$7:$J$100,'15c'!$H$7:$H$100,$A231,'15c'!$I$7:$I$100,1)+SUMIFS('15d'!$J$7:$J$100,'15d'!$H$7:$H$100,$A231,'15d'!$I$7:$I$100,1)+SUMIFS('15e'!$J$7:$J$100,'15e'!$H$7:$H$100,$A231,'15e'!$I$7:$I$100,1)+SUMIFS('15f'!$J$7:$J$100,'15f'!$H$7:$H$100,$A231,'15f'!$I$7:$I$100,1)+SUMIFS('15g'!$J$7:$J$100,'15g'!$H$7:$H$100,$A231,'15g'!$I$7:$I$100,1)+SUMIFS('15h'!$J$7:$J$100,'15h'!$H$7:$H$100,$A231,'15h'!$I$7:$I$100,1)+SUMIFS('15i'!$J$7:$J$100,'15i'!$H$7:$H$100,$A231,'15i'!$I$7:$I$100,1)+SUMIFS('15j'!$J$7:$J$100,'15j'!$H$7:$H$100,$A231,'15j'!$I$7:$I$100,1)+SUMIFS('15k'!$J$7:$J$100,'15k'!$H$7:$H$100,$A231,'15k'!$I$7:$I$100,1)+SUMIFS('15l'!$J$7:$J$100,'15l'!$H$7:$H$100,$A231,'15l'!$I$7:$I$100,1)+SUMIFS('15m'!$J$7:$J$100,'15m'!$H$7:$H$100,$A231,'15m'!$I$7:$I$100,1)+SUMIFS('15n'!$J$7:$J$100,'15n'!$H$7:$H$100,$A231,'15n'!$I$7:$I$100,1)+SUMIFS('16'!$J$7:$J$100,'16'!$H$7:$H$100,$A231,'16'!$I$7:$I$100,1)+SUMIFS('16a'!$J$7:$J$100,'16a'!$H$7:$H$100,$A231,'16a'!$I$7:$I$100,1)+SUMIFS('17'!$J$7:$J$100,'17'!$H$7:$H$100,$A231,'17'!$I$7:$I$100,1)+SUMIFS('17a'!$J$7:$J$100,'17a'!$H$7:$H$100,$A231,'17a'!$I$7:$I$100,1)+SUMIFS('18'!$J$7:$J$100,'18'!$H$7:$H$100,$A231,'18'!$I$7:$I$100,1)+SUMIFS('18a'!$J$7:$J$100,'18a'!$H$7:$H$100,$A231,'18a'!$I$7:$I$100,1)
+SUMIFS('19'!$J$7:$J$100,'19'!$H$7:$H$100,$A231,'19'!$I$7:$I$100,1)+SUMIFS('20'!$J$7:$J$100,'20'!$H$7:$H$100,$A231,'20'!$I$7:$I$100,1)+SUMIFS('20a'!$J$7:$J$100,'20a'!$H$7:$H$100,$A231,'20a'!$I$7:$I$100,1)+SUMIFS('21'!$J$7:$J$100,'21'!$H$7:$H$100,$A231,'21'!$I$7:$I$100,1)+SUMIFS('22'!$J$7:$J$100,'22'!$H$7:$H$100,$A231,'22'!$I$7:$I$100,1)+SUMIFS('22a'!$J$7:$J$100,'22a'!$H$7:$H$100,$A231,'22a'!$I$7:$I$100,1)+SUMIFS('22b'!$J$7:$J$100,'22b'!$H$7:$H$100,$A231,'22b'!$I$7:$I$100,1)+SUMIFS('23'!$J$7:$J$100,'23'!$H$7:$H$100,$A231,'23'!$I$7:$I$100,1)+SUMIFS('24'!$J$7:$J$100,'24'!$H$7:$H$100,$A231,'24'!$I$7:$I$100,1)+SUMIFS('24a'!$J$7:$J$100,'24a'!$H$7:$H$100,$A231,'24a'!$I$7:$I$100,1)+SUMIFS('24b'!$J$7:$J$100,'24b'!$H$7:$H$100,$A231,'24b'!$I$7:$I$100,1)+SUMIFS('24c'!$J$7:$J$100,'24c'!$H$7:$H$100,$A231,'24c'!$I$7:$I$100,1)+SUMIFS('24d'!$J$7:$J$100,'24d'!$H$7:$H$100,$A231,'24d'!$I$7:$I$100,1)+SUMIFS('24e'!$J$7:$J$100,'24e'!$H$7:$H$100,$A231,'24e'!$I$7:$I$100,1)+SUMIFS('24f'!$J$7:$J$100,'24f'!$H$7:$H$100,$A231,'24f'!$I$7:$I$100,1)+SUMIFS('24g'!$J$7:$J$100,'24g'!$H$7:$H$100,$A231,'24g'!$I$7:$I$100,1)+SUMIFS('24h'!$J$7:$J$100,'24h'!$H$7:$H$100,$A231,'24h'!$I$7:$I$100,1)+SUMIFS('24i'!$J$7:$J$100,'24i'!$H$7:$H$100,$A231,'24i'!$I$7:$I$100,1)+SUMIFS('25'!$J$7:$J$100,'25'!$H$7:$H$100,$A231,'25'!$I$7:$I$100,1)+SUMIFS('26'!$J$7:$J$100,'26'!$H$7:$H$100,$A231,'26'!$I$7:$I$100,1)+SUMIFS('26a'!$J$7:$J$100,'26a'!$H$7:$H$100,$A231,'26a'!$I$7:$I$100,1)+SUMIFS('27'!$J$7:$J$100,'27'!$H$7:$H$100,$A231,'27'!$I$7:$I$100,1)+SUMIFS('27a'!$J$7:$J$100,'27a'!$H$7:$H$100,$A231,'27a'!$I$7:$I$100,1)+SUMIFS('28'!$J$7:$J$100,'28'!$H$7:$H$100,$A231,'28'!$I$7:$I$100,1)+SUMIFS('29'!$J$7:$J$100,'29'!$H$7:$H$100,$A231,'29'!$I$7:$I$100,1)</f>
        <v>0</v>
      </c>
      <c r="H231" s="1315">
        <f>SUMIFS('12'!$J$7:$J$100,'12'!$H$7:$H$100,$A231,'12'!$I$7:$I$100,2)+SUMIFS('13'!$J$7:$J$100,'13'!$H$7:$H$100,$A231,'13'!$I$7:$I$100,2)+SUMIFS('14'!$J$7:$J$100,'14'!$H$7:$H$100,$A231,'14'!$I$7:$I$100,2)+SUMIFS('15'!$J$7:$J$100,'15'!$H$7:$H$100,$A231,'15'!$I$7:$I$100,2)+SUMIFS('15a'!$J$7:$J$100,'15a'!$H$7:$H$100,$A231,'15a'!$I$7:$I$100,2)+SUMIFS('15b'!$J$7:$J$100,'15b'!$H$7:$H$100,$A231,'15b'!$I$7:$I$100,2)+SUMIFS('15c'!$J$7:$J$100,'15c'!$H$7:$H$100,$A231,'15c'!$I$7:$I$100,2)+SUMIFS('15d'!$J$7:$J$100,'15d'!$H$7:$H$100,$A231,'15d'!$I$7:$I$100,2)+SUMIFS('15e'!$J$7:$J$100,'15e'!$H$7:$H$100,$A231,'15e'!$I$7:$I$100,2)+SUMIFS('15f'!$J$7:$J$100,'15f'!$H$7:$H$100,$A231,'15f'!$I$7:$I$100,2)+SUMIFS('15g'!$J$7:$J$100,'15g'!$H$7:$H$100,$A231,'15g'!$I$7:$I$100,2)+SUMIFS('15h'!$J$7:$J$100,'15h'!$H$7:$H$100,$A231,'15h'!$I$7:$I$100,2)+SUMIFS('15i'!$J$7:$J$100,'15i'!$H$7:$H$100,$A231,'15i'!$I$7:$I$100,2)+SUMIFS('15j'!$J$7:$J$100,'15j'!$H$7:$H$100,$A231,'15j'!$I$7:$I$100,2)+SUMIFS('15k'!$J$7:$J$100,'15k'!$H$7:$H$100,$A231,'15k'!$I$7:$I$100,2)+SUMIFS('15l'!$J$7:$J$100,'15l'!$H$7:$H$100,$A231,'15l'!$I$7:$I$100,2)+SUMIFS('15m'!$J$7:$J$100,'15m'!$H$7:$H$100,$A231,'15m'!$I$7:$I$100,2)+SUMIFS('15n'!$J$7:$J$100,'15n'!$H$7:$H$100,$A231,'15n'!$I$7:$I$100,2)+SUMIFS('16'!$J$7:$J$100,'16'!$H$7:$H$100,$A231,'16'!$I$7:$I$100,2)+SUMIFS('16a'!$J$7:$J$100,'16a'!$H$7:$H$100,$A231,'16a'!$I$7:$I$100,2)+SUMIFS('17'!$J$7:$J$100,'17'!$H$7:$H$100,$A231,'17'!$I$7:$I$100,2)+SUMIFS('17a'!$J$7:$J$100,'17a'!$H$7:$H$100,$A231,'17a'!$I$7:$I$100,2)+SUMIFS('18'!$J$7:$J$100,'18'!$H$7:$H$100,$A231,'18'!$I$7:$I$100,2)+SUMIFS('18a'!$J$7:$J$100,'18a'!$H$7:$H$100,$A231,'18a'!$I$7:$I$100,2)
+SUMIFS('19'!$J$7:$J$100,'19'!$H$7:$H$100,$A231,'19'!$I$7:$I$100,2)+SUMIFS('20'!$J$7:$J$100,'20'!$H$7:$H$100,$A231,'20'!$I$7:$I$100,2)+SUMIFS('20a'!$J$7:$J$100,'20a'!$H$7:$H$100,$A231,'20a'!$I$7:$I$100,2)+SUMIFS('21'!$J$7:$J$100,'21'!$H$7:$H$100,$A231,'21'!$I$7:$I$100,2)+SUMIFS('22'!$J$7:$J$100,'22'!$H$7:$H$100,$A231,'22'!$I$7:$I$100,2)+SUMIFS('22a'!$J$7:$J$100,'22a'!$H$7:$H$100,$A231,'22a'!$I$7:$I$100,2)+SUMIFS('22b'!$J$7:$J$100,'22b'!$H$7:$H$100,$A231,'22b'!$I$7:$I$100,2)+SUMIFS('23'!$J$7:$J$100,'23'!$H$7:$H$100,$A231,'23'!$I$7:$I$100,2)+SUMIFS('24'!$J$7:$J$100,'24'!$H$7:$H$100,$A231,'24'!$I$7:$I$100,2)+SUMIFS('24a'!$J$7:$J$100,'24a'!$H$7:$H$100,$A231,'24a'!$I$7:$I$100,2)+SUMIFS('24b'!$J$7:$J$100,'24b'!$H$7:$H$100,$A231,'24b'!$I$7:$I$100,2)+SUMIFS('24c'!$J$7:$J$100,'24c'!$H$7:$H$100,$A231,'24c'!$I$7:$I$100,2)+SUMIFS('24d'!$J$7:$J$100,'24d'!$H$7:$H$100,$A231,'24d'!$I$7:$I$100,2)+SUMIFS('24e'!$J$7:$J$100,'24e'!$H$7:$H$100,$A231,'24e'!$I$7:$I$100,2)+SUMIFS('24f'!$J$7:$J$100,'24f'!$H$7:$H$100,$A231,'24f'!$I$7:$I$100,2)+SUMIFS('24g'!$J$7:$J$100,'24g'!$H$7:$H$100,$A231,'24g'!$I$7:$I$100,2)+SUMIFS('24h'!$J$7:$J$100,'24h'!$H$7:$H$100,$A231,'24h'!$I$7:$I$100,2)+SUMIFS('24i'!$J$7:$J$100,'24i'!$H$7:$H$100,$A231,'24i'!$I$7:$I$100,2)+SUMIFS('25'!$J$7:$J$100,'25'!$H$7:$H$100,$A231,'25'!$I$7:$I$100,2)+SUMIFS('26'!$J$7:$J$100,'26'!$H$7:$H$100,$A231,'26'!$I$7:$I$100,2)+SUMIFS('26a'!$J$7:$J$100,'26a'!$H$7:$H$100,$A231,'26a'!$I$7:$I$100,2)+SUMIFS('27'!$J$7:$J$100,'27'!$H$7:$H$100,$A231,'27'!$I$7:$I$100,2)+SUMIFS('27a'!$J$7:$J$100,'27a'!$H$7:$H$100,$A231,'27a'!$I$7:$I$100,2)+SUMIFS('28'!$J$7:$J$100,'28'!$H$7:$H$100,$A231,'28'!$I$7:$I$100,2)+SUMIFS('29'!$J$7:$J$100,'29'!$H$7:$H$100,$A231,'29'!$I$7:$I$100,2)</f>
        <v>100</v>
      </c>
      <c r="I231" s="1315">
        <f>SUMIFS('12'!$J$7:$J$100,'12'!$H$7:$H$100,$A231,'12'!$I$7:$I$100,"")+SUMIFS('13'!$J$7:$J$100,'13'!$H$7:$H$100,$A231,'13'!$I$7:$I$100,"")+SUMIFS('14'!$J$7:$J$100,'14'!$H$7:$H$100,$A231,'14'!$I$7:$I$100,"")+SUMIFS('15'!$J$7:$J$100,'15'!$H$7:$H$100,$A231,'15'!$I$7:$I$100,"")+SUMIFS('15a'!$J$7:$J$100,'15a'!$H$7:$H$100,$A231,'15a'!$I$7:$I$100,"")+SUMIFS('15b'!$J$7:$J$100,'15b'!$H$7:$H$100,$A231,'15b'!$I$7:$I$100,"")+SUMIFS('15c'!$J$7:$J$100,'15c'!$H$7:$H$100,$A231,'15c'!$I$7:$I$100,"")+SUMIFS('15d'!$J$7:$J$100,'15d'!$H$7:$H$100,$A231,'15d'!$I$7:$I$100,"")+SUMIFS('15e'!$J$7:$J$100,'15e'!$H$7:$H$100,$A231,'15e'!$I$7:$I$100,"")+SUMIFS('15f'!$J$7:$J$100,'15f'!$H$7:$H$100,$A231,'15f'!$I$7:$I$100,"")+SUMIFS('15g'!$J$7:$J$100,'15g'!$H$7:$H$100,$A231,'15g'!$I$7:$I$100,"")+SUMIFS('15h'!$J$7:$J$100,'15h'!$H$7:$H$100,$A231,'15h'!$I$7:$I$100,"")+SUMIFS('15i'!$J$7:$J$100,'15i'!$H$7:$H$100,$A231,'15i'!$I$7:$I$100,"")+SUMIFS('15j'!$J$7:$J$100,'15j'!$H$7:$H$100,$A231,'15j'!$I$7:$I$100,"")+SUMIFS('15k'!$J$7:$J$100,'15k'!$H$7:$H$100,$A231,'15k'!$I$7:$I$100,"")+SUMIFS('15l'!$J$7:$J$100,'15l'!$H$7:$H$100,$A231,'15l'!$I$7:$I$100,"")+SUMIFS('15m'!$J$7:$J$100,'15m'!$H$7:$H$100,$A231,'15m'!$I$7:$I$100,"")+SUMIFS('15n'!$J$7:$J$100,'15n'!$H$7:$H$100,$A231,'15n'!$I$7:$I$100,"")+SUMIFS('16'!$J$7:$J$100,'16'!$H$7:$H$100,$A231,'16'!$I$7:$I$100,"")+SUMIFS('16a'!$J$7:$J$100,'16a'!$H$7:$H$100,$A231,'16a'!$I$7:$I$100,"")+SUMIFS('17'!$J$7:$J$100,'17'!$H$7:$H$100,$A231,'17'!$I$7:$I$100,"")+SUMIFS('17a'!$J$7:$J$100,'17a'!$H$7:$H$100,$A231,'17a'!$I$7:$I$100,"")+SUMIFS('18'!$J$7:$J$100,'18'!$H$7:$H$100,$A231,'18'!$I$7:$I$100,"")+SUMIFS('18a'!$J$7:$J$100,'18a'!$H$7:$H$100,$A231,'18a'!$I$7:$I$100,"")
+SUMIFS('19'!$J$7:$J$100,'19'!$H$7:$H$100,$A231,'19'!$I$7:$I$100,"")+SUMIFS('20'!$J$7:$J$100,'20'!$H$7:$H$100,$A231,'20'!$I$7:$I$100,"")+SUMIFS('20a'!$J$7:$J$100,'20a'!$H$7:$H$100,$A231,'20a'!$I$7:$I$100,"")+SUMIFS('21'!$J$7:$J$100,'21'!$H$7:$H$100,$A231,'21'!$I$7:$I$100,"")+SUMIFS('22'!$J$7:$J$100,'22'!$H$7:$H$100,$A231,'22'!$I$7:$I$100,"")+SUMIFS('22a'!$J$7:$J$100,'22a'!$H$7:$H$100,$A231,'22a'!$I$7:$I$100,"")+SUMIFS('22b'!$J$7:$J$100,'22b'!$H$7:$H$100,$A231,'22b'!$I$7:$I$100,"")+SUMIFS('23'!$J$7:$J$100,'23'!$H$7:$H$100,$A231,'23'!$I$7:$I$100,"")+SUMIFS('24'!$J$7:$J$100,'24'!$H$7:$H$100,$A231,'24'!$I$7:$I$100,"")+SUMIFS('24a'!$J$7:$J$100,'24a'!$H$7:$H$100,$A231,'24a'!$I$7:$I$100,"")+SUMIFS('24b'!$J$7:$J$100,'24b'!$H$7:$H$100,$A231,'24b'!$I$7:$I$100,"")+SUMIFS('24c'!$J$7:$J$100,'24c'!$H$7:$H$100,$A231,'24c'!$I$7:$I$100,"")+SUMIFS('24d'!$J$7:$J$100,'24d'!$H$7:$H$100,$A231,'24d'!$I$7:$I$100,"")+SUMIFS('24e'!$J$7:$J$100,'24e'!$H$7:$H$100,$A231,'24e'!$I$7:$I$100,"")+SUMIFS('24f'!$J$7:$J$100,'24f'!$H$7:$H$100,$A231,'24f'!$I$7:$I$100,"")+SUMIFS('24g'!$J$7:$J$100,'24g'!$H$7:$H$100,$A231,'24g'!$I$7:$I$100,"")+SUMIFS('24h'!$J$7:$J$100,'24h'!$H$7:$H$100,$A231,'24h'!$I$7:$I$100,"")+SUMIFS('24i'!$J$7:$J$100,'24i'!$H$7:$H$100,$A231,'24i'!$I$7:$I$100,"")+SUMIFS('25'!$J$7:$J$100,'25'!$H$7:$H$100,$A231,'25'!$I$7:$I$100,"")+SUMIFS('26'!$J$7:$J$100,'26'!$H$7:$H$100,$A231,'26'!$I$7:$I$100,"")+SUMIFS('26a'!$J$7:$J$100,'26a'!$H$7:$H$100,$A231,'26a'!$I$7:$I$100,"")+SUMIFS('27'!$J$7:$J$100,'27'!$H$7:$H$100,$A231,'27'!$I$7:$I$100,"")+SUMIFS('27a'!$J$7:$J$100,'27a'!$H$7:$H$100,$A231,'27a'!$I$7:$I$100,"")+SUMIFS('28'!$J$7:$J$100,'28'!$H$7:$H$100,$A231,'28'!$I$7:$I$100,"")+SUMIFS('29'!$J$7:$J$100,'29'!$H$7:$H$100,$A231,'29'!$I$7:$I$100,"")</f>
        <v>0</v>
      </c>
      <c r="J231" s="1296">
        <f>SUM(G231:I231)</f>
        <v>100</v>
      </c>
      <c r="K231"/>
      <c r="L231"/>
      <c r="M231"/>
      <c r="N231"/>
      <c r="O231"/>
      <c r="P231"/>
      <c r="Q231"/>
      <c r="R231"/>
      <c r="S231" s="1307">
        <f t="shared" si="14"/>
        <v>200</v>
      </c>
      <c r="T231"/>
    </row>
    <row r="232" spans="1:20" ht="12.75" customHeight="1" x14ac:dyDescent="0.2">
      <c r="A232"/>
      <c r="B232" t="s">
        <v>5571</v>
      </c>
      <c r="C232" s="1295">
        <f>SUM(C233:C237)</f>
        <v>0</v>
      </c>
      <c r="D232" s="1315">
        <f t="shared" ref="D232:J232" si="19">SUM(D233:D237)</f>
        <v>0</v>
      </c>
      <c r="E232" s="1315">
        <f t="shared" si="19"/>
        <v>0</v>
      </c>
      <c r="F232" s="1296">
        <f>SUM(F233:F237)</f>
        <v>0</v>
      </c>
      <c r="G232" s="1295">
        <f t="shared" si="19"/>
        <v>0</v>
      </c>
      <c r="H232" s="1315">
        <f t="shared" si="19"/>
        <v>0</v>
      </c>
      <c r="I232" s="1315">
        <f t="shared" si="19"/>
        <v>0</v>
      </c>
      <c r="J232" s="1296">
        <f t="shared" si="19"/>
        <v>0</v>
      </c>
      <c r="K232"/>
      <c r="L232"/>
      <c r="M232"/>
      <c r="N232"/>
      <c r="O232"/>
      <c r="P232"/>
      <c r="Q232"/>
      <c r="R232"/>
      <c r="S232" s="1307">
        <f t="shared" si="14"/>
        <v>0</v>
      </c>
      <c r="T232"/>
    </row>
    <row r="233" spans="1:20" ht="12.75" customHeight="1" outlineLevel="1" x14ac:dyDescent="0.2">
      <c r="A233" t="s">
        <v>5155</v>
      </c>
      <c r="B233" t="s">
        <v>5488</v>
      </c>
      <c r="C233" s="1295">
        <f>SUMIFS('12'!$N$7:$N$100,'12'!$H$7:$H$100,$A233,'12'!$I$7:$I$100,1)+SUMIFS('13'!$N$7:$N$100,'13'!$H$7:$H$100,$A233,'13'!$I$7:$I$100,1)+SUMIFS('14'!$N$7:$N$100,'14'!$H$7:$H$100,$A233,'14'!$I$7:$I$100,1)+SUMIFS('15'!$N$7:$N$100,'15'!$H$7:$H$100,$A233,'15'!$I$7:$I$100,1)+SUMIFS('15a'!$N$7:$N$100,'15a'!$H$7:$H$100,$A233,'15a'!$I$7:$I$100,1)+SUMIFS('15b'!$N$7:$N$100,'15b'!$H$7:$H$100,$A233,'15b'!$I$7:$I$100,1)+SUMIFS('15c'!$N$7:$N$100,'15c'!$H$7:$H$100,$A233,'15c'!$I$7:$I$100,1)+SUMIFS('15d'!$N$7:$N$100,'15d'!$H$7:$H$100,$A233,'15d'!$I$7:$I$100,1)+SUMIFS('15e'!$N$7:$N$100,'15e'!$H$7:$H$100,$A233,'15e'!$I$7:$I$100,1)+SUMIFS('15f'!$N$7:$N$100,'15f'!$H$7:$H$100,$A233,'15f'!$I$7:$I$100,1)+SUMIFS('15g'!$N$7:$N$100,'15g'!$H$7:$H$100,$A233,'15g'!$I$7:$I$100,1)+SUMIFS('15h'!$N$7:$N$100,'15h'!$H$7:$H$100,$A233,'15h'!$I$7:$I$100,1)+SUMIFS('15i'!$N$7:$N$100,'15i'!$H$7:$H$100,$A233,'15i'!$I$7:$I$100,1)+SUMIFS('15j'!$N$7:$N$100,'15j'!$H$7:$H$100,$A233,'15j'!$I$7:$I$100,1)+SUMIFS('15k'!$N$7:$N$100,'15k'!$H$7:$H$100,$A233,'15k'!$I$7:$I$100,1)+SUMIFS('15l'!$N$7:$N$100,'15l'!$H$7:$H$100,$A233,'15l'!$I$7:$I$100,1)+SUMIFS('15m'!$N$7:$N$100,'15m'!$H$7:$H$100,$A233,'15m'!$I$7:$I$100,1)+SUMIFS('15n'!$N$7:$N$100,'15n'!$H$7:$H$100,$A233,'15n'!$I$7:$I$100,1)+SUMIFS('16'!$N$7:$N$100,'16'!$H$7:$H$100,$A233,'16'!$I$7:$I$100,1)+SUMIFS('16a'!$N$7:$N$100,'16a'!$H$7:$H$100,$A233,'16a'!$I$7:$I$100,1)+SUMIFS('17'!$N$7:$N$100,'17'!$H$7:$H$100,$A233,'17'!$I$7:$I$100,1)+SUMIFS('17a'!$N$7:$N$100,'17a'!$H$7:$H$100,$A233,'17a'!$I$7:$I$100,1)+SUMIFS('18'!$N$7:$N$100,'18'!$H$7:$H$100,$A233,'18'!$I$7:$I$100,1)+SUMIFS('18a'!$N$7:$N$100,'18a'!$H$7:$H$100,$A233,'18a'!$I$7:$I$100,1)
+SUMIFS('19'!$N$7:$N$100,'19'!$H$7:$H$100,$A233,'19'!$I$7:$I$100,1)+SUMIFS('20'!$N$7:$N$100,'20'!$H$7:$H$100,$A233,'20'!$I$7:$I$100,1)+SUMIFS('20a'!$N$7:$N$100,'20a'!$H$7:$H$100,$A233,'20a'!$I$7:$I$100,1)+SUMIFS('21'!$N$7:$N$100,'21'!$H$7:$H$100,$A233,'21'!$I$7:$I$100,1)+SUMIFS('22'!$N$7:$N$100,'22'!$H$7:$H$100,$A233,'22'!$I$7:$I$100,1)+SUMIFS('22a'!$N$7:$N$100,'22a'!$H$7:$H$100,$A233,'22a'!$I$7:$I$100,1)+SUMIFS('22b'!$N$7:$N$100,'22b'!$H$7:$H$100,$A233,'22b'!$I$7:$I$100,1)+SUMIFS('23'!$N$7:$N$100,'23'!$H$7:$H$100,$A233,'23'!$I$7:$I$100,1)+SUMIFS('24'!$N$7:$N$100,'24'!$H$7:$H$100,$A233,'24'!$I$7:$I$100,1)+SUMIFS('24a'!$N$7:$N$100,'24a'!$H$7:$H$100,$A233,'24a'!$I$7:$I$100,1)+SUMIFS('24b'!$N$7:$N$100,'24b'!$H$7:$H$100,$A233,'24b'!$I$7:$I$100,1)+SUMIFS('24c'!$N$7:$N$100,'24c'!$H$7:$H$100,$A233,'24c'!$I$7:$I$100,1)+SUMIFS('24d'!$N$7:$N$100,'24d'!$H$7:$H$100,$A233,'24d'!$I$7:$I$100,1)+SUMIFS('24e'!$N$7:$N$100,'24e'!$H$7:$H$100,$A233,'24e'!$I$7:$I$100,1)+SUMIFS('24f'!$N$7:$N$100,'24f'!$H$7:$H$100,$A233,'24f'!$I$7:$I$100,1)+SUMIFS('24g'!$N$7:$N$100,'24g'!$H$7:$H$100,$A233,'24g'!$I$7:$I$100,1)+SUMIFS('24h'!$N$7:$N$100,'24h'!$H$7:$H$100,$A233,'24h'!$I$7:$I$100,1)+SUMIFS('24i'!$N$7:$N$100,'24i'!$H$7:$H$100,$A233,'24i'!$I$7:$I$100,1)+SUMIFS('25'!$N$7:$N$100,'25'!$H$7:$H$100,$A233,'25'!$I$7:$I$100,1)+SUMIFS('26'!$N$7:$N$100,'26'!$H$7:$H$100,$A233,'26'!$I$7:$I$100,1)+SUMIFS('26a'!$N$7:$N$100,'26a'!$H$7:$H$100,$A233,'26a'!$I$7:$I$100,1)+SUMIFS('27'!$N$7:$N$100,'27'!$H$7:$H$100,$A233,'27'!$I$7:$I$100,1)+SUMIFS('27a'!$N$7:$N$100,'27a'!$H$7:$H$100,$A233,'27a'!$I$7:$I$100,1)+SUMIFS('28'!$N$7:$N$100,'28'!$H$7:$H$100,$A233,'28'!$I$7:$I$100,1)+SUMIFS('29'!$N$7:$N$100,'29'!$H$7:$H$100,$A233,'29'!$I$7:$I$100,1)</f>
        <v>0</v>
      </c>
      <c r="D233" s="1315">
        <f>SUMIFS('12'!$N$7:$N$100,'12'!$H$7:$H$100,$A233,'12'!$I$7:$I$100,2)+SUMIFS('13'!$N$7:$N$100,'13'!$H$7:$H$100,$A233,'13'!$I$7:$I$100,2)+SUMIFS('14'!$N$7:$N$100,'14'!$H$7:$H$100,$A233,'14'!$I$7:$I$100,2)+SUMIFS('15'!$N$7:$N$100,'15'!$H$7:$H$100,$A233,'15'!$I$7:$I$100,2)+SUMIFS('15a'!$N$7:$N$100,'15a'!$H$7:$H$100,$A233,'15a'!$I$7:$I$100,2)+SUMIFS('15b'!$N$7:$N$100,'15b'!$H$7:$H$100,$A233,'15b'!$I$7:$I$100,2)+SUMIFS('15c'!$N$7:$N$100,'15c'!$H$7:$H$100,$A233,'15c'!$I$7:$I$100,2)+SUMIFS('15d'!$N$7:$N$100,'15d'!$H$7:$H$100,$A233,'15d'!$I$7:$I$100,2)+SUMIFS('15e'!$N$7:$N$100,'15e'!$H$7:$H$100,$A233,'15e'!$I$7:$I$100,2)+SUMIFS('15f'!$N$7:$N$100,'15f'!$H$7:$H$100,$A233,'15f'!$I$7:$I$100,2)+SUMIFS('15g'!$N$7:$N$100,'15g'!$H$7:$H$100,$A233,'15g'!$I$7:$I$100,2)+SUMIFS('15h'!$N$7:$N$100,'15h'!$H$7:$H$100,$A233,'15h'!$I$7:$I$100,2)+SUMIFS('15i'!$N$7:$N$100,'15i'!$H$7:$H$100,$A233,'15i'!$I$7:$I$100,2)+SUMIFS('15j'!$N$7:$N$100,'15j'!$H$7:$H$100,$A233,'15j'!$I$7:$I$100,2)+SUMIFS('15k'!$N$7:$N$100,'15k'!$H$7:$H$100,$A233,'15k'!$I$7:$I$100,2)+SUMIFS('15l'!$N$7:$N$100,'15l'!$H$7:$H$100,$A233,'15l'!$I$7:$I$100,2)+SUMIFS('15m'!$N$7:$N$100,'15m'!$H$7:$H$100,$A233,'15m'!$I$7:$I$100,2)+SUMIFS('15n'!$N$7:$N$100,'15n'!$H$7:$H$100,$A233,'15n'!$I$7:$I$100,2)+SUMIFS('16'!$N$7:$N$100,'16'!$H$7:$H$100,$A233,'16'!$I$7:$I$100,2)+SUMIFS('16a'!$N$7:$N$100,'16a'!$H$7:$H$100,$A233,'16a'!$I$7:$I$100,2)+SUMIFS('17'!$N$7:$N$100,'17'!$H$7:$H$100,$A233,'17'!$I$7:$I$100,2)+SUMIFS('17a'!$N$7:$N$100,'17a'!$H$7:$H$100,$A233,'17a'!$I$7:$I$100,2)+SUMIFS('18'!$N$7:$N$100,'18'!$H$7:$H$100,$A233,'18'!$I$7:$I$100,2)+SUMIFS('18a'!$N$7:$N$100,'18a'!$H$7:$H$100,$A233,'18a'!$I$7:$I$100,2)
+SUMIFS('19'!$N$7:$N$100,'19'!$H$7:$H$100,$A233,'19'!$I$7:$I$100,2)+SUMIFS('20'!$N$7:$N$100,'20'!$H$7:$H$100,$A233,'20'!$I$7:$I$100,2)+SUMIFS('20a'!$N$7:$N$100,'20a'!$H$7:$H$100,$A233,'20a'!$I$7:$I$100,2)+SUMIFS('21'!$N$7:$N$100,'21'!$H$7:$H$100,$A233,'21'!$I$7:$I$100,2)+SUMIFS('22'!$N$7:$N$100,'22'!$H$7:$H$100,$A233,'22'!$I$7:$I$100,2)+SUMIFS('22a'!$N$7:$N$100,'22a'!$H$7:$H$100,$A233,'22a'!$I$7:$I$100,2)+SUMIFS('22b'!$N$7:$N$100,'22b'!$H$7:$H$100,$A233,'22b'!$I$7:$I$100,2)+SUMIFS('23'!$N$7:$N$100,'23'!$H$7:$H$100,$A233,'23'!$I$7:$I$100,2)+SUMIFS('24'!$N$7:$N$100,'24'!$H$7:$H$100,$A233,'24'!$I$7:$I$100,2)+SUMIFS('24a'!$N$7:$N$100,'24a'!$H$7:$H$100,$A233,'24a'!$I$7:$I$100,2)+SUMIFS('24b'!$N$7:$N$100,'24b'!$H$7:$H$100,$A233,'24b'!$I$7:$I$100,2)+SUMIFS('24c'!$N$7:$N$100,'24c'!$H$7:$H$100,$A233,'24c'!$I$7:$I$100,2)+SUMIFS('24d'!$N$7:$N$100,'24d'!$H$7:$H$100,$A233,'24d'!$I$7:$I$100,2)+SUMIFS('24e'!$N$7:$N$100,'24e'!$H$7:$H$100,$A233,'24e'!$I$7:$I$100,2)+SUMIFS('24f'!$N$7:$N$100,'24f'!$H$7:$H$100,$A233,'24f'!$I$7:$I$100,2)+SUMIFS('24g'!$N$7:$N$100,'24g'!$H$7:$H$100,$A233,'24g'!$I$7:$I$100,2)+SUMIFS('24h'!$N$7:$N$100,'24h'!$H$7:$H$100,$A233,'24h'!$I$7:$I$100,2)+SUMIFS('24i'!$N$7:$N$100,'24i'!$H$7:$H$100,$A233,'24i'!$I$7:$I$100,2)+SUMIFS('25'!$N$7:$N$100,'25'!$H$7:$H$100,$A233,'25'!$I$7:$I$100,2)+SUMIFS('26'!$N$7:$N$100,'26'!$H$7:$H$100,$A233,'26'!$I$7:$I$100,2)+SUMIFS('26a'!$N$7:$N$100,'26a'!$H$7:$H$100,$A233,'26a'!$I$7:$I$100,2)+SUMIFS('27'!$N$7:$N$100,'27'!$H$7:$H$100,$A233,'27'!$I$7:$I$100,2)+SUMIFS('27a'!$N$7:$N$100,'27a'!$H$7:$H$100,$A233,'27a'!$I$7:$I$100,2)+SUMIFS('28'!$N$7:$N$100,'28'!$H$7:$H$100,$A233,'28'!$I$7:$I$100,2)+SUMIFS('29'!$N$7:$N$100,'29'!$H$7:$H$100,$A233,'29'!$I$7:$I$100,2)</f>
        <v>0</v>
      </c>
      <c r="E233" s="1315">
        <f>SUMIFS('12'!$N$7:$N$100,'12'!$H$7:$H$100,$A233,'12'!$I$7:$I$100,"")+SUMIFS('13'!$N$7:$N$100,'13'!$H$7:$H$100,$A233,'13'!$I$7:$I$100,"")+SUMIFS('14'!$N$7:$N$100,'14'!$H$7:$H$100,$A233,'14'!$I$7:$I$100,"")+SUMIFS('15'!$N$7:$N$100,'15'!$H$7:$H$100,$A233,'15'!$I$7:$I$100,"")+SUMIFS('15a'!$N$7:$N$100,'15a'!$H$7:$H$100,$A233,'15a'!$I$7:$I$100,"")+SUMIFS('15b'!$N$7:$N$100,'15b'!$H$7:$H$100,$A233,'15b'!$I$7:$I$100,"")+SUMIFS('15c'!$N$7:$N$100,'15c'!$H$7:$H$100,$A233,'15c'!$I$7:$I$100,"")+SUMIFS('15d'!$N$7:$N$100,'15d'!$H$7:$H$100,$A233,'15d'!$I$7:$I$100,"")+SUMIFS('15e'!$N$7:$N$100,'15e'!$H$7:$H$100,$A233,'15e'!$I$7:$I$100,"")+SUMIFS('15f'!$N$7:$N$100,'15f'!$H$7:$H$100,$A233,'15f'!$I$7:$I$100,"")+SUMIFS('15g'!$N$7:$N$100,'15g'!$H$7:$H$100,$A233,'15g'!$I$7:$I$100,"")+SUMIFS('15h'!$N$7:$N$100,'15h'!$H$7:$H$100,$A233,'15h'!$I$7:$I$100,"")+SUMIFS('15i'!$N$7:$N$100,'15i'!$H$7:$H$100,$A233,'15i'!$I$7:$I$100,"")+SUMIFS('15j'!$N$7:$N$100,'15j'!$H$7:$H$100,$A233,'15j'!$I$7:$I$100,"")+SUMIFS('15k'!$N$7:$N$100,'15k'!$H$7:$H$100,$A233,'15k'!$I$7:$I$100,"")+SUMIFS('15l'!$N$7:$N$100,'15l'!$H$7:$H$100,$A233,'15l'!$I$7:$I$100,"")+SUMIFS('15m'!$N$7:$N$100,'15m'!$H$7:$H$100,$A233,'15m'!$I$7:$I$100,"")+SUMIFS('15n'!$N$7:$N$100,'15n'!$H$7:$H$100,$A233,'15n'!$I$7:$I$100,"")+SUMIFS('16'!$N$7:$N$100,'16'!$H$7:$H$100,$A233,'16'!$I$7:$I$100,"")+SUMIFS('16a'!$N$7:$N$100,'16a'!$H$7:$H$100,$A233,'16a'!$I$7:$I$100,"")+SUMIFS('17'!$N$7:$N$100,'17'!$H$7:$H$100,$A233,'17'!$I$7:$I$100,"")+SUMIFS('17a'!$N$7:$N$100,'17a'!$H$7:$H$100,$A233,'17a'!$I$7:$I$100,"")+SUMIFS('18'!$N$7:$N$100,'18'!$H$7:$H$100,$A233,'18'!$I$7:$I$100,"")+SUMIFS('18a'!$N$7:$N$100,'18a'!$H$7:$H$100,$A233,'18a'!$I$7:$I$100,"")
+SUMIFS('19'!$N$7:$N$100,'19'!$H$7:$H$100,$A233,'19'!$I$7:$I$100,"")+SUMIFS('20'!$N$7:$N$100,'20'!$H$7:$H$100,$A233,'20'!$I$7:$I$100,"")+SUMIFS('20a'!$N$7:$N$100,'20a'!$H$7:$H$100,$A233,'20a'!$I$7:$I$100,"")+SUMIFS('21'!$N$7:$N$100,'21'!$H$7:$H$100,$A233,'21'!$I$7:$I$100,"")+SUMIFS('22'!$N$7:$N$100,'22'!$H$7:$H$100,$A233,'22'!$I$7:$I$100,"")+SUMIFS('22a'!$N$7:$N$100,'22a'!$H$7:$H$100,$A233,'22a'!$I$7:$I$100,"")+SUMIFS('22b'!$N$7:$N$100,'22b'!$H$7:$H$100,$A233,'22b'!$I$7:$I$100,"")+SUMIFS('23'!$N$7:$N$100,'23'!$H$7:$H$100,$A233,'23'!$I$7:$I$100,"")+SUMIFS('24'!$N$7:$N$100,'24'!$H$7:$H$100,$A233,'24'!$I$7:$I$100,"")+SUMIFS('24a'!$N$7:$N$100,'24a'!$H$7:$H$100,$A233,'24a'!$I$7:$I$100,"")+SUMIFS('24b'!$N$7:$N$100,'24b'!$H$7:$H$100,$A233,'24b'!$I$7:$I$100,"")+SUMIFS('24c'!$N$7:$N$100,'24c'!$H$7:$H$100,$A233,'24c'!$I$7:$I$100,"")+SUMIFS('24d'!$N$7:$N$100,'24d'!$H$7:$H$100,$A233,'24d'!$I$7:$I$100,"")+SUMIFS('24e'!$N$7:$N$100,'24e'!$H$7:$H$100,$A233,'24e'!$I$7:$I$100,"")+SUMIFS('24f'!$N$7:$N$100,'24f'!$H$7:$H$100,$A233,'24f'!$I$7:$I$100,"")+SUMIFS('24g'!$N$7:$N$100,'24g'!$H$7:$H$100,$A233,'24g'!$I$7:$I$100,"")+SUMIFS('24h'!$N$7:$N$100,'24h'!$H$7:$H$100,$A233,'24h'!$I$7:$I$100,"")+SUMIFS('24i'!$N$7:$N$100,'24i'!$H$7:$H$100,$A233,'24i'!$I$7:$I$100,"")+SUMIFS('25'!$N$7:$N$100,'25'!$H$7:$H$100,$A233,'25'!$I$7:$I$100,"")+SUMIFS('26'!$N$7:$N$100,'26'!$H$7:$H$100,$A233,'26'!$I$7:$I$100,"")+SUMIFS('26a'!$N$7:$N$100,'26a'!$H$7:$H$100,$A233,'26a'!$I$7:$I$100,"")+SUMIFS('27'!$N$7:$N$100,'27'!$H$7:$H$100,$A233,'27'!$I$7:$I$100,"")+SUMIFS('27a'!$N$7:$N$100,'27a'!$H$7:$H$100,$A233,'27a'!$I$7:$I$100,"")+SUMIFS('28'!$N$7:$N$100,'28'!$H$7:$H$100,$A233,'28'!$I$7:$I$100,"")+SUMIFS('29'!$N$7:$N$100,'29'!$H$7:$H$100,$A233,'29'!$I$7:$I$100,"")</f>
        <v>0</v>
      </c>
      <c r="F233" s="1296">
        <f t="shared" ref="F233:F248" si="20">SUM(C233:E233)</f>
        <v>0</v>
      </c>
      <c r="G233" s="1295">
        <f>SUMIFS('12'!$J$7:$J$100,'12'!$H$7:$H$100,$A233,'12'!$I$7:$I$100,1)+SUMIFS('13'!$J$7:$J$100,'13'!$H$7:$H$100,$A233,'13'!$I$7:$I$100,1)+SUMIFS('14'!$J$7:$J$100,'14'!$H$7:$H$100,$A233,'14'!$I$7:$I$100,1)+SUMIFS('15'!$J$7:$J$100,'15'!$H$7:$H$100,$A233,'15'!$I$7:$I$100,1)+SUMIFS('15a'!$J$7:$J$100,'15a'!$H$7:$H$100,$A233,'15a'!$I$7:$I$100,1)+SUMIFS('15b'!$J$7:$J$100,'15b'!$H$7:$H$100,$A233,'15b'!$I$7:$I$100,1)+SUMIFS('15c'!$J$7:$J$100,'15c'!$H$7:$H$100,$A233,'15c'!$I$7:$I$100,1)+SUMIFS('15d'!$J$7:$J$100,'15d'!$H$7:$H$100,$A233,'15d'!$I$7:$I$100,1)+SUMIFS('15e'!$J$7:$J$100,'15e'!$H$7:$H$100,$A233,'15e'!$I$7:$I$100,1)+SUMIFS('15f'!$J$7:$J$100,'15f'!$H$7:$H$100,$A233,'15f'!$I$7:$I$100,1)+SUMIFS('15g'!$J$7:$J$100,'15g'!$H$7:$H$100,$A233,'15g'!$I$7:$I$100,1)+SUMIFS('15h'!$J$7:$J$100,'15h'!$H$7:$H$100,$A233,'15h'!$I$7:$I$100,1)+SUMIFS('15i'!$J$7:$J$100,'15i'!$H$7:$H$100,$A233,'15i'!$I$7:$I$100,1)+SUMIFS('15j'!$J$7:$J$100,'15j'!$H$7:$H$100,$A233,'15j'!$I$7:$I$100,1)+SUMIFS('15k'!$J$7:$J$100,'15k'!$H$7:$H$100,$A233,'15k'!$I$7:$I$100,1)+SUMIFS('15l'!$J$7:$J$100,'15l'!$H$7:$H$100,$A233,'15l'!$I$7:$I$100,1)+SUMIFS('15m'!$J$7:$J$100,'15m'!$H$7:$H$100,$A233,'15m'!$I$7:$I$100,1)+SUMIFS('15n'!$J$7:$J$100,'15n'!$H$7:$H$100,$A233,'15n'!$I$7:$I$100,1)+SUMIFS('16'!$J$7:$J$100,'16'!$H$7:$H$100,$A233,'16'!$I$7:$I$100,1)+SUMIFS('16a'!$J$7:$J$100,'16a'!$H$7:$H$100,$A233,'16a'!$I$7:$I$100,1)+SUMIFS('17'!$J$7:$J$100,'17'!$H$7:$H$100,$A233,'17'!$I$7:$I$100,1)+SUMIFS('17a'!$J$7:$J$100,'17a'!$H$7:$H$100,$A233,'17a'!$I$7:$I$100,1)+SUMIFS('18'!$J$7:$J$100,'18'!$H$7:$H$100,$A233,'18'!$I$7:$I$100,1)+SUMIFS('18a'!$J$7:$J$100,'18a'!$H$7:$H$100,$A233,'18a'!$I$7:$I$100,1)
+SUMIFS('19'!$J$7:$J$100,'19'!$H$7:$H$100,$A233,'19'!$I$7:$I$100,1)+SUMIFS('20'!$J$7:$J$100,'20'!$H$7:$H$100,$A233,'20'!$I$7:$I$100,1)+SUMIFS('20a'!$J$7:$J$100,'20a'!$H$7:$H$100,$A233,'20a'!$I$7:$I$100,1)+SUMIFS('21'!$J$7:$J$100,'21'!$H$7:$H$100,$A233,'21'!$I$7:$I$100,1)+SUMIFS('22'!$J$7:$J$100,'22'!$H$7:$H$100,$A233,'22'!$I$7:$I$100,1)+SUMIFS('22a'!$J$7:$J$100,'22a'!$H$7:$H$100,$A233,'22a'!$I$7:$I$100,1)+SUMIFS('22b'!$J$7:$J$100,'22b'!$H$7:$H$100,$A233,'22b'!$I$7:$I$100,1)+SUMIFS('23'!$J$7:$J$100,'23'!$H$7:$H$100,$A233,'23'!$I$7:$I$100,1)+SUMIFS('24'!$J$7:$J$100,'24'!$H$7:$H$100,$A233,'24'!$I$7:$I$100,1)+SUMIFS('24a'!$J$7:$J$100,'24a'!$H$7:$H$100,$A233,'24a'!$I$7:$I$100,1)+SUMIFS('24b'!$J$7:$J$100,'24b'!$H$7:$H$100,$A233,'24b'!$I$7:$I$100,1)+SUMIFS('24c'!$J$7:$J$100,'24c'!$H$7:$H$100,$A233,'24c'!$I$7:$I$100,1)+SUMIFS('24d'!$J$7:$J$100,'24d'!$H$7:$H$100,$A233,'24d'!$I$7:$I$100,1)+SUMIFS('24e'!$J$7:$J$100,'24e'!$H$7:$H$100,$A233,'24e'!$I$7:$I$100,1)+SUMIFS('24f'!$J$7:$J$100,'24f'!$H$7:$H$100,$A233,'24f'!$I$7:$I$100,1)+SUMIFS('24g'!$J$7:$J$100,'24g'!$H$7:$H$100,$A233,'24g'!$I$7:$I$100,1)+SUMIFS('24h'!$J$7:$J$100,'24h'!$H$7:$H$100,$A233,'24h'!$I$7:$I$100,1)+SUMIFS('24i'!$J$7:$J$100,'24i'!$H$7:$H$100,$A233,'24i'!$I$7:$I$100,1)+SUMIFS('25'!$J$7:$J$100,'25'!$H$7:$H$100,$A233,'25'!$I$7:$I$100,1)+SUMIFS('26'!$J$7:$J$100,'26'!$H$7:$H$100,$A233,'26'!$I$7:$I$100,1)+SUMIFS('26a'!$J$7:$J$100,'26a'!$H$7:$H$100,$A233,'26a'!$I$7:$I$100,1)+SUMIFS('27'!$J$7:$J$100,'27'!$H$7:$H$100,$A233,'27'!$I$7:$I$100,1)+SUMIFS('27a'!$J$7:$J$100,'27a'!$H$7:$H$100,$A233,'27a'!$I$7:$I$100,1)+SUMIFS('28'!$J$7:$J$100,'28'!$H$7:$H$100,$A233,'28'!$I$7:$I$100,1)+SUMIFS('29'!$J$7:$J$100,'29'!$H$7:$H$100,$A233,'29'!$I$7:$I$100,1)</f>
        <v>0</v>
      </c>
      <c r="H233" s="1315">
        <f>SUMIFS('12'!$J$7:$J$100,'12'!$H$7:$H$100,$A233,'12'!$I$7:$I$100,2)+SUMIFS('13'!$J$7:$J$100,'13'!$H$7:$H$100,$A233,'13'!$I$7:$I$100,2)+SUMIFS('14'!$J$7:$J$100,'14'!$H$7:$H$100,$A233,'14'!$I$7:$I$100,2)+SUMIFS('15'!$J$7:$J$100,'15'!$H$7:$H$100,$A233,'15'!$I$7:$I$100,2)+SUMIFS('15a'!$J$7:$J$100,'15a'!$H$7:$H$100,$A233,'15a'!$I$7:$I$100,2)+SUMIFS('15b'!$J$7:$J$100,'15b'!$H$7:$H$100,$A233,'15b'!$I$7:$I$100,2)+SUMIFS('15c'!$J$7:$J$100,'15c'!$H$7:$H$100,$A233,'15c'!$I$7:$I$100,2)+SUMIFS('15d'!$J$7:$J$100,'15d'!$H$7:$H$100,$A233,'15d'!$I$7:$I$100,2)+SUMIFS('15e'!$J$7:$J$100,'15e'!$H$7:$H$100,$A233,'15e'!$I$7:$I$100,2)+SUMIFS('15f'!$J$7:$J$100,'15f'!$H$7:$H$100,$A233,'15f'!$I$7:$I$100,2)+SUMIFS('15g'!$J$7:$J$100,'15g'!$H$7:$H$100,$A233,'15g'!$I$7:$I$100,2)+SUMIFS('15h'!$J$7:$J$100,'15h'!$H$7:$H$100,$A233,'15h'!$I$7:$I$100,2)+SUMIFS('15i'!$J$7:$J$100,'15i'!$H$7:$H$100,$A233,'15i'!$I$7:$I$100,2)+SUMIFS('15j'!$J$7:$J$100,'15j'!$H$7:$H$100,$A233,'15j'!$I$7:$I$100,2)+SUMIFS('15k'!$J$7:$J$100,'15k'!$H$7:$H$100,$A233,'15k'!$I$7:$I$100,2)+SUMIFS('15l'!$J$7:$J$100,'15l'!$H$7:$H$100,$A233,'15l'!$I$7:$I$100,2)+SUMIFS('15m'!$J$7:$J$100,'15m'!$H$7:$H$100,$A233,'15m'!$I$7:$I$100,2)+SUMIFS('15n'!$J$7:$J$100,'15n'!$H$7:$H$100,$A233,'15n'!$I$7:$I$100,2)+SUMIFS('16'!$J$7:$J$100,'16'!$H$7:$H$100,$A233,'16'!$I$7:$I$100,2)+SUMIFS('16a'!$J$7:$J$100,'16a'!$H$7:$H$100,$A233,'16a'!$I$7:$I$100,2)+SUMIFS('17'!$J$7:$J$100,'17'!$H$7:$H$100,$A233,'17'!$I$7:$I$100,2)+SUMIFS('17a'!$J$7:$J$100,'17a'!$H$7:$H$100,$A233,'17a'!$I$7:$I$100,2)+SUMIFS('18'!$J$7:$J$100,'18'!$H$7:$H$100,$A233,'18'!$I$7:$I$100,2)+SUMIFS('18a'!$J$7:$J$100,'18a'!$H$7:$H$100,$A233,'18a'!$I$7:$I$100,2)
+SUMIFS('19'!$J$7:$J$100,'19'!$H$7:$H$100,$A233,'19'!$I$7:$I$100,2)+SUMIFS('20'!$J$7:$J$100,'20'!$H$7:$H$100,$A233,'20'!$I$7:$I$100,2)+SUMIFS('20a'!$J$7:$J$100,'20a'!$H$7:$H$100,$A233,'20a'!$I$7:$I$100,2)+SUMIFS('21'!$J$7:$J$100,'21'!$H$7:$H$100,$A233,'21'!$I$7:$I$100,2)+SUMIFS('22'!$J$7:$J$100,'22'!$H$7:$H$100,$A233,'22'!$I$7:$I$100,2)+SUMIFS('22a'!$J$7:$J$100,'22a'!$H$7:$H$100,$A233,'22a'!$I$7:$I$100,2)+SUMIFS('22b'!$J$7:$J$100,'22b'!$H$7:$H$100,$A233,'22b'!$I$7:$I$100,2)+SUMIFS('23'!$J$7:$J$100,'23'!$H$7:$H$100,$A233,'23'!$I$7:$I$100,2)+SUMIFS('24'!$J$7:$J$100,'24'!$H$7:$H$100,$A233,'24'!$I$7:$I$100,2)+SUMIFS('24a'!$J$7:$J$100,'24a'!$H$7:$H$100,$A233,'24a'!$I$7:$I$100,2)+SUMIFS('24b'!$J$7:$J$100,'24b'!$H$7:$H$100,$A233,'24b'!$I$7:$I$100,2)+SUMIFS('24c'!$J$7:$J$100,'24c'!$H$7:$H$100,$A233,'24c'!$I$7:$I$100,2)+SUMIFS('24d'!$J$7:$J$100,'24d'!$H$7:$H$100,$A233,'24d'!$I$7:$I$100,2)+SUMIFS('24e'!$J$7:$J$100,'24e'!$H$7:$H$100,$A233,'24e'!$I$7:$I$100,2)+SUMIFS('24f'!$J$7:$J$100,'24f'!$H$7:$H$100,$A233,'24f'!$I$7:$I$100,2)+SUMIFS('24g'!$J$7:$J$100,'24g'!$H$7:$H$100,$A233,'24g'!$I$7:$I$100,2)+SUMIFS('24h'!$J$7:$J$100,'24h'!$H$7:$H$100,$A233,'24h'!$I$7:$I$100,2)+SUMIFS('24i'!$J$7:$J$100,'24i'!$H$7:$H$100,$A233,'24i'!$I$7:$I$100,2)+SUMIFS('25'!$J$7:$J$100,'25'!$H$7:$H$100,$A233,'25'!$I$7:$I$100,2)+SUMIFS('26'!$J$7:$J$100,'26'!$H$7:$H$100,$A233,'26'!$I$7:$I$100,2)+SUMIFS('26a'!$J$7:$J$100,'26a'!$H$7:$H$100,$A233,'26a'!$I$7:$I$100,2)+SUMIFS('27'!$J$7:$J$100,'27'!$H$7:$H$100,$A233,'27'!$I$7:$I$100,2)+SUMIFS('27a'!$J$7:$J$100,'27a'!$H$7:$H$100,$A233,'27a'!$I$7:$I$100,2)+SUMIFS('28'!$J$7:$J$100,'28'!$H$7:$H$100,$A233,'28'!$I$7:$I$100,2)+SUMIFS('29'!$J$7:$J$100,'29'!$H$7:$H$100,$A233,'29'!$I$7:$I$100,2)</f>
        <v>0</v>
      </c>
      <c r="I233" s="1315">
        <f>SUMIFS('12'!$J$7:$J$100,'12'!$H$7:$H$100,$A233,'12'!$I$7:$I$100,"")+SUMIFS('13'!$J$7:$J$100,'13'!$H$7:$H$100,$A233,'13'!$I$7:$I$100,"")+SUMIFS('14'!$J$7:$J$100,'14'!$H$7:$H$100,$A233,'14'!$I$7:$I$100,"")+SUMIFS('15'!$J$7:$J$100,'15'!$H$7:$H$100,$A233,'15'!$I$7:$I$100,"")+SUMIFS('15a'!$J$7:$J$100,'15a'!$H$7:$H$100,$A233,'15a'!$I$7:$I$100,"")+SUMIFS('15b'!$J$7:$J$100,'15b'!$H$7:$H$100,$A233,'15b'!$I$7:$I$100,"")+SUMIFS('15c'!$J$7:$J$100,'15c'!$H$7:$H$100,$A233,'15c'!$I$7:$I$100,"")+SUMIFS('15d'!$J$7:$J$100,'15d'!$H$7:$H$100,$A233,'15d'!$I$7:$I$100,"")+SUMIFS('15e'!$J$7:$J$100,'15e'!$H$7:$H$100,$A233,'15e'!$I$7:$I$100,"")+SUMIFS('15f'!$J$7:$J$100,'15f'!$H$7:$H$100,$A233,'15f'!$I$7:$I$100,"")+SUMIFS('15g'!$J$7:$J$100,'15g'!$H$7:$H$100,$A233,'15g'!$I$7:$I$100,"")+SUMIFS('15h'!$J$7:$J$100,'15h'!$H$7:$H$100,$A233,'15h'!$I$7:$I$100,"")+SUMIFS('15i'!$J$7:$J$100,'15i'!$H$7:$H$100,$A233,'15i'!$I$7:$I$100,"")+SUMIFS('15j'!$J$7:$J$100,'15j'!$H$7:$H$100,$A233,'15j'!$I$7:$I$100,"")+SUMIFS('15k'!$J$7:$J$100,'15k'!$H$7:$H$100,$A233,'15k'!$I$7:$I$100,"")+SUMIFS('15l'!$J$7:$J$100,'15l'!$H$7:$H$100,$A233,'15l'!$I$7:$I$100,"")+SUMIFS('15m'!$J$7:$J$100,'15m'!$H$7:$H$100,$A233,'15m'!$I$7:$I$100,"")+SUMIFS('15n'!$J$7:$J$100,'15n'!$H$7:$H$100,$A233,'15n'!$I$7:$I$100,"")+SUMIFS('16'!$J$7:$J$100,'16'!$H$7:$H$100,$A233,'16'!$I$7:$I$100,"")+SUMIFS('16a'!$J$7:$J$100,'16a'!$H$7:$H$100,$A233,'16a'!$I$7:$I$100,"")+SUMIFS('17'!$J$7:$J$100,'17'!$H$7:$H$100,$A233,'17'!$I$7:$I$100,"")+SUMIFS('17a'!$J$7:$J$100,'17a'!$H$7:$H$100,$A233,'17a'!$I$7:$I$100,"")+SUMIFS('18'!$J$7:$J$100,'18'!$H$7:$H$100,$A233,'18'!$I$7:$I$100,"")+SUMIFS('18a'!$J$7:$J$100,'18a'!$H$7:$H$100,$A233,'18a'!$I$7:$I$100,"")
+SUMIFS('19'!$J$7:$J$100,'19'!$H$7:$H$100,$A233,'19'!$I$7:$I$100,"")+SUMIFS('20'!$J$7:$J$100,'20'!$H$7:$H$100,$A233,'20'!$I$7:$I$100,"")+SUMIFS('20a'!$J$7:$J$100,'20a'!$H$7:$H$100,$A233,'20a'!$I$7:$I$100,"")+SUMIFS('21'!$J$7:$J$100,'21'!$H$7:$H$100,$A233,'21'!$I$7:$I$100,"")+SUMIFS('22'!$J$7:$J$100,'22'!$H$7:$H$100,$A233,'22'!$I$7:$I$100,"")+SUMIFS('22a'!$J$7:$J$100,'22a'!$H$7:$H$100,$A233,'22a'!$I$7:$I$100,"")+SUMIFS('22b'!$J$7:$J$100,'22b'!$H$7:$H$100,$A233,'22b'!$I$7:$I$100,"")+SUMIFS('23'!$J$7:$J$100,'23'!$H$7:$H$100,$A233,'23'!$I$7:$I$100,"")+SUMIFS('24'!$J$7:$J$100,'24'!$H$7:$H$100,$A233,'24'!$I$7:$I$100,"")+SUMIFS('24a'!$J$7:$J$100,'24a'!$H$7:$H$100,$A233,'24a'!$I$7:$I$100,"")+SUMIFS('24b'!$J$7:$J$100,'24b'!$H$7:$H$100,$A233,'24b'!$I$7:$I$100,"")+SUMIFS('24c'!$J$7:$J$100,'24c'!$H$7:$H$100,$A233,'24c'!$I$7:$I$100,"")+SUMIFS('24d'!$J$7:$J$100,'24d'!$H$7:$H$100,$A233,'24d'!$I$7:$I$100,"")+SUMIFS('24e'!$J$7:$J$100,'24e'!$H$7:$H$100,$A233,'24e'!$I$7:$I$100,"")+SUMIFS('24f'!$J$7:$J$100,'24f'!$H$7:$H$100,$A233,'24f'!$I$7:$I$100,"")+SUMIFS('24g'!$J$7:$J$100,'24g'!$H$7:$H$100,$A233,'24g'!$I$7:$I$100,"")+SUMIFS('24h'!$J$7:$J$100,'24h'!$H$7:$H$100,$A233,'24h'!$I$7:$I$100,"")+SUMIFS('24i'!$J$7:$J$100,'24i'!$H$7:$H$100,$A233,'24i'!$I$7:$I$100,"")+SUMIFS('25'!$J$7:$J$100,'25'!$H$7:$H$100,$A233,'25'!$I$7:$I$100,"")+SUMIFS('26'!$J$7:$J$100,'26'!$H$7:$H$100,$A233,'26'!$I$7:$I$100,"")+SUMIFS('26a'!$J$7:$J$100,'26a'!$H$7:$H$100,$A233,'26a'!$I$7:$I$100,"")+SUMIFS('27'!$J$7:$J$100,'27'!$H$7:$H$100,$A233,'27'!$I$7:$I$100,"")+SUMIFS('27a'!$J$7:$J$100,'27a'!$H$7:$H$100,$A233,'27a'!$I$7:$I$100,"")+SUMIFS('28'!$J$7:$J$100,'28'!$H$7:$H$100,$A233,'28'!$I$7:$I$100,"")+SUMIFS('29'!$J$7:$J$100,'29'!$H$7:$H$100,$A233,'29'!$I$7:$I$100,"")</f>
        <v>0</v>
      </c>
      <c r="J233" s="1296">
        <f t="shared" ref="J233:J248" si="21">SUM(G233:I233)</f>
        <v>0</v>
      </c>
      <c r="K233"/>
      <c r="L233"/>
      <c r="M233"/>
      <c r="N233"/>
      <c r="O233"/>
      <c r="P233"/>
      <c r="Q233"/>
      <c r="R233"/>
      <c r="S233" s="1307">
        <f t="shared" si="14"/>
        <v>0</v>
      </c>
      <c r="T233"/>
    </row>
    <row r="234" spans="1:20" ht="12.75" customHeight="1" outlineLevel="1" x14ac:dyDescent="0.2">
      <c r="A234" t="s">
        <v>5156</v>
      </c>
      <c r="B234" t="s">
        <v>5488</v>
      </c>
      <c r="C234" s="1295">
        <f>SUMIFS('12'!$N$7:$N$100,'12'!$H$7:$H$100,$A234,'12'!$I$7:$I$100,1)+SUMIFS('13'!$N$7:$N$100,'13'!$H$7:$H$100,$A234,'13'!$I$7:$I$100,1)+SUMIFS('14'!$N$7:$N$100,'14'!$H$7:$H$100,$A234,'14'!$I$7:$I$100,1)+SUMIFS('15'!$N$7:$N$100,'15'!$H$7:$H$100,$A234,'15'!$I$7:$I$100,1)+SUMIFS('15a'!$N$7:$N$100,'15a'!$H$7:$H$100,$A234,'15a'!$I$7:$I$100,1)+SUMIFS('15b'!$N$7:$N$100,'15b'!$H$7:$H$100,$A234,'15b'!$I$7:$I$100,1)+SUMIFS('15c'!$N$7:$N$100,'15c'!$H$7:$H$100,$A234,'15c'!$I$7:$I$100,1)+SUMIFS('15d'!$N$7:$N$100,'15d'!$H$7:$H$100,$A234,'15d'!$I$7:$I$100,1)+SUMIFS('15e'!$N$7:$N$100,'15e'!$H$7:$H$100,$A234,'15e'!$I$7:$I$100,1)+SUMIFS('15f'!$N$7:$N$100,'15f'!$H$7:$H$100,$A234,'15f'!$I$7:$I$100,1)+SUMIFS('15g'!$N$7:$N$100,'15g'!$H$7:$H$100,$A234,'15g'!$I$7:$I$100,1)+SUMIFS('15h'!$N$7:$N$100,'15h'!$H$7:$H$100,$A234,'15h'!$I$7:$I$100,1)+SUMIFS('15i'!$N$7:$N$100,'15i'!$H$7:$H$100,$A234,'15i'!$I$7:$I$100,1)+SUMIFS('15j'!$N$7:$N$100,'15j'!$H$7:$H$100,$A234,'15j'!$I$7:$I$100,1)+SUMIFS('15k'!$N$7:$N$100,'15k'!$H$7:$H$100,$A234,'15k'!$I$7:$I$100,1)+SUMIFS('15l'!$N$7:$N$100,'15l'!$H$7:$H$100,$A234,'15l'!$I$7:$I$100,1)+SUMIFS('15m'!$N$7:$N$100,'15m'!$H$7:$H$100,$A234,'15m'!$I$7:$I$100,1)+SUMIFS('15n'!$N$7:$N$100,'15n'!$H$7:$H$100,$A234,'15n'!$I$7:$I$100,1)+SUMIFS('16'!$N$7:$N$100,'16'!$H$7:$H$100,$A234,'16'!$I$7:$I$100,1)+SUMIFS('16a'!$N$7:$N$100,'16a'!$H$7:$H$100,$A234,'16a'!$I$7:$I$100,1)+SUMIFS('17'!$N$7:$N$100,'17'!$H$7:$H$100,$A234,'17'!$I$7:$I$100,1)+SUMIFS('17a'!$N$7:$N$100,'17a'!$H$7:$H$100,$A234,'17a'!$I$7:$I$100,1)+SUMIFS('18'!$N$7:$N$100,'18'!$H$7:$H$100,$A234,'18'!$I$7:$I$100,1)+SUMIFS('18a'!$N$7:$N$100,'18a'!$H$7:$H$100,$A234,'18a'!$I$7:$I$100,1)
+SUMIFS('19'!$N$7:$N$100,'19'!$H$7:$H$100,$A234,'19'!$I$7:$I$100,1)+SUMIFS('20'!$N$7:$N$100,'20'!$H$7:$H$100,$A234,'20'!$I$7:$I$100,1)+SUMIFS('20a'!$N$7:$N$100,'20a'!$H$7:$H$100,$A234,'20a'!$I$7:$I$100,1)+SUMIFS('21'!$N$7:$N$100,'21'!$H$7:$H$100,$A234,'21'!$I$7:$I$100,1)+SUMIFS('22'!$N$7:$N$100,'22'!$H$7:$H$100,$A234,'22'!$I$7:$I$100,1)+SUMIFS('22a'!$N$7:$N$100,'22a'!$H$7:$H$100,$A234,'22a'!$I$7:$I$100,1)+SUMIFS('22b'!$N$7:$N$100,'22b'!$H$7:$H$100,$A234,'22b'!$I$7:$I$100,1)+SUMIFS('23'!$N$7:$N$100,'23'!$H$7:$H$100,$A234,'23'!$I$7:$I$100,1)+SUMIFS('24'!$N$7:$N$100,'24'!$H$7:$H$100,$A234,'24'!$I$7:$I$100,1)+SUMIFS('24a'!$N$7:$N$100,'24a'!$H$7:$H$100,$A234,'24a'!$I$7:$I$100,1)+SUMIFS('24b'!$N$7:$N$100,'24b'!$H$7:$H$100,$A234,'24b'!$I$7:$I$100,1)+SUMIFS('24c'!$N$7:$N$100,'24c'!$H$7:$H$100,$A234,'24c'!$I$7:$I$100,1)+SUMIFS('24d'!$N$7:$N$100,'24d'!$H$7:$H$100,$A234,'24d'!$I$7:$I$100,1)+SUMIFS('24e'!$N$7:$N$100,'24e'!$H$7:$H$100,$A234,'24e'!$I$7:$I$100,1)+SUMIFS('24f'!$N$7:$N$100,'24f'!$H$7:$H$100,$A234,'24f'!$I$7:$I$100,1)+SUMIFS('24g'!$N$7:$N$100,'24g'!$H$7:$H$100,$A234,'24g'!$I$7:$I$100,1)+SUMIFS('24h'!$N$7:$N$100,'24h'!$H$7:$H$100,$A234,'24h'!$I$7:$I$100,1)+SUMIFS('24i'!$N$7:$N$100,'24i'!$H$7:$H$100,$A234,'24i'!$I$7:$I$100,1)+SUMIFS('25'!$N$7:$N$100,'25'!$H$7:$H$100,$A234,'25'!$I$7:$I$100,1)+SUMIFS('26'!$N$7:$N$100,'26'!$H$7:$H$100,$A234,'26'!$I$7:$I$100,1)+SUMIFS('26a'!$N$7:$N$100,'26a'!$H$7:$H$100,$A234,'26a'!$I$7:$I$100,1)+SUMIFS('27'!$N$7:$N$100,'27'!$H$7:$H$100,$A234,'27'!$I$7:$I$100,1)+SUMIFS('27a'!$N$7:$N$100,'27a'!$H$7:$H$100,$A234,'27a'!$I$7:$I$100,1)+SUMIFS('28'!$N$7:$N$100,'28'!$H$7:$H$100,$A234,'28'!$I$7:$I$100,1)+SUMIFS('29'!$N$7:$N$100,'29'!$H$7:$H$100,$A234,'29'!$I$7:$I$100,1)</f>
        <v>0</v>
      </c>
      <c r="D234" s="1315">
        <f>SUMIFS('12'!$N$7:$N$100,'12'!$H$7:$H$100,$A234,'12'!$I$7:$I$100,2)+SUMIFS('13'!$N$7:$N$100,'13'!$H$7:$H$100,$A234,'13'!$I$7:$I$100,2)+SUMIFS('14'!$N$7:$N$100,'14'!$H$7:$H$100,$A234,'14'!$I$7:$I$100,2)+SUMIFS('15'!$N$7:$N$100,'15'!$H$7:$H$100,$A234,'15'!$I$7:$I$100,2)+SUMIFS('15a'!$N$7:$N$100,'15a'!$H$7:$H$100,$A234,'15a'!$I$7:$I$100,2)+SUMIFS('15b'!$N$7:$N$100,'15b'!$H$7:$H$100,$A234,'15b'!$I$7:$I$100,2)+SUMIFS('15c'!$N$7:$N$100,'15c'!$H$7:$H$100,$A234,'15c'!$I$7:$I$100,2)+SUMIFS('15d'!$N$7:$N$100,'15d'!$H$7:$H$100,$A234,'15d'!$I$7:$I$100,2)+SUMIFS('15e'!$N$7:$N$100,'15e'!$H$7:$H$100,$A234,'15e'!$I$7:$I$100,2)+SUMIFS('15f'!$N$7:$N$100,'15f'!$H$7:$H$100,$A234,'15f'!$I$7:$I$100,2)+SUMIFS('15g'!$N$7:$N$100,'15g'!$H$7:$H$100,$A234,'15g'!$I$7:$I$100,2)+SUMIFS('15h'!$N$7:$N$100,'15h'!$H$7:$H$100,$A234,'15h'!$I$7:$I$100,2)+SUMIFS('15i'!$N$7:$N$100,'15i'!$H$7:$H$100,$A234,'15i'!$I$7:$I$100,2)+SUMIFS('15j'!$N$7:$N$100,'15j'!$H$7:$H$100,$A234,'15j'!$I$7:$I$100,2)+SUMIFS('15k'!$N$7:$N$100,'15k'!$H$7:$H$100,$A234,'15k'!$I$7:$I$100,2)+SUMIFS('15l'!$N$7:$N$100,'15l'!$H$7:$H$100,$A234,'15l'!$I$7:$I$100,2)+SUMIFS('15m'!$N$7:$N$100,'15m'!$H$7:$H$100,$A234,'15m'!$I$7:$I$100,2)+SUMIFS('15n'!$N$7:$N$100,'15n'!$H$7:$H$100,$A234,'15n'!$I$7:$I$100,2)+SUMIFS('16'!$N$7:$N$100,'16'!$H$7:$H$100,$A234,'16'!$I$7:$I$100,2)+SUMIFS('16a'!$N$7:$N$100,'16a'!$H$7:$H$100,$A234,'16a'!$I$7:$I$100,2)+SUMIFS('17'!$N$7:$N$100,'17'!$H$7:$H$100,$A234,'17'!$I$7:$I$100,2)+SUMIFS('17a'!$N$7:$N$100,'17a'!$H$7:$H$100,$A234,'17a'!$I$7:$I$100,2)+SUMIFS('18'!$N$7:$N$100,'18'!$H$7:$H$100,$A234,'18'!$I$7:$I$100,2)+SUMIFS('18a'!$N$7:$N$100,'18a'!$H$7:$H$100,$A234,'18a'!$I$7:$I$100,2)
+SUMIFS('19'!$N$7:$N$100,'19'!$H$7:$H$100,$A234,'19'!$I$7:$I$100,2)+SUMIFS('20'!$N$7:$N$100,'20'!$H$7:$H$100,$A234,'20'!$I$7:$I$100,2)+SUMIFS('20a'!$N$7:$N$100,'20a'!$H$7:$H$100,$A234,'20a'!$I$7:$I$100,2)+SUMIFS('21'!$N$7:$N$100,'21'!$H$7:$H$100,$A234,'21'!$I$7:$I$100,2)+SUMIFS('22'!$N$7:$N$100,'22'!$H$7:$H$100,$A234,'22'!$I$7:$I$100,2)+SUMIFS('22a'!$N$7:$N$100,'22a'!$H$7:$H$100,$A234,'22a'!$I$7:$I$100,2)+SUMIFS('22b'!$N$7:$N$100,'22b'!$H$7:$H$100,$A234,'22b'!$I$7:$I$100,2)+SUMIFS('23'!$N$7:$N$100,'23'!$H$7:$H$100,$A234,'23'!$I$7:$I$100,2)+SUMIFS('24'!$N$7:$N$100,'24'!$H$7:$H$100,$A234,'24'!$I$7:$I$100,2)+SUMIFS('24a'!$N$7:$N$100,'24a'!$H$7:$H$100,$A234,'24a'!$I$7:$I$100,2)+SUMIFS('24b'!$N$7:$N$100,'24b'!$H$7:$H$100,$A234,'24b'!$I$7:$I$100,2)+SUMIFS('24c'!$N$7:$N$100,'24c'!$H$7:$H$100,$A234,'24c'!$I$7:$I$100,2)+SUMIFS('24d'!$N$7:$N$100,'24d'!$H$7:$H$100,$A234,'24d'!$I$7:$I$100,2)+SUMIFS('24e'!$N$7:$N$100,'24e'!$H$7:$H$100,$A234,'24e'!$I$7:$I$100,2)+SUMIFS('24f'!$N$7:$N$100,'24f'!$H$7:$H$100,$A234,'24f'!$I$7:$I$100,2)+SUMIFS('24g'!$N$7:$N$100,'24g'!$H$7:$H$100,$A234,'24g'!$I$7:$I$100,2)+SUMIFS('24h'!$N$7:$N$100,'24h'!$H$7:$H$100,$A234,'24h'!$I$7:$I$100,2)+SUMIFS('24i'!$N$7:$N$100,'24i'!$H$7:$H$100,$A234,'24i'!$I$7:$I$100,2)+SUMIFS('25'!$N$7:$N$100,'25'!$H$7:$H$100,$A234,'25'!$I$7:$I$100,2)+SUMIFS('26'!$N$7:$N$100,'26'!$H$7:$H$100,$A234,'26'!$I$7:$I$100,2)+SUMIFS('26a'!$N$7:$N$100,'26a'!$H$7:$H$100,$A234,'26a'!$I$7:$I$100,2)+SUMIFS('27'!$N$7:$N$100,'27'!$H$7:$H$100,$A234,'27'!$I$7:$I$100,2)+SUMIFS('27a'!$N$7:$N$100,'27a'!$H$7:$H$100,$A234,'27a'!$I$7:$I$100,2)+SUMIFS('28'!$N$7:$N$100,'28'!$H$7:$H$100,$A234,'28'!$I$7:$I$100,2)+SUMIFS('29'!$N$7:$N$100,'29'!$H$7:$H$100,$A234,'29'!$I$7:$I$100,2)</f>
        <v>0</v>
      </c>
      <c r="E234" s="1315">
        <f>SUMIFS('12'!$N$7:$N$100,'12'!$H$7:$H$100,$A234,'12'!$I$7:$I$100,"")+SUMIFS('13'!$N$7:$N$100,'13'!$H$7:$H$100,$A234,'13'!$I$7:$I$100,"")+SUMIFS('14'!$N$7:$N$100,'14'!$H$7:$H$100,$A234,'14'!$I$7:$I$100,"")+SUMIFS('15'!$N$7:$N$100,'15'!$H$7:$H$100,$A234,'15'!$I$7:$I$100,"")+SUMIFS('15a'!$N$7:$N$100,'15a'!$H$7:$H$100,$A234,'15a'!$I$7:$I$100,"")+SUMIFS('15b'!$N$7:$N$100,'15b'!$H$7:$H$100,$A234,'15b'!$I$7:$I$100,"")+SUMIFS('15c'!$N$7:$N$100,'15c'!$H$7:$H$100,$A234,'15c'!$I$7:$I$100,"")+SUMIFS('15d'!$N$7:$N$100,'15d'!$H$7:$H$100,$A234,'15d'!$I$7:$I$100,"")+SUMIFS('15e'!$N$7:$N$100,'15e'!$H$7:$H$100,$A234,'15e'!$I$7:$I$100,"")+SUMIFS('15f'!$N$7:$N$100,'15f'!$H$7:$H$100,$A234,'15f'!$I$7:$I$100,"")+SUMIFS('15g'!$N$7:$N$100,'15g'!$H$7:$H$100,$A234,'15g'!$I$7:$I$100,"")+SUMIFS('15h'!$N$7:$N$100,'15h'!$H$7:$H$100,$A234,'15h'!$I$7:$I$100,"")+SUMIFS('15i'!$N$7:$N$100,'15i'!$H$7:$H$100,$A234,'15i'!$I$7:$I$100,"")+SUMIFS('15j'!$N$7:$N$100,'15j'!$H$7:$H$100,$A234,'15j'!$I$7:$I$100,"")+SUMIFS('15k'!$N$7:$N$100,'15k'!$H$7:$H$100,$A234,'15k'!$I$7:$I$100,"")+SUMIFS('15l'!$N$7:$N$100,'15l'!$H$7:$H$100,$A234,'15l'!$I$7:$I$100,"")+SUMIFS('15m'!$N$7:$N$100,'15m'!$H$7:$H$100,$A234,'15m'!$I$7:$I$100,"")+SUMIFS('15n'!$N$7:$N$100,'15n'!$H$7:$H$100,$A234,'15n'!$I$7:$I$100,"")+SUMIFS('16'!$N$7:$N$100,'16'!$H$7:$H$100,$A234,'16'!$I$7:$I$100,"")+SUMIFS('16a'!$N$7:$N$100,'16a'!$H$7:$H$100,$A234,'16a'!$I$7:$I$100,"")+SUMIFS('17'!$N$7:$N$100,'17'!$H$7:$H$100,$A234,'17'!$I$7:$I$100,"")+SUMIFS('17a'!$N$7:$N$100,'17a'!$H$7:$H$100,$A234,'17a'!$I$7:$I$100,"")+SUMIFS('18'!$N$7:$N$100,'18'!$H$7:$H$100,$A234,'18'!$I$7:$I$100,"")+SUMIFS('18a'!$N$7:$N$100,'18a'!$H$7:$H$100,$A234,'18a'!$I$7:$I$100,"")
+SUMIFS('19'!$N$7:$N$100,'19'!$H$7:$H$100,$A234,'19'!$I$7:$I$100,"")+SUMIFS('20'!$N$7:$N$100,'20'!$H$7:$H$100,$A234,'20'!$I$7:$I$100,"")+SUMIFS('20a'!$N$7:$N$100,'20a'!$H$7:$H$100,$A234,'20a'!$I$7:$I$100,"")+SUMIFS('21'!$N$7:$N$100,'21'!$H$7:$H$100,$A234,'21'!$I$7:$I$100,"")+SUMIFS('22'!$N$7:$N$100,'22'!$H$7:$H$100,$A234,'22'!$I$7:$I$100,"")+SUMIFS('22a'!$N$7:$N$100,'22a'!$H$7:$H$100,$A234,'22a'!$I$7:$I$100,"")+SUMIFS('22b'!$N$7:$N$100,'22b'!$H$7:$H$100,$A234,'22b'!$I$7:$I$100,"")+SUMIFS('23'!$N$7:$N$100,'23'!$H$7:$H$100,$A234,'23'!$I$7:$I$100,"")+SUMIFS('24'!$N$7:$N$100,'24'!$H$7:$H$100,$A234,'24'!$I$7:$I$100,"")+SUMIFS('24a'!$N$7:$N$100,'24a'!$H$7:$H$100,$A234,'24a'!$I$7:$I$100,"")+SUMIFS('24b'!$N$7:$N$100,'24b'!$H$7:$H$100,$A234,'24b'!$I$7:$I$100,"")+SUMIFS('24c'!$N$7:$N$100,'24c'!$H$7:$H$100,$A234,'24c'!$I$7:$I$100,"")+SUMIFS('24d'!$N$7:$N$100,'24d'!$H$7:$H$100,$A234,'24d'!$I$7:$I$100,"")+SUMIFS('24e'!$N$7:$N$100,'24e'!$H$7:$H$100,$A234,'24e'!$I$7:$I$100,"")+SUMIFS('24f'!$N$7:$N$100,'24f'!$H$7:$H$100,$A234,'24f'!$I$7:$I$100,"")+SUMIFS('24g'!$N$7:$N$100,'24g'!$H$7:$H$100,$A234,'24g'!$I$7:$I$100,"")+SUMIFS('24h'!$N$7:$N$100,'24h'!$H$7:$H$100,$A234,'24h'!$I$7:$I$100,"")+SUMIFS('24i'!$N$7:$N$100,'24i'!$H$7:$H$100,$A234,'24i'!$I$7:$I$100,"")+SUMIFS('25'!$N$7:$N$100,'25'!$H$7:$H$100,$A234,'25'!$I$7:$I$100,"")+SUMIFS('26'!$N$7:$N$100,'26'!$H$7:$H$100,$A234,'26'!$I$7:$I$100,"")+SUMIFS('26a'!$N$7:$N$100,'26a'!$H$7:$H$100,$A234,'26a'!$I$7:$I$100,"")+SUMIFS('27'!$N$7:$N$100,'27'!$H$7:$H$100,$A234,'27'!$I$7:$I$100,"")+SUMIFS('27a'!$N$7:$N$100,'27a'!$H$7:$H$100,$A234,'27a'!$I$7:$I$100,"")+SUMIFS('28'!$N$7:$N$100,'28'!$H$7:$H$100,$A234,'28'!$I$7:$I$100,"")+SUMIFS('29'!$N$7:$N$100,'29'!$H$7:$H$100,$A234,'29'!$I$7:$I$100,"")</f>
        <v>0</v>
      </c>
      <c r="F234" s="1296">
        <f t="shared" si="20"/>
        <v>0</v>
      </c>
      <c r="G234" s="1295">
        <f>SUMIFS('12'!$J$7:$J$100,'12'!$H$7:$H$100,$A234,'12'!$I$7:$I$100,1)+SUMIFS('13'!$J$7:$J$100,'13'!$H$7:$H$100,$A234,'13'!$I$7:$I$100,1)+SUMIFS('14'!$J$7:$J$100,'14'!$H$7:$H$100,$A234,'14'!$I$7:$I$100,1)+SUMIFS('15'!$J$7:$J$100,'15'!$H$7:$H$100,$A234,'15'!$I$7:$I$100,1)+SUMIFS('15a'!$J$7:$J$100,'15a'!$H$7:$H$100,$A234,'15a'!$I$7:$I$100,1)+SUMIFS('15b'!$J$7:$J$100,'15b'!$H$7:$H$100,$A234,'15b'!$I$7:$I$100,1)+SUMIFS('15c'!$J$7:$J$100,'15c'!$H$7:$H$100,$A234,'15c'!$I$7:$I$100,1)+SUMIFS('15d'!$J$7:$J$100,'15d'!$H$7:$H$100,$A234,'15d'!$I$7:$I$100,1)+SUMIFS('15e'!$J$7:$J$100,'15e'!$H$7:$H$100,$A234,'15e'!$I$7:$I$100,1)+SUMIFS('15f'!$J$7:$J$100,'15f'!$H$7:$H$100,$A234,'15f'!$I$7:$I$100,1)+SUMIFS('15g'!$J$7:$J$100,'15g'!$H$7:$H$100,$A234,'15g'!$I$7:$I$100,1)+SUMIFS('15h'!$J$7:$J$100,'15h'!$H$7:$H$100,$A234,'15h'!$I$7:$I$100,1)+SUMIFS('15i'!$J$7:$J$100,'15i'!$H$7:$H$100,$A234,'15i'!$I$7:$I$100,1)+SUMIFS('15j'!$J$7:$J$100,'15j'!$H$7:$H$100,$A234,'15j'!$I$7:$I$100,1)+SUMIFS('15k'!$J$7:$J$100,'15k'!$H$7:$H$100,$A234,'15k'!$I$7:$I$100,1)+SUMIFS('15l'!$J$7:$J$100,'15l'!$H$7:$H$100,$A234,'15l'!$I$7:$I$100,1)+SUMIFS('15m'!$J$7:$J$100,'15m'!$H$7:$H$100,$A234,'15m'!$I$7:$I$100,1)+SUMIFS('15n'!$J$7:$J$100,'15n'!$H$7:$H$100,$A234,'15n'!$I$7:$I$100,1)+SUMIFS('16'!$J$7:$J$100,'16'!$H$7:$H$100,$A234,'16'!$I$7:$I$100,1)+SUMIFS('16a'!$J$7:$J$100,'16a'!$H$7:$H$100,$A234,'16a'!$I$7:$I$100,1)+SUMIFS('17'!$J$7:$J$100,'17'!$H$7:$H$100,$A234,'17'!$I$7:$I$100,1)+SUMIFS('17a'!$J$7:$J$100,'17a'!$H$7:$H$100,$A234,'17a'!$I$7:$I$100,1)+SUMIFS('18'!$J$7:$J$100,'18'!$H$7:$H$100,$A234,'18'!$I$7:$I$100,1)+SUMIFS('18a'!$J$7:$J$100,'18a'!$H$7:$H$100,$A234,'18a'!$I$7:$I$100,1)
+SUMIFS('19'!$J$7:$J$100,'19'!$H$7:$H$100,$A234,'19'!$I$7:$I$100,1)+SUMIFS('20'!$J$7:$J$100,'20'!$H$7:$H$100,$A234,'20'!$I$7:$I$100,1)+SUMIFS('20a'!$J$7:$J$100,'20a'!$H$7:$H$100,$A234,'20a'!$I$7:$I$100,1)+SUMIFS('21'!$J$7:$J$100,'21'!$H$7:$H$100,$A234,'21'!$I$7:$I$100,1)+SUMIFS('22'!$J$7:$J$100,'22'!$H$7:$H$100,$A234,'22'!$I$7:$I$100,1)+SUMIFS('22a'!$J$7:$J$100,'22a'!$H$7:$H$100,$A234,'22a'!$I$7:$I$100,1)+SUMIFS('22b'!$J$7:$J$100,'22b'!$H$7:$H$100,$A234,'22b'!$I$7:$I$100,1)+SUMIFS('23'!$J$7:$J$100,'23'!$H$7:$H$100,$A234,'23'!$I$7:$I$100,1)+SUMIFS('24'!$J$7:$J$100,'24'!$H$7:$H$100,$A234,'24'!$I$7:$I$100,1)+SUMIFS('24a'!$J$7:$J$100,'24a'!$H$7:$H$100,$A234,'24a'!$I$7:$I$100,1)+SUMIFS('24b'!$J$7:$J$100,'24b'!$H$7:$H$100,$A234,'24b'!$I$7:$I$100,1)+SUMIFS('24c'!$J$7:$J$100,'24c'!$H$7:$H$100,$A234,'24c'!$I$7:$I$100,1)+SUMIFS('24d'!$J$7:$J$100,'24d'!$H$7:$H$100,$A234,'24d'!$I$7:$I$100,1)+SUMIFS('24e'!$J$7:$J$100,'24e'!$H$7:$H$100,$A234,'24e'!$I$7:$I$100,1)+SUMIFS('24f'!$J$7:$J$100,'24f'!$H$7:$H$100,$A234,'24f'!$I$7:$I$100,1)+SUMIFS('24g'!$J$7:$J$100,'24g'!$H$7:$H$100,$A234,'24g'!$I$7:$I$100,1)+SUMIFS('24h'!$J$7:$J$100,'24h'!$H$7:$H$100,$A234,'24h'!$I$7:$I$100,1)+SUMIFS('24i'!$J$7:$J$100,'24i'!$H$7:$H$100,$A234,'24i'!$I$7:$I$100,1)+SUMIFS('25'!$J$7:$J$100,'25'!$H$7:$H$100,$A234,'25'!$I$7:$I$100,1)+SUMIFS('26'!$J$7:$J$100,'26'!$H$7:$H$100,$A234,'26'!$I$7:$I$100,1)+SUMIFS('26a'!$J$7:$J$100,'26a'!$H$7:$H$100,$A234,'26a'!$I$7:$I$100,1)+SUMIFS('27'!$J$7:$J$100,'27'!$H$7:$H$100,$A234,'27'!$I$7:$I$100,1)+SUMIFS('27a'!$J$7:$J$100,'27a'!$H$7:$H$100,$A234,'27a'!$I$7:$I$100,1)+SUMIFS('28'!$J$7:$J$100,'28'!$H$7:$H$100,$A234,'28'!$I$7:$I$100,1)+SUMIFS('29'!$J$7:$J$100,'29'!$H$7:$H$100,$A234,'29'!$I$7:$I$100,1)</f>
        <v>0</v>
      </c>
      <c r="H234" s="1315">
        <f>SUMIFS('12'!$J$7:$J$100,'12'!$H$7:$H$100,$A234,'12'!$I$7:$I$100,2)+SUMIFS('13'!$J$7:$J$100,'13'!$H$7:$H$100,$A234,'13'!$I$7:$I$100,2)+SUMIFS('14'!$J$7:$J$100,'14'!$H$7:$H$100,$A234,'14'!$I$7:$I$100,2)+SUMIFS('15'!$J$7:$J$100,'15'!$H$7:$H$100,$A234,'15'!$I$7:$I$100,2)+SUMIFS('15a'!$J$7:$J$100,'15a'!$H$7:$H$100,$A234,'15a'!$I$7:$I$100,2)+SUMIFS('15b'!$J$7:$J$100,'15b'!$H$7:$H$100,$A234,'15b'!$I$7:$I$100,2)+SUMIFS('15c'!$J$7:$J$100,'15c'!$H$7:$H$100,$A234,'15c'!$I$7:$I$100,2)+SUMIFS('15d'!$J$7:$J$100,'15d'!$H$7:$H$100,$A234,'15d'!$I$7:$I$100,2)+SUMIFS('15e'!$J$7:$J$100,'15e'!$H$7:$H$100,$A234,'15e'!$I$7:$I$100,2)+SUMIFS('15f'!$J$7:$J$100,'15f'!$H$7:$H$100,$A234,'15f'!$I$7:$I$100,2)+SUMIFS('15g'!$J$7:$J$100,'15g'!$H$7:$H$100,$A234,'15g'!$I$7:$I$100,2)+SUMIFS('15h'!$J$7:$J$100,'15h'!$H$7:$H$100,$A234,'15h'!$I$7:$I$100,2)+SUMIFS('15i'!$J$7:$J$100,'15i'!$H$7:$H$100,$A234,'15i'!$I$7:$I$100,2)+SUMIFS('15j'!$J$7:$J$100,'15j'!$H$7:$H$100,$A234,'15j'!$I$7:$I$100,2)+SUMIFS('15k'!$J$7:$J$100,'15k'!$H$7:$H$100,$A234,'15k'!$I$7:$I$100,2)+SUMIFS('15l'!$J$7:$J$100,'15l'!$H$7:$H$100,$A234,'15l'!$I$7:$I$100,2)+SUMIFS('15m'!$J$7:$J$100,'15m'!$H$7:$H$100,$A234,'15m'!$I$7:$I$100,2)+SUMIFS('15n'!$J$7:$J$100,'15n'!$H$7:$H$100,$A234,'15n'!$I$7:$I$100,2)+SUMIFS('16'!$J$7:$J$100,'16'!$H$7:$H$100,$A234,'16'!$I$7:$I$100,2)+SUMIFS('16a'!$J$7:$J$100,'16a'!$H$7:$H$100,$A234,'16a'!$I$7:$I$100,2)+SUMIFS('17'!$J$7:$J$100,'17'!$H$7:$H$100,$A234,'17'!$I$7:$I$100,2)+SUMIFS('17a'!$J$7:$J$100,'17a'!$H$7:$H$100,$A234,'17a'!$I$7:$I$100,2)+SUMIFS('18'!$J$7:$J$100,'18'!$H$7:$H$100,$A234,'18'!$I$7:$I$100,2)+SUMIFS('18a'!$J$7:$J$100,'18a'!$H$7:$H$100,$A234,'18a'!$I$7:$I$100,2)
+SUMIFS('19'!$J$7:$J$100,'19'!$H$7:$H$100,$A234,'19'!$I$7:$I$100,2)+SUMIFS('20'!$J$7:$J$100,'20'!$H$7:$H$100,$A234,'20'!$I$7:$I$100,2)+SUMIFS('20a'!$J$7:$J$100,'20a'!$H$7:$H$100,$A234,'20a'!$I$7:$I$100,2)+SUMIFS('21'!$J$7:$J$100,'21'!$H$7:$H$100,$A234,'21'!$I$7:$I$100,2)+SUMIFS('22'!$J$7:$J$100,'22'!$H$7:$H$100,$A234,'22'!$I$7:$I$100,2)+SUMIFS('22a'!$J$7:$J$100,'22a'!$H$7:$H$100,$A234,'22a'!$I$7:$I$100,2)+SUMIFS('22b'!$J$7:$J$100,'22b'!$H$7:$H$100,$A234,'22b'!$I$7:$I$100,2)+SUMIFS('23'!$J$7:$J$100,'23'!$H$7:$H$100,$A234,'23'!$I$7:$I$100,2)+SUMIFS('24'!$J$7:$J$100,'24'!$H$7:$H$100,$A234,'24'!$I$7:$I$100,2)+SUMIFS('24a'!$J$7:$J$100,'24a'!$H$7:$H$100,$A234,'24a'!$I$7:$I$100,2)+SUMIFS('24b'!$J$7:$J$100,'24b'!$H$7:$H$100,$A234,'24b'!$I$7:$I$100,2)+SUMIFS('24c'!$J$7:$J$100,'24c'!$H$7:$H$100,$A234,'24c'!$I$7:$I$100,2)+SUMIFS('24d'!$J$7:$J$100,'24d'!$H$7:$H$100,$A234,'24d'!$I$7:$I$100,2)+SUMIFS('24e'!$J$7:$J$100,'24e'!$H$7:$H$100,$A234,'24e'!$I$7:$I$100,2)+SUMIFS('24f'!$J$7:$J$100,'24f'!$H$7:$H$100,$A234,'24f'!$I$7:$I$100,2)+SUMIFS('24g'!$J$7:$J$100,'24g'!$H$7:$H$100,$A234,'24g'!$I$7:$I$100,2)+SUMIFS('24h'!$J$7:$J$100,'24h'!$H$7:$H$100,$A234,'24h'!$I$7:$I$100,2)+SUMIFS('24i'!$J$7:$J$100,'24i'!$H$7:$H$100,$A234,'24i'!$I$7:$I$100,2)+SUMIFS('25'!$J$7:$J$100,'25'!$H$7:$H$100,$A234,'25'!$I$7:$I$100,2)+SUMIFS('26'!$J$7:$J$100,'26'!$H$7:$H$100,$A234,'26'!$I$7:$I$100,2)+SUMIFS('26a'!$J$7:$J$100,'26a'!$H$7:$H$100,$A234,'26a'!$I$7:$I$100,2)+SUMIFS('27'!$J$7:$J$100,'27'!$H$7:$H$100,$A234,'27'!$I$7:$I$100,2)+SUMIFS('27a'!$J$7:$J$100,'27a'!$H$7:$H$100,$A234,'27a'!$I$7:$I$100,2)+SUMIFS('28'!$J$7:$J$100,'28'!$H$7:$H$100,$A234,'28'!$I$7:$I$100,2)+SUMIFS('29'!$J$7:$J$100,'29'!$H$7:$H$100,$A234,'29'!$I$7:$I$100,2)</f>
        <v>0</v>
      </c>
      <c r="I234" s="1315">
        <f>SUMIFS('12'!$J$7:$J$100,'12'!$H$7:$H$100,$A234,'12'!$I$7:$I$100,"")+SUMIFS('13'!$J$7:$J$100,'13'!$H$7:$H$100,$A234,'13'!$I$7:$I$100,"")+SUMIFS('14'!$J$7:$J$100,'14'!$H$7:$H$100,$A234,'14'!$I$7:$I$100,"")+SUMIFS('15'!$J$7:$J$100,'15'!$H$7:$H$100,$A234,'15'!$I$7:$I$100,"")+SUMIFS('15a'!$J$7:$J$100,'15a'!$H$7:$H$100,$A234,'15a'!$I$7:$I$100,"")+SUMIFS('15b'!$J$7:$J$100,'15b'!$H$7:$H$100,$A234,'15b'!$I$7:$I$100,"")+SUMIFS('15c'!$J$7:$J$100,'15c'!$H$7:$H$100,$A234,'15c'!$I$7:$I$100,"")+SUMIFS('15d'!$J$7:$J$100,'15d'!$H$7:$H$100,$A234,'15d'!$I$7:$I$100,"")+SUMIFS('15e'!$J$7:$J$100,'15e'!$H$7:$H$100,$A234,'15e'!$I$7:$I$100,"")+SUMIFS('15f'!$J$7:$J$100,'15f'!$H$7:$H$100,$A234,'15f'!$I$7:$I$100,"")+SUMIFS('15g'!$J$7:$J$100,'15g'!$H$7:$H$100,$A234,'15g'!$I$7:$I$100,"")+SUMIFS('15h'!$J$7:$J$100,'15h'!$H$7:$H$100,$A234,'15h'!$I$7:$I$100,"")+SUMIFS('15i'!$J$7:$J$100,'15i'!$H$7:$H$100,$A234,'15i'!$I$7:$I$100,"")+SUMIFS('15j'!$J$7:$J$100,'15j'!$H$7:$H$100,$A234,'15j'!$I$7:$I$100,"")+SUMIFS('15k'!$J$7:$J$100,'15k'!$H$7:$H$100,$A234,'15k'!$I$7:$I$100,"")+SUMIFS('15l'!$J$7:$J$100,'15l'!$H$7:$H$100,$A234,'15l'!$I$7:$I$100,"")+SUMIFS('15m'!$J$7:$J$100,'15m'!$H$7:$H$100,$A234,'15m'!$I$7:$I$100,"")+SUMIFS('15n'!$J$7:$J$100,'15n'!$H$7:$H$100,$A234,'15n'!$I$7:$I$100,"")+SUMIFS('16'!$J$7:$J$100,'16'!$H$7:$H$100,$A234,'16'!$I$7:$I$100,"")+SUMIFS('16a'!$J$7:$J$100,'16a'!$H$7:$H$100,$A234,'16a'!$I$7:$I$100,"")+SUMIFS('17'!$J$7:$J$100,'17'!$H$7:$H$100,$A234,'17'!$I$7:$I$100,"")+SUMIFS('17a'!$J$7:$J$100,'17a'!$H$7:$H$100,$A234,'17a'!$I$7:$I$100,"")+SUMIFS('18'!$J$7:$J$100,'18'!$H$7:$H$100,$A234,'18'!$I$7:$I$100,"")+SUMIFS('18a'!$J$7:$J$100,'18a'!$H$7:$H$100,$A234,'18a'!$I$7:$I$100,"")
+SUMIFS('19'!$J$7:$J$100,'19'!$H$7:$H$100,$A234,'19'!$I$7:$I$100,"")+SUMIFS('20'!$J$7:$J$100,'20'!$H$7:$H$100,$A234,'20'!$I$7:$I$100,"")+SUMIFS('20a'!$J$7:$J$100,'20a'!$H$7:$H$100,$A234,'20a'!$I$7:$I$100,"")+SUMIFS('21'!$J$7:$J$100,'21'!$H$7:$H$100,$A234,'21'!$I$7:$I$100,"")+SUMIFS('22'!$J$7:$J$100,'22'!$H$7:$H$100,$A234,'22'!$I$7:$I$100,"")+SUMIFS('22a'!$J$7:$J$100,'22a'!$H$7:$H$100,$A234,'22a'!$I$7:$I$100,"")+SUMIFS('22b'!$J$7:$J$100,'22b'!$H$7:$H$100,$A234,'22b'!$I$7:$I$100,"")+SUMIFS('23'!$J$7:$J$100,'23'!$H$7:$H$100,$A234,'23'!$I$7:$I$100,"")+SUMIFS('24'!$J$7:$J$100,'24'!$H$7:$H$100,$A234,'24'!$I$7:$I$100,"")+SUMIFS('24a'!$J$7:$J$100,'24a'!$H$7:$H$100,$A234,'24a'!$I$7:$I$100,"")+SUMIFS('24b'!$J$7:$J$100,'24b'!$H$7:$H$100,$A234,'24b'!$I$7:$I$100,"")+SUMIFS('24c'!$J$7:$J$100,'24c'!$H$7:$H$100,$A234,'24c'!$I$7:$I$100,"")+SUMIFS('24d'!$J$7:$J$100,'24d'!$H$7:$H$100,$A234,'24d'!$I$7:$I$100,"")+SUMIFS('24e'!$J$7:$J$100,'24e'!$H$7:$H$100,$A234,'24e'!$I$7:$I$100,"")+SUMIFS('24f'!$J$7:$J$100,'24f'!$H$7:$H$100,$A234,'24f'!$I$7:$I$100,"")+SUMIFS('24g'!$J$7:$J$100,'24g'!$H$7:$H$100,$A234,'24g'!$I$7:$I$100,"")+SUMIFS('24h'!$J$7:$J$100,'24h'!$H$7:$H$100,$A234,'24h'!$I$7:$I$100,"")+SUMIFS('24i'!$J$7:$J$100,'24i'!$H$7:$H$100,$A234,'24i'!$I$7:$I$100,"")+SUMIFS('25'!$J$7:$J$100,'25'!$H$7:$H$100,$A234,'25'!$I$7:$I$100,"")+SUMIFS('26'!$J$7:$J$100,'26'!$H$7:$H$100,$A234,'26'!$I$7:$I$100,"")+SUMIFS('26a'!$J$7:$J$100,'26a'!$H$7:$H$100,$A234,'26a'!$I$7:$I$100,"")+SUMIFS('27'!$J$7:$J$100,'27'!$H$7:$H$100,$A234,'27'!$I$7:$I$100,"")+SUMIFS('27a'!$J$7:$J$100,'27a'!$H$7:$H$100,$A234,'27a'!$I$7:$I$100,"")+SUMIFS('28'!$J$7:$J$100,'28'!$H$7:$H$100,$A234,'28'!$I$7:$I$100,"")+SUMIFS('29'!$J$7:$J$100,'29'!$H$7:$H$100,$A234,'29'!$I$7:$I$100,"")</f>
        <v>0</v>
      </c>
      <c r="J234" s="1296">
        <f t="shared" si="21"/>
        <v>0</v>
      </c>
      <c r="K234"/>
      <c r="L234"/>
      <c r="M234"/>
      <c r="N234"/>
      <c r="O234"/>
      <c r="P234"/>
      <c r="Q234"/>
      <c r="R234"/>
      <c r="S234" s="1307">
        <f t="shared" si="14"/>
        <v>0</v>
      </c>
      <c r="T234"/>
    </row>
    <row r="235" spans="1:20" ht="12.75" customHeight="1" outlineLevel="1" x14ac:dyDescent="0.2">
      <c r="A235" t="s">
        <v>5157</v>
      </c>
      <c r="B235" t="s">
        <v>5488</v>
      </c>
      <c r="C235" s="1295">
        <f>SUMIFS('12'!$N$7:$N$100,'12'!$H$7:$H$100,$A235,'12'!$I$7:$I$100,1)+SUMIFS('13'!$N$7:$N$100,'13'!$H$7:$H$100,$A235,'13'!$I$7:$I$100,1)+SUMIFS('14'!$N$7:$N$100,'14'!$H$7:$H$100,$A235,'14'!$I$7:$I$100,1)+SUMIFS('15'!$N$7:$N$100,'15'!$H$7:$H$100,$A235,'15'!$I$7:$I$100,1)+SUMIFS('15a'!$N$7:$N$100,'15a'!$H$7:$H$100,$A235,'15a'!$I$7:$I$100,1)+SUMIFS('15b'!$N$7:$N$100,'15b'!$H$7:$H$100,$A235,'15b'!$I$7:$I$100,1)+SUMIFS('15c'!$N$7:$N$100,'15c'!$H$7:$H$100,$A235,'15c'!$I$7:$I$100,1)+SUMIFS('15d'!$N$7:$N$100,'15d'!$H$7:$H$100,$A235,'15d'!$I$7:$I$100,1)+SUMIFS('15e'!$N$7:$N$100,'15e'!$H$7:$H$100,$A235,'15e'!$I$7:$I$100,1)+SUMIFS('15f'!$N$7:$N$100,'15f'!$H$7:$H$100,$A235,'15f'!$I$7:$I$100,1)+SUMIFS('15g'!$N$7:$N$100,'15g'!$H$7:$H$100,$A235,'15g'!$I$7:$I$100,1)+SUMIFS('15h'!$N$7:$N$100,'15h'!$H$7:$H$100,$A235,'15h'!$I$7:$I$100,1)+SUMIFS('15i'!$N$7:$N$100,'15i'!$H$7:$H$100,$A235,'15i'!$I$7:$I$100,1)+SUMIFS('15j'!$N$7:$N$100,'15j'!$H$7:$H$100,$A235,'15j'!$I$7:$I$100,1)+SUMIFS('15k'!$N$7:$N$100,'15k'!$H$7:$H$100,$A235,'15k'!$I$7:$I$100,1)+SUMIFS('15l'!$N$7:$N$100,'15l'!$H$7:$H$100,$A235,'15l'!$I$7:$I$100,1)+SUMIFS('15m'!$N$7:$N$100,'15m'!$H$7:$H$100,$A235,'15m'!$I$7:$I$100,1)+SUMIFS('15n'!$N$7:$N$100,'15n'!$H$7:$H$100,$A235,'15n'!$I$7:$I$100,1)+SUMIFS('16'!$N$7:$N$100,'16'!$H$7:$H$100,$A235,'16'!$I$7:$I$100,1)+SUMIFS('16a'!$N$7:$N$100,'16a'!$H$7:$H$100,$A235,'16a'!$I$7:$I$100,1)+SUMIFS('17'!$N$7:$N$100,'17'!$H$7:$H$100,$A235,'17'!$I$7:$I$100,1)+SUMIFS('17a'!$N$7:$N$100,'17a'!$H$7:$H$100,$A235,'17a'!$I$7:$I$100,1)+SUMIFS('18'!$N$7:$N$100,'18'!$H$7:$H$100,$A235,'18'!$I$7:$I$100,1)+SUMIFS('18a'!$N$7:$N$100,'18a'!$H$7:$H$100,$A235,'18a'!$I$7:$I$100,1)
+SUMIFS('19'!$N$7:$N$100,'19'!$H$7:$H$100,$A235,'19'!$I$7:$I$100,1)+SUMIFS('20'!$N$7:$N$100,'20'!$H$7:$H$100,$A235,'20'!$I$7:$I$100,1)+SUMIFS('20a'!$N$7:$N$100,'20a'!$H$7:$H$100,$A235,'20a'!$I$7:$I$100,1)+SUMIFS('21'!$N$7:$N$100,'21'!$H$7:$H$100,$A235,'21'!$I$7:$I$100,1)+SUMIFS('22'!$N$7:$N$100,'22'!$H$7:$H$100,$A235,'22'!$I$7:$I$100,1)+SUMIFS('22a'!$N$7:$N$100,'22a'!$H$7:$H$100,$A235,'22a'!$I$7:$I$100,1)+SUMIFS('22b'!$N$7:$N$100,'22b'!$H$7:$H$100,$A235,'22b'!$I$7:$I$100,1)+SUMIFS('23'!$N$7:$N$100,'23'!$H$7:$H$100,$A235,'23'!$I$7:$I$100,1)+SUMIFS('24'!$N$7:$N$100,'24'!$H$7:$H$100,$A235,'24'!$I$7:$I$100,1)+SUMIFS('24a'!$N$7:$N$100,'24a'!$H$7:$H$100,$A235,'24a'!$I$7:$I$100,1)+SUMIFS('24b'!$N$7:$N$100,'24b'!$H$7:$H$100,$A235,'24b'!$I$7:$I$100,1)+SUMIFS('24c'!$N$7:$N$100,'24c'!$H$7:$H$100,$A235,'24c'!$I$7:$I$100,1)+SUMIFS('24d'!$N$7:$N$100,'24d'!$H$7:$H$100,$A235,'24d'!$I$7:$I$100,1)+SUMIFS('24e'!$N$7:$N$100,'24e'!$H$7:$H$100,$A235,'24e'!$I$7:$I$100,1)+SUMIFS('24f'!$N$7:$N$100,'24f'!$H$7:$H$100,$A235,'24f'!$I$7:$I$100,1)+SUMIFS('24g'!$N$7:$N$100,'24g'!$H$7:$H$100,$A235,'24g'!$I$7:$I$100,1)+SUMIFS('24h'!$N$7:$N$100,'24h'!$H$7:$H$100,$A235,'24h'!$I$7:$I$100,1)+SUMIFS('24i'!$N$7:$N$100,'24i'!$H$7:$H$100,$A235,'24i'!$I$7:$I$100,1)+SUMIFS('25'!$N$7:$N$100,'25'!$H$7:$H$100,$A235,'25'!$I$7:$I$100,1)+SUMIFS('26'!$N$7:$N$100,'26'!$H$7:$H$100,$A235,'26'!$I$7:$I$100,1)+SUMIFS('26a'!$N$7:$N$100,'26a'!$H$7:$H$100,$A235,'26a'!$I$7:$I$100,1)+SUMIFS('27'!$N$7:$N$100,'27'!$H$7:$H$100,$A235,'27'!$I$7:$I$100,1)+SUMIFS('27a'!$N$7:$N$100,'27a'!$H$7:$H$100,$A235,'27a'!$I$7:$I$100,1)+SUMIFS('28'!$N$7:$N$100,'28'!$H$7:$H$100,$A235,'28'!$I$7:$I$100,1)+SUMIFS('29'!$N$7:$N$100,'29'!$H$7:$H$100,$A235,'29'!$I$7:$I$100,1)</f>
        <v>0</v>
      </c>
      <c r="D235" s="1315">
        <f>SUMIFS('12'!$N$7:$N$100,'12'!$H$7:$H$100,$A235,'12'!$I$7:$I$100,2)+SUMIFS('13'!$N$7:$N$100,'13'!$H$7:$H$100,$A235,'13'!$I$7:$I$100,2)+SUMIFS('14'!$N$7:$N$100,'14'!$H$7:$H$100,$A235,'14'!$I$7:$I$100,2)+SUMIFS('15'!$N$7:$N$100,'15'!$H$7:$H$100,$A235,'15'!$I$7:$I$100,2)+SUMIFS('15a'!$N$7:$N$100,'15a'!$H$7:$H$100,$A235,'15a'!$I$7:$I$100,2)+SUMIFS('15b'!$N$7:$N$100,'15b'!$H$7:$H$100,$A235,'15b'!$I$7:$I$100,2)+SUMIFS('15c'!$N$7:$N$100,'15c'!$H$7:$H$100,$A235,'15c'!$I$7:$I$100,2)+SUMIFS('15d'!$N$7:$N$100,'15d'!$H$7:$H$100,$A235,'15d'!$I$7:$I$100,2)+SUMIFS('15e'!$N$7:$N$100,'15e'!$H$7:$H$100,$A235,'15e'!$I$7:$I$100,2)+SUMIFS('15f'!$N$7:$N$100,'15f'!$H$7:$H$100,$A235,'15f'!$I$7:$I$100,2)+SUMIFS('15g'!$N$7:$N$100,'15g'!$H$7:$H$100,$A235,'15g'!$I$7:$I$100,2)+SUMIFS('15h'!$N$7:$N$100,'15h'!$H$7:$H$100,$A235,'15h'!$I$7:$I$100,2)+SUMIFS('15i'!$N$7:$N$100,'15i'!$H$7:$H$100,$A235,'15i'!$I$7:$I$100,2)+SUMIFS('15j'!$N$7:$N$100,'15j'!$H$7:$H$100,$A235,'15j'!$I$7:$I$100,2)+SUMIFS('15k'!$N$7:$N$100,'15k'!$H$7:$H$100,$A235,'15k'!$I$7:$I$100,2)+SUMIFS('15l'!$N$7:$N$100,'15l'!$H$7:$H$100,$A235,'15l'!$I$7:$I$100,2)+SUMIFS('15m'!$N$7:$N$100,'15m'!$H$7:$H$100,$A235,'15m'!$I$7:$I$100,2)+SUMIFS('15n'!$N$7:$N$100,'15n'!$H$7:$H$100,$A235,'15n'!$I$7:$I$100,2)+SUMIFS('16'!$N$7:$N$100,'16'!$H$7:$H$100,$A235,'16'!$I$7:$I$100,2)+SUMIFS('16a'!$N$7:$N$100,'16a'!$H$7:$H$100,$A235,'16a'!$I$7:$I$100,2)+SUMIFS('17'!$N$7:$N$100,'17'!$H$7:$H$100,$A235,'17'!$I$7:$I$100,2)+SUMIFS('17a'!$N$7:$N$100,'17a'!$H$7:$H$100,$A235,'17a'!$I$7:$I$100,2)+SUMIFS('18'!$N$7:$N$100,'18'!$H$7:$H$100,$A235,'18'!$I$7:$I$100,2)+SUMIFS('18a'!$N$7:$N$100,'18a'!$H$7:$H$100,$A235,'18a'!$I$7:$I$100,2)
+SUMIFS('19'!$N$7:$N$100,'19'!$H$7:$H$100,$A235,'19'!$I$7:$I$100,2)+SUMIFS('20'!$N$7:$N$100,'20'!$H$7:$H$100,$A235,'20'!$I$7:$I$100,2)+SUMIFS('20a'!$N$7:$N$100,'20a'!$H$7:$H$100,$A235,'20a'!$I$7:$I$100,2)+SUMIFS('21'!$N$7:$N$100,'21'!$H$7:$H$100,$A235,'21'!$I$7:$I$100,2)+SUMIFS('22'!$N$7:$N$100,'22'!$H$7:$H$100,$A235,'22'!$I$7:$I$100,2)+SUMIFS('22a'!$N$7:$N$100,'22a'!$H$7:$H$100,$A235,'22a'!$I$7:$I$100,2)+SUMIFS('22b'!$N$7:$N$100,'22b'!$H$7:$H$100,$A235,'22b'!$I$7:$I$100,2)+SUMIFS('23'!$N$7:$N$100,'23'!$H$7:$H$100,$A235,'23'!$I$7:$I$100,2)+SUMIFS('24'!$N$7:$N$100,'24'!$H$7:$H$100,$A235,'24'!$I$7:$I$100,2)+SUMIFS('24a'!$N$7:$N$100,'24a'!$H$7:$H$100,$A235,'24a'!$I$7:$I$100,2)+SUMIFS('24b'!$N$7:$N$100,'24b'!$H$7:$H$100,$A235,'24b'!$I$7:$I$100,2)+SUMIFS('24c'!$N$7:$N$100,'24c'!$H$7:$H$100,$A235,'24c'!$I$7:$I$100,2)+SUMIFS('24d'!$N$7:$N$100,'24d'!$H$7:$H$100,$A235,'24d'!$I$7:$I$100,2)+SUMIFS('24e'!$N$7:$N$100,'24e'!$H$7:$H$100,$A235,'24e'!$I$7:$I$100,2)+SUMIFS('24f'!$N$7:$N$100,'24f'!$H$7:$H$100,$A235,'24f'!$I$7:$I$100,2)+SUMIFS('24g'!$N$7:$N$100,'24g'!$H$7:$H$100,$A235,'24g'!$I$7:$I$100,2)+SUMIFS('24h'!$N$7:$N$100,'24h'!$H$7:$H$100,$A235,'24h'!$I$7:$I$100,2)+SUMIFS('24i'!$N$7:$N$100,'24i'!$H$7:$H$100,$A235,'24i'!$I$7:$I$100,2)+SUMIFS('25'!$N$7:$N$100,'25'!$H$7:$H$100,$A235,'25'!$I$7:$I$100,2)+SUMIFS('26'!$N$7:$N$100,'26'!$H$7:$H$100,$A235,'26'!$I$7:$I$100,2)+SUMIFS('26a'!$N$7:$N$100,'26a'!$H$7:$H$100,$A235,'26a'!$I$7:$I$100,2)+SUMIFS('27'!$N$7:$N$100,'27'!$H$7:$H$100,$A235,'27'!$I$7:$I$100,2)+SUMIFS('27a'!$N$7:$N$100,'27a'!$H$7:$H$100,$A235,'27a'!$I$7:$I$100,2)+SUMIFS('28'!$N$7:$N$100,'28'!$H$7:$H$100,$A235,'28'!$I$7:$I$100,2)+SUMIFS('29'!$N$7:$N$100,'29'!$H$7:$H$100,$A235,'29'!$I$7:$I$100,2)</f>
        <v>0</v>
      </c>
      <c r="E235" s="1315">
        <f>SUMIFS('12'!$N$7:$N$100,'12'!$H$7:$H$100,$A235,'12'!$I$7:$I$100,"")+SUMIFS('13'!$N$7:$N$100,'13'!$H$7:$H$100,$A235,'13'!$I$7:$I$100,"")+SUMIFS('14'!$N$7:$N$100,'14'!$H$7:$H$100,$A235,'14'!$I$7:$I$100,"")+SUMIFS('15'!$N$7:$N$100,'15'!$H$7:$H$100,$A235,'15'!$I$7:$I$100,"")+SUMIFS('15a'!$N$7:$N$100,'15a'!$H$7:$H$100,$A235,'15a'!$I$7:$I$100,"")+SUMIFS('15b'!$N$7:$N$100,'15b'!$H$7:$H$100,$A235,'15b'!$I$7:$I$100,"")+SUMIFS('15c'!$N$7:$N$100,'15c'!$H$7:$H$100,$A235,'15c'!$I$7:$I$100,"")+SUMIFS('15d'!$N$7:$N$100,'15d'!$H$7:$H$100,$A235,'15d'!$I$7:$I$100,"")+SUMIFS('15e'!$N$7:$N$100,'15e'!$H$7:$H$100,$A235,'15e'!$I$7:$I$100,"")+SUMIFS('15f'!$N$7:$N$100,'15f'!$H$7:$H$100,$A235,'15f'!$I$7:$I$100,"")+SUMIFS('15g'!$N$7:$N$100,'15g'!$H$7:$H$100,$A235,'15g'!$I$7:$I$100,"")+SUMIFS('15h'!$N$7:$N$100,'15h'!$H$7:$H$100,$A235,'15h'!$I$7:$I$100,"")+SUMIFS('15i'!$N$7:$N$100,'15i'!$H$7:$H$100,$A235,'15i'!$I$7:$I$100,"")+SUMIFS('15j'!$N$7:$N$100,'15j'!$H$7:$H$100,$A235,'15j'!$I$7:$I$100,"")+SUMIFS('15k'!$N$7:$N$100,'15k'!$H$7:$H$100,$A235,'15k'!$I$7:$I$100,"")+SUMIFS('15l'!$N$7:$N$100,'15l'!$H$7:$H$100,$A235,'15l'!$I$7:$I$100,"")+SUMIFS('15m'!$N$7:$N$100,'15m'!$H$7:$H$100,$A235,'15m'!$I$7:$I$100,"")+SUMIFS('15n'!$N$7:$N$100,'15n'!$H$7:$H$100,$A235,'15n'!$I$7:$I$100,"")+SUMIFS('16'!$N$7:$N$100,'16'!$H$7:$H$100,$A235,'16'!$I$7:$I$100,"")+SUMIFS('16a'!$N$7:$N$100,'16a'!$H$7:$H$100,$A235,'16a'!$I$7:$I$100,"")+SUMIFS('17'!$N$7:$N$100,'17'!$H$7:$H$100,$A235,'17'!$I$7:$I$100,"")+SUMIFS('17a'!$N$7:$N$100,'17a'!$H$7:$H$100,$A235,'17a'!$I$7:$I$100,"")+SUMIFS('18'!$N$7:$N$100,'18'!$H$7:$H$100,$A235,'18'!$I$7:$I$100,"")+SUMIFS('18a'!$N$7:$N$100,'18a'!$H$7:$H$100,$A235,'18a'!$I$7:$I$100,"")
+SUMIFS('19'!$N$7:$N$100,'19'!$H$7:$H$100,$A235,'19'!$I$7:$I$100,"")+SUMIFS('20'!$N$7:$N$100,'20'!$H$7:$H$100,$A235,'20'!$I$7:$I$100,"")+SUMIFS('20a'!$N$7:$N$100,'20a'!$H$7:$H$100,$A235,'20a'!$I$7:$I$100,"")+SUMIFS('21'!$N$7:$N$100,'21'!$H$7:$H$100,$A235,'21'!$I$7:$I$100,"")+SUMIFS('22'!$N$7:$N$100,'22'!$H$7:$H$100,$A235,'22'!$I$7:$I$100,"")+SUMIFS('22a'!$N$7:$N$100,'22a'!$H$7:$H$100,$A235,'22a'!$I$7:$I$100,"")+SUMIFS('22b'!$N$7:$N$100,'22b'!$H$7:$H$100,$A235,'22b'!$I$7:$I$100,"")+SUMIFS('23'!$N$7:$N$100,'23'!$H$7:$H$100,$A235,'23'!$I$7:$I$100,"")+SUMIFS('24'!$N$7:$N$100,'24'!$H$7:$H$100,$A235,'24'!$I$7:$I$100,"")+SUMIFS('24a'!$N$7:$N$100,'24a'!$H$7:$H$100,$A235,'24a'!$I$7:$I$100,"")+SUMIFS('24b'!$N$7:$N$100,'24b'!$H$7:$H$100,$A235,'24b'!$I$7:$I$100,"")+SUMIFS('24c'!$N$7:$N$100,'24c'!$H$7:$H$100,$A235,'24c'!$I$7:$I$100,"")+SUMIFS('24d'!$N$7:$N$100,'24d'!$H$7:$H$100,$A235,'24d'!$I$7:$I$100,"")+SUMIFS('24e'!$N$7:$N$100,'24e'!$H$7:$H$100,$A235,'24e'!$I$7:$I$100,"")+SUMIFS('24f'!$N$7:$N$100,'24f'!$H$7:$H$100,$A235,'24f'!$I$7:$I$100,"")+SUMIFS('24g'!$N$7:$N$100,'24g'!$H$7:$H$100,$A235,'24g'!$I$7:$I$100,"")+SUMIFS('24h'!$N$7:$N$100,'24h'!$H$7:$H$100,$A235,'24h'!$I$7:$I$100,"")+SUMIFS('24i'!$N$7:$N$100,'24i'!$H$7:$H$100,$A235,'24i'!$I$7:$I$100,"")+SUMIFS('25'!$N$7:$N$100,'25'!$H$7:$H$100,$A235,'25'!$I$7:$I$100,"")+SUMIFS('26'!$N$7:$N$100,'26'!$H$7:$H$100,$A235,'26'!$I$7:$I$100,"")+SUMIFS('26a'!$N$7:$N$100,'26a'!$H$7:$H$100,$A235,'26a'!$I$7:$I$100,"")+SUMIFS('27'!$N$7:$N$100,'27'!$H$7:$H$100,$A235,'27'!$I$7:$I$100,"")+SUMIFS('27a'!$N$7:$N$100,'27a'!$H$7:$H$100,$A235,'27a'!$I$7:$I$100,"")+SUMIFS('28'!$N$7:$N$100,'28'!$H$7:$H$100,$A235,'28'!$I$7:$I$100,"")+SUMIFS('29'!$N$7:$N$100,'29'!$H$7:$H$100,$A235,'29'!$I$7:$I$100,"")</f>
        <v>0</v>
      </c>
      <c r="F235" s="1296">
        <f t="shared" si="20"/>
        <v>0</v>
      </c>
      <c r="G235" s="1295">
        <f>SUMIFS('12'!$J$7:$J$100,'12'!$H$7:$H$100,$A235,'12'!$I$7:$I$100,1)+SUMIFS('13'!$J$7:$J$100,'13'!$H$7:$H$100,$A235,'13'!$I$7:$I$100,1)+SUMIFS('14'!$J$7:$J$100,'14'!$H$7:$H$100,$A235,'14'!$I$7:$I$100,1)+SUMIFS('15'!$J$7:$J$100,'15'!$H$7:$H$100,$A235,'15'!$I$7:$I$100,1)+SUMIFS('15a'!$J$7:$J$100,'15a'!$H$7:$H$100,$A235,'15a'!$I$7:$I$100,1)+SUMIFS('15b'!$J$7:$J$100,'15b'!$H$7:$H$100,$A235,'15b'!$I$7:$I$100,1)+SUMIFS('15c'!$J$7:$J$100,'15c'!$H$7:$H$100,$A235,'15c'!$I$7:$I$100,1)+SUMIFS('15d'!$J$7:$J$100,'15d'!$H$7:$H$100,$A235,'15d'!$I$7:$I$100,1)+SUMIFS('15e'!$J$7:$J$100,'15e'!$H$7:$H$100,$A235,'15e'!$I$7:$I$100,1)+SUMIFS('15f'!$J$7:$J$100,'15f'!$H$7:$H$100,$A235,'15f'!$I$7:$I$100,1)+SUMIFS('15g'!$J$7:$J$100,'15g'!$H$7:$H$100,$A235,'15g'!$I$7:$I$100,1)+SUMIFS('15h'!$J$7:$J$100,'15h'!$H$7:$H$100,$A235,'15h'!$I$7:$I$100,1)+SUMIFS('15i'!$J$7:$J$100,'15i'!$H$7:$H$100,$A235,'15i'!$I$7:$I$100,1)+SUMIFS('15j'!$J$7:$J$100,'15j'!$H$7:$H$100,$A235,'15j'!$I$7:$I$100,1)+SUMIFS('15k'!$J$7:$J$100,'15k'!$H$7:$H$100,$A235,'15k'!$I$7:$I$100,1)+SUMIFS('15l'!$J$7:$J$100,'15l'!$H$7:$H$100,$A235,'15l'!$I$7:$I$100,1)+SUMIFS('15m'!$J$7:$J$100,'15m'!$H$7:$H$100,$A235,'15m'!$I$7:$I$100,1)+SUMIFS('15n'!$J$7:$J$100,'15n'!$H$7:$H$100,$A235,'15n'!$I$7:$I$100,1)+SUMIFS('16'!$J$7:$J$100,'16'!$H$7:$H$100,$A235,'16'!$I$7:$I$100,1)+SUMIFS('16a'!$J$7:$J$100,'16a'!$H$7:$H$100,$A235,'16a'!$I$7:$I$100,1)+SUMIFS('17'!$J$7:$J$100,'17'!$H$7:$H$100,$A235,'17'!$I$7:$I$100,1)+SUMIFS('17a'!$J$7:$J$100,'17a'!$H$7:$H$100,$A235,'17a'!$I$7:$I$100,1)+SUMIFS('18'!$J$7:$J$100,'18'!$H$7:$H$100,$A235,'18'!$I$7:$I$100,1)+SUMIFS('18a'!$J$7:$J$100,'18a'!$H$7:$H$100,$A235,'18a'!$I$7:$I$100,1)
+SUMIFS('19'!$J$7:$J$100,'19'!$H$7:$H$100,$A235,'19'!$I$7:$I$100,1)+SUMIFS('20'!$J$7:$J$100,'20'!$H$7:$H$100,$A235,'20'!$I$7:$I$100,1)+SUMIFS('20a'!$J$7:$J$100,'20a'!$H$7:$H$100,$A235,'20a'!$I$7:$I$100,1)+SUMIFS('21'!$J$7:$J$100,'21'!$H$7:$H$100,$A235,'21'!$I$7:$I$100,1)+SUMIFS('22'!$J$7:$J$100,'22'!$H$7:$H$100,$A235,'22'!$I$7:$I$100,1)+SUMIFS('22a'!$J$7:$J$100,'22a'!$H$7:$H$100,$A235,'22a'!$I$7:$I$100,1)+SUMIFS('22b'!$J$7:$J$100,'22b'!$H$7:$H$100,$A235,'22b'!$I$7:$I$100,1)+SUMIFS('23'!$J$7:$J$100,'23'!$H$7:$H$100,$A235,'23'!$I$7:$I$100,1)+SUMIFS('24'!$J$7:$J$100,'24'!$H$7:$H$100,$A235,'24'!$I$7:$I$100,1)+SUMIFS('24a'!$J$7:$J$100,'24a'!$H$7:$H$100,$A235,'24a'!$I$7:$I$100,1)+SUMIFS('24b'!$J$7:$J$100,'24b'!$H$7:$H$100,$A235,'24b'!$I$7:$I$100,1)+SUMIFS('24c'!$J$7:$J$100,'24c'!$H$7:$H$100,$A235,'24c'!$I$7:$I$100,1)+SUMIFS('24d'!$J$7:$J$100,'24d'!$H$7:$H$100,$A235,'24d'!$I$7:$I$100,1)+SUMIFS('24e'!$J$7:$J$100,'24e'!$H$7:$H$100,$A235,'24e'!$I$7:$I$100,1)+SUMIFS('24f'!$J$7:$J$100,'24f'!$H$7:$H$100,$A235,'24f'!$I$7:$I$100,1)+SUMIFS('24g'!$J$7:$J$100,'24g'!$H$7:$H$100,$A235,'24g'!$I$7:$I$100,1)+SUMIFS('24h'!$J$7:$J$100,'24h'!$H$7:$H$100,$A235,'24h'!$I$7:$I$100,1)+SUMIFS('24i'!$J$7:$J$100,'24i'!$H$7:$H$100,$A235,'24i'!$I$7:$I$100,1)+SUMIFS('25'!$J$7:$J$100,'25'!$H$7:$H$100,$A235,'25'!$I$7:$I$100,1)+SUMIFS('26'!$J$7:$J$100,'26'!$H$7:$H$100,$A235,'26'!$I$7:$I$100,1)+SUMIFS('26a'!$J$7:$J$100,'26a'!$H$7:$H$100,$A235,'26a'!$I$7:$I$100,1)+SUMIFS('27'!$J$7:$J$100,'27'!$H$7:$H$100,$A235,'27'!$I$7:$I$100,1)+SUMIFS('27a'!$J$7:$J$100,'27a'!$H$7:$H$100,$A235,'27a'!$I$7:$I$100,1)+SUMIFS('28'!$J$7:$J$100,'28'!$H$7:$H$100,$A235,'28'!$I$7:$I$100,1)+SUMIFS('29'!$J$7:$J$100,'29'!$H$7:$H$100,$A235,'29'!$I$7:$I$100,1)</f>
        <v>0</v>
      </c>
      <c r="H235" s="1315">
        <f>SUMIFS('12'!$J$7:$J$100,'12'!$H$7:$H$100,$A235,'12'!$I$7:$I$100,2)+SUMIFS('13'!$J$7:$J$100,'13'!$H$7:$H$100,$A235,'13'!$I$7:$I$100,2)+SUMIFS('14'!$J$7:$J$100,'14'!$H$7:$H$100,$A235,'14'!$I$7:$I$100,2)+SUMIFS('15'!$J$7:$J$100,'15'!$H$7:$H$100,$A235,'15'!$I$7:$I$100,2)+SUMIFS('15a'!$J$7:$J$100,'15a'!$H$7:$H$100,$A235,'15a'!$I$7:$I$100,2)+SUMIFS('15b'!$J$7:$J$100,'15b'!$H$7:$H$100,$A235,'15b'!$I$7:$I$100,2)+SUMIFS('15c'!$J$7:$J$100,'15c'!$H$7:$H$100,$A235,'15c'!$I$7:$I$100,2)+SUMIFS('15d'!$J$7:$J$100,'15d'!$H$7:$H$100,$A235,'15d'!$I$7:$I$100,2)+SUMIFS('15e'!$J$7:$J$100,'15e'!$H$7:$H$100,$A235,'15e'!$I$7:$I$100,2)+SUMIFS('15f'!$J$7:$J$100,'15f'!$H$7:$H$100,$A235,'15f'!$I$7:$I$100,2)+SUMIFS('15g'!$J$7:$J$100,'15g'!$H$7:$H$100,$A235,'15g'!$I$7:$I$100,2)+SUMIFS('15h'!$J$7:$J$100,'15h'!$H$7:$H$100,$A235,'15h'!$I$7:$I$100,2)+SUMIFS('15i'!$J$7:$J$100,'15i'!$H$7:$H$100,$A235,'15i'!$I$7:$I$100,2)+SUMIFS('15j'!$J$7:$J$100,'15j'!$H$7:$H$100,$A235,'15j'!$I$7:$I$100,2)+SUMIFS('15k'!$J$7:$J$100,'15k'!$H$7:$H$100,$A235,'15k'!$I$7:$I$100,2)+SUMIFS('15l'!$J$7:$J$100,'15l'!$H$7:$H$100,$A235,'15l'!$I$7:$I$100,2)+SUMIFS('15m'!$J$7:$J$100,'15m'!$H$7:$H$100,$A235,'15m'!$I$7:$I$100,2)+SUMIFS('15n'!$J$7:$J$100,'15n'!$H$7:$H$100,$A235,'15n'!$I$7:$I$100,2)+SUMIFS('16'!$J$7:$J$100,'16'!$H$7:$H$100,$A235,'16'!$I$7:$I$100,2)+SUMIFS('16a'!$J$7:$J$100,'16a'!$H$7:$H$100,$A235,'16a'!$I$7:$I$100,2)+SUMIFS('17'!$J$7:$J$100,'17'!$H$7:$H$100,$A235,'17'!$I$7:$I$100,2)+SUMIFS('17a'!$J$7:$J$100,'17a'!$H$7:$H$100,$A235,'17a'!$I$7:$I$100,2)+SUMIFS('18'!$J$7:$J$100,'18'!$H$7:$H$100,$A235,'18'!$I$7:$I$100,2)+SUMIFS('18a'!$J$7:$J$100,'18a'!$H$7:$H$100,$A235,'18a'!$I$7:$I$100,2)
+SUMIFS('19'!$J$7:$J$100,'19'!$H$7:$H$100,$A235,'19'!$I$7:$I$100,2)+SUMIFS('20'!$J$7:$J$100,'20'!$H$7:$H$100,$A235,'20'!$I$7:$I$100,2)+SUMIFS('20a'!$J$7:$J$100,'20a'!$H$7:$H$100,$A235,'20a'!$I$7:$I$100,2)+SUMIFS('21'!$J$7:$J$100,'21'!$H$7:$H$100,$A235,'21'!$I$7:$I$100,2)+SUMIFS('22'!$J$7:$J$100,'22'!$H$7:$H$100,$A235,'22'!$I$7:$I$100,2)+SUMIFS('22a'!$J$7:$J$100,'22a'!$H$7:$H$100,$A235,'22a'!$I$7:$I$100,2)+SUMIFS('22b'!$J$7:$J$100,'22b'!$H$7:$H$100,$A235,'22b'!$I$7:$I$100,2)+SUMIFS('23'!$J$7:$J$100,'23'!$H$7:$H$100,$A235,'23'!$I$7:$I$100,2)+SUMIFS('24'!$J$7:$J$100,'24'!$H$7:$H$100,$A235,'24'!$I$7:$I$100,2)+SUMIFS('24a'!$J$7:$J$100,'24a'!$H$7:$H$100,$A235,'24a'!$I$7:$I$100,2)+SUMIFS('24b'!$J$7:$J$100,'24b'!$H$7:$H$100,$A235,'24b'!$I$7:$I$100,2)+SUMIFS('24c'!$J$7:$J$100,'24c'!$H$7:$H$100,$A235,'24c'!$I$7:$I$100,2)+SUMIFS('24d'!$J$7:$J$100,'24d'!$H$7:$H$100,$A235,'24d'!$I$7:$I$100,2)+SUMIFS('24e'!$J$7:$J$100,'24e'!$H$7:$H$100,$A235,'24e'!$I$7:$I$100,2)+SUMIFS('24f'!$J$7:$J$100,'24f'!$H$7:$H$100,$A235,'24f'!$I$7:$I$100,2)+SUMIFS('24g'!$J$7:$J$100,'24g'!$H$7:$H$100,$A235,'24g'!$I$7:$I$100,2)+SUMIFS('24h'!$J$7:$J$100,'24h'!$H$7:$H$100,$A235,'24h'!$I$7:$I$100,2)+SUMIFS('24i'!$J$7:$J$100,'24i'!$H$7:$H$100,$A235,'24i'!$I$7:$I$100,2)+SUMIFS('25'!$J$7:$J$100,'25'!$H$7:$H$100,$A235,'25'!$I$7:$I$100,2)+SUMIFS('26'!$J$7:$J$100,'26'!$H$7:$H$100,$A235,'26'!$I$7:$I$100,2)+SUMIFS('26a'!$J$7:$J$100,'26a'!$H$7:$H$100,$A235,'26a'!$I$7:$I$100,2)+SUMIFS('27'!$J$7:$J$100,'27'!$H$7:$H$100,$A235,'27'!$I$7:$I$100,2)+SUMIFS('27a'!$J$7:$J$100,'27a'!$H$7:$H$100,$A235,'27a'!$I$7:$I$100,2)+SUMIFS('28'!$J$7:$J$100,'28'!$H$7:$H$100,$A235,'28'!$I$7:$I$100,2)+SUMIFS('29'!$J$7:$J$100,'29'!$H$7:$H$100,$A235,'29'!$I$7:$I$100,2)</f>
        <v>0</v>
      </c>
      <c r="I235" s="1315">
        <f>SUMIFS('12'!$J$7:$J$100,'12'!$H$7:$H$100,$A235,'12'!$I$7:$I$100,"")+SUMIFS('13'!$J$7:$J$100,'13'!$H$7:$H$100,$A235,'13'!$I$7:$I$100,"")+SUMIFS('14'!$J$7:$J$100,'14'!$H$7:$H$100,$A235,'14'!$I$7:$I$100,"")+SUMIFS('15'!$J$7:$J$100,'15'!$H$7:$H$100,$A235,'15'!$I$7:$I$100,"")+SUMIFS('15a'!$J$7:$J$100,'15a'!$H$7:$H$100,$A235,'15a'!$I$7:$I$100,"")+SUMIFS('15b'!$J$7:$J$100,'15b'!$H$7:$H$100,$A235,'15b'!$I$7:$I$100,"")+SUMIFS('15c'!$J$7:$J$100,'15c'!$H$7:$H$100,$A235,'15c'!$I$7:$I$100,"")+SUMIFS('15d'!$J$7:$J$100,'15d'!$H$7:$H$100,$A235,'15d'!$I$7:$I$100,"")+SUMIFS('15e'!$J$7:$J$100,'15e'!$H$7:$H$100,$A235,'15e'!$I$7:$I$100,"")+SUMIFS('15f'!$J$7:$J$100,'15f'!$H$7:$H$100,$A235,'15f'!$I$7:$I$100,"")+SUMIFS('15g'!$J$7:$J$100,'15g'!$H$7:$H$100,$A235,'15g'!$I$7:$I$100,"")+SUMIFS('15h'!$J$7:$J$100,'15h'!$H$7:$H$100,$A235,'15h'!$I$7:$I$100,"")+SUMIFS('15i'!$J$7:$J$100,'15i'!$H$7:$H$100,$A235,'15i'!$I$7:$I$100,"")+SUMIFS('15j'!$J$7:$J$100,'15j'!$H$7:$H$100,$A235,'15j'!$I$7:$I$100,"")+SUMIFS('15k'!$J$7:$J$100,'15k'!$H$7:$H$100,$A235,'15k'!$I$7:$I$100,"")+SUMIFS('15l'!$J$7:$J$100,'15l'!$H$7:$H$100,$A235,'15l'!$I$7:$I$100,"")+SUMIFS('15m'!$J$7:$J$100,'15m'!$H$7:$H$100,$A235,'15m'!$I$7:$I$100,"")+SUMIFS('15n'!$J$7:$J$100,'15n'!$H$7:$H$100,$A235,'15n'!$I$7:$I$100,"")+SUMIFS('16'!$J$7:$J$100,'16'!$H$7:$H$100,$A235,'16'!$I$7:$I$100,"")+SUMIFS('16a'!$J$7:$J$100,'16a'!$H$7:$H$100,$A235,'16a'!$I$7:$I$100,"")+SUMIFS('17'!$J$7:$J$100,'17'!$H$7:$H$100,$A235,'17'!$I$7:$I$100,"")+SUMIFS('17a'!$J$7:$J$100,'17a'!$H$7:$H$100,$A235,'17a'!$I$7:$I$100,"")+SUMIFS('18'!$J$7:$J$100,'18'!$H$7:$H$100,$A235,'18'!$I$7:$I$100,"")+SUMIFS('18a'!$J$7:$J$100,'18a'!$H$7:$H$100,$A235,'18a'!$I$7:$I$100,"")
+SUMIFS('19'!$J$7:$J$100,'19'!$H$7:$H$100,$A235,'19'!$I$7:$I$100,"")+SUMIFS('20'!$J$7:$J$100,'20'!$H$7:$H$100,$A235,'20'!$I$7:$I$100,"")+SUMIFS('20a'!$J$7:$J$100,'20a'!$H$7:$H$100,$A235,'20a'!$I$7:$I$100,"")+SUMIFS('21'!$J$7:$J$100,'21'!$H$7:$H$100,$A235,'21'!$I$7:$I$100,"")+SUMIFS('22'!$J$7:$J$100,'22'!$H$7:$H$100,$A235,'22'!$I$7:$I$100,"")+SUMIFS('22a'!$J$7:$J$100,'22a'!$H$7:$H$100,$A235,'22a'!$I$7:$I$100,"")+SUMIFS('22b'!$J$7:$J$100,'22b'!$H$7:$H$100,$A235,'22b'!$I$7:$I$100,"")+SUMIFS('23'!$J$7:$J$100,'23'!$H$7:$H$100,$A235,'23'!$I$7:$I$100,"")+SUMIFS('24'!$J$7:$J$100,'24'!$H$7:$H$100,$A235,'24'!$I$7:$I$100,"")+SUMIFS('24a'!$J$7:$J$100,'24a'!$H$7:$H$100,$A235,'24a'!$I$7:$I$100,"")+SUMIFS('24b'!$J$7:$J$100,'24b'!$H$7:$H$100,$A235,'24b'!$I$7:$I$100,"")+SUMIFS('24c'!$J$7:$J$100,'24c'!$H$7:$H$100,$A235,'24c'!$I$7:$I$100,"")+SUMIFS('24d'!$J$7:$J$100,'24d'!$H$7:$H$100,$A235,'24d'!$I$7:$I$100,"")+SUMIFS('24e'!$J$7:$J$100,'24e'!$H$7:$H$100,$A235,'24e'!$I$7:$I$100,"")+SUMIFS('24f'!$J$7:$J$100,'24f'!$H$7:$H$100,$A235,'24f'!$I$7:$I$100,"")+SUMIFS('24g'!$J$7:$J$100,'24g'!$H$7:$H$100,$A235,'24g'!$I$7:$I$100,"")+SUMIFS('24h'!$J$7:$J$100,'24h'!$H$7:$H$100,$A235,'24h'!$I$7:$I$100,"")+SUMIFS('24i'!$J$7:$J$100,'24i'!$H$7:$H$100,$A235,'24i'!$I$7:$I$100,"")+SUMIFS('25'!$J$7:$J$100,'25'!$H$7:$H$100,$A235,'25'!$I$7:$I$100,"")+SUMIFS('26'!$J$7:$J$100,'26'!$H$7:$H$100,$A235,'26'!$I$7:$I$100,"")+SUMIFS('26a'!$J$7:$J$100,'26a'!$H$7:$H$100,$A235,'26a'!$I$7:$I$100,"")+SUMIFS('27'!$J$7:$J$100,'27'!$H$7:$H$100,$A235,'27'!$I$7:$I$100,"")+SUMIFS('27a'!$J$7:$J$100,'27a'!$H$7:$H$100,$A235,'27a'!$I$7:$I$100,"")+SUMIFS('28'!$J$7:$J$100,'28'!$H$7:$H$100,$A235,'28'!$I$7:$I$100,"")+SUMIFS('29'!$J$7:$J$100,'29'!$H$7:$H$100,$A235,'29'!$I$7:$I$100,"")</f>
        <v>0</v>
      </c>
      <c r="J235" s="1296">
        <f t="shared" si="21"/>
        <v>0</v>
      </c>
      <c r="K235"/>
      <c r="L235"/>
      <c r="M235"/>
      <c r="N235"/>
      <c r="O235"/>
      <c r="P235"/>
      <c r="Q235"/>
      <c r="R235"/>
      <c r="S235" s="1307">
        <f t="shared" si="14"/>
        <v>0</v>
      </c>
      <c r="T235"/>
    </row>
    <row r="236" spans="1:20" outlineLevel="1" x14ac:dyDescent="0.2">
      <c r="A236" t="s">
        <v>5158</v>
      </c>
      <c r="B236" t="s">
        <v>5488</v>
      </c>
      <c r="C236" s="1295">
        <f>SUMIFS('12'!$N$7:$N$100,'12'!$H$7:$H$100,$A236,'12'!$I$7:$I$100,1)+SUMIFS('13'!$N$7:$N$100,'13'!$H$7:$H$100,$A236,'13'!$I$7:$I$100,1)+SUMIFS('14'!$N$7:$N$100,'14'!$H$7:$H$100,$A236,'14'!$I$7:$I$100,1)+SUMIFS('15'!$N$7:$N$100,'15'!$H$7:$H$100,$A236,'15'!$I$7:$I$100,1)+SUMIFS('15a'!$N$7:$N$100,'15a'!$H$7:$H$100,$A236,'15a'!$I$7:$I$100,1)+SUMIFS('15b'!$N$7:$N$100,'15b'!$H$7:$H$100,$A236,'15b'!$I$7:$I$100,1)+SUMIFS('15c'!$N$7:$N$100,'15c'!$H$7:$H$100,$A236,'15c'!$I$7:$I$100,1)+SUMIFS('15d'!$N$7:$N$100,'15d'!$H$7:$H$100,$A236,'15d'!$I$7:$I$100,1)+SUMIFS('15e'!$N$7:$N$100,'15e'!$H$7:$H$100,$A236,'15e'!$I$7:$I$100,1)+SUMIFS('15f'!$N$7:$N$100,'15f'!$H$7:$H$100,$A236,'15f'!$I$7:$I$100,1)+SUMIFS('15g'!$N$7:$N$100,'15g'!$H$7:$H$100,$A236,'15g'!$I$7:$I$100,1)+SUMIFS('15h'!$N$7:$N$100,'15h'!$H$7:$H$100,$A236,'15h'!$I$7:$I$100,1)+SUMIFS('15i'!$N$7:$N$100,'15i'!$H$7:$H$100,$A236,'15i'!$I$7:$I$100,1)+SUMIFS('15j'!$N$7:$N$100,'15j'!$H$7:$H$100,$A236,'15j'!$I$7:$I$100,1)+SUMIFS('15k'!$N$7:$N$100,'15k'!$H$7:$H$100,$A236,'15k'!$I$7:$I$100,1)+SUMIFS('15l'!$N$7:$N$100,'15l'!$H$7:$H$100,$A236,'15l'!$I$7:$I$100,1)+SUMIFS('15m'!$N$7:$N$100,'15m'!$H$7:$H$100,$A236,'15m'!$I$7:$I$100,1)+SUMIFS('15n'!$N$7:$N$100,'15n'!$H$7:$H$100,$A236,'15n'!$I$7:$I$100,1)+SUMIFS('16'!$N$7:$N$100,'16'!$H$7:$H$100,$A236,'16'!$I$7:$I$100,1)+SUMIFS('16a'!$N$7:$N$100,'16a'!$H$7:$H$100,$A236,'16a'!$I$7:$I$100,1)+SUMIFS('17'!$N$7:$N$100,'17'!$H$7:$H$100,$A236,'17'!$I$7:$I$100,1)+SUMIFS('17a'!$N$7:$N$100,'17a'!$H$7:$H$100,$A236,'17a'!$I$7:$I$100,1)+SUMIFS('18'!$N$7:$N$100,'18'!$H$7:$H$100,$A236,'18'!$I$7:$I$100,1)+SUMIFS('18a'!$N$7:$N$100,'18a'!$H$7:$H$100,$A236,'18a'!$I$7:$I$100,1)
+SUMIFS('19'!$N$7:$N$100,'19'!$H$7:$H$100,$A236,'19'!$I$7:$I$100,1)+SUMIFS('20'!$N$7:$N$100,'20'!$H$7:$H$100,$A236,'20'!$I$7:$I$100,1)+SUMIFS('20a'!$N$7:$N$100,'20a'!$H$7:$H$100,$A236,'20a'!$I$7:$I$100,1)+SUMIFS('21'!$N$7:$N$100,'21'!$H$7:$H$100,$A236,'21'!$I$7:$I$100,1)+SUMIFS('22'!$N$7:$N$100,'22'!$H$7:$H$100,$A236,'22'!$I$7:$I$100,1)+SUMIFS('22a'!$N$7:$N$100,'22a'!$H$7:$H$100,$A236,'22a'!$I$7:$I$100,1)+SUMIFS('22b'!$N$7:$N$100,'22b'!$H$7:$H$100,$A236,'22b'!$I$7:$I$100,1)+SUMIFS('23'!$N$7:$N$100,'23'!$H$7:$H$100,$A236,'23'!$I$7:$I$100,1)+SUMIFS('24'!$N$7:$N$100,'24'!$H$7:$H$100,$A236,'24'!$I$7:$I$100,1)+SUMIFS('24a'!$N$7:$N$100,'24a'!$H$7:$H$100,$A236,'24a'!$I$7:$I$100,1)+SUMIFS('24b'!$N$7:$N$100,'24b'!$H$7:$H$100,$A236,'24b'!$I$7:$I$100,1)+SUMIFS('24c'!$N$7:$N$100,'24c'!$H$7:$H$100,$A236,'24c'!$I$7:$I$100,1)+SUMIFS('24d'!$N$7:$N$100,'24d'!$H$7:$H$100,$A236,'24d'!$I$7:$I$100,1)+SUMIFS('24e'!$N$7:$N$100,'24e'!$H$7:$H$100,$A236,'24e'!$I$7:$I$100,1)+SUMIFS('24f'!$N$7:$N$100,'24f'!$H$7:$H$100,$A236,'24f'!$I$7:$I$100,1)+SUMIFS('24g'!$N$7:$N$100,'24g'!$H$7:$H$100,$A236,'24g'!$I$7:$I$100,1)+SUMIFS('24h'!$N$7:$N$100,'24h'!$H$7:$H$100,$A236,'24h'!$I$7:$I$100,1)+SUMIFS('24i'!$N$7:$N$100,'24i'!$H$7:$H$100,$A236,'24i'!$I$7:$I$100,1)+SUMIFS('25'!$N$7:$N$100,'25'!$H$7:$H$100,$A236,'25'!$I$7:$I$100,1)+SUMIFS('26'!$N$7:$N$100,'26'!$H$7:$H$100,$A236,'26'!$I$7:$I$100,1)+SUMIFS('26a'!$N$7:$N$100,'26a'!$H$7:$H$100,$A236,'26a'!$I$7:$I$100,1)+SUMIFS('27'!$N$7:$N$100,'27'!$H$7:$H$100,$A236,'27'!$I$7:$I$100,1)+SUMIFS('27a'!$N$7:$N$100,'27a'!$H$7:$H$100,$A236,'27a'!$I$7:$I$100,1)+SUMIFS('28'!$N$7:$N$100,'28'!$H$7:$H$100,$A236,'28'!$I$7:$I$100,1)+SUMIFS('29'!$N$7:$N$100,'29'!$H$7:$H$100,$A236,'29'!$I$7:$I$100,1)</f>
        <v>0</v>
      </c>
      <c r="D236" s="1315">
        <f>SUMIFS('12'!$N$7:$N$100,'12'!$H$7:$H$100,$A236,'12'!$I$7:$I$100,2)+SUMIFS('13'!$N$7:$N$100,'13'!$H$7:$H$100,$A236,'13'!$I$7:$I$100,2)+SUMIFS('14'!$N$7:$N$100,'14'!$H$7:$H$100,$A236,'14'!$I$7:$I$100,2)+SUMIFS('15'!$N$7:$N$100,'15'!$H$7:$H$100,$A236,'15'!$I$7:$I$100,2)+SUMIFS('15a'!$N$7:$N$100,'15a'!$H$7:$H$100,$A236,'15a'!$I$7:$I$100,2)+SUMIFS('15b'!$N$7:$N$100,'15b'!$H$7:$H$100,$A236,'15b'!$I$7:$I$100,2)+SUMIFS('15c'!$N$7:$N$100,'15c'!$H$7:$H$100,$A236,'15c'!$I$7:$I$100,2)+SUMIFS('15d'!$N$7:$N$100,'15d'!$H$7:$H$100,$A236,'15d'!$I$7:$I$100,2)+SUMIFS('15e'!$N$7:$N$100,'15e'!$H$7:$H$100,$A236,'15e'!$I$7:$I$100,2)+SUMIFS('15f'!$N$7:$N$100,'15f'!$H$7:$H$100,$A236,'15f'!$I$7:$I$100,2)+SUMIFS('15g'!$N$7:$N$100,'15g'!$H$7:$H$100,$A236,'15g'!$I$7:$I$100,2)+SUMIFS('15h'!$N$7:$N$100,'15h'!$H$7:$H$100,$A236,'15h'!$I$7:$I$100,2)+SUMIFS('15i'!$N$7:$N$100,'15i'!$H$7:$H$100,$A236,'15i'!$I$7:$I$100,2)+SUMIFS('15j'!$N$7:$N$100,'15j'!$H$7:$H$100,$A236,'15j'!$I$7:$I$100,2)+SUMIFS('15k'!$N$7:$N$100,'15k'!$H$7:$H$100,$A236,'15k'!$I$7:$I$100,2)+SUMIFS('15l'!$N$7:$N$100,'15l'!$H$7:$H$100,$A236,'15l'!$I$7:$I$100,2)+SUMIFS('15m'!$N$7:$N$100,'15m'!$H$7:$H$100,$A236,'15m'!$I$7:$I$100,2)+SUMIFS('15n'!$N$7:$N$100,'15n'!$H$7:$H$100,$A236,'15n'!$I$7:$I$100,2)+SUMIFS('16'!$N$7:$N$100,'16'!$H$7:$H$100,$A236,'16'!$I$7:$I$100,2)+SUMIFS('16a'!$N$7:$N$100,'16a'!$H$7:$H$100,$A236,'16a'!$I$7:$I$100,2)+SUMIFS('17'!$N$7:$N$100,'17'!$H$7:$H$100,$A236,'17'!$I$7:$I$100,2)+SUMIFS('17a'!$N$7:$N$100,'17a'!$H$7:$H$100,$A236,'17a'!$I$7:$I$100,2)+SUMIFS('18'!$N$7:$N$100,'18'!$H$7:$H$100,$A236,'18'!$I$7:$I$100,2)+SUMIFS('18a'!$N$7:$N$100,'18a'!$H$7:$H$100,$A236,'18a'!$I$7:$I$100,2)
+SUMIFS('19'!$N$7:$N$100,'19'!$H$7:$H$100,$A236,'19'!$I$7:$I$100,2)+SUMIFS('20'!$N$7:$N$100,'20'!$H$7:$H$100,$A236,'20'!$I$7:$I$100,2)+SUMIFS('20a'!$N$7:$N$100,'20a'!$H$7:$H$100,$A236,'20a'!$I$7:$I$100,2)+SUMIFS('21'!$N$7:$N$100,'21'!$H$7:$H$100,$A236,'21'!$I$7:$I$100,2)+SUMIFS('22'!$N$7:$N$100,'22'!$H$7:$H$100,$A236,'22'!$I$7:$I$100,2)+SUMIFS('22a'!$N$7:$N$100,'22a'!$H$7:$H$100,$A236,'22a'!$I$7:$I$100,2)+SUMIFS('22b'!$N$7:$N$100,'22b'!$H$7:$H$100,$A236,'22b'!$I$7:$I$100,2)+SUMIFS('23'!$N$7:$N$100,'23'!$H$7:$H$100,$A236,'23'!$I$7:$I$100,2)+SUMIFS('24'!$N$7:$N$100,'24'!$H$7:$H$100,$A236,'24'!$I$7:$I$100,2)+SUMIFS('24a'!$N$7:$N$100,'24a'!$H$7:$H$100,$A236,'24a'!$I$7:$I$100,2)+SUMIFS('24b'!$N$7:$N$100,'24b'!$H$7:$H$100,$A236,'24b'!$I$7:$I$100,2)+SUMIFS('24c'!$N$7:$N$100,'24c'!$H$7:$H$100,$A236,'24c'!$I$7:$I$100,2)+SUMIFS('24d'!$N$7:$N$100,'24d'!$H$7:$H$100,$A236,'24d'!$I$7:$I$100,2)+SUMIFS('24e'!$N$7:$N$100,'24e'!$H$7:$H$100,$A236,'24e'!$I$7:$I$100,2)+SUMIFS('24f'!$N$7:$N$100,'24f'!$H$7:$H$100,$A236,'24f'!$I$7:$I$100,2)+SUMIFS('24g'!$N$7:$N$100,'24g'!$H$7:$H$100,$A236,'24g'!$I$7:$I$100,2)+SUMIFS('24h'!$N$7:$N$100,'24h'!$H$7:$H$100,$A236,'24h'!$I$7:$I$100,2)+SUMIFS('24i'!$N$7:$N$100,'24i'!$H$7:$H$100,$A236,'24i'!$I$7:$I$100,2)+SUMIFS('25'!$N$7:$N$100,'25'!$H$7:$H$100,$A236,'25'!$I$7:$I$100,2)+SUMIFS('26'!$N$7:$N$100,'26'!$H$7:$H$100,$A236,'26'!$I$7:$I$100,2)+SUMIFS('26a'!$N$7:$N$100,'26a'!$H$7:$H$100,$A236,'26a'!$I$7:$I$100,2)+SUMIFS('27'!$N$7:$N$100,'27'!$H$7:$H$100,$A236,'27'!$I$7:$I$100,2)+SUMIFS('27a'!$N$7:$N$100,'27a'!$H$7:$H$100,$A236,'27a'!$I$7:$I$100,2)+SUMIFS('28'!$N$7:$N$100,'28'!$H$7:$H$100,$A236,'28'!$I$7:$I$100,2)+SUMIFS('29'!$N$7:$N$100,'29'!$H$7:$H$100,$A236,'29'!$I$7:$I$100,2)</f>
        <v>0</v>
      </c>
      <c r="E236" s="1315">
        <f>SUMIFS('12'!$N$7:$N$100,'12'!$H$7:$H$100,$A236,'12'!$I$7:$I$100,"")+SUMIFS('13'!$N$7:$N$100,'13'!$H$7:$H$100,$A236,'13'!$I$7:$I$100,"")+SUMIFS('14'!$N$7:$N$100,'14'!$H$7:$H$100,$A236,'14'!$I$7:$I$100,"")+SUMIFS('15'!$N$7:$N$100,'15'!$H$7:$H$100,$A236,'15'!$I$7:$I$100,"")+SUMIFS('15a'!$N$7:$N$100,'15a'!$H$7:$H$100,$A236,'15a'!$I$7:$I$100,"")+SUMIFS('15b'!$N$7:$N$100,'15b'!$H$7:$H$100,$A236,'15b'!$I$7:$I$100,"")+SUMIFS('15c'!$N$7:$N$100,'15c'!$H$7:$H$100,$A236,'15c'!$I$7:$I$100,"")+SUMIFS('15d'!$N$7:$N$100,'15d'!$H$7:$H$100,$A236,'15d'!$I$7:$I$100,"")+SUMIFS('15e'!$N$7:$N$100,'15e'!$H$7:$H$100,$A236,'15e'!$I$7:$I$100,"")+SUMIFS('15f'!$N$7:$N$100,'15f'!$H$7:$H$100,$A236,'15f'!$I$7:$I$100,"")+SUMIFS('15g'!$N$7:$N$100,'15g'!$H$7:$H$100,$A236,'15g'!$I$7:$I$100,"")+SUMIFS('15h'!$N$7:$N$100,'15h'!$H$7:$H$100,$A236,'15h'!$I$7:$I$100,"")+SUMIFS('15i'!$N$7:$N$100,'15i'!$H$7:$H$100,$A236,'15i'!$I$7:$I$100,"")+SUMIFS('15j'!$N$7:$N$100,'15j'!$H$7:$H$100,$A236,'15j'!$I$7:$I$100,"")+SUMIFS('15k'!$N$7:$N$100,'15k'!$H$7:$H$100,$A236,'15k'!$I$7:$I$100,"")+SUMIFS('15l'!$N$7:$N$100,'15l'!$H$7:$H$100,$A236,'15l'!$I$7:$I$100,"")+SUMIFS('15m'!$N$7:$N$100,'15m'!$H$7:$H$100,$A236,'15m'!$I$7:$I$100,"")+SUMIFS('15n'!$N$7:$N$100,'15n'!$H$7:$H$100,$A236,'15n'!$I$7:$I$100,"")+SUMIFS('16'!$N$7:$N$100,'16'!$H$7:$H$100,$A236,'16'!$I$7:$I$100,"")+SUMIFS('16a'!$N$7:$N$100,'16a'!$H$7:$H$100,$A236,'16a'!$I$7:$I$100,"")+SUMIFS('17'!$N$7:$N$100,'17'!$H$7:$H$100,$A236,'17'!$I$7:$I$100,"")+SUMIFS('17a'!$N$7:$N$100,'17a'!$H$7:$H$100,$A236,'17a'!$I$7:$I$100,"")+SUMIFS('18'!$N$7:$N$100,'18'!$H$7:$H$100,$A236,'18'!$I$7:$I$100,"")+SUMIFS('18a'!$N$7:$N$100,'18a'!$H$7:$H$100,$A236,'18a'!$I$7:$I$100,"")
+SUMIFS('19'!$N$7:$N$100,'19'!$H$7:$H$100,$A236,'19'!$I$7:$I$100,"")+SUMIFS('20'!$N$7:$N$100,'20'!$H$7:$H$100,$A236,'20'!$I$7:$I$100,"")+SUMIFS('20a'!$N$7:$N$100,'20a'!$H$7:$H$100,$A236,'20a'!$I$7:$I$100,"")+SUMIFS('21'!$N$7:$N$100,'21'!$H$7:$H$100,$A236,'21'!$I$7:$I$100,"")+SUMIFS('22'!$N$7:$N$100,'22'!$H$7:$H$100,$A236,'22'!$I$7:$I$100,"")+SUMIFS('22a'!$N$7:$N$100,'22a'!$H$7:$H$100,$A236,'22a'!$I$7:$I$100,"")+SUMIFS('22b'!$N$7:$N$100,'22b'!$H$7:$H$100,$A236,'22b'!$I$7:$I$100,"")+SUMIFS('23'!$N$7:$N$100,'23'!$H$7:$H$100,$A236,'23'!$I$7:$I$100,"")+SUMIFS('24'!$N$7:$N$100,'24'!$H$7:$H$100,$A236,'24'!$I$7:$I$100,"")+SUMIFS('24a'!$N$7:$N$100,'24a'!$H$7:$H$100,$A236,'24a'!$I$7:$I$100,"")+SUMIFS('24b'!$N$7:$N$100,'24b'!$H$7:$H$100,$A236,'24b'!$I$7:$I$100,"")+SUMIFS('24c'!$N$7:$N$100,'24c'!$H$7:$H$100,$A236,'24c'!$I$7:$I$100,"")+SUMIFS('24d'!$N$7:$N$100,'24d'!$H$7:$H$100,$A236,'24d'!$I$7:$I$100,"")+SUMIFS('24e'!$N$7:$N$100,'24e'!$H$7:$H$100,$A236,'24e'!$I$7:$I$100,"")+SUMIFS('24f'!$N$7:$N$100,'24f'!$H$7:$H$100,$A236,'24f'!$I$7:$I$100,"")+SUMIFS('24g'!$N$7:$N$100,'24g'!$H$7:$H$100,$A236,'24g'!$I$7:$I$100,"")+SUMIFS('24h'!$N$7:$N$100,'24h'!$H$7:$H$100,$A236,'24h'!$I$7:$I$100,"")+SUMIFS('24i'!$N$7:$N$100,'24i'!$H$7:$H$100,$A236,'24i'!$I$7:$I$100,"")+SUMIFS('25'!$N$7:$N$100,'25'!$H$7:$H$100,$A236,'25'!$I$7:$I$100,"")+SUMIFS('26'!$N$7:$N$100,'26'!$H$7:$H$100,$A236,'26'!$I$7:$I$100,"")+SUMIFS('26a'!$N$7:$N$100,'26a'!$H$7:$H$100,$A236,'26a'!$I$7:$I$100,"")+SUMIFS('27'!$N$7:$N$100,'27'!$H$7:$H$100,$A236,'27'!$I$7:$I$100,"")+SUMIFS('27a'!$N$7:$N$100,'27a'!$H$7:$H$100,$A236,'27a'!$I$7:$I$100,"")+SUMIFS('28'!$N$7:$N$100,'28'!$H$7:$H$100,$A236,'28'!$I$7:$I$100,"")+SUMIFS('29'!$N$7:$N$100,'29'!$H$7:$H$100,$A236,'29'!$I$7:$I$100,"")</f>
        <v>0</v>
      </c>
      <c r="F236" s="1296">
        <f t="shared" si="20"/>
        <v>0</v>
      </c>
      <c r="G236" s="1295">
        <f>SUMIFS('12'!$J$7:$J$100,'12'!$H$7:$H$100,$A236,'12'!$I$7:$I$100,1)+SUMIFS('13'!$J$7:$J$100,'13'!$H$7:$H$100,$A236,'13'!$I$7:$I$100,1)+SUMIFS('14'!$J$7:$J$100,'14'!$H$7:$H$100,$A236,'14'!$I$7:$I$100,1)+SUMIFS('15'!$J$7:$J$100,'15'!$H$7:$H$100,$A236,'15'!$I$7:$I$100,1)+SUMIFS('15a'!$J$7:$J$100,'15a'!$H$7:$H$100,$A236,'15a'!$I$7:$I$100,1)+SUMIFS('15b'!$J$7:$J$100,'15b'!$H$7:$H$100,$A236,'15b'!$I$7:$I$100,1)+SUMIFS('15c'!$J$7:$J$100,'15c'!$H$7:$H$100,$A236,'15c'!$I$7:$I$100,1)+SUMIFS('15d'!$J$7:$J$100,'15d'!$H$7:$H$100,$A236,'15d'!$I$7:$I$100,1)+SUMIFS('15e'!$J$7:$J$100,'15e'!$H$7:$H$100,$A236,'15e'!$I$7:$I$100,1)+SUMIFS('15f'!$J$7:$J$100,'15f'!$H$7:$H$100,$A236,'15f'!$I$7:$I$100,1)+SUMIFS('15g'!$J$7:$J$100,'15g'!$H$7:$H$100,$A236,'15g'!$I$7:$I$100,1)+SUMIFS('15h'!$J$7:$J$100,'15h'!$H$7:$H$100,$A236,'15h'!$I$7:$I$100,1)+SUMIFS('15i'!$J$7:$J$100,'15i'!$H$7:$H$100,$A236,'15i'!$I$7:$I$100,1)+SUMIFS('15j'!$J$7:$J$100,'15j'!$H$7:$H$100,$A236,'15j'!$I$7:$I$100,1)+SUMIFS('15k'!$J$7:$J$100,'15k'!$H$7:$H$100,$A236,'15k'!$I$7:$I$100,1)+SUMIFS('15l'!$J$7:$J$100,'15l'!$H$7:$H$100,$A236,'15l'!$I$7:$I$100,1)+SUMIFS('15m'!$J$7:$J$100,'15m'!$H$7:$H$100,$A236,'15m'!$I$7:$I$100,1)+SUMIFS('15n'!$J$7:$J$100,'15n'!$H$7:$H$100,$A236,'15n'!$I$7:$I$100,1)+SUMIFS('16'!$J$7:$J$100,'16'!$H$7:$H$100,$A236,'16'!$I$7:$I$100,1)+SUMIFS('16a'!$J$7:$J$100,'16a'!$H$7:$H$100,$A236,'16a'!$I$7:$I$100,1)+SUMIFS('17'!$J$7:$J$100,'17'!$H$7:$H$100,$A236,'17'!$I$7:$I$100,1)+SUMIFS('17a'!$J$7:$J$100,'17a'!$H$7:$H$100,$A236,'17a'!$I$7:$I$100,1)+SUMIFS('18'!$J$7:$J$100,'18'!$H$7:$H$100,$A236,'18'!$I$7:$I$100,1)+SUMIFS('18a'!$J$7:$J$100,'18a'!$H$7:$H$100,$A236,'18a'!$I$7:$I$100,1)
+SUMIFS('19'!$J$7:$J$100,'19'!$H$7:$H$100,$A236,'19'!$I$7:$I$100,1)+SUMIFS('20'!$J$7:$J$100,'20'!$H$7:$H$100,$A236,'20'!$I$7:$I$100,1)+SUMIFS('20a'!$J$7:$J$100,'20a'!$H$7:$H$100,$A236,'20a'!$I$7:$I$100,1)+SUMIFS('21'!$J$7:$J$100,'21'!$H$7:$H$100,$A236,'21'!$I$7:$I$100,1)+SUMIFS('22'!$J$7:$J$100,'22'!$H$7:$H$100,$A236,'22'!$I$7:$I$100,1)+SUMIFS('22a'!$J$7:$J$100,'22a'!$H$7:$H$100,$A236,'22a'!$I$7:$I$100,1)+SUMIFS('22b'!$J$7:$J$100,'22b'!$H$7:$H$100,$A236,'22b'!$I$7:$I$100,1)+SUMIFS('23'!$J$7:$J$100,'23'!$H$7:$H$100,$A236,'23'!$I$7:$I$100,1)+SUMIFS('24'!$J$7:$J$100,'24'!$H$7:$H$100,$A236,'24'!$I$7:$I$100,1)+SUMIFS('24a'!$J$7:$J$100,'24a'!$H$7:$H$100,$A236,'24a'!$I$7:$I$100,1)+SUMIFS('24b'!$J$7:$J$100,'24b'!$H$7:$H$100,$A236,'24b'!$I$7:$I$100,1)+SUMIFS('24c'!$J$7:$J$100,'24c'!$H$7:$H$100,$A236,'24c'!$I$7:$I$100,1)+SUMIFS('24d'!$J$7:$J$100,'24d'!$H$7:$H$100,$A236,'24d'!$I$7:$I$100,1)+SUMIFS('24e'!$J$7:$J$100,'24e'!$H$7:$H$100,$A236,'24e'!$I$7:$I$100,1)+SUMIFS('24f'!$J$7:$J$100,'24f'!$H$7:$H$100,$A236,'24f'!$I$7:$I$100,1)+SUMIFS('24g'!$J$7:$J$100,'24g'!$H$7:$H$100,$A236,'24g'!$I$7:$I$100,1)+SUMIFS('24h'!$J$7:$J$100,'24h'!$H$7:$H$100,$A236,'24h'!$I$7:$I$100,1)+SUMIFS('24i'!$J$7:$J$100,'24i'!$H$7:$H$100,$A236,'24i'!$I$7:$I$100,1)+SUMIFS('25'!$J$7:$J$100,'25'!$H$7:$H$100,$A236,'25'!$I$7:$I$100,1)+SUMIFS('26'!$J$7:$J$100,'26'!$H$7:$H$100,$A236,'26'!$I$7:$I$100,1)+SUMIFS('26a'!$J$7:$J$100,'26a'!$H$7:$H$100,$A236,'26a'!$I$7:$I$100,1)+SUMIFS('27'!$J$7:$J$100,'27'!$H$7:$H$100,$A236,'27'!$I$7:$I$100,1)+SUMIFS('27a'!$J$7:$J$100,'27a'!$H$7:$H$100,$A236,'27a'!$I$7:$I$100,1)+SUMIFS('28'!$J$7:$J$100,'28'!$H$7:$H$100,$A236,'28'!$I$7:$I$100,1)+SUMIFS('29'!$J$7:$J$100,'29'!$H$7:$H$100,$A236,'29'!$I$7:$I$100,1)</f>
        <v>0</v>
      </c>
      <c r="H236" s="1315">
        <f>SUMIFS('12'!$J$7:$J$100,'12'!$H$7:$H$100,$A236,'12'!$I$7:$I$100,2)+SUMIFS('13'!$J$7:$J$100,'13'!$H$7:$H$100,$A236,'13'!$I$7:$I$100,2)+SUMIFS('14'!$J$7:$J$100,'14'!$H$7:$H$100,$A236,'14'!$I$7:$I$100,2)+SUMIFS('15'!$J$7:$J$100,'15'!$H$7:$H$100,$A236,'15'!$I$7:$I$100,2)+SUMIFS('15a'!$J$7:$J$100,'15a'!$H$7:$H$100,$A236,'15a'!$I$7:$I$100,2)+SUMIFS('15b'!$J$7:$J$100,'15b'!$H$7:$H$100,$A236,'15b'!$I$7:$I$100,2)+SUMIFS('15c'!$J$7:$J$100,'15c'!$H$7:$H$100,$A236,'15c'!$I$7:$I$100,2)+SUMIFS('15d'!$J$7:$J$100,'15d'!$H$7:$H$100,$A236,'15d'!$I$7:$I$100,2)+SUMIFS('15e'!$J$7:$J$100,'15e'!$H$7:$H$100,$A236,'15e'!$I$7:$I$100,2)+SUMIFS('15f'!$J$7:$J$100,'15f'!$H$7:$H$100,$A236,'15f'!$I$7:$I$100,2)+SUMIFS('15g'!$J$7:$J$100,'15g'!$H$7:$H$100,$A236,'15g'!$I$7:$I$100,2)+SUMIFS('15h'!$J$7:$J$100,'15h'!$H$7:$H$100,$A236,'15h'!$I$7:$I$100,2)+SUMIFS('15i'!$J$7:$J$100,'15i'!$H$7:$H$100,$A236,'15i'!$I$7:$I$100,2)+SUMIFS('15j'!$J$7:$J$100,'15j'!$H$7:$H$100,$A236,'15j'!$I$7:$I$100,2)+SUMIFS('15k'!$J$7:$J$100,'15k'!$H$7:$H$100,$A236,'15k'!$I$7:$I$100,2)+SUMIFS('15l'!$J$7:$J$100,'15l'!$H$7:$H$100,$A236,'15l'!$I$7:$I$100,2)+SUMIFS('15m'!$J$7:$J$100,'15m'!$H$7:$H$100,$A236,'15m'!$I$7:$I$100,2)+SUMIFS('15n'!$J$7:$J$100,'15n'!$H$7:$H$100,$A236,'15n'!$I$7:$I$100,2)+SUMIFS('16'!$J$7:$J$100,'16'!$H$7:$H$100,$A236,'16'!$I$7:$I$100,2)+SUMIFS('16a'!$J$7:$J$100,'16a'!$H$7:$H$100,$A236,'16a'!$I$7:$I$100,2)+SUMIFS('17'!$J$7:$J$100,'17'!$H$7:$H$100,$A236,'17'!$I$7:$I$100,2)+SUMIFS('17a'!$J$7:$J$100,'17a'!$H$7:$H$100,$A236,'17a'!$I$7:$I$100,2)+SUMIFS('18'!$J$7:$J$100,'18'!$H$7:$H$100,$A236,'18'!$I$7:$I$100,2)+SUMIFS('18a'!$J$7:$J$100,'18a'!$H$7:$H$100,$A236,'18a'!$I$7:$I$100,2)
+SUMIFS('19'!$J$7:$J$100,'19'!$H$7:$H$100,$A236,'19'!$I$7:$I$100,2)+SUMIFS('20'!$J$7:$J$100,'20'!$H$7:$H$100,$A236,'20'!$I$7:$I$100,2)+SUMIFS('20a'!$J$7:$J$100,'20a'!$H$7:$H$100,$A236,'20a'!$I$7:$I$100,2)+SUMIFS('21'!$J$7:$J$100,'21'!$H$7:$H$100,$A236,'21'!$I$7:$I$100,2)+SUMIFS('22'!$J$7:$J$100,'22'!$H$7:$H$100,$A236,'22'!$I$7:$I$100,2)+SUMIFS('22a'!$J$7:$J$100,'22a'!$H$7:$H$100,$A236,'22a'!$I$7:$I$100,2)+SUMIFS('22b'!$J$7:$J$100,'22b'!$H$7:$H$100,$A236,'22b'!$I$7:$I$100,2)+SUMIFS('23'!$J$7:$J$100,'23'!$H$7:$H$100,$A236,'23'!$I$7:$I$100,2)+SUMIFS('24'!$J$7:$J$100,'24'!$H$7:$H$100,$A236,'24'!$I$7:$I$100,2)+SUMIFS('24a'!$J$7:$J$100,'24a'!$H$7:$H$100,$A236,'24a'!$I$7:$I$100,2)+SUMIFS('24b'!$J$7:$J$100,'24b'!$H$7:$H$100,$A236,'24b'!$I$7:$I$100,2)+SUMIFS('24c'!$J$7:$J$100,'24c'!$H$7:$H$100,$A236,'24c'!$I$7:$I$100,2)+SUMIFS('24d'!$J$7:$J$100,'24d'!$H$7:$H$100,$A236,'24d'!$I$7:$I$100,2)+SUMIFS('24e'!$J$7:$J$100,'24e'!$H$7:$H$100,$A236,'24e'!$I$7:$I$100,2)+SUMIFS('24f'!$J$7:$J$100,'24f'!$H$7:$H$100,$A236,'24f'!$I$7:$I$100,2)+SUMIFS('24g'!$J$7:$J$100,'24g'!$H$7:$H$100,$A236,'24g'!$I$7:$I$100,2)+SUMIFS('24h'!$J$7:$J$100,'24h'!$H$7:$H$100,$A236,'24h'!$I$7:$I$100,2)+SUMIFS('24i'!$J$7:$J$100,'24i'!$H$7:$H$100,$A236,'24i'!$I$7:$I$100,2)+SUMIFS('25'!$J$7:$J$100,'25'!$H$7:$H$100,$A236,'25'!$I$7:$I$100,2)+SUMIFS('26'!$J$7:$J$100,'26'!$H$7:$H$100,$A236,'26'!$I$7:$I$100,2)+SUMIFS('26a'!$J$7:$J$100,'26a'!$H$7:$H$100,$A236,'26a'!$I$7:$I$100,2)+SUMIFS('27'!$J$7:$J$100,'27'!$H$7:$H$100,$A236,'27'!$I$7:$I$100,2)+SUMIFS('27a'!$J$7:$J$100,'27a'!$H$7:$H$100,$A236,'27a'!$I$7:$I$100,2)+SUMIFS('28'!$J$7:$J$100,'28'!$H$7:$H$100,$A236,'28'!$I$7:$I$100,2)+SUMIFS('29'!$J$7:$J$100,'29'!$H$7:$H$100,$A236,'29'!$I$7:$I$100,2)</f>
        <v>0</v>
      </c>
      <c r="I236" s="1315">
        <f>SUMIFS('12'!$J$7:$J$100,'12'!$H$7:$H$100,$A236,'12'!$I$7:$I$100,"")+SUMIFS('13'!$J$7:$J$100,'13'!$H$7:$H$100,$A236,'13'!$I$7:$I$100,"")+SUMIFS('14'!$J$7:$J$100,'14'!$H$7:$H$100,$A236,'14'!$I$7:$I$100,"")+SUMIFS('15'!$J$7:$J$100,'15'!$H$7:$H$100,$A236,'15'!$I$7:$I$100,"")+SUMIFS('15a'!$J$7:$J$100,'15a'!$H$7:$H$100,$A236,'15a'!$I$7:$I$100,"")+SUMIFS('15b'!$J$7:$J$100,'15b'!$H$7:$H$100,$A236,'15b'!$I$7:$I$100,"")+SUMIFS('15c'!$J$7:$J$100,'15c'!$H$7:$H$100,$A236,'15c'!$I$7:$I$100,"")+SUMIFS('15d'!$J$7:$J$100,'15d'!$H$7:$H$100,$A236,'15d'!$I$7:$I$100,"")+SUMIFS('15e'!$J$7:$J$100,'15e'!$H$7:$H$100,$A236,'15e'!$I$7:$I$100,"")+SUMIFS('15f'!$J$7:$J$100,'15f'!$H$7:$H$100,$A236,'15f'!$I$7:$I$100,"")+SUMIFS('15g'!$J$7:$J$100,'15g'!$H$7:$H$100,$A236,'15g'!$I$7:$I$100,"")+SUMIFS('15h'!$J$7:$J$100,'15h'!$H$7:$H$100,$A236,'15h'!$I$7:$I$100,"")+SUMIFS('15i'!$J$7:$J$100,'15i'!$H$7:$H$100,$A236,'15i'!$I$7:$I$100,"")+SUMIFS('15j'!$J$7:$J$100,'15j'!$H$7:$H$100,$A236,'15j'!$I$7:$I$100,"")+SUMIFS('15k'!$J$7:$J$100,'15k'!$H$7:$H$100,$A236,'15k'!$I$7:$I$100,"")+SUMIFS('15l'!$J$7:$J$100,'15l'!$H$7:$H$100,$A236,'15l'!$I$7:$I$100,"")+SUMIFS('15m'!$J$7:$J$100,'15m'!$H$7:$H$100,$A236,'15m'!$I$7:$I$100,"")+SUMIFS('15n'!$J$7:$J$100,'15n'!$H$7:$H$100,$A236,'15n'!$I$7:$I$100,"")+SUMIFS('16'!$J$7:$J$100,'16'!$H$7:$H$100,$A236,'16'!$I$7:$I$100,"")+SUMIFS('16a'!$J$7:$J$100,'16a'!$H$7:$H$100,$A236,'16a'!$I$7:$I$100,"")+SUMIFS('17'!$J$7:$J$100,'17'!$H$7:$H$100,$A236,'17'!$I$7:$I$100,"")+SUMIFS('17a'!$J$7:$J$100,'17a'!$H$7:$H$100,$A236,'17a'!$I$7:$I$100,"")+SUMIFS('18'!$J$7:$J$100,'18'!$H$7:$H$100,$A236,'18'!$I$7:$I$100,"")+SUMIFS('18a'!$J$7:$J$100,'18a'!$H$7:$H$100,$A236,'18a'!$I$7:$I$100,"")
+SUMIFS('19'!$J$7:$J$100,'19'!$H$7:$H$100,$A236,'19'!$I$7:$I$100,"")+SUMIFS('20'!$J$7:$J$100,'20'!$H$7:$H$100,$A236,'20'!$I$7:$I$100,"")+SUMIFS('20a'!$J$7:$J$100,'20a'!$H$7:$H$100,$A236,'20a'!$I$7:$I$100,"")+SUMIFS('21'!$J$7:$J$100,'21'!$H$7:$H$100,$A236,'21'!$I$7:$I$100,"")+SUMIFS('22'!$J$7:$J$100,'22'!$H$7:$H$100,$A236,'22'!$I$7:$I$100,"")+SUMIFS('22a'!$J$7:$J$100,'22a'!$H$7:$H$100,$A236,'22a'!$I$7:$I$100,"")+SUMIFS('22b'!$J$7:$J$100,'22b'!$H$7:$H$100,$A236,'22b'!$I$7:$I$100,"")+SUMIFS('23'!$J$7:$J$100,'23'!$H$7:$H$100,$A236,'23'!$I$7:$I$100,"")+SUMIFS('24'!$J$7:$J$100,'24'!$H$7:$H$100,$A236,'24'!$I$7:$I$100,"")+SUMIFS('24a'!$J$7:$J$100,'24a'!$H$7:$H$100,$A236,'24a'!$I$7:$I$100,"")+SUMIFS('24b'!$J$7:$J$100,'24b'!$H$7:$H$100,$A236,'24b'!$I$7:$I$100,"")+SUMIFS('24c'!$J$7:$J$100,'24c'!$H$7:$H$100,$A236,'24c'!$I$7:$I$100,"")+SUMIFS('24d'!$J$7:$J$100,'24d'!$H$7:$H$100,$A236,'24d'!$I$7:$I$100,"")+SUMIFS('24e'!$J$7:$J$100,'24e'!$H$7:$H$100,$A236,'24e'!$I$7:$I$100,"")+SUMIFS('24f'!$J$7:$J$100,'24f'!$H$7:$H$100,$A236,'24f'!$I$7:$I$100,"")+SUMIFS('24g'!$J$7:$J$100,'24g'!$H$7:$H$100,$A236,'24g'!$I$7:$I$100,"")+SUMIFS('24h'!$J$7:$J$100,'24h'!$H$7:$H$100,$A236,'24h'!$I$7:$I$100,"")+SUMIFS('24i'!$J$7:$J$100,'24i'!$H$7:$H$100,$A236,'24i'!$I$7:$I$100,"")+SUMIFS('25'!$J$7:$J$100,'25'!$H$7:$H$100,$A236,'25'!$I$7:$I$100,"")+SUMIFS('26'!$J$7:$J$100,'26'!$H$7:$H$100,$A236,'26'!$I$7:$I$100,"")+SUMIFS('26a'!$J$7:$J$100,'26a'!$H$7:$H$100,$A236,'26a'!$I$7:$I$100,"")+SUMIFS('27'!$J$7:$J$100,'27'!$H$7:$H$100,$A236,'27'!$I$7:$I$100,"")+SUMIFS('27a'!$J$7:$J$100,'27a'!$H$7:$H$100,$A236,'27a'!$I$7:$I$100,"")+SUMIFS('28'!$J$7:$J$100,'28'!$H$7:$H$100,$A236,'28'!$I$7:$I$100,"")+SUMIFS('29'!$J$7:$J$100,'29'!$H$7:$H$100,$A236,'29'!$I$7:$I$100,"")</f>
        <v>0</v>
      </c>
      <c r="J236" s="1296">
        <f t="shared" si="21"/>
        <v>0</v>
      </c>
      <c r="K236"/>
      <c r="L236"/>
      <c r="M236"/>
      <c r="N236"/>
      <c r="O236"/>
      <c r="P236"/>
      <c r="Q236"/>
      <c r="R236"/>
      <c r="S236" s="1307">
        <f t="shared" si="14"/>
        <v>0</v>
      </c>
      <c r="T236"/>
    </row>
    <row r="237" spans="1:20" outlineLevel="1" x14ac:dyDescent="0.2">
      <c r="A237" t="s">
        <v>5159</v>
      </c>
      <c r="B237" t="s">
        <v>5488</v>
      </c>
      <c r="C237" s="1295">
        <f>SUMIFS('12'!$N$7:$N$100,'12'!$H$7:$H$100,$A237,'12'!$I$7:$I$100,1)+SUMIFS('13'!$N$7:$N$100,'13'!$H$7:$H$100,$A237,'13'!$I$7:$I$100,1)+SUMIFS('14'!$N$7:$N$100,'14'!$H$7:$H$100,$A237,'14'!$I$7:$I$100,1)+SUMIFS('15'!$N$7:$N$100,'15'!$H$7:$H$100,$A237,'15'!$I$7:$I$100,1)+SUMIFS('15a'!$N$7:$N$100,'15a'!$H$7:$H$100,$A237,'15a'!$I$7:$I$100,1)+SUMIFS('15b'!$N$7:$N$100,'15b'!$H$7:$H$100,$A237,'15b'!$I$7:$I$100,1)+SUMIFS('15c'!$N$7:$N$100,'15c'!$H$7:$H$100,$A237,'15c'!$I$7:$I$100,1)+SUMIFS('15d'!$N$7:$N$100,'15d'!$H$7:$H$100,$A237,'15d'!$I$7:$I$100,1)+SUMIFS('15e'!$N$7:$N$100,'15e'!$H$7:$H$100,$A237,'15e'!$I$7:$I$100,1)+SUMIFS('15f'!$N$7:$N$100,'15f'!$H$7:$H$100,$A237,'15f'!$I$7:$I$100,1)+SUMIFS('15g'!$N$7:$N$100,'15g'!$H$7:$H$100,$A237,'15g'!$I$7:$I$100,1)+SUMIFS('15h'!$N$7:$N$100,'15h'!$H$7:$H$100,$A237,'15h'!$I$7:$I$100,1)+SUMIFS('15i'!$N$7:$N$100,'15i'!$H$7:$H$100,$A237,'15i'!$I$7:$I$100,1)+SUMIFS('15j'!$N$7:$N$100,'15j'!$H$7:$H$100,$A237,'15j'!$I$7:$I$100,1)+SUMIFS('15k'!$N$7:$N$100,'15k'!$H$7:$H$100,$A237,'15k'!$I$7:$I$100,1)+SUMIFS('15l'!$N$7:$N$100,'15l'!$H$7:$H$100,$A237,'15l'!$I$7:$I$100,1)+SUMIFS('15m'!$N$7:$N$100,'15m'!$H$7:$H$100,$A237,'15m'!$I$7:$I$100,1)+SUMIFS('15n'!$N$7:$N$100,'15n'!$H$7:$H$100,$A237,'15n'!$I$7:$I$100,1)+SUMIFS('16'!$N$7:$N$100,'16'!$H$7:$H$100,$A237,'16'!$I$7:$I$100,1)+SUMIFS('16a'!$N$7:$N$100,'16a'!$H$7:$H$100,$A237,'16a'!$I$7:$I$100,1)+SUMIFS('17'!$N$7:$N$100,'17'!$H$7:$H$100,$A237,'17'!$I$7:$I$100,1)+SUMIFS('17a'!$N$7:$N$100,'17a'!$H$7:$H$100,$A237,'17a'!$I$7:$I$100,1)+SUMIFS('18'!$N$7:$N$100,'18'!$H$7:$H$100,$A237,'18'!$I$7:$I$100,1)+SUMIFS('18a'!$N$7:$N$100,'18a'!$H$7:$H$100,$A237,'18a'!$I$7:$I$100,1)
+SUMIFS('19'!$N$7:$N$100,'19'!$H$7:$H$100,$A237,'19'!$I$7:$I$100,1)+SUMIFS('20'!$N$7:$N$100,'20'!$H$7:$H$100,$A237,'20'!$I$7:$I$100,1)+SUMIFS('20a'!$N$7:$N$100,'20a'!$H$7:$H$100,$A237,'20a'!$I$7:$I$100,1)+SUMIFS('21'!$N$7:$N$100,'21'!$H$7:$H$100,$A237,'21'!$I$7:$I$100,1)+SUMIFS('22'!$N$7:$N$100,'22'!$H$7:$H$100,$A237,'22'!$I$7:$I$100,1)+SUMIFS('22a'!$N$7:$N$100,'22a'!$H$7:$H$100,$A237,'22a'!$I$7:$I$100,1)+SUMIFS('22b'!$N$7:$N$100,'22b'!$H$7:$H$100,$A237,'22b'!$I$7:$I$100,1)+SUMIFS('23'!$N$7:$N$100,'23'!$H$7:$H$100,$A237,'23'!$I$7:$I$100,1)+SUMIFS('24'!$N$7:$N$100,'24'!$H$7:$H$100,$A237,'24'!$I$7:$I$100,1)+SUMIFS('24a'!$N$7:$N$100,'24a'!$H$7:$H$100,$A237,'24a'!$I$7:$I$100,1)+SUMIFS('24b'!$N$7:$N$100,'24b'!$H$7:$H$100,$A237,'24b'!$I$7:$I$100,1)+SUMIFS('24c'!$N$7:$N$100,'24c'!$H$7:$H$100,$A237,'24c'!$I$7:$I$100,1)+SUMIFS('24d'!$N$7:$N$100,'24d'!$H$7:$H$100,$A237,'24d'!$I$7:$I$100,1)+SUMIFS('24e'!$N$7:$N$100,'24e'!$H$7:$H$100,$A237,'24e'!$I$7:$I$100,1)+SUMIFS('24f'!$N$7:$N$100,'24f'!$H$7:$H$100,$A237,'24f'!$I$7:$I$100,1)+SUMIFS('24g'!$N$7:$N$100,'24g'!$H$7:$H$100,$A237,'24g'!$I$7:$I$100,1)+SUMIFS('24h'!$N$7:$N$100,'24h'!$H$7:$H$100,$A237,'24h'!$I$7:$I$100,1)+SUMIFS('24i'!$N$7:$N$100,'24i'!$H$7:$H$100,$A237,'24i'!$I$7:$I$100,1)+SUMIFS('25'!$N$7:$N$100,'25'!$H$7:$H$100,$A237,'25'!$I$7:$I$100,1)+SUMIFS('26'!$N$7:$N$100,'26'!$H$7:$H$100,$A237,'26'!$I$7:$I$100,1)+SUMIFS('26a'!$N$7:$N$100,'26a'!$H$7:$H$100,$A237,'26a'!$I$7:$I$100,1)+SUMIFS('27'!$N$7:$N$100,'27'!$H$7:$H$100,$A237,'27'!$I$7:$I$100,1)+SUMIFS('27a'!$N$7:$N$100,'27a'!$H$7:$H$100,$A237,'27a'!$I$7:$I$100,1)+SUMIFS('28'!$N$7:$N$100,'28'!$H$7:$H$100,$A237,'28'!$I$7:$I$100,1)+SUMIFS('29'!$N$7:$N$100,'29'!$H$7:$H$100,$A237,'29'!$I$7:$I$100,1)</f>
        <v>0</v>
      </c>
      <c r="D237" s="1315">
        <f>SUMIFS('12'!$N$7:$N$100,'12'!$H$7:$H$100,$A237,'12'!$I$7:$I$100,2)+SUMIFS('13'!$N$7:$N$100,'13'!$H$7:$H$100,$A237,'13'!$I$7:$I$100,2)+SUMIFS('14'!$N$7:$N$100,'14'!$H$7:$H$100,$A237,'14'!$I$7:$I$100,2)+SUMIFS('15'!$N$7:$N$100,'15'!$H$7:$H$100,$A237,'15'!$I$7:$I$100,2)+SUMIFS('15a'!$N$7:$N$100,'15a'!$H$7:$H$100,$A237,'15a'!$I$7:$I$100,2)+SUMIFS('15b'!$N$7:$N$100,'15b'!$H$7:$H$100,$A237,'15b'!$I$7:$I$100,2)+SUMIFS('15c'!$N$7:$N$100,'15c'!$H$7:$H$100,$A237,'15c'!$I$7:$I$100,2)+SUMIFS('15d'!$N$7:$N$100,'15d'!$H$7:$H$100,$A237,'15d'!$I$7:$I$100,2)+SUMIFS('15e'!$N$7:$N$100,'15e'!$H$7:$H$100,$A237,'15e'!$I$7:$I$100,2)+SUMIFS('15f'!$N$7:$N$100,'15f'!$H$7:$H$100,$A237,'15f'!$I$7:$I$100,2)+SUMIFS('15g'!$N$7:$N$100,'15g'!$H$7:$H$100,$A237,'15g'!$I$7:$I$100,2)+SUMIFS('15h'!$N$7:$N$100,'15h'!$H$7:$H$100,$A237,'15h'!$I$7:$I$100,2)+SUMIFS('15i'!$N$7:$N$100,'15i'!$H$7:$H$100,$A237,'15i'!$I$7:$I$100,2)+SUMIFS('15j'!$N$7:$N$100,'15j'!$H$7:$H$100,$A237,'15j'!$I$7:$I$100,2)+SUMIFS('15k'!$N$7:$N$100,'15k'!$H$7:$H$100,$A237,'15k'!$I$7:$I$100,2)+SUMIFS('15l'!$N$7:$N$100,'15l'!$H$7:$H$100,$A237,'15l'!$I$7:$I$100,2)+SUMIFS('15m'!$N$7:$N$100,'15m'!$H$7:$H$100,$A237,'15m'!$I$7:$I$100,2)+SUMIFS('15n'!$N$7:$N$100,'15n'!$H$7:$H$100,$A237,'15n'!$I$7:$I$100,2)+SUMIFS('16'!$N$7:$N$100,'16'!$H$7:$H$100,$A237,'16'!$I$7:$I$100,2)+SUMIFS('16a'!$N$7:$N$100,'16a'!$H$7:$H$100,$A237,'16a'!$I$7:$I$100,2)+SUMIFS('17'!$N$7:$N$100,'17'!$H$7:$H$100,$A237,'17'!$I$7:$I$100,2)+SUMIFS('17a'!$N$7:$N$100,'17a'!$H$7:$H$100,$A237,'17a'!$I$7:$I$100,2)+SUMIFS('18'!$N$7:$N$100,'18'!$H$7:$H$100,$A237,'18'!$I$7:$I$100,2)+SUMIFS('18a'!$N$7:$N$100,'18a'!$H$7:$H$100,$A237,'18a'!$I$7:$I$100,2)
+SUMIFS('19'!$N$7:$N$100,'19'!$H$7:$H$100,$A237,'19'!$I$7:$I$100,2)+SUMIFS('20'!$N$7:$N$100,'20'!$H$7:$H$100,$A237,'20'!$I$7:$I$100,2)+SUMIFS('20a'!$N$7:$N$100,'20a'!$H$7:$H$100,$A237,'20a'!$I$7:$I$100,2)+SUMIFS('21'!$N$7:$N$100,'21'!$H$7:$H$100,$A237,'21'!$I$7:$I$100,2)+SUMIFS('22'!$N$7:$N$100,'22'!$H$7:$H$100,$A237,'22'!$I$7:$I$100,2)+SUMIFS('22a'!$N$7:$N$100,'22a'!$H$7:$H$100,$A237,'22a'!$I$7:$I$100,2)+SUMIFS('22b'!$N$7:$N$100,'22b'!$H$7:$H$100,$A237,'22b'!$I$7:$I$100,2)+SUMIFS('23'!$N$7:$N$100,'23'!$H$7:$H$100,$A237,'23'!$I$7:$I$100,2)+SUMIFS('24'!$N$7:$N$100,'24'!$H$7:$H$100,$A237,'24'!$I$7:$I$100,2)+SUMIFS('24a'!$N$7:$N$100,'24a'!$H$7:$H$100,$A237,'24a'!$I$7:$I$100,2)+SUMIFS('24b'!$N$7:$N$100,'24b'!$H$7:$H$100,$A237,'24b'!$I$7:$I$100,2)+SUMIFS('24c'!$N$7:$N$100,'24c'!$H$7:$H$100,$A237,'24c'!$I$7:$I$100,2)+SUMIFS('24d'!$N$7:$N$100,'24d'!$H$7:$H$100,$A237,'24d'!$I$7:$I$100,2)+SUMIFS('24e'!$N$7:$N$100,'24e'!$H$7:$H$100,$A237,'24e'!$I$7:$I$100,2)+SUMIFS('24f'!$N$7:$N$100,'24f'!$H$7:$H$100,$A237,'24f'!$I$7:$I$100,2)+SUMIFS('24g'!$N$7:$N$100,'24g'!$H$7:$H$100,$A237,'24g'!$I$7:$I$100,2)+SUMIFS('24h'!$N$7:$N$100,'24h'!$H$7:$H$100,$A237,'24h'!$I$7:$I$100,2)+SUMIFS('24i'!$N$7:$N$100,'24i'!$H$7:$H$100,$A237,'24i'!$I$7:$I$100,2)+SUMIFS('25'!$N$7:$N$100,'25'!$H$7:$H$100,$A237,'25'!$I$7:$I$100,2)+SUMIFS('26'!$N$7:$N$100,'26'!$H$7:$H$100,$A237,'26'!$I$7:$I$100,2)+SUMIFS('26a'!$N$7:$N$100,'26a'!$H$7:$H$100,$A237,'26a'!$I$7:$I$100,2)+SUMIFS('27'!$N$7:$N$100,'27'!$H$7:$H$100,$A237,'27'!$I$7:$I$100,2)+SUMIFS('27a'!$N$7:$N$100,'27a'!$H$7:$H$100,$A237,'27a'!$I$7:$I$100,2)+SUMIFS('28'!$N$7:$N$100,'28'!$H$7:$H$100,$A237,'28'!$I$7:$I$100,2)+SUMIFS('29'!$N$7:$N$100,'29'!$H$7:$H$100,$A237,'29'!$I$7:$I$100,2)</f>
        <v>0</v>
      </c>
      <c r="E237" s="1315">
        <f>SUMIFS('12'!$N$7:$N$100,'12'!$H$7:$H$100,$A237,'12'!$I$7:$I$100,"")+SUMIFS('13'!$N$7:$N$100,'13'!$H$7:$H$100,$A237,'13'!$I$7:$I$100,"")+SUMIFS('14'!$N$7:$N$100,'14'!$H$7:$H$100,$A237,'14'!$I$7:$I$100,"")+SUMIFS('15'!$N$7:$N$100,'15'!$H$7:$H$100,$A237,'15'!$I$7:$I$100,"")+SUMIFS('15a'!$N$7:$N$100,'15a'!$H$7:$H$100,$A237,'15a'!$I$7:$I$100,"")+SUMIFS('15b'!$N$7:$N$100,'15b'!$H$7:$H$100,$A237,'15b'!$I$7:$I$100,"")+SUMIFS('15c'!$N$7:$N$100,'15c'!$H$7:$H$100,$A237,'15c'!$I$7:$I$100,"")+SUMIFS('15d'!$N$7:$N$100,'15d'!$H$7:$H$100,$A237,'15d'!$I$7:$I$100,"")+SUMIFS('15e'!$N$7:$N$100,'15e'!$H$7:$H$100,$A237,'15e'!$I$7:$I$100,"")+SUMIFS('15f'!$N$7:$N$100,'15f'!$H$7:$H$100,$A237,'15f'!$I$7:$I$100,"")+SUMIFS('15g'!$N$7:$N$100,'15g'!$H$7:$H$100,$A237,'15g'!$I$7:$I$100,"")+SUMIFS('15h'!$N$7:$N$100,'15h'!$H$7:$H$100,$A237,'15h'!$I$7:$I$100,"")+SUMIFS('15i'!$N$7:$N$100,'15i'!$H$7:$H$100,$A237,'15i'!$I$7:$I$100,"")+SUMIFS('15j'!$N$7:$N$100,'15j'!$H$7:$H$100,$A237,'15j'!$I$7:$I$100,"")+SUMIFS('15k'!$N$7:$N$100,'15k'!$H$7:$H$100,$A237,'15k'!$I$7:$I$100,"")+SUMIFS('15l'!$N$7:$N$100,'15l'!$H$7:$H$100,$A237,'15l'!$I$7:$I$100,"")+SUMIFS('15m'!$N$7:$N$100,'15m'!$H$7:$H$100,$A237,'15m'!$I$7:$I$100,"")+SUMIFS('15n'!$N$7:$N$100,'15n'!$H$7:$H$100,$A237,'15n'!$I$7:$I$100,"")+SUMIFS('16'!$N$7:$N$100,'16'!$H$7:$H$100,$A237,'16'!$I$7:$I$100,"")+SUMIFS('16a'!$N$7:$N$100,'16a'!$H$7:$H$100,$A237,'16a'!$I$7:$I$100,"")+SUMIFS('17'!$N$7:$N$100,'17'!$H$7:$H$100,$A237,'17'!$I$7:$I$100,"")+SUMIFS('17a'!$N$7:$N$100,'17a'!$H$7:$H$100,$A237,'17a'!$I$7:$I$100,"")+SUMIFS('18'!$N$7:$N$100,'18'!$H$7:$H$100,$A237,'18'!$I$7:$I$100,"")+SUMIFS('18a'!$N$7:$N$100,'18a'!$H$7:$H$100,$A237,'18a'!$I$7:$I$100,"")
+SUMIFS('19'!$N$7:$N$100,'19'!$H$7:$H$100,$A237,'19'!$I$7:$I$100,"")+SUMIFS('20'!$N$7:$N$100,'20'!$H$7:$H$100,$A237,'20'!$I$7:$I$100,"")+SUMIFS('20a'!$N$7:$N$100,'20a'!$H$7:$H$100,$A237,'20a'!$I$7:$I$100,"")+SUMIFS('21'!$N$7:$N$100,'21'!$H$7:$H$100,$A237,'21'!$I$7:$I$100,"")+SUMIFS('22'!$N$7:$N$100,'22'!$H$7:$H$100,$A237,'22'!$I$7:$I$100,"")+SUMIFS('22a'!$N$7:$N$100,'22a'!$H$7:$H$100,$A237,'22a'!$I$7:$I$100,"")+SUMIFS('22b'!$N$7:$N$100,'22b'!$H$7:$H$100,$A237,'22b'!$I$7:$I$100,"")+SUMIFS('23'!$N$7:$N$100,'23'!$H$7:$H$100,$A237,'23'!$I$7:$I$100,"")+SUMIFS('24'!$N$7:$N$100,'24'!$H$7:$H$100,$A237,'24'!$I$7:$I$100,"")+SUMIFS('24a'!$N$7:$N$100,'24a'!$H$7:$H$100,$A237,'24a'!$I$7:$I$100,"")+SUMIFS('24b'!$N$7:$N$100,'24b'!$H$7:$H$100,$A237,'24b'!$I$7:$I$100,"")+SUMIFS('24c'!$N$7:$N$100,'24c'!$H$7:$H$100,$A237,'24c'!$I$7:$I$100,"")+SUMIFS('24d'!$N$7:$N$100,'24d'!$H$7:$H$100,$A237,'24d'!$I$7:$I$100,"")+SUMIFS('24e'!$N$7:$N$100,'24e'!$H$7:$H$100,$A237,'24e'!$I$7:$I$100,"")+SUMIFS('24f'!$N$7:$N$100,'24f'!$H$7:$H$100,$A237,'24f'!$I$7:$I$100,"")+SUMIFS('24g'!$N$7:$N$100,'24g'!$H$7:$H$100,$A237,'24g'!$I$7:$I$100,"")+SUMIFS('24h'!$N$7:$N$100,'24h'!$H$7:$H$100,$A237,'24h'!$I$7:$I$100,"")+SUMIFS('24i'!$N$7:$N$100,'24i'!$H$7:$H$100,$A237,'24i'!$I$7:$I$100,"")+SUMIFS('25'!$N$7:$N$100,'25'!$H$7:$H$100,$A237,'25'!$I$7:$I$100,"")+SUMIFS('26'!$N$7:$N$100,'26'!$H$7:$H$100,$A237,'26'!$I$7:$I$100,"")+SUMIFS('26a'!$N$7:$N$100,'26a'!$H$7:$H$100,$A237,'26a'!$I$7:$I$100,"")+SUMIFS('27'!$N$7:$N$100,'27'!$H$7:$H$100,$A237,'27'!$I$7:$I$100,"")+SUMIFS('27a'!$N$7:$N$100,'27a'!$H$7:$H$100,$A237,'27a'!$I$7:$I$100,"")+SUMIFS('28'!$N$7:$N$100,'28'!$H$7:$H$100,$A237,'28'!$I$7:$I$100,"")+SUMIFS('29'!$N$7:$N$100,'29'!$H$7:$H$100,$A237,'29'!$I$7:$I$100,"")</f>
        <v>0</v>
      </c>
      <c r="F237" s="1296">
        <f t="shared" si="20"/>
        <v>0</v>
      </c>
      <c r="G237" s="1295">
        <f>SUMIFS('12'!$J$7:$J$100,'12'!$H$7:$H$100,$A237,'12'!$I$7:$I$100,1)+SUMIFS('13'!$J$7:$J$100,'13'!$H$7:$H$100,$A237,'13'!$I$7:$I$100,1)+SUMIFS('14'!$J$7:$J$100,'14'!$H$7:$H$100,$A237,'14'!$I$7:$I$100,1)+SUMIFS('15'!$J$7:$J$100,'15'!$H$7:$H$100,$A237,'15'!$I$7:$I$100,1)+SUMIFS('15a'!$J$7:$J$100,'15a'!$H$7:$H$100,$A237,'15a'!$I$7:$I$100,1)+SUMIFS('15b'!$J$7:$J$100,'15b'!$H$7:$H$100,$A237,'15b'!$I$7:$I$100,1)+SUMIFS('15c'!$J$7:$J$100,'15c'!$H$7:$H$100,$A237,'15c'!$I$7:$I$100,1)+SUMIFS('15d'!$J$7:$J$100,'15d'!$H$7:$H$100,$A237,'15d'!$I$7:$I$100,1)+SUMIFS('15e'!$J$7:$J$100,'15e'!$H$7:$H$100,$A237,'15e'!$I$7:$I$100,1)+SUMIFS('15f'!$J$7:$J$100,'15f'!$H$7:$H$100,$A237,'15f'!$I$7:$I$100,1)+SUMIFS('15g'!$J$7:$J$100,'15g'!$H$7:$H$100,$A237,'15g'!$I$7:$I$100,1)+SUMIFS('15h'!$J$7:$J$100,'15h'!$H$7:$H$100,$A237,'15h'!$I$7:$I$100,1)+SUMIFS('15i'!$J$7:$J$100,'15i'!$H$7:$H$100,$A237,'15i'!$I$7:$I$100,1)+SUMIFS('15j'!$J$7:$J$100,'15j'!$H$7:$H$100,$A237,'15j'!$I$7:$I$100,1)+SUMIFS('15k'!$J$7:$J$100,'15k'!$H$7:$H$100,$A237,'15k'!$I$7:$I$100,1)+SUMIFS('15l'!$J$7:$J$100,'15l'!$H$7:$H$100,$A237,'15l'!$I$7:$I$100,1)+SUMIFS('15m'!$J$7:$J$100,'15m'!$H$7:$H$100,$A237,'15m'!$I$7:$I$100,1)+SUMIFS('15n'!$J$7:$J$100,'15n'!$H$7:$H$100,$A237,'15n'!$I$7:$I$100,1)+SUMIFS('16'!$J$7:$J$100,'16'!$H$7:$H$100,$A237,'16'!$I$7:$I$100,1)+SUMIFS('16a'!$J$7:$J$100,'16a'!$H$7:$H$100,$A237,'16a'!$I$7:$I$100,1)+SUMIFS('17'!$J$7:$J$100,'17'!$H$7:$H$100,$A237,'17'!$I$7:$I$100,1)+SUMIFS('17a'!$J$7:$J$100,'17a'!$H$7:$H$100,$A237,'17a'!$I$7:$I$100,1)+SUMIFS('18'!$J$7:$J$100,'18'!$H$7:$H$100,$A237,'18'!$I$7:$I$100,1)+SUMIFS('18a'!$J$7:$J$100,'18a'!$H$7:$H$100,$A237,'18a'!$I$7:$I$100,1)
+SUMIFS('19'!$J$7:$J$100,'19'!$H$7:$H$100,$A237,'19'!$I$7:$I$100,1)+SUMIFS('20'!$J$7:$J$100,'20'!$H$7:$H$100,$A237,'20'!$I$7:$I$100,1)+SUMIFS('20a'!$J$7:$J$100,'20a'!$H$7:$H$100,$A237,'20a'!$I$7:$I$100,1)+SUMIFS('21'!$J$7:$J$100,'21'!$H$7:$H$100,$A237,'21'!$I$7:$I$100,1)+SUMIFS('22'!$J$7:$J$100,'22'!$H$7:$H$100,$A237,'22'!$I$7:$I$100,1)+SUMIFS('22a'!$J$7:$J$100,'22a'!$H$7:$H$100,$A237,'22a'!$I$7:$I$100,1)+SUMIFS('22b'!$J$7:$J$100,'22b'!$H$7:$H$100,$A237,'22b'!$I$7:$I$100,1)+SUMIFS('23'!$J$7:$J$100,'23'!$H$7:$H$100,$A237,'23'!$I$7:$I$100,1)+SUMIFS('24'!$J$7:$J$100,'24'!$H$7:$H$100,$A237,'24'!$I$7:$I$100,1)+SUMIFS('24a'!$J$7:$J$100,'24a'!$H$7:$H$100,$A237,'24a'!$I$7:$I$100,1)+SUMIFS('24b'!$J$7:$J$100,'24b'!$H$7:$H$100,$A237,'24b'!$I$7:$I$100,1)+SUMIFS('24c'!$J$7:$J$100,'24c'!$H$7:$H$100,$A237,'24c'!$I$7:$I$100,1)+SUMIFS('24d'!$J$7:$J$100,'24d'!$H$7:$H$100,$A237,'24d'!$I$7:$I$100,1)+SUMIFS('24e'!$J$7:$J$100,'24e'!$H$7:$H$100,$A237,'24e'!$I$7:$I$100,1)+SUMIFS('24f'!$J$7:$J$100,'24f'!$H$7:$H$100,$A237,'24f'!$I$7:$I$100,1)+SUMIFS('24g'!$J$7:$J$100,'24g'!$H$7:$H$100,$A237,'24g'!$I$7:$I$100,1)+SUMIFS('24h'!$J$7:$J$100,'24h'!$H$7:$H$100,$A237,'24h'!$I$7:$I$100,1)+SUMIFS('24i'!$J$7:$J$100,'24i'!$H$7:$H$100,$A237,'24i'!$I$7:$I$100,1)+SUMIFS('25'!$J$7:$J$100,'25'!$H$7:$H$100,$A237,'25'!$I$7:$I$100,1)+SUMIFS('26'!$J$7:$J$100,'26'!$H$7:$H$100,$A237,'26'!$I$7:$I$100,1)+SUMIFS('26a'!$J$7:$J$100,'26a'!$H$7:$H$100,$A237,'26a'!$I$7:$I$100,1)+SUMIFS('27'!$J$7:$J$100,'27'!$H$7:$H$100,$A237,'27'!$I$7:$I$100,1)+SUMIFS('27a'!$J$7:$J$100,'27a'!$H$7:$H$100,$A237,'27a'!$I$7:$I$100,1)+SUMIFS('28'!$J$7:$J$100,'28'!$H$7:$H$100,$A237,'28'!$I$7:$I$100,1)+SUMIFS('29'!$J$7:$J$100,'29'!$H$7:$H$100,$A237,'29'!$I$7:$I$100,1)</f>
        <v>0</v>
      </c>
      <c r="H237" s="1315">
        <f>SUMIFS('12'!$J$7:$J$100,'12'!$H$7:$H$100,$A237,'12'!$I$7:$I$100,2)+SUMIFS('13'!$J$7:$J$100,'13'!$H$7:$H$100,$A237,'13'!$I$7:$I$100,2)+SUMIFS('14'!$J$7:$J$100,'14'!$H$7:$H$100,$A237,'14'!$I$7:$I$100,2)+SUMIFS('15'!$J$7:$J$100,'15'!$H$7:$H$100,$A237,'15'!$I$7:$I$100,2)+SUMIFS('15a'!$J$7:$J$100,'15a'!$H$7:$H$100,$A237,'15a'!$I$7:$I$100,2)+SUMIFS('15b'!$J$7:$J$100,'15b'!$H$7:$H$100,$A237,'15b'!$I$7:$I$100,2)+SUMIFS('15c'!$J$7:$J$100,'15c'!$H$7:$H$100,$A237,'15c'!$I$7:$I$100,2)+SUMIFS('15d'!$J$7:$J$100,'15d'!$H$7:$H$100,$A237,'15d'!$I$7:$I$100,2)+SUMIFS('15e'!$J$7:$J$100,'15e'!$H$7:$H$100,$A237,'15e'!$I$7:$I$100,2)+SUMIFS('15f'!$J$7:$J$100,'15f'!$H$7:$H$100,$A237,'15f'!$I$7:$I$100,2)+SUMIFS('15g'!$J$7:$J$100,'15g'!$H$7:$H$100,$A237,'15g'!$I$7:$I$100,2)+SUMIFS('15h'!$J$7:$J$100,'15h'!$H$7:$H$100,$A237,'15h'!$I$7:$I$100,2)+SUMIFS('15i'!$J$7:$J$100,'15i'!$H$7:$H$100,$A237,'15i'!$I$7:$I$100,2)+SUMIFS('15j'!$J$7:$J$100,'15j'!$H$7:$H$100,$A237,'15j'!$I$7:$I$100,2)+SUMIFS('15k'!$J$7:$J$100,'15k'!$H$7:$H$100,$A237,'15k'!$I$7:$I$100,2)+SUMIFS('15l'!$J$7:$J$100,'15l'!$H$7:$H$100,$A237,'15l'!$I$7:$I$100,2)+SUMIFS('15m'!$J$7:$J$100,'15m'!$H$7:$H$100,$A237,'15m'!$I$7:$I$100,2)+SUMIFS('15n'!$J$7:$J$100,'15n'!$H$7:$H$100,$A237,'15n'!$I$7:$I$100,2)+SUMIFS('16'!$J$7:$J$100,'16'!$H$7:$H$100,$A237,'16'!$I$7:$I$100,2)+SUMIFS('16a'!$J$7:$J$100,'16a'!$H$7:$H$100,$A237,'16a'!$I$7:$I$100,2)+SUMIFS('17'!$J$7:$J$100,'17'!$H$7:$H$100,$A237,'17'!$I$7:$I$100,2)+SUMIFS('17a'!$J$7:$J$100,'17a'!$H$7:$H$100,$A237,'17a'!$I$7:$I$100,2)+SUMIFS('18'!$J$7:$J$100,'18'!$H$7:$H$100,$A237,'18'!$I$7:$I$100,2)+SUMIFS('18a'!$J$7:$J$100,'18a'!$H$7:$H$100,$A237,'18a'!$I$7:$I$100,2)
+SUMIFS('19'!$J$7:$J$100,'19'!$H$7:$H$100,$A237,'19'!$I$7:$I$100,2)+SUMIFS('20'!$J$7:$J$100,'20'!$H$7:$H$100,$A237,'20'!$I$7:$I$100,2)+SUMIFS('20a'!$J$7:$J$100,'20a'!$H$7:$H$100,$A237,'20a'!$I$7:$I$100,2)+SUMIFS('21'!$J$7:$J$100,'21'!$H$7:$H$100,$A237,'21'!$I$7:$I$100,2)+SUMIFS('22'!$J$7:$J$100,'22'!$H$7:$H$100,$A237,'22'!$I$7:$I$100,2)+SUMIFS('22a'!$J$7:$J$100,'22a'!$H$7:$H$100,$A237,'22a'!$I$7:$I$100,2)+SUMIFS('22b'!$J$7:$J$100,'22b'!$H$7:$H$100,$A237,'22b'!$I$7:$I$100,2)+SUMIFS('23'!$J$7:$J$100,'23'!$H$7:$H$100,$A237,'23'!$I$7:$I$100,2)+SUMIFS('24'!$J$7:$J$100,'24'!$H$7:$H$100,$A237,'24'!$I$7:$I$100,2)+SUMIFS('24a'!$J$7:$J$100,'24a'!$H$7:$H$100,$A237,'24a'!$I$7:$I$100,2)+SUMIFS('24b'!$J$7:$J$100,'24b'!$H$7:$H$100,$A237,'24b'!$I$7:$I$100,2)+SUMIFS('24c'!$J$7:$J$100,'24c'!$H$7:$H$100,$A237,'24c'!$I$7:$I$100,2)+SUMIFS('24d'!$J$7:$J$100,'24d'!$H$7:$H$100,$A237,'24d'!$I$7:$I$100,2)+SUMIFS('24e'!$J$7:$J$100,'24e'!$H$7:$H$100,$A237,'24e'!$I$7:$I$100,2)+SUMIFS('24f'!$J$7:$J$100,'24f'!$H$7:$H$100,$A237,'24f'!$I$7:$I$100,2)+SUMIFS('24g'!$J$7:$J$100,'24g'!$H$7:$H$100,$A237,'24g'!$I$7:$I$100,2)+SUMIFS('24h'!$J$7:$J$100,'24h'!$H$7:$H$100,$A237,'24h'!$I$7:$I$100,2)+SUMIFS('24i'!$J$7:$J$100,'24i'!$H$7:$H$100,$A237,'24i'!$I$7:$I$100,2)+SUMIFS('25'!$J$7:$J$100,'25'!$H$7:$H$100,$A237,'25'!$I$7:$I$100,2)+SUMIFS('26'!$J$7:$J$100,'26'!$H$7:$H$100,$A237,'26'!$I$7:$I$100,2)+SUMIFS('26a'!$J$7:$J$100,'26a'!$H$7:$H$100,$A237,'26a'!$I$7:$I$100,2)+SUMIFS('27'!$J$7:$J$100,'27'!$H$7:$H$100,$A237,'27'!$I$7:$I$100,2)+SUMIFS('27a'!$J$7:$J$100,'27a'!$H$7:$H$100,$A237,'27a'!$I$7:$I$100,2)+SUMIFS('28'!$J$7:$J$100,'28'!$H$7:$H$100,$A237,'28'!$I$7:$I$100,2)+SUMIFS('29'!$J$7:$J$100,'29'!$H$7:$H$100,$A237,'29'!$I$7:$I$100,2)</f>
        <v>0</v>
      </c>
      <c r="I237" s="1315">
        <f>SUMIFS('12'!$J$7:$J$100,'12'!$H$7:$H$100,$A237,'12'!$I$7:$I$100,"")+SUMIFS('13'!$J$7:$J$100,'13'!$H$7:$H$100,$A237,'13'!$I$7:$I$100,"")+SUMIFS('14'!$J$7:$J$100,'14'!$H$7:$H$100,$A237,'14'!$I$7:$I$100,"")+SUMIFS('15'!$J$7:$J$100,'15'!$H$7:$H$100,$A237,'15'!$I$7:$I$100,"")+SUMIFS('15a'!$J$7:$J$100,'15a'!$H$7:$H$100,$A237,'15a'!$I$7:$I$100,"")+SUMIFS('15b'!$J$7:$J$100,'15b'!$H$7:$H$100,$A237,'15b'!$I$7:$I$100,"")+SUMIFS('15c'!$J$7:$J$100,'15c'!$H$7:$H$100,$A237,'15c'!$I$7:$I$100,"")+SUMIFS('15d'!$J$7:$J$100,'15d'!$H$7:$H$100,$A237,'15d'!$I$7:$I$100,"")+SUMIFS('15e'!$J$7:$J$100,'15e'!$H$7:$H$100,$A237,'15e'!$I$7:$I$100,"")+SUMIFS('15f'!$J$7:$J$100,'15f'!$H$7:$H$100,$A237,'15f'!$I$7:$I$100,"")+SUMIFS('15g'!$J$7:$J$100,'15g'!$H$7:$H$100,$A237,'15g'!$I$7:$I$100,"")+SUMIFS('15h'!$J$7:$J$100,'15h'!$H$7:$H$100,$A237,'15h'!$I$7:$I$100,"")+SUMIFS('15i'!$J$7:$J$100,'15i'!$H$7:$H$100,$A237,'15i'!$I$7:$I$100,"")+SUMIFS('15j'!$J$7:$J$100,'15j'!$H$7:$H$100,$A237,'15j'!$I$7:$I$100,"")+SUMIFS('15k'!$J$7:$J$100,'15k'!$H$7:$H$100,$A237,'15k'!$I$7:$I$100,"")+SUMIFS('15l'!$J$7:$J$100,'15l'!$H$7:$H$100,$A237,'15l'!$I$7:$I$100,"")+SUMIFS('15m'!$J$7:$J$100,'15m'!$H$7:$H$100,$A237,'15m'!$I$7:$I$100,"")+SUMIFS('15n'!$J$7:$J$100,'15n'!$H$7:$H$100,$A237,'15n'!$I$7:$I$100,"")+SUMIFS('16'!$J$7:$J$100,'16'!$H$7:$H$100,$A237,'16'!$I$7:$I$100,"")+SUMIFS('16a'!$J$7:$J$100,'16a'!$H$7:$H$100,$A237,'16a'!$I$7:$I$100,"")+SUMIFS('17'!$J$7:$J$100,'17'!$H$7:$H$100,$A237,'17'!$I$7:$I$100,"")+SUMIFS('17a'!$J$7:$J$100,'17a'!$H$7:$H$100,$A237,'17a'!$I$7:$I$100,"")+SUMIFS('18'!$J$7:$J$100,'18'!$H$7:$H$100,$A237,'18'!$I$7:$I$100,"")+SUMIFS('18a'!$J$7:$J$100,'18a'!$H$7:$H$100,$A237,'18a'!$I$7:$I$100,"")
+SUMIFS('19'!$J$7:$J$100,'19'!$H$7:$H$100,$A237,'19'!$I$7:$I$100,"")+SUMIFS('20'!$J$7:$J$100,'20'!$H$7:$H$100,$A237,'20'!$I$7:$I$100,"")+SUMIFS('20a'!$J$7:$J$100,'20a'!$H$7:$H$100,$A237,'20a'!$I$7:$I$100,"")+SUMIFS('21'!$J$7:$J$100,'21'!$H$7:$H$100,$A237,'21'!$I$7:$I$100,"")+SUMIFS('22'!$J$7:$J$100,'22'!$H$7:$H$100,$A237,'22'!$I$7:$I$100,"")+SUMIFS('22a'!$J$7:$J$100,'22a'!$H$7:$H$100,$A237,'22a'!$I$7:$I$100,"")+SUMIFS('22b'!$J$7:$J$100,'22b'!$H$7:$H$100,$A237,'22b'!$I$7:$I$100,"")+SUMIFS('23'!$J$7:$J$100,'23'!$H$7:$H$100,$A237,'23'!$I$7:$I$100,"")+SUMIFS('24'!$J$7:$J$100,'24'!$H$7:$H$100,$A237,'24'!$I$7:$I$100,"")+SUMIFS('24a'!$J$7:$J$100,'24a'!$H$7:$H$100,$A237,'24a'!$I$7:$I$100,"")+SUMIFS('24b'!$J$7:$J$100,'24b'!$H$7:$H$100,$A237,'24b'!$I$7:$I$100,"")+SUMIFS('24c'!$J$7:$J$100,'24c'!$H$7:$H$100,$A237,'24c'!$I$7:$I$100,"")+SUMIFS('24d'!$J$7:$J$100,'24d'!$H$7:$H$100,$A237,'24d'!$I$7:$I$100,"")+SUMIFS('24e'!$J$7:$J$100,'24e'!$H$7:$H$100,$A237,'24e'!$I$7:$I$100,"")+SUMIFS('24f'!$J$7:$J$100,'24f'!$H$7:$H$100,$A237,'24f'!$I$7:$I$100,"")+SUMIFS('24g'!$J$7:$J$100,'24g'!$H$7:$H$100,$A237,'24g'!$I$7:$I$100,"")+SUMIFS('24h'!$J$7:$J$100,'24h'!$H$7:$H$100,$A237,'24h'!$I$7:$I$100,"")+SUMIFS('24i'!$J$7:$J$100,'24i'!$H$7:$H$100,$A237,'24i'!$I$7:$I$100,"")+SUMIFS('25'!$J$7:$J$100,'25'!$H$7:$H$100,$A237,'25'!$I$7:$I$100,"")+SUMIFS('26'!$J$7:$J$100,'26'!$H$7:$H$100,$A237,'26'!$I$7:$I$100,"")+SUMIFS('26a'!$J$7:$J$100,'26a'!$H$7:$H$100,$A237,'26a'!$I$7:$I$100,"")+SUMIFS('27'!$J$7:$J$100,'27'!$H$7:$H$100,$A237,'27'!$I$7:$I$100,"")+SUMIFS('27a'!$J$7:$J$100,'27a'!$H$7:$H$100,$A237,'27a'!$I$7:$I$100,"")+SUMIFS('28'!$J$7:$J$100,'28'!$H$7:$H$100,$A237,'28'!$I$7:$I$100,"")+SUMIFS('29'!$J$7:$J$100,'29'!$H$7:$H$100,$A237,'29'!$I$7:$I$100,"")</f>
        <v>0</v>
      </c>
      <c r="J237" s="1296">
        <f t="shared" si="21"/>
        <v>0</v>
      </c>
      <c r="K237"/>
      <c r="L237"/>
      <c r="M237"/>
      <c r="N237"/>
      <c r="O237"/>
      <c r="P237"/>
      <c r="Q237"/>
      <c r="R237"/>
      <c r="S237" s="1307">
        <f t="shared" si="14"/>
        <v>0</v>
      </c>
      <c r="T237"/>
    </row>
    <row r="238" spans="1:20" x14ac:dyDescent="0.2">
      <c r="A238" t="s">
        <v>5160</v>
      </c>
      <c r="B238" t="s">
        <v>5489</v>
      </c>
      <c r="C238" s="1295">
        <f>SUMIFS('12'!$N$7:$N$100,'12'!$H$7:$H$100,$A238,'12'!$I$7:$I$100,1)+SUMIFS('13'!$N$7:$N$100,'13'!$H$7:$H$100,$A238,'13'!$I$7:$I$100,1)+SUMIFS('14'!$N$7:$N$100,'14'!$H$7:$H$100,$A238,'14'!$I$7:$I$100,1)+SUMIFS('15'!$N$7:$N$100,'15'!$H$7:$H$100,$A238,'15'!$I$7:$I$100,1)+SUMIFS('15a'!$N$7:$N$100,'15a'!$H$7:$H$100,$A238,'15a'!$I$7:$I$100,1)+SUMIFS('15b'!$N$7:$N$100,'15b'!$H$7:$H$100,$A238,'15b'!$I$7:$I$100,1)+SUMIFS('15c'!$N$7:$N$100,'15c'!$H$7:$H$100,$A238,'15c'!$I$7:$I$100,1)+SUMIFS('15d'!$N$7:$N$100,'15d'!$H$7:$H$100,$A238,'15d'!$I$7:$I$100,1)+SUMIFS('15e'!$N$7:$N$100,'15e'!$H$7:$H$100,$A238,'15e'!$I$7:$I$100,1)+SUMIFS('15f'!$N$7:$N$100,'15f'!$H$7:$H$100,$A238,'15f'!$I$7:$I$100,1)+SUMIFS('15g'!$N$7:$N$100,'15g'!$H$7:$H$100,$A238,'15g'!$I$7:$I$100,1)+SUMIFS('15h'!$N$7:$N$100,'15h'!$H$7:$H$100,$A238,'15h'!$I$7:$I$100,1)+SUMIFS('15i'!$N$7:$N$100,'15i'!$H$7:$H$100,$A238,'15i'!$I$7:$I$100,1)+SUMIFS('15j'!$N$7:$N$100,'15j'!$H$7:$H$100,$A238,'15j'!$I$7:$I$100,1)+SUMIFS('15k'!$N$7:$N$100,'15k'!$H$7:$H$100,$A238,'15k'!$I$7:$I$100,1)+SUMIFS('15l'!$N$7:$N$100,'15l'!$H$7:$H$100,$A238,'15l'!$I$7:$I$100,1)+SUMIFS('15m'!$N$7:$N$100,'15m'!$H$7:$H$100,$A238,'15m'!$I$7:$I$100,1)+SUMIFS('15n'!$N$7:$N$100,'15n'!$H$7:$H$100,$A238,'15n'!$I$7:$I$100,1)+SUMIFS('16'!$N$7:$N$100,'16'!$H$7:$H$100,$A238,'16'!$I$7:$I$100,1)+SUMIFS('16a'!$N$7:$N$100,'16a'!$H$7:$H$100,$A238,'16a'!$I$7:$I$100,1)+SUMIFS('17'!$N$7:$N$100,'17'!$H$7:$H$100,$A238,'17'!$I$7:$I$100,1)+SUMIFS('17a'!$N$7:$N$100,'17a'!$H$7:$H$100,$A238,'17a'!$I$7:$I$100,1)+SUMIFS('18'!$N$7:$N$100,'18'!$H$7:$H$100,$A238,'18'!$I$7:$I$100,1)+SUMIFS('18a'!$N$7:$N$100,'18a'!$H$7:$H$100,$A238,'18a'!$I$7:$I$100,1)
+SUMIFS('19'!$N$7:$N$100,'19'!$H$7:$H$100,$A238,'19'!$I$7:$I$100,1)+SUMIFS('20'!$N$7:$N$100,'20'!$H$7:$H$100,$A238,'20'!$I$7:$I$100,1)+SUMIFS('20a'!$N$7:$N$100,'20a'!$H$7:$H$100,$A238,'20a'!$I$7:$I$100,1)+SUMIFS('21'!$N$7:$N$100,'21'!$H$7:$H$100,$A238,'21'!$I$7:$I$100,1)+SUMIFS('22'!$N$7:$N$100,'22'!$H$7:$H$100,$A238,'22'!$I$7:$I$100,1)+SUMIFS('22a'!$N$7:$N$100,'22a'!$H$7:$H$100,$A238,'22a'!$I$7:$I$100,1)+SUMIFS('22b'!$N$7:$N$100,'22b'!$H$7:$H$100,$A238,'22b'!$I$7:$I$100,1)+SUMIFS('23'!$N$7:$N$100,'23'!$H$7:$H$100,$A238,'23'!$I$7:$I$100,1)+SUMIFS('24'!$N$7:$N$100,'24'!$H$7:$H$100,$A238,'24'!$I$7:$I$100,1)+SUMIFS('24a'!$N$7:$N$100,'24a'!$H$7:$H$100,$A238,'24a'!$I$7:$I$100,1)+SUMIFS('24b'!$N$7:$N$100,'24b'!$H$7:$H$100,$A238,'24b'!$I$7:$I$100,1)+SUMIFS('24c'!$N$7:$N$100,'24c'!$H$7:$H$100,$A238,'24c'!$I$7:$I$100,1)+SUMIFS('24d'!$N$7:$N$100,'24d'!$H$7:$H$100,$A238,'24d'!$I$7:$I$100,1)+SUMIFS('24e'!$N$7:$N$100,'24e'!$H$7:$H$100,$A238,'24e'!$I$7:$I$100,1)+SUMIFS('24f'!$N$7:$N$100,'24f'!$H$7:$H$100,$A238,'24f'!$I$7:$I$100,1)+SUMIFS('24g'!$N$7:$N$100,'24g'!$H$7:$H$100,$A238,'24g'!$I$7:$I$100,1)+SUMIFS('24h'!$N$7:$N$100,'24h'!$H$7:$H$100,$A238,'24h'!$I$7:$I$100,1)+SUMIFS('24i'!$N$7:$N$100,'24i'!$H$7:$H$100,$A238,'24i'!$I$7:$I$100,1)+SUMIFS('25'!$N$7:$N$100,'25'!$H$7:$H$100,$A238,'25'!$I$7:$I$100,1)+SUMIFS('26'!$N$7:$N$100,'26'!$H$7:$H$100,$A238,'26'!$I$7:$I$100,1)+SUMIFS('26a'!$N$7:$N$100,'26a'!$H$7:$H$100,$A238,'26a'!$I$7:$I$100,1)+SUMIFS('27'!$N$7:$N$100,'27'!$H$7:$H$100,$A238,'27'!$I$7:$I$100,1)+SUMIFS('27a'!$N$7:$N$100,'27a'!$H$7:$H$100,$A238,'27a'!$I$7:$I$100,1)+SUMIFS('28'!$N$7:$N$100,'28'!$H$7:$H$100,$A238,'28'!$I$7:$I$100,1)+SUMIFS('29'!$N$7:$N$100,'29'!$H$7:$H$100,$A238,'29'!$I$7:$I$100,1)</f>
        <v>0</v>
      </c>
      <c r="D238" s="1315">
        <f>SUMIFS('12'!$N$7:$N$100,'12'!$H$7:$H$100,$A238,'12'!$I$7:$I$100,2)+SUMIFS('13'!$N$7:$N$100,'13'!$H$7:$H$100,$A238,'13'!$I$7:$I$100,2)+SUMIFS('14'!$N$7:$N$100,'14'!$H$7:$H$100,$A238,'14'!$I$7:$I$100,2)+SUMIFS('15'!$N$7:$N$100,'15'!$H$7:$H$100,$A238,'15'!$I$7:$I$100,2)+SUMIFS('15a'!$N$7:$N$100,'15a'!$H$7:$H$100,$A238,'15a'!$I$7:$I$100,2)+SUMIFS('15b'!$N$7:$N$100,'15b'!$H$7:$H$100,$A238,'15b'!$I$7:$I$100,2)+SUMIFS('15c'!$N$7:$N$100,'15c'!$H$7:$H$100,$A238,'15c'!$I$7:$I$100,2)+SUMIFS('15d'!$N$7:$N$100,'15d'!$H$7:$H$100,$A238,'15d'!$I$7:$I$100,2)+SUMIFS('15e'!$N$7:$N$100,'15e'!$H$7:$H$100,$A238,'15e'!$I$7:$I$100,2)+SUMIFS('15f'!$N$7:$N$100,'15f'!$H$7:$H$100,$A238,'15f'!$I$7:$I$100,2)+SUMIFS('15g'!$N$7:$N$100,'15g'!$H$7:$H$100,$A238,'15g'!$I$7:$I$100,2)+SUMIFS('15h'!$N$7:$N$100,'15h'!$H$7:$H$100,$A238,'15h'!$I$7:$I$100,2)+SUMIFS('15i'!$N$7:$N$100,'15i'!$H$7:$H$100,$A238,'15i'!$I$7:$I$100,2)+SUMIFS('15j'!$N$7:$N$100,'15j'!$H$7:$H$100,$A238,'15j'!$I$7:$I$100,2)+SUMIFS('15k'!$N$7:$N$100,'15k'!$H$7:$H$100,$A238,'15k'!$I$7:$I$100,2)+SUMIFS('15l'!$N$7:$N$100,'15l'!$H$7:$H$100,$A238,'15l'!$I$7:$I$100,2)+SUMIFS('15m'!$N$7:$N$100,'15m'!$H$7:$H$100,$A238,'15m'!$I$7:$I$100,2)+SUMIFS('15n'!$N$7:$N$100,'15n'!$H$7:$H$100,$A238,'15n'!$I$7:$I$100,2)+SUMIFS('16'!$N$7:$N$100,'16'!$H$7:$H$100,$A238,'16'!$I$7:$I$100,2)+SUMIFS('16a'!$N$7:$N$100,'16a'!$H$7:$H$100,$A238,'16a'!$I$7:$I$100,2)+SUMIFS('17'!$N$7:$N$100,'17'!$H$7:$H$100,$A238,'17'!$I$7:$I$100,2)+SUMIFS('17a'!$N$7:$N$100,'17a'!$H$7:$H$100,$A238,'17a'!$I$7:$I$100,2)+SUMIFS('18'!$N$7:$N$100,'18'!$H$7:$H$100,$A238,'18'!$I$7:$I$100,2)+SUMIFS('18a'!$N$7:$N$100,'18a'!$H$7:$H$100,$A238,'18a'!$I$7:$I$100,2)
+SUMIFS('19'!$N$7:$N$100,'19'!$H$7:$H$100,$A238,'19'!$I$7:$I$100,2)+SUMIFS('20'!$N$7:$N$100,'20'!$H$7:$H$100,$A238,'20'!$I$7:$I$100,2)+SUMIFS('20a'!$N$7:$N$100,'20a'!$H$7:$H$100,$A238,'20a'!$I$7:$I$100,2)+SUMIFS('21'!$N$7:$N$100,'21'!$H$7:$H$100,$A238,'21'!$I$7:$I$100,2)+SUMIFS('22'!$N$7:$N$100,'22'!$H$7:$H$100,$A238,'22'!$I$7:$I$100,2)+SUMIFS('22a'!$N$7:$N$100,'22a'!$H$7:$H$100,$A238,'22a'!$I$7:$I$100,2)+SUMIFS('22b'!$N$7:$N$100,'22b'!$H$7:$H$100,$A238,'22b'!$I$7:$I$100,2)+SUMIFS('23'!$N$7:$N$100,'23'!$H$7:$H$100,$A238,'23'!$I$7:$I$100,2)+SUMIFS('24'!$N$7:$N$100,'24'!$H$7:$H$100,$A238,'24'!$I$7:$I$100,2)+SUMIFS('24a'!$N$7:$N$100,'24a'!$H$7:$H$100,$A238,'24a'!$I$7:$I$100,2)+SUMIFS('24b'!$N$7:$N$100,'24b'!$H$7:$H$100,$A238,'24b'!$I$7:$I$100,2)+SUMIFS('24c'!$N$7:$N$100,'24c'!$H$7:$H$100,$A238,'24c'!$I$7:$I$100,2)+SUMIFS('24d'!$N$7:$N$100,'24d'!$H$7:$H$100,$A238,'24d'!$I$7:$I$100,2)+SUMIFS('24e'!$N$7:$N$100,'24e'!$H$7:$H$100,$A238,'24e'!$I$7:$I$100,2)+SUMIFS('24f'!$N$7:$N$100,'24f'!$H$7:$H$100,$A238,'24f'!$I$7:$I$100,2)+SUMIFS('24g'!$N$7:$N$100,'24g'!$H$7:$H$100,$A238,'24g'!$I$7:$I$100,2)+SUMIFS('24h'!$N$7:$N$100,'24h'!$H$7:$H$100,$A238,'24h'!$I$7:$I$100,2)+SUMIFS('24i'!$N$7:$N$100,'24i'!$H$7:$H$100,$A238,'24i'!$I$7:$I$100,2)+SUMIFS('25'!$N$7:$N$100,'25'!$H$7:$H$100,$A238,'25'!$I$7:$I$100,2)+SUMIFS('26'!$N$7:$N$100,'26'!$H$7:$H$100,$A238,'26'!$I$7:$I$100,2)+SUMIFS('26a'!$N$7:$N$100,'26a'!$H$7:$H$100,$A238,'26a'!$I$7:$I$100,2)+SUMIFS('27'!$N$7:$N$100,'27'!$H$7:$H$100,$A238,'27'!$I$7:$I$100,2)+SUMIFS('27a'!$N$7:$N$100,'27a'!$H$7:$H$100,$A238,'27a'!$I$7:$I$100,2)+SUMIFS('28'!$N$7:$N$100,'28'!$H$7:$H$100,$A238,'28'!$I$7:$I$100,2)+SUMIFS('29'!$N$7:$N$100,'29'!$H$7:$H$100,$A238,'29'!$I$7:$I$100,2)</f>
        <v>0</v>
      </c>
      <c r="E238" s="1315">
        <f>SUMIFS('12'!$N$7:$N$100,'12'!$H$7:$H$100,$A238,'12'!$I$7:$I$100,"")+SUMIFS('13'!$N$7:$N$100,'13'!$H$7:$H$100,$A238,'13'!$I$7:$I$100,"")+SUMIFS('14'!$N$7:$N$100,'14'!$H$7:$H$100,$A238,'14'!$I$7:$I$100,"")+SUMIFS('15'!$N$7:$N$100,'15'!$H$7:$H$100,$A238,'15'!$I$7:$I$100,"")+SUMIFS('15a'!$N$7:$N$100,'15a'!$H$7:$H$100,$A238,'15a'!$I$7:$I$100,"")+SUMIFS('15b'!$N$7:$N$100,'15b'!$H$7:$H$100,$A238,'15b'!$I$7:$I$100,"")+SUMIFS('15c'!$N$7:$N$100,'15c'!$H$7:$H$100,$A238,'15c'!$I$7:$I$100,"")+SUMIFS('15d'!$N$7:$N$100,'15d'!$H$7:$H$100,$A238,'15d'!$I$7:$I$100,"")+SUMIFS('15e'!$N$7:$N$100,'15e'!$H$7:$H$100,$A238,'15e'!$I$7:$I$100,"")+SUMIFS('15f'!$N$7:$N$100,'15f'!$H$7:$H$100,$A238,'15f'!$I$7:$I$100,"")+SUMIFS('15g'!$N$7:$N$100,'15g'!$H$7:$H$100,$A238,'15g'!$I$7:$I$100,"")+SUMIFS('15h'!$N$7:$N$100,'15h'!$H$7:$H$100,$A238,'15h'!$I$7:$I$100,"")+SUMIFS('15i'!$N$7:$N$100,'15i'!$H$7:$H$100,$A238,'15i'!$I$7:$I$100,"")+SUMIFS('15j'!$N$7:$N$100,'15j'!$H$7:$H$100,$A238,'15j'!$I$7:$I$100,"")+SUMIFS('15k'!$N$7:$N$100,'15k'!$H$7:$H$100,$A238,'15k'!$I$7:$I$100,"")+SUMIFS('15l'!$N$7:$N$100,'15l'!$H$7:$H$100,$A238,'15l'!$I$7:$I$100,"")+SUMIFS('15m'!$N$7:$N$100,'15m'!$H$7:$H$100,$A238,'15m'!$I$7:$I$100,"")+SUMIFS('15n'!$N$7:$N$100,'15n'!$H$7:$H$100,$A238,'15n'!$I$7:$I$100,"")+SUMIFS('16'!$N$7:$N$100,'16'!$H$7:$H$100,$A238,'16'!$I$7:$I$100,"")+SUMIFS('16a'!$N$7:$N$100,'16a'!$H$7:$H$100,$A238,'16a'!$I$7:$I$100,"")+SUMIFS('17'!$N$7:$N$100,'17'!$H$7:$H$100,$A238,'17'!$I$7:$I$100,"")+SUMIFS('17a'!$N$7:$N$100,'17a'!$H$7:$H$100,$A238,'17a'!$I$7:$I$100,"")+SUMIFS('18'!$N$7:$N$100,'18'!$H$7:$H$100,$A238,'18'!$I$7:$I$100,"")+SUMIFS('18a'!$N$7:$N$100,'18a'!$H$7:$H$100,$A238,'18a'!$I$7:$I$100,"")
+SUMIFS('19'!$N$7:$N$100,'19'!$H$7:$H$100,$A238,'19'!$I$7:$I$100,"")+SUMIFS('20'!$N$7:$N$100,'20'!$H$7:$H$100,$A238,'20'!$I$7:$I$100,"")+SUMIFS('20a'!$N$7:$N$100,'20a'!$H$7:$H$100,$A238,'20a'!$I$7:$I$100,"")+SUMIFS('21'!$N$7:$N$100,'21'!$H$7:$H$100,$A238,'21'!$I$7:$I$100,"")+SUMIFS('22'!$N$7:$N$100,'22'!$H$7:$H$100,$A238,'22'!$I$7:$I$100,"")+SUMIFS('22a'!$N$7:$N$100,'22a'!$H$7:$H$100,$A238,'22a'!$I$7:$I$100,"")+SUMIFS('22b'!$N$7:$N$100,'22b'!$H$7:$H$100,$A238,'22b'!$I$7:$I$100,"")+SUMIFS('23'!$N$7:$N$100,'23'!$H$7:$H$100,$A238,'23'!$I$7:$I$100,"")+SUMIFS('24'!$N$7:$N$100,'24'!$H$7:$H$100,$A238,'24'!$I$7:$I$100,"")+SUMIFS('24a'!$N$7:$N$100,'24a'!$H$7:$H$100,$A238,'24a'!$I$7:$I$100,"")+SUMIFS('24b'!$N$7:$N$100,'24b'!$H$7:$H$100,$A238,'24b'!$I$7:$I$100,"")+SUMIFS('24c'!$N$7:$N$100,'24c'!$H$7:$H$100,$A238,'24c'!$I$7:$I$100,"")+SUMIFS('24d'!$N$7:$N$100,'24d'!$H$7:$H$100,$A238,'24d'!$I$7:$I$100,"")+SUMIFS('24e'!$N$7:$N$100,'24e'!$H$7:$H$100,$A238,'24e'!$I$7:$I$100,"")+SUMIFS('24f'!$N$7:$N$100,'24f'!$H$7:$H$100,$A238,'24f'!$I$7:$I$100,"")+SUMIFS('24g'!$N$7:$N$100,'24g'!$H$7:$H$100,$A238,'24g'!$I$7:$I$100,"")+SUMIFS('24h'!$N$7:$N$100,'24h'!$H$7:$H$100,$A238,'24h'!$I$7:$I$100,"")+SUMIFS('24i'!$N$7:$N$100,'24i'!$H$7:$H$100,$A238,'24i'!$I$7:$I$100,"")+SUMIFS('25'!$N$7:$N$100,'25'!$H$7:$H$100,$A238,'25'!$I$7:$I$100,"")+SUMIFS('26'!$N$7:$N$100,'26'!$H$7:$H$100,$A238,'26'!$I$7:$I$100,"")+SUMIFS('26a'!$N$7:$N$100,'26a'!$H$7:$H$100,$A238,'26a'!$I$7:$I$100,"")+SUMIFS('27'!$N$7:$N$100,'27'!$H$7:$H$100,$A238,'27'!$I$7:$I$100,"")+SUMIFS('27a'!$N$7:$N$100,'27a'!$H$7:$H$100,$A238,'27a'!$I$7:$I$100,"")+SUMIFS('28'!$N$7:$N$100,'28'!$H$7:$H$100,$A238,'28'!$I$7:$I$100,"")+SUMIFS('29'!$N$7:$N$100,'29'!$H$7:$H$100,$A238,'29'!$I$7:$I$100,"")</f>
        <v>0</v>
      </c>
      <c r="F238" s="1296">
        <f t="shared" si="20"/>
        <v>0</v>
      </c>
      <c r="G238" s="1295">
        <f>SUMIFS('12'!$J$7:$J$100,'12'!$H$7:$H$100,$A238,'12'!$I$7:$I$100,1)+SUMIFS('13'!$J$7:$J$100,'13'!$H$7:$H$100,$A238,'13'!$I$7:$I$100,1)+SUMIFS('14'!$J$7:$J$100,'14'!$H$7:$H$100,$A238,'14'!$I$7:$I$100,1)+SUMIFS('15'!$J$7:$J$100,'15'!$H$7:$H$100,$A238,'15'!$I$7:$I$100,1)+SUMIFS('15a'!$J$7:$J$100,'15a'!$H$7:$H$100,$A238,'15a'!$I$7:$I$100,1)+SUMIFS('15b'!$J$7:$J$100,'15b'!$H$7:$H$100,$A238,'15b'!$I$7:$I$100,1)+SUMIFS('15c'!$J$7:$J$100,'15c'!$H$7:$H$100,$A238,'15c'!$I$7:$I$100,1)+SUMIFS('15d'!$J$7:$J$100,'15d'!$H$7:$H$100,$A238,'15d'!$I$7:$I$100,1)+SUMIFS('15e'!$J$7:$J$100,'15e'!$H$7:$H$100,$A238,'15e'!$I$7:$I$100,1)+SUMIFS('15f'!$J$7:$J$100,'15f'!$H$7:$H$100,$A238,'15f'!$I$7:$I$100,1)+SUMIFS('15g'!$J$7:$J$100,'15g'!$H$7:$H$100,$A238,'15g'!$I$7:$I$100,1)+SUMIFS('15h'!$J$7:$J$100,'15h'!$H$7:$H$100,$A238,'15h'!$I$7:$I$100,1)+SUMIFS('15i'!$J$7:$J$100,'15i'!$H$7:$H$100,$A238,'15i'!$I$7:$I$100,1)+SUMIFS('15j'!$J$7:$J$100,'15j'!$H$7:$H$100,$A238,'15j'!$I$7:$I$100,1)+SUMIFS('15k'!$J$7:$J$100,'15k'!$H$7:$H$100,$A238,'15k'!$I$7:$I$100,1)+SUMIFS('15l'!$J$7:$J$100,'15l'!$H$7:$H$100,$A238,'15l'!$I$7:$I$100,1)+SUMIFS('15m'!$J$7:$J$100,'15m'!$H$7:$H$100,$A238,'15m'!$I$7:$I$100,1)+SUMIFS('15n'!$J$7:$J$100,'15n'!$H$7:$H$100,$A238,'15n'!$I$7:$I$100,1)+SUMIFS('16'!$J$7:$J$100,'16'!$H$7:$H$100,$A238,'16'!$I$7:$I$100,1)+SUMIFS('16a'!$J$7:$J$100,'16a'!$H$7:$H$100,$A238,'16a'!$I$7:$I$100,1)+SUMIFS('17'!$J$7:$J$100,'17'!$H$7:$H$100,$A238,'17'!$I$7:$I$100,1)+SUMIFS('17a'!$J$7:$J$100,'17a'!$H$7:$H$100,$A238,'17a'!$I$7:$I$100,1)+SUMIFS('18'!$J$7:$J$100,'18'!$H$7:$H$100,$A238,'18'!$I$7:$I$100,1)+SUMIFS('18a'!$J$7:$J$100,'18a'!$H$7:$H$100,$A238,'18a'!$I$7:$I$100,1)
+SUMIFS('19'!$J$7:$J$100,'19'!$H$7:$H$100,$A238,'19'!$I$7:$I$100,1)+SUMIFS('20'!$J$7:$J$100,'20'!$H$7:$H$100,$A238,'20'!$I$7:$I$100,1)+SUMIFS('20a'!$J$7:$J$100,'20a'!$H$7:$H$100,$A238,'20a'!$I$7:$I$100,1)+SUMIFS('21'!$J$7:$J$100,'21'!$H$7:$H$100,$A238,'21'!$I$7:$I$100,1)+SUMIFS('22'!$J$7:$J$100,'22'!$H$7:$H$100,$A238,'22'!$I$7:$I$100,1)+SUMIFS('22a'!$J$7:$J$100,'22a'!$H$7:$H$100,$A238,'22a'!$I$7:$I$100,1)+SUMIFS('22b'!$J$7:$J$100,'22b'!$H$7:$H$100,$A238,'22b'!$I$7:$I$100,1)+SUMIFS('23'!$J$7:$J$100,'23'!$H$7:$H$100,$A238,'23'!$I$7:$I$100,1)+SUMIFS('24'!$J$7:$J$100,'24'!$H$7:$H$100,$A238,'24'!$I$7:$I$100,1)+SUMIFS('24a'!$J$7:$J$100,'24a'!$H$7:$H$100,$A238,'24a'!$I$7:$I$100,1)+SUMIFS('24b'!$J$7:$J$100,'24b'!$H$7:$H$100,$A238,'24b'!$I$7:$I$100,1)+SUMIFS('24c'!$J$7:$J$100,'24c'!$H$7:$H$100,$A238,'24c'!$I$7:$I$100,1)+SUMIFS('24d'!$J$7:$J$100,'24d'!$H$7:$H$100,$A238,'24d'!$I$7:$I$100,1)+SUMIFS('24e'!$J$7:$J$100,'24e'!$H$7:$H$100,$A238,'24e'!$I$7:$I$100,1)+SUMIFS('24f'!$J$7:$J$100,'24f'!$H$7:$H$100,$A238,'24f'!$I$7:$I$100,1)+SUMIFS('24g'!$J$7:$J$100,'24g'!$H$7:$H$100,$A238,'24g'!$I$7:$I$100,1)+SUMIFS('24h'!$J$7:$J$100,'24h'!$H$7:$H$100,$A238,'24h'!$I$7:$I$100,1)+SUMIFS('24i'!$J$7:$J$100,'24i'!$H$7:$H$100,$A238,'24i'!$I$7:$I$100,1)+SUMIFS('25'!$J$7:$J$100,'25'!$H$7:$H$100,$A238,'25'!$I$7:$I$100,1)+SUMIFS('26'!$J$7:$J$100,'26'!$H$7:$H$100,$A238,'26'!$I$7:$I$100,1)+SUMIFS('26a'!$J$7:$J$100,'26a'!$H$7:$H$100,$A238,'26a'!$I$7:$I$100,1)+SUMIFS('27'!$J$7:$J$100,'27'!$H$7:$H$100,$A238,'27'!$I$7:$I$100,1)+SUMIFS('27a'!$J$7:$J$100,'27a'!$H$7:$H$100,$A238,'27a'!$I$7:$I$100,1)+SUMIFS('28'!$J$7:$J$100,'28'!$H$7:$H$100,$A238,'28'!$I$7:$I$100,1)+SUMIFS('29'!$J$7:$J$100,'29'!$H$7:$H$100,$A238,'29'!$I$7:$I$100,1)</f>
        <v>0</v>
      </c>
      <c r="H238" s="1315">
        <f>SUMIFS('12'!$J$7:$J$100,'12'!$H$7:$H$100,$A238,'12'!$I$7:$I$100,2)+SUMIFS('13'!$J$7:$J$100,'13'!$H$7:$H$100,$A238,'13'!$I$7:$I$100,2)+SUMIFS('14'!$J$7:$J$100,'14'!$H$7:$H$100,$A238,'14'!$I$7:$I$100,2)+SUMIFS('15'!$J$7:$J$100,'15'!$H$7:$H$100,$A238,'15'!$I$7:$I$100,2)+SUMIFS('15a'!$J$7:$J$100,'15a'!$H$7:$H$100,$A238,'15a'!$I$7:$I$100,2)+SUMIFS('15b'!$J$7:$J$100,'15b'!$H$7:$H$100,$A238,'15b'!$I$7:$I$100,2)+SUMIFS('15c'!$J$7:$J$100,'15c'!$H$7:$H$100,$A238,'15c'!$I$7:$I$100,2)+SUMIFS('15d'!$J$7:$J$100,'15d'!$H$7:$H$100,$A238,'15d'!$I$7:$I$100,2)+SUMIFS('15e'!$J$7:$J$100,'15e'!$H$7:$H$100,$A238,'15e'!$I$7:$I$100,2)+SUMIFS('15f'!$J$7:$J$100,'15f'!$H$7:$H$100,$A238,'15f'!$I$7:$I$100,2)+SUMIFS('15g'!$J$7:$J$100,'15g'!$H$7:$H$100,$A238,'15g'!$I$7:$I$100,2)+SUMIFS('15h'!$J$7:$J$100,'15h'!$H$7:$H$100,$A238,'15h'!$I$7:$I$100,2)+SUMIFS('15i'!$J$7:$J$100,'15i'!$H$7:$H$100,$A238,'15i'!$I$7:$I$100,2)+SUMIFS('15j'!$J$7:$J$100,'15j'!$H$7:$H$100,$A238,'15j'!$I$7:$I$100,2)+SUMIFS('15k'!$J$7:$J$100,'15k'!$H$7:$H$100,$A238,'15k'!$I$7:$I$100,2)+SUMIFS('15l'!$J$7:$J$100,'15l'!$H$7:$H$100,$A238,'15l'!$I$7:$I$100,2)+SUMIFS('15m'!$J$7:$J$100,'15m'!$H$7:$H$100,$A238,'15m'!$I$7:$I$100,2)+SUMIFS('15n'!$J$7:$J$100,'15n'!$H$7:$H$100,$A238,'15n'!$I$7:$I$100,2)+SUMIFS('16'!$J$7:$J$100,'16'!$H$7:$H$100,$A238,'16'!$I$7:$I$100,2)+SUMIFS('16a'!$J$7:$J$100,'16a'!$H$7:$H$100,$A238,'16a'!$I$7:$I$100,2)+SUMIFS('17'!$J$7:$J$100,'17'!$H$7:$H$100,$A238,'17'!$I$7:$I$100,2)+SUMIFS('17a'!$J$7:$J$100,'17a'!$H$7:$H$100,$A238,'17a'!$I$7:$I$100,2)+SUMIFS('18'!$J$7:$J$100,'18'!$H$7:$H$100,$A238,'18'!$I$7:$I$100,2)+SUMIFS('18a'!$J$7:$J$100,'18a'!$H$7:$H$100,$A238,'18a'!$I$7:$I$100,2)
+SUMIFS('19'!$J$7:$J$100,'19'!$H$7:$H$100,$A238,'19'!$I$7:$I$100,2)+SUMIFS('20'!$J$7:$J$100,'20'!$H$7:$H$100,$A238,'20'!$I$7:$I$100,2)+SUMIFS('20a'!$J$7:$J$100,'20a'!$H$7:$H$100,$A238,'20a'!$I$7:$I$100,2)+SUMIFS('21'!$J$7:$J$100,'21'!$H$7:$H$100,$A238,'21'!$I$7:$I$100,2)+SUMIFS('22'!$J$7:$J$100,'22'!$H$7:$H$100,$A238,'22'!$I$7:$I$100,2)+SUMIFS('22a'!$J$7:$J$100,'22a'!$H$7:$H$100,$A238,'22a'!$I$7:$I$100,2)+SUMIFS('22b'!$J$7:$J$100,'22b'!$H$7:$H$100,$A238,'22b'!$I$7:$I$100,2)+SUMIFS('23'!$J$7:$J$100,'23'!$H$7:$H$100,$A238,'23'!$I$7:$I$100,2)+SUMIFS('24'!$J$7:$J$100,'24'!$H$7:$H$100,$A238,'24'!$I$7:$I$100,2)+SUMIFS('24a'!$J$7:$J$100,'24a'!$H$7:$H$100,$A238,'24a'!$I$7:$I$100,2)+SUMIFS('24b'!$J$7:$J$100,'24b'!$H$7:$H$100,$A238,'24b'!$I$7:$I$100,2)+SUMIFS('24c'!$J$7:$J$100,'24c'!$H$7:$H$100,$A238,'24c'!$I$7:$I$100,2)+SUMIFS('24d'!$J$7:$J$100,'24d'!$H$7:$H$100,$A238,'24d'!$I$7:$I$100,2)+SUMIFS('24e'!$J$7:$J$100,'24e'!$H$7:$H$100,$A238,'24e'!$I$7:$I$100,2)+SUMIFS('24f'!$J$7:$J$100,'24f'!$H$7:$H$100,$A238,'24f'!$I$7:$I$100,2)+SUMIFS('24g'!$J$7:$J$100,'24g'!$H$7:$H$100,$A238,'24g'!$I$7:$I$100,2)+SUMIFS('24h'!$J$7:$J$100,'24h'!$H$7:$H$100,$A238,'24h'!$I$7:$I$100,2)+SUMIFS('24i'!$J$7:$J$100,'24i'!$H$7:$H$100,$A238,'24i'!$I$7:$I$100,2)+SUMIFS('25'!$J$7:$J$100,'25'!$H$7:$H$100,$A238,'25'!$I$7:$I$100,2)+SUMIFS('26'!$J$7:$J$100,'26'!$H$7:$H$100,$A238,'26'!$I$7:$I$100,2)+SUMIFS('26a'!$J$7:$J$100,'26a'!$H$7:$H$100,$A238,'26a'!$I$7:$I$100,2)+SUMIFS('27'!$J$7:$J$100,'27'!$H$7:$H$100,$A238,'27'!$I$7:$I$100,2)+SUMIFS('27a'!$J$7:$J$100,'27a'!$H$7:$H$100,$A238,'27a'!$I$7:$I$100,2)+SUMIFS('28'!$J$7:$J$100,'28'!$H$7:$H$100,$A238,'28'!$I$7:$I$100,2)+SUMIFS('29'!$J$7:$J$100,'29'!$H$7:$H$100,$A238,'29'!$I$7:$I$100,2)</f>
        <v>0</v>
      </c>
      <c r="I238" s="1315">
        <f>SUMIFS('12'!$J$7:$J$100,'12'!$H$7:$H$100,$A238,'12'!$I$7:$I$100,"")+SUMIFS('13'!$J$7:$J$100,'13'!$H$7:$H$100,$A238,'13'!$I$7:$I$100,"")+SUMIFS('14'!$J$7:$J$100,'14'!$H$7:$H$100,$A238,'14'!$I$7:$I$100,"")+SUMIFS('15'!$J$7:$J$100,'15'!$H$7:$H$100,$A238,'15'!$I$7:$I$100,"")+SUMIFS('15a'!$J$7:$J$100,'15a'!$H$7:$H$100,$A238,'15a'!$I$7:$I$100,"")+SUMIFS('15b'!$J$7:$J$100,'15b'!$H$7:$H$100,$A238,'15b'!$I$7:$I$100,"")+SUMIFS('15c'!$J$7:$J$100,'15c'!$H$7:$H$100,$A238,'15c'!$I$7:$I$100,"")+SUMIFS('15d'!$J$7:$J$100,'15d'!$H$7:$H$100,$A238,'15d'!$I$7:$I$100,"")+SUMIFS('15e'!$J$7:$J$100,'15e'!$H$7:$H$100,$A238,'15e'!$I$7:$I$100,"")+SUMIFS('15f'!$J$7:$J$100,'15f'!$H$7:$H$100,$A238,'15f'!$I$7:$I$100,"")+SUMIFS('15g'!$J$7:$J$100,'15g'!$H$7:$H$100,$A238,'15g'!$I$7:$I$100,"")+SUMIFS('15h'!$J$7:$J$100,'15h'!$H$7:$H$100,$A238,'15h'!$I$7:$I$100,"")+SUMIFS('15i'!$J$7:$J$100,'15i'!$H$7:$H$100,$A238,'15i'!$I$7:$I$100,"")+SUMIFS('15j'!$J$7:$J$100,'15j'!$H$7:$H$100,$A238,'15j'!$I$7:$I$100,"")+SUMIFS('15k'!$J$7:$J$100,'15k'!$H$7:$H$100,$A238,'15k'!$I$7:$I$100,"")+SUMIFS('15l'!$J$7:$J$100,'15l'!$H$7:$H$100,$A238,'15l'!$I$7:$I$100,"")+SUMIFS('15m'!$J$7:$J$100,'15m'!$H$7:$H$100,$A238,'15m'!$I$7:$I$100,"")+SUMIFS('15n'!$J$7:$J$100,'15n'!$H$7:$H$100,$A238,'15n'!$I$7:$I$100,"")+SUMIFS('16'!$J$7:$J$100,'16'!$H$7:$H$100,$A238,'16'!$I$7:$I$100,"")+SUMIFS('16a'!$J$7:$J$100,'16a'!$H$7:$H$100,$A238,'16a'!$I$7:$I$100,"")+SUMIFS('17'!$J$7:$J$100,'17'!$H$7:$H$100,$A238,'17'!$I$7:$I$100,"")+SUMIFS('17a'!$J$7:$J$100,'17a'!$H$7:$H$100,$A238,'17a'!$I$7:$I$100,"")+SUMIFS('18'!$J$7:$J$100,'18'!$H$7:$H$100,$A238,'18'!$I$7:$I$100,"")+SUMIFS('18a'!$J$7:$J$100,'18a'!$H$7:$H$100,$A238,'18a'!$I$7:$I$100,"")
+SUMIFS('19'!$J$7:$J$100,'19'!$H$7:$H$100,$A238,'19'!$I$7:$I$100,"")+SUMIFS('20'!$J$7:$J$100,'20'!$H$7:$H$100,$A238,'20'!$I$7:$I$100,"")+SUMIFS('20a'!$J$7:$J$100,'20a'!$H$7:$H$100,$A238,'20a'!$I$7:$I$100,"")+SUMIFS('21'!$J$7:$J$100,'21'!$H$7:$H$100,$A238,'21'!$I$7:$I$100,"")+SUMIFS('22'!$J$7:$J$100,'22'!$H$7:$H$100,$A238,'22'!$I$7:$I$100,"")+SUMIFS('22a'!$J$7:$J$100,'22a'!$H$7:$H$100,$A238,'22a'!$I$7:$I$100,"")+SUMIFS('22b'!$J$7:$J$100,'22b'!$H$7:$H$100,$A238,'22b'!$I$7:$I$100,"")+SUMIFS('23'!$J$7:$J$100,'23'!$H$7:$H$100,$A238,'23'!$I$7:$I$100,"")+SUMIFS('24'!$J$7:$J$100,'24'!$H$7:$H$100,$A238,'24'!$I$7:$I$100,"")+SUMIFS('24a'!$J$7:$J$100,'24a'!$H$7:$H$100,$A238,'24a'!$I$7:$I$100,"")+SUMIFS('24b'!$J$7:$J$100,'24b'!$H$7:$H$100,$A238,'24b'!$I$7:$I$100,"")+SUMIFS('24c'!$J$7:$J$100,'24c'!$H$7:$H$100,$A238,'24c'!$I$7:$I$100,"")+SUMIFS('24d'!$J$7:$J$100,'24d'!$H$7:$H$100,$A238,'24d'!$I$7:$I$100,"")+SUMIFS('24e'!$J$7:$J$100,'24e'!$H$7:$H$100,$A238,'24e'!$I$7:$I$100,"")+SUMIFS('24f'!$J$7:$J$100,'24f'!$H$7:$H$100,$A238,'24f'!$I$7:$I$100,"")+SUMIFS('24g'!$J$7:$J$100,'24g'!$H$7:$H$100,$A238,'24g'!$I$7:$I$100,"")+SUMIFS('24h'!$J$7:$J$100,'24h'!$H$7:$H$100,$A238,'24h'!$I$7:$I$100,"")+SUMIFS('24i'!$J$7:$J$100,'24i'!$H$7:$H$100,$A238,'24i'!$I$7:$I$100,"")+SUMIFS('25'!$J$7:$J$100,'25'!$H$7:$H$100,$A238,'25'!$I$7:$I$100,"")+SUMIFS('26'!$J$7:$J$100,'26'!$H$7:$H$100,$A238,'26'!$I$7:$I$100,"")+SUMIFS('26a'!$J$7:$J$100,'26a'!$H$7:$H$100,$A238,'26a'!$I$7:$I$100,"")+SUMIFS('27'!$J$7:$J$100,'27'!$H$7:$H$100,$A238,'27'!$I$7:$I$100,"")+SUMIFS('27a'!$J$7:$J$100,'27a'!$H$7:$H$100,$A238,'27a'!$I$7:$I$100,"")+SUMIFS('28'!$J$7:$J$100,'28'!$H$7:$H$100,$A238,'28'!$I$7:$I$100,"")+SUMIFS('29'!$J$7:$J$100,'29'!$H$7:$H$100,$A238,'29'!$I$7:$I$100,"")</f>
        <v>0</v>
      </c>
      <c r="J238" s="1296">
        <f t="shared" si="21"/>
        <v>0</v>
      </c>
      <c r="K238"/>
      <c r="L238"/>
      <c r="M238"/>
      <c r="N238"/>
      <c r="O238"/>
      <c r="P238"/>
      <c r="Q238"/>
      <c r="R238"/>
      <c r="S238" s="1307">
        <f t="shared" si="14"/>
        <v>0</v>
      </c>
      <c r="T238"/>
    </row>
    <row r="239" spans="1:20" x14ac:dyDescent="0.2">
      <c r="A239" t="s">
        <v>5089</v>
      </c>
      <c r="B239" t="s">
        <v>5490</v>
      </c>
      <c r="C239" s="1295">
        <f>SUMIFS('12'!$N$7:$N$100,'12'!$H$7:$H$100,$A239,'12'!$I$7:$I$100,1)+SUMIFS('13'!$N$7:$N$100,'13'!$H$7:$H$100,$A239,'13'!$I$7:$I$100,1)+SUMIFS('14'!$N$7:$N$100,'14'!$H$7:$H$100,$A239,'14'!$I$7:$I$100,1)+SUMIFS('15'!$N$7:$N$100,'15'!$H$7:$H$100,$A239,'15'!$I$7:$I$100,1)+SUMIFS('15a'!$N$7:$N$100,'15a'!$H$7:$H$100,$A239,'15a'!$I$7:$I$100,1)+SUMIFS('15b'!$N$7:$N$100,'15b'!$H$7:$H$100,$A239,'15b'!$I$7:$I$100,1)+SUMIFS('15c'!$N$7:$N$100,'15c'!$H$7:$H$100,$A239,'15c'!$I$7:$I$100,1)+SUMIFS('15d'!$N$7:$N$100,'15d'!$H$7:$H$100,$A239,'15d'!$I$7:$I$100,1)+SUMIFS('15e'!$N$7:$N$100,'15e'!$H$7:$H$100,$A239,'15e'!$I$7:$I$100,1)+SUMIFS('15f'!$N$7:$N$100,'15f'!$H$7:$H$100,$A239,'15f'!$I$7:$I$100,1)+SUMIFS('15g'!$N$7:$N$100,'15g'!$H$7:$H$100,$A239,'15g'!$I$7:$I$100,1)+SUMIFS('15h'!$N$7:$N$100,'15h'!$H$7:$H$100,$A239,'15h'!$I$7:$I$100,1)+SUMIFS('15i'!$N$7:$N$100,'15i'!$H$7:$H$100,$A239,'15i'!$I$7:$I$100,1)+SUMIFS('15j'!$N$7:$N$100,'15j'!$H$7:$H$100,$A239,'15j'!$I$7:$I$100,1)+SUMIFS('15k'!$N$7:$N$100,'15k'!$H$7:$H$100,$A239,'15k'!$I$7:$I$100,1)+SUMIFS('15l'!$N$7:$N$100,'15l'!$H$7:$H$100,$A239,'15l'!$I$7:$I$100,1)+SUMIFS('15m'!$N$7:$N$100,'15m'!$H$7:$H$100,$A239,'15m'!$I$7:$I$100,1)+SUMIFS('15n'!$N$7:$N$100,'15n'!$H$7:$H$100,$A239,'15n'!$I$7:$I$100,1)+SUMIFS('16'!$N$7:$N$100,'16'!$H$7:$H$100,$A239,'16'!$I$7:$I$100,1)+SUMIFS('16a'!$N$7:$N$100,'16a'!$H$7:$H$100,$A239,'16a'!$I$7:$I$100,1)+SUMIFS('17'!$N$7:$N$100,'17'!$H$7:$H$100,$A239,'17'!$I$7:$I$100,1)+SUMIFS('17a'!$N$7:$N$100,'17a'!$H$7:$H$100,$A239,'17a'!$I$7:$I$100,1)+SUMIFS('18'!$N$7:$N$100,'18'!$H$7:$H$100,$A239,'18'!$I$7:$I$100,1)+SUMIFS('18a'!$N$7:$N$100,'18a'!$H$7:$H$100,$A239,'18a'!$I$7:$I$100,1)
+SUMIFS('19'!$N$7:$N$100,'19'!$H$7:$H$100,$A239,'19'!$I$7:$I$100,1)+SUMIFS('20'!$N$7:$N$100,'20'!$H$7:$H$100,$A239,'20'!$I$7:$I$100,1)+SUMIFS('20a'!$N$7:$N$100,'20a'!$H$7:$H$100,$A239,'20a'!$I$7:$I$100,1)+SUMIFS('21'!$N$7:$N$100,'21'!$H$7:$H$100,$A239,'21'!$I$7:$I$100,1)+SUMIFS('22'!$N$7:$N$100,'22'!$H$7:$H$100,$A239,'22'!$I$7:$I$100,1)+SUMIFS('22a'!$N$7:$N$100,'22a'!$H$7:$H$100,$A239,'22a'!$I$7:$I$100,1)+SUMIFS('22b'!$N$7:$N$100,'22b'!$H$7:$H$100,$A239,'22b'!$I$7:$I$100,1)+SUMIFS('23'!$N$7:$N$100,'23'!$H$7:$H$100,$A239,'23'!$I$7:$I$100,1)+SUMIFS('24'!$N$7:$N$100,'24'!$H$7:$H$100,$A239,'24'!$I$7:$I$100,1)+SUMIFS('24a'!$N$7:$N$100,'24a'!$H$7:$H$100,$A239,'24a'!$I$7:$I$100,1)+SUMIFS('24b'!$N$7:$N$100,'24b'!$H$7:$H$100,$A239,'24b'!$I$7:$I$100,1)+SUMIFS('24c'!$N$7:$N$100,'24c'!$H$7:$H$100,$A239,'24c'!$I$7:$I$100,1)+SUMIFS('24d'!$N$7:$N$100,'24d'!$H$7:$H$100,$A239,'24d'!$I$7:$I$100,1)+SUMIFS('24e'!$N$7:$N$100,'24e'!$H$7:$H$100,$A239,'24e'!$I$7:$I$100,1)+SUMIFS('24f'!$N$7:$N$100,'24f'!$H$7:$H$100,$A239,'24f'!$I$7:$I$100,1)+SUMIFS('24g'!$N$7:$N$100,'24g'!$H$7:$H$100,$A239,'24g'!$I$7:$I$100,1)+SUMIFS('24h'!$N$7:$N$100,'24h'!$H$7:$H$100,$A239,'24h'!$I$7:$I$100,1)+SUMIFS('24i'!$N$7:$N$100,'24i'!$H$7:$H$100,$A239,'24i'!$I$7:$I$100,1)+SUMIFS('25'!$N$7:$N$100,'25'!$H$7:$H$100,$A239,'25'!$I$7:$I$100,1)+SUMIFS('26'!$N$7:$N$100,'26'!$H$7:$H$100,$A239,'26'!$I$7:$I$100,1)+SUMIFS('26a'!$N$7:$N$100,'26a'!$H$7:$H$100,$A239,'26a'!$I$7:$I$100,1)+SUMIFS('27'!$N$7:$N$100,'27'!$H$7:$H$100,$A239,'27'!$I$7:$I$100,1)+SUMIFS('27a'!$N$7:$N$100,'27a'!$H$7:$H$100,$A239,'27a'!$I$7:$I$100,1)+SUMIFS('28'!$N$7:$N$100,'28'!$H$7:$H$100,$A239,'28'!$I$7:$I$100,1)+SUMIFS('29'!$N$7:$N$100,'29'!$H$7:$H$100,$A239,'29'!$I$7:$I$100,1)</f>
        <v>0</v>
      </c>
      <c r="D239" s="1315">
        <f>SUMIFS('12'!$N$7:$N$100,'12'!$H$7:$H$100,$A239,'12'!$I$7:$I$100,2)+SUMIFS('13'!$N$7:$N$100,'13'!$H$7:$H$100,$A239,'13'!$I$7:$I$100,2)+SUMIFS('14'!$N$7:$N$100,'14'!$H$7:$H$100,$A239,'14'!$I$7:$I$100,2)+SUMIFS('15'!$N$7:$N$100,'15'!$H$7:$H$100,$A239,'15'!$I$7:$I$100,2)+SUMIFS('15a'!$N$7:$N$100,'15a'!$H$7:$H$100,$A239,'15a'!$I$7:$I$100,2)+SUMIFS('15b'!$N$7:$N$100,'15b'!$H$7:$H$100,$A239,'15b'!$I$7:$I$100,2)+SUMIFS('15c'!$N$7:$N$100,'15c'!$H$7:$H$100,$A239,'15c'!$I$7:$I$100,2)+SUMIFS('15d'!$N$7:$N$100,'15d'!$H$7:$H$100,$A239,'15d'!$I$7:$I$100,2)+SUMIFS('15e'!$N$7:$N$100,'15e'!$H$7:$H$100,$A239,'15e'!$I$7:$I$100,2)+SUMIFS('15f'!$N$7:$N$100,'15f'!$H$7:$H$100,$A239,'15f'!$I$7:$I$100,2)+SUMIFS('15g'!$N$7:$N$100,'15g'!$H$7:$H$100,$A239,'15g'!$I$7:$I$100,2)+SUMIFS('15h'!$N$7:$N$100,'15h'!$H$7:$H$100,$A239,'15h'!$I$7:$I$100,2)+SUMIFS('15i'!$N$7:$N$100,'15i'!$H$7:$H$100,$A239,'15i'!$I$7:$I$100,2)+SUMIFS('15j'!$N$7:$N$100,'15j'!$H$7:$H$100,$A239,'15j'!$I$7:$I$100,2)+SUMIFS('15k'!$N$7:$N$100,'15k'!$H$7:$H$100,$A239,'15k'!$I$7:$I$100,2)+SUMIFS('15l'!$N$7:$N$100,'15l'!$H$7:$H$100,$A239,'15l'!$I$7:$I$100,2)+SUMIFS('15m'!$N$7:$N$100,'15m'!$H$7:$H$100,$A239,'15m'!$I$7:$I$100,2)+SUMIFS('15n'!$N$7:$N$100,'15n'!$H$7:$H$100,$A239,'15n'!$I$7:$I$100,2)+SUMIFS('16'!$N$7:$N$100,'16'!$H$7:$H$100,$A239,'16'!$I$7:$I$100,2)+SUMIFS('16a'!$N$7:$N$100,'16a'!$H$7:$H$100,$A239,'16a'!$I$7:$I$100,2)+SUMIFS('17'!$N$7:$N$100,'17'!$H$7:$H$100,$A239,'17'!$I$7:$I$100,2)+SUMIFS('17a'!$N$7:$N$100,'17a'!$H$7:$H$100,$A239,'17a'!$I$7:$I$100,2)+SUMIFS('18'!$N$7:$N$100,'18'!$H$7:$H$100,$A239,'18'!$I$7:$I$100,2)+SUMIFS('18a'!$N$7:$N$100,'18a'!$H$7:$H$100,$A239,'18a'!$I$7:$I$100,2)
+SUMIFS('19'!$N$7:$N$100,'19'!$H$7:$H$100,$A239,'19'!$I$7:$I$100,2)+SUMIFS('20'!$N$7:$N$100,'20'!$H$7:$H$100,$A239,'20'!$I$7:$I$100,2)+SUMIFS('20a'!$N$7:$N$100,'20a'!$H$7:$H$100,$A239,'20a'!$I$7:$I$100,2)+SUMIFS('21'!$N$7:$N$100,'21'!$H$7:$H$100,$A239,'21'!$I$7:$I$100,2)+SUMIFS('22'!$N$7:$N$100,'22'!$H$7:$H$100,$A239,'22'!$I$7:$I$100,2)+SUMIFS('22a'!$N$7:$N$100,'22a'!$H$7:$H$100,$A239,'22a'!$I$7:$I$100,2)+SUMIFS('22b'!$N$7:$N$100,'22b'!$H$7:$H$100,$A239,'22b'!$I$7:$I$100,2)+SUMIFS('23'!$N$7:$N$100,'23'!$H$7:$H$100,$A239,'23'!$I$7:$I$100,2)+SUMIFS('24'!$N$7:$N$100,'24'!$H$7:$H$100,$A239,'24'!$I$7:$I$100,2)+SUMIFS('24a'!$N$7:$N$100,'24a'!$H$7:$H$100,$A239,'24a'!$I$7:$I$100,2)+SUMIFS('24b'!$N$7:$N$100,'24b'!$H$7:$H$100,$A239,'24b'!$I$7:$I$100,2)+SUMIFS('24c'!$N$7:$N$100,'24c'!$H$7:$H$100,$A239,'24c'!$I$7:$I$100,2)+SUMIFS('24d'!$N$7:$N$100,'24d'!$H$7:$H$100,$A239,'24d'!$I$7:$I$100,2)+SUMIFS('24e'!$N$7:$N$100,'24e'!$H$7:$H$100,$A239,'24e'!$I$7:$I$100,2)+SUMIFS('24f'!$N$7:$N$100,'24f'!$H$7:$H$100,$A239,'24f'!$I$7:$I$100,2)+SUMIFS('24g'!$N$7:$N$100,'24g'!$H$7:$H$100,$A239,'24g'!$I$7:$I$100,2)+SUMIFS('24h'!$N$7:$N$100,'24h'!$H$7:$H$100,$A239,'24h'!$I$7:$I$100,2)+SUMIFS('24i'!$N$7:$N$100,'24i'!$H$7:$H$100,$A239,'24i'!$I$7:$I$100,2)+SUMIFS('25'!$N$7:$N$100,'25'!$H$7:$H$100,$A239,'25'!$I$7:$I$100,2)+SUMIFS('26'!$N$7:$N$100,'26'!$H$7:$H$100,$A239,'26'!$I$7:$I$100,2)+SUMIFS('26a'!$N$7:$N$100,'26a'!$H$7:$H$100,$A239,'26a'!$I$7:$I$100,2)+SUMIFS('27'!$N$7:$N$100,'27'!$H$7:$H$100,$A239,'27'!$I$7:$I$100,2)+SUMIFS('27a'!$N$7:$N$100,'27a'!$H$7:$H$100,$A239,'27a'!$I$7:$I$100,2)+SUMIFS('28'!$N$7:$N$100,'28'!$H$7:$H$100,$A239,'28'!$I$7:$I$100,2)+SUMIFS('29'!$N$7:$N$100,'29'!$H$7:$H$100,$A239,'29'!$I$7:$I$100,2)</f>
        <v>0</v>
      </c>
      <c r="E239" s="1315">
        <f>SUMIFS('12'!$N$7:$N$100,'12'!$H$7:$H$100,$A239,'12'!$I$7:$I$100,"")+SUMIFS('13'!$N$7:$N$100,'13'!$H$7:$H$100,$A239,'13'!$I$7:$I$100,"")+SUMIFS('14'!$N$7:$N$100,'14'!$H$7:$H$100,$A239,'14'!$I$7:$I$100,"")+SUMIFS('15'!$N$7:$N$100,'15'!$H$7:$H$100,$A239,'15'!$I$7:$I$100,"")+SUMIFS('15a'!$N$7:$N$100,'15a'!$H$7:$H$100,$A239,'15a'!$I$7:$I$100,"")+SUMIFS('15b'!$N$7:$N$100,'15b'!$H$7:$H$100,$A239,'15b'!$I$7:$I$100,"")+SUMIFS('15c'!$N$7:$N$100,'15c'!$H$7:$H$100,$A239,'15c'!$I$7:$I$100,"")+SUMIFS('15d'!$N$7:$N$100,'15d'!$H$7:$H$100,$A239,'15d'!$I$7:$I$100,"")+SUMIFS('15e'!$N$7:$N$100,'15e'!$H$7:$H$100,$A239,'15e'!$I$7:$I$100,"")+SUMIFS('15f'!$N$7:$N$100,'15f'!$H$7:$H$100,$A239,'15f'!$I$7:$I$100,"")+SUMIFS('15g'!$N$7:$N$100,'15g'!$H$7:$H$100,$A239,'15g'!$I$7:$I$100,"")+SUMIFS('15h'!$N$7:$N$100,'15h'!$H$7:$H$100,$A239,'15h'!$I$7:$I$100,"")+SUMIFS('15i'!$N$7:$N$100,'15i'!$H$7:$H$100,$A239,'15i'!$I$7:$I$100,"")+SUMIFS('15j'!$N$7:$N$100,'15j'!$H$7:$H$100,$A239,'15j'!$I$7:$I$100,"")+SUMIFS('15k'!$N$7:$N$100,'15k'!$H$7:$H$100,$A239,'15k'!$I$7:$I$100,"")+SUMIFS('15l'!$N$7:$N$100,'15l'!$H$7:$H$100,$A239,'15l'!$I$7:$I$100,"")+SUMIFS('15m'!$N$7:$N$100,'15m'!$H$7:$H$100,$A239,'15m'!$I$7:$I$100,"")+SUMIFS('15n'!$N$7:$N$100,'15n'!$H$7:$H$100,$A239,'15n'!$I$7:$I$100,"")+SUMIFS('16'!$N$7:$N$100,'16'!$H$7:$H$100,$A239,'16'!$I$7:$I$100,"")+SUMIFS('16a'!$N$7:$N$100,'16a'!$H$7:$H$100,$A239,'16a'!$I$7:$I$100,"")+SUMIFS('17'!$N$7:$N$100,'17'!$H$7:$H$100,$A239,'17'!$I$7:$I$100,"")+SUMIFS('17a'!$N$7:$N$100,'17a'!$H$7:$H$100,$A239,'17a'!$I$7:$I$100,"")+SUMIFS('18'!$N$7:$N$100,'18'!$H$7:$H$100,$A239,'18'!$I$7:$I$100,"")+SUMIFS('18a'!$N$7:$N$100,'18a'!$H$7:$H$100,$A239,'18a'!$I$7:$I$100,"")
+SUMIFS('19'!$N$7:$N$100,'19'!$H$7:$H$100,$A239,'19'!$I$7:$I$100,"")+SUMIFS('20'!$N$7:$N$100,'20'!$H$7:$H$100,$A239,'20'!$I$7:$I$100,"")+SUMIFS('20a'!$N$7:$N$100,'20a'!$H$7:$H$100,$A239,'20a'!$I$7:$I$100,"")+SUMIFS('21'!$N$7:$N$100,'21'!$H$7:$H$100,$A239,'21'!$I$7:$I$100,"")+SUMIFS('22'!$N$7:$N$100,'22'!$H$7:$H$100,$A239,'22'!$I$7:$I$100,"")+SUMIFS('22a'!$N$7:$N$100,'22a'!$H$7:$H$100,$A239,'22a'!$I$7:$I$100,"")+SUMIFS('22b'!$N$7:$N$100,'22b'!$H$7:$H$100,$A239,'22b'!$I$7:$I$100,"")+SUMIFS('23'!$N$7:$N$100,'23'!$H$7:$H$100,$A239,'23'!$I$7:$I$100,"")+SUMIFS('24'!$N$7:$N$100,'24'!$H$7:$H$100,$A239,'24'!$I$7:$I$100,"")+SUMIFS('24a'!$N$7:$N$100,'24a'!$H$7:$H$100,$A239,'24a'!$I$7:$I$100,"")+SUMIFS('24b'!$N$7:$N$100,'24b'!$H$7:$H$100,$A239,'24b'!$I$7:$I$100,"")+SUMIFS('24c'!$N$7:$N$100,'24c'!$H$7:$H$100,$A239,'24c'!$I$7:$I$100,"")+SUMIFS('24d'!$N$7:$N$100,'24d'!$H$7:$H$100,$A239,'24d'!$I$7:$I$100,"")+SUMIFS('24e'!$N$7:$N$100,'24e'!$H$7:$H$100,$A239,'24e'!$I$7:$I$100,"")+SUMIFS('24f'!$N$7:$N$100,'24f'!$H$7:$H$100,$A239,'24f'!$I$7:$I$100,"")+SUMIFS('24g'!$N$7:$N$100,'24g'!$H$7:$H$100,$A239,'24g'!$I$7:$I$100,"")+SUMIFS('24h'!$N$7:$N$100,'24h'!$H$7:$H$100,$A239,'24h'!$I$7:$I$100,"")+SUMIFS('24i'!$N$7:$N$100,'24i'!$H$7:$H$100,$A239,'24i'!$I$7:$I$100,"")+SUMIFS('25'!$N$7:$N$100,'25'!$H$7:$H$100,$A239,'25'!$I$7:$I$100,"")+SUMIFS('26'!$N$7:$N$100,'26'!$H$7:$H$100,$A239,'26'!$I$7:$I$100,"")+SUMIFS('26a'!$N$7:$N$100,'26a'!$H$7:$H$100,$A239,'26a'!$I$7:$I$100,"")+SUMIFS('27'!$N$7:$N$100,'27'!$H$7:$H$100,$A239,'27'!$I$7:$I$100,"")+SUMIFS('27a'!$N$7:$N$100,'27a'!$H$7:$H$100,$A239,'27a'!$I$7:$I$100,"")+SUMIFS('28'!$N$7:$N$100,'28'!$H$7:$H$100,$A239,'28'!$I$7:$I$100,"")+SUMIFS('29'!$N$7:$N$100,'29'!$H$7:$H$100,$A239,'29'!$I$7:$I$100,"")</f>
        <v>0</v>
      </c>
      <c r="F239" s="1296">
        <f t="shared" si="20"/>
        <v>0</v>
      </c>
      <c r="G239" s="1295">
        <f>SUMIFS('12'!$J$7:$J$100,'12'!$H$7:$H$100,$A239,'12'!$I$7:$I$100,1)+SUMIFS('13'!$J$7:$J$100,'13'!$H$7:$H$100,$A239,'13'!$I$7:$I$100,1)+SUMIFS('14'!$J$7:$J$100,'14'!$H$7:$H$100,$A239,'14'!$I$7:$I$100,1)+SUMIFS('15'!$J$7:$J$100,'15'!$H$7:$H$100,$A239,'15'!$I$7:$I$100,1)+SUMIFS('15a'!$J$7:$J$100,'15a'!$H$7:$H$100,$A239,'15a'!$I$7:$I$100,1)+SUMIFS('15b'!$J$7:$J$100,'15b'!$H$7:$H$100,$A239,'15b'!$I$7:$I$100,1)+SUMIFS('15c'!$J$7:$J$100,'15c'!$H$7:$H$100,$A239,'15c'!$I$7:$I$100,1)+SUMIFS('15d'!$J$7:$J$100,'15d'!$H$7:$H$100,$A239,'15d'!$I$7:$I$100,1)+SUMIFS('15e'!$J$7:$J$100,'15e'!$H$7:$H$100,$A239,'15e'!$I$7:$I$100,1)+SUMIFS('15f'!$J$7:$J$100,'15f'!$H$7:$H$100,$A239,'15f'!$I$7:$I$100,1)+SUMIFS('15g'!$J$7:$J$100,'15g'!$H$7:$H$100,$A239,'15g'!$I$7:$I$100,1)+SUMIFS('15h'!$J$7:$J$100,'15h'!$H$7:$H$100,$A239,'15h'!$I$7:$I$100,1)+SUMIFS('15i'!$J$7:$J$100,'15i'!$H$7:$H$100,$A239,'15i'!$I$7:$I$100,1)+SUMIFS('15j'!$J$7:$J$100,'15j'!$H$7:$H$100,$A239,'15j'!$I$7:$I$100,1)+SUMIFS('15k'!$J$7:$J$100,'15k'!$H$7:$H$100,$A239,'15k'!$I$7:$I$100,1)+SUMIFS('15l'!$J$7:$J$100,'15l'!$H$7:$H$100,$A239,'15l'!$I$7:$I$100,1)+SUMIFS('15m'!$J$7:$J$100,'15m'!$H$7:$H$100,$A239,'15m'!$I$7:$I$100,1)+SUMIFS('15n'!$J$7:$J$100,'15n'!$H$7:$H$100,$A239,'15n'!$I$7:$I$100,1)+SUMIFS('16'!$J$7:$J$100,'16'!$H$7:$H$100,$A239,'16'!$I$7:$I$100,1)+SUMIFS('16a'!$J$7:$J$100,'16a'!$H$7:$H$100,$A239,'16a'!$I$7:$I$100,1)+SUMIFS('17'!$J$7:$J$100,'17'!$H$7:$H$100,$A239,'17'!$I$7:$I$100,1)+SUMIFS('17a'!$J$7:$J$100,'17a'!$H$7:$H$100,$A239,'17a'!$I$7:$I$100,1)+SUMIFS('18'!$J$7:$J$100,'18'!$H$7:$H$100,$A239,'18'!$I$7:$I$100,1)+SUMIFS('18a'!$J$7:$J$100,'18a'!$H$7:$H$100,$A239,'18a'!$I$7:$I$100,1)
+SUMIFS('19'!$J$7:$J$100,'19'!$H$7:$H$100,$A239,'19'!$I$7:$I$100,1)+SUMIFS('20'!$J$7:$J$100,'20'!$H$7:$H$100,$A239,'20'!$I$7:$I$100,1)+SUMIFS('20a'!$J$7:$J$100,'20a'!$H$7:$H$100,$A239,'20a'!$I$7:$I$100,1)+SUMIFS('21'!$J$7:$J$100,'21'!$H$7:$H$100,$A239,'21'!$I$7:$I$100,1)+SUMIFS('22'!$J$7:$J$100,'22'!$H$7:$H$100,$A239,'22'!$I$7:$I$100,1)+SUMIFS('22a'!$J$7:$J$100,'22a'!$H$7:$H$100,$A239,'22a'!$I$7:$I$100,1)+SUMIFS('22b'!$J$7:$J$100,'22b'!$H$7:$H$100,$A239,'22b'!$I$7:$I$100,1)+SUMIFS('23'!$J$7:$J$100,'23'!$H$7:$H$100,$A239,'23'!$I$7:$I$100,1)+SUMIFS('24'!$J$7:$J$100,'24'!$H$7:$H$100,$A239,'24'!$I$7:$I$100,1)+SUMIFS('24a'!$J$7:$J$100,'24a'!$H$7:$H$100,$A239,'24a'!$I$7:$I$100,1)+SUMIFS('24b'!$J$7:$J$100,'24b'!$H$7:$H$100,$A239,'24b'!$I$7:$I$100,1)+SUMIFS('24c'!$J$7:$J$100,'24c'!$H$7:$H$100,$A239,'24c'!$I$7:$I$100,1)+SUMIFS('24d'!$J$7:$J$100,'24d'!$H$7:$H$100,$A239,'24d'!$I$7:$I$100,1)+SUMIFS('24e'!$J$7:$J$100,'24e'!$H$7:$H$100,$A239,'24e'!$I$7:$I$100,1)+SUMIFS('24f'!$J$7:$J$100,'24f'!$H$7:$H$100,$A239,'24f'!$I$7:$I$100,1)+SUMIFS('24g'!$J$7:$J$100,'24g'!$H$7:$H$100,$A239,'24g'!$I$7:$I$100,1)+SUMIFS('24h'!$J$7:$J$100,'24h'!$H$7:$H$100,$A239,'24h'!$I$7:$I$100,1)+SUMIFS('24i'!$J$7:$J$100,'24i'!$H$7:$H$100,$A239,'24i'!$I$7:$I$100,1)+SUMIFS('25'!$J$7:$J$100,'25'!$H$7:$H$100,$A239,'25'!$I$7:$I$100,1)+SUMIFS('26'!$J$7:$J$100,'26'!$H$7:$H$100,$A239,'26'!$I$7:$I$100,1)+SUMIFS('26a'!$J$7:$J$100,'26a'!$H$7:$H$100,$A239,'26a'!$I$7:$I$100,1)+SUMIFS('27'!$J$7:$J$100,'27'!$H$7:$H$100,$A239,'27'!$I$7:$I$100,1)+SUMIFS('27a'!$J$7:$J$100,'27a'!$H$7:$H$100,$A239,'27a'!$I$7:$I$100,1)+SUMIFS('28'!$J$7:$J$100,'28'!$H$7:$H$100,$A239,'28'!$I$7:$I$100,1)+SUMIFS('29'!$J$7:$J$100,'29'!$H$7:$H$100,$A239,'29'!$I$7:$I$100,1)</f>
        <v>0</v>
      </c>
      <c r="H239" s="1315">
        <f>SUMIFS('12'!$J$7:$J$100,'12'!$H$7:$H$100,$A239,'12'!$I$7:$I$100,2)+SUMIFS('13'!$J$7:$J$100,'13'!$H$7:$H$100,$A239,'13'!$I$7:$I$100,2)+SUMIFS('14'!$J$7:$J$100,'14'!$H$7:$H$100,$A239,'14'!$I$7:$I$100,2)+SUMIFS('15'!$J$7:$J$100,'15'!$H$7:$H$100,$A239,'15'!$I$7:$I$100,2)+SUMIFS('15a'!$J$7:$J$100,'15a'!$H$7:$H$100,$A239,'15a'!$I$7:$I$100,2)+SUMIFS('15b'!$J$7:$J$100,'15b'!$H$7:$H$100,$A239,'15b'!$I$7:$I$100,2)+SUMIFS('15c'!$J$7:$J$100,'15c'!$H$7:$H$100,$A239,'15c'!$I$7:$I$100,2)+SUMIFS('15d'!$J$7:$J$100,'15d'!$H$7:$H$100,$A239,'15d'!$I$7:$I$100,2)+SUMIFS('15e'!$J$7:$J$100,'15e'!$H$7:$H$100,$A239,'15e'!$I$7:$I$100,2)+SUMIFS('15f'!$J$7:$J$100,'15f'!$H$7:$H$100,$A239,'15f'!$I$7:$I$100,2)+SUMIFS('15g'!$J$7:$J$100,'15g'!$H$7:$H$100,$A239,'15g'!$I$7:$I$100,2)+SUMIFS('15h'!$J$7:$J$100,'15h'!$H$7:$H$100,$A239,'15h'!$I$7:$I$100,2)+SUMIFS('15i'!$J$7:$J$100,'15i'!$H$7:$H$100,$A239,'15i'!$I$7:$I$100,2)+SUMIFS('15j'!$J$7:$J$100,'15j'!$H$7:$H$100,$A239,'15j'!$I$7:$I$100,2)+SUMIFS('15k'!$J$7:$J$100,'15k'!$H$7:$H$100,$A239,'15k'!$I$7:$I$100,2)+SUMIFS('15l'!$J$7:$J$100,'15l'!$H$7:$H$100,$A239,'15l'!$I$7:$I$100,2)+SUMIFS('15m'!$J$7:$J$100,'15m'!$H$7:$H$100,$A239,'15m'!$I$7:$I$100,2)+SUMIFS('15n'!$J$7:$J$100,'15n'!$H$7:$H$100,$A239,'15n'!$I$7:$I$100,2)+SUMIFS('16'!$J$7:$J$100,'16'!$H$7:$H$100,$A239,'16'!$I$7:$I$100,2)+SUMIFS('16a'!$J$7:$J$100,'16a'!$H$7:$H$100,$A239,'16a'!$I$7:$I$100,2)+SUMIFS('17'!$J$7:$J$100,'17'!$H$7:$H$100,$A239,'17'!$I$7:$I$100,2)+SUMIFS('17a'!$J$7:$J$100,'17a'!$H$7:$H$100,$A239,'17a'!$I$7:$I$100,2)+SUMIFS('18'!$J$7:$J$100,'18'!$H$7:$H$100,$A239,'18'!$I$7:$I$100,2)+SUMIFS('18a'!$J$7:$J$100,'18a'!$H$7:$H$100,$A239,'18a'!$I$7:$I$100,2)
+SUMIFS('19'!$J$7:$J$100,'19'!$H$7:$H$100,$A239,'19'!$I$7:$I$100,2)+SUMIFS('20'!$J$7:$J$100,'20'!$H$7:$H$100,$A239,'20'!$I$7:$I$100,2)+SUMIFS('20a'!$J$7:$J$100,'20a'!$H$7:$H$100,$A239,'20a'!$I$7:$I$100,2)+SUMIFS('21'!$J$7:$J$100,'21'!$H$7:$H$100,$A239,'21'!$I$7:$I$100,2)+SUMIFS('22'!$J$7:$J$100,'22'!$H$7:$H$100,$A239,'22'!$I$7:$I$100,2)+SUMIFS('22a'!$J$7:$J$100,'22a'!$H$7:$H$100,$A239,'22a'!$I$7:$I$100,2)+SUMIFS('22b'!$J$7:$J$100,'22b'!$H$7:$H$100,$A239,'22b'!$I$7:$I$100,2)+SUMIFS('23'!$J$7:$J$100,'23'!$H$7:$H$100,$A239,'23'!$I$7:$I$100,2)+SUMIFS('24'!$J$7:$J$100,'24'!$H$7:$H$100,$A239,'24'!$I$7:$I$100,2)+SUMIFS('24a'!$J$7:$J$100,'24a'!$H$7:$H$100,$A239,'24a'!$I$7:$I$100,2)+SUMIFS('24b'!$J$7:$J$100,'24b'!$H$7:$H$100,$A239,'24b'!$I$7:$I$100,2)+SUMIFS('24c'!$J$7:$J$100,'24c'!$H$7:$H$100,$A239,'24c'!$I$7:$I$100,2)+SUMIFS('24d'!$J$7:$J$100,'24d'!$H$7:$H$100,$A239,'24d'!$I$7:$I$100,2)+SUMIFS('24e'!$J$7:$J$100,'24e'!$H$7:$H$100,$A239,'24e'!$I$7:$I$100,2)+SUMIFS('24f'!$J$7:$J$100,'24f'!$H$7:$H$100,$A239,'24f'!$I$7:$I$100,2)+SUMIFS('24g'!$J$7:$J$100,'24g'!$H$7:$H$100,$A239,'24g'!$I$7:$I$100,2)+SUMIFS('24h'!$J$7:$J$100,'24h'!$H$7:$H$100,$A239,'24h'!$I$7:$I$100,2)+SUMIFS('24i'!$J$7:$J$100,'24i'!$H$7:$H$100,$A239,'24i'!$I$7:$I$100,2)+SUMIFS('25'!$J$7:$J$100,'25'!$H$7:$H$100,$A239,'25'!$I$7:$I$100,2)+SUMIFS('26'!$J$7:$J$100,'26'!$H$7:$H$100,$A239,'26'!$I$7:$I$100,2)+SUMIFS('26a'!$J$7:$J$100,'26a'!$H$7:$H$100,$A239,'26a'!$I$7:$I$100,2)+SUMIFS('27'!$J$7:$J$100,'27'!$H$7:$H$100,$A239,'27'!$I$7:$I$100,2)+SUMIFS('27a'!$J$7:$J$100,'27a'!$H$7:$H$100,$A239,'27a'!$I$7:$I$100,2)+SUMIFS('28'!$J$7:$J$100,'28'!$H$7:$H$100,$A239,'28'!$I$7:$I$100,2)+SUMIFS('29'!$J$7:$J$100,'29'!$H$7:$H$100,$A239,'29'!$I$7:$I$100,2)</f>
        <v>0</v>
      </c>
      <c r="I239" s="1315">
        <f>SUMIFS('12'!$J$7:$J$100,'12'!$H$7:$H$100,$A239,'12'!$I$7:$I$100,"")+SUMIFS('13'!$J$7:$J$100,'13'!$H$7:$H$100,$A239,'13'!$I$7:$I$100,"")+SUMIFS('14'!$J$7:$J$100,'14'!$H$7:$H$100,$A239,'14'!$I$7:$I$100,"")+SUMIFS('15'!$J$7:$J$100,'15'!$H$7:$H$100,$A239,'15'!$I$7:$I$100,"")+SUMIFS('15a'!$J$7:$J$100,'15a'!$H$7:$H$100,$A239,'15a'!$I$7:$I$100,"")+SUMIFS('15b'!$J$7:$J$100,'15b'!$H$7:$H$100,$A239,'15b'!$I$7:$I$100,"")+SUMIFS('15c'!$J$7:$J$100,'15c'!$H$7:$H$100,$A239,'15c'!$I$7:$I$100,"")+SUMIFS('15d'!$J$7:$J$100,'15d'!$H$7:$H$100,$A239,'15d'!$I$7:$I$100,"")+SUMIFS('15e'!$J$7:$J$100,'15e'!$H$7:$H$100,$A239,'15e'!$I$7:$I$100,"")+SUMIFS('15f'!$J$7:$J$100,'15f'!$H$7:$H$100,$A239,'15f'!$I$7:$I$100,"")+SUMIFS('15g'!$J$7:$J$100,'15g'!$H$7:$H$100,$A239,'15g'!$I$7:$I$100,"")+SUMIFS('15h'!$J$7:$J$100,'15h'!$H$7:$H$100,$A239,'15h'!$I$7:$I$100,"")+SUMIFS('15i'!$J$7:$J$100,'15i'!$H$7:$H$100,$A239,'15i'!$I$7:$I$100,"")+SUMIFS('15j'!$J$7:$J$100,'15j'!$H$7:$H$100,$A239,'15j'!$I$7:$I$100,"")+SUMIFS('15k'!$J$7:$J$100,'15k'!$H$7:$H$100,$A239,'15k'!$I$7:$I$100,"")+SUMIFS('15l'!$J$7:$J$100,'15l'!$H$7:$H$100,$A239,'15l'!$I$7:$I$100,"")+SUMIFS('15m'!$J$7:$J$100,'15m'!$H$7:$H$100,$A239,'15m'!$I$7:$I$100,"")+SUMIFS('15n'!$J$7:$J$100,'15n'!$H$7:$H$100,$A239,'15n'!$I$7:$I$100,"")+SUMIFS('16'!$J$7:$J$100,'16'!$H$7:$H$100,$A239,'16'!$I$7:$I$100,"")+SUMIFS('16a'!$J$7:$J$100,'16a'!$H$7:$H$100,$A239,'16a'!$I$7:$I$100,"")+SUMIFS('17'!$J$7:$J$100,'17'!$H$7:$H$100,$A239,'17'!$I$7:$I$100,"")+SUMIFS('17a'!$J$7:$J$100,'17a'!$H$7:$H$100,$A239,'17a'!$I$7:$I$100,"")+SUMIFS('18'!$J$7:$J$100,'18'!$H$7:$H$100,$A239,'18'!$I$7:$I$100,"")+SUMIFS('18a'!$J$7:$J$100,'18a'!$H$7:$H$100,$A239,'18a'!$I$7:$I$100,"")
+SUMIFS('19'!$J$7:$J$100,'19'!$H$7:$H$100,$A239,'19'!$I$7:$I$100,"")+SUMIFS('20'!$J$7:$J$100,'20'!$H$7:$H$100,$A239,'20'!$I$7:$I$100,"")+SUMIFS('20a'!$J$7:$J$100,'20a'!$H$7:$H$100,$A239,'20a'!$I$7:$I$100,"")+SUMIFS('21'!$J$7:$J$100,'21'!$H$7:$H$100,$A239,'21'!$I$7:$I$100,"")+SUMIFS('22'!$J$7:$J$100,'22'!$H$7:$H$100,$A239,'22'!$I$7:$I$100,"")+SUMIFS('22a'!$J$7:$J$100,'22a'!$H$7:$H$100,$A239,'22a'!$I$7:$I$100,"")+SUMIFS('22b'!$J$7:$J$100,'22b'!$H$7:$H$100,$A239,'22b'!$I$7:$I$100,"")+SUMIFS('23'!$J$7:$J$100,'23'!$H$7:$H$100,$A239,'23'!$I$7:$I$100,"")+SUMIFS('24'!$J$7:$J$100,'24'!$H$7:$H$100,$A239,'24'!$I$7:$I$100,"")+SUMIFS('24a'!$J$7:$J$100,'24a'!$H$7:$H$100,$A239,'24a'!$I$7:$I$100,"")+SUMIFS('24b'!$J$7:$J$100,'24b'!$H$7:$H$100,$A239,'24b'!$I$7:$I$100,"")+SUMIFS('24c'!$J$7:$J$100,'24c'!$H$7:$H$100,$A239,'24c'!$I$7:$I$100,"")+SUMIFS('24d'!$J$7:$J$100,'24d'!$H$7:$H$100,$A239,'24d'!$I$7:$I$100,"")+SUMIFS('24e'!$J$7:$J$100,'24e'!$H$7:$H$100,$A239,'24e'!$I$7:$I$100,"")+SUMIFS('24f'!$J$7:$J$100,'24f'!$H$7:$H$100,$A239,'24f'!$I$7:$I$100,"")+SUMIFS('24g'!$J$7:$J$100,'24g'!$H$7:$H$100,$A239,'24g'!$I$7:$I$100,"")+SUMIFS('24h'!$J$7:$J$100,'24h'!$H$7:$H$100,$A239,'24h'!$I$7:$I$100,"")+SUMIFS('24i'!$J$7:$J$100,'24i'!$H$7:$H$100,$A239,'24i'!$I$7:$I$100,"")+SUMIFS('25'!$J$7:$J$100,'25'!$H$7:$H$100,$A239,'25'!$I$7:$I$100,"")+SUMIFS('26'!$J$7:$J$100,'26'!$H$7:$H$100,$A239,'26'!$I$7:$I$100,"")+SUMIFS('26a'!$J$7:$J$100,'26a'!$H$7:$H$100,$A239,'26a'!$I$7:$I$100,"")+SUMIFS('27'!$J$7:$J$100,'27'!$H$7:$H$100,$A239,'27'!$I$7:$I$100,"")+SUMIFS('27a'!$J$7:$J$100,'27a'!$H$7:$H$100,$A239,'27a'!$I$7:$I$100,"")+SUMIFS('28'!$J$7:$J$100,'28'!$H$7:$H$100,$A239,'28'!$I$7:$I$100,"")+SUMIFS('29'!$J$7:$J$100,'29'!$H$7:$H$100,$A239,'29'!$I$7:$I$100,"")</f>
        <v>0</v>
      </c>
      <c r="J239" s="1296">
        <f t="shared" si="21"/>
        <v>0</v>
      </c>
      <c r="K239"/>
      <c r="L239"/>
      <c r="M239"/>
      <c r="N239"/>
      <c r="O239"/>
      <c r="P239"/>
      <c r="Q239"/>
      <c r="R239"/>
      <c r="S239" s="1307">
        <f t="shared" si="14"/>
        <v>0</v>
      </c>
      <c r="T239"/>
    </row>
    <row r="240" spans="1:20" x14ac:dyDescent="0.2">
      <c r="A240" t="s">
        <v>5161</v>
      </c>
      <c r="B240" t="s">
        <v>5491</v>
      </c>
      <c r="C240" s="1295">
        <f>SUMIFS('12'!$N$7:$N$100,'12'!$H$7:$H$100,$A240,'12'!$I$7:$I$100,1)+SUMIFS('13'!$N$7:$N$100,'13'!$H$7:$H$100,$A240,'13'!$I$7:$I$100,1)+SUMIFS('14'!$N$7:$N$100,'14'!$H$7:$H$100,$A240,'14'!$I$7:$I$100,1)+SUMIFS('15'!$N$7:$N$100,'15'!$H$7:$H$100,$A240,'15'!$I$7:$I$100,1)+SUMIFS('15a'!$N$7:$N$100,'15a'!$H$7:$H$100,$A240,'15a'!$I$7:$I$100,1)+SUMIFS('15b'!$N$7:$N$100,'15b'!$H$7:$H$100,$A240,'15b'!$I$7:$I$100,1)+SUMIFS('15c'!$N$7:$N$100,'15c'!$H$7:$H$100,$A240,'15c'!$I$7:$I$100,1)+SUMIFS('15d'!$N$7:$N$100,'15d'!$H$7:$H$100,$A240,'15d'!$I$7:$I$100,1)+SUMIFS('15e'!$N$7:$N$100,'15e'!$H$7:$H$100,$A240,'15e'!$I$7:$I$100,1)+SUMIFS('15f'!$N$7:$N$100,'15f'!$H$7:$H$100,$A240,'15f'!$I$7:$I$100,1)+SUMIFS('15g'!$N$7:$N$100,'15g'!$H$7:$H$100,$A240,'15g'!$I$7:$I$100,1)+SUMIFS('15h'!$N$7:$N$100,'15h'!$H$7:$H$100,$A240,'15h'!$I$7:$I$100,1)+SUMIFS('15i'!$N$7:$N$100,'15i'!$H$7:$H$100,$A240,'15i'!$I$7:$I$100,1)+SUMIFS('15j'!$N$7:$N$100,'15j'!$H$7:$H$100,$A240,'15j'!$I$7:$I$100,1)+SUMIFS('15k'!$N$7:$N$100,'15k'!$H$7:$H$100,$A240,'15k'!$I$7:$I$100,1)+SUMIFS('15l'!$N$7:$N$100,'15l'!$H$7:$H$100,$A240,'15l'!$I$7:$I$100,1)+SUMIFS('15m'!$N$7:$N$100,'15m'!$H$7:$H$100,$A240,'15m'!$I$7:$I$100,1)+SUMIFS('15n'!$N$7:$N$100,'15n'!$H$7:$H$100,$A240,'15n'!$I$7:$I$100,1)+SUMIFS('16'!$N$7:$N$100,'16'!$H$7:$H$100,$A240,'16'!$I$7:$I$100,1)+SUMIFS('16a'!$N$7:$N$100,'16a'!$H$7:$H$100,$A240,'16a'!$I$7:$I$100,1)+SUMIFS('17'!$N$7:$N$100,'17'!$H$7:$H$100,$A240,'17'!$I$7:$I$100,1)+SUMIFS('17a'!$N$7:$N$100,'17a'!$H$7:$H$100,$A240,'17a'!$I$7:$I$100,1)+SUMIFS('18'!$N$7:$N$100,'18'!$H$7:$H$100,$A240,'18'!$I$7:$I$100,1)+SUMIFS('18a'!$N$7:$N$100,'18a'!$H$7:$H$100,$A240,'18a'!$I$7:$I$100,1)
+SUMIFS('19'!$N$7:$N$100,'19'!$H$7:$H$100,$A240,'19'!$I$7:$I$100,1)+SUMIFS('20'!$N$7:$N$100,'20'!$H$7:$H$100,$A240,'20'!$I$7:$I$100,1)+SUMIFS('20a'!$N$7:$N$100,'20a'!$H$7:$H$100,$A240,'20a'!$I$7:$I$100,1)+SUMIFS('21'!$N$7:$N$100,'21'!$H$7:$H$100,$A240,'21'!$I$7:$I$100,1)+SUMIFS('22'!$N$7:$N$100,'22'!$H$7:$H$100,$A240,'22'!$I$7:$I$100,1)+SUMIFS('22a'!$N$7:$N$100,'22a'!$H$7:$H$100,$A240,'22a'!$I$7:$I$100,1)+SUMIFS('22b'!$N$7:$N$100,'22b'!$H$7:$H$100,$A240,'22b'!$I$7:$I$100,1)+SUMIFS('23'!$N$7:$N$100,'23'!$H$7:$H$100,$A240,'23'!$I$7:$I$100,1)+SUMIFS('24'!$N$7:$N$100,'24'!$H$7:$H$100,$A240,'24'!$I$7:$I$100,1)+SUMIFS('24a'!$N$7:$N$100,'24a'!$H$7:$H$100,$A240,'24a'!$I$7:$I$100,1)+SUMIFS('24b'!$N$7:$N$100,'24b'!$H$7:$H$100,$A240,'24b'!$I$7:$I$100,1)+SUMIFS('24c'!$N$7:$N$100,'24c'!$H$7:$H$100,$A240,'24c'!$I$7:$I$100,1)+SUMIFS('24d'!$N$7:$N$100,'24d'!$H$7:$H$100,$A240,'24d'!$I$7:$I$100,1)+SUMIFS('24e'!$N$7:$N$100,'24e'!$H$7:$H$100,$A240,'24e'!$I$7:$I$100,1)+SUMIFS('24f'!$N$7:$N$100,'24f'!$H$7:$H$100,$A240,'24f'!$I$7:$I$100,1)+SUMIFS('24g'!$N$7:$N$100,'24g'!$H$7:$H$100,$A240,'24g'!$I$7:$I$100,1)+SUMIFS('24h'!$N$7:$N$100,'24h'!$H$7:$H$100,$A240,'24h'!$I$7:$I$100,1)+SUMIFS('24i'!$N$7:$N$100,'24i'!$H$7:$H$100,$A240,'24i'!$I$7:$I$100,1)+SUMIFS('25'!$N$7:$N$100,'25'!$H$7:$H$100,$A240,'25'!$I$7:$I$100,1)+SUMIFS('26'!$N$7:$N$100,'26'!$H$7:$H$100,$A240,'26'!$I$7:$I$100,1)+SUMIFS('26a'!$N$7:$N$100,'26a'!$H$7:$H$100,$A240,'26a'!$I$7:$I$100,1)+SUMIFS('27'!$N$7:$N$100,'27'!$H$7:$H$100,$A240,'27'!$I$7:$I$100,1)+SUMIFS('27a'!$N$7:$N$100,'27a'!$H$7:$H$100,$A240,'27a'!$I$7:$I$100,1)+SUMIFS('28'!$N$7:$N$100,'28'!$H$7:$H$100,$A240,'28'!$I$7:$I$100,1)+SUMIFS('29'!$N$7:$N$100,'29'!$H$7:$H$100,$A240,'29'!$I$7:$I$100,1)</f>
        <v>3080</v>
      </c>
      <c r="D240" s="1315">
        <f>SUMIFS('12'!$N$7:$N$100,'12'!$H$7:$H$100,$A240,'12'!$I$7:$I$100,2)+SUMIFS('13'!$N$7:$N$100,'13'!$H$7:$H$100,$A240,'13'!$I$7:$I$100,2)+SUMIFS('14'!$N$7:$N$100,'14'!$H$7:$H$100,$A240,'14'!$I$7:$I$100,2)+SUMIFS('15'!$N$7:$N$100,'15'!$H$7:$H$100,$A240,'15'!$I$7:$I$100,2)+SUMIFS('15a'!$N$7:$N$100,'15a'!$H$7:$H$100,$A240,'15a'!$I$7:$I$100,2)+SUMIFS('15b'!$N$7:$N$100,'15b'!$H$7:$H$100,$A240,'15b'!$I$7:$I$100,2)+SUMIFS('15c'!$N$7:$N$100,'15c'!$H$7:$H$100,$A240,'15c'!$I$7:$I$100,2)+SUMIFS('15d'!$N$7:$N$100,'15d'!$H$7:$H$100,$A240,'15d'!$I$7:$I$100,2)+SUMIFS('15e'!$N$7:$N$100,'15e'!$H$7:$H$100,$A240,'15e'!$I$7:$I$100,2)+SUMIFS('15f'!$N$7:$N$100,'15f'!$H$7:$H$100,$A240,'15f'!$I$7:$I$100,2)+SUMIFS('15g'!$N$7:$N$100,'15g'!$H$7:$H$100,$A240,'15g'!$I$7:$I$100,2)+SUMIFS('15h'!$N$7:$N$100,'15h'!$H$7:$H$100,$A240,'15h'!$I$7:$I$100,2)+SUMIFS('15i'!$N$7:$N$100,'15i'!$H$7:$H$100,$A240,'15i'!$I$7:$I$100,2)+SUMIFS('15j'!$N$7:$N$100,'15j'!$H$7:$H$100,$A240,'15j'!$I$7:$I$100,2)+SUMIFS('15k'!$N$7:$N$100,'15k'!$H$7:$H$100,$A240,'15k'!$I$7:$I$100,2)+SUMIFS('15l'!$N$7:$N$100,'15l'!$H$7:$H$100,$A240,'15l'!$I$7:$I$100,2)+SUMIFS('15m'!$N$7:$N$100,'15m'!$H$7:$H$100,$A240,'15m'!$I$7:$I$100,2)+SUMIFS('15n'!$N$7:$N$100,'15n'!$H$7:$H$100,$A240,'15n'!$I$7:$I$100,2)+SUMIFS('16'!$N$7:$N$100,'16'!$H$7:$H$100,$A240,'16'!$I$7:$I$100,2)+SUMIFS('16a'!$N$7:$N$100,'16a'!$H$7:$H$100,$A240,'16a'!$I$7:$I$100,2)+SUMIFS('17'!$N$7:$N$100,'17'!$H$7:$H$100,$A240,'17'!$I$7:$I$100,2)+SUMIFS('17a'!$N$7:$N$100,'17a'!$H$7:$H$100,$A240,'17a'!$I$7:$I$100,2)+SUMIFS('18'!$N$7:$N$100,'18'!$H$7:$H$100,$A240,'18'!$I$7:$I$100,2)+SUMIFS('18a'!$N$7:$N$100,'18a'!$H$7:$H$100,$A240,'18a'!$I$7:$I$100,2)
+SUMIFS('19'!$N$7:$N$100,'19'!$H$7:$H$100,$A240,'19'!$I$7:$I$100,2)+SUMIFS('20'!$N$7:$N$100,'20'!$H$7:$H$100,$A240,'20'!$I$7:$I$100,2)+SUMIFS('20a'!$N$7:$N$100,'20a'!$H$7:$H$100,$A240,'20a'!$I$7:$I$100,2)+SUMIFS('21'!$N$7:$N$100,'21'!$H$7:$H$100,$A240,'21'!$I$7:$I$100,2)+SUMIFS('22'!$N$7:$N$100,'22'!$H$7:$H$100,$A240,'22'!$I$7:$I$100,2)+SUMIFS('22a'!$N$7:$N$100,'22a'!$H$7:$H$100,$A240,'22a'!$I$7:$I$100,2)+SUMIFS('22b'!$N$7:$N$100,'22b'!$H$7:$H$100,$A240,'22b'!$I$7:$I$100,2)+SUMIFS('23'!$N$7:$N$100,'23'!$H$7:$H$100,$A240,'23'!$I$7:$I$100,2)+SUMIFS('24'!$N$7:$N$100,'24'!$H$7:$H$100,$A240,'24'!$I$7:$I$100,2)+SUMIFS('24a'!$N$7:$N$100,'24a'!$H$7:$H$100,$A240,'24a'!$I$7:$I$100,2)+SUMIFS('24b'!$N$7:$N$100,'24b'!$H$7:$H$100,$A240,'24b'!$I$7:$I$100,2)+SUMIFS('24c'!$N$7:$N$100,'24c'!$H$7:$H$100,$A240,'24c'!$I$7:$I$100,2)+SUMIFS('24d'!$N$7:$N$100,'24d'!$H$7:$H$100,$A240,'24d'!$I$7:$I$100,2)+SUMIFS('24e'!$N$7:$N$100,'24e'!$H$7:$H$100,$A240,'24e'!$I$7:$I$100,2)+SUMIFS('24f'!$N$7:$N$100,'24f'!$H$7:$H$100,$A240,'24f'!$I$7:$I$100,2)+SUMIFS('24g'!$N$7:$N$100,'24g'!$H$7:$H$100,$A240,'24g'!$I$7:$I$100,2)+SUMIFS('24h'!$N$7:$N$100,'24h'!$H$7:$H$100,$A240,'24h'!$I$7:$I$100,2)+SUMIFS('24i'!$N$7:$N$100,'24i'!$H$7:$H$100,$A240,'24i'!$I$7:$I$100,2)+SUMIFS('25'!$N$7:$N$100,'25'!$H$7:$H$100,$A240,'25'!$I$7:$I$100,2)+SUMIFS('26'!$N$7:$N$100,'26'!$H$7:$H$100,$A240,'26'!$I$7:$I$100,2)+SUMIFS('26a'!$N$7:$N$100,'26a'!$H$7:$H$100,$A240,'26a'!$I$7:$I$100,2)+SUMIFS('27'!$N$7:$N$100,'27'!$H$7:$H$100,$A240,'27'!$I$7:$I$100,2)+SUMIFS('27a'!$N$7:$N$100,'27a'!$H$7:$H$100,$A240,'27a'!$I$7:$I$100,2)+SUMIFS('28'!$N$7:$N$100,'28'!$H$7:$H$100,$A240,'28'!$I$7:$I$100,2)+SUMIFS('29'!$N$7:$N$100,'29'!$H$7:$H$100,$A240,'29'!$I$7:$I$100,2)</f>
        <v>1020</v>
      </c>
      <c r="E240" s="1315">
        <f>SUMIFS('12'!$N$7:$N$100,'12'!$H$7:$H$100,$A240,'12'!$I$7:$I$100,"")+SUMIFS('13'!$N$7:$N$100,'13'!$H$7:$H$100,$A240,'13'!$I$7:$I$100,"")+SUMIFS('14'!$N$7:$N$100,'14'!$H$7:$H$100,$A240,'14'!$I$7:$I$100,"")+SUMIFS('15'!$N$7:$N$100,'15'!$H$7:$H$100,$A240,'15'!$I$7:$I$100,"")+SUMIFS('15a'!$N$7:$N$100,'15a'!$H$7:$H$100,$A240,'15a'!$I$7:$I$100,"")+SUMIFS('15b'!$N$7:$N$100,'15b'!$H$7:$H$100,$A240,'15b'!$I$7:$I$100,"")+SUMIFS('15c'!$N$7:$N$100,'15c'!$H$7:$H$100,$A240,'15c'!$I$7:$I$100,"")+SUMIFS('15d'!$N$7:$N$100,'15d'!$H$7:$H$100,$A240,'15d'!$I$7:$I$100,"")+SUMIFS('15e'!$N$7:$N$100,'15e'!$H$7:$H$100,$A240,'15e'!$I$7:$I$100,"")+SUMIFS('15f'!$N$7:$N$100,'15f'!$H$7:$H$100,$A240,'15f'!$I$7:$I$100,"")+SUMIFS('15g'!$N$7:$N$100,'15g'!$H$7:$H$100,$A240,'15g'!$I$7:$I$100,"")+SUMIFS('15h'!$N$7:$N$100,'15h'!$H$7:$H$100,$A240,'15h'!$I$7:$I$100,"")+SUMIFS('15i'!$N$7:$N$100,'15i'!$H$7:$H$100,$A240,'15i'!$I$7:$I$100,"")+SUMIFS('15j'!$N$7:$N$100,'15j'!$H$7:$H$100,$A240,'15j'!$I$7:$I$100,"")+SUMIFS('15k'!$N$7:$N$100,'15k'!$H$7:$H$100,$A240,'15k'!$I$7:$I$100,"")+SUMIFS('15l'!$N$7:$N$100,'15l'!$H$7:$H$100,$A240,'15l'!$I$7:$I$100,"")+SUMIFS('15m'!$N$7:$N$100,'15m'!$H$7:$H$100,$A240,'15m'!$I$7:$I$100,"")+SUMIFS('15n'!$N$7:$N$100,'15n'!$H$7:$H$100,$A240,'15n'!$I$7:$I$100,"")+SUMIFS('16'!$N$7:$N$100,'16'!$H$7:$H$100,$A240,'16'!$I$7:$I$100,"")+SUMIFS('16a'!$N$7:$N$100,'16a'!$H$7:$H$100,$A240,'16a'!$I$7:$I$100,"")+SUMIFS('17'!$N$7:$N$100,'17'!$H$7:$H$100,$A240,'17'!$I$7:$I$100,"")+SUMIFS('17a'!$N$7:$N$100,'17a'!$H$7:$H$100,$A240,'17a'!$I$7:$I$100,"")+SUMIFS('18'!$N$7:$N$100,'18'!$H$7:$H$100,$A240,'18'!$I$7:$I$100,"")+SUMIFS('18a'!$N$7:$N$100,'18a'!$H$7:$H$100,$A240,'18a'!$I$7:$I$100,"")
+SUMIFS('19'!$N$7:$N$100,'19'!$H$7:$H$100,$A240,'19'!$I$7:$I$100,"")+SUMIFS('20'!$N$7:$N$100,'20'!$H$7:$H$100,$A240,'20'!$I$7:$I$100,"")+SUMIFS('20a'!$N$7:$N$100,'20a'!$H$7:$H$100,$A240,'20a'!$I$7:$I$100,"")+SUMIFS('21'!$N$7:$N$100,'21'!$H$7:$H$100,$A240,'21'!$I$7:$I$100,"")+SUMIFS('22'!$N$7:$N$100,'22'!$H$7:$H$100,$A240,'22'!$I$7:$I$100,"")+SUMIFS('22a'!$N$7:$N$100,'22a'!$H$7:$H$100,$A240,'22a'!$I$7:$I$100,"")+SUMIFS('22b'!$N$7:$N$100,'22b'!$H$7:$H$100,$A240,'22b'!$I$7:$I$100,"")+SUMIFS('23'!$N$7:$N$100,'23'!$H$7:$H$100,$A240,'23'!$I$7:$I$100,"")+SUMIFS('24'!$N$7:$N$100,'24'!$H$7:$H$100,$A240,'24'!$I$7:$I$100,"")+SUMIFS('24a'!$N$7:$N$100,'24a'!$H$7:$H$100,$A240,'24a'!$I$7:$I$100,"")+SUMIFS('24b'!$N$7:$N$100,'24b'!$H$7:$H$100,$A240,'24b'!$I$7:$I$100,"")+SUMIFS('24c'!$N$7:$N$100,'24c'!$H$7:$H$100,$A240,'24c'!$I$7:$I$100,"")+SUMIFS('24d'!$N$7:$N$100,'24d'!$H$7:$H$100,$A240,'24d'!$I$7:$I$100,"")+SUMIFS('24e'!$N$7:$N$100,'24e'!$H$7:$H$100,$A240,'24e'!$I$7:$I$100,"")+SUMIFS('24f'!$N$7:$N$100,'24f'!$H$7:$H$100,$A240,'24f'!$I$7:$I$100,"")+SUMIFS('24g'!$N$7:$N$100,'24g'!$H$7:$H$100,$A240,'24g'!$I$7:$I$100,"")+SUMIFS('24h'!$N$7:$N$100,'24h'!$H$7:$H$100,$A240,'24h'!$I$7:$I$100,"")+SUMIFS('24i'!$N$7:$N$100,'24i'!$H$7:$H$100,$A240,'24i'!$I$7:$I$100,"")+SUMIFS('25'!$N$7:$N$100,'25'!$H$7:$H$100,$A240,'25'!$I$7:$I$100,"")+SUMIFS('26'!$N$7:$N$100,'26'!$H$7:$H$100,$A240,'26'!$I$7:$I$100,"")+SUMIFS('26a'!$N$7:$N$100,'26a'!$H$7:$H$100,$A240,'26a'!$I$7:$I$100,"")+SUMIFS('27'!$N$7:$N$100,'27'!$H$7:$H$100,$A240,'27'!$I$7:$I$100,"")+SUMIFS('27a'!$N$7:$N$100,'27a'!$H$7:$H$100,$A240,'27a'!$I$7:$I$100,"")+SUMIFS('28'!$N$7:$N$100,'28'!$H$7:$H$100,$A240,'28'!$I$7:$I$100,"")+SUMIFS('29'!$N$7:$N$100,'29'!$H$7:$H$100,$A240,'29'!$I$7:$I$100,"")</f>
        <v>0</v>
      </c>
      <c r="F240" s="1296">
        <f t="shared" si="20"/>
        <v>4100</v>
      </c>
      <c r="G240" s="1295">
        <f>SUMIFS('12'!$J$7:$J$100,'12'!$H$7:$H$100,$A240,'12'!$I$7:$I$100,1)+SUMIFS('13'!$J$7:$J$100,'13'!$H$7:$H$100,$A240,'13'!$I$7:$I$100,1)+SUMIFS('14'!$J$7:$J$100,'14'!$H$7:$H$100,$A240,'14'!$I$7:$I$100,1)+SUMIFS('15'!$J$7:$J$100,'15'!$H$7:$H$100,$A240,'15'!$I$7:$I$100,1)+SUMIFS('15a'!$J$7:$J$100,'15a'!$H$7:$H$100,$A240,'15a'!$I$7:$I$100,1)+SUMIFS('15b'!$J$7:$J$100,'15b'!$H$7:$H$100,$A240,'15b'!$I$7:$I$100,1)+SUMIFS('15c'!$J$7:$J$100,'15c'!$H$7:$H$100,$A240,'15c'!$I$7:$I$100,1)+SUMIFS('15d'!$J$7:$J$100,'15d'!$H$7:$H$100,$A240,'15d'!$I$7:$I$100,1)+SUMIFS('15e'!$J$7:$J$100,'15e'!$H$7:$H$100,$A240,'15e'!$I$7:$I$100,1)+SUMIFS('15f'!$J$7:$J$100,'15f'!$H$7:$H$100,$A240,'15f'!$I$7:$I$100,1)+SUMIFS('15g'!$J$7:$J$100,'15g'!$H$7:$H$100,$A240,'15g'!$I$7:$I$100,1)+SUMIFS('15h'!$J$7:$J$100,'15h'!$H$7:$H$100,$A240,'15h'!$I$7:$I$100,1)+SUMIFS('15i'!$J$7:$J$100,'15i'!$H$7:$H$100,$A240,'15i'!$I$7:$I$100,1)+SUMIFS('15j'!$J$7:$J$100,'15j'!$H$7:$H$100,$A240,'15j'!$I$7:$I$100,1)+SUMIFS('15k'!$J$7:$J$100,'15k'!$H$7:$H$100,$A240,'15k'!$I$7:$I$100,1)+SUMIFS('15l'!$J$7:$J$100,'15l'!$H$7:$H$100,$A240,'15l'!$I$7:$I$100,1)+SUMIFS('15m'!$J$7:$J$100,'15m'!$H$7:$H$100,$A240,'15m'!$I$7:$I$100,1)+SUMIFS('15n'!$J$7:$J$100,'15n'!$H$7:$H$100,$A240,'15n'!$I$7:$I$100,1)+SUMIFS('16'!$J$7:$J$100,'16'!$H$7:$H$100,$A240,'16'!$I$7:$I$100,1)+SUMIFS('16a'!$J$7:$J$100,'16a'!$H$7:$H$100,$A240,'16a'!$I$7:$I$100,1)+SUMIFS('17'!$J$7:$J$100,'17'!$H$7:$H$100,$A240,'17'!$I$7:$I$100,1)+SUMIFS('17a'!$J$7:$J$100,'17a'!$H$7:$H$100,$A240,'17a'!$I$7:$I$100,1)+SUMIFS('18'!$J$7:$J$100,'18'!$H$7:$H$100,$A240,'18'!$I$7:$I$100,1)+SUMIFS('18a'!$J$7:$J$100,'18a'!$H$7:$H$100,$A240,'18a'!$I$7:$I$100,1)
+SUMIFS('19'!$J$7:$J$100,'19'!$H$7:$H$100,$A240,'19'!$I$7:$I$100,1)+SUMIFS('20'!$J$7:$J$100,'20'!$H$7:$H$100,$A240,'20'!$I$7:$I$100,1)+SUMIFS('20a'!$J$7:$J$100,'20a'!$H$7:$H$100,$A240,'20a'!$I$7:$I$100,1)+SUMIFS('21'!$J$7:$J$100,'21'!$H$7:$H$100,$A240,'21'!$I$7:$I$100,1)+SUMIFS('22'!$J$7:$J$100,'22'!$H$7:$H$100,$A240,'22'!$I$7:$I$100,1)+SUMIFS('22a'!$J$7:$J$100,'22a'!$H$7:$H$100,$A240,'22a'!$I$7:$I$100,1)+SUMIFS('22b'!$J$7:$J$100,'22b'!$H$7:$H$100,$A240,'22b'!$I$7:$I$100,1)+SUMIFS('23'!$J$7:$J$100,'23'!$H$7:$H$100,$A240,'23'!$I$7:$I$100,1)+SUMIFS('24'!$J$7:$J$100,'24'!$H$7:$H$100,$A240,'24'!$I$7:$I$100,1)+SUMIFS('24a'!$J$7:$J$100,'24a'!$H$7:$H$100,$A240,'24a'!$I$7:$I$100,1)+SUMIFS('24b'!$J$7:$J$100,'24b'!$H$7:$H$100,$A240,'24b'!$I$7:$I$100,1)+SUMIFS('24c'!$J$7:$J$100,'24c'!$H$7:$H$100,$A240,'24c'!$I$7:$I$100,1)+SUMIFS('24d'!$J$7:$J$100,'24d'!$H$7:$H$100,$A240,'24d'!$I$7:$I$100,1)+SUMIFS('24e'!$J$7:$J$100,'24e'!$H$7:$H$100,$A240,'24e'!$I$7:$I$100,1)+SUMIFS('24f'!$J$7:$J$100,'24f'!$H$7:$H$100,$A240,'24f'!$I$7:$I$100,1)+SUMIFS('24g'!$J$7:$J$100,'24g'!$H$7:$H$100,$A240,'24g'!$I$7:$I$100,1)+SUMIFS('24h'!$J$7:$J$100,'24h'!$H$7:$H$100,$A240,'24h'!$I$7:$I$100,1)+SUMIFS('24i'!$J$7:$J$100,'24i'!$H$7:$H$100,$A240,'24i'!$I$7:$I$100,1)+SUMIFS('25'!$J$7:$J$100,'25'!$H$7:$H$100,$A240,'25'!$I$7:$I$100,1)+SUMIFS('26'!$J$7:$J$100,'26'!$H$7:$H$100,$A240,'26'!$I$7:$I$100,1)+SUMIFS('26a'!$J$7:$J$100,'26a'!$H$7:$H$100,$A240,'26a'!$I$7:$I$100,1)+SUMIFS('27'!$J$7:$J$100,'27'!$H$7:$H$100,$A240,'27'!$I$7:$I$100,1)+SUMIFS('27a'!$J$7:$J$100,'27a'!$H$7:$H$100,$A240,'27a'!$I$7:$I$100,1)+SUMIFS('28'!$J$7:$J$100,'28'!$H$7:$H$100,$A240,'28'!$I$7:$I$100,1)+SUMIFS('29'!$J$7:$J$100,'29'!$H$7:$H$100,$A240,'29'!$I$7:$I$100,1)</f>
        <v>3080</v>
      </c>
      <c r="H240" s="1315">
        <f>SUMIFS('12'!$J$7:$J$100,'12'!$H$7:$H$100,$A240,'12'!$I$7:$I$100,2)+SUMIFS('13'!$J$7:$J$100,'13'!$H$7:$H$100,$A240,'13'!$I$7:$I$100,2)+SUMIFS('14'!$J$7:$J$100,'14'!$H$7:$H$100,$A240,'14'!$I$7:$I$100,2)+SUMIFS('15'!$J$7:$J$100,'15'!$H$7:$H$100,$A240,'15'!$I$7:$I$100,2)+SUMIFS('15a'!$J$7:$J$100,'15a'!$H$7:$H$100,$A240,'15a'!$I$7:$I$100,2)+SUMIFS('15b'!$J$7:$J$100,'15b'!$H$7:$H$100,$A240,'15b'!$I$7:$I$100,2)+SUMIFS('15c'!$J$7:$J$100,'15c'!$H$7:$H$100,$A240,'15c'!$I$7:$I$100,2)+SUMIFS('15d'!$J$7:$J$100,'15d'!$H$7:$H$100,$A240,'15d'!$I$7:$I$100,2)+SUMIFS('15e'!$J$7:$J$100,'15e'!$H$7:$H$100,$A240,'15e'!$I$7:$I$100,2)+SUMIFS('15f'!$J$7:$J$100,'15f'!$H$7:$H$100,$A240,'15f'!$I$7:$I$100,2)+SUMIFS('15g'!$J$7:$J$100,'15g'!$H$7:$H$100,$A240,'15g'!$I$7:$I$100,2)+SUMIFS('15h'!$J$7:$J$100,'15h'!$H$7:$H$100,$A240,'15h'!$I$7:$I$100,2)+SUMIFS('15i'!$J$7:$J$100,'15i'!$H$7:$H$100,$A240,'15i'!$I$7:$I$100,2)+SUMIFS('15j'!$J$7:$J$100,'15j'!$H$7:$H$100,$A240,'15j'!$I$7:$I$100,2)+SUMIFS('15k'!$J$7:$J$100,'15k'!$H$7:$H$100,$A240,'15k'!$I$7:$I$100,2)+SUMIFS('15l'!$J$7:$J$100,'15l'!$H$7:$H$100,$A240,'15l'!$I$7:$I$100,2)+SUMIFS('15m'!$J$7:$J$100,'15m'!$H$7:$H$100,$A240,'15m'!$I$7:$I$100,2)+SUMIFS('15n'!$J$7:$J$100,'15n'!$H$7:$H$100,$A240,'15n'!$I$7:$I$100,2)+SUMIFS('16'!$J$7:$J$100,'16'!$H$7:$H$100,$A240,'16'!$I$7:$I$100,2)+SUMIFS('16a'!$J$7:$J$100,'16a'!$H$7:$H$100,$A240,'16a'!$I$7:$I$100,2)+SUMIFS('17'!$J$7:$J$100,'17'!$H$7:$H$100,$A240,'17'!$I$7:$I$100,2)+SUMIFS('17a'!$J$7:$J$100,'17a'!$H$7:$H$100,$A240,'17a'!$I$7:$I$100,2)+SUMIFS('18'!$J$7:$J$100,'18'!$H$7:$H$100,$A240,'18'!$I$7:$I$100,2)+SUMIFS('18a'!$J$7:$J$100,'18a'!$H$7:$H$100,$A240,'18a'!$I$7:$I$100,2)
+SUMIFS('19'!$J$7:$J$100,'19'!$H$7:$H$100,$A240,'19'!$I$7:$I$100,2)+SUMIFS('20'!$J$7:$J$100,'20'!$H$7:$H$100,$A240,'20'!$I$7:$I$100,2)+SUMIFS('20a'!$J$7:$J$100,'20a'!$H$7:$H$100,$A240,'20a'!$I$7:$I$100,2)+SUMIFS('21'!$J$7:$J$100,'21'!$H$7:$H$100,$A240,'21'!$I$7:$I$100,2)+SUMIFS('22'!$J$7:$J$100,'22'!$H$7:$H$100,$A240,'22'!$I$7:$I$100,2)+SUMIFS('22a'!$J$7:$J$100,'22a'!$H$7:$H$100,$A240,'22a'!$I$7:$I$100,2)+SUMIFS('22b'!$J$7:$J$100,'22b'!$H$7:$H$100,$A240,'22b'!$I$7:$I$100,2)+SUMIFS('23'!$J$7:$J$100,'23'!$H$7:$H$100,$A240,'23'!$I$7:$I$100,2)+SUMIFS('24'!$J$7:$J$100,'24'!$H$7:$H$100,$A240,'24'!$I$7:$I$100,2)+SUMIFS('24a'!$J$7:$J$100,'24a'!$H$7:$H$100,$A240,'24a'!$I$7:$I$100,2)+SUMIFS('24b'!$J$7:$J$100,'24b'!$H$7:$H$100,$A240,'24b'!$I$7:$I$100,2)+SUMIFS('24c'!$J$7:$J$100,'24c'!$H$7:$H$100,$A240,'24c'!$I$7:$I$100,2)+SUMIFS('24d'!$J$7:$J$100,'24d'!$H$7:$H$100,$A240,'24d'!$I$7:$I$100,2)+SUMIFS('24e'!$J$7:$J$100,'24e'!$H$7:$H$100,$A240,'24e'!$I$7:$I$100,2)+SUMIFS('24f'!$J$7:$J$100,'24f'!$H$7:$H$100,$A240,'24f'!$I$7:$I$100,2)+SUMIFS('24g'!$J$7:$J$100,'24g'!$H$7:$H$100,$A240,'24g'!$I$7:$I$100,2)+SUMIFS('24h'!$J$7:$J$100,'24h'!$H$7:$H$100,$A240,'24h'!$I$7:$I$100,2)+SUMIFS('24i'!$J$7:$J$100,'24i'!$H$7:$H$100,$A240,'24i'!$I$7:$I$100,2)+SUMIFS('25'!$J$7:$J$100,'25'!$H$7:$H$100,$A240,'25'!$I$7:$I$100,2)+SUMIFS('26'!$J$7:$J$100,'26'!$H$7:$H$100,$A240,'26'!$I$7:$I$100,2)+SUMIFS('26a'!$J$7:$J$100,'26a'!$H$7:$H$100,$A240,'26a'!$I$7:$I$100,2)+SUMIFS('27'!$J$7:$J$100,'27'!$H$7:$H$100,$A240,'27'!$I$7:$I$100,2)+SUMIFS('27a'!$J$7:$J$100,'27a'!$H$7:$H$100,$A240,'27a'!$I$7:$I$100,2)+SUMIFS('28'!$J$7:$J$100,'28'!$H$7:$H$100,$A240,'28'!$I$7:$I$100,2)+SUMIFS('29'!$J$7:$J$100,'29'!$H$7:$H$100,$A240,'29'!$I$7:$I$100,2)</f>
        <v>2080.8000000000002</v>
      </c>
      <c r="I240" s="1315">
        <f>SUMIFS('12'!$J$7:$J$100,'12'!$H$7:$H$100,$A240,'12'!$I$7:$I$100,"")+SUMIFS('13'!$J$7:$J$100,'13'!$H$7:$H$100,$A240,'13'!$I$7:$I$100,"")+SUMIFS('14'!$J$7:$J$100,'14'!$H$7:$H$100,$A240,'14'!$I$7:$I$100,"")+SUMIFS('15'!$J$7:$J$100,'15'!$H$7:$H$100,$A240,'15'!$I$7:$I$100,"")+SUMIFS('15a'!$J$7:$J$100,'15a'!$H$7:$H$100,$A240,'15a'!$I$7:$I$100,"")+SUMIFS('15b'!$J$7:$J$100,'15b'!$H$7:$H$100,$A240,'15b'!$I$7:$I$100,"")+SUMIFS('15c'!$J$7:$J$100,'15c'!$H$7:$H$100,$A240,'15c'!$I$7:$I$100,"")+SUMIFS('15d'!$J$7:$J$100,'15d'!$H$7:$H$100,$A240,'15d'!$I$7:$I$100,"")+SUMIFS('15e'!$J$7:$J$100,'15e'!$H$7:$H$100,$A240,'15e'!$I$7:$I$100,"")+SUMIFS('15f'!$J$7:$J$100,'15f'!$H$7:$H$100,$A240,'15f'!$I$7:$I$100,"")+SUMIFS('15g'!$J$7:$J$100,'15g'!$H$7:$H$100,$A240,'15g'!$I$7:$I$100,"")+SUMIFS('15h'!$J$7:$J$100,'15h'!$H$7:$H$100,$A240,'15h'!$I$7:$I$100,"")+SUMIFS('15i'!$J$7:$J$100,'15i'!$H$7:$H$100,$A240,'15i'!$I$7:$I$100,"")+SUMIFS('15j'!$J$7:$J$100,'15j'!$H$7:$H$100,$A240,'15j'!$I$7:$I$100,"")+SUMIFS('15k'!$J$7:$J$100,'15k'!$H$7:$H$100,$A240,'15k'!$I$7:$I$100,"")+SUMIFS('15l'!$J$7:$J$100,'15l'!$H$7:$H$100,$A240,'15l'!$I$7:$I$100,"")+SUMIFS('15m'!$J$7:$J$100,'15m'!$H$7:$H$100,$A240,'15m'!$I$7:$I$100,"")+SUMIFS('15n'!$J$7:$J$100,'15n'!$H$7:$H$100,$A240,'15n'!$I$7:$I$100,"")+SUMIFS('16'!$J$7:$J$100,'16'!$H$7:$H$100,$A240,'16'!$I$7:$I$100,"")+SUMIFS('16a'!$J$7:$J$100,'16a'!$H$7:$H$100,$A240,'16a'!$I$7:$I$100,"")+SUMIFS('17'!$J$7:$J$100,'17'!$H$7:$H$100,$A240,'17'!$I$7:$I$100,"")+SUMIFS('17a'!$J$7:$J$100,'17a'!$H$7:$H$100,$A240,'17a'!$I$7:$I$100,"")+SUMIFS('18'!$J$7:$J$100,'18'!$H$7:$H$100,$A240,'18'!$I$7:$I$100,"")+SUMIFS('18a'!$J$7:$J$100,'18a'!$H$7:$H$100,$A240,'18a'!$I$7:$I$100,"")
+SUMIFS('19'!$J$7:$J$100,'19'!$H$7:$H$100,$A240,'19'!$I$7:$I$100,"")+SUMIFS('20'!$J$7:$J$100,'20'!$H$7:$H$100,$A240,'20'!$I$7:$I$100,"")+SUMIFS('20a'!$J$7:$J$100,'20a'!$H$7:$H$100,$A240,'20a'!$I$7:$I$100,"")+SUMIFS('21'!$J$7:$J$100,'21'!$H$7:$H$100,$A240,'21'!$I$7:$I$100,"")+SUMIFS('22'!$J$7:$J$100,'22'!$H$7:$H$100,$A240,'22'!$I$7:$I$100,"")+SUMIFS('22a'!$J$7:$J$100,'22a'!$H$7:$H$100,$A240,'22a'!$I$7:$I$100,"")+SUMIFS('22b'!$J$7:$J$100,'22b'!$H$7:$H$100,$A240,'22b'!$I$7:$I$100,"")+SUMIFS('23'!$J$7:$J$100,'23'!$H$7:$H$100,$A240,'23'!$I$7:$I$100,"")+SUMIFS('24'!$J$7:$J$100,'24'!$H$7:$H$100,$A240,'24'!$I$7:$I$100,"")+SUMIFS('24a'!$J$7:$J$100,'24a'!$H$7:$H$100,$A240,'24a'!$I$7:$I$100,"")+SUMIFS('24b'!$J$7:$J$100,'24b'!$H$7:$H$100,$A240,'24b'!$I$7:$I$100,"")+SUMIFS('24c'!$J$7:$J$100,'24c'!$H$7:$H$100,$A240,'24c'!$I$7:$I$100,"")+SUMIFS('24d'!$J$7:$J$100,'24d'!$H$7:$H$100,$A240,'24d'!$I$7:$I$100,"")+SUMIFS('24e'!$J$7:$J$100,'24e'!$H$7:$H$100,$A240,'24e'!$I$7:$I$100,"")+SUMIFS('24f'!$J$7:$J$100,'24f'!$H$7:$H$100,$A240,'24f'!$I$7:$I$100,"")+SUMIFS('24g'!$J$7:$J$100,'24g'!$H$7:$H$100,$A240,'24g'!$I$7:$I$100,"")+SUMIFS('24h'!$J$7:$J$100,'24h'!$H$7:$H$100,$A240,'24h'!$I$7:$I$100,"")+SUMIFS('24i'!$J$7:$J$100,'24i'!$H$7:$H$100,$A240,'24i'!$I$7:$I$100,"")+SUMIFS('25'!$J$7:$J$100,'25'!$H$7:$H$100,$A240,'25'!$I$7:$I$100,"")+SUMIFS('26'!$J$7:$J$100,'26'!$H$7:$H$100,$A240,'26'!$I$7:$I$100,"")+SUMIFS('26a'!$J$7:$J$100,'26a'!$H$7:$H$100,$A240,'26a'!$I$7:$I$100,"")+SUMIFS('27'!$J$7:$J$100,'27'!$H$7:$H$100,$A240,'27'!$I$7:$I$100,"")+SUMIFS('27a'!$J$7:$J$100,'27a'!$H$7:$H$100,$A240,'27a'!$I$7:$I$100,"")+SUMIFS('28'!$J$7:$J$100,'28'!$H$7:$H$100,$A240,'28'!$I$7:$I$100,"")+SUMIFS('29'!$J$7:$J$100,'29'!$H$7:$H$100,$A240,'29'!$I$7:$I$100,"")</f>
        <v>0</v>
      </c>
      <c r="J240" s="1296">
        <f t="shared" si="21"/>
        <v>5160.8</v>
      </c>
      <c r="K240"/>
      <c r="L240"/>
      <c r="M240"/>
      <c r="N240"/>
      <c r="O240"/>
      <c r="P240"/>
      <c r="Q240"/>
      <c r="R240"/>
      <c r="S240" s="1307">
        <f t="shared" si="14"/>
        <v>18521.599999999999</v>
      </c>
      <c r="T240"/>
    </row>
    <row r="241" spans="1:20" x14ac:dyDescent="0.2">
      <c r="A241" t="s">
        <v>5162</v>
      </c>
      <c r="B241" t="s">
        <v>5492</v>
      </c>
      <c r="C241" s="1295">
        <f>SUMIFS('12'!$N$7:$N$100,'12'!$H$7:$H$100,$A241,'12'!$I$7:$I$100,1)+SUMIFS('13'!$N$7:$N$100,'13'!$H$7:$H$100,$A241,'13'!$I$7:$I$100,1)+SUMIFS('14'!$N$7:$N$100,'14'!$H$7:$H$100,$A241,'14'!$I$7:$I$100,1)+SUMIFS('15'!$N$7:$N$100,'15'!$H$7:$H$100,$A241,'15'!$I$7:$I$100,1)+SUMIFS('15a'!$N$7:$N$100,'15a'!$H$7:$H$100,$A241,'15a'!$I$7:$I$100,1)+SUMIFS('15b'!$N$7:$N$100,'15b'!$H$7:$H$100,$A241,'15b'!$I$7:$I$100,1)+SUMIFS('15c'!$N$7:$N$100,'15c'!$H$7:$H$100,$A241,'15c'!$I$7:$I$100,1)+SUMIFS('15d'!$N$7:$N$100,'15d'!$H$7:$H$100,$A241,'15d'!$I$7:$I$100,1)+SUMIFS('15e'!$N$7:$N$100,'15e'!$H$7:$H$100,$A241,'15e'!$I$7:$I$100,1)+SUMIFS('15f'!$N$7:$N$100,'15f'!$H$7:$H$100,$A241,'15f'!$I$7:$I$100,1)+SUMIFS('15g'!$N$7:$N$100,'15g'!$H$7:$H$100,$A241,'15g'!$I$7:$I$100,1)+SUMIFS('15h'!$N$7:$N$100,'15h'!$H$7:$H$100,$A241,'15h'!$I$7:$I$100,1)+SUMIFS('15i'!$N$7:$N$100,'15i'!$H$7:$H$100,$A241,'15i'!$I$7:$I$100,1)+SUMIFS('15j'!$N$7:$N$100,'15j'!$H$7:$H$100,$A241,'15j'!$I$7:$I$100,1)+SUMIFS('15k'!$N$7:$N$100,'15k'!$H$7:$H$100,$A241,'15k'!$I$7:$I$100,1)+SUMIFS('15l'!$N$7:$N$100,'15l'!$H$7:$H$100,$A241,'15l'!$I$7:$I$100,1)+SUMIFS('15m'!$N$7:$N$100,'15m'!$H$7:$H$100,$A241,'15m'!$I$7:$I$100,1)+SUMIFS('15n'!$N$7:$N$100,'15n'!$H$7:$H$100,$A241,'15n'!$I$7:$I$100,1)+SUMIFS('16'!$N$7:$N$100,'16'!$H$7:$H$100,$A241,'16'!$I$7:$I$100,1)+SUMIFS('16a'!$N$7:$N$100,'16a'!$H$7:$H$100,$A241,'16a'!$I$7:$I$100,1)+SUMIFS('17'!$N$7:$N$100,'17'!$H$7:$H$100,$A241,'17'!$I$7:$I$100,1)+SUMIFS('17a'!$N$7:$N$100,'17a'!$H$7:$H$100,$A241,'17a'!$I$7:$I$100,1)+SUMIFS('18'!$N$7:$N$100,'18'!$H$7:$H$100,$A241,'18'!$I$7:$I$100,1)+SUMIFS('18a'!$N$7:$N$100,'18a'!$H$7:$H$100,$A241,'18a'!$I$7:$I$100,1)
+SUMIFS('19'!$N$7:$N$100,'19'!$H$7:$H$100,$A241,'19'!$I$7:$I$100,1)+SUMIFS('20'!$N$7:$N$100,'20'!$H$7:$H$100,$A241,'20'!$I$7:$I$100,1)+SUMIFS('20a'!$N$7:$N$100,'20a'!$H$7:$H$100,$A241,'20a'!$I$7:$I$100,1)+SUMIFS('21'!$N$7:$N$100,'21'!$H$7:$H$100,$A241,'21'!$I$7:$I$100,1)+SUMIFS('22'!$N$7:$N$100,'22'!$H$7:$H$100,$A241,'22'!$I$7:$I$100,1)+SUMIFS('22a'!$N$7:$N$100,'22a'!$H$7:$H$100,$A241,'22a'!$I$7:$I$100,1)+SUMIFS('22b'!$N$7:$N$100,'22b'!$H$7:$H$100,$A241,'22b'!$I$7:$I$100,1)+SUMIFS('23'!$N$7:$N$100,'23'!$H$7:$H$100,$A241,'23'!$I$7:$I$100,1)+SUMIFS('24'!$N$7:$N$100,'24'!$H$7:$H$100,$A241,'24'!$I$7:$I$100,1)+SUMIFS('24a'!$N$7:$N$100,'24a'!$H$7:$H$100,$A241,'24a'!$I$7:$I$100,1)+SUMIFS('24b'!$N$7:$N$100,'24b'!$H$7:$H$100,$A241,'24b'!$I$7:$I$100,1)+SUMIFS('24c'!$N$7:$N$100,'24c'!$H$7:$H$100,$A241,'24c'!$I$7:$I$100,1)+SUMIFS('24d'!$N$7:$N$100,'24d'!$H$7:$H$100,$A241,'24d'!$I$7:$I$100,1)+SUMIFS('24e'!$N$7:$N$100,'24e'!$H$7:$H$100,$A241,'24e'!$I$7:$I$100,1)+SUMIFS('24f'!$N$7:$N$100,'24f'!$H$7:$H$100,$A241,'24f'!$I$7:$I$100,1)+SUMIFS('24g'!$N$7:$N$100,'24g'!$H$7:$H$100,$A241,'24g'!$I$7:$I$100,1)+SUMIFS('24h'!$N$7:$N$100,'24h'!$H$7:$H$100,$A241,'24h'!$I$7:$I$100,1)+SUMIFS('24i'!$N$7:$N$100,'24i'!$H$7:$H$100,$A241,'24i'!$I$7:$I$100,1)+SUMIFS('25'!$N$7:$N$100,'25'!$H$7:$H$100,$A241,'25'!$I$7:$I$100,1)+SUMIFS('26'!$N$7:$N$100,'26'!$H$7:$H$100,$A241,'26'!$I$7:$I$100,1)+SUMIFS('26a'!$N$7:$N$100,'26a'!$H$7:$H$100,$A241,'26a'!$I$7:$I$100,1)+SUMIFS('27'!$N$7:$N$100,'27'!$H$7:$H$100,$A241,'27'!$I$7:$I$100,1)+SUMIFS('27a'!$N$7:$N$100,'27a'!$H$7:$H$100,$A241,'27a'!$I$7:$I$100,1)+SUMIFS('28'!$N$7:$N$100,'28'!$H$7:$H$100,$A241,'28'!$I$7:$I$100,1)+SUMIFS('29'!$N$7:$N$100,'29'!$H$7:$H$100,$A241,'29'!$I$7:$I$100,1)</f>
        <v>0</v>
      </c>
      <c r="D241" s="1315">
        <f>SUMIFS('12'!$N$7:$N$100,'12'!$H$7:$H$100,$A241,'12'!$I$7:$I$100,2)+SUMIFS('13'!$N$7:$N$100,'13'!$H$7:$H$100,$A241,'13'!$I$7:$I$100,2)+SUMIFS('14'!$N$7:$N$100,'14'!$H$7:$H$100,$A241,'14'!$I$7:$I$100,2)+SUMIFS('15'!$N$7:$N$100,'15'!$H$7:$H$100,$A241,'15'!$I$7:$I$100,2)+SUMIFS('15a'!$N$7:$N$100,'15a'!$H$7:$H$100,$A241,'15a'!$I$7:$I$100,2)+SUMIFS('15b'!$N$7:$N$100,'15b'!$H$7:$H$100,$A241,'15b'!$I$7:$I$100,2)+SUMIFS('15c'!$N$7:$N$100,'15c'!$H$7:$H$100,$A241,'15c'!$I$7:$I$100,2)+SUMIFS('15d'!$N$7:$N$100,'15d'!$H$7:$H$100,$A241,'15d'!$I$7:$I$100,2)+SUMIFS('15e'!$N$7:$N$100,'15e'!$H$7:$H$100,$A241,'15e'!$I$7:$I$100,2)+SUMIFS('15f'!$N$7:$N$100,'15f'!$H$7:$H$100,$A241,'15f'!$I$7:$I$100,2)+SUMIFS('15g'!$N$7:$N$100,'15g'!$H$7:$H$100,$A241,'15g'!$I$7:$I$100,2)+SUMIFS('15h'!$N$7:$N$100,'15h'!$H$7:$H$100,$A241,'15h'!$I$7:$I$100,2)+SUMIFS('15i'!$N$7:$N$100,'15i'!$H$7:$H$100,$A241,'15i'!$I$7:$I$100,2)+SUMIFS('15j'!$N$7:$N$100,'15j'!$H$7:$H$100,$A241,'15j'!$I$7:$I$100,2)+SUMIFS('15k'!$N$7:$N$100,'15k'!$H$7:$H$100,$A241,'15k'!$I$7:$I$100,2)+SUMIFS('15l'!$N$7:$N$100,'15l'!$H$7:$H$100,$A241,'15l'!$I$7:$I$100,2)+SUMIFS('15m'!$N$7:$N$100,'15m'!$H$7:$H$100,$A241,'15m'!$I$7:$I$100,2)+SUMIFS('15n'!$N$7:$N$100,'15n'!$H$7:$H$100,$A241,'15n'!$I$7:$I$100,2)+SUMIFS('16'!$N$7:$N$100,'16'!$H$7:$H$100,$A241,'16'!$I$7:$I$100,2)+SUMIFS('16a'!$N$7:$N$100,'16a'!$H$7:$H$100,$A241,'16a'!$I$7:$I$100,2)+SUMIFS('17'!$N$7:$N$100,'17'!$H$7:$H$100,$A241,'17'!$I$7:$I$100,2)+SUMIFS('17a'!$N$7:$N$100,'17a'!$H$7:$H$100,$A241,'17a'!$I$7:$I$100,2)+SUMIFS('18'!$N$7:$N$100,'18'!$H$7:$H$100,$A241,'18'!$I$7:$I$100,2)+SUMIFS('18a'!$N$7:$N$100,'18a'!$H$7:$H$100,$A241,'18a'!$I$7:$I$100,2)
+SUMIFS('19'!$N$7:$N$100,'19'!$H$7:$H$100,$A241,'19'!$I$7:$I$100,2)+SUMIFS('20'!$N$7:$N$100,'20'!$H$7:$H$100,$A241,'20'!$I$7:$I$100,2)+SUMIFS('20a'!$N$7:$N$100,'20a'!$H$7:$H$100,$A241,'20a'!$I$7:$I$100,2)+SUMIFS('21'!$N$7:$N$100,'21'!$H$7:$H$100,$A241,'21'!$I$7:$I$100,2)+SUMIFS('22'!$N$7:$N$100,'22'!$H$7:$H$100,$A241,'22'!$I$7:$I$100,2)+SUMIFS('22a'!$N$7:$N$100,'22a'!$H$7:$H$100,$A241,'22a'!$I$7:$I$100,2)+SUMIFS('22b'!$N$7:$N$100,'22b'!$H$7:$H$100,$A241,'22b'!$I$7:$I$100,2)+SUMIFS('23'!$N$7:$N$100,'23'!$H$7:$H$100,$A241,'23'!$I$7:$I$100,2)+SUMIFS('24'!$N$7:$N$100,'24'!$H$7:$H$100,$A241,'24'!$I$7:$I$100,2)+SUMIFS('24a'!$N$7:$N$100,'24a'!$H$7:$H$100,$A241,'24a'!$I$7:$I$100,2)+SUMIFS('24b'!$N$7:$N$100,'24b'!$H$7:$H$100,$A241,'24b'!$I$7:$I$100,2)+SUMIFS('24c'!$N$7:$N$100,'24c'!$H$7:$H$100,$A241,'24c'!$I$7:$I$100,2)+SUMIFS('24d'!$N$7:$N$100,'24d'!$H$7:$H$100,$A241,'24d'!$I$7:$I$100,2)+SUMIFS('24e'!$N$7:$N$100,'24e'!$H$7:$H$100,$A241,'24e'!$I$7:$I$100,2)+SUMIFS('24f'!$N$7:$N$100,'24f'!$H$7:$H$100,$A241,'24f'!$I$7:$I$100,2)+SUMIFS('24g'!$N$7:$N$100,'24g'!$H$7:$H$100,$A241,'24g'!$I$7:$I$100,2)+SUMIFS('24h'!$N$7:$N$100,'24h'!$H$7:$H$100,$A241,'24h'!$I$7:$I$100,2)+SUMIFS('24i'!$N$7:$N$100,'24i'!$H$7:$H$100,$A241,'24i'!$I$7:$I$100,2)+SUMIFS('25'!$N$7:$N$100,'25'!$H$7:$H$100,$A241,'25'!$I$7:$I$100,2)+SUMIFS('26'!$N$7:$N$100,'26'!$H$7:$H$100,$A241,'26'!$I$7:$I$100,2)+SUMIFS('26a'!$N$7:$N$100,'26a'!$H$7:$H$100,$A241,'26a'!$I$7:$I$100,2)+SUMIFS('27'!$N$7:$N$100,'27'!$H$7:$H$100,$A241,'27'!$I$7:$I$100,2)+SUMIFS('27a'!$N$7:$N$100,'27a'!$H$7:$H$100,$A241,'27a'!$I$7:$I$100,2)+SUMIFS('28'!$N$7:$N$100,'28'!$H$7:$H$100,$A241,'28'!$I$7:$I$100,2)+SUMIFS('29'!$N$7:$N$100,'29'!$H$7:$H$100,$A241,'29'!$I$7:$I$100,2)</f>
        <v>18353.87</v>
      </c>
      <c r="E241" s="1315">
        <f>SUMIFS('12'!$N$7:$N$100,'12'!$H$7:$H$100,$A241,'12'!$I$7:$I$100,"")+SUMIFS('13'!$N$7:$N$100,'13'!$H$7:$H$100,$A241,'13'!$I$7:$I$100,"")+SUMIFS('14'!$N$7:$N$100,'14'!$H$7:$H$100,$A241,'14'!$I$7:$I$100,"")+SUMIFS('15'!$N$7:$N$100,'15'!$H$7:$H$100,$A241,'15'!$I$7:$I$100,"")+SUMIFS('15a'!$N$7:$N$100,'15a'!$H$7:$H$100,$A241,'15a'!$I$7:$I$100,"")+SUMIFS('15b'!$N$7:$N$100,'15b'!$H$7:$H$100,$A241,'15b'!$I$7:$I$100,"")+SUMIFS('15c'!$N$7:$N$100,'15c'!$H$7:$H$100,$A241,'15c'!$I$7:$I$100,"")+SUMIFS('15d'!$N$7:$N$100,'15d'!$H$7:$H$100,$A241,'15d'!$I$7:$I$100,"")+SUMIFS('15e'!$N$7:$N$100,'15e'!$H$7:$H$100,$A241,'15e'!$I$7:$I$100,"")+SUMIFS('15f'!$N$7:$N$100,'15f'!$H$7:$H$100,$A241,'15f'!$I$7:$I$100,"")+SUMIFS('15g'!$N$7:$N$100,'15g'!$H$7:$H$100,$A241,'15g'!$I$7:$I$100,"")+SUMIFS('15h'!$N$7:$N$100,'15h'!$H$7:$H$100,$A241,'15h'!$I$7:$I$100,"")+SUMIFS('15i'!$N$7:$N$100,'15i'!$H$7:$H$100,$A241,'15i'!$I$7:$I$100,"")+SUMIFS('15j'!$N$7:$N$100,'15j'!$H$7:$H$100,$A241,'15j'!$I$7:$I$100,"")+SUMIFS('15k'!$N$7:$N$100,'15k'!$H$7:$H$100,$A241,'15k'!$I$7:$I$100,"")+SUMIFS('15l'!$N$7:$N$100,'15l'!$H$7:$H$100,$A241,'15l'!$I$7:$I$100,"")+SUMIFS('15m'!$N$7:$N$100,'15m'!$H$7:$H$100,$A241,'15m'!$I$7:$I$100,"")+SUMIFS('15n'!$N$7:$N$100,'15n'!$H$7:$H$100,$A241,'15n'!$I$7:$I$100,"")+SUMIFS('16'!$N$7:$N$100,'16'!$H$7:$H$100,$A241,'16'!$I$7:$I$100,"")+SUMIFS('16a'!$N$7:$N$100,'16a'!$H$7:$H$100,$A241,'16a'!$I$7:$I$100,"")+SUMIFS('17'!$N$7:$N$100,'17'!$H$7:$H$100,$A241,'17'!$I$7:$I$100,"")+SUMIFS('17a'!$N$7:$N$100,'17a'!$H$7:$H$100,$A241,'17a'!$I$7:$I$100,"")+SUMIFS('18'!$N$7:$N$100,'18'!$H$7:$H$100,$A241,'18'!$I$7:$I$100,"")+SUMIFS('18a'!$N$7:$N$100,'18a'!$H$7:$H$100,$A241,'18a'!$I$7:$I$100,"")
+SUMIFS('19'!$N$7:$N$100,'19'!$H$7:$H$100,$A241,'19'!$I$7:$I$100,"")+SUMIFS('20'!$N$7:$N$100,'20'!$H$7:$H$100,$A241,'20'!$I$7:$I$100,"")+SUMIFS('20a'!$N$7:$N$100,'20a'!$H$7:$H$100,$A241,'20a'!$I$7:$I$100,"")+SUMIFS('21'!$N$7:$N$100,'21'!$H$7:$H$100,$A241,'21'!$I$7:$I$100,"")+SUMIFS('22'!$N$7:$N$100,'22'!$H$7:$H$100,$A241,'22'!$I$7:$I$100,"")+SUMIFS('22a'!$N$7:$N$100,'22a'!$H$7:$H$100,$A241,'22a'!$I$7:$I$100,"")+SUMIFS('22b'!$N$7:$N$100,'22b'!$H$7:$H$100,$A241,'22b'!$I$7:$I$100,"")+SUMIFS('23'!$N$7:$N$100,'23'!$H$7:$H$100,$A241,'23'!$I$7:$I$100,"")+SUMIFS('24'!$N$7:$N$100,'24'!$H$7:$H$100,$A241,'24'!$I$7:$I$100,"")+SUMIFS('24a'!$N$7:$N$100,'24a'!$H$7:$H$100,$A241,'24a'!$I$7:$I$100,"")+SUMIFS('24b'!$N$7:$N$100,'24b'!$H$7:$H$100,$A241,'24b'!$I$7:$I$100,"")+SUMIFS('24c'!$N$7:$N$100,'24c'!$H$7:$H$100,$A241,'24c'!$I$7:$I$100,"")+SUMIFS('24d'!$N$7:$N$100,'24d'!$H$7:$H$100,$A241,'24d'!$I$7:$I$100,"")+SUMIFS('24e'!$N$7:$N$100,'24e'!$H$7:$H$100,$A241,'24e'!$I$7:$I$100,"")+SUMIFS('24f'!$N$7:$N$100,'24f'!$H$7:$H$100,$A241,'24f'!$I$7:$I$100,"")+SUMIFS('24g'!$N$7:$N$100,'24g'!$H$7:$H$100,$A241,'24g'!$I$7:$I$100,"")+SUMIFS('24h'!$N$7:$N$100,'24h'!$H$7:$H$100,$A241,'24h'!$I$7:$I$100,"")+SUMIFS('24i'!$N$7:$N$100,'24i'!$H$7:$H$100,$A241,'24i'!$I$7:$I$100,"")+SUMIFS('25'!$N$7:$N$100,'25'!$H$7:$H$100,$A241,'25'!$I$7:$I$100,"")+SUMIFS('26'!$N$7:$N$100,'26'!$H$7:$H$100,$A241,'26'!$I$7:$I$100,"")+SUMIFS('26a'!$N$7:$N$100,'26a'!$H$7:$H$100,$A241,'26a'!$I$7:$I$100,"")+SUMIFS('27'!$N$7:$N$100,'27'!$H$7:$H$100,$A241,'27'!$I$7:$I$100,"")+SUMIFS('27a'!$N$7:$N$100,'27a'!$H$7:$H$100,$A241,'27a'!$I$7:$I$100,"")+SUMIFS('28'!$N$7:$N$100,'28'!$H$7:$H$100,$A241,'28'!$I$7:$I$100,"")+SUMIFS('29'!$N$7:$N$100,'29'!$H$7:$H$100,$A241,'29'!$I$7:$I$100,"")</f>
        <v>0</v>
      </c>
      <c r="F241" s="1296">
        <f t="shared" si="20"/>
        <v>18353.87</v>
      </c>
      <c r="G241" s="1295">
        <f>SUMIFS('12'!$J$7:$J$100,'12'!$H$7:$H$100,$A241,'12'!$I$7:$I$100,1)+SUMIFS('13'!$J$7:$J$100,'13'!$H$7:$H$100,$A241,'13'!$I$7:$I$100,1)+SUMIFS('14'!$J$7:$J$100,'14'!$H$7:$H$100,$A241,'14'!$I$7:$I$100,1)+SUMIFS('15'!$J$7:$J$100,'15'!$H$7:$H$100,$A241,'15'!$I$7:$I$100,1)+SUMIFS('15a'!$J$7:$J$100,'15a'!$H$7:$H$100,$A241,'15a'!$I$7:$I$100,1)+SUMIFS('15b'!$J$7:$J$100,'15b'!$H$7:$H$100,$A241,'15b'!$I$7:$I$100,1)+SUMIFS('15c'!$J$7:$J$100,'15c'!$H$7:$H$100,$A241,'15c'!$I$7:$I$100,1)+SUMIFS('15d'!$J$7:$J$100,'15d'!$H$7:$H$100,$A241,'15d'!$I$7:$I$100,1)+SUMIFS('15e'!$J$7:$J$100,'15e'!$H$7:$H$100,$A241,'15e'!$I$7:$I$100,1)+SUMIFS('15f'!$J$7:$J$100,'15f'!$H$7:$H$100,$A241,'15f'!$I$7:$I$100,1)+SUMIFS('15g'!$J$7:$J$100,'15g'!$H$7:$H$100,$A241,'15g'!$I$7:$I$100,1)+SUMIFS('15h'!$J$7:$J$100,'15h'!$H$7:$H$100,$A241,'15h'!$I$7:$I$100,1)+SUMIFS('15i'!$J$7:$J$100,'15i'!$H$7:$H$100,$A241,'15i'!$I$7:$I$100,1)+SUMIFS('15j'!$J$7:$J$100,'15j'!$H$7:$H$100,$A241,'15j'!$I$7:$I$100,1)+SUMIFS('15k'!$J$7:$J$100,'15k'!$H$7:$H$100,$A241,'15k'!$I$7:$I$100,1)+SUMIFS('15l'!$J$7:$J$100,'15l'!$H$7:$H$100,$A241,'15l'!$I$7:$I$100,1)+SUMIFS('15m'!$J$7:$J$100,'15m'!$H$7:$H$100,$A241,'15m'!$I$7:$I$100,1)+SUMIFS('15n'!$J$7:$J$100,'15n'!$H$7:$H$100,$A241,'15n'!$I$7:$I$100,1)+SUMIFS('16'!$J$7:$J$100,'16'!$H$7:$H$100,$A241,'16'!$I$7:$I$100,1)+SUMIFS('16a'!$J$7:$J$100,'16a'!$H$7:$H$100,$A241,'16a'!$I$7:$I$100,1)+SUMIFS('17'!$J$7:$J$100,'17'!$H$7:$H$100,$A241,'17'!$I$7:$I$100,1)+SUMIFS('17a'!$J$7:$J$100,'17a'!$H$7:$H$100,$A241,'17a'!$I$7:$I$100,1)+SUMIFS('18'!$J$7:$J$100,'18'!$H$7:$H$100,$A241,'18'!$I$7:$I$100,1)+SUMIFS('18a'!$J$7:$J$100,'18a'!$H$7:$H$100,$A241,'18a'!$I$7:$I$100,1)
+SUMIFS('19'!$J$7:$J$100,'19'!$H$7:$H$100,$A241,'19'!$I$7:$I$100,1)+SUMIFS('20'!$J$7:$J$100,'20'!$H$7:$H$100,$A241,'20'!$I$7:$I$100,1)+SUMIFS('20a'!$J$7:$J$100,'20a'!$H$7:$H$100,$A241,'20a'!$I$7:$I$100,1)+SUMIFS('21'!$J$7:$J$100,'21'!$H$7:$H$100,$A241,'21'!$I$7:$I$100,1)+SUMIFS('22'!$J$7:$J$100,'22'!$H$7:$H$100,$A241,'22'!$I$7:$I$100,1)+SUMIFS('22a'!$J$7:$J$100,'22a'!$H$7:$H$100,$A241,'22a'!$I$7:$I$100,1)+SUMIFS('22b'!$J$7:$J$100,'22b'!$H$7:$H$100,$A241,'22b'!$I$7:$I$100,1)+SUMIFS('23'!$J$7:$J$100,'23'!$H$7:$H$100,$A241,'23'!$I$7:$I$100,1)+SUMIFS('24'!$J$7:$J$100,'24'!$H$7:$H$100,$A241,'24'!$I$7:$I$100,1)+SUMIFS('24a'!$J$7:$J$100,'24a'!$H$7:$H$100,$A241,'24a'!$I$7:$I$100,1)+SUMIFS('24b'!$J$7:$J$100,'24b'!$H$7:$H$100,$A241,'24b'!$I$7:$I$100,1)+SUMIFS('24c'!$J$7:$J$100,'24c'!$H$7:$H$100,$A241,'24c'!$I$7:$I$100,1)+SUMIFS('24d'!$J$7:$J$100,'24d'!$H$7:$H$100,$A241,'24d'!$I$7:$I$100,1)+SUMIFS('24e'!$J$7:$J$100,'24e'!$H$7:$H$100,$A241,'24e'!$I$7:$I$100,1)+SUMIFS('24f'!$J$7:$J$100,'24f'!$H$7:$H$100,$A241,'24f'!$I$7:$I$100,1)+SUMIFS('24g'!$J$7:$J$100,'24g'!$H$7:$H$100,$A241,'24g'!$I$7:$I$100,1)+SUMIFS('24h'!$J$7:$J$100,'24h'!$H$7:$H$100,$A241,'24h'!$I$7:$I$100,1)+SUMIFS('24i'!$J$7:$J$100,'24i'!$H$7:$H$100,$A241,'24i'!$I$7:$I$100,1)+SUMIFS('25'!$J$7:$J$100,'25'!$H$7:$H$100,$A241,'25'!$I$7:$I$100,1)+SUMIFS('26'!$J$7:$J$100,'26'!$H$7:$H$100,$A241,'26'!$I$7:$I$100,1)+SUMIFS('26a'!$J$7:$J$100,'26a'!$H$7:$H$100,$A241,'26a'!$I$7:$I$100,1)+SUMIFS('27'!$J$7:$J$100,'27'!$H$7:$H$100,$A241,'27'!$I$7:$I$100,1)+SUMIFS('27a'!$J$7:$J$100,'27a'!$H$7:$H$100,$A241,'27a'!$I$7:$I$100,1)+SUMIFS('28'!$J$7:$J$100,'28'!$H$7:$H$100,$A241,'28'!$I$7:$I$100,1)+SUMIFS('29'!$J$7:$J$100,'29'!$H$7:$H$100,$A241,'29'!$I$7:$I$100,1)</f>
        <v>0</v>
      </c>
      <c r="H241" s="1315">
        <f>SUMIFS('12'!$J$7:$J$100,'12'!$H$7:$H$100,$A241,'12'!$I$7:$I$100,2)+SUMIFS('13'!$J$7:$J$100,'13'!$H$7:$H$100,$A241,'13'!$I$7:$I$100,2)+SUMIFS('14'!$J$7:$J$100,'14'!$H$7:$H$100,$A241,'14'!$I$7:$I$100,2)+SUMIFS('15'!$J$7:$J$100,'15'!$H$7:$H$100,$A241,'15'!$I$7:$I$100,2)+SUMIFS('15a'!$J$7:$J$100,'15a'!$H$7:$H$100,$A241,'15a'!$I$7:$I$100,2)+SUMIFS('15b'!$J$7:$J$100,'15b'!$H$7:$H$100,$A241,'15b'!$I$7:$I$100,2)+SUMIFS('15c'!$J$7:$J$100,'15c'!$H$7:$H$100,$A241,'15c'!$I$7:$I$100,2)+SUMIFS('15d'!$J$7:$J$100,'15d'!$H$7:$H$100,$A241,'15d'!$I$7:$I$100,2)+SUMIFS('15e'!$J$7:$J$100,'15e'!$H$7:$H$100,$A241,'15e'!$I$7:$I$100,2)+SUMIFS('15f'!$J$7:$J$100,'15f'!$H$7:$H$100,$A241,'15f'!$I$7:$I$100,2)+SUMIFS('15g'!$J$7:$J$100,'15g'!$H$7:$H$100,$A241,'15g'!$I$7:$I$100,2)+SUMIFS('15h'!$J$7:$J$100,'15h'!$H$7:$H$100,$A241,'15h'!$I$7:$I$100,2)+SUMIFS('15i'!$J$7:$J$100,'15i'!$H$7:$H$100,$A241,'15i'!$I$7:$I$100,2)+SUMIFS('15j'!$J$7:$J$100,'15j'!$H$7:$H$100,$A241,'15j'!$I$7:$I$100,2)+SUMIFS('15k'!$J$7:$J$100,'15k'!$H$7:$H$100,$A241,'15k'!$I$7:$I$100,2)+SUMIFS('15l'!$J$7:$J$100,'15l'!$H$7:$H$100,$A241,'15l'!$I$7:$I$100,2)+SUMIFS('15m'!$J$7:$J$100,'15m'!$H$7:$H$100,$A241,'15m'!$I$7:$I$100,2)+SUMIFS('15n'!$J$7:$J$100,'15n'!$H$7:$H$100,$A241,'15n'!$I$7:$I$100,2)+SUMIFS('16'!$J$7:$J$100,'16'!$H$7:$H$100,$A241,'16'!$I$7:$I$100,2)+SUMIFS('16a'!$J$7:$J$100,'16a'!$H$7:$H$100,$A241,'16a'!$I$7:$I$100,2)+SUMIFS('17'!$J$7:$J$100,'17'!$H$7:$H$100,$A241,'17'!$I$7:$I$100,2)+SUMIFS('17a'!$J$7:$J$100,'17a'!$H$7:$H$100,$A241,'17a'!$I$7:$I$100,2)+SUMIFS('18'!$J$7:$J$100,'18'!$H$7:$H$100,$A241,'18'!$I$7:$I$100,2)+SUMIFS('18a'!$J$7:$J$100,'18a'!$H$7:$H$100,$A241,'18a'!$I$7:$I$100,2)
+SUMIFS('19'!$J$7:$J$100,'19'!$H$7:$H$100,$A241,'19'!$I$7:$I$100,2)+SUMIFS('20'!$J$7:$J$100,'20'!$H$7:$H$100,$A241,'20'!$I$7:$I$100,2)+SUMIFS('20a'!$J$7:$J$100,'20a'!$H$7:$H$100,$A241,'20a'!$I$7:$I$100,2)+SUMIFS('21'!$J$7:$J$100,'21'!$H$7:$H$100,$A241,'21'!$I$7:$I$100,2)+SUMIFS('22'!$J$7:$J$100,'22'!$H$7:$H$100,$A241,'22'!$I$7:$I$100,2)+SUMIFS('22a'!$J$7:$J$100,'22a'!$H$7:$H$100,$A241,'22a'!$I$7:$I$100,2)+SUMIFS('22b'!$J$7:$J$100,'22b'!$H$7:$H$100,$A241,'22b'!$I$7:$I$100,2)+SUMIFS('23'!$J$7:$J$100,'23'!$H$7:$H$100,$A241,'23'!$I$7:$I$100,2)+SUMIFS('24'!$J$7:$J$100,'24'!$H$7:$H$100,$A241,'24'!$I$7:$I$100,2)+SUMIFS('24a'!$J$7:$J$100,'24a'!$H$7:$H$100,$A241,'24a'!$I$7:$I$100,2)+SUMIFS('24b'!$J$7:$J$100,'24b'!$H$7:$H$100,$A241,'24b'!$I$7:$I$100,2)+SUMIFS('24c'!$J$7:$J$100,'24c'!$H$7:$H$100,$A241,'24c'!$I$7:$I$100,2)+SUMIFS('24d'!$J$7:$J$100,'24d'!$H$7:$H$100,$A241,'24d'!$I$7:$I$100,2)+SUMIFS('24e'!$J$7:$J$100,'24e'!$H$7:$H$100,$A241,'24e'!$I$7:$I$100,2)+SUMIFS('24f'!$J$7:$J$100,'24f'!$H$7:$H$100,$A241,'24f'!$I$7:$I$100,2)+SUMIFS('24g'!$J$7:$J$100,'24g'!$H$7:$H$100,$A241,'24g'!$I$7:$I$100,2)+SUMIFS('24h'!$J$7:$J$100,'24h'!$H$7:$H$100,$A241,'24h'!$I$7:$I$100,2)+SUMIFS('24i'!$J$7:$J$100,'24i'!$H$7:$H$100,$A241,'24i'!$I$7:$I$100,2)+SUMIFS('25'!$J$7:$J$100,'25'!$H$7:$H$100,$A241,'25'!$I$7:$I$100,2)+SUMIFS('26'!$J$7:$J$100,'26'!$H$7:$H$100,$A241,'26'!$I$7:$I$100,2)+SUMIFS('26a'!$J$7:$J$100,'26a'!$H$7:$H$100,$A241,'26a'!$I$7:$I$100,2)+SUMIFS('27'!$J$7:$J$100,'27'!$H$7:$H$100,$A241,'27'!$I$7:$I$100,2)+SUMIFS('27a'!$J$7:$J$100,'27a'!$H$7:$H$100,$A241,'27a'!$I$7:$I$100,2)+SUMIFS('28'!$J$7:$J$100,'28'!$H$7:$H$100,$A241,'28'!$I$7:$I$100,2)+SUMIFS('29'!$J$7:$J$100,'29'!$H$7:$H$100,$A241,'29'!$I$7:$I$100,2)</f>
        <v>18727.2</v>
      </c>
      <c r="I241" s="1315">
        <f>SUMIFS('12'!$J$7:$J$100,'12'!$H$7:$H$100,$A241,'12'!$I$7:$I$100,"")+SUMIFS('13'!$J$7:$J$100,'13'!$H$7:$H$100,$A241,'13'!$I$7:$I$100,"")+SUMIFS('14'!$J$7:$J$100,'14'!$H$7:$H$100,$A241,'14'!$I$7:$I$100,"")+SUMIFS('15'!$J$7:$J$100,'15'!$H$7:$H$100,$A241,'15'!$I$7:$I$100,"")+SUMIFS('15a'!$J$7:$J$100,'15a'!$H$7:$H$100,$A241,'15a'!$I$7:$I$100,"")+SUMIFS('15b'!$J$7:$J$100,'15b'!$H$7:$H$100,$A241,'15b'!$I$7:$I$100,"")+SUMIFS('15c'!$J$7:$J$100,'15c'!$H$7:$H$100,$A241,'15c'!$I$7:$I$100,"")+SUMIFS('15d'!$J$7:$J$100,'15d'!$H$7:$H$100,$A241,'15d'!$I$7:$I$100,"")+SUMIFS('15e'!$J$7:$J$100,'15e'!$H$7:$H$100,$A241,'15e'!$I$7:$I$100,"")+SUMIFS('15f'!$J$7:$J$100,'15f'!$H$7:$H$100,$A241,'15f'!$I$7:$I$100,"")+SUMIFS('15g'!$J$7:$J$100,'15g'!$H$7:$H$100,$A241,'15g'!$I$7:$I$100,"")+SUMIFS('15h'!$J$7:$J$100,'15h'!$H$7:$H$100,$A241,'15h'!$I$7:$I$100,"")+SUMIFS('15i'!$J$7:$J$100,'15i'!$H$7:$H$100,$A241,'15i'!$I$7:$I$100,"")+SUMIFS('15j'!$J$7:$J$100,'15j'!$H$7:$H$100,$A241,'15j'!$I$7:$I$100,"")+SUMIFS('15k'!$J$7:$J$100,'15k'!$H$7:$H$100,$A241,'15k'!$I$7:$I$100,"")+SUMIFS('15l'!$J$7:$J$100,'15l'!$H$7:$H$100,$A241,'15l'!$I$7:$I$100,"")+SUMIFS('15m'!$J$7:$J$100,'15m'!$H$7:$H$100,$A241,'15m'!$I$7:$I$100,"")+SUMIFS('15n'!$J$7:$J$100,'15n'!$H$7:$H$100,$A241,'15n'!$I$7:$I$100,"")+SUMIFS('16'!$J$7:$J$100,'16'!$H$7:$H$100,$A241,'16'!$I$7:$I$100,"")+SUMIFS('16a'!$J$7:$J$100,'16a'!$H$7:$H$100,$A241,'16a'!$I$7:$I$100,"")+SUMIFS('17'!$J$7:$J$100,'17'!$H$7:$H$100,$A241,'17'!$I$7:$I$100,"")+SUMIFS('17a'!$J$7:$J$100,'17a'!$H$7:$H$100,$A241,'17a'!$I$7:$I$100,"")+SUMIFS('18'!$J$7:$J$100,'18'!$H$7:$H$100,$A241,'18'!$I$7:$I$100,"")+SUMIFS('18a'!$J$7:$J$100,'18a'!$H$7:$H$100,$A241,'18a'!$I$7:$I$100,"")
+SUMIFS('19'!$J$7:$J$100,'19'!$H$7:$H$100,$A241,'19'!$I$7:$I$100,"")+SUMIFS('20'!$J$7:$J$100,'20'!$H$7:$H$100,$A241,'20'!$I$7:$I$100,"")+SUMIFS('20a'!$J$7:$J$100,'20a'!$H$7:$H$100,$A241,'20a'!$I$7:$I$100,"")+SUMIFS('21'!$J$7:$J$100,'21'!$H$7:$H$100,$A241,'21'!$I$7:$I$100,"")+SUMIFS('22'!$J$7:$J$100,'22'!$H$7:$H$100,$A241,'22'!$I$7:$I$100,"")+SUMIFS('22a'!$J$7:$J$100,'22a'!$H$7:$H$100,$A241,'22a'!$I$7:$I$100,"")+SUMIFS('22b'!$J$7:$J$100,'22b'!$H$7:$H$100,$A241,'22b'!$I$7:$I$100,"")+SUMIFS('23'!$J$7:$J$100,'23'!$H$7:$H$100,$A241,'23'!$I$7:$I$100,"")+SUMIFS('24'!$J$7:$J$100,'24'!$H$7:$H$100,$A241,'24'!$I$7:$I$100,"")+SUMIFS('24a'!$J$7:$J$100,'24a'!$H$7:$H$100,$A241,'24a'!$I$7:$I$100,"")+SUMIFS('24b'!$J$7:$J$100,'24b'!$H$7:$H$100,$A241,'24b'!$I$7:$I$100,"")+SUMIFS('24c'!$J$7:$J$100,'24c'!$H$7:$H$100,$A241,'24c'!$I$7:$I$100,"")+SUMIFS('24d'!$J$7:$J$100,'24d'!$H$7:$H$100,$A241,'24d'!$I$7:$I$100,"")+SUMIFS('24e'!$J$7:$J$100,'24e'!$H$7:$H$100,$A241,'24e'!$I$7:$I$100,"")+SUMIFS('24f'!$J$7:$J$100,'24f'!$H$7:$H$100,$A241,'24f'!$I$7:$I$100,"")+SUMIFS('24g'!$J$7:$J$100,'24g'!$H$7:$H$100,$A241,'24g'!$I$7:$I$100,"")+SUMIFS('24h'!$J$7:$J$100,'24h'!$H$7:$H$100,$A241,'24h'!$I$7:$I$100,"")+SUMIFS('24i'!$J$7:$J$100,'24i'!$H$7:$H$100,$A241,'24i'!$I$7:$I$100,"")+SUMIFS('25'!$J$7:$J$100,'25'!$H$7:$H$100,$A241,'25'!$I$7:$I$100,"")+SUMIFS('26'!$J$7:$J$100,'26'!$H$7:$H$100,$A241,'26'!$I$7:$I$100,"")+SUMIFS('26a'!$J$7:$J$100,'26a'!$H$7:$H$100,$A241,'26a'!$I$7:$I$100,"")+SUMIFS('27'!$J$7:$J$100,'27'!$H$7:$H$100,$A241,'27'!$I$7:$I$100,"")+SUMIFS('27a'!$J$7:$J$100,'27a'!$H$7:$H$100,$A241,'27a'!$I$7:$I$100,"")+SUMIFS('28'!$J$7:$J$100,'28'!$H$7:$H$100,$A241,'28'!$I$7:$I$100,"")+SUMIFS('29'!$J$7:$J$100,'29'!$H$7:$H$100,$A241,'29'!$I$7:$I$100,"")</f>
        <v>0</v>
      </c>
      <c r="J241" s="1296">
        <f t="shared" si="21"/>
        <v>18727.2</v>
      </c>
      <c r="K241"/>
      <c r="L241"/>
      <c r="M241"/>
      <c r="N241"/>
      <c r="O241"/>
      <c r="P241"/>
      <c r="Q241"/>
      <c r="R241"/>
      <c r="S241" s="1307">
        <f t="shared" si="14"/>
        <v>74162.14</v>
      </c>
      <c r="T241"/>
    </row>
    <row r="242" spans="1:20" x14ac:dyDescent="0.2">
      <c r="A242" t="s">
        <v>5163</v>
      </c>
      <c r="B242" t="s">
        <v>5493</v>
      </c>
      <c r="C242" s="1295">
        <f>SUMIFS('12'!$N$7:$N$100,'12'!$H$7:$H$100,$A242,'12'!$I$7:$I$100,1)+SUMIFS('13'!$N$7:$N$100,'13'!$H$7:$H$100,$A242,'13'!$I$7:$I$100,1)+SUMIFS('14'!$N$7:$N$100,'14'!$H$7:$H$100,$A242,'14'!$I$7:$I$100,1)+SUMIFS('15'!$N$7:$N$100,'15'!$H$7:$H$100,$A242,'15'!$I$7:$I$100,1)+SUMIFS('15a'!$N$7:$N$100,'15a'!$H$7:$H$100,$A242,'15a'!$I$7:$I$100,1)+SUMIFS('15b'!$N$7:$N$100,'15b'!$H$7:$H$100,$A242,'15b'!$I$7:$I$100,1)+SUMIFS('15c'!$N$7:$N$100,'15c'!$H$7:$H$100,$A242,'15c'!$I$7:$I$100,1)+SUMIFS('15d'!$N$7:$N$100,'15d'!$H$7:$H$100,$A242,'15d'!$I$7:$I$100,1)+SUMIFS('15e'!$N$7:$N$100,'15e'!$H$7:$H$100,$A242,'15e'!$I$7:$I$100,1)+SUMIFS('15f'!$N$7:$N$100,'15f'!$H$7:$H$100,$A242,'15f'!$I$7:$I$100,1)+SUMIFS('15g'!$N$7:$N$100,'15g'!$H$7:$H$100,$A242,'15g'!$I$7:$I$100,1)+SUMIFS('15h'!$N$7:$N$100,'15h'!$H$7:$H$100,$A242,'15h'!$I$7:$I$100,1)+SUMIFS('15i'!$N$7:$N$100,'15i'!$H$7:$H$100,$A242,'15i'!$I$7:$I$100,1)+SUMIFS('15j'!$N$7:$N$100,'15j'!$H$7:$H$100,$A242,'15j'!$I$7:$I$100,1)+SUMIFS('15k'!$N$7:$N$100,'15k'!$H$7:$H$100,$A242,'15k'!$I$7:$I$100,1)+SUMIFS('15l'!$N$7:$N$100,'15l'!$H$7:$H$100,$A242,'15l'!$I$7:$I$100,1)+SUMIFS('15m'!$N$7:$N$100,'15m'!$H$7:$H$100,$A242,'15m'!$I$7:$I$100,1)+SUMIFS('15n'!$N$7:$N$100,'15n'!$H$7:$H$100,$A242,'15n'!$I$7:$I$100,1)+SUMIFS('16'!$N$7:$N$100,'16'!$H$7:$H$100,$A242,'16'!$I$7:$I$100,1)+SUMIFS('16a'!$N$7:$N$100,'16a'!$H$7:$H$100,$A242,'16a'!$I$7:$I$100,1)+SUMIFS('17'!$N$7:$N$100,'17'!$H$7:$H$100,$A242,'17'!$I$7:$I$100,1)+SUMIFS('17a'!$N$7:$N$100,'17a'!$H$7:$H$100,$A242,'17a'!$I$7:$I$100,1)+SUMIFS('18'!$N$7:$N$100,'18'!$H$7:$H$100,$A242,'18'!$I$7:$I$100,1)+SUMIFS('18a'!$N$7:$N$100,'18a'!$H$7:$H$100,$A242,'18a'!$I$7:$I$100,1)
+SUMIFS('19'!$N$7:$N$100,'19'!$H$7:$H$100,$A242,'19'!$I$7:$I$100,1)+SUMIFS('20'!$N$7:$N$100,'20'!$H$7:$H$100,$A242,'20'!$I$7:$I$100,1)+SUMIFS('20a'!$N$7:$N$100,'20a'!$H$7:$H$100,$A242,'20a'!$I$7:$I$100,1)+SUMIFS('21'!$N$7:$N$100,'21'!$H$7:$H$100,$A242,'21'!$I$7:$I$100,1)+SUMIFS('22'!$N$7:$N$100,'22'!$H$7:$H$100,$A242,'22'!$I$7:$I$100,1)+SUMIFS('22a'!$N$7:$N$100,'22a'!$H$7:$H$100,$A242,'22a'!$I$7:$I$100,1)+SUMIFS('22b'!$N$7:$N$100,'22b'!$H$7:$H$100,$A242,'22b'!$I$7:$I$100,1)+SUMIFS('23'!$N$7:$N$100,'23'!$H$7:$H$100,$A242,'23'!$I$7:$I$100,1)+SUMIFS('24'!$N$7:$N$100,'24'!$H$7:$H$100,$A242,'24'!$I$7:$I$100,1)+SUMIFS('24a'!$N$7:$N$100,'24a'!$H$7:$H$100,$A242,'24a'!$I$7:$I$100,1)+SUMIFS('24b'!$N$7:$N$100,'24b'!$H$7:$H$100,$A242,'24b'!$I$7:$I$100,1)+SUMIFS('24c'!$N$7:$N$100,'24c'!$H$7:$H$100,$A242,'24c'!$I$7:$I$100,1)+SUMIFS('24d'!$N$7:$N$100,'24d'!$H$7:$H$100,$A242,'24d'!$I$7:$I$100,1)+SUMIFS('24e'!$N$7:$N$100,'24e'!$H$7:$H$100,$A242,'24e'!$I$7:$I$100,1)+SUMIFS('24f'!$N$7:$N$100,'24f'!$H$7:$H$100,$A242,'24f'!$I$7:$I$100,1)+SUMIFS('24g'!$N$7:$N$100,'24g'!$H$7:$H$100,$A242,'24g'!$I$7:$I$100,1)+SUMIFS('24h'!$N$7:$N$100,'24h'!$H$7:$H$100,$A242,'24h'!$I$7:$I$100,1)+SUMIFS('24i'!$N$7:$N$100,'24i'!$H$7:$H$100,$A242,'24i'!$I$7:$I$100,1)+SUMIFS('25'!$N$7:$N$100,'25'!$H$7:$H$100,$A242,'25'!$I$7:$I$100,1)+SUMIFS('26'!$N$7:$N$100,'26'!$H$7:$H$100,$A242,'26'!$I$7:$I$100,1)+SUMIFS('26a'!$N$7:$N$100,'26a'!$H$7:$H$100,$A242,'26a'!$I$7:$I$100,1)+SUMIFS('27'!$N$7:$N$100,'27'!$H$7:$H$100,$A242,'27'!$I$7:$I$100,1)+SUMIFS('27a'!$N$7:$N$100,'27a'!$H$7:$H$100,$A242,'27a'!$I$7:$I$100,1)+SUMIFS('28'!$N$7:$N$100,'28'!$H$7:$H$100,$A242,'28'!$I$7:$I$100,1)+SUMIFS('29'!$N$7:$N$100,'29'!$H$7:$H$100,$A242,'29'!$I$7:$I$100,1)</f>
        <v>0</v>
      </c>
      <c r="D242" s="1315">
        <f>SUMIFS('12'!$N$7:$N$100,'12'!$H$7:$H$100,$A242,'12'!$I$7:$I$100,2)+SUMIFS('13'!$N$7:$N$100,'13'!$H$7:$H$100,$A242,'13'!$I$7:$I$100,2)+SUMIFS('14'!$N$7:$N$100,'14'!$H$7:$H$100,$A242,'14'!$I$7:$I$100,2)+SUMIFS('15'!$N$7:$N$100,'15'!$H$7:$H$100,$A242,'15'!$I$7:$I$100,2)+SUMIFS('15a'!$N$7:$N$100,'15a'!$H$7:$H$100,$A242,'15a'!$I$7:$I$100,2)+SUMIFS('15b'!$N$7:$N$100,'15b'!$H$7:$H$100,$A242,'15b'!$I$7:$I$100,2)+SUMIFS('15c'!$N$7:$N$100,'15c'!$H$7:$H$100,$A242,'15c'!$I$7:$I$100,2)+SUMIFS('15d'!$N$7:$N$100,'15d'!$H$7:$H$100,$A242,'15d'!$I$7:$I$100,2)+SUMIFS('15e'!$N$7:$N$100,'15e'!$H$7:$H$100,$A242,'15e'!$I$7:$I$100,2)+SUMIFS('15f'!$N$7:$N$100,'15f'!$H$7:$H$100,$A242,'15f'!$I$7:$I$100,2)+SUMIFS('15g'!$N$7:$N$100,'15g'!$H$7:$H$100,$A242,'15g'!$I$7:$I$100,2)+SUMIFS('15h'!$N$7:$N$100,'15h'!$H$7:$H$100,$A242,'15h'!$I$7:$I$100,2)+SUMIFS('15i'!$N$7:$N$100,'15i'!$H$7:$H$100,$A242,'15i'!$I$7:$I$100,2)+SUMIFS('15j'!$N$7:$N$100,'15j'!$H$7:$H$100,$A242,'15j'!$I$7:$I$100,2)+SUMIFS('15k'!$N$7:$N$100,'15k'!$H$7:$H$100,$A242,'15k'!$I$7:$I$100,2)+SUMIFS('15l'!$N$7:$N$100,'15l'!$H$7:$H$100,$A242,'15l'!$I$7:$I$100,2)+SUMIFS('15m'!$N$7:$N$100,'15m'!$H$7:$H$100,$A242,'15m'!$I$7:$I$100,2)+SUMIFS('15n'!$N$7:$N$100,'15n'!$H$7:$H$100,$A242,'15n'!$I$7:$I$100,2)+SUMIFS('16'!$N$7:$N$100,'16'!$H$7:$H$100,$A242,'16'!$I$7:$I$100,2)+SUMIFS('16a'!$N$7:$N$100,'16a'!$H$7:$H$100,$A242,'16a'!$I$7:$I$100,2)+SUMIFS('17'!$N$7:$N$100,'17'!$H$7:$H$100,$A242,'17'!$I$7:$I$100,2)+SUMIFS('17a'!$N$7:$N$100,'17a'!$H$7:$H$100,$A242,'17a'!$I$7:$I$100,2)+SUMIFS('18'!$N$7:$N$100,'18'!$H$7:$H$100,$A242,'18'!$I$7:$I$100,2)+SUMIFS('18a'!$N$7:$N$100,'18a'!$H$7:$H$100,$A242,'18a'!$I$7:$I$100,2)
+SUMIFS('19'!$N$7:$N$100,'19'!$H$7:$H$100,$A242,'19'!$I$7:$I$100,2)+SUMIFS('20'!$N$7:$N$100,'20'!$H$7:$H$100,$A242,'20'!$I$7:$I$100,2)+SUMIFS('20a'!$N$7:$N$100,'20a'!$H$7:$H$100,$A242,'20a'!$I$7:$I$100,2)+SUMIFS('21'!$N$7:$N$100,'21'!$H$7:$H$100,$A242,'21'!$I$7:$I$100,2)+SUMIFS('22'!$N$7:$N$100,'22'!$H$7:$H$100,$A242,'22'!$I$7:$I$100,2)+SUMIFS('22a'!$N$7:$N$100,'22a'!$H$7:$H$100,$A242,'22a'!$I$7:$I$100,2)+SUMIFS('22b'!$N$7:$N$100,'22b'!$H$7:$H$100,$A242,'22b'!$I$7:$I$100,2)+SUMIFS('23'!$N$7:$N$100,'23'!$H$7:$H$100,$A242,'23'!$I$7:$I$100,2)+SUMIFS('24'!$N$7:$N$100,'24'!$H$7:$H$100,$A242,'24'!$I$7:$I$100,2)+SUMIFS('24a'!$N$7:$N$100,'24a'!$H$7:$H$100,$A242,'24a'!$I$7:$I$100,2)+SUMIFS('24b'!$N$7:$N$100,'24b'!$H$7:$H$100,$A242,'24b'!$I$7:$I$100,2)+SUMIFS('24c'!$N$7:$N$100,'24c'!$H$7:$H$100,$A242,'24c'!$I$7:$I$100,2)+SUMIFS('24d'!$N$7:$N$100,'24d'!$H$7:$H$100,$A242,'24d'!$I$7:$I$100,2)+SUMIFS('24e'!$N$7:$N$100,'24e'!$H$7:$H$100,$A242,'24e'!$I$7:$I$100,2)+SUMIFS('24f'!$N$7:$N$100,'24f'!$H$7:$H$100,$A242,'24f'!$I$7:$I$100,2)+SUMIFS('24g'!$N$7:$N$100,'24g'!$H$7:$H$100,$A242,'24g'!$I$7:$I$100,2)+SUMIFS('24h'!$N$7:$N$100,'24h'!$H$7:$H$100,$A242,'24h'!$I$7:$I$100,2)+SUMIFS('24i'!$N$7:$N$100,'24i'!$H$7:$H$100,$A242,'24i'!$I$7:$I$100,2)+SUMIFS('25'!$N$7:$N$100,'25'!$H$7:$H$100,$A242,'25'!$I$7:$I$100,2)+SUMIFS('26'!$N$7:$N$100,'26'!$H$7:$H$100,$A242,'26'!$I$7:$I$100,2)+SUMIFS('26a'!$N$7:$N$100,'26a'!$H$7:$H$100,$A242,'26a'!$I$7:$I$100,2)+SUMIFS('27'!$N$7:$N$100,'27'!$H$7:$H$100,$A242,'27'!$I$7:$I$100,2)+SUMIFS('27a'!$N$7:$N$100,'27a'!$H$7:$H$100,$A242,'27a'!$I$7:$I$100,2)+SUMIFS('28'!$N$7:$N$100,'28'!$H$7:$H$100,$A242,'28'!$I$7:$I$100,2)+SUMIFS('29'!$N$7:$N$100,'29'!$H$7:$H$100,$A242,'29'!$I$7:$I$100,2)</f>
        <v>0</v>
      </c>
      <c r="E242" s="1315">
        <f>SUMIFS('12'!$N$7:$N$100,'12'!$H$7:$H$100,$A242,'12'!$I$7:$I$100,"")+SUMIFS('13'!$N$7:$N$100,'13'!$H$7:$H$100,$A242,'13'!$I$7:$I$100,"")+SUMIFS('14'!$N$7:$N$100,'14'!$H$7:$H$100,$A242,'14'!$I$7:$I$100,"")+SUMIFS('15'!$N$7:$N$100,'15'!$H$7:$H$100,$A242,'15'!$I$7:$I$100,"")+SUMIFS('15a'!$N$7:$N$100,'15a'!$H$7:$H$100,$A242,'15a'!$I$7:$I$100,"")+SUMIFS('15b'!$N$7:$N$100,'15b'!$H$7:$H$100,$A242,'15b'!$I$7:$I$100,"")+SUMIFS('15c'!$N$7:$N$100,'15c'!$H$7:$H$100,$A242,'15c'!$I$7:$I$100,"")+SUMIFS('15d'!$N$7:$N$100,'15d'!$H$7:$H$100,$A242,'15d'!$I$7:$I$100,"")+SUMIFS('15e'!$N$7:$N$100,'15e'!$H$7:$H$100,$A242,'15e'!$I$7:$I$100,"")+SUMIFS('15f'!$N$7:$N$100,'15f'!$H$7:$H$100,$A242,'15f'!$I$7:$I$100,"")+SUMIFS('15g'!$N$7:$N$100,'15g'!$H$7:$H$100,$A242,'15g'!$I$7:$I$100,"")+SUMIFS('15h'!$N$7:$N$100,'15h'!$H$7:$H$100,$A242,'15h'!$I$7:$I$100,"")+SUMIFS('15i'!$N$7:$N$100,'15i'!$H$7:$H$100,$A242,'15i'!$I$7:$I$100,"")+SUMIFS('15j'!$N$7:$N$100,'15j'!$H$7:$H$100,$A242,'15j'!$I$7:$I$100,"")+SUMIFS('15k'!$N$7:$N$100,'15k'!$H$7:$H$100,$A242,'15k'!$I$7:$I$100,"")+SUMIFS('15l'!$N$7:$N$100,'15l'!$H$7:$H$100,$A242,'15l'!$I$7:$I$100,"")+SUMIFS('15m'!$N$7:$N$100,'15m'!$H$7:$H$100,$A242,'15m'!$I$7:$I$100,"")+SUMIFS('15n'!$N$7:$N$100,'15n'!$H$7:$H$100,$A242,'15n'!$I$7:$I$100,"")+SUMIFS('16'!$N$7:$N$100,'16'!$H$7:$H$100,$A242,'16'!$I$7:$I$100,"")+SUMIFS('16a'!$N$7:$N$100,'16a'!$H$7:$H$100,$A242,'16a'!$I$7:$I$100,"")+SUMIFS('17'!$N$7:$N$100,'17'!$H$7:$H$100,$A242,'17'!$I$7:$I$100,"")+SUMIFS('17a'!$N$7:$N$100,'17a'!$H$7:$H$100,$A242,'17a'!$I$7:$I$100,"")+SUMIFS('18'!$N$7:$N$100,'18'!$H$7:$H$100,$A242,'18'!$I$7:$I$100,"")+SUMIFS('18a'!$N$7:$N$100,'18a'!$H$7:$H$100,$A242,'18a'!$I$7:$I$100,"")
+SUMIFS('19'!$N$7:$N$100,'19'!$H$7:$H$100,$A242,'19'!$I$7:$I$100,"")+SUMIFS('20'!$N$7:$N$100,'20'!$H$7:$H$100,$A242,'20'!$I$7:$I$100,"")+SUMIFS('20a'!$N$7:$N$100,'20a'!$H$7:$H$100,$A242,'20a'!$I$7:$I$100,"")+SUMIFS('21'!$N$7:$N$100,'21'!$H$7:$H$100,$A242,'21'!$I$7:$I$100,"")+SUMIFS('22'!$N$7:$N$100,'22'!$H$7:$H$100,$A242,'22'!$I$7:$I$100,"")+SUMIFS('22a'!$N$7:$N$100,'22a'!$H$7:$H$100,$A242,'22a'!$I$7:$I$100,"")+SUMIFS('22b'!$N$7:$N$100,'22b'!$H$7:$H$100,$A242,'22b'!$I$7:$I$100,"")+SUMIFS('23'!$N$7:$N$100,'23'!$H$7:$H$100,$A242,'23'!$I$7:$I$100,"")+SUMIFS('24'!$N$7:$N$100,'24'!$H$7:$H$100,$A242,'24'!$I$7:$I$100,"")+SUMIFS('24a'!$N$7:$N$100,'24a'!$H$7:$H$100,$A242,'24a'!$I$7:$I$100,"")+SUMIFS('24b'!$N$7:$N$100,'24b'!$H$7:$H$100,$A242,'24b'!$I$7:$I$100,"")+SUMIFS('24c'!$N$7:$N$100,'24c'!$H$7:$H$100,$A242,'24c'!$I$7:$I$100,"")+SUMIFS('24d'!$N$7:$N$100,'24d'!$H$7:$H$100,$A242,'24d'!$I$7:$I$100,"")+SUMIFS('24e'!$N$7:$N$100,'24e'!$H$7:$H$100,$A242,'24e'!$I$7:$I$100,"")+SUMIFS('24f'!$N$7:$N$100,'24f'!$H$7:$H$100,$A242,'24f'!$I$7:$I$100,"")+SUMIFS('24g'!$N$7:$N$100,'24g'!$H$7:$H$100,$A242,'24g'!$I$7:$I$100,"")+SUMIFS('24h'!$N$7:$N$100,'24h'!$H$7:$H$100,$A242,'24h'!$I$7:$I$100,"")+SUMIFS('24i'!$N$7:$N$100,'24i'!$H$7:$H$100,$A242,'24i'!$I$7:$I$100,"")+SUMIFS('25'!$N$7:$N$100,'25'!$H$7:$H$100,$A242,'25'!$I$7:$I$100,"")+SUMIFS('26'!$N$7:$N$100,'26'!$H$7:$H$100,$A242,'26'!$I$7:$I$100,"")+SUMIFS('26a'!$N$7:$N$100,'26a'!$H$7:$H$100,$A242,'26a'!$I$7:$I$100,"")+SUMIFS('27'!$N$7:$N$100,'27'!$H$7:$H$100,$A242,'27'!$I$7:$I$100,"")+SUMIFS('27a'!$N$7:$N$100,'27a'!$H$7:$H$100,$A242,'27a'!$I$7:$I$100,"")+SUMIFS('28'!$N$7:$N$100,'28'!$H$7:$H$100,$A242,'28'!$I$7:$I$100,"")+SUMIFS('29'!$N$7:$N$100,'29'!$H$7:$H$100,$A242,'29'!$I$7:$I$100,"")</f>
        <v>0</v>
      </c>
      <c r="F242" s="1296">
        <f t="shared" si="20"/>
        <v>0</v>
      </c>
      <c r="G242" s="1295">
        <f>SUMIFS('12'!$J$7:$J$100,'12'!$H$7:$H$100,$A242,'12'!$I$7:$I$100,1)+SUMIFS('13'!$J$7:$J$100,'13'!$H$7:$H$100,$A242,'13'!$I$7:$I$100,1)+SUMIFS('14'!$J$7:$J$100,'14'!$H$7:$H$100,$A242,'14'!$I$7:$I$100,1)+SUMIFS('15'!$J$7:$J$100,'15'!$H$7:$H$100,$A242,'15'!$I$7:$I$100,1)+SUMIFS('15a'!$J$7:$J$100,'15a'!$H$7:$H$100,$A242,'15a'!$I$7:$I$100,1)+SUMIFS('15b'!$J$7:$J$100,'15b'!$H$7:$H$100,$A242,'15b'!$I$7:$I$100,1)+SUMIFS('15c'!$J$7:$J$100,'15c'!$H$7:$H$100,$A242,'15c'!$I$7:$I$100,1)+SUMIFS('15d'!$J$7:$J$100,'15d'!$H$7:$H$100,$A242,'15d'!$I$7:$I$100,1)+SUMIFS('15e'!$J$7:$J$100,'15e'!$H$7:$H$100,$A242,'15e'!$I$7:$I$100,1)+SUMIFS('15f'!$J$7:$J$100,'15f'!$H$7:$H$100,$A242,'15f'!$I$7:$I$100,1)+SUMIFS('15g'!$J$7:$J$100,'15g'!$H$7:$H$100,$A242,'15g'!$I$7:$I$100,1)+SUMIFS('15h'!$J$7:$J$100,'15h'!$H$7:$H$100,$A242,'15h'!$I$7:$I$100,1)+SUMIFS('15i'!$J$7:$J$100,'15i'!$H$7:$H$100,$A242,'15i'!$I$7:$I$100,1)+SUMIFS('15j'!$J$7:$J$100,'15j'!$H$7:$H$100,$A242,'15j'!$I$7:$I$100,1)+SUMIFS('15k'!$J$7:$J$100,'15k'!$H$7:$H$100,$A242,'15k'!$I$7:$I$100,1)+SUMIFS('15l'!$J$7:$J$100,'15l'!$H$7:$H$100,$A242,'15l'!$I$7:$I$100,1)+SUMIFS('15m'!$J$7:$J$100,'15m'!$H$7:$H$100,$A242,'15m'!$I$7:$I$100,1)+SUMIFS('15n'!$J$7:$J$100,'15n'!$H$7:$H$100,$A242,'15n'!$I$7:$I$100,1)+SUMIFS('16'!$J$7:$J$100,'16'!$H$7:$H$100,$A242,'16'!$I$7:$I$100,1)+SUMIFS('16a'!$J$7:$J$100,'16a'!$H$7:$H$100,$A242,'16a'!$I$7:$I$100,1)+SUMIFS('17'!$J$7:$J$100,'17'!$H$7:$H$100,$A242,'17'!$I$7:$I$100,1)+SUMIFS('17a'!$J$7:$J$100,'17a'!$H$7:$H$100,$A242,'17a'!$I$7:$I$100,1)+SUMIFS('18'!$J$7:$J$100,'18'!$H$7:$H$100,$A242,'18'!$I$7:$I$100,1)+SUMIFS('18a'!$J$7:$J$100,'18a'!$H$7:$H$100,$A242,'18a'!$I$7:$I$100,1)
+SUMIFS('19'!$J$7:$J$100,'19'!$H$7:$H$100,$A242,'19'!$I$7:$I$100,1)+SUMIFS('20'!$J$7:$J$100,'20'!$H$7:$H$100,$A242,'20'!$I$7:$I$100,1)+SUMIFS('20a'!$J$7:$J$100,'20a'!$H$7:$H$100,$A242,'20a'!$I$7:$I$100,1)+SUMIFS('21'!$J$7:$J$100,'21'!$H$7:$H$100,$A242,'21'!$I$7:$I$100,1)+SUMIFS('22'!$J$7:$J$100,'22'!$H$7:$H$100,$A242,'22'!$I$7:$I$100,1)+SUMIFS('22a'!$J$7:$J$100,'22a'!$H$7:$H$100,$A242,'22a'!$I$7:$I$100,1)+SUMIFS('22b'!$J$7:$J$100,'22b'!$H$7:$H$100,$A242,'22b'!$I$7:$I$100,1)+SUMIFS('23'!$J$7:$J$100,'23'!$H$7:$H$100,$A242,'23'!$I$7:$I$100,1)+SUMIFS('24'!$J$7:$J$100,'24'!$H$7:$H$100,$A242,'24'!$I$7:$I$100,1)+SUMIFS('24a'!$J$7:$J$100,'24a'!$H$7:$H$100,$A242,'24a'!$I$7:$I$100,1)+SUMIFS('24b'!$J$7:$J$100,'24b'!$H$7:$H$100,$A242,'24b'!$I$7:$I$100,1)+SUMIFS('24c'!$J$7:$J$100,'24c'!$H$7:$H$100,$A242,'24c'!$I$7:$I$100,1)+SUMIFS('24d'!$J$7:$J$100,'24d'!$H$7:$H$100,$A242,'24d'!$I$7:$I$100,1)+SUMIFS('24e'!$J$7:$J$100,'24e'!$H$7:$H$100,$A242,'24e'!$I$7:$I$100,1)+SUMIFS('24f'!$J$7:$J$100,'24f'!$H$7:$H$100,$A242,'24f'!$I$7:$I$100,1)+SUMIFS('24g'!$J$7:$J$100,'24g'!$H$7:$H$100,$A242,'24g'!$I$7:$I$100,1)+SUMIFS('24h'!$J$7:$J$100,'24h'!$H$7:$H$100,$A242,'24h'!$I$7:$I$100,1)+SUMIFS('24i'!$J$7:$J$100,'24i'!$H$7:$H$100,$A242,'24i'!$I$7:$I$100,1)+SUMIFS('25'!$J$7:$J$100,'25'!$H$7:$H$100,$A242,'25'!$I$7:$I$100,1)+SUMIFS('26'!$J$7:$J$100,'26'!$H$7:$H$100,$A242,'26'!$I$7:$I$100,1)+SUMIFS('26a'!$J$7:$J$100,'26a'!$H$7:$H$100,$A242,'26a'!$I$7:$I$100,1)+SUMIFS('27'!$J$7:$J$100,'27'!$H$7:$H$100,$A242,'27'!$I$7:$I$100,1)+SUMIFS('27a'!$J$7:$J$100,'27a'!$H$7:$H$100,$A242,'27a'!$I$7:$I$100,1)+SUMIFS('28'!$J$7:$J$100,'28'!$H$7:$H$100,$A242,'28'!$I$7:$I$100,1)+SUMIFS('29'!$J$7:$J$100,'29'!$H$7:$H$100,$A242,'29'!$I$7:$I$100,1)</f>
        <v>0</v>
      </c>
      <c r="H242" s="1315">
        <f>SUMIFS('12'!$J$7:$J$100,'12'!$H$7:$H$100,$A242,'12'!$I$7:$I$100,2)+SUMIFS('13'!$J$7:$J$100,'13'!$H$7:$H$100,$A242,'13'!$I$7:$I$100,2)+SUMIFS('14'!$J$7:$J$100,'14'!$H$7:$H$100,$A242,'14'!$I$7:$I$100,2)+SUMIFS('15'!$J$7:$J$100,'15'!$H$7:$H$100,$A242,'15'!$I$7:$I$100,2)+SUMIFS('15a'!$J$7:$J$100,'15a'!$H$7:$H$100,$A242,'15a'!$I$7:$I$100,2)+SUMIFS('15b'!$J$7:$J$100,'15b'!$H$7:$H$100,$A242,'15b'!$I$7:$I$100,2)+SUMIFS('15c'!$J$7:$J$100,'15c'!$H$7:$H$100,$A242,'15c'!$I$7:$I$100,2)+SUMIFS('15d'!$J$7:$J$100,'15d'!$H$7:$H$100,$A242,'15d'!$I$7:$I$100,2)+SUMIFS('15e'!$J$7:$J$100,'15e'!$H$7:$H$100,$A242,'15e'!$I$7:$I$100,2)+SUMIFS('15f'!$J$7:$J$100,'15f'!$H$7:$H$100,$A242,'15f'!$I$7:$I$100,2)+SUMIFS('15g'!$J$7:$J$100,'15g'!$H$7:$H$100,$A242,'15g'!$I$7:$I$100,2)+SUMIFS('15h'!$J$7:$J$100,'15h'!$H$7:$H$100,$A242,'15h'!$I$7:$I$100,2)+SUMIFS('15i'!$J$7:$J$100,'15i'!$H$7:$H$100,$A242,'15i'!$I$7:$I$100,2)+SUMIFS('15j'!$J$7:$J$100,'15j'!$H$7:$H$100,$A242,'15j'!$I$7:$I$100,2)+SUMIFS('15k'!$J$7:$J$100,'15k'!$H$7:$H$100,$A242,'15k'!$I$7:$I$100,2)+SUMIFS('15l'!$J$7:$J$100,'15l'!$H$7:$H$100,$A242,'15l'!$I$7:$I$100,2)+SUMIFS('15m'!$J$7:$J$100,'15m'!$H$7:$H$100,$A242,'15m'!$I$7:$I$100,2)+SUMIFS('15n'!$J$7:$J$100,'15n'!$H$7:$H$100,$A242,'15n'!$I$7:$I$100,2)+SUMIFS('16'!$J$7:$J$100,'16'!$H$7:$H$100,$A242,'16'!$I$7:$I$100,2)+SUMIFS('16a'!$J$7:$J$100,'16a'!$H$7:$H$100,$A242,'16a'!$I$7:$I$100,2)+SUMIFS('17'!$J$7:$J$100,'17'!$H$7:$H$100,$A242,'17'!$I$7:$I$100,2)+SUMIFS('17a'!$J$7:$J$100,'17a'!$H$7:$H$100,$A242,'17a'!$I$7:$I$100,2)+SUMIFS('18'!$J$7:$J$100,'18'!$H$7:$H$100,$A242,'18'!$I$7:$I$100,2)+SUMIFS('18a'!$J$7:$J$100,'18a'!$H$7:$H$100,$A242,'18a'!$I$7:$I$100,2)
+SUMIFS('19'!$J$7:$J$100,'19'!$H$7:$H$100,$A242,'19'!$I$7:$I$100,2)+SUMIFS('20'!$J$7:$J$100,'20'!$H$7:$H$100,$A242,'20'!$I$7:$I$100,2)+SUMIFS('20a'!$J$7:$J$100,'20a'!$H$7:$H$100,$A242,'20a'!$I$7:$I$100,2)+SUMIFS('21'!$J$7:$J$100,'21'!$H$7:$H$100,$A242,'21'!$I$7:$I$100,2)+SUMIFS('22'!$J$7:$J$100,'22'!$H$7:$H$100,$A242,'22'!$I$7:$I$100,2)+SUMIFS('22a'!$J$7:$J$100,'22a'!$H$7:$H$100,$A242,'22a'!$I$7:$I$100,2)+SUMIFS('22b'!$J$7:$J$100,'22b'!$H$7:$H$100,$A242,'22b'!$I$7:$I$100,2)+SUMIFS('23'!$J$7:$J$100,'23'!$H$7:$H$100,$A242,'23'!$I$7:$I$100,2)+SUMIFS('24'!$J$7:$J$100,'24'!$H$7:$H$100,$A242,'24'!$I$7:$I$100,2)+SUMIFS('24a'!$J$7:$J$100,'24a'!$H$7:$H$100,$A242,'24a'!$I$7:$I$100,2)+SUMIFS('24b'!$J$7:$J$100,'24b'!$H$7:$H$100,$A242,'24b'!$I$7:$I$100,2)+SUMIFS('24c'!$J$7:$J$100,'24c'!$H$7:$H$100,$A242,'24c'!$I$7:$I$100,2)+SUMIFS('24d'!$J$7:$J$100,'24d'!$H$7:$H$100,$A242,'24d'!$I$7:$I$100,2)+SUMIFS('24e'!$J$7:$J$100,'24e'!$H$7:$H$100,$A242,'24e'!$I$7:$I$100,2)+SUMIFS('24f'!$J$7:$J$100,'24f'!$H$7:$H$100,$A242,'24f'!$I$7:$I$100,2)+SUMIFS('24g'!$J$7:$J$100,'24g'!$H$7:$H$100,$A242,'24g'!$I$7:$I$100,2)+SUMIFS('24h'!$J$7:$J$100,'24h'!$H$7:$H$100,$A242,'24h'!$I$7:$I$100,2)+SUMIFS('24i'!$J$7:$J$100,'24i'!$H$7:$H$100,$A242,'24i'!$I$7:$I$100,2)+SUMIFS('25'!$J$7:$J$100,'25'!$H$7:$H$100,$A242,'25'!$I$7:$I$100,2)+SUMIFS('26'!$J$7:$J$100,'26'!$H$7:$H$100,$A242,'26'!$I$7:$I$100,2)+SUMIFS('26a'!$J$7:$J$100,'26a'!$H$7:$H$100,$A242,'26a'!$I$7:$I$100,2)+SUMIFS('27'!$J$7:$J$100,'27'!$H$7:$H$100,$A242,'27'!$I$7:$I$100,2)+SUMIFS('27a'!$J$7:$J$100,'27a'!$H$7:$H$100,$A242,'27a'!$I$7:$I$100,2)+SUMIFS('28'!$J$7:$J$100,'28'!$H$7:$H$100,$A242,'28'!$I$7:$I$100,2)+SUMIFS('29'!$J$7:$J$100,'29'!$H$7:$H$100,$A242,'29'!$I$7:$I$100,2)</f>
        <v>0</v>
      </c>
      <c r="I242" s="1315">
        <f>SUMIFS('12'!$J$7:$J$100,'12'!$H$7:$H$100,$A242,'12'!$I$7:$I$100,"")+SUMIFS('13'!$J$7:$J$100,'13'!$H$7:$H$100,$A242,'13'!$I$7:$I$100,"")+SUMIFS('14'!$J$7:$J$100,'14'!$H$7:$H$100,$A242,'14'!$I$7:$I$100,"")+SUMIFS('15'!$J$7:$J$100,'15'!$H$7:$H$100,$A242,'15'!$I$7:$I$100,"")+SUMIFS('15a'!$J$7:$J$100,'15a'!$H$7:$H$100,$A242,'15a'!$I$7:$I$100,"")+SUMIFS('15b'!$J$7:$J$100,'15b'!$H$7:$H$100,$A242,'15b'!$I$7:$I$100,"")+SUMIFS('15c'!$J$7:$J$100,'15c'!$H$7:$H$100,$A242,'15c'!$I$7:$I$100,"")+SUMIFS('15d'!$J$7:$J$100,'15d'!$H$7:$H$100,$A242,'15d'!$I$7:$I$100,"")+SUMIFS('15e'!$J$7:$J$100,'15e'!$H$7:$H$100,$A242,'15e'!$I$7:$I$100,"")+SUMIFS('15f'!$J$7:$J$100,'15f'!$H$7:$H$100,$A242,'15f'!$I$7:$I$100,"")+SUMIFS('15g'!$J$7:$J$100,'15g'!$H$7:$H$100,$A242,'15g'!$I$7:$I$100,"")+SUMIFS('15h'!$J$7:$J$100,'15h'!$H$7:$H$100,$A242,'15h'!$I$7:$I$100,"")+SUMIFS('15i'!$J$7:$J$100,'15i'!$H$7:$H$100,$A242,'15i'!$I$7:$I$100,"")+SUMIFS('15j'!$J$7:$J$100,'15j'!$H$7:$H$100,$A242,'15j'!$I$7:$I$100,"")+SUMIFS('15k'!$J$7:$J$100,'15k'!$H$7:$H$100,$A242,'15k'!$I$7:$I$100,"")+SUMIFS('15l'!$J$7:$J$100,'15l'!$H$7:$H$100,$A242,'15l'!$I$7:$I$100,"")+SUMIFS('15m'!$J$7:$J$100,'15m'!$H$7:$H$100,$A242,'15m'!$I$7:$I$100,"")+SUMIFS('15n'!$J$7:$J$100,'15n'!$H$7:$H$100,$A242,'15n'!$I$7:$I$100,"")+SUMIFS('16'!$J$7:$J$100,'16'!$H$7:$H$100,$A242,'16'!$I$7:$I$100,"")+SUMIFS('16a'!$J$7:$J$100,'16a'!$H$7:$H$100,$A242,'16a'!$I$7:$I$100,"")+SUMIFS('17'!$J$7:$J$100,'17'!$H$7:$H$100,$A242,'17'!$I$7:$I$100,"")+SUMIFS('17a'!$J$7:$J$100,'17a'!$H$7:$H$100,$A242,'17a'!$I$7:$I$100,"")+SUMIFS('18'!$J$7:$J$100,'18'!$H$7:$H$100,$A242,'18'!$I$7:$I$100,"")+SUMIFS('18a'!$J$7:$J$100,'18a'!$H$7:$H$100,$A242,'18a'!$I$7:$I$100,"")
+SUMIFS('19'!$J$7:$J$100,'19'!$H$7:$H$100,$A242,'19'!$I$7:$I$100,"")+SUMIFS('20'!$J$7:$J$100,'20'!$H$7:$H$100,$A242,'20'!$I$7:$I$100,"")+SUMIFS('20a'!$J$7:$J$100,'20a'!$H$7:$H$100,$A242,'20a'!$I$7:$I$100,"")+SUMIFS('21'!$J$7:$J$100,'21'!$H$7:$H$100,$A242,'21'!$I$7:$I$100,"")+SUMIFS('22'!$J$7:$J$100,'22'!$H$7:$H$100,$A242,'22'!$I$7:$I$100,"")+SUMIFS('22a'!$J$7:$J$100,'22a'!$H$7:$H$100,$A242,'22a'!$I$7:$I$100,"")+SUMIFS('22b'!$J$7:$J$100,'22b'!$H$7:$H$100,$A242,'22b'!$I$7:$I$100,"")+SUMIFS('23'!$J$7:$J$100,'23'!$H$7:$H$100,$A242,'23'!$I$7:$I$100,"")+SUMIFS('24'!$J$7:$J$100,'24'!$H$7:$H$100,$A242,'24'!$I$7:$I$100,"")+SUMIFS('24a'!$J$7:$J$100,'24a'!$H$7:$H$100,$A242,'24a'!$I$7:$I$100,"")+SUMIFS('24b'!$J$7:$J$100,'24b'!$H$7:$H$100,$A242,'24b'!$I$7:$I$100,"")+SUMIFS('24c'!$J$7:$J$100,'24c'!$H$7:$H$100,$A242,'24c'!$I$7:$I$100,"")+SUMIFS('24d'!$J$7:$J$100,'24d'!$H$7:$H$100,$A242,'24d'!$I$7:$I$100,"")+SUMIFS('24e'!$J$7:$J$100,'24e'!$H$7:$H$100,$A242,'24e'!$I$7:$I$100,"")+SUMIFS('24f'!$J$7:$J$100,'24f'!$H$7:$H$100,$A242,'24f'!$I$7:$I$100,"")+SUMIFS('24g'!$J$7:$J$100,'24g'!$H$7:$H$100,$A242,'24g'!$I$7:$I$100,"")+SUMIFS('24h'!$J$7:$J$100,'24h'!$H$7:$H$100,$A242,'24h'!$I$7:$I$100,"")+SUMIFS('24i'!$J$7:$J$100,'24i'!$H$7:$H$100,$A242,'24i'!$I$7:$I$100,"")+SUMIFS('25'!$J$7:$J$100,'25'!$H$7:$H$100,$A242,'25'!$I$7:$I$100,"")+SUMIFS('26'!$J$7:$J$100,'26'!$H$7:$H$100,$A242,'26'!$I$7:$I$100,"")+SUMIFS('26a'!$J$7:$J$100,'26a'!$H$7:$H$100,$A242,'26a'!$I$7:$I$100,"")+SUMIFS('27'!$J$7:$J$100,'27'!$H$7:$H$100,$A242,'27'!$I$7:$I$100,"")+SUMIFS('27a'!$J$7:$J$100,'27a'!$H$7:$H$100,$A242,'27a'!$I$7:$I$100,"")+SUMIFS('28'!$J$7:$J$100,'28'!$H$7:$H$100,$A242,'28'!$I$7:$I$100,"")+SUMIFS('29'!$J$7:$J$100,'29'!$H$7:$H$100,$A242,'29'!$I$7:$I$100,"")</f>
        <v>0</v>
      </c>
      <c r="J242" s="1296">
        <f t="shared" si="21"/>
        <v>0</v>
      </c>
      <c r="K242"/>
      <c r="L242"/>
      <c r="M242"/>
      <c r="N242"/>
      <c r="O242"/>
      <c r="P242"/>
      <c r="Q242"/>
      <c r="R242"/>
      <c r="S242" s="1307">
        <f t="shared" si="14"/>
        <v>0</v>
      </c>
      <c r="T242"/>
    </row>
    <row r="243" spans="1:20" x14ac:dyDescent="0.2">
      <c r="A243" t="s">
        <v>5164</v>
      </c>
      <c r="B243" t="s">
        <v>5494</v>
      </c>
      <c r="C243" s="1295">
        <f>SUMIFS('12'!$N$7:$N$100,'12'!$H$7:$H$100,$A243,'12'!$I$7:$I$100,1)+SUMIFS('13'!$N$7:$N$100,'13'!$H$7:$H$100,$A243,'13'!$I$7:$I$100,1)+SUMIFS('14'!$N$7:$N$100,'14'!$H$7:$H$100,$A243,'14'!$I$7:$I$100,1)+SUMIFS('15'!$N$7:$N$100,'15'!$H$7:$H$100,$A243,'15'!$I$7:$I$100,1)+SUMIFS('15a'!$N$7:$N$100,'15a'!$H$7:$H$100,$A243,'15a'!$I$7:$I$100,1)+SUMIFS('15b'!$N$7:$N$100,'15b'!$H$7:$H$100,$A243,'15b'!$I$7:$I$100,1)+SUMIFS('15c'!$N$7:$N$100,'15c'!$H$7:$H$100,$A243,'15c'!$I$7:$I$100,1)+SUMIFS('15d'!$N$7:$N$100,'15d'!$H$7:$H$100,$A243,'15d'!$I$7:$I$100,1)+SUMIFS('15e'!$N$7:$N$100,'15e'!$H$7:$H$100,$A243,'15e'!$I$7:$I$100,1)+SUMIFS('15f'!$N$7:$N$100,'15f'!$H$7:$H$100,$A243,'15f'!$I$7:$I$100,1)+SUMIFS('15g'!$N$7:$N$100,'15g'!$H$7:$H$100,$A243,'15g'!$I$7:$I$100,1)+SUMIFS('15h'!$N$7:$N$100,'15h'!$H$7:$H$100,$A243,'15h'!$I$7:$I$100,1)+SUMIFS('15i'!$N$7:$N$100,'15i'!$H$7:$H$100,$A243,'15i'!$I$7:$I$100,1)+SUMIFS('15j'!$N$7:$N$100,'15j'!$H$7:$H$100,$A243,'15j'!$I$7:$I$100,1)+SUMIFS('15k'!$N$7:$N$100,'15k'!$H$7:$H$100,$A243,'15k'!$I$7:$I$100,1)+SUMIFS('15l'!$N$7:$N$100,'15l'!$H$7:$H$100,$A243,'15l'!$I$7:$I$100,1)+SUMIFS('15m'!$N$7:$N$100,'15m'!$H$7:$H$100,$A243,'15m'!$I$7:$I$100,1)+SUMIFS('15n'!$N$7:$N$100,'15n'!$H$7:$H$100,$A243,'15n'!$I$7:$I$100,1)+SUMIFS('16'!$N$7:$N$100,'16'!$H$7:$H$100,$A243,'16'!$I$7:$I$100,1)+SUMIFS('16a'!$N$7:$N$100,'16a'!$H$7:$H$100,$A243,'16a'!$I$7:$I$100,1)+SUMIFS('17'!$N$7:$N$100,'17'!$H$7:$H$100,$A243,'17'!$I$7:$I$100,1)+SUMIFS('17a'!$N$7:$N$100,'17a'!$H$7:$H$100,$A243,'17a'!$I$7:$I$100,1)+SUMIFS('18'!$N$7:$N$100,'18'!$H$7:$H$100,$A243,'18'!$I$7:$I$100,1)+SUMIFS('18a'!$N$7:$N$100,'18a'!$H$7:$H$100,$A243,'18a'!$I$7:$I$100,1)
+SUMIFS('19'!$N$7:$N$100,'19'!$H$7:$H$100,$A243,'19'!$I$7:$I$100,1)+SUMIFS('20'!$N$7:$N$100,'20'!$H$7:$H$100,$A243,'20'!$I$7:$I$100,1)+SUMIFS('20a'!$N$7:$N$100,'20a'!$H$7:$H$100,$A243,'20a'!$I$7:$I$100,1)+SUMIFS('21'!$N$7:$N$100,'21'!$H$7:$H$100,$A243,'21'!$I$7:$I$100,1)+SUMIFS('22'!$N$7:$N$100,'22'!$H$7:$H$100,$A243,'22'!$I$7:$I$100,1)+SUMIFS('22a'!$N$7:$N$100,'22a'!$H$7:$H$100,$A243,'22a'!$I$7:$I$100,1)+SUMIFS('22b'!$N$7:$N$100,'22b'!$H$7:$H$100,$A243,'22b'!$I$7:$I$100,1)+SUMIFS('23'!$N$7:$N$100,'23'!$H$7:$H$100,$A243,'23'!$I$7:$I$100,1)+SUMIFS('24'!$N$7:$N$100,'24'!$H$7:$H$100,$A243,'24'!$I$7:$I$100,1)+SUMIFS('24a'!$N$7:$N$100,'24a'!$H$7:$H$100,$A243,'24a'!$I$7:$I$100,1)+SUMIFS('24b'!$N$7:$N$100,'24b'!$H$7:$H$100,$A243,'24b'!$I$7:$I$100,1)+SUMIFS('24c'!$N$7:$N$100,'24c'!$H$7:$H$100,$A243,'24c'!$I$7:$I$100,1)+SUMIFS('24d'!$N$7:$N$100,'24d'!$H$7:$H$100,$A243,'24d'!$I$7:$I$100,1)+SUMIFS('24e'!$N$7:$N$100,'24e'!$H$7:$H$100,$A243,'24e'!$I$7:$I$100,1)+SUMIFS('24f'!$N$7:$N$100,'24f'!$H$7:$H$100,$A243,'24f'!$I$7:$I$100,1)+SUMIFS('24g'!$N$7:$N$100,'24g'!$H$7:$H$100,$A243,'24g'!$I$7:$I$100,1)+SUMIFS('24h'!$N$7:$N$100,'24h'!$H$7:$H$100,$A243,'24h'!$I$7:$I$100,1)+SUMIFS('24i'!$N$7:$N$100,'24i'!$H$7:$H$100,$A243,'24i'!$I$7:$I$100,1)+SUMIFS('25'!$N$7:$N$100,'25'!$H$7:$H$100,$A243,'25'!$I$7:$I$100,1)+SUMIFS('26'!$N$7:$N$100,'26'!$H$7:$H$100,$A243,'26'!$I$7:$I$100,1)+SUMIFS('26a'!$N$7:$N$100,'26a'!$H$7:$H$100,$A243,'26a'!$I$7:$I$100,1)+SUMIFS('27'!$N$7:$N$100,'27'!$H$7:$H$100,$A243,'27'!$I$7:$I$100,1)+SUMIFS('27a'!$N$7:$N$100,'27a'!$H$7:$H$100,$A243,'27a'!$I$7:$I$100,1)+SUMIFS('28'!$N$7:$N$100,'28'!$H$7:$H$100,$A243,'28'!$I$7:$I$100,1)+SUMIFS('29'!$N$7:$N$100,'29'!$H$7:$H$100,$A243,'29'!$I$7:$I$100,1)</f>
        <v>0</v>
      </c>
      <c r="D243" s="1315">
        <f>SUMIFS('12'!$N$7:$N$100,'12'!$H$7:$H$100,$A243,'12'!$I$7:$I$100,2)+SUMIFS('13'!$N$7:$N$100,'13'!$H$7:$H$100,$A243,'13'!$I$7:$I$100,2)+SUMIFS('14'!$N$7:$N$100,'14'!$H$7:$H$100,$A243,'14'!$I$7:$I$100,2)+SUMIFS('15'!$N$7:$N$100,'15'!$H$7:$H$100,$A243,'15'!$I$7:$I$100,2)+SUMIFS('15a'!$N$7:$N$100,'15a'!$H$7:$H$100,$A243,'15a'!$I$7:$I$100,2)+SUMIFS('15b'!$N$7:$N$100,'15b'!$H$7:$H$100,$A243,'15b'!$I$7:$I$100,2)+SUMIFS('15c'!$N$7:$N$100,'15c'!$H$7:$H$100,$A243,'15c'!$I$7:$I$100,2)+SUMIFS('15d'!$N$7:$N$100,'15d'!$H$7:$H$100,$A243,'15d'!$I$7:$I$100,2)+SUMIFS('15e'!$N$7:$N$100,'15e'!$H$7:$H$100,$A243,'15e'!$I$7:$I$100,2)+SUMIFS('15f'!$N$7:$N$100,'15f'!$H$7:$H$100,$A243,'15f'!$I$7:$I$100,2)+SUMIFS('15g'!$N$7:$N$100,'15g'!$H$7:$H$100,$A243,'15g'!$I$7:$I$100,2)+SUMIFS('15h'!$N$7:$N$100,'15h'!$H$7:$H$100,$A243,'15h'!$I$7:$I$100,2)+SUMIFS('15i'!$N$7:$N$100,'15i'!$H$7:$H$100,$A243,'15i'!$I$7:$I$100,2)+SUMIFS('15j'!$N$7:$N$100,'15j'!$H$7:$H$100,$A243,'15j'!$I$7:$I$100,2)+SUMIFS('15k'!$N$7:$N$100,'15k'!$H$7:$H$100,$A243,'15k'!$I$7:$I$100,2)+SUMIFS('15l'!$N$7:$N$100,'15l'!$H$7:$H$100,$A243,'15l'!$I$7:$I$100,2)+SUMIFS('15m'!$N$7:$N$100,'15m'!$H$7:$H$100,$A243,'15m'!$I$7:$I$100,2)+SUMIFS('15n'!$N$7:$N$100,'15n'!$H$7:$H$100,$A243,'15n'!$I$7:$I$100,2)+SUMIFS('16'!$N$7:$N$100,'16'!$H$7:$H$100,$A243,'16'!$I$7:$I$100,2)+SUMIFS('16a'!$N$7:$N$100,'16a'!$H$7:$H$100,$A243,'16a'!$I$7:$I$100,2)+SUMIFS('17'!$N$7:$N$100,'17'!$H$7:$H$100,$A243,'17'!$I$7:$I$100,2)+SUMIFS('17a'!$N$7:$N$100,'17a'!$H$7:$H$100,$A243,'17a'!$I$7:$I$100,2)+SUMIFS('18'!$N$7:$N$100,'18'!$H$7:$H$100,$A243,'18'!$I$7:$I$100,2)+SUMIFS('18a'!$N$7:$N$100,'18a'!$H$7:$H$100,$A243,'18a'!$I$7:$I$100,2)
+SUMIFS('19'!$N$7:$N$100,'19'!$H$7:$H$100,$A243,'19'!$I$7:$I$100,2)+SUMIFS('20'!$N$7:$N$100,'20'!$H$7:$H$100,$A243,'20'!$I$7:$I$100,2)+SUMIFS('20a'!$N$7:$N$100,'20a'!$H$7:$H$100,$A243,'20a'!$I$7:$I$100,2)+SUMIFS('21'!$N$7:$N$100,'21'!$H$7:$H$100,$A243,'21'!$I$7:$I$100,2)+SUMIFS('22'!$N$7:$N$100,'22'!$H$7:$H$100,$A243,'22'!$I$7:$I$100,2)+SUMIFS('22a'!$N$7:$N$100,'22a'!$H$7:$H$100,$A243,'22a'!$I$7:$I$100,2)+SUMIFS('22b'!$N$7:$N$100,'22b'!$H$7:$H$100,$A243,'22b'!$I$7:$I$100,2)+SUMIFS('23'!$N$7:$N$100,'23'!$H$7:$H$100,$A243,'23'!$I$7:$I$100,2)+SUMIFS('24'!$N$7:$N$100,'24'!$H$7:$H$100,$A243,'24'!$I$7:$I$100,2)+SUMIFS('24a'!$N$7:$N$100,'24a'!$H$7:$H$100,$A243,'24a'!$I$7:$I$100,2)+SUMIFS('24b'!$N$7:$N$100,'24b'!$H$7:$H$100,$A243,'24b'!$I$7:$I$100,2)+SUMIFS('24c'!$N$7:$N$100,'24c'!$H$7:$H$100,$A243,'24c'!$I$7:$I$100,2)+SUMIFS('24d'!$N$7:$N$100,'24d'!$H$7:$H$100,$A243,'24d'!$I$7:$I$100,2)+SUMIFS('24e'!$N$7:$N$100,'24e'!$H$7:$H$100,$A243,'24e'!$I$7:$I$100,2)+SUMIFS('24f'!$N$7:$N$100,'24f'!$H$7:$H$100,$A243,'24f'!$I$7:$I$100,2)+SUMIFS('24g'!$N$7:$N$100,'24g'!$H$7:$H$100,$A243,'24g'!$I$7:$I$100,2)+SUMIFS('24h'!$N$7:$N$100,'24h'!$H$7:$H$100,$A243,'24h'!$I$7:$I$100,2)+SUMIFS('24i'!$N$7:$N$100,'24i'!$H$7:$H$100,$A243,'24i'!$I$7:$I$100,2)+SUMIFS('25'!$N$7:$N$100,'25'!$H$7:$H$100,$A243,'25'!$I$7:$I$100,2)+SUMIFS('26'!$N$7:$N$100,'26'!$H$7:$H$100,$A243,'26'!$I$7:$I$100,2)+SUMIFS('26a'!$N$7:$N$100,'26a'!$H$7:$H$100,$A243,'26a'!$I$7:$I$100,2)+SUMIFS('27'!$N$7:$N$100,'27'!$H$7:$H$100,$A243,'27'!$I$7:$I$100,2)+SUMIFS('27a'!$N$7:$N$100,'27a'!$H$7:$H$100,$A243,'27a'!$I$7:$I$100,2)+SUMIFS('28'!$N$7:$N$100,'28'!$H$7:$H$100,$A243,'28'!$I$7:$I$100,2)+SUMIFS('29'!$N$7:$N$100,'29'!$H$7:$H$100,$A243,'29'!$I$7:$I$100,2)</f>
        <v>0</v>
      </c>
      <c r="E243" s="1315">
        <f>SUMIFS('12'!$N$7:$N$100,'12'!$H$7:$H$100,$A243,'12'!$I$7:$I$100,"")+SUMIFS('13'!$N$7:$N$100,'13'!$H$7:$H$100,$A243,'13'!$I$7:$I$100,"")+SUMIFS('14'!$N$7:$N$100,'14'!$H$7:$H$100,$A243,'14'!$I$7:$I$100,"")+SUMIFS('15'!$N$7:$N$100,'15'!$H$7:$H$100,$A243,'15'!$I$7:$I$100,"")+SUMIFS('15a'!$N$7:$N$100,'15a'!$H$7:$H$100,$A243,'15a'!$I$7:$I$100,"")+SUMIFS('15b'!$N$7:$N$100,'15b'!$H$7:$H$100,$A243,'15b'!$I$7:$I$100,"")+SUMIFS('15c'!$N$7:$N$100,'15c'!$H$7:$H$100,$A243,'15c'!$I$7:$I$100,"")+SUMIFS('15d'!$N$7:$N$100,'15d'!$H$7:$H$100,$A243,'15d'!$I$7:$I$100,"")+SUMIFS('15e'!$N$7:$N$100,'15e'!$H$7:$H$100,$A243,'15e'!$I$7:$I$100,"")+SUMIFS('15f'!$N$7:$N$100,'15f'!$H$7:$H$100,$A243,'15f'!$I$7:$I$100,"")+SUMIFS('15g'!$N$7:$N$100,'15g'!$H$7:$H$100,$A243,'15g'!$I$7:$I$100,"")+SUMIFS('15h'!$N$7:$N$100,'15h'!$H$7:$H$100,$A243,'15h'!$I$7:$I$100,"")+SUMIFS('15i'!$N$7:$N$100,'15i'!$H$7:$H$100,$A243,'15i'!$I$7:$I$100,"")+SUMIFS('15j'!$N$7:$N$100,'15j'!$H$7:$H$100,$A243,'15j'!$I$7:$I$100,"")+SUMIFS('15k'!$N$7:$N$100,'15k'!$H$7:$H$100,$A243,'15k'!$I$7:$I$100,"")+SUMIFS('15l'!$N$7:$N$100,'15l'!$H$7:$H$100,$A243,'15l'!$I$7:$I$100,"")+SUMIFS('15m'!$N$7:$N$100,'15m'!$H$7:$H$100,$A243,'15m'!$I$7:$I$100,"")+SUMIFS('15n'!$N$7:$N$100,'15n'!$H$7:$H$100,$A243,'15n'!$I$7:$I$100,"")+SUMIFS('16'!$N$7:$N$100,'16'!$H$7:$H$100,$A243,'16'!$I$7:$I$100,"")+SUMIFS('16a'!$N$7:$N$100,'16a'!$H$7:$H$100,$A243,'16a'!$I$7:$I$100,"")+SUMIFS('17'!$N$7:$N$100,'17'!$H$7:$H$100,$A243,'17'!$I$7:$I$100,"")+SUMIFS('17a'!$N$7:$N$100,'17a'!$H$7:$H$100,$A243,'17a'!$I$7:$I$100,"")+SUMIFS('18'!$N$7:$N$100,'18'!$H$7:$H$100,$A243,'18'!$I$7:$I$100,"")+SUMIFS('18a'!$N$7:$N$100,'18a'!$H$7:$H$100,$A243,'18a'!$I$7:$I$100,"")
+SUMIFS('19'!$N$7:$N$100,'19'!$H$7:$H$100,$A243,'19'!$I$7:$I$100,"")+SUMIFS('20'!$N$7:$N$100,'20'!$H$7:$H$100,$A243,'20'!$I$7:$I$100,"")+SUMIFS('20a'!$N$7:$N$100,'20a'!$H$7:$H$100,$A243,'20a'!$I$7:$I$100,"")+SUMIFS('21'!$N$7:$N$100,'21'!$H$7:$H$100,$A243,'21'!$I$7:$I$100,"")+SUMIFS('22'!$N$7:$N$100,'22'!$H$7:$H$100,$A243,'22'!$I$7:$I$100,"")+SUMIFS('22a'!$N$7:$N$100,'22a'!$H$7:$H$100,$A243,'22a'!$I$7:$I$100,"")+SUMIFS('22b'!$N$7:$N$100,'22b'!$H$7:$H$100,$A243,'22b'!$I$7:$I$100,"")+SUMIFS('23'!$N$7:$N$100,'23'!$H$7:$H$100,$A243,'23'!$I$7:$I$100,"")+SUMIFS('24'!$N$7:$N$100,'24'!$H$7:$H$100,$A243,'24'!$I$7:$I$100,"")+SUMIFS('24a'!$N$7:$N$100,'24a'!$H$7:$H$100,$A243,'24a'!$I$7:$I$100,"")+SUMIFS('24b'!$N$7:$N$100,'24b'!$H$7:$H$100,$A243,'24b'!$I$7:$I$100,"")+SUMIFS('24c'!$N$7:$N$100,'24c'!$H$7:$H$100,$A243,'24c'!$I$7:$I$100,"")+SUMIFS('24d'!$N$7:$N$100,'24d'!$H$7:$H$100,$A243,'24d'!$I$7:$I$100,"")+SUMIFS('24e'!$N$7:$N$100,'24e'!$H$7:$H$100,$A243,'24e'!$I$7:$I$100,"")+SUMIFS('24f'!$N$7:$N$100,'24f'!$H$7:$H$100,$A243,'24f'!$I$7:$I$100,"")+SUMIFS('24g'!$N$7:$N$100,'24g'!$H$7:$H$100,$A243,'24g'!$I$7:$I$100,"")+SUMIFS('24h'!$N$7:$N$100,'24h'!$H$7:$H$100,$A243,'24h'!$I$7:$I$100,"")+SUMIFS('24i'!$N$7:$N$100,'24i'!$H$7:$H$100,$A243,'24i'!$I$7:$I$100,"")+SUMIFS('25'!$N$7:$N$100,'25'!$H$7:$H$100,$A243,'25'!$I$7:$I$100,"")+SUMIFS('26'!$N$7:$N$100,'26'!$H$7:$H$100,$A243,'26'!$I$7:$I$100,"")+SUMIFS('26a'!$N$7:$N$100,'26a'!$H$7:$H$100,$A243,'26a'!$I$7:$I$100,"")+SUMIFS('27'!$N$7:$N$100,'27'!$H$7:$H$100,$A243,'27'!$I$7:$I$100,"")+SUMIFS('27a'!$N$7:$N$100,'27a'!$H$7:$H$100,$A243,'27a'!$I$7:$I$100,"")+SUMIFS('28'!$N$7:$N$100,'28'!$H$7:$H$100,$A243,'28'!$I$7:$I$100,"")+SUMIFS('29'!$N$7:$N$100,'29'!$H$7:$H$100,$A243,'29'!$I$7:$I$100,"")</f>
        <v>0</v>
      </c>
      <c r="F243" s="1296">
        <f t="shared" si="20"/>
        <v>0</v>
      </c>
      <c r="G243" s="1295">
        <f>SUMIFS('12'!$J$7:$J$100,'12'!$H$7:$H$100,$A243,'12'!$I$7:$I$100,1)+SUMIFS('13'!$J$7:$J$100,'13'!$H$7:$H$100,$A243,'13'!$I$7:$I$100,1)+SUMIFS('14'!$J$7:$J$100,'14'!$H$7:$H$100,$A243,'14'!$I$7:$I$100,1)+SUMIFS('15'!$J$7:$J$100,'15'!$H$7:$H$100,$A243,'15'!$I$7:$I$100,1)+SUMIFS('15a'!$J$7:$J$100,'15a'!$H$7:$H$100,$A243,'15a'!$I$7:$I$100,1)+SUMIFS('15b'!$J$7:$J$100,'15b'!$H$7:$H$100,$A243,'15b'!$I$7:$I$100,1)+SUMIFS('15c'!$J$7:$J$100,'15c'!$H$7:$H$100,$A243,'15c'!$I$7:$I$100,1)+SUMIFS('15d'!$J$7:$J$100,'15d'!$H$7:$H$100,$A243,'15d'!$I$7:$I$100,1)+SUMIFS('15e'!$J$7:$J$100,'15e'!$H$7:$H$100,$A243,'15e'!$I$7:$I$100,1)+SUMIFS('15f'!$J$7:$J$100,'15f'!$H$7:$H$100,$A243,'15f'!$I$7:$I$100,1)+SUMIFS('15g'!$J$7:$J$100,'15g'!$H$7:$H$100,$A243,'15g'!$I$7:$I$100,1)+SUMIFS('15h'!$J$7:$J$100,'15h'!$H$7:$H$100,$A243,'15h'!$I$7:$I$100,1)+SUMIFS('15i'!$J$7:$J$100,'15i'!$H$7:$H$100,$A243,'15i'!$I$7:$I$100,1)+SUMIFS('15j'!$J$7:$J$100,'15j'!$H$7:$H$100,$A243,'15j'!$I$7:$I$100,1)+SUMIFS('15k'!$J$7:$J$100,'15k'!$H$7:$H$100,$A243,'15k'!$I$7:$I$100,1)+SUMIFS('15l'!$J$7:$J$100,'15l'!$H$7:$H$100,$A243,'15l'!$I$7:$I$100,1)+SUMIFS('15m'!$J$7:$J$100,'15m'!$H$7:$H$100,$A243,'15m'!$I$7:$I$100,1)+SUMIFS('15n'!$J$7:$J$100,'15n'!$H$7:$H$100,$A243,'15n'!$I$7:$I$100,1)+SUMIFS('16'!$J$7:$J$100,'16'!$H$7:$H$100,$A243,'16'!$I$7:$I$100,1)+SUMIFS('16a'!$J$7:$J$100,'16a'!$H$7:$H$100,$A243,'16a'!$I$7:$I$100,1)+SUMIFS('17'!$J$7:$J$100,'17'!$H$7:$H$100,$A243,'17'!$I$7:$I$100,1)+SUMIFS('17a'!$J$7:$J$100,'17a'!$H$7:$H$100,$A243,'17a'!$I$7:$I$100,1)+SUMIFS('18'!$J$7:$J$100,'18'!$H$7:$H$100,$A243,'18'!$I$7:$I$100,1)+SUMIFS('18a'!$J$7:$J$100,'18a'!$H$7:$H$100,$A243,'18a'!$I$7:$I$100,1)
+SUMIFS('19'!$J$7:$J$100,'19'!$H$7:$H$100,$A243,'19'!$I$7:$I$100,1)+SUMIFS('20'!$J$7:$J$100,'20'!$H$7:$H$100,$A243,'20'!$I$7:$I$100,1)+SUMIFS('20a'!$J$7:$J$100,'20a'!$H$7:$H$100,$A243,'20a'!$I$7:$I$100,1)+SUMIFS('21'!$J$7:$J$100,'21'!$H$7:$H$100,$A243,'21'!$I$7:$I$100,1)+SUMIFS('22'!$J$7:$J$100,'22'!$H$7:$H$100,$A243,'22'!$I$7:$I$100,1)+SUMIFS('22a'!$J$7:$J$100,'22a'!$H$7:$H$100,$A243,'22a'!$I$7:$I$100,1)+SUMIFS('22b'!$J$7:$J$100,'22b'!$H$7:$H$100,$A243,'22b'!$I$7:$I$100,1)+SUMIFS('23'!$J$7:$J$100,'23'!$H$7:$H$100,$A243,'23'!$I$7:$I$100,1)+SUMIFS('24'!$J$7:$J$100,'24'!$H$7:$H$100,$A243,'24'!$I$7:$I$100,1)+SUMIFS('24a'!$J$7:$J$100,'24a'!$H$7:$H$100,$A243,'24a'!$I$7:$I$100,1)+SUMIFS('24b'!$J$7:$J$100,'24b'!$H$7:$H$100,$A243,'24b'!$I$7:$I$100,1)+SUMIFS('24c'!$J$7:$J$100,'24c'!$H$7:$H$100,$A243,'24c'!$I$7:$I$100,1)+SUMIFS('24d'!$J$7:$J$100,'24d'!$H$7:$H$100,$A243,'24d'!$I$7:$I$100,1)+SUMIFS('24e'!$J$7:$J$100,'24e'!$H$7:$H$100,$A243,'24e'!$I$7:$I$100,1)+SUMIFS('24f'!$J$7:$J$100,'24f'!$H$7:$H$100,$A243,'24f'!$I$7:$I$100,1)+SUMIFS('24g'!$J$7:$J$100,'24g'!$H$7:$H$100,$A243,'24g'!$I$7:$I$100,1)+SUMIFS('24h'!$J$7:$J$100,'24h'!$H$7:$H$100,$A243,'24h'!$I$7:$I$100,1)+SUMIFS('24i'!$J$7:$J$100,'24i'!$H$7:$H$100,$A243,'24i'!$I$7:$I$100,1)+SUMIFS('25'!$J$7:$J$100,'25'!$H$7:$H$100,$A243,'25'!$I$7:$I$100,1)+SUMIFS('26'!$J$7:$J$100,'26'!$H$7:$H$100,$A243,'26'!$I$7:$I$100,1)+SUMIFS('26a'!$J$7:$J$100,'26a'!$H$7:$H$100,$A243,'26a'!$I$7:$I$100,1)+SUMIFS('27'!$J$7:$J$100,'27'!$H$7:$H$100,$A243,'27'!$I$7:$I$100,1)+SUMIFS('27a'!$J$7:$J$100,'27a'!$H$7:$H$100,$A243,'27a'!$I$7:$I$100,1)+SUMIFS('28'!$J$7:$J$100,'28'!$H$7:$H$100,$A243,'28'!$I$7:$I$100,1)+SUMIFS('29'!$J$7:$J$100,'29'!$H$7:$H$100,$A243,'29'!$I$7:$I$100,1)</f>
        <v>0</v>
      </c>
      <c r="H243" s="1315">
        <f>SUMIFS('12'!$J$7:$J$100,'12'!$H$7:$H$100,$A243,'12'!$I$7:$I$100,2)+SUMIFS('13'!$J$7:$J$100,'13'!$H$7:$H$100,$A243,'13'!$I$7:$I$100,2)+SUMIFS('14'!$J$7:$J$100,'14'!$H$7:$H$100,$A243,'14'!$I$7:$I$100,2)+SUMIFS('15'!$J$7:$J$100,'15'!$H$7:$H$100,$A243,'15'!$I$7:$I$100,2)+SUMIFS('15a'!$J$7:$J$100,'15a'!$H$7:$H$100,$A243,'15a'!$I$7:$I$100,2)+SUMIFS('15b'!$J$7:$J$100,'15b'!$H$7:$H$100,$A243,'15b'!$I$7:$I$100,2)+SUMIFS('15c'!$J$7:$J$100,'15c'!$H$7:$H$100,$A243,'15c'!$I$7:$I$100,2)+SUMIFS('15d'!$J$7:$J$100,'15d'!$H$7:$H$100,$A243,'15d'!$I$7:$I$100,2)+SUMIFS('15e'!$J$7:$J$100,'15e'!$H$7:$H$100,$A243,'15e'!$I$7:$I$100,2)+SUMIFS('15f'!$J$7:$J$100,'15f'!$H$7:$H$100,$A243,'15f'!$I$7:$I$100,2)+SUMIFS('15g'!$J$7:$J$100,'15g'!$H$7:$H$100,$A243,'15g'!$I$7:$I$100,2)+SUMIFS('15h'!$J$7:$J$100,'15h'!$H$7:$H$100,$A243,'15h'!$I$7:$I$100,2)+SUMIFS('15i'!$J$7:$J$100,'15i'!$H$7:$H$100,$A243,'15i'!$I$7:$I$100,2)+SUMIFS('15j'!$J$7:$J$100,'15j'!$H$7:$H$100,$A243,'15j'!$I$7:$I$100,2)+SUMIFS('15k'!$J$7:$J$100,'15k'!$H$7:$H$100,$A243,'15k'!$I$7:$I$100,2)+SUMIFS('15l'!$J$7:$J$100,'15l'!$H$7:$H$100,$A243,'15l'!$I$7:$I$100,2)+SUMIFS('15m'!$J$7:$J$100,'15m'!$H$7:$H$100,$A243,'15m'!$I$7:$I$100,2)+SUMIFS('15n'!$J$7:$J$100,'15n'!$H$7:$H$100,$A243,'15n'!$I$7:$I$100,2)+SUMIFS('16'!$J$7:$J$100,'16'!$H$7:$H$100,$A243,'16'!$I$7:$I$100,2)+SUMIFS('16a'!$J$7:$J$100,'16a'!$H$7:$H$100,$A243,'16a'!$I$7:$I$100,2)+SUMIFS('17'!$J$7:$J$100,'17'!$H$7:$H$100,$A243,'17'!$I$7:$I$100,2)+SUMIFS('17a'!$J$7:$J$100,'17a'!$H$7:$H$100,$A243,'17a'!$I$7:$I$100,2)+SUMIFS('18'!$J$7:$J$100,'18'!$H$7:$H$100,$A243,'18'!$I$7:$I$100,2)+SUMIFS('18a'!$J$7:$J$100,'18a'!$H$7:$H$100,$A243,'18a'!$I$7:$I$100,2)
+SUMIFS('19'!$J$7:$J$100,'19'!$H$7:$H$100,$A243,'19'!$I$7:$I$100,2)+SUMIFS('20'!$J$7:$J$100,'20'!$H$7:$H$100,$A243,'20'!$I$7:$I$100,2)+SUMIFS('20a'!$J$7:$J$100,'20a'!$H$7:$H$100,$A243,'20a'!$I$7:$I$100,2)+SUMIFS('21'!$J$7:$J$100,'21'!$H$7:$H$100,$A243,'21'!$I$7:$I$100,2)+SUMIFS('22'!$J$7:$J$100,'22'!$H$7:$H$100,$A243,'22'!$I$7:$I$100,2)+SUMIFS('22a'!$J$7:$J$100,'22a'!$H$7:$H$100,$A243,'22a'!$I$7:$I$100,2)+SUMIFS('22b'!$J$7:$J$100,'22b'!$H$7:$H$100,$A243,'22b'!$I$7:$I$100,2)+SUMIFS('23'!$J$7:$J$100,'23'!$H$7:$H$100,$A243,'23'!$I$7:$I$100,2)+SUMIFS('24'!$J$7:$J$100,'24'!$H$7:$H$100,$A243,'24'!$I$7:$I$100,2)+SUMIFS('24a'!$J$7:$J$100,'24a'!$H$7:$H$100,$A243,'24a'!$I$7:$I$100,2)+SUMIFS('24b'!$J$7:$J$100,'24b'!$H$7:$H$100,$A243,'24b'!$I$7:$I$100,2)+SUMIFS('24c'!$J$7:$J$100,'24c'!$H$7:$H$100,$A243,'24c'!$I$7:$I$100,2)+SUMIFS('24d'!$J$7:$J$100,'24d'!$H$7:$H$100,$A243,'24d'!$I$7:$I$100,2)+SUMIFS('24e'!$J$7:$J$100,'24e'!$H$7:$H$100,$A243,'24e'!$I$7:$I$100,2)+SUMIFS('24f'!$J$7:$J$100,'24f'!$H$7:$H$100,$A243,'24f'!$I$7:$I$100,2)+SUMIFS('24g'!$J$7:$J$100,'24g'!$H$7:$H$100,$A243,'24g'!$I$7:$I$100,2)+SUMIFS('24h'!$J$7:$J$100,'24h'!$H$7:$H$100,$A243,'24h'!$I$7:$I$100,2)+SUMIFS('24i'!$J$7:$J$100,'24i'!$H$7:$H$100,$A243,'24i'!$I$7:$I$100,2)+SUMIFS('25'!$J$7:$J$100,'25'!$H$7:$H$100,$A243,'25'!$I$7:$I$100,2)+SUMIFS('26'!$J$7:$J$100,'26'!$H$7:$H$100,$A243,'26'!$I$7:$I$100,2)+SUMIFS('26a'!$J$7:$J$100,'26a'!$H$7:$H$100,$A243,'26a'!$I$7:$I$100,2)+SUMIFS('27'!$J$7:$J$100,'27'!$H$7:$H$100,$A243,'27'!$I$7:$I$100,2)+SUMIFS('27a'!$J$7:$J$100,'27a'!$H$7:$H$100,$A243,'27a'!$I$7:$I$100,2)+SUMIFS('28'!$J$7:$J$100,'28'!$H$7:$H$100,$A243,'28'!$I$7:$I$100,2)+SUMIFS('29'!$J$7:$J$100,'29'!$H$7:$H$100,$A243,'29'!$I$7:$I$100,2)</f>
        <v>0</v>
      </c>
      <c r="I243" s="1315">
        <f>SUMIFS('12'!$J$7:$J$100,'12'!$H$7:$H$100,$A243,'12'!$I$7:$I$100,"")+SUMIFS('13'!$J$7:$J$100,'13'!$H$7:$H$100,$A243,'13'!$I$7:$I$100,"")+SUMIFS('14'!$J$7:$J$100,'14'!$H$7:$H$100,$A243,'14'!$I$7:$I$100,"")+SUMIFS('15'!$J$7:$J$100,'15'!$H$7:$H$100,$A243,'15'!$I$7:$I$100,"")+SUMIFS('15a'!$J$7:$J$100,'15a'!$H$7:$H$100,$A243,'15a'!$I$7:$I$100,"")+SUMIFS('15b'!$J$7:$J$100,'15b'!$H$7:$H$100,$A243,'15b'!$I$7:$I$100,"")+SUMIFS('15c'!$J$7:$J$100,'15c'!$H$7:$H$100,$A243,'15c'!$I$7:$I$100,"")+SUMIFS('15d'!$J$7:$J$100,'15d'!$H$7:$H$100,$A243,'15d'!$I$7:$I$100,"")+SUMIFS('15e'!$J$7:$J$100,'15e'!$H$7:$H$100,$A243,'15e'!$I$7:$I$100,"")+SUMIFS('15f'!$J$7:$J$100,'15f'!$H$7:$H$100,$A243,'15f'!$I$7:$I$100,"")+SUMIFS('15g'!$J$7:$J$100,'15g'!$H$7:$H$100,$A243,'15g'!$I$7:$I$100,"")+SUMIFS('15h'!$J$7:$J$100,'15h'!$H$7:$H$100,$A243,'15h'!$I$7:$I$100,"")+SUMIFS('15i'!$J$7:$J$100,'15i'!$H$7:$H$100,$A243,'15i'!$I$7:$I$100,"")+SUMIFS('15j'!$J$7:$J$100,'15j'!$H$7:$H$100,$A243,'15j'!$I$7:$I$100,"")+SUMIFS('15k'!$J$7:$J$100,'15k'!$H$7:$H$100,$A243,'15k'!$I$7:$I$100,"")+SUMIFS('15l'!$J$7:$J$100,'15l'!$H$7:$H$100,$A243,'15l'!$I$7:$I$100,"")+SUMIFS('15m'!$J$7:$J$100,'15m'!$H$7:$H$100,$A243,'15m'!$I$7:$I$100,"")+SUMIFS('15n'!$J$7:$J$100,'15n'!$H$7:$H$100,$A243,'15n'!$I$7:$I$100,"")+SUMIFS('16'!$J$7:$J$100,'16'!$H$7:$H$100,$A243,'16'!$I$7:$I$100,"")+SUMIFS('16a'!$J$7:$J$100,'16a'!$H$7:$H$100,$A243,'16a'!$I$7:$I$100,"")+SUMIFS('17'!$J$7:$J$100,'17'!$H$7:$H$100,$A243,'17'!$I$7:$I$100,"")+SUMIFS('17a'!$J$7:$J$100,'17a'!$H$7:$H$100,$A243,'17a'!$I$7:$I$100,"")+SUMIFS('18'!$J$7:$J$100,'18'!$H$7:$H$100,$A243,'18'!$I$7:$I$100,"")+SUMIFS('18a'!$J$7:$J$100,'18a'!$H$7:$H$100,$A243,'18a'!$I$7:$I$100,"")
+SUMIFS('19'!$J$7:$J$100,'19'!$H$7:$H$100,$A243,'19'!$I$7:$I$100,"")+SUMIFS('20'!$J$7:$J$100,'20'!$H$7:$H$100,$A243,'20'!$I$7:$I$100,"")+SUMIFS('20a'!$J$7:$J$100,'20a'!$H$7:$H$100,$A243,'20a'!$I$7:$I$100,"")+SUMIFS('21'!$J$7:$J$100,'21'!$H$7:$H$100,$A243,'21'!$I$7:$I$100,"")+SUMIFS('22'!$J$7:$J$100,'22'!$H$7:$H$100,$A243,'22'!$I$7:$I$100,"")+SUMIFS('22a'!$J$7:$J$100,'22a'!$H$7:$H$100,$A243,'22a'!$I$7:$I$100,"")+SUMIFS('22b'!$J$7:$J$100,'22b'!$H$7:$H$100,$A243,'22b'!$I$7:$I$100,"")+SUMIFS('23'!$J$7:$J$100,'23'!$H$7:$H$100,$A243,'23'!$I$7:$I$100,"")+SUMIFS('24'!$J$7:$J$100,'24'!$H$7:$H$100,$A243,'24'!$I$7:$I$100,"")+SUMIFS('24a'!$J$7:$J$100,'24a'!$H$7:$H$100,$A243,'24a'!$I$7:$I$100,"")+SUMIFS('24b'!$J$7:$J$100,'24b'!$H$7:$H$100,$A243,'24b'!$I$7:$I$100,"")+SUMIFS('24c'!$J$7:$J$100,'24c'!$H$7:$H$100,$A243,'24c'!$I$7:$I$100,"")+SUMIFS('24d'!$J$7:$J$100,'24d'!$H$7:$H$100,$A243,'24d'!$I$7:$I$100,"")+SUMIFS('24e'!$J$7:$J$100,'24e'!$H$7:$H$100,$A243,'24e'!$I$7:$I$100,"")+SUMIFS('24f'!$J$7:$J$100,'24f'!$H$7:$H$100,$A243,'24f'!$I$7:$I$100,"")+SUMIFS('24g'!$J$7:$J$100,'24g'!$H$7:$H$100,$A243,'24g'!$I$7:$I$100,"")+SUMIFS('24h'!$J$7:$J$100,'24h'!$H$7:$H$100,$A243,'24h'!$I$7:$I$100,"")+SUMIFS('24i'!$J$7:$J$100,'24i'!$H$7:$H$100,$A243,'24i'!$I$7:$I$100,"")+SUMIFS('25'!$J$7:$J$100,'25'!$H$7:$H$100,$A243,'25'!$I$7:$I$100,"")+SUMIFS('26'!$J$7:$J$100,'26'!$H$7:$H$100,$A243,'26'!$I$7:$I$100,"")+SUMIFS('26a'!$J$7:$J$100,'26a'!$H$7:$H$100,$A243,'26a'!$I$7:$I$100,"")+SUMIFS('27'!$J$7:$J$100,'27'!$H$7:$H$100,$A243,'27'!$I$7:$I$100,"")+SUMIFS('27a'!$J$7:$J$100,'27a'!$H$7:$H$100,$A243,'27a'!$I$7:$I$100,"")+SUMIFS('28'!$J$7:$J$100,'28'!$H$7:$H$100,$A243,'28'!$I$7:$I$100,"")+SUMIFS('29'!$J$7:$J$100,'29'!$H$7:$H$100,$A243,'29'!$I$7:$I$100,"")</f>
        <v>0</v>
      </c>
      <c r="J243" s="1296">
        <f t="shared" si="21"/>
        <v>0</v>
      </c>
      <c r="K243"/>
      <c r="L243"/>
      <c r="M243"/>
      <c r="N243"/>
      <c r="O243"/>
      <c r="P243"/>
      <c r="Q243"/>
      <c r="R243"/>
      <c r="S243" s="1307">
        <f t="shared" si="14"/>
        <v>0</v>
      </c>
      <c r="T243"/>
    </row>
    <row r="244" spans="1:20" x14ac:dyDescent="0.2">
      <c r="A244" t="s">
        <v>5165</v>
      </c>
      <c r="B244" t="s">
        <v>5495</v>
      </c>
      <c r="C244" s="1295">
        <f>SUMIFS('12'!$N$7:$N$100,'12'!$H$7:$H$100,$A244,'12'!$I$7:$I$100,1)+SUMIFS('13'!$N$7:$N$100,'13'!$H$7:$H$100,$A244,'13'!$I$7:$I$100,1)+SUMIFS('14'!$N$7:$N$100,'14'!$H$7:$H$100,$A244,'14'!$I$7:$I$100,1)+SUMIFS('15'!$N$7:$N$100,'15'!$H$7:$H$100,$A244,'15'!$I$7:$I$100,1)+SUMIFS('15a'!$N$7:$N$100,'15a'!$H$7:$H$100,$A244,'15a'!$I$7:$I$100,1)+SUMIFS('15b'!$N$7:$N$100,'15b'!$H$7:$H$100,$A244,'15b'!$I$7:$I$100,1)+SUMIFS('15c'!$N$7:$N$100,'15c'!$H$7:$H$100,$A244,'15c'!$I$7:$I$100,1)+SUMIFS('15d'!$N$7:$N$100,'15d'!$H$7:$H$100,$A244,'15d'!$I$7:$I$100,1)+SUMIFS('15e'!$N$7:$N$100,'15e'!$H$7:$H$100,$A244,'15e'!$I$7:$I$100,1)+SUMIFS('15f'!$N$7:$N$100,'15f'!$H$7:$H$100,$A244,'15f'!$I$7:$I$100,1)+SUMIFS('15g'!$N$7:$N$100,'15g'!$H$7:$H$100,$A244,'15g'!$I$7:$I$100,1)+SUMIFS('15h'!$N$7:$N$100,'15h'!$H$7:$H$100,$A244,'15h'!$I$7:$I$100,1)+SUMIFS('15i'!$N$7:$N$100,'15i'!$H$7:$H$100,$A244,'15i'!$I$7:$I$100,1)+SUMIFS('15j'!$N$7:$N$100,'15j'!$H$7:$H$100,$A244,'15j'!$I$7:$I$100,1)+SUMIFS('15k'!$N$7:$N$100,'15k'!$H$7:$H$100,$A244,'15k'!$I$7:$I$100,1)+SUMIFS('15l'!$N$7:$N$100,'15l'!$H$7:$H$100,$A244,'15l'!$I$7:$I$100,1)+SUMIFS('15m'!$N$7:$N$100,'15m'!$H$7:$H$100,$A244,'15m'!$I$7:$I$100,1)+SUMIFS('15n'!$N$7:$N$100,'15n'!$H$7:$H$100,$A244,'15n'!$I$7:$I$100,1)+SUMIFS('16'!$N$7:$N$100,'16'!$H$7:$H$100,$A244,'16'!$I$7:$I$100,1)+SUMIFS('16a'!$N$7:$N$100,'16a'!$H$7:$H$100,$A244,'16a'!$I$7:$I$100,1)+SUMIFS('17'!$N$7:$N$100,'17'!$H$7:$H$100,$A244,'17'!$I$7:$I$100,1)+SUMIFS('17a'!$N$7:$N$100,'17a'!$H$7:$H$100,$A244,'17a'!$I$7:$I$100,1)+SUMIFS('18'!$N$7:$N$100,'18'!$H$7:$H$100,$A244,'18'!$I$7:$I$100,1)+SUMIFS('18a'!$N$7:$N$100,'18a'!$H$7:$H$100,$A244,'18a'!$I$7:$I$100,1)
+SUMIFS('19'!$N$7:$N$100,'19'!$H$7:$H$100,$A244,'19'!$I$7:$I$100,1)+SUMIFS('20'!$N$7:$N$100,'20'!$H$7:$H$100,$A244,'20'!$I$7:$I$100,1)+SUMIFS('20a'!$N$7:$N$100,'20a'!$H$7:$H$100,$A244,'20a'!$I$7:$I$100,1)+SUMIFS('21'!$N$7:$N$100,'21'!$H$7:$H$100,$A244,'21'!$I$7:$I$100,1)+SUMIFS('22'!$N$7:$N$100,'22'!$H$7:$H$100,$A244,'22'!$I$7:$I$100,1)+SUMIFS('22a'!$N$7:$N$100,'22a'!$H$7:$H$100,$A244,'22a'!$I$7:$I$100,1)+SUMIFS('22b'!$N$7:$N$100,'22b'!$H$7:$H$100,$A244,'22b'!$I$7:$I$100,1)+SUMIFS('23'!$N$7:$N$100,'23'!$H$7:$H$100,$A244,'23'!$I$7:$I$100,1)+SUMIFS('24'!$N$7:$N$100,'24'!$H$7:$H$100,$A244,'24'!$I$7:$I$100,1)+SUMIFS('24a'!$N$7:$N$100,'24a'!$H$7:$H$100,$A244,'24a'!$I$7:$I$100,1)+SUMIFS('24b'!$N$7:$N$100,'24b'!$H$7:$H$100,$A244,'24b'!$I$7:$I$100,1)+SUMIFS('24c'!$N$7:$N$100,'24c'!$H$7:$H$100,$A244,'24c'!$I$7:$I$100,1)+SUMIFS('24d'!$N$7:$N$100,'24d'!$H$7:$H$100,$A244,'24d'!$I$7:$I$100,1)+SUMIFS('24e'!$N$7:$N$100,'24e'!$H$7:$H$100,$A244,'24e'!$I$7:$I$100,1)+SUMIFS('24f'!$N$7:$N$100,'24f'!$H$7:$H$100,$A244,'24f'!$I$7:$I$100,1)+SUMIFS('24g'!$N$7:$N$100,'24g'!$H$7:$H$100,$A244,'24g'!$I$7:$I$100,1)+SUMIFS('24h'!$N$7:$N$100,'24h'!$H$7:$H$100,$A244,'24h'!$I$7:$I$100,1)+SUMIFS('24i'!$N$7:$N$100,'24i'!$H$7:$H$100,$A244,'24i'!$I$7:$I$100,1)+SUMIFS('25'!$N$7:$N$100,'25'!$H$7:$H$100,$A244,'25'!$I$7:$I$100,1)+SUMIFS('26'!$N$7:$N$100,'26'!$H$7:$H$100,$A244,'26'!$I$7:$I$100,1)+SUMIFS('26a'!$N$7:$N$100,'26a'!$H$7:$H$100,$A244,'26a'!$I$7:$I$100,1)+SUMIFS('27'!$N$7:$N$100,'27'!$H$7:$H$100,$A244,'27'!$I$7:$I$100,1)+SUMIFS('27a'!$N$7:$N$100,'27a'!$H$7:$H$100,$A244,'27a'!$I$7:$I$100,1)+SUMIFS('28'!$N$7:$N$100,'28'!$H$7:$H$100,$A244,'28'!$I$7:$I$100,1)+SUMIFS('29'!$N$7:$N$100,'29'!$H$7:$H$100,$A244,'29'!$I$7:$I$100,1)</f>
        <v>0</v>
      </c>
      <c r="D244" s="1315">
        <f>SUMIFS('12'!$N$7:$N$100,'12'!$H$7:$H$100,$A244,'12'!$I$7:$I$100,2)+SUMIFS('13'!$N$7:$N$100,'13'!$H$7:$H$100,$A244,'13'!$I$7:$I$100,2)+SUMIFS('14'!$N$7:$N$100,'14'!$H$7:$H$100,$A244,'14'!$I$7:$I$100,2)+SUMIFS('15'!$N$7:$N$100,'15'!$H$7:$H$100,$A244,'15'!$I$7:$I$100,2)+SUMIFS('15a'!$N$7:$N$100,'15a'!$H$7:$H$100,$A244,'15a'!$I$7:$I$100,2)+SUMIFS('15b'!$N$7:$N$100,'15b'!$H$7:$H$100,$A244,'15b'!$I$7:$I$100,2)+SUMIFS('15c'!$N$7:$N$100,'15c'!$H$7:$H$100,$A244,'15c'!$I$7:$I$100,2)+SUMIFS('15d'!$N$7:$N$100,'15d'!$H$7:$H$100,$A244,'15d'!$I$7:$I$100,2)+SUMIFS('15e'!$N$7:$N$100,'15e'!$H$7:$H$100,$A244,'15e'!$I$7:$I$100,2)+SUMIFS('15f'!$N$7:$N$100,'15f'!$H$7:$H$100,$A244,'15f'!$I$7:$I$100,2)+SUMIFS('15g'!$N$7:$N$100,'15g'!$H$7:$H$100,$A244,'15g'!$I$7:$I$100,2)+SUMIFS('15h'!$N$7:$N$100,'15h'!$H$7:$H$100,$A244,'15h'!$I$7:$I$100,2)+SUMIFS('15i'!$N$7:$N$100,'15i'!$H$7:$H$100,$A244,'15i'!$I$7:$I$100,2)+SUMIFS('15j'!$N$7:$N$100,'15j'!$H$7:$H$100,$A244,'15j'!$I$7:$I$100,2)+SUMIFS('15k'!$N$7:$N$100,'15k'!$H$7:$H$100,$A244,'15k'!$I$7:$I$100,2)+SUMIFS('15l'!$N$7:$N$100,'15l'!$H$7:$H$100,$A244,'15l'!$I$7:$I$100,2)+SUMIFS('15m'!$N$7:$N$100,'15m'!$H$7:$H$100,$A244,'15m'!$I$7:$I$100,2)+SUMIFS('15n'!$N$7:$N$100,'15n'!$H$7:$H$100,$A244,'15n'!$I$7:$I$100,2)+SUMIFS('16'!$N$7:$N$100,'16'!$H$7:$H$100,$A244,'16'!$I$7:$I$100,2)+SUMIFS('16a'!$N$7:$N$100,'16a'!$H$7:$H$100,$A244,'16a'!$I$7:$I$100,2)+SUMIFS('17'!$N$7:$N$100,'17'!$H$7:$H$100,$A244,'17'!$I$7:$I$100,2)+SUMIFS('17a'!$N$7:$N$100,'17a'!$H$7:$H$100,$A244,'17a'!$I$7:$I$100,2)+SUMIFS('18'!$N$7:$N$100,'18'!$H$7:$H$100,$A244,'18'!$I$7:$I$100,2)+SUMIFS('18a'!$N$7:$N$100,'18a'!$H$7:$H$100,$A244,'18a'!$I$7:$I$100,2)
+SUMIFS('19'!$N$7:$N$100,'19'!$H$7:$H$100,$A244,'19'!$I$7:$I$100,2)+SUMIFS('20'!$N$7:$N$100,'20'!$H$7:$H$100,$A244,'20'!$I$7:$I$100,2)+SUMIFS('20a'!$N$7:$N$100,'20a'!$H$7:$H$100,$A244,'20a'!$I$7:$I$100,2)+SUMIFS('21'!$N$7:$N$100,'21'!$H$7:$H$100,$A244,'21'!$I$7:$I$100,2)+SUMIFS('22'!$N$7:$N$100,'22'!$H$7:$H$100,$A244,'22'!$I$7:$I$100,2)+SUMIFS('22a'!$N$7:$N$100,'22a'!$H$7:$H$100,$A244,'22a'!$I$7:$I$100,2)+SUMIFS('22b'!$N$7:$N$100,'22b'!$H$7:$H$100,$A244,'22b'!$I$7:$I$100,2)+SUMIFS('23'!$N$7:$N$100,'23'!$H$7:$H$100,$A244,'23'!$I$7:$I$100,2)+SUMIFS('24'!$N$7:$N$100,'24'!$H$7:$H$100,$A244,'24'!$I$7:$I$100,2)+SUMIFS('24a'!$N$7:$N$100,'24a'!$H$7:$H$100,$A244,'24a'!$I$7:$I$100,2)+SUMIFS('24b'!$N$7:$N$100,'24b'!$H$7:$H$100,$A244,'24b'!$I$7:$I$100,2)+SUMIFS('24c'!$N$7:$N$100,'24c'!$H$7:$H$100,$A244,'24c'!$I$7:$I$100,2)+SUMIFS('24d'!$N$7:$N$100,'24d'!$H$7:$H$100,$A244,'24d'!$I$7:$I$100,2)+SUMIFS('24e'!$N$7:$N$100,'24e'!$H$7:$H$100,$A244,'24e'!$I$7:$I$100,2)+SUMIFS('24f'!$N$7:$N$100,'24f'!$H$7:$H$100,$A244,'24f'!$I$7:$I$100,2)+SUMIFS('24g'!$N$7:$N$100,'24g'!$H$7:$H$100,$A244,'24g'!$I$7:$I$100,2)+SUMIFS('24h'!$N$7:$N$100,'24h'!$H$7:$H$100,$A244,'24h'!$I$7:$I$100,2)+SUMIFS('24i'!$N$7:$N$100,'24i'!$H$7:$H$100,$A244,'24i'!$I$7:$I$100,2)+SUMIFS('25'!$N$7:$N$100,'25'!$H$7:$H$100,$A244,'25'!$I$7:$I$100,2)+SUMIFS('26'!$N$7:$N$100,'26'!$H$7:$H$100,$A244,'26'!$I$7:$I$100,2)+SUMIFS('26a'!$N$7:$N$100,'26a'!$H$7:$H$100,$A244,'26a'!$I$7:$I$100,2)+SUMIFS('27'!$N$7:$N$100,'27'!$H$7:$H$100,$A244,'27'!$I$7:$I$100,2)+SUMIFS('27a'!$N$7:$N$100,'27a'!$H$7:$H$100,$A244,'27a'!$I$7:$I$100,2)+SUMIFS('28'!$N$7:$N$100,'28'!$H$7:$H$100,$A244,'28'!$I$7:$I$100,2)+SUMIFS('29'!$N$7:$N$100,'29'!$H$7:$H$100,$A244,'29'!$I$7:$I$100,2)</f>
        <v>0</v>
      </c>
      <c r="E244" s="1315">
        <f>SUMIFS('12'!$N$7:$N$100,'12'!$H$7:$H$100,$A244,'12'!$I$7:$I$100,"")+SUMIFS('13'!$N$7:$N$100,'13'!$H$7:$H$100,$A244,'13'!$I$7:$I$100,"")+SUMIFS('14'!$N$7:$N$100,'14'!$H$7:$H$100,$A244,'14'!$I$7:$I$100,"")+SUMIFS('15'!$N$7:$N$100,'15'!$H$7:$H$100,$A244,'15'!$I$7:$I$100,"")+SUMIFS('15a'!$N$7:$N$100,'15a'!$H$7:$H$100,$A244,'15a'!$I$7:$I$100,"")+SUMIFS('15b'!$N$7:$N$100,'15b'!$H$7:$H$100,$A244,'15b'!$I$7:$I$100,"")+SUMIFS('15c'!$N$7:$N$100,'15c'!$H$7:$H$100,$A244,'15c'!$I$7:$I$100,"")+SUMIFS('15d'!$N$7:$N$100,'15d'!$H$7:$H$100,$A244,'15d'!$I$7:$I$100,"")+SUMIFS('15e'!$N$7:$N$100,'15e'!$H$7:$H$100,$A244,'15e'!$I$7:$I$100,"")+SUMIFS('15f'!$N$7:$N$100,'15f'!$H$7:$H$100,$A244,'15f'!$I$7:$I$100,"")+SUMIFS('15g'!$N$7:$N$100,'15g'!$H$7:$H$100,$A244,'15g'!$I$7:$I$100,"")+SUMIFS('15h'!$N$7:$N$100,'15h'!$H$7:$H$100,$A244,'15h'!$I$7:$I$100,"")+SUMIFS('15i'!$N$7:$N$100,'15i'!$H$7:$H$100,$A244,'15i'!$I$7:$I$100,"")+SUMIFS('15j'!$N$7:$N$100,'15j'!$H$7:$H$100,$A244,'15j'!$I$7:$I$100,"")+SUMIFS('15k'!$N$7:$N$100,'15k'!$H$7:$H$100,$A244,'15k'!$I$7:$I$100,"")+SUMIFS('15l'!$N$7:$N$100,'15l'!$H$7:$H$100,$A244,'15l'!$I$7:$I$100,"")+SUMIFS('15m'!$N$7:$N$100,'15m'!$H$7:$H$100,$A244,'15m'!$I$7:$I$100,"")+SUMIFS('15n'!$N$7:$N$100,'15n'!$H$7:$H$100,$A244,'15n'!$I$7:$I$100,"")+SUMIFS('16'!$N$7:$N$100,'16'!$H$7:$H$100,$A244,'16'!$I$7:$I$100,"")+SUMIFS('16a'!$N$7:$N$100,'16a'!$H$7:$H$100,$A244,'16a'!$I$7:$I$100,"")+SUMIFS('17'!$N$7:$N$100,'17'!$H$7:$H$100,$A244,'17'!$I$7:$I$100,"")+SUMIFS('17a'!$N$7:$N$100,'17a'!$H$7:$H$100,$A244,'17a'!$I$7:$I$100,"")+SUMIFS('18'!$N$7:$N$100,'18'!$H$7:$H$100,$A244,'18'!$I$7:$I$100,"")+SUMIFS('18a'!$N$7:$N$100,'18a'!$H$7:$H$100,$A244,'18a'!$I$7:$I$100,"")
+SUMIFS('19'!$N$7:$N$100,'19'!$H$7:$H$100,$A244,'19'!$I$7:$I$100,"")+SUMIFS('20'!$N$7:$N$100,'20'!$H$7:$H$100,$A244,'20'!$I$7:$I$100,"")+SUMIFS('20a'!$N$7:$N$100,'20a'!$H$7:$H$100,$A244,'20a'!$I$7:$I$100,"")+SUMIFS('21'!$N$7:$N$100,'21'!$H$7:$H$100,$A244,'21'!$I$7:$I$100,"")+SUMIFS('22'!$N$7:$N$100,'22'!$H$7:$H$100,$A244,'22'!$I$7:$I$100,"")+SUMIFS('22a'!$N$7:$N$100,'22a'!$H$7:$H$100,$A244,'22a'!$I$7:$I$100,"")+SUMIFS('22b'!$N$7:$N$100,'22b'!$H$7:$H$100,$A244,'22b'!$I$7:$I$100,"")+SUMIFS('23'!$N$7:$N$100,'23'!$H$7:$H$100,$A244,'23'!$I$7:$I$100,"")+SUMIFS('24'!$N$7:$N$100,'24'!$H$7:$H$100,$A244,'24'!$I$7:$I$100,"")+SUMIFS('24a'!$N$7:$N$100,'24a'!$H$7:$H$100,$A244,'24a'!$I$7:$I$100,"")+SUMIFS('24b'!$N$7:$N$100,'24b'!$H$7:$H$100,$A244,'24b'!$I$7:$I$100,"")+SUMIFS('24c'!$N$7:$N$100,'24c'!$H$7:$H$100,$A244,'24c'!$I$7:$I$100,"")+SUMIFS('24d'!$N$7:$N$100,'24d'!$H$7:$H$100,$A244,'24d'!$I$7:$I$100,"")+SUMIFS('24e'!$N$7:$N$100,'24e'!$H$7:$H$100,$A244,'24e'!$I$7:$I$100,"")+SUMIFS('24f'!$N$7:$N$100,'24f'!$H$7:$H$100,$A244,'24f'!$I$7:$I$100,"")+SUMIFS('24g'!$N$7:$N$100,'24g'!$H$7:$H$100,$A244,'24g'!$I$7:$I$100,"")+SUMIFS('24h'!$N$7:$N$100,'24h'!$H$7:$H$100,$A244,'24h'!$I$7:$I$100,"")+SUMIFS('24i'!$N$7:$N$100,'24i'!$H$7:$H$100,$A244,'24i'!$I$7:$I$100,"")+SUMIFS('25'!$N$7:$N$100,'25'!$H$7:$H$100,$A244,'25'!$I$7:$I$100,"")+SUMIFS('26'!$N$7:$N$100,'26'!$H$7:$H$100,$A244,'26'!$I$7:$I$100,"")+SUMIFS('26a'!$N$7:$N$100,'26a'!$H$7:$H$100,$A244,'26a'!$I$7:$I$100,"")+SUMIFS('27'!$N$7:$N$100,'27'!$H$7:$H$100,$A244,'27'!$I$7:$I$100,"")+SUMIFS('27a'!$N$7:$N$100,'27a'!$H$7:$H$100,$A244,'27a'!$I$7:$I$100,"")+SUMIFS('28'!$N$7:$N$100,'28'!$H$7:$H$100,$A244,'28'!$I$7:$I$100,"")+SUMIFS('29'!$N$7:$N$100,'29'!$H$7:$H$100,$A244,'29'!$I$7:$I$100,"")</f>
        <v>0</v>
      </c>
      <c r="F244" s="1296">
        <f t="shared" si="20"/>
        <v>0</v>
      </c>
      <c r="G244" s="1295">
        <f>SUMIFS('12'!$J$7:$J$100,'12'!$H$7:$H$100,$A244,'12'!$I$7:$I$100,1)+SUMIFS('13'!$J$7:$J$100,'13'!$H$7:$H$100,$A244,'13'!$I$7:$I$100,1)+SUMIFS('14'!$J$7:$J$100,'14'!$H$7:$H$100,$A244,'14'!$I$7:$I$100,1)+SUMIFS('15'!$J$7:$J$100,'15'!$H$7:$H$100,$A244,'15'!$I$7:$I$100,1)+SUMIFS('15a'!$J$7:$J$100,'15a'!$H$7:$H$100,$A244,'15a'!$I$7:$I$100,1)+SUMIFS('15b'!$J$7:$J$100,'15b'!$H$7:$H$100,$A244,'15b'!$I$7:$I$100,1)+SUMIFS('15c'!$J$7:$J$100,'15c'!$H$7:$H$100,$A244,'15c'!$I$7:$I$100,1)+SUMIFS('15d'!$J$7:$J$100,'15d'!$H$7:$H$100,$A244,'15d'!$I$7:$I$100,1)+SUMIFS('15e'!$J$7:$J$100,'15e'!$H$7:$H$100,$A244,'15e'!$I$7:$I$100,1)+SUMIFS('15f'!$J$7:$J$100,'15f'!$H$7:$H$100,$A244,'15f'!$I$7:$I$100,1)+SUMIFS('15g'!$J$7:$J$100,'15g'!$H$7:$H$100,$A244,'15g'!$I$7:$I$100,1)+SUMIFS('15h'!$J$7:$J$100,'15h'!$H$7:$H$100,$A244,'15h'!$I$7:$I$100,1)+SUMIFS('15i'!$J$7:$J$100,'15i'!$H$7:$H$100,$A244,'15i'!$I$7:$I$100,1)+SUMIFS('15j'!$J$7:$J$100,'15j'!$H$7:$H$100,$A244,'15j'!$I$7:$I$100,1)+SUMIFS('15k'!$J$7:$J$100,'15k'!$H$7:$H$100,$A244,'15k'!$I$7:$I$100,1)+SUMIFS('15l'!$J$7:$J$100,'15l'!$H$7:$H$100,$A244,'15l'!$I$7:$I$100,1)+SUMIFS('15m'!$J$7:$J$100,'15m'!$H$7:$H$100,$A244,'15m'!$I$7:$I$100,1)+SUMIFS('15n'!$J$7:$J$100,'15n'!$H$7:$H$100,$A244,'15n'!$I$7:$I$100,1)+SUMIFS('16'!$J$7:$J$100,'16'!$H$7:$H$100,$A244,'16'!$I$7:$I$100,1)+SUMIFS('16a'!$J$7:$J$100,'16a'!$H$7:$H$100,$A244,'16a'!$I$7:$I$100,1)+SUMIFS('17'!$J$7:$J$100,'17'!$H$7:$H$100,$A244,'17'!$I$7:$I$100,1)+SUMIFS('17a'!$J$7:$J$100,'17a'!$H$7:$H$100,$A244,'17a'!$I$7:$I$100,1)+SUMIFS('18'!$J$7:$J$100,'18'!$H$7:$H$100,$A244,'18'!$I$7:$I$100,1)+SUMIFS('18a'!$J$7:$J$100,'18a'!$H$7:$H$100,$A244,'18a'!$I$7:$I$100,1)
+SUMIFS('19'!$J$7:$J$100,'19'!$H$7:$H$100,$A244,'19'!$I$7:$I$100,1)+SUMIFS('20'!$J$7:$J$100,'20'!$H$7:$H$100,$A244,'20'!$I$7:$I$100,1)+SUMIFS('20a'!$J$7:$J$100,'20a'!$H$7:$H$100,$A244,'20a'!$I$7:$I$100,1)+SUMIFS('21'!$J$7:$J$100,'21'!$H$7:$H$100,$A244,'21'!$I$7:$I$100,1)+SUMIFS('22'!$J$7:$J$100,'22'!$H$7:$H$100,$A244,'22'!$I$7:$I$100,1)+SUMIFS('22a'!$J$7:$J$100,'22a'!$H$7:$H$100,$A244,'22a'!$I$7:$I$100,1)+SUMIFS('22b'!$J$7:$J$100,'22b'!$H$7:$H$100,$A244,'22b'!$I$7:$I$100,1)+SUMIFS('23'!$J$7:$J$100,'23'!$H$7:$H$100,$A244,'23'!$I$7:$I$100,1)+SUMIFS('24'!$J$7:$J$100,'24'!$H$7:$H$100,$A244,'24'!$I$7:$I$100,1)+SUMIFS('24a'!$J$7:$J$100,'24a'!$H$7:$H$100,$A244,'24a'!$I$7:$I$100,1)+SUMIFS('24b'!$J$7:$J$100,'24b'!$H$7:$H$100,$A244,'24b'!$I$7:$I$100,1)+SUMIFS('24c'!$J$7:$J$100,'24c'!$H$7:$H$100,$A244,'24c'!$I$7:$I$100,1)+SUMIFS('24d'!$J$7:$J$100,'24d'!$H$7:$H$100,$A244,'24d'!$I$7:$I$100,1)+SUMIFS('24e'!$J$7:$J$100,'24e'!$H$7:$H$100,$A244,'24e'!$I$7:$I$100,1)+SUMIFS('24f'!$J$7:$J$100,'24f'!$H$7:$H$100,$A244,'24f'!$I$7:$I$100,1)+SUMIFS('24g'!$J$7:$J$100,'24g'!$H$7:$H$100,$A244,'24g'!$I$7:$I$100,1)+SUMIFS('24h'!$J$7:$J$100,'24h'!$H$7:$H$100,$A244,'24h'!$I$7:$I$100,1)+SUMIFS('24i'!$J$7:$J$100,'24i'!$H$7:$H$100,$A244,'24i'!$I$7:$I$100,1)+SUMIFS('25'!$J$7:$J$100,'25'!$H$7:$H$100,$A244,'25'!$I$7:$I$100,1)+SUMIFS('26'!$J$7:$J$100,'26'!$H$7:$H$100,$A244,'26'!$I$7:$I$100,1)+SUMIFS('26a'!$J$7:$J$100,'26a'!$H$7:$H$100,$A244,'26a'!$I$7:$I$100,1)+SUMIFS('27'!$J$7:$J$100,'27'!$H$7:$H$100,$A244,'27'!$I$7:$I$100,1)+SUMIFS('27a'!$J$7:$J$100,'27a'!$H$7:$H$100,$A244,'27a'!$I$7:$I$100,1)+SUMIFS('28'!$J$7:$J$100,'28'!$H$7:$H$100,$A244,'28'!$I$7:$I$100,1)+SUMIFS('29'!$J$7:$J$100,'29'!$H$7:$H$100,$A244,'29'!$I$7:$I$100,1)</f>
        <v>0</v>
      </c>
      <c r="H244" s="1315">
        <f>SUMIFS('12'!$J$7:$J$100,'12'!$H$7:$H$100,$A244,'12'!$I$7:$I$100,2)+SUMIFS('13'!$J$7:$J$100,'13'!$H$7:$H$100,$A244,'13'!$I$7:$I$100,2)+SUMIFS('14'!$J$7:$J$100,'14'!$H$7:$H$100,$A244,'14'!$I$7:$I$100,2)+SUMIFS('15'!$J$7:$J$100,'15'!$H$7:$H$100,$A244,'15'!$I$7:$I$100,2)+SUMIFS('15a'!$J$7:$J$100,'15a'!$H$7:$H$100,$A244,'15a'!$I$7:$I$100,2)+SUMIFS('15b'!$J$7:$J$100,'15b'!$H$7:$H$100,$A244,'15b'!$I$7:$I$100,2)+SUMIFS('15c'!$J$7:$J$100,'15c'!$H$7:$H$100,$A244,'15c'!$I$7:$I$100,2)+SUMIFS('15d'!$J$7:$J$100,'15d'!$H$7:$H$100,$A244,'15d'!$I$7:$I$100,2)+SUMIFS('15e'!$J$7:$J$100,'15e'!$H$7:$H$100,$A244,'15e'!$I$7:$I$100,2)+SUMIFS('15f'!$J$7:$J$100,'15f'!$H$7:$H$100,$A244,'15f'!$I$7:$I$100,2)+SUMIFS('15g'!$J$7:$J$100,'15g'!$H$7:$H$100,$A244,'15g'!$I$7:$I$100,2)+SUMIFS('15h'!$J$7:$J$100,'15h'!$H$7:$H$100,$A244,'15h'!$I$7:$I$100,2)+SUMIFS('15i'!$J$7:$J$100,'15i'!$H$7:$H$100,$A244,'15i'!$I$7:$I$100,2)+SUMIFS('15j'!$J$7:$J$100,'15j'!$H$7:$H$100,$A244,'15j'!$I$7:$I$100,2)+SUMIFS('15k'!$J$7:$J$100,'15k'!$H$7:$H$100,$A244,'15k'!$I$7:$I$100,2)+SUMIFS('15l'!$J$7:$J$100,'15l'!$H$7:$H$100,$A244,'15l'!$I$7:$I$100,2)+SUMIFS('15m'!$J$7:$J$100,'15m'!$H$7:$H$100,$A244,'15m'!$I$7:$I$100,2)+SUMIFS('15n'!$J$7:$J$100,'15n'!$H$7:$H$100,$A244,'15n'!$I$7:$I$100,2)+SUMIFS('16'!$J$7:$J$100,'16'!$H$7:$H$100,$A244,'16'!$I$7:$I$100,2)+SUMIFS('16a'!$J$7:$J$100,'16a'!$H$7:$H$100,$A244,'16a'!$I$7:$I$100,2)+SUMIFS('17'!$J$7:$J$100,'17'!$H$7:$H$100,$A244,'17'!$I$7:$I$100,2)+SUMIFS('17a'!$J$7:$J$100,'17a'!$H$7:$H$100,$A244,'17a'!$I$7:$I$100,2)+SUMIFS('18'!$J$7:$J$100,'18'!$H$7:$H$100,$A244,'18'!$I$7:$I$100,2)+SUMIFS('18a'!$J$7:$J$100,'18a'!$H$7:$H$100,$A244,'18a'!$I$7:$I$100,2)
+SUMIFS('19'!$J$7:$J$100,'19'!$H$7:$H$100,$A244,'19'!$I$7:$I$100,2)+SUMIFS('20'!$J$7:$J$100,'20'!$H$7:$H$100,$A244,'20'!$I$7:$I$100,2)+SUMIFS('20a'!$J$7:$J$100,'20a'!$H$7:$H$100,$A244,'20a'!$I$7:$I$100,2)+SUMIFS('21'!$J$7:$J$100,'21'!$H$7:$H$100,$A244,'21'!$I$7:$I$100,2)+SUMIFS('22'!$J$7:$J$100,'22'!$H$7:$H$100,$A244,'22'!$I$7:$I$100,2)+SUMIFS('22a'!$J$7:$J$100,'22a'!$H$7:$H$100,$A244,'22a'!$I$7:$I$100,2)+SUMIFS('22b'!$J$7:$J$100,'22b'!$H$7:$H$100,$A244,'22b'!$I$7:$I$100,2)+SUMIFS('23'!$J$7:$J$100,'23'!$H$7:$H$100,$A244,'23'!$I$7:$I$100,2)+SUMIFS('24'!$J$7:$J$100,'24'!$H$7:$H$100,$A244,'24'!$I$7:$I$100,2)+SUMIFS('24a'!$J$7:$J$100,'24a'!$H$7:$H$100,$A244,'24a'!$I$7:$I$100,2)+SUMIFS('24b'!$J$7:$J$100,'24b'!$H$7:$H$100,$A244,'24b'!$I$7:$I$100,2)+SUMIFS('24c'!$J$7:$J$100,'24c'!$H$7:$H$100,$A244,'24c'!$I$7:$I$100,2)+SUMIFS('24d'!$J$7:$J$100,'24d'!$H$7:$H$100,$A244,'24d'!$I$7:$I$100,2)+SUMIFS('24e'!$J$7:$J$100,'24e'!$H$7:$H$100,$A244,'24e'!$I$7:$I$100,2)+SUMIFS('24f'!$J$7:$J$100,'24f'!$H$7:$H$100,$A244,'24f'!$I$7:$I$100,2)+SUMIFS('24g'!$J$7:$J$100,'24g'!$H$7:$H$100,$A244,'24g'!$I$7:$I$100,2)+SUMIFS('24h'!$J$7:$J$100,'24h'!$H$7:$H$100,$A244,'24h'!$I$7:$I$100,2)+SUMIFS('24i'!$J$7:$J$100,'24i'!$H$7:$H$100,$A244,'24i'!$I$7:$I$100,2)+SUMIFS('25'!$J$7:$J$100,'25'!$H$7:$H$100,$A244,'25'!$I$7:$I$100,2)+SUMIFS('26'!$J$7:$J$100,'26'!$H$7:$H$100,$A244,'26'!$I$7:$I$100,2)+SUMIFS('26a'!$J$7:$J$100,'26a'!$H$7:$H$100,$A244,'26a'!$I$7:$I$100,2)+SUMIFS('27'!$J$7:$J$100,'27'!$H$7:$H$100,$A244,'27'!$I$7:$I$100,2)+SUMIFS('27a'!$J$7:$J$100,'27a'!$H$7:$H$100,$A244,'27a'!$I$7:$I$100,2)+SUMIFS('28'!$J$7:$J$100,'28'!$H$7:$H$100,$A244,'28'!$I$7:$I$100,2)+SUMIFS('29'!$J$7:$J$100,'29'!$H$7:$H$100,$A244,'29'!$I$7:$I$100,2)</f>
        <v>0</v>
      </c>
      <c r="I244" s="1315">
        <f>SUMIFS('12'!$J$7:$J$100,'12'!$H$7:$H$100,$A244,'12'!$I$7:$I$100,"")+SUMIFS('13'!$J$7:$J$100,'13'!$H$7:$H$100,$A244,'13'!$I$7:$I$100,"")+SUMIFS('14'!$J$7:$J$100,'14'!$H$7:$H$100,$A244,'14'!$I$7:$I$100,"")+SUMIFS('15'!$J$7:$J$100,'15'!$H$7:$H$100,$A244,'15'!$I$7:$I$100,"")+SUMIFS('15a'!$J$7:$J$100,'15a'!$H$7:$H$100,$A244,'15a'!$I$7:$I$100,"")+SUMIFS('15b'!$J$7:$J$100,'15b'!$H$7:$H$100,$A244,'15b'!$I$7:$I$100,"")+SUMIFS('15c'!$J$7:$J$100,'15c'!$H$7:$H$100,$A244,'15c'!$I$7:$I$100,"")+SUMIFS('15d'!$J$7:$J$100,'15d'!$H$7:$H$100,$A244,'15d'!$I$7:$I$100,"")+SUMIFS('15e'!$J$7:$J$100,'15e'!$H$7:$H$100,$A244,'15e'!$I$7:$I$100,"")+SUMIFS('15f'!$J$7:$J$100,'15f'!$H$7:$H$100,$A244,'15f'!$I$7:$I$100,"")+SUMIFS('15g'!$J$7:$J$100,'15g'!$H$7:$H$100,$A244,'15g'!$I$7:$I$100,"")+SUMIFS('15h'!$J$7:$J$100,'15h'!$H$7:$H$100,$A244,'15h'!$I$7:$I$100,"")+SUMIFS('15i'!$J$7:$J$100,'15i'!$H$7:$H$100,$A244,'15i'!$I$7:$I$100,"")+SUMIFS('15j'!$J$7:$J$100,'15j'!$H$7:$H$100,$A244,'15j'!$I$7:$I$100,"")+SUMIFS('15k'!$J$7:$J$100,'15k'!$H$7:$H$100,$A244,'15k'!$I$7:$I$100,"")+SUMIFS('15l'!$J$7:$J$100,'15l'!$H$7:$H$100,$A244,'15l'!$I$7:$I$100,"")+SUMIFS('15m'!$J$7:$J$100,'15m'!$H$7:$H$100,$A244,'15m'!$I$7:$I$100,"")+SUMIFS('15n'!$J$7:$J$100,'15n'!$H$7:$H$100,$A244,'15n'!$I$7:$I$100,"")+SUMIFS('16'!$J$7:$J$100,'16'!$H$7:$H$100,$A244,'16'!$I$7:$I$100,"")+SUMIFS('16a'!$J$7:$J$100,'16a'!$H$7:$H$100,$A244,'16a'!$I$7:$I$100,"")+SUMIFS('17'!$J$7:$J$100,'17'!$H$7:$H$100,$A244,'17'!$I$7:$I$100,"")+SUMIFS('17a'!$J$7:$J$100,'17a'!$H$7:$H$100,$A244,'17a'!$I$7:$I$100,"")+SUMIFS('18'!$J$7:$J$100,'18'!$H$7:$H$100,$A244,'18'!$I$7:$I$100,"")+SUMIFS('18a'!$J$7:$J$100,'18a'!$H$7:$H$100,$A244,'18a'!$I$7:$I$100,"")
+SUMIFS('19'!$J$7:$J$100,'19'!$H$7:$H$100,$A244,'19'!$I$7:$I$100,"")+SUMIFS('20'!$J$7:$J$100,'20'!$H$7:$H$100,$A244,'20'!$I$7:$I$100,"")+SUMIFS('20a'!$J$7:$J$100,'20a'!$H$7:$H$100,$A244,'20a'!$I$7:$I$100,"")+SUMIFS('21'!$J$7:$J$100,'21'!$H$7:$H$100,$A244,'21'!$I$7:$I$100,"")+SUMIFS('22'!$J$7:$J$100,'22'!$H$7:$H$100,$A244,'22'!$I$7:$I$100,"")+SUMIFS('22a'!$J$7:$J$100,'22a'!$H$7:$H$100,$A244,'22a'!$I$7:$I$100,"")+SUMIFS('22b'!$J$7:$J$100,'22b'!$H$7:$H$100,$A244,'22b'!$I$7:$I$100,"")+SUMIFS('23'!$J$7:$J$100,'23'!$H$7:$H$100,$A244,'23'!$I$7:$I$100,"")+SUMIFS('24'!$J$7:$J$100,'24'!$H$7:$H$100,$A244,'24'!$I$7:$I$100,"")+SUMIFS('24a'!$J$7:$J$100,'24a'!$H$7:$H$100,$A244,'24a'!$I$7:$I$100,"")+SUMIFS('24b'!$J$7:$J$100,'24b'!$H$7:$H$100,$A244,'24b'!$I$7:$I$100,"")+SUMIFS('24c'!$J$7:$J$100,'24c'!$H$7:$H$100,$A244,'24c'!$I$7:$I$100,"")+SUMIFS('24d'!$J$7:$J$100,'24d'!$H$7:$H$100,$A244,'24d'!$I$7:$I$100,"")+SUMIFS('24e'!$J$7:$J$100,'24e'!$H$7:$H$100,$A244,'24e'!$I$7:$I$100,"")+SUMIFS('24f'!$J$7:$J$100,'24f'!$H$7:$H$100,$A244,'24f'!$I$7:$I$100,"")+SUMIFS('24g'!$J$7:$J$100,'24g'!$H$7:$H$100,$A244,'24g'!$I$7:$I$100,"")+SUMIFS('24h'!$J$7:$J$100,'24h'!$H$7:$H$100,$A244,'24h'!$I$7:$I$100,"")+SUMIFS('24i'!$J$7:$J$100,'24i'!$H$7:$H$100,$A244,'24i'!$I$7:$I$100,"")+SUMIFS('25'!$J$7:$J$100,'25'!$H$7:$H$100,$A244,'25'!$I$7:$I$100,"")+SUMIFS('26'!$J$7:$J$100,'26'!$H$7:$H$100,$A244,'26'!$I$7:$I$100,"")+SUMIFS('26a'!$J$7:$J$100,'26a'!$H$7:$H$100,$A244,'26a'!$I$7:$I$100,"")+SUMIFS('27'!$J$7:$J$100,'27'!$H$7:$H$100,$A244,'27'!$I$7:$I$100,"")+SUMIFS('27a'!$J$7:$J$100,'27a'!$H$7:$H$100,$A244,'27a'!$I$7:$I$100,"")+SUMIFS('28'!$J$7:$J$100,'28'!$H$7:$H$100,$A244,'28'!$I$7:$I$100,"")+SUMIFS('29'!$J$7:$J$100,'29'!$H$7:$H$100,$A244,'29'!$I$7:$I$100,"")</f>
        <v>0</v>
      </c>
      <c r="J244" s="1296">
        <f t="shared" si="21"/>
        <v>0</v>
      </c>
      <c r="K244"/>
      <c r="L244"/>
      <c r="M244"/>
      <c r="N244"/>
      <c r="O244"/>
      <c r="P244"/>
      <c r="Q244"/>
      <c r="R244"/>
      <c r="S244" s="1307">
        <f t="shared" si="14"/>
        <v>0</v>
      </c>
      <c r="T244"/>
    </row>
    <row r="245" spans="1:20" x14ac:dyDescent="0.2">
      <c r="A245" t="s">
        <v>5455</v>
      </c>
      <c r="B245" t="s">
        <v>5496</v>
      </c>
      <c r="C245" s="1295">
        <f>SUMIFS('12'!$N$7:$N$100,'12'!$H$7:$H$100,$A245,'12'!$I$7:$I$100,1)+SUMIFS('13'!$N$7:$N$100,'13'!$H$7:$H$100,$A245,'13'!$I$7:$I$100,1)+SUMIFS('14'!$N$7:$N$100,'14'!$H$7:$H$100,$A245,'14'!$I$7:$I$100,1)+SUMIFS('15'!$N$7:$N$100,'15'!$H$7:$H$100,$A245,'15'!$I$7:$I$100,1)+SUMIFS('15a'!$N$7:$N$100,'15a'!$H$7:$H$100,$A245,'15a'!$I$7:$I$100,1)+SUMIFS('15b'!$N$7:$N$100,'15b'!$H$7:$H$100,$A245,'15b'!$I$7:$I$100,1)+SUMIFS('15c'!$N$7:$N$100,'15c'!$H$7:$H$100,$A245,'15c'!$I$7:$I$100,1)+SUMIFS('15d'!$N$7:$N$100,'15d'!$H$7:$H$100,$A245,'15d'!$I$7:$I$100,1)+SUMIFS('15e'!$N$7:$N$100,'15e'!$H$7:$H$100,$A245,'15e'!$I$7:$I$100,1)+SUMIFS('15f'!$N$7:$N$100,'15f'!$H$7:$H$100,$A245,'15f'!$I$7:$I$100,1)+SUMIFS('15g'!$N$7:$N$100,'15g'!$H$7:$H$100,$A245,'15g'!$I$7:$I$100,1)+SUMIFS('15h'!$N$7:$N$100,'15h'!$H$7:$H$100,$A245,'15h'!$I$7:$I$100,1)+SUMIFS('15i'!$N$7:$N$100,'15i'!$H$7:$H$100,$A245,'15i'!$I$7:$I$100,1)+SUMIFS('15j'!$N$7:$N$100,'15j'!$H$7:$H$100,$A245,'15j'!$I$7:$I$100,1)+SUMIFS('15k'!$N$7:$N$100,'15k'!$H$7:$H$100,$A245,'15k'!$I$7:$I$100,1)+SUMIFS('15l'!$N$7:$N$100,'15l'!$H$7:$H$100,$A245,'15l'!$I$7:$I$100,1)+SUMIFS('15m'!$N$7:$N$100,'15m'!$H$7:$H$100,$A245,'15m'!$I$7:$I$100,1)+SUMIFS('15n'!$N$7:$N$100,'15n'!$H$7:$H$100,$A245,'15n'!$I$7:$I$100,1)+SUMIFS('16'!$N$7:$N$100,'16'!$H$7:$H$100,$A245,'16'!$I$7:$I$100,1)+SUMIFS('16a'!$N$7:$N$100,'16a'!$H$7:$H$100,$A245,'16a'!$I$7:$I$100,1)+SUMIFS('17'!$N$7:$N$100,'17'!$H$7:$H$100,$A245,'17'!$I$7:$I$100,1)+SUMIFS('17a'!$N$7:$N$100,'17a'!$H$7:$H$100,$A245,'17a'!$I$7:$I$100,1)+SUMIFS('18'!$N$7:$N$100,'18'!$H$7:$H$100,$A245,'18'!$I$7:$I$100,1)+SUMIFS('18a'!$N$7:$N$100,'18a'!$H$7:$H$100,$A245,'18a'!$I$7:$I$100,1)
+SUMIFS('19'!$N$7:$N$100,'19'!$H$7:$H$100,$A245,'19'!$I$7:$I$100,1)+SUMIFS('20'!$N$7:$N$100,'20'!$H$7:$H$100,$A245,'20'!$I$7:$I$100,1)+SUMIFS('20a'!$N$7:$N$100,'20a'!$H$7:$H$100,$A245,'20a'!$I$7:$I$100,1)+SUMIFS('21'!$N$7:$N$100,'21'!$H$7:$H$100,$A245,'21'!$I$7:$I$100,1)+SUMIFS('22'!$N$7:$N$100,'22'!$H$7:$H$100,$A245,'22'!$I$7:$I$100,1)+SUMIFS('22a'!$N$7:$N$100,'22a'!$H$7:$H$100,$A245,'22a'!$I$7:$I$100,1)+SUMIFS('22b'!$N$7:$N$100,'22b'!$H$7:$H$100,$A245,'22b'!$I$7:$I$100,1)+SUMIFS('23'!$N$7:$N$100,'23'!$H$7:$H$100,$A245,'23'!$I$7:$I$100,1)+SUMIFS('24'!$N$7:$N$100,'24'!$H$7:$H$100,$A245,'24'!$I$7:$I$100,1)+SUMIFS('24a'!$N$7:$N$100,'24a'!$H$7:$H$100,$A245,'24a'!$I$7:$I$100,1)+SUMIFS('24b'!$N$7:$N$100,'24b'!$H$7:$H$100,$A245,'24b'!$I$7:$I$100,1)+SUMIFS('24c'!$N$7:$N$100,'24c'!$H$7:$H$100,$A245,'24c'!$I$7:$I$100,1)+SUMIFS('24d'!$N$7:$N$100,'24d'!$H$7:$H$100,$A245,'24d'!$I$7:$I$100,1)+SUMIFS('24e'!$N$7:$N$100,'24e'!$H$7:$H$100,$A245,'24e'!$I$7:$I$100,1)+SUMIFS('24f'!$N$7:$N$100,'24f'!$H$7:$H$100,$A245,'24f'!$I$7:$I$100,1)+SUMIFS('24g'!$N$7:$N$100,'24g'!$H$7:$H$100,$A245,'24g'!$I$7:$I$100,1)+SUMIFS('24h'!$N$7:$N$100,'24h'!$H$7:$H$100,$A245,'24h'!$I$7:$I$100,1)+SUMIFS('24i'!$N$7:$N$100,'24i'!$H$7:$H$100,$A245,'24i'!$I$7:$I$100,1)+SUMIFS('25'!$N$7:$N$100,'25'!$H$7:$H$100,$A245,'25'!$I$7:$I$100,1)+SUMIFS('26'!$N$7:$N$100,'26'!$H$7:$H$100,$A245,'26'!$I$7:$I$100,1)+SUMIFS('26a'!$N$7:$N$100,'26a'!$H$7:$H$100,$A245,'26a'!$I$7:$I$100,1)+SUMIFS('27'!$N$7:$N$100,'27'!$H$7:$H$100,$A245,'27'!$I$7:$I$100,1)+SUMIFS('27a'!$N$7:$N$100,'27a'!$H$7:$H$100,$A245,'27a'!$I$7:$I$100,1)+SUMIFS('28'!$N$7:$N$100,'28'!$H$7:$H$100,$A245,'28'!$I$7:$I$100,1)+SUMIFS('29'!$N$7:$N$100,'29'!$H$7:$H$100,$A245,'29'!$I$7:$I$100,1)</f>
        <v>0</v>
      </c>
      <c r="D245" s="1315">
        <f>SUMIFS('12'!$N$7:$N$100,'12'!$H$7:$H$100,$A245,'12'!$I$7:$I$100,2)+SUMIFS('13'!$N$7:$N$100,'13'!$H$7:$H$100,$A245,'13'!$I$7:$I$100,2)+SUMIFS('14'!$N$7:$N$100,'14'!$H$7:$H$100,$A245,'14'!$I$7:$I$100,2)+SUMIFS('15'!$N$7:$N$100,'15'!$H$7:$H$100,$A245,'15'!$I$7:$I$100,2)+SUMIFS('15a'!$N$7:$N$100,'15a'!$H$7:$H$100,$A245,'15a'!$I$7:$I$100,2)+SUMIFS('15b'!$N$7:$N$100,'15b'!$H$7:$H$100,$A245,'15b'!$I$7:$I$100,2)+SUMIFS('15c'!$N$7:$N$100,'15c'!$H$7:$H$100,$A245,'15c'!$I$7:$I$100,2)+SUMIFS('15d'!$N$7:$N$100,'15d'!$H$7:$H$100,$A245,'15d'!$I$7:$I$100,2)+SUMIFS('15e'!$N$7:$N$100,'15e'!$H$7:$H$100,$A245,'15e'!$I$7:$I$100,2)+SUMIFS('15f'!$N$7:$N$100,'15f'!$H$7:$H$100,$A245,'15f'!$I$7:$I$100,2)+SUMIFS('15g'!$N$7:$N$100,'15g'!$H$7:$H$100,$A245,'15g'!$I$7:$I$100,2)+SUMIFS('15h'!$N$7:$N$100,'15h'!$H$7:$H$100,$A245,'15h'!$I$7:$I$100,2)+SUMIFS('15i'!$N$7:$N$100,'15i'!$H$7:$H$100,$A245,'15i'!$I$7:$I$100,2)+SUMIFS('15j'!$N$7:$N$100,'15j'!$H$7:$H$100,$A245,'15j'!$I$7:$I$100,2)+SUMIFS('15k'!$N$7:$N$100,'15k'!$H$7:$H$100,$A245,'15k'!$I$7:$I$100,2)+SUMIFS('15l'!$N$7:$N$100,'15l'!$H$7:$H$100,$A245,'15l'!$I$7:$I$100,2)+SUMIFS('15m'!$N$7:$N$100,'15m'!$H$7:$H$100,$A245,'15m'!$I$7:$I$100,2)+SUMIFS('15n'!$N$7:$N$100,'15n'!$H$7:$H$100,$A245,'15n'!$I$7:$I$100,2)+SUMIFS('16'!$N$7:$N$100,'16'!$H$7:$H$100,$A245,'16'!$I$7:$I$100,2)+SUMIFS('16a'!$N$7:$N$100,'16a'!$H$7:$H$100,$A245,'16a'!$I$7:$I$100,2)+SUMIFS('17'!$N$7:$N$100,'17'!$H$7:$H$100,$A245,'17'!$I$7:$I$100,2)+SUMIFS('17a'!$N$7:$N$100,'17a'!$H$7:$H$100,$A245,'17a'!$I$7:$I$100,2)+SUMIFS('18'!$N$7:$N$100,'18'!$H$7:$H$100,$A245,'18'!$I$7:$I$100,2)+SUMIFS('18a'!$N$7:$N$100,'18a'!$H$7:$H$100,$A245,'18a'!$I$7:$I$100,2)
+SUMIFS('19'!$N$7:$N$100,'19'!$H$7:$H$100,$A245,'19'!$I$7:$I$100,2)+SUMIFS('20'!$N$7:$N$100,'20'!$H$7:$H$100,$A245,'20'!$I$7:$I$100,2)+SUMIFS('20a'!$N$7:$N$100,'20a'!$H$7:$H$100,$A245,'20a'!$I$7:$I$100,2)+SUMIFS('21'!$N$7:$N$100,'21'!$H$7:$H$100,$A245,'21'!$I$7:$I$100,2)+SUMIFS('22'!$N$7:$N$100,'22'!$H$7:$H$100,$A245,'22'!$I$7:$I$100,2)+SUMIFS('22a'!$N$7:$N$100,'22a'!$H$7:$H$100,$A245,'22a'!$I$7:$I$100,2)+SUMIFS('22b'!$N$7:$N$100,'22b'!$H$7:$H$100,$A245,'22b'!$I$7:$I$100,2)+SUMIFS('23'!$N$7:$N$100,'23'!$H$7:$H$100,$A245,'23'!$I$7:$I$100,2)+SUMIFS('24'!$N$7:$N$100,'24'!$H$7:$H$100,$A245,'24'!$I$7:$I$100,2)+SUMIFS('24a'!$N$7:$N$100,'24a'!$H$7:$H$100,$A245,'24a'!$I$7:$I$100,2)+SUMIFS('24b'!$N$7:$N$100,'24b'!$H$7:$H$100,$A245,'24b'!$I$7:$I$100,2)+SUMIFS('24c'!$N$7:$N$100,'24c'!$H$7:$H$100,$A245,'24c'!$I$7:$I$100,2)+SUMIFS('24d'!$N$7:$N$100,'24d'!$H$7:$H$100,$A245,'24d'!$I$7:$I$100,2)+SUMIFS('24e'!$N$7:$N$100,'24e'!$H$7:$H$100,$A245,'24e'!$I$7:$I$100,2)+SUMIFS('24f'!$N$7:$N$100,'24f'!$H$7:$H$100,$A245,'24f'!$I$7:$I$100,2)+SUMIFS('24g'!$N$7:$N$100,'24g'!$H$7:$H$100,$A245,'24g'!$I$7:$I$100,2)+SUMIFS('24h'!$N$7:$N$100,'24h'!$H$7:$H$100,$A245,'24h'!$I$7:$I$100,2)+SUMIFS('24i'!$N$7:$N$100,'24i'!$H$7:$H$100,$A245,'24i'!$I$7:$I$100,2)+SUMIFS('25'!$N$7:$N$100,'25'!$H$7:$H$100,$A245,'25'!$I$7:$I$100,2)+SUMIFS('26'!$N$7:$N$100,'26'!$H$7:$H$100,$A245,'26'!$I$7:$I$100,2)+SUMIFS('26a'!$N$7:$N$100,'26a'!$H$7:$H$100,$A245,'26a'!$I$7:$I$100,2)+SUMIFS('27'!$N$7:$N$100,'27'!$H$7:$H$100,$A245,'27'!$I$7:$I$100,2)+SUMIFS('27a'!$N$7:$N$100,'27a'!$H$7:$H$100,$A245,'27a'!$I$7:$I$100,2)+SUMIFS('28'!$N$7:$N$100,'28'!$H$7:$H$100,$A245,'28'!$I$7:$I$100,2)+SUMIFS('29'!$N$7:$N$100,'29'!$H$7:$H$100,$A245,'29'!$I$7:$I$100,2)</f>
        <v>0</v>
      </c>
      <c r="E245" s="1315">
        <f>SUMIFS('12'!$N$7:$N$100,'12'!$H$7:$H$100,$A245,'12'!$I$7:$I$100,"")+SUMIFS('13'!$N$7:$N$100,'13'!$H$7:$H$100,$A245,'13'!$I$7:$I$100,"")+SUMIFS('14'!$N$7:$N$100,'14'!$H$7:$H$100,$A245,'14'!$I$7:$I$100,"")+SUMIFS('15'!$N$7:$N$100,'15'!$H$7:$H$100,$A245,'15'!$I$7:$I$100,"")+SUMIFS('15a'!$N$7:$N$100,'15a'!$H$7:$H$100,$A245,'15a'!$I$7:$I$100,"")+SUMIFS('15b'!$N$7:$N$100,'15b'!$H$7:$H$100,$A245,'15b'!$I$7:$I$100,"")+SUMIFS('15c'!$N$7:$N$100,'15c'!$H$7:$H$100,$A245,'15c'!$I$7:$I$100,"")+SUMIFS('15d'!$N$7:$N$100,'15d'!$H$7:$H$100,$A245,'15d'!$I$7:$I$100,"")+SUMIFS('15e'!$N$7:$N$100,'15e'!$H$7:$H$100,$A245,'15e'!$I$7:$I$100,"")+SUMIFS('15f'!$N$7:$N$100,'15f'!$H$7:$H$100,$A245,'15f'!$I$7:$I$100,"")+SUMIFS('15g'!$N$7:$N$100,'15g'!$H$7:$H$100,$A245,'15g'!$I$7:$I$100,"")+SUMIFS('15h'!$N$7:$N$100,'15h'!$H$7:$H$100,$A245,'15h'!$I$7:$I$100,"")+SUMIFS('15i'!$N$7:$N$100,'15i'!$H$7:$H$100,$A245,'15i'!$I$7:$I$100,"")+SUMIFS('15j'!$N$7:$N$100,'15j'!$H$7:$H$100,$A245,'15j'!$I$7:$I$100,"")+SUMIFS('15k'!$N$7:$N$100,'15k'!$H$7:$H$100,$A245,'15k'!$I$7:$I$100,"")+SUMIFS('15l'!$N$7:$N$100,'15l'!$H$7:$H$100,$A245,'15l'!$I$7:$I$100,"")+SUMIFS('15m'!$N$7:$N$100,'15m'!$H$7:$H$100,$A245,'15m'!$I$7:$I$100,"")+SUMIFS('15n'!$N$7:$N$100,'15n'!$H$7:$H$100,$A245,'15n'!$I$7:$I$100,"")+SUMIFS('16'!$N$7:$N$100,'16'!$H$7:$H$100,$A245,'16'!$I$7:$I$100,"")+SUMIFS('16a'!$N$7:$N$100,'16a'!$H$7:$H$100,$A245,'16a'!$I$7:$I$100,"")+SUMIFS('17'!$N$7:$N$100,'17'!$H$7:$H$100,$A245,'17'!$I$7:$I$100,"")+SUMIFS('17a'!$N$7:$N$100,'17a'!$H$7:$H$100,$A245,'17a'!$I$7:$I$100,"")+SUMIFS('18'!$N$7:$N$100,'18'!$H$7:$H$100,$A245,'18'!$I$7:$I$100,"")+SUMIFS('18a'!$N$7:$N$100,'18a'!$H$7:$H$100,$A245,'18a'!$I$7:$I$100,"")
+SUMIFS('19'!$N$7:$N$100,'19'!$H$7:$H$100,$A245,'19'!$I$7:$I$100,"")+SUMIFS('20'!$N$7:$N$100,'20'!$H$7:$H$100,$A245,'20'!$I$7:$I$100,"")+SUMIFS('20a'!$N$7:$N$100,'20a'!$H$7:$H$100,$A245,'20a'!$I$7:$I$100,"")+SUMIFS('21'!$N$7:$N$100,'21'!$H$7:$H$100,$A245,'21'!$I$7:$I$100,"")+SUMIFS('22'!$N$7:$N$100,'22'!$H$7:$H$100,$A245,'22'!$I$7:$I$100,"")+SUMIFS('22a'!$N$7:$N$100,'22a'!$H$7:$H$100,$A245,'22a'!$I$7:$I$100,"")+SUMIFS('22b'!$N$7:$N$100,'22b'!$H$7:$H$100,$A245,'22b'!$I$7:$I$100,"")+SUMIFS('23'!$N$7:$N$100,'23'!$H$7:$H$100,$A245,'23'!$I$7:$I$100,"")+SUMIFS('24'!$N$7:$N$100,'24'!$H$7:$H$100,$A245,'24'!$I$7:$I$100,"")+SUMIFS('24a'!$N$7:$N$100,'24a'!$H$7:$H$100,$A245,'24a'!$I$7:$I$100,"")+SUMIFS('24b'!$N$7:$N$100,'24b'!$H$7:$H$100,$A245,'24b'!$I$7:$I$100,"")+SUMIFS('24c'!$N$7:$N$100,'24c'!$H$7:$H$100,$A245,'24c'!$I$7:$I$100,"")+SUMIFS('24d'!$N$7:$N$100,'24d'!$H$7:$H$100,$A245,'24d'!$I$7:$I$100,"")+SUMIFS('24e'!$N$7:$N$100,'24e'!$H$7:$H$100,$A245,'24e'!$I$7:$I$100,"")+SUMIFS('24f'!$N$7:$N$100,'24f'!$H$7:$H$100,$A245,'24f'!$I$7:$I$100,"")+SUMIFS('24g'!$N$7:$N$100,'24g'!$H$7:$H$100,$A245,'24g'!$I$7:$I$100,"")+SUMIFS('24h'!$N$7:$N$100,'24h'!$H$7:$H$100,$A245,'24h'!$I$7:$I$100,"")+SUMIFS('24i'!$N$7:$N$100,'24i'!$H$7:$H$100,$A245,'24i'!$I$7:$I$100,"")+SUMIFS('25'!$N$7:$N$100,'25'!$H$7:$H$100,$A245,'25'!$I$7:$I$100,"")+SUMIFS('26'!$N$7:$N$100,'26'!$H$7:$H$100,$A245,'26'!$I$7:$I$100,"")+SUMIFS('26a'!$N$7:$N$100,'26a'!$H$7:$H$100,$A245,'26a'!$I$7:$I$100,"")+SUMIFS('27'!$N$7:$N$100,'27'!$H$7:$H$100,$A245,'27'!$I$7:$I$100,"")+SUMIFS('27a'!$N$7:$N$100,'27a'!$H$7:$H$100,$A245,'27a'!$I$7:$I$100,"")+SUMIFS('28'!$N$7:$N$100,'28'!$H$7:$H$100,$A245,'28'!$I$7:$I$100,"")+SUMIFS('29'!$N$7:$N$100,'29'!$H$7:$H$100,$A245,'29'!$I$7:$I$100,"")</f>
        <v>0</v>
      </c>
      <c r="F245" s="1296">
        <f t="shared" si="20"/>
        <v>0</v>
      </c>
      <c r="G245" s="1295">
        <f>SUMIFS('12'!$J$7:$J$100,'12'!$H$7:$H$100,$A245,'12'!$I$7:$I$100,1)+SUMIFS('13'!$J$7:$J$100,'13'!$H$7:$H$100,$A245,'13'!$I$7:$I$100,1)+SUMIFS('14'!$J$7:$J$100,'14'!$H$7:$H$100,$A245,'14'!$I$7:$I$100,1)+SUMIFS('15'!$J$7:$J$100,'15'!$H$7:$H$100,$A245,'15'!$I$7:$I$100,1)+SUMIFS('15a'!$J$7:$J$100,'15a'!$H$7:$H$100,$A245,'15a'!$I$7:$I$100,1)+SUMIFS('15b'!$J$7:$J$100,'15b'!$H$7:$H$100,$A245,'15b'!$I$7:$I$100,1)+SUMIFS('15c'!$J$7:$J$100,'15c'!$H$7:$H$100,$A245,'15c'!$I$7:$I$100,1)+SUMIFS('15d'!$J$7:$J$100,'15d'!$H$7:$H$100,$A245,'15d'!$I$7:$I$100,1)+SUMIFS('15e'!$J$7:$J$100,'15e'!$H$7:$H$100,$A245,'15e'!$I$7:$I$100,1)+SUMIFS('15f'!$J$7:$J$100,'15f'!$H$7:$H$100,$A245,'15f'!$I$7:$I$100,1)+SUMIFS('15g'!$J$7:$J$100,'15g'!$H$7:$H$100,$A245,'15g'!$I$7:$I$100,1)+SUMIFS('15h'!$J$7:$J$100,'15h'!$H$7:$H$100,$A245,'15h'!$I$7:$I$100,1)+SUMIFS('15i'!$J$7:$J$100,'15i'!$H$7:$H$100,$A245,'15i'!$I$7:$I$100,1)+SUMIFS('15j'!$J$7:$J$100,'15j'!$H$7:$H$100,$A245,'15j'!$I$7:$I$100,1)+SUMIFS('15k'!$J$7:$J$100,'15k'!$H$7:$H$100,$A245,'15k'!$I$7:$I$100,1)+SUMIFS('15l'!$J$7:$J$100,'15l'!$H$7:$H$100,$A245,'15l'!$I$7:$I$100,1)+SUMIFS('15m'!$J$7:$J$100,'15m'!$H$7:$H$100,$A245,'15m'!$I$7:$I$100,1)+SUMIFS('15n'!$J$7:$J$100,'15n'!$H$7:$H$100,$A245,'15n'!$I$7:$I$100,1)+SUMIFS('16'!$J$7:$J$100,'16'!$H$7:$H$100,$A245,'16'!$I$7:$I$100,1)+SUMIFS('16a'!$J$7:$J$100,'16a'!$H$7:$H$100,$A245,'16a'!$I$7:$I$100,1)+SUMIFS('17'!$J$7:$J$100,'17'!$H$7:$H$100,$A245,'17'!$I$7:$I$100,1)+SUMIFS('17a'!$J$7:$J$100,'17a'!$H$7:$H$100,$A245,'17a'!$I$7:$I$100,1)+SUMIFS('18'!$J$7:$J$100,'18'!$H$7:$H$100,$A245,'18'!$I$7:$I$100,1)+SUMIFS('18a'!$J$7:$J$100,'18a'!$H$7:$H$100,$A245,'18a'!$I$7:$I$100,1)
+SUMIFS('19'!$J$7:$J$100,'19'!$H$7:$H$100,$A245,'19'!$I$7:$I$100,1)+SUMIFS('20'!$J$7:$J$100,'20'!$H$7:$H$100,$A245,'20'!$I$7:$I$100,1)+SUMIFS('20a'!$J$7:$J$100,'20a'!$H$7:$H$100,$A245,'20a'!$I$7:$I$100,1)+SUMIFS('21'!$J$7:$J$100,'21'!$H$7:$H$100,$A245,'21'!$I$7:$I$100,1)+SUMIFS('22'!$J$7:$J$100,'22'!$H$7:$H$100,$A245,'22'!$I$7:$I$100,1)+SUMIFS('22a'!$J$7:$J$100,'22a'!$H$7:$H$100,$A245,'22a'!$I$7:$I$100,1)+SUMIFS('22b'!$J$7:$J$100,'22b'!$H$7:$H$100,$A245,'22b'!$I$7:$I$100,1)+SUMIFS('23'!$J$7:$J$100,'23'!$H$7:$H$100,$A245,'23'!$I$7:$I$100,1)+SUMIFS('24'!$J$7:$J$100,'24'!$H$7:$H$100,$A245,'24'!$I$7:$I$100,1)+SUMIFS('24a'!$J$7:$J$100,'24a'!$H$7:$H$100,$A245,'24a'!$I$7:$I$100,1)+SUMIFS('24b'!$J$7:$J$100,'24b'!$H$7:$H$100,$A245,'24b'!$I$7:$I$100,1)+SUMIFS('24c'!$J$7:$J$100,'24c'!$H$7:$H$100,$A245,'24c'!$I$7:$I$100,1)+SUMIFS('24d'!$J$7:$J$100,'24d'!$H$7:$H$100,$A245,'24d'!$I$7:$I$100,1)+SUMIFS('24e'!$J$7:$J$100,'24e'!$H$7:$H$100,$A245,'24e'!$I$7:$I$100,1)+SUMIFS('24f'!$J$7:$J$100,'24f'!$H$7:$H$100,$A245,'24f'!$I$7:$I$100,1)+SUMIFS('24g'!$J$7:$J$100,'24g'!$H$7:$H$100,$A245,'24g'!$I$7:$I$100,1)+SUMIFS('24h'!$J$7:$J$100,'24h'!$H$7:$H$100,$A245,'24h'!$I$7:$I$100,1)+SUMIFS('24i'!$J$7:$J$100,'24i'!$H$7:$H$100,$A245,'24i'!$I$7:$I$100,1)+SUMIFS('25'!$J$7:$J$100,'25'!$H$7:$H$100,$A245,'25'!$I$7:$I$100,1)+SUMIFS('26'!$J$7:$J$100,'26'!$H$7:$H$100,$A245,'26'!$I$7:$I$100,1)+SUMIFS('26a'!$J$7:$J$100,'26a'!$H$7:$H$100,$A245,'26a'!$I$7:$I$100,1)+SUMIFS('27'!$J$7:$J$100,'27'!$H$7:$H$100,$A245,'27'!$I$7:$I$100,1)+SUMIFS('27a'!$J$7:$J$100,'27a'!$H$7:$H$100,$A245,'27a'!$I$7:$I$100,1)+SUMIFS('28'!$J$7:$J$100,'28'!$H$7:$H$100,$A245,'28'!$I$7:$I$100,1)+SUMIFS('29'!$J$7:$J$100,'29'!$H$7:$H$100,$A245,'29'!$I$7:$I$100,1)</f>
        <v>0</v>
      </c>
      <c r="H245" s="1315">
        <f>SUMIFS('12'!$J$7:$J$100,'12'!$H$7:$H$100,$A245,'12'!$I$7:$I$100,2)+SUMIFS('13'!$J$7:$J$100,'13'!$H$7:$H$100,$A245,'13'!$I$7:$I$100,2)+SUMIFS('14'!$J$7:$J$100,'14'!$H$7:$H$100,$A245,'14'!$I$7:$I$100,2)+SUMIFS('15'!$J$7:$J$100,'15'!$H$7:$H$100,$A245,'15'!$I$7:$I$100,2)+SUMIFS('15a'!$J$7:$J$100,'15a'!$H$7:$H$100,$A245,'15a'!$I$7:$I$100,2)+SUMIFS('15b'!$J$7:$J$100,'15b'!$H$7:$H$100,$A245,'15b'!$I$7:$I$100,2)+SUMIFS('15c'!$J$7:$J$100,'15c'!$H$7:$H$100,$A245,'15c'!$I$7:$I$100,2)+SUMIFS('15d'!$J$7:$J$100,'15d'!$H$7:$H$100,$A245,'15d'!$I$7:$I$100,2)+SUMIFS('15e'!$J$7:$J$100,'15e'!$H$7:$H$100,$A245,'15e'!$I$7:$I$100,2)+SUMIFS('15f'!$J$7:$J$100,'15f'!$H$7:$H$100,$A245,'15f'!$I$7:$I$100,2)+SUMIFS('15g'!$J$7:$J$100,'15g'!$H$7:$H$100,$A245,'15g'!$I$7:$I$100,2)+SUMIFS('15h'!$J$7:$J$100,'15h'!$H$7:$H$100,$A245,'15h'!$I$7:$I$100,2)+SUMIFS('15i'!$J$7:$J$100,'15i'!$H$7:$H$100,$A245,'15i'!$I$7:$I$100,2)+SUMIFS('15j'!$J$7:$J$100,'15j'!$H$7:$H$100,$A245,'15j'!$I$7:$I$100,2)+SUMIFS('15k'!$J$7:$J$100,'15k'!$H$7:$H$100,$A245,'15k'!$I$7:$I$100,2)+SUMIFS('15l'!$J$7:$J$100,'15l'!$H$7:$H$100,$A245,'15l'!$I$7:$I$100,2)+SUMIFS('15m'!$J$7:$J$100,'15m'!$H$7:$H$100,$A245,'15m'!$I$7:$I$100,2)+SUMIFS('15n'!$J$7:$J$100,'15n'!$H$7:$H$100,$A245,'15n'!$I$7:$I$100,2)+SUMIFS('16'!$J$7:$J$100,'16'!$H$7:$H$100,$A245,'16'!$I$7:$I$100,2)+SUMIFS('16a'!$J$7:$J$100,'16a'!$H$7:$H$100,$A245,'16a'!$I$7:$I$100,2)+SUMIFS('17'!$J$7:$J$100,'17'!$H$7:$H$100,$A245,'17'!$I$7:$I$100,2)+SUMIFS('17a'!$J$7:$J$100,'17a'!$H$7:$H$100,$A245,'17a'!$I$7:$I$100,2)+SUMIFS('18'!$J$7:$J$100,'18'!$H$7:$H$100,$A245,'18'!$I$7:$I$100,2)+SUMIFS('18a'!$J$7:$J$100,'18a'!$H$7:$H$100,$A245,'18a'!$I$7:$I$100,2)
+SUMIFS('19'!$J$7:$J$100,'19'!$H$7:$H$100,$A245,'19'!$I$7:$I$100,2)+SUMIFS('20'!$J$7:$J$100,'20'!$H$7:$H$100,$A245,'20'!$I$7:$I$100,2)+SUMIFS('20a'!$J$7:$J$100,'20a'!$H$7:$H$100,$A245,'20a'!$I$7:$I$100,2)+SUMIFS('21'!$J$7:$J$100,'21'!$H$7:$H$100,$A245,'21'!$I$7:$I$100,2)+SUMIFS('22'!$J$7:$J$100,'22'!$H$7:$H$100,$A245,'22'!$I$7:$I$100,2)+SUMIFS('22a'!$J$7:$J$100,'22a'!$H$7:$H$100,$A245,'22a'!$I$7:$I$100,2)+SUMIFS('22b'!$J$7:$J$100,'22b'!$H$7:$H$100,$A245,'22b'!$I$7:$I$100,2)+SUMIFS('23'!$J$7:$J$100,'23'!$H$7:$H$100,$A245,'23'!$I$7:$I$100,2)+SUMIFS('24'!$J$7:$J$100,'24'!$H$7:$H$100,$A245,'24'!$I$7:$I$100,2)+SUMIFS('24a'!$J$7:$J$100,'24a'!$H$7:$H$100,$A245,'24a'!$I$7:$I$100,2)+SUMIFS('24b'!$J$7:$J$100,'24b'!$H$7:$H$100,$A245,'24b'!$I$7:$I$100,2)+SUMIFS('24c'!$J$7:$J$100,'24c'!$H$7:$H$100,$A245,'24c'!$I$7:$I$100,2)+SUMIFS('24d'!$J$7:$J$100,'24d'!$H$7:$H$100,$A245,'24d'!$I$7:$I$100,2)+SUMIFS('24e'!$J$7:$J$100,'24e'!$H$7:$H$100,$A245,'24e'!$I$7:$I$100,2)+SUMIFS('24f'!$J$7:$J$100,'24f'!$H$7:$H$100,$A245,'24f'!$I$7:$I$100,2)+SUMIFS('24g'!$J$7:$J$100,'24g'!$H$7:$H$100,$A245,'24g'!$I$7:$I$100,2)+SUMIFS('24h'!$J$7:$J$100,'24h'!$H$7:$H$100,$A245,'24h'!$I$7:$I$100,2)+SUMIFS('24i'!$J$7:$J$100,'24i'!$H$7:$H$100,$A245,'24i'!$I$7:$I$100,2)+SUMIFS('25'!$J$7:$J$100,'25'!$H$7:$H$100,$A245,'25'!$I$7:$I$100,2)+SUMIFS('26'!$J$7:$J$100,'26'!$H$7:$H$100,$A245,'26'!$I$7:$I$100,2)+SUMIFS('26a'!$J$7:$J$100,'26a'!$H$7:$H$100,$A245,'26a'!$I$7:$I$100,2)+SUMIFS('27'!$J$7:$J$100,'27'!$H$7:$H$100,$A245,'27'!$I$7:$I$100,2)+SUMIFS('27a'!$J$7:$J$100,'27a'!$H$7:$H$100,$A245,'27a'!$I$7:$I$100,2)+SUMIFS('28'!$J$7:$J$100,'28'!$H$7:$H$100,$A245,'28'!$I$7:$I$100,2)+SUMIFS('29'!$J$7:$J$100,'29'!$H$7:$H$100,$A245,'29'!$I$7:$I$100,2)</f>
        <v>0</v>
      </c>
      <c r="I245" s="1315">
        <f>SUMIFS('12'!$J$7:$J$100,'12'!$H$7:$H$100,$A245,'12'!$I$7:$I$100,"")+SUMIFS('13'!$J$7:$J$100,'13'!$H$7:$H$100,$A245,'13'!$I$7:$I$100,"")+SUMIFS('14'!$J$7:$J$100,'14'!$H$7:$H$100,$A245,'14'!$I$7:$I$100,"")+SUMIFS('15'!$J$7:$J$100,'15'!$H$7:$H$100,$A245,'15'!$I$7:$I$100,"")+SUMIFS('15a'!$J$7:$J$100,'15a'!$H$7:$H$100,$A245,'15a'!$I$7:$I$100,"")+SUMIFS('15b'!$J$7:$J$100,'15b'!$H$7:$H$100,$A245,'15b'!$I$7:$I$100,"")+SUMIFS('15c'!$J$7:$J$100,'15c'!$H$7:$H$100,$A245,'15c'!$I$7:$I$100,"")+SUMIFS('15d'!$J$7:$J$100,'15d'!$H$7:$H$100,$A245,'15d'!$I$7:$I$100,"")+SUMIFS('15e'!$J$7:$J$100,'15e'!$H$7:$H$100,$A245,'15e'!$I$7:$I$100,"")+SUMIFS('15f'!$J$7:$J$100,'15f'!$H$7:$H$100,$A245,'15f'!$I$7:$I$100,"")+SUMIFS('15g'!$J$7:$J$100,'15g'!$H$7:$H$100,$A245,'15g'!$I$7:$I$100,"")+SUMIFS('15h'!$J$7:$J$100,'15h'!$H$7:$H$100,$A245,'15h'!$I$7:$I$100,"")+SUMIFS('15i'!$J$7:$J$100,'15i'!$H$7:$H$100,$A245,'15i'!$I$7:$I$100,"")+SUMIFS('15j'!$J$7:$J$100,'15j'!$H$7:$H$100,$A245,'15j'!$I$7:$I$100,"")+SUMIFS('15k'!$J$7:$J$100,'15k'!$H$7:$H$100,$A245,'15k'!$I$7:$I$100,"")+SUMIFS('15l'!$J$7:$J$100,'15l'!$H$7:$H$100,$A245,'15l'!$I$7:$I$100,"")+SUMIFS('15m'!$J$7:$J$100,'15m'!$H$7:$H$100,$A245,'15m'!$I$7:$I$100,"")+SUMIFS('15n'!$J$7:$J$100,'15n'!$H$7:$H$100,$A245,'15n'!$I$7:$I$100,"")+SUMIFS('16'!$J$7:$J$100,'16'!$H$7:$H$100,$A245,'16'!$I$7:$I$100,"")+SUMIFS('16a'!$J$7:$J$100,'16a'!$H$7:$H$100,$A245,'16a'!$I$7:$I$100,"")+SUMIFS('17'!$J$7:$J$100,'17'!$H$7:$H$100,$A245,'17'!$I$7:$I$100,"")+SUMIFS('17a'!$J$7:$J$100,'17a'!$H$7:$H$100,$A245,'17a'!$I$7:$I$100,"")+SUMIFS('18'!$J$7:$J$100,'18'!$H$7:$H$100,$A245,'18'!$I$7:$I$100,"")+SUMIFS('18a'!$J$7:$J$100,'18a'!$H$7:$H$100,$A245,'18a'!$I$7:$I$100,"")
+SUMIFS('19'!$J$7:$J$100,'19'!$H$7:$H$100,$A245,'19'!$I$7:$I$100,"")+SUMIFS('20'!$J$7:$J$100,'20'!$H$7:$H$100,$A245,'20'!$I$7:$I$100,"")+SUMIFS('20a'!$J$7:$J$100,'20a'!$H$7:$H$100,$A245,'20a'!$I$7:$I$100,"")+SUMIFS('21'!$J$7:$J$100,'21'!$H$7:$H$100,$A245,'21'!$I$7:$I$100,"")+SUMIFS('22'!$J$7:$J$100,'22'!$H$7:$H$100,$A245,'22'!$I$7:$I$100,"")+SUMIFS('22a'!$J$7:$J$100,'22a'!$H$7:$H$100,$A245,'22a'!$I$7:$I$100,"")+SUMIFS('22b'!$J$7:$J$100,'22b'!$H$7:$H$100,$A245,'22b'!$I$7:$I$100,"")+SUMIFS('23'!$J$7:$J$100,'23'!$H$7:$H$100,$A245,'23'!$I$7:$I$100,"")+SUMIFS('24'!$J$7:$J$100,'24'!$H$7:$H$100,$A245,'24'!$I$7:$I$100,"")+SUMIFS('24a'!$J$7:$J$100,'24a'!$H$7:$H$100,$A245,'24a'!$I$7:$I$100,"")+SUMIFS('24b'!$J$7:$J$100,'24b'!$H$7:$H$100,$A245,'24b'!$I$7:$I$100,"")+SUMIFS('24c'!$J$7:$J$100,'24c'!$H$7:$H$100,$A245,'24c'!$I$7:$I$100,"")+SUMIFS('24d'!$J$7:$J$100,'24d'!$H$7:$H$100,$A245,'24d'!$I$7:$I$100,"")+SUMIFS('24e'!$J$7:$J$100,'24e'!$H$7:$H$100,$A245,'24e'!$I$7:$I$100,"")+SUMIFS('24f'!$J$7:$J$100,'24f'!$H$7:$H$100,$A245,'24f'!$I$7:$I$100,"")+SUMIFS('24g'!$J$7:$J$100,'24g'!$H$7:$H$100,$A245,'24g'!$I$7:$I$100,"")+SUMIFS('24h'!$J$7:$J$100,'24h'!$H$7:$H$100,$A245,'24h'!$I$7:$I$100,"")+SUMIFS('24i'!$J$7:$J$100,'24i'!$H$7:$H$100,$A245,'24i'!$I$7:$I$100,"")+SUMIFS('25'!$J$7:$J$100,'25'!$H$7:$H$100,$A245,'25'!$I$7:$I$100,"")+SUMIFS('26'!$J$7:$J$100,'26'!$H$7:$H$100,$A245,'26'!$I$7:$I$100,"")+SUMIFS('26a'!$J$7:$J$100,'26a'!$H$7:$H$100,$A245,'26a'!$I$7:$I$100,"")+SUMIFS('27'!$J$7:$J$100,'27'!$H$7:$H$100,$A245,'27'!$I$7:$I$100,"")+SUMIFS('27a'!$J$7:$J$100,'27a'!$H$7:$H$100,$A245,'27a'!$I$7:$I$100,"")+SUMIFS('28'!$J$7:$J$100,'28'!$H$7:$H$100,$A245,'28'!$I$7:$I$100,"")+SUMIFS('29'!$J$7:$J$100,'29'!$H$7:$H$100,$A245,'29'!$I$7:$I$100,"")</f>
        <v>0</v>
      </c>
      <c r="J245" s="1296">
        <f t="shared" si="21"/>
        <v>0</v>
      </c>
      <c r="K245"/>
      <c r="L245"/>
      <c r="M245"/>
      <c r="N245"/>
      <c r="O245"/>
      <c r="P245"/>
      <c r="Q245"/>
      <c r="R245"/>
      <c r="S245" s="1307">
        <f t="shared" si="14"/>
        <v>0</v>
      </c>
      <c r="T245"/>
    </row>
    <row r="246" spans="1:20" x14ac:dyDescent="0.2">
      <c r="A246" t="s">
        <v>5166</v>
      </c>
      <c r="B246" s="784" t="s">
        <v>5586</v>
      </c>
      <c r="C246" s="1295">
        <f>SUMIFS('12'!$N$7:$N$100,'12'!$H$7:$H$100,$A246,'12'!$I$7:$I$100,1)+SUMIFS('13'!$N$7:$N$100,'13'!$H$7:$H$100,$A246,'13'!$I$7:$I$100,1)+SUMIFS('14'!$N$7:$N$100,'14'!$H$7:$H$100,$A246,'14'!$I$7:$I$100,1)+SUMIFS('15'!$N$7:$N$100,'15'!$H$7:$H$100,$A246,'15'!$I$7:$I$100,1)+SUMIFS('15a'!$N$7:$N$100,'15a'!$H$7:$H$100,$A246,'15a'!$I$7:$I$100,1)+SUMIFS('15b'!$N$7:$N$100,'15b'!$H$7:$H$100,$A246,'15b'!$I$7:$I$100,1)+SUMIFS('15c'!$N$7:$N$100,'15c'!$H$7:$H$100,$A246,'15c'!$I$7:$I$100,1)+SUMIFS('15d'!$N$7:$N$100,'15d'!$H$7:$H$100,$A246,'15d'!$I$7:$I$100,1)+SUMIFS('15e'!$N$7:$N$100,'15e'!$H$7:$H$100,$A246,'15e'!$I$7:$I$100,1)+SUMIFS('15f'!$N$7:$N$100,'15f'!$H$7:$H$100,$A246,'15f'!$I$7:$I$100,1)+SUMIFS('15g'!$N$7:$N$100,'15g'!$H$7:$H$100,$A246,'15g'!$I$7:$I$100,1)+SUMIFS('15h'!$N$7:$N$100,'15h'!$H$7:$H$100,$A246,'15h'!$I$7:$I$100,1)+SUMIFS('15i'!$N$7:$N$100,'15i'!$H$7:$H$100,$A246,'15i'!$I$7:$I$100,1)+SUMIFS('15j'!$N$7:$N$100,'15j'!$H$7:$H$100,$A246,'15j'!$I$7:$I$100,1)+SUMIFS('15k'!$N$7:$N$100,'15k'!$H$7:$H$100,$A246,'15k'!$I$7:$I$100,1)+SUMIFS('15l'!$N$7:$N$100,'15l'!$H$7:$H$100,$A246,'15l'!$I$7:$I$100,1)+SUMIFS('15m'!$N$7:$N$100,'15m'!$H$7:$H$100,$A246,'15m'!$I$7:$I$100,1)+SUMIFS('15n'!$N$7:$N$100,'15n'!$H$7:$H$100,$A246,'15n'!$I$7:$I$100,1)+SUMIFS('16'!$N$7:$N$100,'16'!$H$7:$H$100,$A246,'16'!$I$7:$I$100,1)+SUMIFS('16a'!$N$7:$N$100,'16a'!$H$7:$H$100,$A246,'16a'!$I$7:$I$100,1)+SUMIFS('17'!$N$7:$N$100,'17'!$H$7:$H$100,$A246,'17'!$I$7:$I$100,1)+SUMIFS('17a'!$N$7:$N$100,'17a'!$H$7:$H$100,$A246,'17a'!$I$7:$I$100,1)+SUMIFS('18'!$N$7:$N$100,'18'!$H$7:$H$100,$A246,'18'!$I$7:$I$100,1)+SUMIFS('18a'!$N$7:$N$100,'18a'!$H$7:$H$100,$A246,'18a'!$I$7:$I$100,1)
+SUMIFS('19'!$N$7:$N$100,'19'!$H$7:$H$100,$A246,'19'!$I$7:$I$100,1)+SUMIFS('20'!$N$7:$N$100,'20'!$H$7:$H$100,$A246,'20'!$I$7:$I$100,1)+SUMIFS('20a'!$N$7:$N$100,'20a'!$H$7:$H$100,$A246,'20a'!$I$7:$I$100,1)+SUMIFS('21'!$N$7:$N$100,'21'!$H$7:$H$100,$A246,'21'!$I$7:$I$100,1)+SUMIFS('22'!$N$7:$N$100,'22'!$H$7:$H$100,$A246,'22'!$I$7:$I$100,1)+SUMIFS('22a'!$N$7:$N$100,'22a'!$H$7:$H$100,$A246,'22a'!$I$7:$I$100,1)+SUMIFS('22b'!$N$7:$N$100,'22b'!$H$7:$H$100,$A246,'22b'!$I$7:$I$100,1)+SUMIFS('23'!$N$7:$N$100,'23'!$H$7:$H$100,$A246,'23'!$I$7:$I$100,1)+SUMIFS('24'!$N$7:$N$100,'24'!$H$7:$H$100,$A246,'24'!$I$7:$I$100,1)+SUMIFS('24a'!$N$7:$N$100,'24a'!$H$7:$H$100,$A246,'24a'!$I$7:$I$100,1)+SUMIFS('24b'!$N$7:$N$100,'24b'!$H$7:$H$100,$A246,'24b'!$I$7:$I$100,1)+SUMIFS('24c'!$N$7:$N$100,'24c'!$H$7:$H$100,$A246,'24c'!$I$7:$I$100,1)+SUMIFS('24d'!$N$7:$N$100,'24d'!$H$7:$H$100,$A246,'24d'!$I$7:$I$100,1)+SUMIFS('24e'!$N$7:$N$100,'24e'!$H$7:$H$100,$A246,'24e'!$I$7:$I$100,1)+SUMIFS('24f'!$N$7:$N$100,'24f'!$H$7:$H$100,$A246,'24f'!$I$7:$I$100,1)+SUMIFS('24g'!$N$7:$N$100,'24g'!$H$7:$H$100,$A246,'24g'!$I$7:$I$100,1)+SUMIFS('24h'!$N$7:$N$100,'24h'!$H$7:$H$100,$A246,'24h'!$I$7:$I$100,1)+SUMIFS('24i'!$N$7:$N$100,'24i'!$H$7:$H$100,$A246,'24i'!$I$7:$I$100,1)+SUMIFS('25'!$N$7:$N$100,'25'!$H$7:$H$100,$A246,'25'!$I$7:$I$100,1)+SUMIFS('26'!$N$7:$N$100,'26'!$H$7:$H$100,$A246,'26'!$I$7:$I$100,1)+SUMIFS('26a'!$N$7:$N$100,'26a'!$H$7:$H$100,$A246,'26a'!$I$7:$I$100,1)+SUMIFS('27'!$N$7:$N$100,'27'!$H$7:$H$100,$A246,'27'!$I$7:$I$100,1)+SUMIFS('27a'!$N$7:$N$100,'27a'!$H$7:$H$100,$A246,'27a'!$I$7:$I$100,1)+SUMIFS('28'!$N$7:$N$100,'28'!$H$7:$H$100,$A246,'28'!$I$7:$I$100,1)+SUMIFS('29'!$N$7:$N$100,'29'!$H$7:$H$100,$A246,'29'!$I$7:$I$100,1)</f>
        <v>0</v>
      </c>
      <c r="D246" s="1315">
        <f>SUMIFS('12'!$N$7:$N$100,'12'!$H$7:$H$100,$A246,'12'!$I$7:$I$100,2)+SUMIFS('13'!$N$7:$N$100,'13'!$H$7:$H$100,$A246,'13'!$I$7:$I$100,2)+SUMIFS('14'!$N$7:$N$100,'14'!$H$7:$H$100,$A246,'14'!$I$7:$I$100,2)+SUMIFS('15'!$N$7:$N$100,'15'!$H$7:$H$100,$A246,'15'!$I$7:$I$100,2)+SUMIFS('15a'!$N$7:$N$100,'15a'!$H$7:$H$100,$A246,'15a'!$I$7:$I$100,2)+SUMIFS('15b'!$N$7:$N$100,'15b'!$H$7:$H$100,$A246,'15b'!$I$7:$I$100,2)+SUMIFS('15c'!$N$7:$N$100,'15c'!$H$7:$H$100,$A246,'15c'!$I$7:$I$100,2)+SUMIFS('15d'!$N$7:$N$100,'15d'!$H$7:$H$100,$A246,'15d'!$I$7:$I$100,2)+SUMIFS('15e'!$N$7:$N$100,'15e'!$H$7:$H$100,$A246,'15e'!$I$7:$I$100,2)+SUMIFS('15f'!$N$7:$N$100,'15f'!$H$7:$H$100,$A246,'15f'!$I$7:$I$100,2)+SUMIFS('15g'!$N$7:$N$100,'15g'!$H$7:$H$100,$A246,'15g'!$I$7:$I$100,2)+SUMIFS('15h'!$N$7:$N$100,'15h'!$H$7:$H$100,$A246,'15h'!$I$7:$I$100,2)+SUMIFS('15i'!$N$7:$N$100,'15i'!$H$7:$H$100,$A246,'15i'!$I$7:$I$100,2)+SUMIFS('15j'!$N$7:$N$100,'15j'!$H$7:$H$100,$A246,'15j'!$I$7:$I$100,2)+SUMIFS('15k'!$N$7:$N$100,'15k'!$H$7:$H$100,$A246,'15k'!$I$7:$I$100,2)+SUMIFS('15l'!$N$7:$N$100,'15l'!$H$7:$H$100,$A246,'15l'!$I$7:$I$100,2)+SUMIFS('15m'!$N$7:$N$100,'15m'!$H$7:$H$100,$A246,'15m'!$I$7:$I$100,2)+SUMIFS('15n'!$N$7:$N$100,'15n'!$H$7:$H$100,$A246,'15n'!$I$7:$I$100,2)+SUMIFS('16'!$N$7:$N$100,'16'!$H$7:$H$100,$A246,'16'!$I$7:$I$100,2)+SUMIFS('16a'!$N$7:$N$100,'16a'!$H$7:$H$100,$A246,'16a'!$I$7:$I$100,2)+SUMIFS('17'!$N$7:$N$100,'17'!$H$7:$H$100,$A246,'17'!$I$7:$I$100,2)+SUMIFS('17a'!$N$7:$N$100,'17a'!$H$7:$H$100,$A246,'17a'!$I$7:$I$100,2)+SUMIFS('18'!$N$7:$N$100,'18'!$H$7:$H$100,$A246,'18'!$I$7:$I$100,2)+SUMIFS('18a'!$N$7:$N$100,'18a'!$H$7:$H$100,$A246,'18a'!$I$7:$I$100,2)
+SUMIFS('19'!$N$7:$N$100,'19'!$H$7:$H$100,$A246,'19'!$I$7:$I$100,2)+SUMIFS('20'!$N$7:$N$100,'20'!$H$7:$H$100,$A246,'20'!$I$7:$I$100,2)+SUMIFS('20a'!$N$7:$N$100,'20a'!$H$7:$H$100,$A246,'20a'!$I$7:$I$100,2)+SUMIFS('21'!$N$7:$N$100,'21'!$H$7:$H$100,$A246,'21'!$I$7:$I$100,2)+SUMIFS('22'!$N$7:$N$100,'22'!$H$7:$H$100,$A246,'22'!$I$7:$I$100,2)+SUMIFS('22a'!$N$7:$N$100,'22a'!$H$7:$H$100,$A246,'22a'!$I$7:$I$100,2)+SUMIFS('22b'!$N$7:$N$100,'22b'!$H$7:$H$100,$A246,'22b'!$I$7:$I$100,2)+SUMIFS('23'!$N$7:$N$100,'23'!$H$7:$H$100,$A246,'23'!$I$7:$I$100,2)+SUMIFS('24'!$N$7:$N$100,'24'!$H$7:$H$100,$A246,'24'!$I$7:$I$100,2)+SUMIFS('24a'!$N$7:$N$100,'24a'!$H$7:$H$100,$A246,'24a'!$I$7:$I$100,2)+SUMIFS('24b'!$N$7:$N$100,'24b'!$H$7:$H$100,$A246,'24b'!$I$7:$I$100,2)+SUMIFS('24c'!$N$7:$N$100,'24c'!$H$7:$H$100,$A246,'24c'!$I$7:$I$100,2)+SUMIFS('24d'!$N$7:$N$100,'24d'!$H$7:$H$100,$A246,'24d'!$I$7:$I$100,2)+SUMIFS('24e'!$N$7:$N$100,'24e'!$H$7:$H$100,$A246,'24e'!$I$7:$I$100,2)+SUMIFS('24f'!$N$7:$N$100,'24f'!$H$7:$H$100,$A246,'24f'!$I$7:$I$100,2)+SUMIFS('24g'!$N$7:$N$100,'24g'!$H$7:$H$100,$A246,'24g'!$I$7:$I$100,2)+SUMIFS('24h'!$N$7:$N$100,'24h'!$H$7:$H$100,$A246,'24h'!$I$7:$I$100,2)+SUMIFS('24i'!$N$7:$N$100,'24i'!$H$7:$H$100,$A246,'24i'!$I$7:$I$100,2)+SUMIFS('25'!$N$7:$N$100,'25'!$H$7:$H$100,$A246,'25'!$I$7:$I$100,2)+SUMIFS('26'!$N$7:$N$100,'26'!$H$7:$H$100,$A246,'26'!$I$7:$I$100,2)+SUMIFS('26a'!$N$7:$N$100,'26a'!$H$7:$H$100,$A246,'26a'!$I$7:$I$100,2)+SUMIFS('27'!$N$7:$N$100,'27'!$H$7:$H$100,$A246,'27'!$I$7:$I$100,2)+SUMIFS('27a'!$N$7:$N$100,'27a'!$H$7:$H$100,$A246,'27a'!$I$7:$I$100,2)+SUMIFS('28'!$N$7:$N$100,'28'!$H$7:$H$100,$A246,'28'!$I$7:$I$100,2)+SUMIFS('29'!$N$7:$N$100,'29'!$H$7:$H$100,$A246,'29'!$I$7:$I$100,2)</f>
        <v>0</v>
      </c>
      <c r="E246" s="1315">
        <f>SUMIFS('12'!$N$7:$N$100,'12'!$H$7:$H$100,$A246,'12'!$I$7:$I$100,"")+SUMIFS('13'!$N$7:$N$100,'13'!$H$7:$H$100,$A246,'13'!$I$7:$I$100,"")+SUMIFS('14'!$N$7:$N$100,'14'!$H$7:$H$100,$A246,'14'!$I$7:$I$100,"")+SUMIFS('15'!$N$7:$N$100,'15'!$H$7:$H$100,$A246,'15'!$I$7:$I$100,"")+SUMIFS('15a'!$N$7:$N$100,'15a'!$H$7:$H$100,$A246,'15a'!$I$7:$I$100,"")+SUMIFS('15b'!$N$7:$N$100,'15b'!$H$7:$H$100,$A246,'15b'!$I$7:$I$100,"")+SUMIFS('15c'!$N$7:$N$100,'15c'!$H$7:$H$100,$A246,'15c'!$I$7:$I$100,"")+SUMIFS('15d'!$N$7:$N$100,'15d'!$H$7:$H$100,$A246,'15d'!$I$7:$I$100,"")+SUMIFS('15e'!$N$7:$N$100,'15e'!$H$7:$H$100,$A246,'15e'!$I$7:$I$100,"")+SUMIFS('15f'!$N$7:$N$100,'15f'!$H$7:$H$100,$A246,'15f'!$I$7:$I$100,"")+SUMIFS('15g'!$N$7:$N$100,'15g'!$H$7:$H$100,$A246,'15g'!$I$7:$I$100,"")+SUMIFS('15h'!$N$7:$N$100,'15h'!$H$7:$H$100,$A246,'15h'!$I$7:$I$100,"")+SUMIFS('15i'!$N$7:$N$100,'15i'!$H$7:$H$100,$A246,'15i'!$I$7:$I$100,"")+SUMIFS('15j'!$N$7:$N$100,'15j'!$H$7:$H$100,$A246,'15j'!$I$7:$I$100,"")+SUMIFS('15k'!$N$7:$N$100,'15k'!$H$7:$H$100,$A246,'15k'!$I$7:$I$100,"")+SUMIFS('15l'!$N$7:$N$100,'15l'!$H$7:$H$100,$A246,'15l'!$I$7:$I$100,"")+SUMIFS('15m'!$N$7:$N$100,'15m'!$H$7:$H$100,$A246,'15m'!$I$7:$I$100,"")+SUMIFS('15n'!$N$7:$N$100,'15n'!$H$7:$H$100,$A246,'15n'!$I$7:$I$100,"")+SUMIFS('16'!$N$7:$N$100,'16'!$H$7:$H$100,$A246,'16'!$I$7:$I$100,"")+SUMIFS('16a'!$N$7:$N$100,'16a'!$H$7:$H$100,$A246,'16a'!$I$7:$I$100,"")+SUMIFS('17'!$N$7:$N$100,'17'!$H$7:$H$100,$A246,'17'!$I$7:$I$100,"")+SUMIFS('17a'!$N$7:$N$100,'17a'!$H$7:$H$100,$A246,'17a'!$I$7:$I$100,"")+SUMIFS('18'!$N$7:$N$100,'18'!$H$7:$H$100,$A246,'18'!$I$7:$I$100,"")+SUMIFS('18a'!$N$7:$N$100,'18a'!$H$7:$H$100,$A246,'18a'!$I$7:$I$100,"")
+SUMIFS('19'!$N$7:$N$100,'19'!$H$7:$H$100,$A246,'19'!$I$7:$I$100,"")+SUMIFS('20'!$N$7:$N$100,'20'!$H$7:$H$100,$A246,'20'!$I$7:$I$100,"")+SUMIFS('20a'!$N$7:$N$100,'20a'!$H$7:$H$100,$A246,'20a'!$I$7:$I$100,"")+SUMIFS('21'!$N$7:$N$100,'21'!$H$7:$H$100,$A246,'21'!$I$7:$I$100,"")+SUMIFS('22'!$N$7:$N$100,'22'!$H$7:$H$100,$A246,'22'!$I$7:$I$100,"")+SUMIFS('22a'!$N$7:$N$100,'22a'!$H$7:$H$100,$A246,'22a'!$I$7:$I$100,"")+SUMIFS('22b'!$N$7:$N$100,'22b'!$H$7:$H$100,$A246,'22b'!$I$7:$I$100,"")+SUMIFS('23'!$N$7:$N$100,'23'!$H$7:$H$100,$A246,'23'!$I$7:$I$100,"")+SUMIFS('24'!$N$7:$N$100,'24'!$H$7:$H$100,$A246,'24'!$I$7:$I$100,"")+SUMIFS('24a'!$N$7:$N$100,'24a'!$H$7:$H$100,$A246,'24a'!$I$7:$I$100,"")+SUMIFS('24b'!$N$7:$N$100,'24b'!$H$7:$H$100,$A246,'24b'!$I$7:$I$100,"")+SUMIFS('24c'!$N$7:$N$100,'24c'!$H$7:$H$100,$A246,'24c'!$I$7:$I$100,"")+SUMIFS('24d'!$N$7:$N$100,'24d'!$H$7:$H$100,$A246,'24d'!$I$7:$I$100,"")+SUMIFS('24e'!$N$7:$N$100,'24e'!$H$7:$H$100,$A246,'24e'!$I$7:$I$100,"")+SUMIFS('24f'!$N$7:$N$100,'24f'!$H$7:$H$100,$A246,'24f'!$I$7:$I$100,"")+SUMIFS('24g'!$N$7:$N$100,'24g'!$H$7:$H$100,$A246,'24g'!$I$7:$I$100,"")+SUMIFS('24h'!$N$7:$N$100,'24h'!$H$7:$H$100,$A246,'24h'!$I$7:$I$100,"")+SUMIFS('24i'!$N$7:$N$100,'24i'!$H$7:$H$100,$A246,'24i'!$I$7:$I$100,"")+SUMIFS('25'!$N$7:$N$100,'25'!$H$7:$H$100,$A246,'25'!$I$7:$I$100,"")+SUMIFS('26'!$N$7:$N$100,'26'!$H$7:$H$100,$A246,'26'!$I$7:$I$100,"")+SUMIFS('26a'!$N$7:$N$100,'26a'!$H$7:$H$100,$A246,'26a'!$I$7:$I$100,"")+SUMIFS('27'!$N$7:$N$100,'27'!$H$7:$H$100,$A246,'27'!$I$7:$I$100,"")+SUMIFS('27a'!$N$7:$N$100,'27a'!$H$7:$H$100,$A246,'27a'!$I$7:$I$100,"")+SUMIFS('28'!$N$7:$N$100,'28'!$H$7:$H$100,$A246,'28'!$I$7:$I$100,"")+SUMIFS('29'!$N$7:$N$100,'29'!$H$7:$H$100,$A246,'29'!$I$7:$I$100,"")</f>
        <v>0</v>
      </c>
      <c r="F246" s="1296">
        <f t="shared" si="20"/>
        <v>0</v>
      </c>
      <c r="G246" s="1295">
        <f>SUMIFS('12'!$J$7:$J$100,'12'!$H$7:$H$100,$A246,'12'!$I$7:$I$100,1)+SUMIFS('13'!$J$7:$J$100,'13'!$H$7:$H$100,$A246,'13'!$I$7:$I$100,1)+SUMIFS('14'!$J$7:$J$100,'14'!$H$7:$H$100,$A246,'14'!$I$7:$I$100,1)+SUMIFS('15'!$J$7:$J$100,'15'!$H$7:$H$100,$A246,'15'!$I$7:$I$100,1)+SUMIFS('15a'!$J$7:$J$100,'15a'!$H$7:$H$100,$A246,'15a'!$I$7:$I$100,1)+SUMIFS('15b'!$J$7:$J$100,'15b'!$H$7:$H$100,$A246,'15b'!$I$7:$I$100,1)+SUMIFS('15c'!$J$7:$J$100,'15c'!$H$7:$H$100,$A246,'15c'!$I$7:$I$100,1)+SUMIFS('15d'!$J$7:$J$100,'15d'!$H$7:$H$100,$A246,'15d'!$I$7:$I$100,1)+SUMIFS('15e'!$J$7:$J$100,'15e'!$H$7:$H$100,$A246,'15e'!$I$7:$I$100,1)+SUMIFS('15f'!$J$7:$J$100,'15f'!$H$7:$H$100,$A246,'15f'!$I$7:$I$100,1)+SUMIFS('15g'!$J$7:$J$100,'15g'!$H$7:$H$100,$A246,'15g'!$I$7:$I$100,1)+SUMIFS('15h'!$J$7:$J$100,'15h'!$H$7:$H$100,$A246,'15h'!$I$7:$I$100,1)+SUMIFS('15i'!$J$7:$J$100,'15i'!$H$7:$H$100,$A246,'15i'!$I$7:$I$100,1)+SUMIFS('15j'!$J$7:$J$100,'15j'!$H$7:$H$100,$A246,'15j'!$I$7:$I$100,1)+SUMIFS('15k'!$J$7:$J$100,'15k'!$H$7:$H$100,$A246,'15k'!$I$7:$I$100,1)+SUMIFS('15l'!$J$7:$J$100,'15l'!$H$7:$H$100,$A246,'15l'!$I$7:$I$100,1)+SUMIFS('15m'!$J$7:$J$100,'15m'!$H$7:$H$100,$A246,'15m'!$I$7:$I$100,1)+SUMIFS('15n'!$J$7:$J$100,'15n'!$H$7:$H$100,$A246,'15n'!$I$7:$I$100,1)+SUMIFS('16'!$J$7:$J$100,'16'!$H$7:$H$100,$A246,'16'!$I$7:$I$100,1)+SUMIFS('16a'!$J$7:$J$100,'16a'!$H$7:$H$100,$A246,'16a'!$I$7:$I$100,1)+SUMIFS('17'!$J$7:$J$100,'17'!$H$7:$H$100,$A246,'17'!$I$7:$I$100,1)+SUMIFS('17a'!$J$7:$J$100,'17a'!$H$7:$H$100,$A246,'17a'!$I$7:$I$100,1)+SUMIFS('18'!$J$7:$J$100,'18'!$H$7:$H$100,$A246,'18'!$I$7:$I$100,1)+SUMIFS('18a'!$J$7:$J$100,'18a'!$H$7:$H$100,$A246,'18a'!$I$7:$I$100,1)
+SUMIFS('19'!$J$7:$J$100,'19'!$H$7:$H$100,$A246,'19'!$I$7:$I$100,1)+SUMIFS('20'!$J$7:$J$100,'20'!$H$7:$H$100,$A246,'20'!$I$7:$I$100,1)+SUMIFS('20a'!$J$7:$J$100,'20a'!$H$7:$H$100,$A246,'20a'!$I$7:$I$100,1)+SUMIFS('21'!$J$7:$J$100,'21'!$H$7:$H$100,$A246,'21'!$I$7:$I$100,1)+SUMIFS('22'!$J$7:$J$100,'22'!$H$7:$H$100,$A246,'22'!$I$7:$I$100,1)+SUMIFS('22a'!$J$7:$J$100,'22a'!$H$7:$H$100,$A246,'22a'!$I$7:$I$100,1)+SUMIFS('22b'!$J$7:$J$100,'22b'!$H$7:$H$100,$A246,'22b'!$I$7:$I$100,1)+SUMIFS('23'!$J$7:$J$100,'23'!$H$7:$H$100,$A246,'23'!$I$7:$I$100,1)+SUMIFS('24'!$J$7:$J$100,'24'!$H$7:$H$100,$A246,'24'!$I$7:$I$100,1)+SUMIFS('24a'!$J$7:$J$100,'24a'!$H$7:$H$100,$A246,'24a'!$I$7:$I$100,1)+SUMIFS('24b'!$J$7:$J$100,'24b'!$H$7:$H$100,$A246,'24b'!$I$7:$I$100,1)+SUMIFS('24c'!$J$7:$J$100,'24c'!$H$7:$H$100,$A246,'24c'!$I$7:$I$100,1)+SUMIFS('24d'!$J$7:$J$100,'24d'!$H$7:$H$100,$A246,'24d'!$I$7:$I$100,1)+SUMIFS('24e'!$J$7:$J$100,'24e'!$H$7:$H$100,$A246,'24e'!$I$7:$I$100,1)+SUMIFS('24f'!$J$7:$J$100,'24f'!$H$7:$H$100,$A246,'24f'!$I$7:$I$100,1)+SUMIFS('24g'!$J$7:$J$100,'24g'!$H$7:$H$100,$A246,'24g'!$I$7:$I$100,1)+SUMIFS('24h'!$J$7:$J$100,'24h'!$H$7:$H$100,$A246,'24h'!$I$7:$I$100,1)+SUMIFS('24i'!$J$7:$J$100,'24i'!$H$7:$H$100,$A246,'24i'!$I$7:$I$100,1)+SUMIFS('25'!$J$7:$J$100,'25'!$H$7:$H$100,$A246,'25'!$I$7:$I$100,1)+SUMIFS('26'!$J$7:$J$100,'26'!$H$7:$H$100,$A246,'26'!$I$7:$I$100,1)+SUMIFS('26a'!$J$7:$J$100,'26a'!$H$7:$H$100,$A246,'26a'!$I$7:$I$100,1)+SUMIFS('27'!$J$7:$J$100,'27'!$H$7:$H$100,$A246,'27'!$I$7:$I$100,1)+SUMIFS('27a'!$J$7:$J$100,'27a'!$H$7:$H$100,$A246,'27a'!$I$7:$I$100,1)+SUMIFS('28'!$J$7:$J$100,'28'!$H$7:$H$100,$A246,'28'!$I$7:$I$100,1)+SUMIFS('29'!$J$7:$J$100,'29'!$H$7:$H$100,$A246,'29'!$I$7:$I$100,1)</f>
        <v>0</v>
      </c>
      <c r="H246" s="1315">
        <f>SUMIFS('12'!$J$7:$J$100,'12'!$H$7:$H$100,$A246,'12'!$I$7:$I$100,2)+SUMIFS('13'!$J$7:$J$100,'13'!$H$7:$H$100,$A246,'13'!$I$7:$I$100,2)+SUMIFS('14'!$J$7:$J$100,'14'!$H$7:$H$100,$A246,'14'!$I$7:$I$100,2)+SUMIFS('15'!$J$7:$J$100,'15'!$H$7:$H$100,$A246,'15'!$I$7:$I$100,2)+SUMIFS('15a'!$J$7:$J$100,'15a'!$H$7:$H$100,$A246,'15a'!$I$7:$I$100,2)+SUMIFS('15b'!$J$7:$J$100,'15b'!$H$7:$H$100,$A246,'15b'!$I$7:$I$100,2)+SUMIFS('15c'!$J$7:$J$100,'15c'!$H$7:$H$100,$A246,'15c'!$I$7:$I$100,2)+SUMIFS('15d'!$J$7:$J$100,'15d'!$H$7:$H$100,$A246,'15d'!$I$7:$I$100,2)+SUMIFS('15e'!$J$7:$J$100,'15e'!$H$7:$H$100,$A246,'15e'!$I$7:$I$100,2)+SUMIFS('15f'!$J$7:$J$100,'15f'!$H$7:$H$100,$A246,'15f'!$I$7:$I$100,2)+SUMIFS('15g'!$J$7:$J$100,'15g'!$H$7:$H$100,$A246,'15g'!$I$7:$I$100,2)+SUMIFS('15h'!$J$7:$J$100,'15h'!$H$7:$H$100,$A246,'15h'!$I$7:$I$100,2)+SUMIFS('15i'!$J$7:$J$100,'15i'!$H$7:$H$100,$A246,'15i'!$I$7:$I$100,2)+SUMIFS('15j'!$J$7:$J$100,'15j'!$H$7:$H$100,$A246,'15j'!$I$7:$I$100,2)+SUMIFS('15k'!$J$7:$J$100,'15k'!$H$7:$H$100,$A246,'15k'!$I$7:$I$100,2)+SUMIFS('15l'!$J$7:$J$100,'15l'!$H$7:$H$100,$A246,'15l'!$I$7:$I$100,2)+SUMIFS('15m'!$J$7:$J$100,'15m'!$H$7:$H$100,$A246,'15m'!$I$7:$I$100,2)+SUMIFS('15n'!$J$7:$J$100,'15n'!$H$7:$H$100,$A246,'15n'!$I$7:$I$100,2)+SUMIFS('16'!$J$7:$J$100,'16'!$H$7:$H$100,$A246,'16'!$I$7:$I$100,2)+SUMIFS('16a'!$J$7:$J$100,'16a'!$H$7:$H$100,$A246,'16a'!$I$7:$I$100,2)+SUMIFS('17'!$J$7:$J$100,'17'!$H$7:$H$100,$A246,'17'!$I$7:$I$100,2)+SUMIFS('17a'!$J$7:$J$100,'17a'!$H$7:$H$100,$A246,'17a'!$I$7:$I$100,2)+SUMIFS('18'!$J$7:$J$100,'18'!$H$7:$H$100,$A246,'18'!$I$7:$I$100,2)+SUMIFS('18a'!$J$7:$J$100,'18a'!$H$7:$H$100,$A246,'18a'!$I$7:$I$100,2)
+SUMIFS('19'!$J$7:$J$100,'19'!$H$7:$H$100,$A246,'19'!$I$7:$I$100,2)+SUMIFS('20'!$J$7:$J$100,'20'!$H$7:$H$100,$A246,'20'!$I$7:$I$100,2)+SUMIFS('20a'!$J$7:$J$100,'20a'!$H$7:$H$100,$A246,'20a'!$I$7:$I$100,2)+SUMIFS('21'!$J$7:$J$100,'21'!$H$7:$H$100,$A246,'21'!$I$7:$I$100,2)+SUMIFS('22'!$J$7:$J$100,'22'!$H$7:$H$100,$A246,'22'!$I$7:$I$100,2)+SUMIFS('22a'!$J$7:$J$100,'22a'!$H$7:$H$100,$A246,'22a'!$I$7:$I$100,2)+SUMIFS('22b'!$J$7:$J$100,'22b'!$H$7:$H$100,$A246,'22b'!$I$7:$I$100,2)+SUMIFS('23'!$J$7:$J$100,'23'!$H$7:$H$100,$A246,'23'!$I$7:$I$100,2)+SUMIFS('24'!$J$7:$J$100,'24'!$H$7:$H$100,$A246,'24'!$I$7:$I$100,2)+SUMIFS('24a'!$J$7:$J$100,'24a'!$H$7:$H$100,$A246,'24a'!$I$7:$I$100,2)+SUMIFS('24b'!$J$7:$J$100,'24b'!$H$7:$H$100,$A246,'24b'!$I$7:$I$100,2)+SUMIFS('24c'!$J$7:$J$100,'24c'!$H$7:$H$100,$A246,'24c'!$I$7:$I$100,2)+SUMIFS('24d'!$J$7:$J$100,'24d'!$H$7:$H$100,$A246,'24d'!$I$7:$I$100,2)+SUMIFS('24e'!$J$7:$J$100,'24e'!$H$7:$H$100,$A246,'24e'!$I$7:$I$100,2)+SUMIFS('24f'!$J$7:$J$100,'24f'!$H$7:$H$100,$A246,'24f'!$I$7:$I$100,2)+SUMIFS('24g'!$J$7:$J$100,'24g'!$H$7:$H$100,$A246,'24g'!$I$7:$I$100,2)+SUMIFS('24h'!$J$7:$J$100,'24h'!$H$7:$H$100,$A246,'24h'!$I$7:$I$100,2)+SUMIFS('24i'!$J$7:$J$100,'24i'!$H$7:$H$100,$A246,'24i'!$I$7:$I$100,2)+SUMIFS('25'!$J$7:$J$100,'25'!$H$7:$H$100,$A246,'25'!$I$7:$I$100,2)+SUMIFS('26'!$J$7:$J$100,'26'!$H$7:$H$100,$A246,'26'!$I$7:$I$100,2)+SUMIFS('26a'!$J$7:$J$100,'26a'!$H$7:$H$100,$A246,'26a'!$I$7:$I$100,2)+SUMIFS('27'!$J$7:$J$100,'27'!$H$7:$H$100,$A246,'27'!$I$7:$I$100,2)+SUMIFS('27a'!$J$7:$J$100,'27a'!$H$7:$H$100,$A246,'27a'!$I$7:$I$100,2)+SUMIFS('28'!$J$7:$J$100,'28'!$H$7:$H$100,$A246,'28'!$I$7:$I$100,2)+SUMIFS('29'!$J$7:$J$100,'29'!$H$7:$H$100,$A246,'29'!$I$7:$I$100,2)</f>
        <v>0</v>
      </c>
      <c r="I246" s="1315">
        <f>SUMIFS('12'!$J$7:$J$100,'12'!$H$7:$H$100,$A246,'12'!$I$7:$I$100,"")+SUMIFS('13'!$J$7:$J$100,'13'!$H$7:$H$100,$A246,'13'!$I$7:$I$100,"")+SUMIFS('14'!$J$7:$J$100,'14'!$H$7:$H$100,$A246,'14'!$I$7:$I$100,"")+SUMIFS('15'!$J$7:$J$100,'15'!$H$7:$H$100,$A246,'15'!$I$7:$I$100,"")+SUMIFS('15a'!$J$7:$J$100,'15a'!$H$7:$H$100,$A246,'15a'!$I$7:$I$100,"")+SUMIFS('15b'!$J$7:$J$100,'15b'!$H$7:$H$100,$A246,'15b'!$I$7:$I$100,"")+SUMIFS('15c'!$J$7:$J$100,'15c'!$H$7:$H$100,$A246,'15c'!$I$7:$I$100,"")+SUMIFS('15d'!$J$7:$J$100,'15d'!$H$7:$H$100,$A246,'15d'!$I$7:$I$100,"")+SUMIFS('15e'!$J$7:$J$100,'15e'!$H$7:$H$100,$A246,'15e'!$I$7:$I$100,"")+SUMIFS('15f'!$J$7:$J$100,'15f'!$H$7:$H$100,$A246,'15f'!$I$7:$I$100,"")+SUMIFS('15g'!$J$7:$J$100,'15g'!$H$7:$H$100,$A246,'15g'!$I$7:$I$100,"")+SUMIFS('15h'!$J$7:$J$100,'15h'!$H$7:$H$100,$A246,'15h'!$I$7:$I$100,"")+SUMIFS('15i'!$J$7:$J$100,'15i'!$H$7:$H$100,$A246,'15i'!$I$7:$I$100,"")+SUMIFS('15j'!$J$7:$J$100,'15j'!$H$7:$H$100,$A246,'15j'!$I$7:$I$100,"")+SUMIFS('15k'!$J$7:$J$100,'15k'!$H$7:$H$100,$A246,'15k'!$I$7:$I$100,"")+SUMIFS('15l'!$J$7:$J$100,'15l'!$H$7:$H$100,$A246,'15l'!$I$7:$I$100,"")+SUMIFS('15m'!$J$7:$J$100,'15m'!$H$7:$H$100,$A246,'15m'!$I$7:$I$100,"")+SUMIFS('15n'!$J$7:$J$100,'15n'!$H$7:$H$100,$A246,'15n'!$I$7:$I$100,"")+SUMIFS('16'!$J$7:$J$100,'16'!$H$7:$H$100,$A246,'16'!$I$7:$I$100,"")+SUMIFS('16a'!$J$7:$J$100,'16a'!$H$7:$H$100,$A246,'16a'!$I$7:$I$100,"")+SUMIFS('17'!$J$7:$J$100,'17'!$H$7:$H$100,$A246,'17'!$I$7:$I$100,"")+SUMIFS('17a'!$J$7:$J$100,'17a'!$H$7:$H$100,$A246,'17a'!$I$7:$I$100,"")+SUMIFS('18'!$J$7:$J$100,'18'!$H$7:$H$100,$A246,'18'!$I$7:$I$100,"")+SUMIFS('18a'!$J$7:$J$100,'18a'!$H$7:$H$100,$A246,'18a'!$I$7:$I$100,"")
+SUMIFS('19'!$J$7:$J$100,'19'!$H$7:$H$100,$A246,'19'!$I$7:$I$100,"")+SUMIFS('20'!$J$7:$J$100,'20'!$H$7:$H$100,$A246,'20'!$I$7:$I$100,"")+SUMIFS('20a'!$J$7:$J$100,'20a'!$H$7:$H$100,$A246,'20a'!$I$7:$I$100,"")+SUMIFS('21'!$J$7:$J$100,'21'!$H$7:$H$100,$A246,'21'!$I$7:$I$100,"")+SUMIFS('22'!$J$7:$J$100,'22'!$H$7:$H$100,$A246,'22'!$I$7:$I$100,"")+SUMIFS('22a'!$J$7:$J$100,'22a'!$H$7:$H$100,$A246,'22a'!$I$7:$I$100,"")+SUMIFS('22b'!$J$7:$J$100,'22b'!$H$7:$H$100,$A246,'22b'!$I$7:$I$100,"")+SUMIFS('23'!$J$7:$J$100,'23'!$H$7:$H$100,$A246,'23'!$I$7:$I$100,"")+SUMIFS('24'!$J$7:$J$100,'24'!$H$7:$H$100,$A246,'24'!$I$7:$I$100,"")+SUMIFS('24a'!$J$7:$J$100,'24a'!$H$7:$H$100,$A246,'24a'!$I$7:$I$100,"")+SUMIFS('24b'!$J$7:$J$100,'24b'!$H$7:$H$100,$A246,'24b'!$I$7:$I$100,"")+SUMIFS('24c'!$J$7:$J$100,'24c'!$H$7:$H$100,$A246,'24c'!$I$7:$I$100,"")+SUMIFS('24d'!$J$7:$J$100,'24d'!$H$7:$H$100,$A246,'24d'!$I$7:$I$100,"")+SUMIFS('24e'!$J$7:$J$100,'24e'!$H$7:$H$100,$A246,'24e'!$I$7:$I$100,"")+SUMIFS('24f'!$J$7:$J$100,'24f'!$H$7:$H$100,$A246,'24f'!$I$7:$I$100,"")+SUMIFS('24g'!$J$7:$J$100,'24g'!$H$7:$H$100,$A246,'24g'!$I$7:$I$100,"")+SUMIFS('24h'!$J$7:$J$100,'24h'!$H$7:$H$100,$A246,'24h'!$I$7:$I$100,"")+SUMIFS('24i'!$J$7:$J$100,'24i'!$H$7:$H$100,$A246,'24i'!$I$7:$I$100,"")+SUMIFS('25'!$J$7:$J$100,'25'!$H$7:$H$100,$A246,'25'!$I$7:$I$100,"")+SUMIFS('26'!$J$7:$J$100,'26'!$H$7:$H$100,$A246,'26'!$I$7:$I$100,"")+SUMIFS('26a'!$J$7:$J$100,'26a'!$H$7:$H$100,$A246,'26a'!$I$7:$I$100,"")+SUMIFS('27'!$J$7:$J$100,'27'!$H$7:$H$100,$A246,'27'!$I$7:$I$100,"")+SUMIFS('27a'!$J$7:$J$100,'27a'!$H$7:$H$100,$A246,'27a'!$I$7:$I$100,"")+SUMIFS('28'!$J$7:$J$100,'28'!$H$7:$H$100,$A246,'28'!$I$7:$I$100,"")+SUMIFS('29'!$J$7:$J$100,'29'!$H$7:$H$100,$A246,'29'!$I$7:$I$100,"")</f>
        <v>0</v>
      </c>
      <c r="J246" s="1296">
        <f t="shared" si="21"/>
        <v>0</v>
      </c>
      <c r="K246"/>
      <c r="L246"/>
      <c r="M246"/>
      <c r="N246"/>
      <c r="O246"/>
      <c r="P246"/>
      <c r="Q246"/>
      <c r="R246"/>
      <c r="S246" s="1307">
        <f t="shared" si="14"/>
        <v>0</v>
      </c>
      <c r="T246"/>
    </row>
    <row r="247" spans="1:20" x14ac:dyDescent="0.2">
      <c r="A247" t="s">
        <v>5167</v>
      </c>
      <c r="B247" s="784" t="s">
        <v>5593</v>
      </c>
      <c r="C247" s="1295">
        <f>SUMIFS('12'!$N$7:$N$100,'12'!$H$7:$H$100,$A247,'12'!$I$7:$I$100,1)+SUMIFS('13'!$N$7:$N$100,'13'!$H$7:$H$100,$A247,'13'!$I$7:$I$100,1)+SUMIFS('14'!$N$7:$N$100,'14'!$H$7:$H$100,$A247,'14'!$I$7:$I$100,1)+SUMIFS('15'!$N$7:$N$100,'15'!$H$7:$H$100,$A247,'15'!$I$7:$I$100,1)+SUMIFS('15a'!$N$7:$N$100,'15a'!$H$7:$H$100,$A247,'15a'!$I$7:$I$100,1)+SUMIFS('15b'!$N$7:$N$100,'15b'!$H$7:$H$100,$A247,'15b'!$I$7:$I$100,1)+SUMIFS('15c'!$N$7:$N$100,'15c'!$H$7:$H$100,$A247,'15c'!$I$7:$I$100,1)+SUMIFS('15d'!$N$7:$N$100,'15d'!$H$7:$H$100,$A247,'15d'!$I$7:$I$100,1)+SUMIFS('15e'!$N$7:$N$100,'15e'!$H$7:$H$100,$A247,'15e'!$I$7:$I$100,1)+SUMIFS('15f'!$N$7:$N$100,'15f'!$H$7:$H$100,$A247,'15f'!$I$7:$I$100,1)+SUMIFS('15g'!$N$7:$N$100,'15g'!$H$7:$H$100,$A247,'15g'!$I$7:$I$100,1)+SUMIFS('15h'!$N$7:$N$100,'15h'!$H$7:$H$100,$A247,'15h'!$I$7:$I$100,1)+SUMIFS('15i'!$N$7:$N$100,'15i'!$H$7:$H$100,$A247,'15i'!$I$7:$I$100,1)+SUMIFS('15j'!$N$7:$N$100,'15j'!$H$7:$H$100,$A247,'15j'!$I$7:$I$100,1)+SUMIFS('15k'!$N$7:$N$100,'15k'!$H$7:$H$100,$A247,'15k'!$I$7:$I$100,1)+SUMIFS('15l'!$N$7:$N$100,'15l'!$H$7:$H$100,$A247,'15l'!$I$7:$I$100,1)+SUMIFS('15m'!$N$7:$N$100,'15m'!$H$7:$H$100,$A247,'15m'!$I$7:$I$100,1)+SUMIFS('15n'!$N$7:$N$100,'15n'!$H$7:$H$100,$A247,'15n'!$I$7:$I$100,1)+SUMIFS('16'!$N$7:$N$100,'16'!$H$7:$H$100,$A247,'16'!$I$7:$I$100,1)+SUMIFS('16a'!$N$7:$N$100,'16a'!$H$7:$H$100,$A247,'16a'!$I$7:$I$100,1)+SUMIFS('17'!$N$7:$N$100,'17'!$H$7:$H$100,$A247,'17'!$I$7:$I$100,1)+SUMIFS('17a'!$N$7:$N$100,'17a'!$H$7:$H$100,$A247,'17a'!$I$7:$I$100,1)+SUMIFS('18'!$N$7:$N$100,'18'!$H$7:$H$100,$A247,'18'!$I$7:$I$100,1)+SUMIFS('18a'!$N$7:$N$100,'18a'!$H$7:$H$100,$A247,'18a'!$I$7:$I$100,1)
+SUMIFS('19'!$N$7:$N$100,'19'!$H$7:$H$100,$A247,'19'!$I$7:$I$100,1)+SUMIFS('20'!$N$7:$N$100,'20'!$H$7:$H$100,$A247,'20'!$I$7:$I$100,1)+SUMIFS('20a'!$N$7:$N$100,'20a'!$H$7:$H$100,$A247,'20a'!$I$7:$I$100,1)+SUMIFS('21'!$N$7:$N$100,'21'!$H$7:$H$100,$A247,'21'!$I$7:$I$100,1)+SUMIFS('22'!$N$7:$N$100,'22'!$H$7:$H$100,$A247,'22'!$I$7:$I$100,1)+SUMIFS('22a'!$N$7:$N$100,'22a'!$H$7:$H$100,$A247,'22a'!$I$7:$I$100,1)+SUMIFS('22b'!$N$7:$N$100,'22b'!$H$7:$H$100,$A247,'22b'!$I$7:$I$100,1)+SUMIFS('23'!$N$7:$N$100,'23'!$H$7:$H$100,$A247,'23'!$I$7:$I$100,1)+SUMIFS('24'!$N$7:$N$100,'24'!$H$7:$H$100,$A247,'24'!$I$7:$I$100,1)+SUMIFS('24a'!$N$7:$N$100,'24a'!$H$7:$H$100,$A247,'24a'!$I$7:$I$100,1)+SUMIFS('24b'!$N$7:$N$100,'24b'!$H$7:$H$100,$A247,'24b'!$I$7:$I$100,1)+SUMIFS('24c'!$N$7:$N$100,'24c'!$H$7:$H$100,$A247,'24c'!$I$7:$I$100,1)+SUMIFS('24d'!$N$7:$N$100,'24d'!$H$7:$H$100,$A247,'24d'!$I$7:$I$100,1)+SUMIFS('24e'!$N$7:$N$100,'24e'!$H$7:$H$100,$A247,'24e'!$I$7:$I$100,1)+SUMIFS('24f'!$N$7:$N$100,'24f'!$H$7:$H$100,$A247,'24f'!$I$7:$I$100,1)+SUMIFS('24g'!$N$7:$N$100,'24g'!$H$7:$H$100,$A247,'24g'!$I$7:$I$100,1)+SUMIFS('24h'!$N$7:$N$100,'24h'!$H$7:$H$100,$A247,'24h'!$I$7:$I$100,1)+SUMIFS('24i'!$N$7:$N$100,'24i'!$H$7:$H$100,$A247,'24i'!$I$7:$I$100,1)+SUMIFS('25'!$N$7:$N$100,'25'!$H$7:$H$100,$A247,'25'!$I$7:$I$100,1)+SUMIFS('26'!$N$7:$N$100,'26'!$H$7:$H$100,$A247,'26'!$I$7:$I$100,1)+SUMIFS('26a'!$N$7:$N$100,'26a'!$H$7:$H$100,$A247,'26a'!$I$7:$I$100,1)+SUMIFS('27'!$N$7:$N$100,'27'!$H$7:$H$100,$A247,'27'!$I$7:$I$100,1)+SUMIFS('27a'!$N$7:$N$100,'27a'!$H$7:$H$100,$A247,'27a'!$I$7:$I$100,1)+SUMIFS('28'!$N$7:$N$100,'28'!$H$7:$H$100,$A247,'28'!$I$7:$I$100,1)+SUMIFS('29'!$N$7:$N$100,'29'!$H$7:$H$100,$A247,'29'!$I$7:$I$100,1)</f>
        <v>0</v>
      </c>
      <c r="D247" s="1315">
        <f>SUMIFS('12'!$N$7:$N$100,'12'!$H$7:$H$100,$A247,'12'!$I$7:$I$100,2)+SUMIFS('13'!$N$7:$N$100,'13'!$H$7:$H$100,$A247,'13'!$I$7:$I$100,2)+SUMIFS('14'!$N$7:$N$100,'14'!$H$7:$H$100,$A247,'14'!$I$7:$I$100,2)+SUMIFS('15'!$N$7:$N$100,'15'!$H$7:$H$100,$A247,'15'!$I$7:$I$100,2)+SUMIFS('15a'!$N$7:$N$100,'15a'!$H$7:$H$100,$A247,'15a'!$I$7:$I$100,2)+SUMIFS('15b'!$N$7:$N$100,'15b'!$H$7:$H$100,$A247,'15b'!$I$7:$I$100,2)+SUMIFS('15c'!$N$7:$N$100,'15c'!$H$7:$H$100,$A247,'15c'!$I$7:$I$100,2)+SUMIFS('15d'!$N$7:$N$100,'15d'!$H$7:$H$100,$A247,'15d'!$I$7:$I$100,2)+SUMIFS('15e'!$N$7:$N$100,'15e'!$H$7:$H$100,$A247,'15e'!$I$7:$I$100,2)+SUMIFS('15f'!$N$7:$N$100,'15f'!$H$7:$H$100,$A247,'15f'!$I$7:$I$100,2)+SUMIFS('15g'!$N$7:$N$100,'15g'!$H$7:$H$100,$A247,'15g'!$I$7:$I$100,2)+SUMIFS('15h'!$N$7:$N$100,'15h'!$H$7:$H$100,$A247,'15h'!$I$7:$I$100,2)+SUMIFS('15i'!$N$7:$N$100,'15i'!$H$7:$H$100,$A247,'15i'!$I$7:$I$100,2)+SUMIFS('15j'!$N$7:$N$100,'15j'!$H$7:$H$100,$A247,'15j'!$I$7:$I$100,2)+SUMIFS('15k'!$N$7:$N$100,'15k'!$H$7:$H$100,$A247,'15k'!$I$7:$I$100,2)+SUMIFS('15l'!$N$7:$N$100,'15l'!$H$7:$H$100,$A247,'15l'!$I$7:$I$100,2)+SUMIFS('15m'!$N$7:$N$100,'15m'!$H$7:$H$100,$A247,'15m'!$I$7:$I$100,2)+SUMIFS('15n'!$N$7:$N$100,'15n'!$H$7:$H$100,$A247,'15n'!$I$7:$I$100,2)+SUMIFS('16'!$N$7:$N$100,'16'!$H$7:$H$100,$A247,'16'!$I$7:$I$100,2)+SUMIFS('16a'!$N$7:$N$100,'16a'!$H$7:$H$100,$A247,'16a'!$I$7:$I$100,2)+SUMIFS('17'!$N$7:$N$100,'17'!$H$7:$H$100,$A247,'17'!$I$7:$I$100,2)+SUMIFS('17a'!$N$7:$N$100,'17a'!$H$7:$H$100,$A247,'17a'!$I$7:$I$100,2)+SUMIFS('18'!$N$7:$N$100,'18'!$H$7:$H$100,$A247,'18'!$I$7:$I$100,2)+SUMIFS('18a'!$N$7:$N$100,'18a'!$H$7:$H$100,$A247,'18a'!$I$7:$I$100,2)
+SUMIFS('19'!$N$7:$N$100,'19'!$H$7:$H$100,$A247,'19'!$I$7:$I$100,2)+SUMIFS('20'!$N$7:$N$100,'20'!$H$7:$H$100,$A247,'20'!$I$7:$I$100,2)+SUMIFS('20a'!$N$7:$N$100,'20a'!$H$7:$H$100,$A247,'20a'!$I$7:$I$100,2)+SUMIFS('21'!$N$7:$N$100,'21'!$H$7:$H$100,$A247,'21'!$I$7:$I$100,2)+SUMIFS('22'!$N$7:$N$100,'22'!$H$7:$H$100,$A247,'22'!$I$7:$I$100,2)+SUMIFS('22a'!$N$7:$N$100,'22a'!$H$7:$H$100,$A247,'22a'!$I$7:$I$100,2)+SUMIFS('22b'!$N$7:$N$100,'22b'!$H$7:$H$100,$A247,'22b'!$I$7:$I$100,2)+SUMIFS('23'!$N$7:$N$100,'23'!$H$7:$H$100,$A247,'23'!$I$7:$I$100,2)+SUMIFS('24'!$N$7:$N$100,'24'!$H$7:$H$100,$A247,'24'!$I$7:$I$100,2)+SUMIFS('24a'!$N$7:$N$100,'24a'!$H$7:$H$100,$A247,'24a'!$I$7:$I$100,2)+SUMIFS('24b'!$N$7:$N$100,'24b'!$H$7:$H$100,$A247,'24b'!$I$7:$I$100,2)+SUMIFS('24c'!$N$7:$N$100,'24c'!$H$7:$H$100,$A247,'24c'!$I$7:$I$100,2)+SUMIFS('24d'!$N$7:$N$100,'24d'!$H$7:$H$100,$A247,'24d'!$I$7:$I$100,2)+SUMIFS('24e'!$N$7:$N$100,'24e'!$H$7:$H$100,$A247,'24e'!$I$7:$I$100,2)+SUMIFS('24f'!$N$7:$N$100,'24f'!$H$7:$H$100,$A247,'24f'!$I$7:$I$100,2)+SUMIFS('24g'!$N$7:$N$100,'24g'!$H$7:$H$100,$A247,'24g'!$I$7:$I$100,2)+SUMIFS('24h'!$N$7:$N$100,'24h'!$H$7:$H$100,$A247,'24h'!$I$7:$I$100,2)+SUMIFS('24i'!$N$7:$N$100,'24i'!$H$7:$H$100,$A247,'24i'!$I$7:$I$100,2)+SUMIFS('25'!$N$7:$N$100,'25'!$H$7:$H$100,$A247,'25'!$I$7:$I$100,2)+SUMIFS('26'!$N$7:$N$100,'26'!$H$7:$H$100,$A247,'26'!$I$7:$I$100,2)+SUMIFS('26a'!$N$7:$N$100,'26a'!$H$7:$H$100,$A247,'26a'!$I$7:$I$100,2)+SUMIFS('27'!$N$7:$N$100,'27'!$H$7:$H$100,$A247,'27'!$I$7:$I$100,2)+SUMIFS('27a'!$N$7:$N$100,'27a'!$H$7:$H$100,$A247,'27a'!$I$7:$I$100,2)+SUMIFS('28'!$N$7:$N$100,'28'!$H$7:$H$100,$A247,'28'!$I$7:$I$100,2)+SUMIFS('29'!$N$7:$N$100,'29'!$H$7:$H$100,$A247,'29'!$I$7:$I$100,2)</f>
        <v>0</v>
      </c>
      <c r="E247" s="1315">
        <f>SUMIFS('12'!$N$7:$N$100,'12'!$H$7:$H$100,$A247,'12'!$I$7:$I$100,"")+SUMIFS('13'!$N$7:$N$100,'13'!$H$7:$H$100,$A247,'13'!$I$7:$I$100,"")+SUMIFS('14'!$N$7:$N$100,'14'!$H$7:$H$100,$A247,'14'!$I$7:$I$100,"")+SUMIFS('15'!$N$7:$N$100,'15'!$H$7:$H$100,$A247,'15'!$I$7:$I$100,"")+SUMIFS('15a'!$N$7:$N$100,'15a'!$H$7:$H$100,$A247,'15a'!$I$7:$I$100,"")+SUMIFS('15b'!$N$7:$N$100,'15b'!$H$7:$H$100,$A247,'15b'!$I$7:$I$100,"")+SUMIFS('15c'!$N$7:$N$100,'15c'!$H$7:$H$100,$A247,'15c'!$I$7:$I$100,"")+SUMIFS('15d'!$N$7:$N$100,'15d'!$H$7:$H$100,$A247,'15d'!$I$7:$I$100,"")+SUMIFS('15e'!$N$7:$N$100,'15e'!$H$7:$H$100,$A247,'15e'!$I$7:$I$100,"")+SUMIFS('15f'!$N$7:$N$100,'15f'!$H$7:$H$100,$A247,'15f'!$I$7:$I$100,"")+SUMIFS('15g'!$N$7:$N$100,'15g'!$H$7:$H$100,$A247,'15g'!$I$7:$I$100,"")+SUMIFS('15h'!$N$7:$N$100,'15h'!$H$7:$H$100,$A247,'15h'!$I$7:$I$100,"")+SUMIFS('15i'!$N$7:$N$100,'15i'!$H$7:$H$100,$A247,'15i'!$I$7:$I$100,"")+SUMIFS('15j'!$N$7:$N$100,'15j'!$H$7:$H$100,$A247,'15j'!$I$7:$I$100,"")+SUMIFS('15k'!$N$7:$N$100,'15k'!$H$7:$H$100,$A247,'15k'!$I$7:$I$100,"")+SUMIFS('15l'!$N$7:$N$100,'15l'!$H$7:$H$100,$A247,'15l'!$I$7:$I$100,"")+SUMIFS('15m'!$N$7:$N$100,'15m'!$H$7:$H$100,$A247,'15m'!$I$7:$I$100,"")+SUMIFS('15n'!$N$7:$N$100,'15n'!$H$7:$H$100,$A247,'15n'!$I$7:$I$100,"")+SUMIFS('16'!$N$7:$N$100,'16'!$H$7:$H$100,$A247,'16'!$I$7:$I$100,"")+SUMIFS('16a'!$N$7:$N$100,'16a'!$H$7:$H$100,$A247,'16a'!$I$7:$I$100,"")+SUMIFS('17'!$N$7:$N$100,'17'!$H$7:$H$100,$A247,'17'!$I$7:$I$100,"")+SUMIFS('17a'!$N$7:$N$100,'17a'!$H$7:$H$100,$A247,'17a'!$I$7:$I$100,"")+SUMIFS('18'!$N$7:$N$100,'18'!$H$7:$H$100,$A247,'18'!$I$7:$I$100,"")+SUMIFS('18a'!$N$7:$N$100,'18a'!$H$7:$H$100,$A247,'18a'!$I$7:$I$100,"")
+SUMIFS('19'!$N$7:$N$100,'19'!$H$7:$H$100,$A247,'19'!$I$7:$I$100,"")+SUMIFS('20'!$N$7:$N$100,'20'!$H$7:$H$100,$A247,'20'!$I$7:$I$100,"")+SUMIFS('20a'!$N$7:$N$100,'20a'!$H$7:$H$100,$A247,'20a'!$I$7:$I$100,"")+SUMIFS('21'!$N$7:$N$100,'21'!$H$7:$H$100,$A247,'21'!$I$7:$I$100,"")+SUMIFS('22'!$N$7:$N$100,'22'!$H$7:$H$100,$A247,'22'!$I$7:$I$100,"")+SUMIFS('22a'!$N$7:$N$100,'22a'!$H$7:$H$100,$A247,'22a'!$I$7:$I$100,"")+SUMIFS('22b'!$N$7:$N$100,'22b'!$H$7:$H$100,$A247,'22b'!$I$7:$I$100,"")+SUMIFS('23'!$N$7:$N$100,'23'!$H$7:$H$100,$A247,'23'!$I$7:$I$100,"")+SUMIFS('24'!$N$7:$N$100,'24'!$H$7:$H$100,$A247,'24'!$I$7:$I$100,"")+SUMIFS('24a'!$N$7:$N$100,'24a'!$H$7:$H$100,$A247,'24a'!$I$7:$I$100,"")+SUMIFS('24b'!$N$7:$N$100,'24b'!$H$7:$H$100,$A247,'24b'!$I$7:$I$100,"")+SUMIFS('24c'!$N$7:$N$100,'24c'!$H$7:$H$100,$A247,'24c'!$I$7:$I$100,"")+SUMIFS('24d'!$N$7:$N$100,'24d'!$H$7:$H$100,$A247,'24d'!$I$7:$I$100,"")+SUMIFS('24e'!$N$7:$N$100,'24e'!$H$7:$H$100,$A247,'24e'!$I$7:$I$100,"")+SUMIFS('24f'!$N$7:$N$100,'24f'!$H$7:$H$100,$A247,'24f'!$I$7:$I$100,"")+SUMIFS('24g'!$N$7:$N$100,'24g'!$H$7:$H$100,$A247,'24g'!$I$7:$I$100,"")+SUMIFS('24h'!$N$7:$N$100,'24h'!$H$7:$H$100,$A247,'24h'!$I$7:$I$100,"")+SUMIFS('24i'!$N$7:$N$100,'24i'!$H$7:$H$100,$A247,'24i'!$I$7:$I$100,"")+SUMIFS('25'!$N$7:$N$100,'25'!$H$7:$H$100,$A247,'25'!$I$7:$I$100,"")+SUMIFS('26'!$N$7:$N$100,'26'!$H$7:$H$100,$A247,'26'!$I$7:$I$100,"")+SUMIFS('26a'!$N$7:$N$100,'26a'!$H$7:$H$100,$A247,'26a'!$I$7:$I$100,"")+SUMIFS('27'!$N$7:$N$100,'27'!$H$7:$H$100,$A247,'27'!$I$7:$I$100,"")+SUMIFS('27a'!$N$7:$N$100,'27a'!$H$7:$H$100,$A247,'27a'!$I$7:$I$100,"")+SUMIFS('28'!$N$7:$N$100,'28'!$H$7:$H$100,$A247,'28'!$I$7:$I$100,"")+SUMIFS('29'!$N$7:$N$100,'29'!$H$7:$H$100,$A247,'29'!$I$7:$I$100,"")</f>
        <v>0</v>
      </c>
      <c r="F247" s="1296">
        <f t="shared" si="20"/>
        <v>0</v>
      </c>
      <c r="G247" s="1295">
        <f>SUMIFS('12'!$J$7:$J$100,'12'!$H$7:$H$100,$A247,'12'!$I$7:$I$100,1)+SUMIFS('13'!$J$7:$J$100,'13'!$H$7:$H$100,$A247,'13'!$I$7:$I$100,1)+SUMIFS('14'!$J$7:$J$100,'14'!$H$7:$H$100,$A247,'14'!$I$7:$I$100,1)+SUMIFS('15'!$J$7:$J$100,'15'!$H$7:$H$100,$A247,'15'!$I$7:$I$100,1)+SUMIFS('15a'!$J$7:$J$100,'15a'!$H$7:$H$100,$A247,'15a'!$I$7:$I$100,1)+SUMIFS('15b'!$J$7:$J$100,'15b'!$H$7:$H$100,$A247,'15b'!$I$7:$I$100,1)+SUMIFS('15c'!$J$7:$J$100,'15c'!$H$7:$H$100,$A247,'15c'!$I$7:$I$100,1)+SUMIFS('15d'!$J$7:$J$100,'15d'!$H$7:$H$100,$A247,'15d'!$I$7:$I$100,1)+SUMIFS('15e'!$J$7:$J$100,'15e'!$H$7:$H$100,$A247,'15e'!$I$7:$I$100,1)+SUMIFS('15f'!$J$7:$J$100,'15f'!$H$7:$H$100,$A247,'15f'!$I$7:$I$100,1)+SUMIFS('15g'!$J$7:$J$100,'15g'!$H$7:$H$100,$A247,'15g'!$I$7:$I$100,1)+SUMIFS('15h'!$J$7:$J$100,'15h'!$H$7:$H$100,$A247,'15h'!$I$7:$I$100,1)+SUMIFS('15i'!$J$7:$J$100,'15i'!$H$7:$H$100,$A247,'15i'!$I$7:$I$100,1)+SUMIFS('15j'!$J$7:$J$100,'15j'!$H$7:$H$100,$A247,'15j'!$I$7:$I$100,1)+SUMIFS('15k'!$J$7:$J$100,'15k'!$H$7:$H$100,$A247,'15k'!$I$7:$I$100,1)+SUMIFS('15l'!$J$7:$J$100,'15l'!$H$7:$H$100,$A247,'15l'!$I$7:$I$100,1)+SUMIFS('15m'!$J$7:$J$100,'15m'!$H$7:$H$100,$A247,'15m'!$I$7:$I$100,1)+SUMIFS('15n'!$J$7:$J$100,'15n'!$H$7:$H$100,$A247,'15n'!$I$7:$I$100,1)+SUMIFS('16'!$J$7:$J$100,'16'!$H$7:$H$100,$A247,'16'!$I$7:$I$100,1)+SUMIFS('16a'!$J$7:$J$100,'16a'!$H$7:$H$100,$A247,'16a'!$I$7:$I$100,1)+SUMIFS('17'!$J$7:$J$100,'17'!$H$7:$H$100,$A247,'17'!$I$7:$I$100,1)+SUMIFS('17a'!$J$7:$J$100,'17a'!$H$7:$H$100,$A247,'17a'!$I$7:$I$100,1)+SUMIFS('18'!$J$7:$J$100,'18'!$H$7:$H$100,$A247,'18'!$I$7:$I$100,1)+SUMIFS('18a'!$J$7:$J$100,'18a'!$H$7:$H$100,$A247,'18a'!$I$7:$I$100,1)
+SUMIFS('19'!$J$7:$J$100,'19'!$H$7:$H$100,$A247,'19'!$I$7:$I$100,1)+SUMIFS('20'!$J$7:$J$100,'20'!$H$7:$H$100,$A247,'20'!$I$7:$I$100,1)+SUMIFS('20a'!$J$7:$J$100,'20a'!$H$7:$H$100,$A247,'20a'!$I$7:$I$100,1)+SUMIFS('21'!$J$7:$J$100,'21'!$H$7:$H$100,$A247,'21'!$I$7:$I$100,1)+SUMIFS('22'!$J$7:$J$100,'22'!$H$7:$H$100,$A247,'22'!$I$7:$I$100,1)+SUMIFS('22a'!$J$7:$J$100,'22a'!$H$7:$H$100,$A247,'22a'!$I$7:$I$100,1)+SUMIFS('22b'!$J$7:$J$100,'22b'!$H$7:$H$100,$A247,'22b'!$I$7:$I$100,1)+SUMIFS('23'!$J$7:$J$100,'23'!$H$7:$H$100,$A247,'23'!$I$7:$I$100,1)+SUMIFS('24'!$J$7:$J$100,'24'!$H$7:$H$100,$A247,'24'!$I$7:$I$100,1)+SUMIFS('24a'!$J$7:$J$100,'24a'!$H$7:$H$100,$A247,'24a'!$I$7:$I$100,1)+SUMIFS('24b'!$J$7:$J$100,'24b'!$H$7:$H$100,$A247,'24b'!$I$7:$I$100,1)+SUMIFS('24c'!$J$7:$J$100,'24c'!$H$7:$H$100,$A247,'24c'!$I$7:$I$100,1)+SUMIFS('24d'!$J$7:$J$100,'24d'!$H$7:$H$100,$A247,'24d'!$I$7:$I$100,1)+SUMIFS('24e'!$J$7:$J$100,'24e'!$H$7:$H$100,$A247,'24e'!$I$7:$I$100,1)+SUMIFS('24f'!$J$7:$J$100,'24f'!$H$7:$H$100,$A247,'24f'!$I$7:$I$100,1)+SUMIFS('24g'!$J$7:$J$100,'24g'!$H$7:$H$100,$A247,'24g'!$I$7:$I$100,1)+SUMIFS('24h'!$J$7:$J$100,'24h'!$H$7:$H$100,$A247,'24h'!$I$7:$I$100,1)+SUMIFS('24i'!$J$7:$J$100,'24i'!$H$7:$H$100,$A247,'24i'!$I$7:$I$100,1)+SUMIFS('25'!$J$7:$J$100,'25'!$H$7:$H$100,$A247,'25'!$I$7:$I$100,1)+SUMIFS('26'!$J$7:$J$100,'26'!$H$7:$H$100,$A247,'26'!$I$7:$I$100,1)+SUMIFS('26a'!$J$7:$J$100,'26a'!$H$7:$H$100,$A247,'26a'!$I$7:$I$100,1)+SUMIFS('27'!$J$7:$J$100,'27'!$H$7:$H$100,$A247,'27'!$I$7:$I$100,1)+SUMIFS('27a'!$J$7:$J$100,'27a'!$H$7:$H$100,$A247,'27a'!$I$7:$I$100,1)+SUMIFS('28'!$J$7:$J$100,'28'!$H$7:$H$100,$A247,'28'!$I$7:$I$100,1)+SUMIFS('29'!$J$7:$J$100,'29'!$H$7:$H$100,$A247,'29'!$I$7:$I$100,1)</f>
        <v>0</v>
      </c>
      <c r="H247" s="1315">
        <f>SUMIFS('12'!$J$7:$J$100,'12'!$H$7:$H$100,$A247,'12'!$I$7:$I$100,2)+SUMIFS('13'!$J$7:$J$100,'13'!$H$7:$H$100,$A247,'13'!$I$7:$I$100,2)+SUMIFS('14'!$J$7:$J$100,'14'!$H$7:$H$100,$A247,'14'!$I$7:$I$100,2)+SUMIFS('15'!$J$7:$J$100,'15'!$H$7:$H$100,$A247,'15'!$I$7:$I$100,2)+SUMIFS('15a'!$J$7:$J$100,'15a'!$H$7:$H$100,$A247,'15a'!$I$7:$I$100,2)+SUMIFS('15b'!$J$7:$J$100,'15b'!$H$7:$H$100,$A247,'15b'!$I$7:$I$100,2)+SUMIFS('15c'!$J$7:$J$100,'15c'!$H$7:$H$100,$A247,'15c'!$I$7:$I$100,2)+SUMIFS('15d'!$J$7:$J$100,'15d'!$H$7:$H$100,$A247,'15d'!$I$7:$I$100,2)+SUMIFS('15e'!$J$7:$J$100,'15e'!$H$7:$H$100,$A247,'15e'!$I$7:$I$100,2)+SUMIFS('15f'!$J$7:$J$100,'15f'!$H$7:$H$100,$A247,'15f'!$I$7:$I$100,2)+SUMIFS('15g'!$J$7:$J$100,'15g'!$H$7:$H$100,$A247,'15g'!$I$7:$I$100,2)+SUMIFS('15h'!$J$7:$J$100,'15h'!$H$7:$H$100,$A247,'15h'!$I$7:$I$100,2)+SUMIFS('15i'!$J$7:$J$100,'15i'!$H$7:$H$100,$A247,'15i'!$I$7:$I$100,2)+SUMIFS('15j'!$J$7:$J$100,'15j'!$H$7:$H$100,$A247,'15j'!$I$7:$I$100,2)+SUMIFS('15k'!$J$7:$J$100,'15k'!$H$7:$H$100,$A247,'15k'!$I$7:$I$100,2)+SUMIFS('15l'!$J$7:$J$100,'15l'!$H$7:$H$100,$A247,'15l'!$I$7:$I$100,2)+SUMIFS('15m'!$J$7:$J$100,'15m'!$H$7:$H$100,$A247,'15m'!$I$7:$I$100,2)+SUMIFS('15n'!$J$7:$J$100,'15n'!$H$7:$H$100,$A247,'15n'!$I$7:$I$100,2)+SUMIFS('16'!$J$7:$J$100,'16'!$H$7:$H$100,$A247,'16'!$I$7:$I$100,2)+SUMIFS('16a'!$J$7:$J$100,'16a'!$H$7:$H$100,$A247,'16a'!$I$7:$I$100,2)+SUMIFS('17'!$J$7:$J$100,'17'!$H$7:$H$100,$A247,'17'!$I$7:$I$100,2)+SUMIFS('17a'!$J$7:$J$100,'17a'!$H$7:$H$100,$A247,'17a'!$I$7:$I$100,2)+SUMIFS('18'!$J$7:$J$100,'18'!$H$7:$H$100,$A247,'18'!$I$7:$I$100,2)+SUMIFS('18a'!$J$7:$J$100,'18a'!$H$7:$H$100,$A247,'18a'!$I$7:$I$100,2)
+SUMIFS('19'!$J$7:$J$100,'19'!$H$7:$H$100,$A247,'19'!$I$7:$I$100,2)+SUMIFS('20'!$J$7:$J$100,'20'!$H$7:$H$100,$A247,'20'!$I$7:$I$100,2)+SUMIFS('20a'!$J$7:$J$100,'20a'!$H$7:$H$100,$A247,'20a'!$I$7:$I$100,2)+SUMIFS('21'!$J$7:$J$100,'21'!$H$7:$H$100,$A247,'21'!$I$7:$I$100,2)+SUMIFS('22'!$J$7:$J$100,'22'!$H$7:$H$100,$A247,'22'!$I$7:$I$100,2)+SUMIFS('22a'!$J$7:$J$100,'22a'!$H$7:$H$100,$A247,'22a'!$I$7:$I$100,2)+SUMIFS('22b'!$J$7:$J$100,'22b'!$H$7:$H$100,$A247,'22b'!$I$7:$I$100,2)+SUMIFS('23'!$J$7:$J$100,'23'!$H$7:$H$100,$A247,'23'!$I$7:$I$100,2)+SUMIFS('24'!$J$7:$J$100,'24'!$H$7:$H$100,$A247,'24'!$I$7:$I$100,2)+SUMIFS('24a'!$J$7:$J$100,'24a'!$H$7:$H$100,$A247,'24a'!$I$7:$I$100,2)+SUMIFS('24b'!$J$7:$J$100,'24b'!$H$7:$H$100,$A247,'24b'!$I$7:$I$100,2)+SUMIFS('24c'!$J$7:$J$100,'24c'!$H$7:$H$100,$A247,'24c'!$I$7:$I$100,2)+SUMIFS('24d'!$J$7:$J$100,'24d'!$H$7:$H$100,$A247,'24d'!$I$7:$I$100,2)+SUMIFS('24e'!$J$7:$J$100,'24e'!$H$7:$H$100,$A247,'24e'!$I$7:$I$100,2)+SUMIFS('24f'!$J$7:$J$100,'24f'!$H$7:$H$100,$A247,'24f'!$I$7:$I$100,2)+SUMIFS('24g'!$J$7:$J$100,'24g'!$H$7:$H$100,$A247,'24g'!$I$7:$I$100,2)+SUMIFS('24h'!$J$7:$J$100,'24h'!$H$7:$H$100,$A247,'24h'!$I$7:$I$100,2)+SUMIFS('24i'!$J$7:$J$100,'24i'!$H$7:$H$100,$A247,'24i'!$I$7:$I$100,2)+SUMIFS('25'!$J$7:$J$100,'25'!$H$7:$H$100,$A247,'25'!$I$7:$I$100,2)+SUMIFS('26'!$J$7:$J$100,'26'!$H$7:$H$100,$A247,'26'!$I$7:$I$100,2)+SUMIFS('26a'!$J$7:$J$100,'26a'!$H$7:$H$100,$A247,'26a'!$I$7:$I$100,2)+SUMIFS('27'!$J$7:$J$100,'27'!$H$7:$H$100,$A247,'27'!$I$7:$I$100,2)+SUMIFS('27a'!$J$7:$J$100,'27a'!$H$7:$H$100,$A247,'27a'!$I$7:$I$100,2)+SUMIFS('28'!$J$7:$J$100,'28'!$H$7:$H$100,$A247,'28'!$I$7:$I$100,2)+SUMIFS('29'!$J$7:$J$100,'29'!$H$7:$H$100,$A247,'29'!$I$7:$I$100,2)</f>
        <v>0</v>
      </c>
      <c r="I247" s="1315">
        <f>SUMIFS('12'!$J$7:$J$100,'12'!$H$7:$H$100,$A247,'12'!$I$7:$I$100,"")+SUMIFS('13'!$J$7:$J$100,'13'!$H$7:$H$100,$A247,'13'!$I$7:$I$100,"")+SUMIFS('14'!$J$7:$J$100,'14'!$H$7:$H$100,$A247,'14'!$I$7:$I$100,"")+SUMIFS('15'!$J$7:$J$100,'15'!$H$7:$H$100,$A247,'15'!$I$7:$I$100,"")+SUMIFS('15a'!$J$7:$J$100,'15a'!$H$7:$H$100,$A247,'15a'!$I$7:$I$100,"")+SUMIFS('15b'!$J$7:$J$100,'15b'!$H$7:$H$100,$A247,'15b'!$I$7:$I$100,"")+SUMIFS('15c'!$J$7:$J$100,'15c'!$H$7:$H$100,$A247,'15c'!$I$7:$I$100,"")+SUMIFS('15d'!$J$7:$J$100,'15d'!$H$7:$H$100,$A247,'15d'!$I$7:$I$100,"")+SUMIFS('15e'!$J$7:$J$100,'15e'!$H$7:$H$100,$A247,'15e'!$I$7:$I$100,"")+SUMIFS('15f'!$J$7:$J$100,'15f'!$H$7:$H$100,$A247,'15f'!$I$7:$I$100,"")+SUMIFS('15g'!$J$7:$J$100,'15g'!$H$7:$H$100,$A247,'15g'!$I$7:$I$100,"")+SUMIFS('15h'!$J$7:$J$100,'15h'!$H$7:$H$100,$A247,'15h'!$I$7:$I$100,"")+SUMIFS('15i'!$J$7:$J$100,'15i'!$H$7:$H$100,$A247,'15i'!$I$7:$I$100,"")+SUMIFS('15j'!$J$7:$J$100,'15j'!$H$7:$H$100,$A247,'15j'!$I$7:$I$100,"")+SUMIFS('15k'!$J$7:$J$100,'15k'!$H$7:$H$100,$A247,'15k'!$I$7:$I$100,"")+SUMIFS('15l'!$J$7:$J$100,'15l'!$H$7:$H$100,$A247,'15l'!$I$7:$I$100,"")+SUMIFS('15m'!$J$7:$J$100,'15m'!$H$7:$H$100,$A247,'15m'!$I$7:$I$100,"")+SUMIFS('15n'!$J$7:$J$100,'15n'!$H$7:$H$100,$A247,'15n'!$I$7:$I$100,"")+SUMIFS('16'!$J$7:$J$100,'16'!$H$7:$H$100,$A247,'16'!$I$7:$I$100,"")+SUMIFS('16a'!$J$7:$J$100,'16a'!$H$7:$H$100,$A247,'16a'!$I$7:$I$100,"")+SUMIFS('17'!$J$7:$J$100,'17'!$H$7:$H$100,$A247,'17'!$I$7:$I$100,"")+SUMIFS('17a'!$J$7:$J$100,'17a'!$H$7:$H$100,$A247,'17a'!$I$7:$I$100,"")+SUMIFS('18'!$J$7:$J$100,'18'!$H$7:$H$100,$A247,'18'!$I$7:$I$100,"")+SUMIFS('18a'!$J$7:$J$100,'18a'!$H$7:$H$100,$A247,'18a'!$I$7:$I$100,"")
+SUMIFS('19'!$J$7:$J$100,'19'!$H$7:$H$100,$A247,'19'!$I$7:$I$100,"")+SUMIFS('20'!$J$7:$J$100,'20'!$H$7:$H$100,$A247,'20'!$I$7:$I$100,"")+SUMIFS('20a'!$J$7:$J$100,'20a'!$H$7:$H$100,$A247,'20a'!$I$7:$I$100,"")+SUMIFS('21'!$J$7:$J$100,'21'!$H$7:$H$100,$A247,'21'!$I$7:$I$100,"")+SUMIFS('22'!$J$7:$J$100,'22'!$H$7:$H$100,$A247,'22'!$I$7:$I$100,"")+SUMIFS('22a'!$J$7:$J$100,'22a'!$H$7:$H$100,$A247,'22a'!$I$7:$I$100,"")+SUMIFS('22b'!$J$7:$J$100,'22b'!$H$7:$H$100,$A247,'22b'!$I$7:$I$100,"")+SUMIFS('23'!$J$7:$J$100,'23'!$H$7:$H$100,$A247,'23'!$I$7:$I$100,"")+SUMIFS('24'!$J$7:$J$100,'24'!$H$7:$H$100,$A247,'24'!$I$7:$I$100,"")+SUMIFS('24a'!$J$7:$J$100,'24a'!$H$7:$H$100,$A247,'24a'!$I$7:$I$100,"")+SUMIFS('24b'!$J$7:$J$100,'24b'!$H$7:$H$100,$A247,'24b'!$I$7:$I$100,"")+SUMIFS('24c'!$J$7:$J$100,'24c'!$H$7:$H$100,$A247,'24c'!$I$7:$I$100,"")+SUMIFS('24d'!$J$7:$J$100,'24d'!$H$7:$H$100,$A247,'24d'!$I$7:$I$100,"")+SUMIFS('24e'!$J$7:$J$100,'24e'!$H$7:$H$100,$A247,'24e'!$I$7:$I$100,"")+SUMIFS('24f'!$J$7:$J$100,'24f'!$H$7:$H$100,$A247,'24f'!$I$7:$I$100,"")+SUMIFS('24g'!$J$7:$J$100,'24g'!$H$7:$H$100,$A247,'24g'!$I$7:$I$100,"")+SUMIFS('24h'!$J$7:$J$100,'24h'!$H$7:$H$100,$A247,'24h'!$I$7:$I$100,"")+SUMIFS('24i'!$J$7:$J$100,'24i'!$H$7:$H$100,$A247,'24i'!$I$7:$I$100,"")+SUMIFS('25'!$J$7:$J$100,'25'!$H$7:$H$100,$A247,'25'!$I$7:$I$100,"")+SUMIFS('26'!$J$7:$J$100,'26'!$H$7:$H$100,$A247,'26'!$I$7:$I$100,"")+SUMIFS('26a'!$J$7:$J$100,'26a'!$H$7:$H$100,$A247,'26a'!$I$7:$I$100,"")+SUMIFS('27'!$J$7:$J$100,'27'!$H$7:$H$100,$A247,'27'!$I$7:$I$100,"")+SUMIFS('27a'!$J$7:$J$100,'27a'!$H$7:$H$100,$A247,'27a'!$I$7:$I$100,"")+SUMIFS('28'!$J$7:$J$100,'28'!$H$7:$H$100,$A247,'28'!$I$7:$I$100,"")+SUMIFS('29'!$J$7:$J$100,'29'!$H$7:$H$100,$A247,'29'!$I$7:$I$100,"")</f>
        <v>0</v>
      </c>
      <c r="J247" s="1296">
        <f t="shared" si="21"/>
        <v>0</v>
      </c>
      <c r="K247"/>
      <c r="L247"/>
      <c r="M247"/>
      <c r="N247"/>
      <c r="O247"/>
      <c r="P247"/>
      <c r="Q247"/>
      <c r="R247"/>
      <c r="S247" s="1307">
        <f t="shared" si="14"/>
        <v>0</v>
      </c>
      <c r="T247"/>
    </row>
    <row r="248" spans="1:20" x14ac:dyDescent="0.2">
      <c r="A248" t="s">
        <v>5095</v>
      </c>
      <c r="B248" t="s">
        <v>5497</v>
      </c>
      <c r="C248" s="1295">
        <f>SUMIFS('12'!$N$7:$N$100,'12'!$H$7:$H$100,$A248,'12'!$I$7:$I$100,1)+SUMIFS('13'!$N$7:$N$100,'13'!$H$7:$H$100,$A248,'13'!$I$7:$I$100,1)+SUMIFS('14'!$N$7:$N$100,'14'!$H$7:$H$100,$A248,'14'!$I$7:$I$100,1)+SUMIFS('15'!$N$7:$N$100,'15'!$H$7:$H$100,$A248,'15'!$I$7:$I$100,1)+SUMIFS('15a'!$N$7:$N$100,'15a'!$H$7:$H$100,$A248,'15a'!$I$7:$I$100,1)+SUMIFS('15b'!$N$7:$N$100,'15b'!$H$7:$H$100,$A248,'15b'!$I$7:$I$100,1)+SUMIFS('15c'!$N$7:$N$100,'15c'!$H$7:$H$100,$A248,'15c'!$I$7:$I$100,1)+SUMIFS('15d'!$N$7:$N$100,'15d'!$H$7:$H$100,$A248,'15d'!$I$7:$I$100,1)+SUMIFS('15e'!$N$7:$N$100,'15e'!$H$7:$H$100,$A248,'15e'!$I$7:$I$100,1)+SUMIFS('15f'!$N$7:$N$100,'15f'!$H$7:$H$100,$A248,'15f'!$I$7:$I$100,1)+SUMIFS('15g'!$N$7:$N$100,'15g'!$H$7:$H$100,$A248,'15g'!$I$7:$I$100,1)+SUMIFS('15h'!$N$7:$N$100,'15h'!$H$7:$H$100,$A248,'15h'!$I$7:$I$100,1)+SUMIFS('15i'!$N$7:$N$100,'15i'!$H$7:$H$100,$A248,'15i'!$I$7:$I$100,1)+SUMIFS('15j'!$N$7:$N$100,'15j'!$H$7:$H$100,$A248,'15j'!$I$7:$I$100,1)+SUMIFS('15k'!$N$7:$N$100,'15k'!$H$7:$H$100,$A248,'15k'!$I$7:$I$100,1)+SUMIFS('15l'!$N$7:$N$100,'15l'!$H$7:$H$100,$A248,'15l'!$I$7:$I$100,1)+SUMIFS('15m'!$N$7:$N$100,'15m'!$H$7:$H$100,$A248,'15m'!$I$7:$I$100,1)+SUMIFS('15n'!$N$7:$N$100,'15n'!$H$7:$H$100,$A248,'15n'!$I$7:$I$100,1)+SUMIFS('16'!$N$7:$N$100,'16'!$H$7:$H$100,$A248,'16'!$I$7:$I$100,1)+SUMIFS('16a'!$N$7:$N$100,'16a'!$H$7:$H$100,$A248,'16a'!$I$7:$I$100,1)+SUMIFS('17'!$N$7:$N$100,'17'!$H$7:$H$100,$A248,'17'!$I$7:$I$100,1)+SUMIFS('17a'!$N$7:$N$100,'17a'!$H$7:$H$100,$A248,'17a'!$I$7:$I$100,1)+SUMIFS('18'!$N$7:$N$100,'18'!$H$7:$H$100,$A248,'18'!$I$7:$I$100,1)+SUMIFS('18a'!$N$7:$N$100,'18a'!$H$7:$H$100,$A248,'18a'!$I$7:$I$100,1)
+SUMIFS('19'!$N$7:$N$100,'19'!$H$7:$H$100,$A248,'19'!$I$7:$I$100,1)+SUMIFS('20'!$N$7:$N$100,'20'!$H$7:$H$100,$A248,'20'!$I$7:$I$100,1)+SUMIFS('20a'!$N$7:$N$100,'20a'!$H$7:$H$100,$A248,'20a'!$I$7:$I$100,1)+SUMIFS('21'!$N$7:$N$100,'21'!$H$7:$H$100,$A248,'21'!$I$7:$I$100,1)+SUMIFS('22'!$N$7:$N$100,'22'!$H$7:$H$100,$A248,'22'!$I$7:$I$100,1)+SUMIFS('22a'!$N$7:$N$100,'22a'!$H$7:$H$100,$A248,'22a'!$I$7:$I$100,1)+SUMIFS('22b'!$N$7:$N$100,'22b'!$H$7:$H$100,$A248,'22b'!$I$7:$I$100,1)+SUMIFS('23'!$N$7:$N$100,'23'!$H$7:$H$100,$A248,'23'!$I$7:$I$100,1)+SUMIFS('24'!$N$7:$N$100,'24'!$H$7:$H$100,$A248,'24'!$I$7:$I$100,1)+SUMIFS('24a'!$N$7:$N$100,'24a'!$H$7:$H$100,$A248,'24a'!$I$7:$I$100,1)+SUMIFS('24b'!$N$7:$N$100,'24b'!$H$7:$H$100,$A248,'24b'!$I$7:$I$100,1)+SUMIFS('24c'!$N$7:$N$100,'24c'!$H$7:$H$100,$A248,'24c'!$I$7:$I$100,1)+SUMIFS('24d'!$N$7:$N$100,'24d'!$H$7:$H$100,$A248,'24d'!$I$7:$I$100,1)+SUMIFS('24e'!$N$7:$N$100,'24e'!$H$7:$H$100,$A248,'24e'!$I$7:$I$100,1)+SUMIFS('24f'!$N$7:$N$100,'24f'!$H$7:$H$100,$A248,'24f'!$I$7:$I$100,1)+SUMIFS('24g'!$N$7:$N$100,'24g'!$H$7:$H$100,$A248,'24g'!$I$7:$I$100,1)+SUMIFS('24h'!$N$7:$N$100,'24h'!$H$7:$H$100,$A248,'24h'!$I$7:$I$100,1)+SUMIFS('24i'!$N$7:$N$100,'24i'!$H$7:$H$100,$A248,'24i'!$I$7:$I$100,1)+SUMIFS('25'!$N$7:$N$100,'25'!$H$7:$H$100,$A248,'25'!$I$7:$I$100,1)+SUMIFS('26'!$N$7:$N$100,'26'!$H$7:$H$100,$A248,'26'!$I$7:$I$100,1)+SUMIFS('26a'!$N$7:$N$100,'26a'!$H$7:$H$100,$A248,'26a'!$I$7:$I$100,1)+SUMIFS('27'!$N$7:$N$100,'27'!$H$7:$H$100,$A248,'27'!$I$7:$I$100,1)+SUMIFS('27a'!$N$7:$N$100,'27a'!$H$7:$H$100,$A248,'27a'!$I$7:$I$100,1)+SUMIFS('28'!$N$7:$N$100,'28'!$H$7:$H$100,$A248,'28'!$I$7:$I$100,1)+SUMIFS('29'!$N$7:$N$100,'29'!$H$7:$H$100,$A248,'29'!$I$7:$I$100,1)</f>
        <v>0</v>
      </c>
      <c r="D248" s="1315">
        <f>SUMIFS('12'!$N$7:$N$100,'12'!$H$7:$H$100,$A248,'12'!$I$7:$I$100,2)+SUMIFS('13'!$N$7:$N$100,'13'!$H$7:$H$100,$A248,'13'!$I$7:$I$100,2)+SUMIFS('14'!$N$7:$N$100,'14'!$H$7:$H$100,$A248,'14'!$I$7:$I$100,2)+SUMIFS('15'!$N$7:$N$100,'15'!$H$7:$H$100,$A248,'15'!$I$7:$I$100,2)+SUMIFS('15a'!$N$7:$N$100,'15a'!$H$7:$H$100,$A248,'15a'!$I$7:$I$100,2)+SUMIFS('15b'!$N$7:$N$100,'15b'!$H$7:$H$100,$A248,'15b'!$I$7:$I$100,2)+SUMIFS('15c'!$N$7:$N$100,'15c'!$H$7:$H$100,$A248,'15c'!$I$7:$I$100,2)+SUMIFS('15d'!$N$7:$N$100,'15d'!$H$7:$H$100,$A248,'15d'!$I$7:$I$100,2)+SUMIFS('15e'!$N$7:$N$100,'15e'!$H$7:$H$100,$A248,'15e'!$I$7:$I$100,2)+SUMIFS('15f'!$N$7:$N$100,'15f'!$H$7:$H$100,$A248,'15f'!$I$7:$I$100,2)+SUMIFS('15g'!$N$7:$N$100,'15g'!$H$7:$H$100,$A248,'15g'!$I$7:$I$100,2)+SUMIFS('15h'!$N$7:$N$100,'15h'!$H$7:$H$100,$A248,'15h'!$I$7:$I$100,2)+SUMIFS('15i'!$N$7:$N$100,'15i'!$H$7:$H$100,$A248,'15i'!$I$7:$I$100,2)+SUMIFS('15j'!$N$7:$N$100,'15j'!$H$7:$H$100,$A248,'15j'!$I$7:$I$100,2)+SUMIFS('15k'!$N$7:$N$100,'15k'!$H$7:$H$100,$A248,'15k'!$I$7:$I$100,2)+SUMIFS('15l'!$N$7:$N$100,'15l'!$H$7:$H$100,$A248,'15l'!$I$7:$I$100,2)+SUMIFS('15m'!$N$7:$N$100,'15m'!$H$7:$H$100,$A248,'15m'!$I$7:$I$100,2)+SUMIFS('15n'!$N$7:$N$100,'15n'!$H$7:$H$100,$A248,'15n'!$I$7:$I$100,2)+SUMIFS('16'!$N$7:$N$100,'16'!$H$7:$H$100,$A248,'16'!$I$7:$I$100,2)+SUMIFS('16a'!$N$7:$N$100,'16a'!$H$7:$H$100,$A248,'16a'!$I$7:$I$100,2)+SUMIFS('17'!$N$7:$N$100,'17'!$H$7:$H$100,$A248,'17'!$I$7:$I$100,2)+SUMIFS('17a'!$N$7:$N$100,'17a'!$H$7:$H$100,$A248,'17a'!$I$7:$I$100,2)+SUMIFS('18'!$N$7:$N$100,'18'!$H$7:$H$100,$A248,'18'!$I$7:$I$100,2)+SUMIFS('18a'!$N$7:$N$100,'18a'!$H$7:$H$100,$A248,'18a'!$I$7:$I$100,2)
+SUMIFS('19'!$N$7:$N$100,'19'!$H$7:$H$100,$A248,'19'!$I$7:$I$100,2)+SUMIFS('20'!$N$7:$N$100,'20'!$H$7:$H$100,$A248,'20'!$I$7:$I$100,2)+SUMIFS('20a'!$N$7:$N$100,'20a'!$H$7:$H$100,$A248,'20a'!$I$7:$I$100,2)+SUMIFS('21'!$N$7:$N$100,'21'!$H$7:$H$100,$A248,'21'!$I$7:$I$100,2)+SUMIFS('22'!$N$7:$N$100,'22'!$H$7:$H$100,$A248,'22'!$I$7:$I$100,2)+SUMIFS('22a'!$N$7:$N$100,'22a'!$H$7:$H$100,$A248,'22a'!$I$7:$I$100,2)+SUMIFS('22b'!$N$7:$N$100,'22b'!$H$7:$H$100,$A248,'22b'!$I$7:$I$100,2)+SUMIFS('23'!$N$7:$N$100,'23'!$H$7:$H$100,$A248,'23'!$I$7:$I$100,2)+SUMIFS('24'!$N$7:$N$100,'24'!$H$7:$H$100,$A248,'24'!$I$7:$I$100,2)+SUMIFS('24a'!$N$7:$N$100,'24a'!$H$7:$H$100,$A248,'24a'!$I$7:$I$100,2)+SUMIFS('24b'!$N$7:$N$100,'24b'!$H$7:$H$100,$A248,'24b'!$I$7:$I$100,2)+SUMIFS('24c'!$N$7:$N$100,'24c'!$H$7:$H$100,$A248,'24c'!$I$7:$I$100,2)+SUMIFS('24d'!$N$7:$N$100,'24d'!$H$7:$H$100,$A248,'24d'!$I$7:$I$100,2)+SUMIFS('24e'!$N$7:$N$100,'24e'!$H$7:$H$100,$A248,'24e'!$I$7:$I$100,2)+SUMIFS('24f'!$N$7:$N$100,'24f'!$H$7:$H$100,$A248,'24f'!$I$7:$I$100,2)+SUMIFS('24g'!$N$7:$N$100,'24g'!$H$7:$H$100,$A248,'24g'!$I$7:$I$100,2)+SUMIFS('24h'!$N$7:$N$100,'24h'!$H$7:$H$100,$A248,'24h'!$I$7:$I$100,2)+SUMIFS('24i'!$N$7:$N$100,'24i'!$H$7:$H$100,$A248,'24i'!$I$7:$I$100,2)+SUMIFS('25'!$N$7:$N$100,'25'!$H$7:$H$100,$A248,'25'!$I$7:$I$100,2)+SUMIFS('26'!$N$7:$N$100,'26'!$H$7:$H$100,$A248,'26'!$I$7:$I$100,2)+SUMIFS('26a'!$N$7:$N$100,'26a'!$H$7:$H$100,$A248,'26a'!$I$7:$I$100,2)+SUMIFS('27'!$N$7:$N$100,'27'!$H$7:$H$100,$A248,'27'!$I$7:$I$100,2)+SUMIFS('27a'!$N$7:$N$100,'27a'!$H$7:$H$100,$A248,'27a'!$I$7:$I$100,2)+SUMIFS('28'!$N$7:$N$100,'28'!$H$7:$H$100,$A248,'28'!$I$7:$I$100,2)+SUMIFS('29'!$N$7:$N$100,'29'!$H$7:$H$100,$A248,'29'!$I$7:$I$100,2)</f>
        <v>0</v>
      </c>
      <c r="E248" s="1315">
        <f>SUMIFS('12'!$N$7:$N$100,'12'!$H$7:$H$100,$A248,'12'!$I$7:$I$100,"")+SUMIFS('13'!$N$7:$N$100,'13'!$H$7:$H$100,$A248,'13'!$I$7:$I$100,"")+SUMIFS('14'!$N$7:$N$100,'14'!$H$7:$H$100,$A248,'14'!$I$7:$I$100,"")+SUMIFS('15'!$N$7:$N$100,'15'!$H$7:$H$100,$A248,'15'!$I$7:$I$100,"")+SUMIFS('15a'!$N$7:$N$100,'15a'!$H$7:$H$100,$A248,'15a'!$I$7:$I$100,"")+SUMIFS('15b'!$N$7:$N$100,'15b'!$H$7:$H$100,$A248,'15b'!$I$7:$I$100,"")+SUMIFS('15c'!$N$7:$N$100,'15c'!$H$7:$H$100,$A248,'15c'!$I$7:$I$100,"")+SUMIFS('15d'!$N$7:$N$100,'15d'!$H$7:$H$100,$A248,'15d'!$I$7:$I$100,"")+SUMIFS('15e'!$N$7:$N$100,'15e'!$H$7:$H$100,$A248,'15e'!$I$7:$I$100,"")+SUMIFS('15f'!$N$7:$N$100,'15f'!$H$7:$H$100,$A248,'15f'!$I$7:$I$100,"")+SUMIFS('15g'!$N$7:$N$100,'15g'!$H$7:$H$100,$A248,'15g'!$I$7:$I$100,"")+SUMIFS('15h'!$N$7:$N$100,'15h'!$H$7:$H$100,$A248,'15h'!$I$7:$I$100,"")+SUMIFS('15i'!$N$7:$N$100,'15i'!$H$7:$H$100,$A248,'15i'!$I$7:$I$100,"")+SUMIFS('15j'!$N$7:$N$100,'15j'!$H$7:$H$100,$A248,'15j'!$I$7:$I$100,"")+SUMIFS('15k'!$N$7:$N$100,'15k'!$H$7:$H$100,$A248,'15k'!$I$7:$I$100,"")+SUMIFS('15l'!$N$7:$N$100,'15l'!$H$7:$H$100,$A248,'15l'!$I$7:$I$100,"")+SUMIFS('15m'!$N$7:$N$100,'15m'!$H$7:$H$100,$A248,'15m'!$I$7:$I$100,"")+SUMIFS('15n'!$N$7:$N$100,'15n'!$H$7:$H$100,$A248,'15n'!$I$7:$I$100,"")+SUMIFS('16'!$N$7:$N$100,'16'!$H$7:$H$100,$A248,'16'!$I$7:$I$100,"")+SUMIFS('16a'!$N$7:$N$100,'16a'!$H$7:$H$100,$A248,'16a'!$I$7:$I$100,"")+SUMIFS('17'!$N$7:$N$100,'17'!$H$7:$H$100,$A248,'17'!$I$7:$I$100,"")+SUMIFS('17a'!$N$7:$N$100,'17a'!$H$7:$H$100,$A248,'17a'!$I$7:$I$100,"")+SUMIFS('18'!$N$7:$N$100,'18'!$H$7:$H$100,$A248,'18'!$I$7:$I$100,"")+SUMIFS('18a'!$N$7:$N$100,'18a'!$H$7:$H$100,$A248,'18a'!$I$7:$I$100,"")
+SUMIFS('19'!$N$7:$N$100,'19'!$H$7:$H$100,$A248,'19'!$I$7:$I$100,"")+SUMIFS('20'!$N$7:$N$100,'20'!$H$7:$H$100,$A248,'20'!$I$7:$I$100,"")+SUMIFS('20a'!$N$7:$N$100,'20a'!$H$7:$H$100,$A248,'20a'!$I$7:$I$100,"")+SUMIFS('21'!$N$7:$N$100,'21'!$H$7:$H$100,$A248,'21'!$I$7:$I$100,"")+SUMIFS('22'!$N$7:$N$100,'22'!$H$7:$H$100,$A248,'22'!$I$7:$I$100,"")+SUMIFS('22a'!$N$7:$N$100,'22a'!$H$7:$H$100,$A248,'22a'!$I$7:$I$100,"")+SUMIFS('22b'!$N$7:$N$100,'22b'!$H$7:$H$100,$A248,'22b'!$I$7:$I$100,"")+SUMIFS('23'!$N$7:$N$100,'23'!$H$7:$H$100,$A248,'23'!$I$7:$I$100,"")+SUMIFS('24'!$N$7:$N$100,'24'!$H$7:$H$100,$A248,'24'!$I$7:$I$100,"")+SUMIFS('24a'!$N$7:$N$100,'24a'!$H$7:$H$100,$A248,'24a'!$I$7:$I$100,"")+SUMIFS('24b'!$N$7:$N$100,'24b'!$H$7:$H$100,$A248,'24b'!$I$7:$I$100,"")+SUMIFS('24c'!$N$7:$N$100,'24c'!$H$7:$H$100,$A248,'24c'!$I$7:$I$100,"")+SUMIFS('24d'!$N$7:$N$100,'24d'!$H$7:$H$100,$A248,'24d'!$I$7:$I$100,"")+SUMIFS('24e'!$N$7:$N$100,'24e'!$H$7:$H$100,$A248,'24e'!$I$7:$I$100,"")+SUMIFS('24f'!$N$7:$N$100,'24f'!$H$7:$H$100,$A248,'24f'!$I$7:$I$100,"")+SUMIFS('24g'!$N$7:$N$100,'24g'!$H$7:$H$100,$A248,'24g'!$I$7:$I$100,"")+SUMIFS('24h'!$N$7:$N$100,'24h'!$H$7:$H$100,$A248,'24h'!$I$7:$I$100,"")+SUMIFS('24i'!$N$7:$N$100,'24i'!$H$7:$H$100,$A248,'24i'!$I$7:$I$100,"")+SUMIFS('25'!$N$7:$N$100,'25'!$H$7:$H$100,$A248,'25'!$I$7:$I$100,"")+SUMIFS('26'!$N$7:$N$100,'26'!$H$7:$H$100,$A248,'26'!$I$7:$I$100,"")+SUMIFS('26a'!$N$7:$N$100,'26a'!$H$7:$H$100,$A248,'26a'!$I$7:$I$100,"")+SUMIFS('27'!$N$7:$N$100,'27'!$H$7:$H$100,$A248,'27'!$I$7:$I$100,"")+SUMIFS('27a'!$N$7:$N$100,'27a'!$H$7:$H$100,$A248,'27a'!$I$7:$I$100,"")+SUMIFS('28'!$N$7:$N$100,'28'!$H$7:$H$100,$A248,'28'!$I$7:$I$100,"")+SUMIFS('29'!$N$7:$N$100,'29'!$H$7:$H$100,$A248,'29'!$I$7:$I$100,"")</f>
        <v>0</v>
      </c>
      <c r="F248" s="1296">
        <f t="shared" si="20"/>
        <v>0</v>
      </c>
      <c r="G248" s="1295">
        <f>SUMIFS('12'!$J$7:$J$100,'12'!$H$7:$H$100,$A248,'12'!$I$7:$I$100,1)+SUMIFS('13'!$J$7:$J$100,'13'!$H$7:$H$100,$A248,'13'!$I$7:$I$100,1)+SUMIFS('14'!$J$7:$J$100,'14'!$H$7:$H$100,$A248,'14'!$I$7:$I$100,1)+SUMIFS('15'!$J$7:$J$100,'15'!$H$7:$H$100,$A248,'15'!$I$7:$I$100,1)+SUMIFS('15a'!$J$7:$J$100,'15a'!$H$7:$H$100,$A248,'15a'!$I$7:$I$100,1)+SUMIFS('15b'!$J$7:$J$100,'15b'!$H$7:$H$100,$A248,'15b'!$I$7:$I$100,1)+SUMIFS('15c'!$J$7:$J$100,'15c'!$H$7:$H$100,$A248,'15c'!$I$7:$I$100,1)+SUMIFS('15d'!$J$7:$J$100,'15d'!$H$7:$H$100,$A248,'15d'!$I$7:$I$100,1)+SUMIFS('15e'!$J$7:$J$100,'15e'!$H$7:$H$100,$A248,'15e'!$I$7:$I$100,1)+SUMIFS('15f'!$J$7:$J$100,'15f'!$H$7:$H$100,$A248,'15f'!$I$7:$I$100,1)+SUMIFS('15g'!$J$7:$J$100,'15g'!$H$7:$H$100,$A248,'15g'!$I$7:$I$100,1)+SUMIFS('15h'!$J$7:$J$100,'15h'!$H$7:$H$100,$A248,'15h'!$I$7:$I$100,1)+SUMIFS('15i'!$J$7:$J$100,'15i'!$H$7:$H$100,$A248,'15i'!$I$7:$I$100,1)+SUMIFS('15j'!$J$7:$J$100,'15j'!$H$7:$H$100,$A248,'15j'!$I$7:$I$100,1)+SUMIFS('15k'!$J$7:$J$100,'15k'!$H$7:$H$100,$A248,'15k'!$I$7:$I$100,1)+SUMIFS('15l'!$J$7:$J$100,'15l'!$H$7:$H$100,$A248,'15l'!$I$7:$I$100,1)+SUMIFS('15m'!$J$7:$J$100,'15m'!$H$7:$H$100,$A248,'15m'!$I$7:$I$100,1)+SUMIFS('15n'!$J$7:$J$100,'15n'!$H$7:$H$100,$A248,'15n'!$I$7:$I$100,1)+SUMIFS('16'!$J$7:$J$100,'16'!$H$7:$H$100,$A248,'16'!$I$7:$I$100,1)+SUMIFS('16a'!$J$7:$J$100,'16a'!$H$7:$H$100,$A248,'16a'!$I$7:$I$100,1)+SUMIFS('17'!$J$7:$J$100,'17'!$H$7:$H$100,$A248,'17'!$I$7:$I$100,1)+SUMIFS('17a'!$J$7:$J$100,'17a'!$H$7:$H$100,$A248,'17a'!$I$7:$I$100,1)+SUMIFS('18'!$J$7:$J$100,'18'!$H$7:$H$100,$A248,'18'!$I$7:$I$100,1)+SUMIFS('18a'!$J$7:$J$100,'18a'!$H$7:$H$100,$A248,'18a'!$I$7:$I$100,1)
+SUMIFS('19'!$J$7:$J$100,'19'!$H$7:$H$100,$A248,'19'!$I$7:$I$100,1)+SUMIFS('20'!$J$7:$J$100,'20'!$H$7:$H$100,$A248,'20'!$I$7:$I$100,1)+SUMIFS('20a'!$J$7:$J$100,'20a'!$H$7:$H$100,$A248,'20a'!$I$7:$I$100,1)+SUMIFS('21'!$J$7:$J$100,'21'!$H$7:$H$100,$A248,'21'!$I$7:$I$100,1)+SUMIFS('22'!$J$7:$J$100,'22'!$H$7:$H$100,$A248,'22'!$I$7:$I$100,1)+SUMIFS('22a'!$J$7:$J$100,'22a'!$H$7:$H$100,$A248,'22a'!$I$7:$I$100,1)+SUMIFS('22b'!$J$7:$J$100,'22b'!$H$7:$H$100,$A248,'22b'!$I$7:$I$100,1)+SUMIFS('23'!$J$7:$J$100,'23'!$H$7:$H$100,$A248,'23'!$I$7:$I$100,1)+SUMIFS('24'!$J$7:$J$100,'24'!$H$7:$H$100,$A248,'24'!$I$7:$I$100,1)+SUMIFS('24a'!$J$7:$J$100,'24a'!$H$7:$H$100,$A248,'24a'!$I$7:$I$100,1)+SUMIFS('24b'!$J$7:$J$100,'24b'!$H$7:$H$100,$A248,'24b'!$I$7:$I$100,1)+SUMIFS('24c'!$J$7:$J$100,'24c'!$H$7:$H$100,$A248,'24c'!$I$7:$I$100,1)+SUMIFS('24d'!$J$7:$J$100,'24d'!$H$7:$H$100,$A248,'24d'!$I$7:$I$100,1)+SUMIFS('24e'!$J$7:$J$100,'24e'!$H$7:$H$100,$A248,'24e'!$I$7:$I$100,1)+SUMIFS('24f'!$J$7:$J$100,'24f'!$H$7:$H$100,$A248,'24f'!$I$7:$I$100,1)+SUMIFS('24g'!$J$7:$J$100,'24g'!$H$7:$H$100,$A248,'24g'!$I$7:$I$100,1)+SUMIFS('24h'!$J$7:$J$100,'24h'!$H$7:$H$100,$A248,'24h'!$I$7:$I$100,1)+SUMIFS('24i'!$J$7:$J$100,'24i'!$H$7:$H$100,$A248,'24i'!$I$7:$I$100,1)+SUMIFS('25'!$J$7:$J$100,'25'!$H$7:$H$100,$A248,'25'!$I$7:$I$100,1)+SUMIFS('26'!$J$7:$J$100,'26'!$H$7:$H$100,$A248,'26'!$I$7:$I$100,1)+SUMIFS('26a'!$J$7:$J$100,'26a'!$H$7:$H$100,$A248,'26a'!$I$7:$I$100,1)+SUMIFS('27'!$J$7:$J$100,'27'!$H$7:$H$100,$A248,'27'!$I$7:$I$100,1)+SUMIFS('27a'!$J$7:$J$100,'27a'!$H$7:$H$100,$A248,'27a'!$I$7:$I$100,1)+SUMIFS('28'!$J$7:$J$100,'28'!$H$7:$H$100,$A248,'28'!$I$7:$I$100,1)+SUMIFS('29'!$J$7:$J$100,'29'!$H$7:$H$100,$A248,'29'!$I$7:$I$100,1)</f>
        <v>0</v>
      </c>
      <c r="H248" s="1315">
        <f>SUMIFS('12'!$J$7:$J$100,'12'!$H$7:$H$100,$A248,'12'!$I$7:$I$100,2)+SUMIFS('13'!$J$7:$J$100,'13'!$H$7:$H$100,$A248,'13'!$I$7:$I$100,2)+SUMIFS('14'!$J$7:$J$100,'14'!$H$7:$H$100,$A248,'14'!$I$7:$I$100,2)+SUMIFS('15'!$J$7:$J$100,'15'!$H$7:$H$100,$A248,'15'!$I$7:$I$100,2)+SUMIFS('15a'!$J$7:$J$100,'15a'!$H$7:$H$100,$A248,'15a'!$I$7:$I$100,2)+SUMIFS('15b'!$J$7:$J$100,'15b'!$H$7:$H$100,$A248,'15b'!$I$7:$I$100,2)+SUMIFS('15c'!$J$7:$J$100,'15c'!$H$7:$H$100,$A248,'15c'!$I$7:$I$100,2)+SUMIFS('15d'!$J$7:$J$100,'15d'!$H$7:$H$100,$A248,'15d'!$I$7:$I$100,2)+SUMIFS('15e'!$J$7:$J$100,'15e'!$H$7:$H$100,$A248,'15e'!$I$7:$I$100,2)+SUMIFS('15f'!$J$7:$J$100,'15f'!$H$7:$H$100,$A248,'15f'!$I$7:$I$100,2)+SUMIFS('15g'!$J$7:$J$100,'15g'!$H$7:$H$100,$A248,'15g'!$I$7:$I$100,2)+SUMIFS('15h'!$J$7:$J$100,'15h'!$H$7:$H$100,$A248,'15h'!$I$7:$I$100,2)+SUMIFS('15i'!$J$7:$J$100,'15i'!$H$7:$H$100,$A248,'15i'!$I$7:$I$100,2)+SUMIFS('15j'!$J$7:$J$100,'15j'!$H$7:$H$100,$A248,'15j'!$I$7:$I$100,2)+SUMIFS('15k'!$J$7:$J$100,'15k'!$H$7:$H$100,$A248,'15k'!$I$7:$I$100,2)+SUMIFS('15l'!$J$7:$J$100,'15l'!$H$7:$H$100,$A248,'15l'!$I$7:$I$100,2)+SUMIFS('15m'!$J$7:$J$100,'15m'!$H$7:$H$100,$A248,'15m'!$I$7:$I$100,2)+SUMIFS('15n'!$J$7:$J$100,'15n'!$H$7:$H$100,$A248,'15n'!$I$7:$I$100,2)+SUMIFS('16'!$J$7:$J$100,'16'!$H$7:$H$100,$A248,'16'!$I$7:$I$100,2)+SUMIFS('16a'!$J$7:$J$100,'16a'!$H$7:$H$100,$A248,'16a'!$I$7:$I$100,2)+SUMIFS('17'!$J$7:$J$100,'17'!$H$7:$H$100,$A248,'17'!$I$7:$I$100,2)+SUMIFS('17a'!$J$7:$J$100,'17a'!$H$7:$H$100,$A248,'17a'!$I$7:$I$100,2)+SUMIFS('18'!$J$7:$J$100,'18'!$H$7:$H$100,$A248,'18'!$I$7:$I$100,2)+SUMIFS('18a'!$J$7:$J$100,'18a'!$H$7:$H$100,$A248,'18a'!$I$7:$I$100,2)
+SUMIFS('19'!$J$7:$J$100,'19'!$H$7:$H$100,$A248,'19'!$I$7:$I$100,2)+SUMIFS('20'!$J$7:$J$100,'20'!$H$7:$H$100,$A248,'20'!$I$7:$I$100,2)+SUMIFS('20a'!$J$7:$J$100,'20a'!$H$7:$H$100,$A248,'20a'!$I$7:$I$100,2)+SUMIFS('21'!$J$7:$J$100,'21'!$H$7:$H$100,$A248,'21'!$I$7:$I$100,2)+SUMIFS('22'!$J$7:$J$100,'22'!$H$7:$H$100,$A248,'22'!$I$7:$I$100,2)+SUMIFS('22a'!$J$7:$J$100,'22a'!$H$7:$H$100,$A248,'22a'!$I$7:$I$100,2)+SUMIFS('22b'!$J$7:$J$100,'22b'!$H$7:$H$100,$A248,'22b'!$I$7:$I$100,2)+SUMIFS('23'!$J$7:$J$100,'23'!$H$7:$H$100,$A248,'23'!$I$7:$I$100,2)+SUMIFS('24'!$J$7:$J$100,'24'!$H$7:$H$100,$A248,'24'!$I$7:$I$100,2)+SUMIFS('24a'!$J$7:$J$100,'24a'!$H$7:$H$100,$A248,'24a'!$I$7:$I$100,2)+SUMIFS('24b'!$J$7:$J$100,'24b'!$H$7:$H$100,$A248,'24b'!$I$7:$I$100,2)+SUMIFS('24c'!$J$7:$J$100,'24c'!$H$7:$H$100,$A248,'24c'!$I$7:$I$100,2)+SUMIFS('24d'!$J$7:$J$100,'24d'!$H$7:$H$100,$A248,'24d'!$I$7:$I$100,2)+SUMIFS('24e'!$J$7:$J$100,'24e'!$H$7:$H$100,$A248,'24e'!$I$7:$I$100,2)+SUMIFS('24f'!$J$7:$J$100,'24f'!$H$7:$H$100,$A248,'24f'!$I$7:$I$100,2)+SUMIFS('24g'!$J$7:$J$100,'24g'!$H$7:$H$100,$A248,'24g'!$I$7:$I$100,2)+SUMIFS('24h'!$J$7:$J$100,'24h'!$H$7:$H$100,$A248,'24h'!$I$7:$I$100,2)+SUMIFS('24i'!$J$7:$J$100,'24i'!$H$7:$H$100,$A248,'24i'!$I$7:$I$100,2)+SUMIFS('25'!$J$7:$J$100,'25'!$H$7:$H$100,$A248,'25'!$I$7:$I$100,2)+SUMIFS('26'!$J$7:$J$100,'26'!$H$7:$H$100,$A248,'26'!$I$7:$I$100,2)+SUMIFS('26a'!$J$7:$J$100,'26a'!$H$7:$H$100,$A248,'26a'!$I$7:$I$100,2)+SUMIFS('27'!$J$7:$J$100,'27'!$H$7:$H$100,$A248,'27'!$I$7:$I$100,2)+SUMIFS('27a'!$J$7:$J$100,'27a'!$H$7:$H$100,$A248,'27a'!$I$7:$I$100,2)+SUMIFS('28'!$J$7:$J$100,'28'!$H$7:$H$100,$A248,'28'!$I$7:$I$100,2)+SUMIFS('29'!$J$7:$J$100,'29'!$H$7:$H$100,$A248,'29'!$I$7:$I$100,2)</f>
        <v>0</v>
      </c>
      <c r="I248" s="1315">
        <f>SUMIFS('12'!$J$7:$J$100,'12'!$H$7:$H$100,$A248,'12'!$I$7:$I$100,"")+SUMIFS('13'!$J$7:$J$100,'13'!$H$7:$H$100,$A248,'13'!$I$7:$I$100,"")+SUMIFS('14'!$J$7:$J$100,'14'!$H$7:$H$100,$A248,'14'!$I$7:$I$100,"")+SUMIFS('15'!$J$7:$J$100,'15'!$H$7:$H$100,$A248,'15'!$I$7:$I$100,"")+SUMIFS('15a'!$J$7:$J$100,'15a'!$H$7:$H$100,$A248,'15a'!$I$7:$I$100,"")+SUMIFS('15b'!$J$7:$J$100,'15b'!$H$7:$H$100,$A248,'15b'!$I$7:$I$100,"")+SUMIFS('15c'!$J$7:$J$100,'15c'!$H$7:$H$100,$A248,'15c'!$I$7:$I$100,"")+SUMIFS('15d'!$J$7:$J$100,'15d'!$H$7:$H$100,$A248,'15d'!$I$7:$I$100,"")+SUMIFS('15e'!$J$7:$J$100,'15e'!$H$7:$H$100,$A248,'15e'!$I$7:$I$100,"")+SUMIFS('15f'!$J$7:$J$100,'15f'!$H$7:$H$100,$A248,'15f'!$I$7:$I$100,"")+SUMIFS('15g'!$J$7:$J$100,'15g'!$H$7:$H$100,$A248,'15g'!$I$7:$I$100,"")+SUMIFS('15h'!$J$7:$J$100,'15h'!$H$7:$H$100,$A248,'15h'!$I$7:$I$100,"")+SUMIFS('15i'!$J$7:$J$100,'15i'!$H$7:$H$100,$A248,'15i'!$I$7:$I$100,"")+SUMIFS('15j'!$J$7:$J$100,'15j'!$H$7:$H$100,$A248,'15j'!$I$7:$I$100,"")+SUMIFS('15k'!$J$7:$J$100,'15k'!$H$7:$H$100,$A248,'15k'!$I$7:$I$100,"")+SUMIFS('15l'!$J$7:$J$100,'15l'!$H$7:$H$100,$A248,'15l'!$I$7:$I$100,"")+SUMIFS('15m'!$J$7:$J$100,'15m'!$H$7:$H$100,$A248,'15m'!$I$7:$I$100,"")+SUMIFS('15n'!$J$7:$J$100,'15n'!$H$7:$H$100,$A248,'15n'!$I$7:$I$100,"")+SUMIFS('16'!$J$7:$J$100,'16'!$H$7:$H$100,$A248,'16'!$I$7:$I$100,"")+SUMIFS('16a'!$J$7:$J$100,'16a'!$H$7:$H$100,$A248,'16a'!$I$7:$I$100,"")+SUMIFS('17'!$J$7:$J$100,'17'!$H$7:$H$100,$A248,'17'!$I$7:$I$100,"")+SUMIFS('17a'!$J$7:$J$100,'17a'!$H$7:$H$100,$A248,'17a'!$I$7:$I$100,"")+SUMIFS('18'!$J$7:$J$100,'18'!$H$7:$H$100,$A248,'18'!$I$7:$I$100,"")+SUMIFS('18a'!$J$7:$J$100,'18a'!$H$7:$H$100,$A248,'18a'!$I$7:$I$100,"")
+SUMIFS('19'!$J$7:$J$100,'19'!$H$7:$H$100,$A248,'19'!$I$7:$I$100,"")+SUMIFS('20'!$J$7:$J$100,'20'!$H$7:$H$100,$A248,'20'!$I$7:$I$100,"")+SUMIFS('20a'!$J$7:$J$100,'20a'!$H$7:$H$100,$A248,'20a'!$I$7:$I$100,"")+SUMIFS('21'!$J$7:$J$100,'21'!$H$7:$H$100,$A248,'21'!$I$7:$I$100,"")+SUMIFS('22'!$J$7:$J$100,'22'!$H$7:$H$100,$A248,'22'!$I$7:$I$100,"")+SUMIFS('22a'!$J$7:$J$100,'22a'!$H$7:$H$100,$A248,'22a'!$I$7:$I$100,"")+SUMIFS('22b'!$J$7:$J$100,'22b'!$H$7:$H$100,$A248,'22b'!$I$7:$I$100,"")+SUMIFS('23'!$J$7:$J$100,'23'!$H$7:$H$100,$A248,'23'!$I$7:$I$100,"")+SUMIFS('24'!$J$7:$J$100,'24'!$H$7:$H$100,$A248,'24'!$I$7:$I$100,"")+SUMIFS('24a'!$J$7:$J$100,'24a'!$H$7:$H$100,$A248,'24a'!$I$7:$I$100,"")+SUMIFS('24b'!$J$7:$J$100,'24b'!$H$7:$H$100,$A248,'24b'!$I$7:$I$100,"")+SUMIFS('24c'!$J$7:$J$100,'24c'!$H$7:$H$100,$A248,'24c'!$I$7:$I$100,"")+SUMIFS('24d'!$J$7:$J$100,'24d'!$H$7:$H$100,$A248,'24d'!$I$7:$I$100,"")+SUMIFS('24e'!$J$7:$J$100,'24e'!$H$7:$H$100,$A248,'24e'!$I$7:$I$100,"")+SUMIFS('24f'!$J$7:$J$100,'24f'!$H$7:$H$100,$A248,'24f'!$I$7:$I$100,"")+SUMIFS('24g'!$J$7:$J$100,'24g'!$H$7:$H$100,$A248,'24g'!$I$7:$I$100,"")+SUMIFS('24h'!$J$7:$J$100,'24h'!$H$7:$H$100,$A248,'24h'!$I$7:$I$100,"")+SUMIFS('24i'!$J$7:$J$100,'24i'!$H$7:$H$100,$A248,'24i'!$I$7:$I$100,"")+SUMIFS('25'!$J$7:$J$100,'25'!$H$7:$H$100,$A248,'25'!$I$7:$I$100,"")+SUMIFS('26'!$J$7:$J$100,'26'!$H$7:$H$100,$A248,'26'!$I$7:$I$100,"")+SUMIFS('26a'!$J$7:$J$100,'26a'!$H$7:$H$100,$A248,'26a'!$I$7:$I$100,"")+SUMIFS('27'!$J$7:$J$100,'27'!$H$7:$H$100,$A248,'27'!$I$7:$I$100,"")+SUMIFS('27a'!$J$7:$J$100,'27a'!$H$7:$H$100,$A248,'27a'!$I$7:$I$100,"")+SUMIFS('28'!$J$7:$J$100,'28'!$H$7:$H$100,$A248,'28'!$I$7:$I$100,"")+SUMIFS('29'!$J$7:$J$100,'29'!$H$7:$H$100,$A248,'29'!$I$7:$I$100,"")</f>
        <v>0</v>
      </c>
      <c r="J248" s="1296">
        <f t="shared" si="21"/>
        <v>0</v>
      </c>
      <c r="K248"/>
      <c r="L248"/>
      <c r="M248"/>
      <c r="N248"/>
      <c r="O248"/>
      <c r="P248"/>
      <c r="Q248"/>
      <c r="R248"/>
      <c r="S248" s="1307">
        <f t="shared" si="14"/>
        <v>0</v>
      </c>
      <c r="T248"/>
    </row>
    <row r="249" spans="1:20" x14ac:dyDescent="0.2">
      <c r="A249"/>
      <c r="B249" s="1289" t="str">
        <f>"Total- "&amp;A230</f>
        <v>Total- Public Safety</v>
      </c>
      <c r="C249" s="1297">
        <f>SUM(C231:C232,C238:C248)</f>
        <v>3080</v>
      </c>
      <c r="D249" s="1290">
        <f>SUM(D231:D232,D238:D248)</f>
        <v>19373.87</v>
      </c>
      <c r="E249" s="1290">
        <f t="shared" ref="E249:J249" si="22">SUM(E231:E232,E238:E248)</f>
        <v>0</v>
      </c>
      <c r="F249" s="1298">
        <f t="shared" si="22"/>
        <v>22453.87</v>
      </c>
      <c r="G249" s="1297">
        <f t="shared" si="22"/>
        <v>3080</v>
      </c>
      <c r="H249" s="1290">
        <f t="shared" si="22"/>
        <v>20908</v>
      </c>
      <c r="I249" s="1290">
        <f t="shared" si="22"/>
        <v>0</v>
      </c>
      <c r="J249" s="1298">
        <f t="shared" si="22"/>
        <v>23988</v>
      </c>
      <c r="K249"/>
      <c r="L249"/>
      <c r="M249"/>
      <c r="N249"/>
      <c r="O249"/>
      <c r="P249"/>
      <c r="Q249"/>
      <c r="R249"/>
      <c r="S249" s="1307"/>
      <c r="T249"/>
    </row>
    <row r="250" spans="1:20" x14ac:dyDescent="0.2">
      <c r="A250"/>
      <c r="B250"/>
      <c r="C250" s="292"/>
      <c r="D250"/>
      <c r="E250"/>
      <c r="F250" s="345"/>
      <c r="G250" s="292"/>
      <c r="H250"/>
      <c r="I250"/>
      <c r="J250" s="345"/>
      <c r="K250"/>
      <c r="L250"/>
      <c r="M250"/>
      <c r="N250"/>
      <c r="O250"/>
      <c r="P250"/>
      <c r="Q250"/>
      <c r="R250"/>
      <c r="S250" s="1307"/>
      <c r="T250"/>
    </row>
    <row r="251" spans="1:20" x14ac:dyDescent="0.2">
      <c r="A251" s="106" t="s">
        <v>5443</v>
      </c>
      <c r="B251" s="5"/>
      <c r="C251" s="1299"/>
      <c r="D251" s="523"/>
      <c r="E251" s="5"/>
      <c r="F251" s="1322"/>
      <c r="G251" s="1299"/>
      <c r="H251" s="523"/>
      <c r="I251" s="5"/>
      <c r="J251" s="1322"/>
      <c r="K251"/>
      <c r="L251"/>
      <c r="M251"/>
      <c r="N251"/>
      <c r="O251"/>
      <c r="P251"/>
      <c r="Q251"/>
      <c r="R251"/>
      <c r="S251" s="1307"/>
      <c r="T251"/>
    </row>
    <row r="252" spans="1:20" ht="12.75" customHeight="1" x14ac:dyDescent="0.2">
      <c r="A252" t="s">
        <v>5168</v>
      </c>
      <c r="B252" t="s">
        <v>5498</v>
      </c>
      <c r="C252" s="1295">
        <f>SUMIFS('12'!$N$7:$N$100,'12'!$H$7:$H$100,$A252,'12'!$I$7:$I$100,1)+SUMIFS('13'!$N$7:$N$100,'13'!$H$7:$H$100,$A252,'13'!$I$7:$I$100,1)+SUMIFS('14'!$N$7:$N$100,'14'!$H$7:$H$100,$A252,'14'!$I$7:$I$100,1)+SUMIFS('15'!$N$7:$N$100,'15'!$H$7:$H$100,$A252,'15'!$I$7:$I$100,1)+SUMIFS('15a'!$N$7:$N$100,'15a'!$H$7:$H$100,$A252,'15a'!$I$7:$I$100,1)+SUMIFS('15b'!$N$7:$N$100,'15b'!$H$7:$H$100,$A252,'15b'!$I$7:$I$100,1)+SUMIFS('15c'!$N$7:$N$100,'15c'!$H$7:$H$100,$A252,'15c'!$I$7:$I$100,1)+SUMIFS('15d'!$N$7:$N$100,'15d'!$H$7:$H$100,$A252,'15d'!$I$7:$I$100,1)+SUMIFS('15e'!$N$7:$N$100,'15e'!$H$7:$H$100,$A252,'15e'!$I$7:$I$100,1)+SUMIFS('15f'!$N$7:$N$100,'15f'!$H$7:$H$100,$A252,'15f'!$I$7:$I$100,1)+SUMIFS('15g'!$N$7:$N$100,'15g'!$H$7:$H$100,$A252,'15g'!$I$7:$I$100,1)+SUMIFS('15h'!$N$7:$N$100,'15h'!$H$7:$H$100,$A252,'15h'!$I$7:$I$100,1)+SUMIFS('15i'!$N$7:$N$100,'15i'!$H$7:$H$100,$A252,'15i'!$I$7:$I$100,1)+SUMIFS('15j'!$N$7:$N$100,'15j'!$H$7:$H$100,$A252,'15j'!$I$7:$I$100,1)+SUMIFS('15k'!$N$7:$N$100,'15k'!$H$7:$H$100,$A252,'15k'!$I$7:$I$100,1)+SUMIFS('15l'!$N$7:$N$100,'15l'!$H$7:$H$100,$A252,'15l'!$I$7:$I$100,1)+SUMIFS('15m'!$N$7:$N$100,'15m'!$H$7:$H$100,$A252,'15m'!$I$7:$I$100,1)+SUMIFS('15n'!$N$7:$N$100,'15n'!$H$7:$H$100,$A252,'15n'!$I$7:$I$100,1)+SUMIFS('16'!$N$7:$N$100,'16'!$H$7:$H$100,$A252,'16'!$I$7:$I$100,1)+SUMIFS('16a'!$N$7:$N$100,'16a'!$H$7:$H$100,$A252,'16a'!$I$7:$I$100,1)+SUMIFS('17'!$N$7:$N$100,'17'!$H$7:$H$100,$A252,'17'!$I$7:$I$100,1)+SUMIFS('17a'!$N$7:$N$100,'17a'!$H$7:$H$100,$A252,'17a'!$I$7:$I$100,1)+SUMIFS('18'!$N$7:$N$100,'18'!$H$7:$H$100,$A252,'18'!$I$7:$I$100,1)+SUMIFS('18a'!$N$7:$N$100,'18a'!$H$7:$H$100,$A252,'18a'!$I$7:$I$100,1)
+SUMIFS('19'!$N$7:$N$100,'19'!$H$7:$H$100,$A252,'19'!$I$7:$I$100,1)+SUMIFS('20'!$N$7:$N$100,'20'!$H$7:$H$100,$A252,'20'!$I$7:$I$100,1)+SUMIFS('20a'!$N$7:$N$100,'20a'!$H$7:$H$100,$A252,'20a'!$I$7:$I$100,1)+SUMIFS('21'!$N$7:$N$100,'21'!$H$7:$H$100,$A252,'21'!$I$7:$I$100,1)+SUMIFS('22'!$N$7:$N$100,'22'!$H$7:$H$100,$A252,'22'!$I$7:$I$100,1)+SUMIFS('22a'!$N$7:$N$100,'22a'!$H$7:$H$100,$A252,'22a'!$I$7:$I$100,1)+SUMIFS('22b'!$N$7:$N$100,'22b'!$H$7:$H$100,$A252,'22b'!$I$7:$I$100,1)+SUMIFS('23'!$N$7:$N$100,'23'!$H$7:$H$100,$A252,'23'!$I$7:$I$100,1)+SUMIFS('24'!$N$7:$N$100,'24'!$H$7:$H$100,$A252,'24'!$I$7:$I$100,1)+SUMIFS('24a'!$N$7:$N$100,'24a'!$H$7:$H$100,$A252,'24a'!$I$7:$I$100,1)+SUMIFS('24b'!$N$7:$N$100,'24b'!$H$7:$H$100,$A252,'24b'!$I$7:$I$100,1)+SUMIFS('24c'!$N$7:$N$100,'24c'!$H$7:$H$100,$A252,'24c'!$I$7:$I$100,1)+SUMIFS('24d'!$N$7:$N$100,'24d'!$H$7:$H$100,$A252,'24d'!$I$7:$I$100,1)+SUMIFS('24e'!$N$7:$N$100,'24e'!$H$7:$H$100,$A252,'24e'!$I$7:$I$100,1)+SUMIFS('24f'!$N$7:$N$100,'24f'!$H$7:$H$100,$A252,'24f'!$I$7:$I$100,1)+SUMIFS('24g'!$N$7:$N$100,'24g'!$H$7:$H$100,$A252,'24g'!$I$7:$I$100,1)+SUMIFS('24h'!$N$7:$N$100,'24h'!$H$7:$H$100,$A252,'24h'!$I$7:$I$100,1)+SUMIFS('24i'!$N$7:$N$100,'24i'!$H$7:$H$100,$A252,'24i'!$I$7:$I$100,1)+SUMIFS('25'!$N$7:$N$100,'25'!$H$7:$H$100,$A252,'25'!$I$7:$I$100,1)+SUMIFS('26'!$N$7:$N$100,'26'!$H$7:$H$100,$A252,'26'!$I$7:$I$100,1)+SUMIFS('26a'!$N$7:$N$100,'26a'!$H$7:$H$100,$A252,'26a'!$I$7:$I$100,1)+SUMIFS('27'!$N$7:$N$100,'27'!$H$7:$H$100,$A252,'27'!$I$7:$I$100,1)+SUMIFS('27a'!$N$7:$N$100,'27a'!$H$7:$H$100,$A252,'27a'!$I$7:$I$100,1)+SUMIFS('28'!$N$7:$N$100,'28'!$H$7:$H$100,$A252,'28'!$I$7:$I$100,1)+SUMIFS('29'!$N$7:$N$100,'29'!$H$7:$H$100,$A252,'29'!$I$7:$I$100,1)</f>
        <v>0</v>
      </c>
      <c r="D252" s="1315">
        <f>SUMIFS('12'!$N$7:$N$100,'12'!$H$7:$H$100,$A252,'12'!$I$7:$I$100,2)+SUMIFS('13'!$N$7:$N$100,'13'!$H$7:$H$100,$A252,'13'!$I$7:$I$100,2)+SUMIFS('14'!$N$7:$N$100,'14'!$H$7:$H$100,$A252,'14'!$I$7:$I$100,2)+SUMIFS('15'!$N$7:$N$100,'15'!$H$7:$H$100,$A252,'15'!$I$7:$I$100,2)+SUMIFS('15a'!$N$7:$N$100,'15a'!$H$7:$H$100,$A252,'15a'!$I$7:$I$100,2)+SUMIFS('15b'!$N$7:$N$100,'15b'!$H$7:$H$100,$A252,'15b'!$I$7:$I$100,2)+SUMIFS('15c'!$N$7:$N$100,'15c'!$H$7:$H$100,$A252,'15c'!$I$7:$I$100,2)+SUMIFS('15d'!$N$7:$N$100,'15d'!$H$7:$H$100,$A252,'15d'!$I$7:$I$100,2)+SUMIFS('15e'!$N$7:$N$100,'15e'!$H$7:$H$100,$A252,'15e'!$I$7:$I$100,2)+SUMIFS('15f'!$N$7:$N$100,'15f'!$H$7:$H$100,$A252,'15f'!$I$7:$I$100,2)+SUMIFS('15g'!$N$7:$N$100,'15g'!$H$7:$H$100,$A252,'15g'!$I$7:$I$100,2)+SUMIFS('15h'!$N$7:$N$100,'15h'!$H$7:$H$100,$A252,'15h'!$I$7:$I$100,2)+SUMIFS('15i'!$N$7:$N$100,'15i'!$H$7:$H$100,$A252,'15i'!$I$7:$I$100,2)+SUMIFS('15j'!$N$7:$N$100,'15j'!$H$7:$H$100,$A252,'15j'!$I$7:$I$100,2)+SUMIFS('15k'!$N$7:$N$100,'15k'!$H$7:$H$100,$A252,'15k'!$I$7:$I$100,2)+SUMIFS('15l'!$N$7:$N$100,'15l'!$H$7:$H$100,$A252,'15l'!$I$7:$I$100,2)+SUMIFS('15m'!$N$7:$N$100,'15m'!$H$7:$H$100,$A252,'15m'!$I$7:$I$100,2)+SUMIFS('15n'!$N$7:$N$100,'15n'!$H$7:$H$100,$A252,'15n'!$I$7:$I$100,2)+SUMIFS('16'!$N$7:$N$100,'16'!$H$7:$H$100,$A252,'16'!$I$7:$I$100,2)+SUMIFS('16a'!$N$7:$N$100,'16a'!$H$7:$H$100,$A252,'16a'!$I$7:$I$100,2)+SUMIFS('17'!$N$7:$N$100,'17'!$H$7:$H$100,$A252,'17'!$I$7:$I$100,2)+SUMIFS('17a'!$N$7:$N$100,'17a'!$H$7:$H$100,$A252,'17a'!$I$7:$I$100,2)+SUMIFS('18'!$N$7:$N$100,'18'!$H$7:$H$100,$A252,'18'!$I$7:$I$100,2)+SUMIFS('18a'!$N$7:$N$100,'18a'!$H$7:$H$100,$A252,'18a'!$I$7:$I$100,2)
+SUMIFS('19'!$N$7:$N$100,'19'!$H$7:$H$100,$A252,'19'!$I$7:$I$100,2)+SUMIFS('20'!$N$7:$N$100,'20'!$H$7:$H$100,$A252,'20'!$I$7:$I$100,2)+SUMIFS('20a'!$N$7:$N$100,'20a'!$H$7:$H$100,$A252,'20a'!$I$7:$I$100,2)+SUMIFS('21'!$N$7:$N$100,'21'!$H$7:$H$100,$A252,'21'!$I$7:$I$100,2)+SUMIFS('22'!$N$7:$N$100,'22'!$H$7:$H$100,$A252,'22'!$I$7:$I$100,2)+SUMIFS('22a'!$N$7:$N$100,'22a'!$H$7:$H$100,$A252,'22a'!$I$7:$I$100,2)+SUMIFS('22b'!$N$7:$N$100,'22b'!$H$7:$H$100,$A252,'22b'!$I$7:$I$100,2)+SUMIFS('23'!$N$7:$N$100,'23'!$H$7:$H$100,$A252,'23'!$I$7:$I$100,2)+SUMIFS('24'!$N$7:$N$100,'24'!$H$7:$H$100,$A252,'24'!$I$7:$I$100,2)+SUMIFS('24a'!$N$7:$N$100,'24a'!$H$7:$H$100,$A252,'24a'!$I$7:$I$100,2)+SUMIFS('24b'!$N$7:$N$100,'24b'!$H$7:$H$100,$A252,'24b'!$I$7:$I$100,2)+SUMIFS('24c'!$N$7:$N$100,'24c'!$H$7:$H$100,$A252,'24c'!$I$7:$I$100,2)+SUMIFS('24d'!$N$7:$N$100,'24d'!$H$7:$H$100,$A252,'24d'!$I$7:$I$100,2)+SUMIFS('24e'!$N$7:$N$100,'24e'!$H$7:$H$100,$A252,'24e'!$I$7:$I$100,2)+SUMIFS('24f'!$N$7:$N$100,'24f'!$H$7:$H$100,$A252,'24f'!$I$7:$I$100,2)+SUMIFS('24g'!$N$7:$N$100,'24g'!$H$7:$H$100,$A252,'24g'!$I$7:$I$100,2)+SUMIFS('24h'!$N$7:$N$100,'24h'!$H$7:$H$100,$A252,'24h'!$I$7:$I$100,2)+SUMIFS('24i'!$N$7:$N$100,'24i'!$H$7:$H$100,$A252,'24i'!$I$7:$I$100,2)+SUMIFS('25'!$N$7:$N$100,'25'!$H$7:$H$100,$A252,'25'!$I$7:$I$100,2)+SUMIFS('26'!$N$7:$N$100,'26'!$H$7:$H$100,$A252,'26'!$I$7:$I$100,2)+SUMIFS('26a'!$N$7:$N$100,'26a'!$H$7:$H$100,$A252,'26a'!$I$7:$I$100,2)+SUMIFS('27'!$N$7:$N$100,'27'!$H$7:$H$100,$A252,'27'!$I$7:$I$100,2)+SUMIFS('27a'!$N$7:$N$100,'27a'!$H$7:$H$100,$A252,'27a'!$I$7:$I$100,2)+SUMIFS('28'!$N$7:$N$100,'28'!$H$7:$H$100,$A252,'28'!$I$7:$I$100,2)+SUMIFS('29'!$N$7:$N$100,'29'!$H$7:$H$100,$A252,'29'!$I$7:$I$100,2)</f>
        <v>17263.599999999999</v>
      </c>
      <c r="E252" s="1315">
        <f>SUMIFS('12'!$N$7:$N$100,'12'!$H$7:$H$100,$A252,'12'!$I$7:$I$100,"")+SUMIFS('13'!$N$7:$N$100,'13'!$H$7:$H$100,$A252,'13'!$I$7:$I$100,"")+SUMIFS('14'!$N$7:$N$100,'14'!$H$7:$H$100,$A252,'14'!$I$7:$I$100,"")+SUMIFS('15'!$N$7:$N$100,'15'!$H$7:$H$100,$A252,'15'!$I$7:$I$100,"")+SUMIFS('15a'!$N$7:$N$100,'15a'!$H$7:$H$100,$A252,'15a'!$I$7:$I$100,"")+SUMIFS('15b'!$N$7:$N$100,'15b'!$H$7:$H$100,$A252,'15b'!$I$7:$I$100,"")+SUMIFS('15c'!$N$7:$N$100,'15c'!$H$7:$H$100,$A252,'15c'!$I$7:$I$100,"")+SUMIFS('15d'!$N$7:$N$100,'15d'!$H$7:$H$100,$A252,'15d'!$I$7:$I$100,"")+SUMIFS('15e'!$N$7:$N$100,'15e'!$H$7:$H$100,$A252,'15e'!$I$7:$I$100,"")+SUMIFS('15f'!$N$7:$N$100,'15f'!$H$7:$H$100,$A252,'15f'!$I$7:$I$100,"")+SUMIFS('15g'!$N$7:$N$100,'15g'!$H$7:$H$100,$A252,'15g'!$I$7:$I$100,"")+SUMIFS('15h'!$N$7:$N$100,'15h'!$H$7:$H$100,$A252,'15h'!$I$7:$I$100,"")+SUMIFS('15i'!$N$7:$N$100,'15i'!$H$7:$H$100,$A252,'15i'!$I$7:$I$100,"")+SUMIFS('15j'!$N$7:$N$100,'15j'!$H$7:$H$100,$A252,'15j'!$I$7:$I$100,"")+SUMIFS('15k'!$N$7:$N$100,'15k'!$H$7:$H$100,$A252,'15k'!$I$7:$I$100,"")+SUMIFS('15l'!$N$7:$N$100,'15l'!$H$7:$H$100,$A252,'15l'!$I$7:$I$100,"")+SUMIFS('15m'!$N$7:$N$100,'15m'!$H$7:$H$100,$A252,'15m'!$I$7:$I$100,"")+SUMIFS('15n'!$N$7:$N$100,'15n'!$H$7:$H$100,$A252,'15n'!$I$7:$I$100,"")+SUMIFS('16'!$N$7:$N$100,'16'!$H$7:$H$100,$A252,'16'!$I$7:$I$100,"")+SUMIFS('16a'!$N$7:$N$100,'16a'!$H$7:$H$100,$A252,'16a'!$I$7:$I$100,"")+SUMIFS('17'!$N$7:$N$100,'17'!$H$7:$H$100,$A252,'17'!$I$7:$I$100,"")+SUMIFS('17a'!$N$7:$N$100,'17a'!$H$7:$H$100,$A252,'17a'!$I$7:$I$100,"")+SUMIFS('18'!$N$7:$N$100,'18'!$H$7:$H$100,$A252,'18'!$I$7:$I$100,"")+SUMIFS('18a'!$N$7:$N$100,'18a'!$H$7:$H$100,$A252,'18a'!$I$7:$I$100,"")
+SUMIFS('19'!$N$7:$N$100,'19'!$H$7:$H$100,$A252,'19'!$I$7:$I$100,"")+SUMIFS('20'!$N$7:$N$100,'20'!$H$7:$H$100,$A252,'20'!$I$7:$I$100,"")+SUMIFS('20a'!$N$7:$N$100,'20a'!$H$7:$H$100,$A252,'20a'!$I$7:$I$100,"")+SUMIFS('21'!$N$7:$N$100,'21'!$H$7:$H$100,$A252,'21'!$I$7:$I$100,"")+SUMIFS('22'!$N$7:$N$100,'22'!$H$7:$H$100,$A252,'22'!$I$7:$I$100,"")+SUMIFS('22a'!$N$7:$N$100,'22a'!$H$7:$H$100,$A252,'22a'!$I$7:$I$100,"")+SUMIFS('22b'!$N$7:$N$100,'22b'!$H$7:$H$100,$A252,'22b'!$I$7:$I$100,"")+SUMIFS('23'!$N$7:$N$100,'23'!$H$7:$H$100,$A252,'23'!$I$7:$I$100,"")+SUMIFS('24'!$N$7:$N$100,'24'!$H$7:$H$100,$A252,'24'!$I$7:$I$100,"")+SUMIFS('24a'!$N$7:$N$100,'24a'!$H$7:$H$100,$A252,'24a'!$I$7:$I$100,"")+SUMIFS('24b'!$N$7:$N$100,'24b'!$H$7:$H$100,$A252,'24b'!$I$7:$I$100,"")+SUMIFS('24c'!$N$7:$N$100,'24c'!$H$7:$H$100,$A252,'24c'!$I$7:$I$100,"")+SUMIFS('24d'!$N$7:$N$100,'24d'!$H$7:$H$100,$A252,'24d'!$I$7:$I$100,"")+SUMIFS('24e'!$N$7:$N$100,'24e'!$H$7:$H$100,$A252,'24e'!$I$7:$I$100,"")+SUMIFS('24f'!$N$7:$N$100,'24f'!$H$7:$H$100,$A252,'24f'!$I$7:$I$100,"")+SUMIFS('24g'!$N$7:$N$100,'24g'!$H$7:$H$100,$A252,'24g'!$I$7:$I$100,"")+SUMIFS('24h'!$N$7:$N$100,'24h'!$H$7:$H$100,$A252,'24h'!$I$7:$I$100,"")+SUMIFS('24i'!$N$7:$N$100,'24i'!$H$7:$H$100,$A252,'24i'!$I$7:$I$100,"")+SUMIFS('25'!$N$7:$N$100,'25'!$H$7:$H$100,$A252,'25'!$I$7:$I$100,"")+SUMIFS('26'!$N$7:$N$100,'26'!$H$7:$H$100,$A252,'26'!$I$7:$I$100,"")+SUMIFS('26a'!$N$7:$N$100,'26a'!$H$7:$H$100,$A252,'26a'!$I$7:$I$100,"")+SUMIFS('27'!$N$7:$N$100,'27'!$H$7:$H$100,$A252,'27'!$I$7:$I$100,"")+SUMIFS('27a'!$N$7:$N$100,'27a'!$H$7:$H$100,$A252,'27a'!$I$7:$I$100,"")+SUMIFS('28'!$N$7:$N$100,'28'!$H$7:$H$100,$A252,'28'!$I$7:$I$100,"")+SUMIFS('29'!$N$7:$N$100,'29'!$H$7:$H$100,$A252,'29'!$I$7:$I$100,"")</f>
        <v>0</v>
      </c>
      <c r="F252" s="1296">
        <f>SUM(C252:E252)</f>
        <v>17263.599999999999</v>
      </c>
      <c r="G252" s="1295">
        <f>SUMIFS('12'!$J$7:$J$100,'12'!$H$7:$H$100,$A252,'12'!$I$7:$I$100,1)+SUMIFS('13'!$J$7:$J$100,'13'!$H$7:$H$100,$A252,'13'!$I$7:$I$100,1)+SUMIFS('14'!$J$7:$J$100,'14'!$H$7:$H$100,$A252,'14'!$I$7:$I$100,1)+SUMIFS('15'!$J$7:$J$100,'15'!$H$7:$H$100,$A252,'15'!$I$7:$I$100,1)+SUMIFS('15a'!$J$7:$J$100,'15a'!$H$7:$H$100,$A252,'15a'!$I$7:$I$100,1)+SUMIFS('15b'!$J$7:$J$100,'15b'!$H$7:$H$100,$A252,'15b'!$I$7:$I$100,1)+SUMIFS('15c'!$J$7:$J$100,'15c'!$H$7:$H$100,$A252,'15c'!$I$7:$I$100,1)+SUMIFS('15d'!$J$7:$J$100,'15d'!$H$7:$H$100,$A252,'15d'!$I$7:$I$100,1)+SUMIFS('15e'!$J$7:$J$100,'15e'!$H$7:$H$100,$A252,'15e'!$I$7:$I$100,1)+SUMIFS('15f'!$J$7:$J$100,'15f'!$H$7:$H$100,$A252,'15f'!$I$7:$I$100,1)+SUMIFS('15g'!$J$7:$J$100,'15g'!$H$7:$H$100,$A252,'15g'!$I$7:$I$100,1)+SUMIFS('15h'!$J$7:$J$100,'15h'!$H$7:$H$100,$A252,'15h'!$I$7:$I$100,1)+SUMIFS('15i'!$J$7:$J$100,'15i'!$H$7:$H$100,$A252,'15i'!$I$7:$I$100,1)+SUMIFS('15j'!$J$7:$J$100,'15j'!$H$7:$H$100,$A252,'15j'!$I$7:$I$100,1)+SUMIFS('15k'!$J$7:$J$100,'15k'!$H$7:$H$100,$A252,'15k'!$I$7:$I$100,1)+SUMIFS('15l'!$J$7:$J$100,'15l'!$H$7:$H$100,$A252,'15l'!$I$7:$I$100,1)+SUMIFS('15m'!$J$7:$J$100,'15m'!$H$7:$H$100,$A252,'15m'!$I$7:$I$100,1)+SUMIFS('15n'!$J$7:$J$100,'15n'!$H$7:$H$100,$A252,'15n'!$I$7:$I$100,1)+SUMIFS('16'!$J$7:$J$100,'16'!$H$7:$H$100,$A252,'16'!$I$7:$I$100,1)+SUMIFS('16a'!$J$7:$J$100,'16a'!$H$7:$H$100,$A252,'16a'!$I$7:$I$100,1)+SUMIFS('17'!$J$7:$J$100,'17'!$H$7:$H$100,$A252,'17'!$I$7:$I$100,1)+SUMIFS('17a'!$J$7:$J$100,'17a'!$H$7:$H$100,$A252,'17a'!$I$7:$I$100,1)+SUMIFS('18'!$J$7:$J$100,'18'!$H$7:$H$100,$A252,'18'!$I$7:$I$100,1)+SUMIFS('18a'!$J$7:$J$100,'18a'!$H$7:$H$100,$A252,'18a'!$I$7:$I$100,1)
+SUMIFS('19'!$J$7:$J$100,'19'!$H$7:$H$100,$A252,'19'!$I$7:$I$100,1)+SUMIFS('20'!$J$7:$J$100,'20'!$H$7:$H$100,$A252,'20'!$I$7:$I$100,1)+SUMIFS('20a'!$J$7:$J$100,'20a'!$H$7:$H$100,$A252,'20a'!$I$7:$I$100,1)+SUMIFS('21'!$J$7:$J$100,'21'!$H$7:$H$100,$A252,'21'!$I$7:$I$100,1)+SUMIFS('22'!$J$7:$J$100,'22'!$H$7:$H$100,$A252,'22'!$I$7:$I$100,1)+SUMIFS('22a'!$J$7:$J$100,'22a'!$H$7:$H$100,$A252,'22a'!$I$7:$I$100,1)+SUMIFS('22b'!$J$7:$J$100,'22b'!$H$7:$H$100,$A252,'22b'!$I$7:$I$100,1)+SUMIFS('23'!$J$7:$J$100,'23'!$H$7:$H$100,$A252,'23'!$I$7:$I$100,1)+SUMIFS('24'!$J$7:$J$100,'24'!$H$7:$H$100,$A252,'24'!$I$7:$I$100,1)+SUMIFS('24a'!$J$7:$J$100,'24a'!$H$7:$H$100,$A252,'24a'!$I$7:$I$100,1)+SUMIFS('24b'!$J$7:$J$100,'24b'!$H$7:$H$100,$A252,'24b'!$I$7:$I$100,1)+SUMIFS('24c'!$J$7:$J$100,'24c'!$H$7:$H$100,$A252,'24c'!$I$7:$I$100,1)+SUMIFS('24d'!$J$7:$J$100,'24d'!$H$7:$H$100,$A252,'24d'!$I$7:$I$100,1)+SUMIFS('24e'!$J$7:$J$100,'24e'!$H$7:$H$100,$A252,'24e'!$I$7:$I$100,1)+SUMIFS('24f'!$J$7:$J$100,'24f'!$H$7:$H$100,$A252,'24f'!$I$7:$I$100,1)+SUMIFS('24g'!$J$7:$J$100,'24g'!$H$7:$H$100,$A252,'24g'!$I$7:$I$100,1)+SUMIFS('24h'!$J$7:$J$100,'24h'!$H$7:$H$100,$A252,'24h'!$I$7:$I$100,1)+SUMIFS('24i'!$J$7:$J$100,'24i'!$H$7:$H$100,$A252,'24i'!$I$7:$I$100,1)+SUMIFS('25'!$J$7:$J$100,'25'!$H$7:$H$100,$A252,'25'!$I$7:$I$100,1)+SUMIFS('26'!$J$7:$J$100,'26'!$H$7:$H$100,$A252,'26'!$I$7:$I$100,1)+SUMIFS('26a'!$J$7:$J$100,'26a'!$H$7:$H$100,$A252,'26a'!$I$7:$I$100,1)+SUMIFS('27'!$J$7:$J$100,'27'!$H$7:$H$100,$A252,'27'!$I$7:$I$100,1)+SUMIFS('27a'!$J$7:$J$100,'27a'!$H$7:$H$100,$A252,'27a'!$I$7:$I$100,1)+SUMIFS('28'!$J$7:$J$100,'28'!$H$7:$H$100,$A252,'28'!$I$7:$I$100,1)+SUMIFS('29'!$J$7:$J$100,'29'!$H$7:$H$100,$A252,'29'!$I$7:$I$100,1)</f>
        <v>100</v>
      </c>
      <c r="H252" s="1315">
        <f>SUMIFS('12'!$J$7:$J$100,'12'!$H$7:$H$100,$A252,'12'!$I$7:$I$100,2)+SUMIFS('13'!$J$7:$J$100,'13'!$H$7:$H$100,$A252,'13'!$I$7:$I$100,2)+SUMIFS('14'!$J$7:$J$100,'14'!$H$7:$H$100,$A252,'14'!$I$7:$I$100,2)+SUMIFS('15'!$J$7:$J$100,'15'!$H$7:$H$100,$A252,'15'!$I$7:$I$100,2)+SUMIFS('15a'!$J$7:$J$100,'15a'!$H$7:$H$100,$A252,'15a'!$I$7:$I$100,2)+SUMIFS('15b'!$J$7:$J$100,'15b'!$H$7:$H$100,$A252,'15b'!$I$7:$I$100,2)+SUMIFS('15c'!$J$7:$J$100,'15c'!$H$7:$H$100,$A252,'15c'!$I$7:$I$100,2)+SUMIFS('15d'!$J$7:$J$100,'15d'!$H$7:$H$100,$A252,'15d'!$I$7:$I$100,2)+SUMIFS('15e'!$J$7:$J$100,'15e'!$H$7:$H$100,$A252,'15e'!$I$7:$I$100,2)+SUMIFS('15f'!$J$7:$J$100,'15f'!$H$7:$H$100,$A252,'15f'!$I$7:$I$100,2)+SUMIFS('15g'!$J$7:$J$100,'15g'!$H$7:$H$100,$A252,'15g'!$I$7:$I$100,2)+SUMIFS('15h'!$J$7:$J$100,'15h'!$H$7:$H$100,$A252,'15h'!$I$7:$I$100,2)+SUMIFS('15i'!$J$7:$J$100,'15i'!$H$7:$H$100,$A252,'15i'!$I$7:$I$100,2)+SUMIFS('15j'!$J$7:$J$100,'15j'!$H$7:$H$100,$A252,'15j'!$I$7:$I$100,2)+SUMIFS('15k'!$J$7:$J$100,'15k'!$H$7:$H$100,$A252,'15k'!$I$7:$I$100,2)+SUMIFS('15l'!$J$7:$J$100,'15l'!$H$7:$H$100,$A252,'15l'!$I$7:$I$100,2)+SUMIFS('15m'!$J$7:$J$100,'15m'!$H$7:$H$100,$A252,'15m'!$I$7:$I$100,2)+SUMIFS('15n'!$J$7:$J$100,'15n'!$H$7:$H$100,$A252,'15n'!$I$7:$I$100,2)+SUMIFS('16'!$J$7:$J$100,'16'!$H$7:$H$100,$A252,'16'!$I$7:$I$100,2)+SUMIFS('16a'!$J$7:$J$100,'16a'!$H$7:$H$100,$A252,'16a'!$I$7:$I$100,2)+SUMIFS('17'!$J$7:$J$100,'17'!$H$7:$H$100,$A252,'17'!$I$7:$I$100,2)+SUMIFS('17a'!$J$7:$J$100,'17a'!$H$7:$H$100,$A252,'17a'!$I$7:$I$100,2)+SUMIFS('18'!$J$7:$J$100,'18'!$H$7:$H$100,$A252,'18'!$I$7:$I$100,2)+SUMIFS('18a'!$J$7:$J$100,'18a'!$H$7:$H$100,$A252,'18a'!$I$7:$I$100,2)
+SUMIFS('19'!$J$7:$J$100,'19'!$H$7:$H$100,$A252,'19'!$I$7:$I$100,2)+SUMIFS('20'!$J$7:$J$100,'20'!$H$7:$H$100,$A252,'20'!$I$7:$I$100,2)+SUMIFS('20a'!$J$7:$J$100,'20a'!$H$7:$H$100,$A252,'20a'!$I$7:$I$100,2)+SUMIFS('21'!$J$7:$J$100,'21'!$H$7:$H$100,$A252,'21'!$I$7:$I$100,2)+SUMIFS('22'!$J$7:$J$100,'22'!$H$7:$H$100,$A252,'22'!$I$7:$I$100,2)+SUMIFS('22a'!$J$7:$J$100,'22a'!$H$7:$H$100,$A252,'22a'!$I$7:$I$100,2)+SUMIFS('22b'!$J$7:$J$100,'22b'!$H$7:$H$100,$A252,'22b'!$I$7:$I$100,2)+SUMIFS('23'!$J$7:$J$100,'23'!$H$7:$H$100,$A252,'23'!$I$7:$I$100,2)+SUMIFS('24'!$J$7:$J$100,'24'!$H$7:$H$100,$A252,'24'!$I$7:$I$100,2)+SUMIFS('24a'!$J$7:$J$100,'24a'!$H$7:$H$100,$A252,'24a'!$I$7:$I$100,2)+SUMIFS('24b'!$J$7:$J$100,'24b'!$H$7:$H$100,$A252,'24b'!$I$7:$I$100,2)+SUMIFS('24c'!$J$7:$J$100,'24c'!$H$7:$H$100,$A252,'24c'!$I$7:$I$100,2)+SUMIFS('24d'!$J$7:$J$100,'24d'!$H$7:$H$100,$A252,'24d'!$I$7:$I$100,2)+SUMIFS('24e'!$J$7:$J$100,'24e'!$H$7:$H$100,$A252,'24e'!$I$7:$I$100,2)+SUMIFS('24f'!$J$7:$J$100,'24f'!$H$7:$H$100,$A252,'24f'!$I$7:$I$100,2)+SUMIFS('24g'!$J$7:$J$100,'24g'!$H$7:$H$100,$A252,'24g'!$I$7:$I$100,2)+SUMIFS('24h'!$J$7:$J$100,'24h'!$H$7:$H$100,$A252,'24h'!$I$7:$I$100,2)+SUMIFS('24i'!$J$7:$J$100,'24i'!$H$7:$H$100,$A252,'24i'!$I$7:$I$100,2)+SUMIFS('25'!$J$7:$J$100,'25'!$H$7:$H$100,$A252,'25'!$I$7:$I$100,2)+SUMIFS('26'!$J$7:$J$100,'26'!$H$7:$H$100,$A252,'26'!$I$7:$I$100,2)+SUMIFS('26a'!$J$7:$J$100,'26a'!$H$7:$H$100,$A252,'26a'!$I$7:$I$100,2)+SUMIFS('27'!$J$7:$J$100,'27'!$H$7:$H$100,$A252,'27'!$I$7:$I$100,2)+SUMIFS('27a'!$J$7:$J$100,'27a'!$H$7:$H$100,$A252,'27a'!$I$7:$I$100,2)+SUMIFS('28'!$J$7:$J$100,'28'!$H$7:$H$100,$A252,'28'!$I$7:$I$100,2)+SUMIFS('29'!$J$7:$J$100,'29'!$H$7:$H$100,$A252,'29'!$I$7:$I$100,2)</f>
        <v>19016.55</v>
      </c>
      <c r="I252" s="1315">
        <f>SUMIFS('12'!$J$7:$J$100,'12'!$H$7:$H$100,$A252,'12'!$I$7:$I$100,"")+SUMIFS('13'!$J$7:$J$100,'13'!$H$7:$H$100,$A252,'13'!$I$7:$I$100,"")+SUMIFS('14'!$J$7:$J$100,'14'!$H$7:$H$100,$A252,'14'!$I$7:$I$100,"")+SUMIFS('15'!$J$7:$J$100,'15'!$H$7:$H$100,$A252,'15'!$I$7:$I$100,"")+SUMIFS('15a'!$J$7:$J$100,'15a'!$H$7:$H$100,$A252,'15a'!$I$7:$I$100,"")+SUMIFS('15b'!$J$7:$J$100,'15b'!$H$7:$H$100,$A252,'15b'!$I$7:$I$100,"")+SUMIFS('15c'!$J$7:$J$100,'15c'!$H$7:$H$100,$A252,'15c'!$I$7:$I$100,"")+SUMIFS('15d'!$J$7:$J$100,'15d'!$H$7:$H$100,$A252,'15d'!$I$7:$I$100,"")+SUMIFS('15e'!$J$7:$J$100,'15e'!$H$7:$H$100,$A252,'15e'!$I$7:$I$100,"")+SUMIFS('15f'!$J$7:$J$100,'15f'!$H$7:$H$100,$A252,'15f'!$I$7:$I$100,"")+SUMIFS('15g'!$J$7:$J$100,'15g'!$H$7:$H$100,$A252,'15g'!$I$7:$I$100,"")+SUMIFS('15h'!$J$7:$J$100,'15h'!$H$7:$H$100,$A252,'15h'!$I$7:$I$100,"")+SUMIFS('15i'!$J$7:$J$100,'15i'!$H$7:$H$100,$A252,'15i'!$I$7:$I$100,"")+SUMIFS('15j'!$J$7:$J$100,'15j'!$H$7:$H$100,$A252,'15j'!$I$7:$I$100,"")+SUMIFS('15k'!$J$7:$J$100,'15k'!$H$7:$H$100,$A252,'15k'!$I$7:$I$100,"")+SUMIFS('15l'!$J$7:$J$100,'15l'!$H$7:$H$100,$A252,'15l'!$I$7:$I$100,"")+SUMIFS('15m'!$J$7:$J$100,'15m'!$H$7:$H$100,$A252,'15m'!$I$7:$I$100,"")+SUMIFS('15n'!$J$7:$J$100,'15n'!$H$7:$H$100,$A252,'15n'!$I$7:$I$100,"")+SUMIFS('16'!$J$7:$J$100,'16'!$H$7:$H$100,$A252,'16'!$I$7:$I$100,"")+SUMIFS('16a'!$J$7:$J$100,'16a'!$H$7:$H$100,$A252,'16a'!$I$7:$I$100,"")+SUMIFS('17'!$J$7:$J$100,'17'!$H$7:$H$100,$A252,'17'!$I$7:$I$100,"")+SUMIFS('17a'!$J$7:$J$100,'17a'!$H$7:$H$100,$A252,'17a'!$I$7:$I$100,"")+SUMIFS('18'!$J$7:$J$100,'18'!$H$7:$H$100,$A252,'18'!$I$7:$I$100,"")+SUMIFS('18a'!$J$7:$J$100,'18a'!$H$7:$H$100,$A252,'18a'!$I$7:$I$100,"")
+SUMIFS('19'!$J$7:$J$100,'19'!$H$7:$H$100,$A252,'19'!$I$7:$I$100,"")+SUMIFS('20'!$J$7:$J$100,'20'!$H$7:$H$100,$A252,'20'!$I$7:$I$100,"")+SUMIFS('20a'!$J$7:$J$100,'20a'!$H$7:$H$100,$A252,'20a'!$I$7:$I$100,"")+SUMIFS('21'!$J$7:$J$100,'21'!$H$7:$H$100,$A252,'21'!$I$7:$I$100,"")+SUMIFS('22'!$J$7:$J$100,'22'!$H$7:$H$100,$A252,'22'!$I$7:$I$100,"")+SUMIFS('22a'!$J$7:$J$100,'22a'!$H$7:$H$100,$A252,'22a'!$I$7:$I$100,"")+SUMIFS('22b'!$J$7:$J$100,'22b'!$H$7:$H$100,$A252,'22b'!$I$7:$I$100,"")+SUMIFS('23'!$J$7:$J$100,'23'!$H$7:$H$100,$A252,'23'!$I$7:$I$100,"")+SUMIFS('24'!$J$7:$J$100,'24'!$H$7:$H$100,$A252,'24'!$I$7:$I$100,"")+SUMIFS('24a'!$J$7:$J$100,'24a'!$H$7:$H$100,$A252,'24a'!$I$7:$I$100,"")+SUMIFS('24b'!$J$7:$J$100,'24b'!$H$7:$H$100,$A252,'24b'!$I$7:$I$100,"")+SUMIFS('24c'!$J$7:$J$100,'24c'!$H$7:$H$100,$A252,'24c'!$I$7:$I$100,"")+SUMIFS('24d'!$J$7:$J$100,'24d'!$H$7:$H$100,$A252,'24d'!$I$7:$I$100,"")+SUMIFS('24e'!$J$7:$J$100,'24e'!$H$7:$H$100,$A252,'24e'!$I$7:$I$100,"")+SUMIFS('24f'!$J$7:$J$100,'24f'!$H$7:$H$100,$A252,'24f'!$I$7:$I$100,"")+SUMIFS('24g'!$J$7:$J$100,'24g'!$H$7:$H$100,$A252,'24g'!$I$7:$I$100,"")+SUMIFS('24h'!$J$7:$J$100,'24h'!$H$7:$H$100,$A252,'24h'!$I$7:$I$100,"")+SUMIFS('24i'!$J$7:$J$100,'24i'!$H$7:$H$100,$A252,'24i'!$I$7:$I$100,"")+SUMIFS('25'!$J$7:$J$100,'25'!$H$7:$H$100,$A252,'25'!$I$7:$I$100,"")+SUMIFS('26'!$J$7:$J$100,'26'!$H$7:$H$100,$A252,'26'!$I$7:$I$100,"")+SUMIFS('26a'!$J$7:$J$100,'26a'!$H$7:$H$100,$A252,'26a'!$I$7:$I$100,"")+SUMIFS('27'!$J$7:$J$100,'27'!$H$7:$H$100,$A252,'27'!$I$7:$I$100,"")+SUMIFS('27a'!$J$7:$J$100,'27a'!$H$7:$H$100,$A252,'27a'!$I$7:$I$100,"")+SUMIFS('28'!$J$7:$J$100,'28'!$H$7:$H$100,$A252,'28'!$I$7:$I$100,"")+SUMIFS('29'!$J$7:$J$100,'29'!$H$7:$H$100,$A252,'29'!$I$7:$I$100,"")</f>
        <v>0</v>
      </c>
      <c r="J252" s="1296">
        <f>SUM(G252:I252)</f>
        <v>19116.55</v>
      </c>
      <c r="K252"/>
      <c r="L252"/>
      <c r="M252"/>
      <c r="N252"/>
      <c r="O252"/>
      <c r="P252"/>
      <c r="Q252"/>
      <c r="R252"/>
      <c r="S252" s="1307">
        <f t="shared" si="14"/>
        <v>72760.3</v>
      </c>
      <c r="T252"/>
    </row>
    <row r="253" spans="1:20" ht="12.75" customHeight="1" x14ac:dyDescent="0.2">
      <c r="A253"/>
      <c r="B253" t="s">
        <v>5572</v>
      </c>
      <c r="C253" s="1295">
        <f>SUM(C254:C257)</f>
        <v>0</v>
      </c>
      <c r="D253" s="1315">
        <f t="shared" ref="D253:J253" si="23">SUM(D254:D257)</f>
        <v>0</v>
      </c>
      <c r="E253" s="1315">
        <f t="shared" si="23"/>
        <v>0</v>
      </c>
      <c r="F253" s="1296">
        <f t="shared" si="23"/>
        <v>0</v>
      </c>
      <c r="G253" s="1295">
        <f t="shared" si="23"/>
        <v>0</v>
      </c>
      <c r="H253" s="1315">
        <f t="shared" si="23"/>
        <v>2000</v>
      </c>
      <c r="I253" s="1315">
        <f t="shared" si="23"/>
        <v>0</v>
      </c>
      <c r="J253" s="1296">
        <f t="shared" si="23"/>
        <v>2000</v>
      </c>
      <c r="K253"/>
      <c r="L253"/>
      <c r="M253"/>
      <c r="N253"/>
      <c r="O253"/>
      <c r="P253"/>
      <c r="Q253"/>
      <c r="R253"/>
      <c r="S253" s="1307">
        <f t="shared" si="14"/>
        <v>4000</v>
      </c>
      <c r="T253"/>
    </row>
    <row r="254" spans="1:20" ht="12.75" customHeight="1" outlineLevel="1" x14ac:dyDescent="0.2">
      <c r="A254" t="s">
        <v>5169</v>
      </c>
      <c r="B254" t="s">
        <v>5499</v>
      </c>
      <c r="C254" s="1295">
        <f>SUMIFS('12'!$N$7:$N$100,'12'!$H$7:$H$100,$A254,'12'!$I$7:$I$100,1)+SUMIFS('13'!$N$7:$N$100,'13'!$H$7:$H$100,$A254,'13'!$I$7:$I$100,1)+SUMIFS('14'!$N$7:$N$100,'14'!$H$7:$H$100,$A254,'14'!$I$7:$I$100,1)+SUMIFS('15'!$N$7:$N$100,'15'!$H$7:$H$100,$A254,'15'!$I$7:$I$100,1)+SUMIFS('15a'!$N$7:$N$100,'15a'!$H$7:$H$100,$A254,'15a'!$I$7:$I$100,1)+SUMIFS('15b'!$N$7:$N$100,'15b'!$H$7:$H$100,$A254,'15b'!$I$7:$I$100,1)+SUMIFS('15c'!$N$7:$N$100,'15c'!$H$7:$H$100,$A254,'15c'!$I$7:$I$100,1)+SUMIFS('15d'!$N$7:$N$100,'15d'!$H$7:$H$100,$A254,'15d'!$I$7:$I$100,1)+SUMIFS('15e'!$N$7:$N$100,'15e'!$H$7:$H$100,$A254,'15e'!$I$7:$I$100,1)+SUMIFS('15f'!$N$7:$N$100,'15f'!$H$7:$H$100,$A254,'15f'!$I$7:$I$100,1)+SUMIFS('15g'!$N$7:$N$100,'15g'!$H$7:$H$100,$A254,'15g'!$I$7:$I$100,1)+SUMIFS('15h'!$N$7:$N$100,'15h'!$H$7:$H$100,$A254,'15h'!$I$7:$I$100,1)+SUMIFS('15i'!$N$7:$N$100,'15i'!$H$7:$H$100,$A254,'15i'!$I$7:$I$100,1)+SUMIFS('15j'!$N$7:$N$100,'15j'!$H$7:$H$100,$A254,'15j'!$I$7:$I$100,1)+SUMIFS('15k'!$N$7:$N$100,'15k'!$H$7:$H$100,$A254,'15k'!$I$7:$I$100,1)+SUMIFS('15l'!$N$7:$N$100,'15l'!$H$7:$H$100,$A254,'15l'!$I$7:$I$100,1)+SUMIFS('15m'!$N$7:$N$100,'15m'!$H$7:$H$100,$A254,'15m'!$I$7:$I$100,1)+SUMIFS('15n'!$N$7:$N$100,'15n'!$H$7:$H$100,$A254,'15n'!$I$7:$I$100,1)+SUMIFS('16'!$N$7:$N$100,'16'!$H$7:$H$100,$A254,'16'!$I$7:$I$100,1)+SUMIFS('16a'!$N$7:$N$100,'16a'!$H$7:$H$100,$A254,'16a'!$I$7:$I$100,1)+SUMIFS('17'!$N$7:$N$100,'17'!$H$7:$H$100,$A254,'17'!$I$7:$I$100,1)+SUMIFS('17a'!$N$7:$N$100,'17a'!$H$7:$H$100,$A254,'17a'!$I$7:$I$100,1)+SUMIFS('18'!$N$7:$N$100,'18'!$H$7:$H$100,$A254,'18'!$I$7:$I$100,1)+SUMIFS('18a'!$N$7:$N$100,'18a'!$H$7:$H$100,$A254,'18a'!$I$7:$I$100,1)
+SUMIFS('19'!$N$7:$N$100,'19'!$H$7:$H$100,$A254,'19'!$I$7:$I$100,1)+SUMIFS('20'!$N$7:$N$100,'20'!$H$7:$H$100,$A254,'20'!$I$7:$I$100,1)+SUMIFS('20a'!$N$7:$N$100,'20a'!$H$7:$H$100,$A254,'20a'!$I$7:$I$100,1)+SUMIFS('21'!$N$7:$N$100,'21'!$H$7:$H$100,$A254,'21'!$I$7:$I$100,1)+SUMIFS('22'!$N$7:$N$100,'22'!$H$7:$H$100,$A254,'22'!$I$7:$I$100,1)+SUMIFS('22a'!$N$7:$N$100,'22a'!$H$7:$H$100,$A254,'22a'!$I$7:$I$100,1)+SUMIFS('22b'!$N$7:$N$100,'22b'!$H$7:$H$100,$A254,'22b'!$I$7:$I$100,1)+SUMIFS('23'!$N$7:$N$100,'23'!$H$7:$H$100,$A254,'23'!$I$7:$I$100,1)+SUMIFS('24'!$N$7:$N$100,'24'!$H$7:$H$100,$A254,'24'!$I$7:$I$100,1)+SUMIFS('24a'!$N$7:$N$100,'24a'!$H$7:$H$100,$A254,'24a'!$I$7:$I$100,1)+SUMIFS('24b'!$N$7:$N$100,'24b'!$H$7:$H$100,$A254,'24b'!$I$7:$I$100,1)+SUMIFS('24c'!$N$7:$N$100,'24c'!$H$7:$H$100,$A254,'24c'!$I$7:$I$100,1)+SUMIFS('24d'!$N$7:$N$100,'24d'!$H$7:$H$100,$A254,'24d'!$I$7:$I$100,1)+SUMIFS('24e'!$N$7:$N$100,'24e'!$H$7:$H$100,$A254,'24e'!$I$7:$I$100,1)+SUMIFS('24f'!$N$7:$N$100,'24f'!$H$7:$H$100,$A254,'24f'!$I$7:$I$100,1)+SUMIFS('24g'!$N$7:$N$100,'24g'!$H$7:$H$100,$A254,'24g'!$I$7:$I$100,1)+SUMIFS('24h'!$N$7:$N$100,'24h'!$H$7:$H$100,$A254,'24h'!$I$7:$I$100,1)+SUMIFS('24i'!$N$7:$N$100,'24i'!$H$7:$H$100,$A254,'24i'!$I$7:$I$100,1)+SUMIFS('25'!$N$7:$N$100,'25'!$H$7:$H$100,$A254,'25'!$I$7:$I$100,1)+SUMIFS('26'!$N$7:$N$100,'26'!$H$7:$H$100,$A254,'26'!$I$7:$I$100,1)+SUMIFS('26a'!$N$7:$N$100,'26a'!$H$7:$H$100,$A254,'26a'!$I$7:$I$100,1)+SUMIFS('27'!$N$7:$N$100,'27'!$H$7:$H$100,$A254,'27'!$I$7:$I$100,1)+SUMIFS('27a'!$N$7:$N$100,'27a'!$H$7:$H$100,$A254,'27a'!$I$7:$I$100,1)+SUMIFS('28'!$N$7:$N$100,'28'!$H$7:$H$100,$A254,'28'!$I$7:$I$100,1)+SUMIFS('29'!$N$7:$N$100,'29'!$H$7:$H$100,$A254,'29'!$I$7:$I$100,1)</f>
        <v>0</v>
      </c>
      <c r="D254" s="1315">
        <f>SUMIFS('12'!$N$7:$N$100,'12'!$H$7:$H$100,$A254,'12'!$I$7:$I$100,2)+SUMIFS('13'!$N$7:$N$100,'13'!$H$7:$H$100,$A254,'13'!$I$7:$I$100,2)+SUMIFS('14'!$N$7:$N$100,'14'!$H$7:$H$100,$A254,'14'!$I$7:$I$100,2)+SUMIFS('15'!$N$7:$N$100,'15'!$H$7:$H$100,$A254,'15'!$I$7:$I$100,2)+SUMIFS('15a'!$N$7:$N$100,'15a'!$H$7:$H$100,$A254,'15a'!$I$7:$I$100,2)+SUMIFS('15b'!$N$7:$N$100,'15b'!$H$7:$H$100,$A254,'15b'!$I$7:$I$100,2)+SUMIFS('15c'!$N$7:$N$100,'15c'!$H$7:$H$100,$A254,'15c'!$I$7:$I$100,2)+SUMIFS('15d'!$N$7:$N$100,'15d'!$H$7:$H$100,$A254,'15d'!$I$7:$I$100,2)+SUMIFS('15e'!$N$7:$N$100,'15e'!$H$7:$H$100,$A254,'15e'!$I$7:$I$100,2)+SUMIFS('15f'!$N$7:$N$100,'15f'!$H$7:$H$100,$A254,'15f'!$I$7:$I$100,2)+SUMIFS('15g'!$N$7:$N$100,'15g'!$H$7:$H$100,$A254,'15g'!$I$7:$I$100,2)+SUMIFS('15h'!$N$7:$N$100,'15h'!$H$7:$H$100,$A254,'15h'!$I$7:$I$100,2)+SUMIFS('15i'!$N$7:$N$100,'15i'!$H$7:$H$100,$A254,'15i'!$I$7:$I$100,2)+SUMIFS('15j'!$N$7:$N$100,'15j'!$H$7:$H$100,$A254,'15j'!$I$7:$I$100,2)+SUMIFS('15k'!$N$7:$N$100,'15k'!$H$7:$H$100,$A254,'15k'!$I$7:$I$100,2)+SUMIFS('15l'!$N$7:$N$100,'15l'!$H$7:$H$100,$A254,'15l'!$I$7:$I$100,2)+SUMIFS('15m'!$N$7:$N$100,'15m'!$H$7:$H$100,$A254,'15m'!$I$7:$I$100,2)+SUMIFS('15n'!$N$7:$N$100,'15n'!$H$7:$H$100,$A254,'15n'!$I$7:$I$100,2)+SUMIFS('16'!$N$7:$N$100,'16'!$H$7:$H$100,$A254,'16'!$I$7:$I$100,2)+SUMIFS('16a'!$N$7:$N$100,'16a'!$H$7:$H$100,$A254,'16a'!$I$7:$I$100,2)+SUMIFS('17'!$N$7:$N$100,'17'!$H$7:$H$100,$A254,'17'!$I$7:$I$100,2)+SUMIFS('17a'!$N$7:$N$100,'17a'!$H$7:$H$100,$A254,'17a'!$I$7:$I$100,2)+SUMIFS('18'!$N$7:$N$100,'18'!$H$7:$H$100,$A254,'18'!$I$7:$I$100,2)+SUMIFS('18a'!$N$7:$N$100,'18a'!$H$7:$H$100,$A254,'18a'!$I$7:$I$100,2)
+SUMIFS('19'!$N$7:$N$100,'19'!$H$7:$H$100,$A254,'19'!$I$7:$I$100,2)+SUMIFS('20'!$N$7:$N$100,'20'!$H$7:$H$100,$A254,'20'!$I$7:$I$100,2)+SUMIFS('20a'!$N$7:$N$100,'20a'!$H$7:$H$100,$A254,'20a'!$I$7:$I$100,2)+SUMIFS('21'!$N$7:$N$100,'21'!$H$7:$H$100,$A254,'21'!$I$7:$I$100,2)+SUMIFS('22'!$N$7:$N$100,'22'!$H$7:$H$100,$A254,'22'!$I$7:$I$100,2)+SUMIFS('22a'!$N$7:$N$100,'22a'!$H$7:$H$100,$A254,'22a'!$I$7:$I$100,2)+SUMIFS('22b'!$N$7:$N$100,'22b'!$H$7:$H$100,$A254,'22b'!$I$7:$I$100,2)+SUMIFS('23'!$N$7:$N$100,'23'!$H$7:$H$100,$A254,'23'!$I$7:$I$100,2)+SUMIFS('24'!$N$7:$N$100,'24'!$H$7:$H$100,$A254,'24'!$I$7:$I$100,2)+SUMIFS('24a'!$N$7:$N$100,'24a'!$H$7:$H$100,$A254,'24a'!$I$7:$I$100,2)+SUMIFS('24b'!$N$7:$N$100,'24b'!$H$7:$H$100,$A254,'24b'!$I$7:$I$100,2)+SUMIFS('24c'!$N$7:$N$100,'24c'!$H$7:$H$100,$A254,'24c'!$I$7:$I$100,2)+SUMIFS('24d'!$N$7:$N$100,'24d'!$H$7:$H$100,$A254,'24d'!$I$7:$I$100,2)+SUMIFS('24e'!$N$7:$N$100,'24e'!$H$7:$H$100,$A254,'24e'!$I$7:$I$100,2)+SUMIFS('24f'!$N$7:$N$100,'24f'!$H$7:$H$100,$A254,'24f'!$I$7:$I$100,2)+SUMIFS('24g'!$N$7:$N$100,'24g'!$H$7:$H$100,$A254,'24g'!$I$7:$I$100,2)+SUMIFS('24h'!$N$7:$N$100,'24h'!$H$7:$H$100,$A254,'24h'!$I$7:$I$100,2)+SUMIFS('24i'!$N$7:$N$100,'24i'!$H$7:$H$100,$A254,'24i'!$I$7:$I$100,2)+SUMIFS('25'!$N$7:$N$100,'25'!$H$7:$H$100,$A254,'25'!$I$7:$I$100,2)+SUMIFS('26'!$N$7:$N$100,'26'!$H$7:$H$100,$A254,'26'!$I$7:$I$100,2)+SUMIFS('26a'!$N$7:$N$100,'26a'!$H$7:$H$100,$A254,'26a'!$I$7:$I$100,2)+SUMIFS('27'!$N$7:$N$100,'27'!$H$7:$H$100,$A254,'27'!$I$7:$I$100,2)+SUMIFS('27a'!$N$7:$N$100,'27a'!$H$7:$H$100,$A254,'27a'!$I$7:$I$100,2)+SUMIFS('28'!$N$7:$N$100,'28'!$H$7:$H$100,$A254,'28'!$I$7:$I$100,2)+SUMIFS('29'!$N$7:$N$100,'29'!$H$7:$H$100,$A254,'29'!$I$7:$I$100,2)</f>
        <v>0</v>
      </c>
      <c r="E254" s="1315">
        <f>SUMIFS('12'!$N$7:$N$100,'12'!$H$7:$H$100,$A254,'12'!$I$7:$I$100,"")+SUMIFS('13'!$N$7:$N$100,'13'!$H$7:$H$100,$A254,'13'!$I$7:$I$100,"")+SUMIFS('14'!$N$7:$N$100,'14'!$H$7:$H$100,$A254,'14'!$I$7:$I$100,"")+SUMIFS('15'!$N$7:$N$100,'15'!$H$7:$H$100,$A254,'15'!$I$7:$I$100,"")+SUMIFS('15a'!$N$7:$N$100,'15a'!$H$7:$H$100,$A254,'15a'!$I$7:$I$100,"")+SUMIFS('15b'!$N$7:$N$100,'15b'!$H$7:$H$100,$A254,'15b'!$I$7:$I$100,"")+SUMIFS('15c'!$N$7:$N$100,'15c'!$H$7:$H$100,$A254,'15c'!$I$7:$I$100,"")+SUMIFS('15d'!$N$7:$N$100,'15d'!$H$7:$H$100,$A254,'15d'!$I$7:$I$100,"")+SUMIFS('15e'!$N$7:$N$100,'15e'!$H$7:$H$100,$A254,'15e'!$I$7:$I$100,"")+SUMIFS('15f'!$N$7:$N$100,'15f'!$H$7:$H$100,$A254,'15f'!$I$7:$I$100,"")+SUMIFS('15g'!$N$7:$N$100,'15g'!$H$7:$H$100,$A254,'15g'!$I$7:$I$100,"")+SUMIFS('15h'!$N$7:$N$100,'15h'!$H$7:$H$100,$A254,'15h'!$I$7:$I$100,"")+SUMIFS('15i'!$N$7:$N$100,'15i'!$H$7:$H$100,$A254,'15i'!$I$7:$I$100,"")+SUMIFS('15j'!$N$7:$N$100,'15j'!$H$7:$H$100,$A254,'15j'!$I$7:$I$100,"")+SUMIFS('15k'!$N$7:$N$100,'15k'!$H$7:$H$100,$A254,'15k'!$I$7:$I$100,"")+SUMIFS('15l'!$N$7:$N$100,'15l'!$H$7:$H$100,$A254,'15l'!$I$7:$I$100,"")+SUMIFS('15m'!$N$7:$N$100,'15m'!$H$7:$H$100,$A254,'15m'!$I$7:$I$100,"")+SUMIFS('15n'!$N$7:$N$100,'15n'!$H$7:$H$100,$A254,'15n'!$I$7:$I$100,"")+SUMIFS('16'!$N$7:$N$100,'16'!$H$7:$H$100,$A254,'16'!$I$7:$I$100,"")+SUMIFS('16a'!$N$7:$N$100,'16a'!$H$7:$H$100,$A254,'16a'!$I$7:$I$100,"")+SUMIFS('17'!$N$7:$N$100,'17'!$H$7:$H$100,$A254,'17'!$I$7:$I$100,"")+SUMIFS('17a'!$N$7:$N$100,'17a'!$H$7:$H$100,$A254,'17a'!$I$7:$I$100,"")+SUMIFS('18'!$N$7:$N$100,'18'!$H$7:$H$100,$A254,'18'!$I$7:$I$100,"")+SUMIFS('18a'!$N$7:$N$100,'18a'!$H$7:$H$100,$A254,'18a'!$I$7:$I$100,"")
+SUMIFS('19'!$N$7:$N$100,'19'!$H$7:$H$100,$A254,'19'!$I$7:$I$100,"")+SUMIFS('20'!$N$7:$N$100,'20'!$H$7:$H$100,$A254,'20'!$I$7:$I$100,"")+SUMIFS('20a'!$N$7:$N$100,'20a'!$H$7:$H$100,$A254,'20a'!$I$7:$I$100,"")+SUMIFS('21'!$N$7:$N$100,'21'!$H$7:$H$100,$A254,'21'!$I$7:$I$100,"")+SUMIFS('22'!$N$7:$N$100,'22'!$H$7:$H$100,$A254,'22'!$I$7:$I$100,"")+SUMIFS('22a'!$N$7:$N$100,'22a'!$H$7:$H$100,$A254,'22a'!$I$7:$I$100,"")+SUMIFS('22b'!$N$7:$N$100,'22b'!$H$7:$H$100,$A254,'22b'!$I$7:$I$100,"")+SUMIFS('23'!$N$7:$N$100,'23'!$H$7:$H$100,$A254,'23'!$I$7:$I$100,"")+SUMIFS('24'!$N$7:$N$100,'24'!$H$7:$H$100,$A254,'24'!$I$7:$I$100,"")+SUMIFS('24a'!$N$7:$N$100,'24a'!$H$7:$H$100,$A254,'24a'!$I$7:$I$100,"")+SUMIFS('24b'!$N$7:$N$100,'24b'!$H$7:$H$100,$A254,'24b'!$I$7:$I$100,"")+SUMIFS('24c'!$N$7:$N$100,'24c'!$H$7:$H$100,$A254,'24c'!$I$7:$I$100,"")+SUMIFS('24d'!$N$7:$N$100,'24d'!$H$7:$H$100,$A254,'24d'!$I$7:$I$100,"")+SUMIFS('24e'!$N$7:$N$100,'24e'!$H$7:$H$100,$A254,'24e'!$I$7:$I$100,"")+SUMIFS('24f'!$N$7:$N$100,'24f'!$H$7:$H$100,$A254,'24f'!$I$7:$I$100,"")+SUMIFS('24g'!$N$7:$N$100,'24g'!$H$7:$H$100,$A254,'24g'!$I$7:$I$100,"")+SUMIFS('24h'!$N$7:$N$100,'24h'!$H$7:$H$100,$A254,'24h'!$I$7:$I$100,"")+SUMIFS('24i'!$N$7:$N$100,'24i'!$H$7:$H$100,$A254,'24i'!$I$7:$I$100,"")+SUMIFS('25'!$N$7:$N$100,'25'!$H$7:$H$100,$A254,'25'!$I$7:$I$100,"")+SUMIFS('26'!$N$7:$N$100,'26'!$H$7:$H$100,$A254,'26'!$I$7:$I$100,"")+SUMIFS('26a'!$N$7:$N$100,'26a'!$H$7:$H$100,$A254,'26a'!$I$7:$I$100,"")+SUMIFS('27'!$N$7:$N$100,'27'!$H$7:$H$100,$A254,'27'!$I$7:$I$100,"")+SUMIFS('27a'!$N$7:$N$100,'27a'!$H$7:$H$100,$A254,'27a'!$I$7:$I$100,"")+SUMIFS('28'!$N$7:$N$100,'28'!$H$7:$H$100,$A254,'28'!$I$7:$I$100,"")+SUMIFS('29'!$N$7:$N$100,'29'!$H$7:$H$100,$A254,'29'!$I$7:$I$100,"")</f>
        <v>0</v>
      </c>
      <c r="F254" s="1296">
        <f t="shared" ref="F254:F266" si="24">SUM(C254:E254)</f>
        <v>0</v>
      </c>
      <c r="G254" s="1295">
        <f>SUMIFS('12'!$J$7:$J$100,'12'!$H$7:$H$100,$A254,'12'!$I$7:$I$100,1)+SUMIFS('13'!$J$7:$J$100,'13'!$H$7:$H$100,$A254,'13'!$I$7:$I$100,1)+SUMIFS('14'!$J$7:$J$100,'14'!$H$7:$H$100,$A254,'14'!$I$7:$I$100,1)+SUMIFS('15'!$J$7:$J$100,'15'!$H$7:$H$100,$A254,'15'!$I$7:$I$100,1)+SUMIFS('15a'!$J$7:$J$100,'15a'!$H$7:$H$100,$A254,'15a'!$I$7:$I$100,1)+SUMIFS('15b'!$J$7:$J$100,'15b'!$H$7:$H$100,$A254,'15b'!$I$7:$I$100,1)+SUMIFS('15c'!$J$7:$J$100,'15c'!$H$7:$H$100,$A254,'15c'!$I$7:$I$100,1)+SUMIFS('15d'!$J$7:$J$100,'15d'!$H$7:$H$100,$A254,'15d'!$I$7:$I$100,1)+SUMIFS('15e'!$J$7:$J$100,'15e'!$H$7:$H$100,$A254,'15e'!$I$7:$I$100,1)+SUMIFS('15f'!$J$7:$J$100,'15f'!$H$7:$H$100,$A254,'15f'!$I$7:$I$100,1)+SUMIFS('15g'!$J$7:$J$100,'15g'!$H$7:$H$100,$A254,'15g'!$I$7:$I$100,1)+SUMIFS('15h'!$J$7:$J$100,'15h'!$H$7:$H$100,$A254,'15h'!$I$7:$I$100,1)+SUMIFS('15i'!$J$7:$J$100,'15i'!$H$7:$H$100,$A254,'15i'!$I$7:$I$100,1)+SUMIFS('15j'!$J$7:$J$100,'15j'!$H$7:$H$100,$A254,'15j'!$I$7:$I$100,1)+SUMIFS('15k'!$J$7:$J$100,'15k'!$H$7:$H$100,$A254,'15k'!$I$7:$I$100,1)+SUMIFS('15l'!$J$7:$J$100,'15l'!$H$7:$H$100,$A254,'15l'!$I$7:$I$100,1)+SUMIFS('15m'!$J$7:$J$100,'15m'!$H$7:$H$100,$A254,'15m'!$I$7:$I$100,1)+SUMIFS('15n'!$J$7:$J$100,'15n'!$H$7:$H$100,$A254,'15n'!$I$7:$I$100,1)+SUMIFS('16'!$J$7:$J$100,'16'!$H$7:$H$100,$A254,'16'!$I$7:$I$100,1)+SUMIFS('16a'!$J$7:$J$100,'16a'!$H$7:$H$100,$A254,'16a'!$I$7:$I$100,1)+SUMIFS('17'!$J$7:$J$100,'17'!$H$7:$H$100,$A254,'17'!$I$7:$I$100,1)+SUMIFS('17a'!$J$7:$J$100,'17a'!$H$7:$H$100,$A254,'17a'!$I$7:$I$100,1)+SUMIFS('18'!$J$7:$J$100,'18'!$H$7:$H$100,$A254,'18'!$I$7:$I$100,1)+SUMIFS('18a'!$J$7:$J$100,'18a'!$H$7:$H$100,$A254,'18a'!$I$7:$I$100,1)
+SUMIFS('19'!$J$7:$J$100,'19'!$H$7:$H$100,$A254,'19'!$I$7:$I$100,1)+SUMIFS('20'!$J$7:$J$100,'20'!$H$7:$H$100,$A254,'20'!$I$7:$I$100,1)+SUMIFS('20a'!$J$7:$J$100,'20a'!$H$7:$H$100,$A254,'20a'!$I$7:$I$100,1)+SUMIFS('21'!$J$7:$J$100,'21'!$H$7:$H$100,$A254,'21'!$I$7:$I$100,1)+SUMIFS('22'!$J$7:$J$100,'22'!$H$7:$H$100,$A254,'22'!$I$7:$I$100,1)+SUMIFS('22a'!$J$7:$J$100,'22a'!$H$7:$H$100,$A254,'22a'!$I$7:$I$100,1)+SUMIFS('22b'!$J$7:$J$100,'22b'!$H$7:$H$100,$A254,'22b'!$I$7:$I$100,1)+SUMIFS('23'!$J$7:$J$100,'23'!$H$7:$H$100,$A254,'23'!$I$7:$I$100,1)+SUMIFS('24'!$J$7:$J$100,'24'!$H$7:$H$100,$A254,'24'!$I$7:$I$100,1)+SUMIFS('24a'!$J$7:$J$100,'24a'!$H$7:$H$100,$A254,'24a'!$I$7:$I$100,1)+SUMIFS('24b'!$J$7:$J$100,'24b'!$H$7:$H$100,$A254,'24b'!$I$7:$I$100,1)+SUMIFS('24c'!$J$7:$J$100,'24c'!$H$7:$H$100,$A254,'24c'!$I$7:$I$100,1)+SUMIFS('24d'!$J$7:$J$100,'24d'!$H$7:$H$100,$A254,'24d'!$I$7:$I$100,1)+SUMIFS('24e'!$J$7:$J$100,'24e'!$H$7:$H$100,$A254,'24e'!$I$7:$I$100,1)+SUMIFS('24f'!$J$7:$J$100,'24f'!$H$7:$H$100,$A254,'24f'!$I$7:$I$100,1)+SUMIFS('24g'!$J$7:$J$100,'24g'!$H$7:$H$100,$A254,'24g'!$I$7:$I$100,1)+SUMIFS('24h'!$J$7:$J$100,'24h'!$H$7:$H$100,$A254,'24h'!$I$7:$I$100,1)+SUMIFS('24i'!$J$7:$J$100,'24i'!$H$7:$H$100,$A254,'24i'!$I$7:$I$100,1)+SUMIFS('25'!$J$7:$J$100,'25'!$H$7:$H$100,$A254,'25'!$I$7:$I$100,1)+SUMIFS('26'!$J$7:$J$100,'26'!$H$7:$H$100,$A254,'26'!$I$7:$I$100,1)+SUMIFS('26a'!$J$7:$J$100,'26a'!$H$7:$H$100,$A254,'26a'!$I$7:$I$100,1)+SUMIFS('27'!$J$7:$J$100,'27'!$H$7:$H$100,$A254,'27'!$I$7:$I$100,1)+SUMIFS('27a'!$J$7:$J$100,'27a'!$H$7:$H$100,$A254,'27a'!$I$7:$I$100,1)+SUMIFS('28'!$J$7:$J$100,'28'!$H$7:$H$100,$A254,'28'!$I$7:$I$100,1)+SUMIFS('29'!$J$7:$J$100,'29'!$H$7:$H$100,$A254,'29'!$I$7:$I$100,1)</f>
        <v>0</v>
      </c>
      <c r="H254" s="1315">
        <f>SUMIFS('12'!$J$7:$J$100,'12'!$H$7:$H$100,$A254,'12'!$I$7:$I$100,2)+SUMIFS('13'!$J$7:$J$100,'13'!$H$7:$H$100,$A254,'13'!$I$7:$I$100,2)+SUMIFS('14'!$J$7:$J$100,'14'!$H$7:$H$100,$A254,'14'!$I$7:$I$100,2)+SUMIFS('15'!$J$7:$J$100,'15'!$H$7:$H$100,$A254,'15'!$I$7:$I$100,2)+SUMIFS('15a'!$J$7:$J$100,'15a'!$H$7:$H$100,$A254,'15a'!$I$7:$I$100,2)+SUMIFS('15b'!$J$7:$J$100,'15b'!$H$7:$H$100,$A254,'15b'!$I$7:$I$100,2)+SUMIFS('15c'!$J$7:$J$100,'15c'!$H$7:$H$100,$A254,'15c'!$I$7:$I$100,2)+SUMIFS('15d'!$J$7:$J$100,'15d'!$H$7:$H$100,$A254,'15d'!$I$7:$I$100,2)+SUMIFS('15e'!$J$7:$J$100,'15e'!$H$7:$H$100,$A254,'15e'!$I$7:$I$100,2)+SUMIFS('15f'!$J$7:$J$100,'15f'!$H$7:$H$100,$A254,'15f'!$I$7:$I$100,2)+SUMIFS('15g'!$J$7:$J$100,'15g'!$H$7:$H$100,$A254,'15g'!$I$7:$I$100,2)+SUMIFS('15h'!$J$7:$J$100,'15h'!$H$7:$H$100,$A254,'15h'!$I$7:$I$100,2)+SUMIFS('15i'!$J$7:$J$100,'15i'!$H$7:$H$100,$A254,'15i'!$I$7:$I$100,2)+SUMIFS('15j'!$J$7:$J$100,'15j'!$H$7:$H$100,$A254,'15j'!$I$7:$I$100,2)+SUMIFS('15k'!$J$7:$J$100,'15k'!$H$7:$H$100,$A254,'15k'!$I$7:$I$100,2)+SUMIFS('15l'!$J$7:$J$100,'15l'!$H$7:$H$100,$A254,'15l'!$I$7:$I$100,2)+SUMIFS('15m'!$J$7:$J$100,'15m'!$H$7:$H$100,$A254,'15m'!$I$7:$I$100,2)+SUMIFS('15n'!$J$7:$J$100,'15n'!$H$7:$H$100,$A254,'15n'!$I$7:$I$100,2)+SUMIFS('16'!$J$7:$J$100,'16'!$H$7:$H$100,$A254,'16'!$I$7:$I$100,2)+SUMIFS('16a'!$J$7:$J$100,'16a'!$H$7:$H$100,$A254,'16a'!$I$7:$I$100,2)+SUMIFS('17'!$J$7:$J$100,'17'!$H$7:$H$100,$A254,'17'!$I$7:$I$100,2)+SUMIFS('17a'!$J$7:$J$100,'17a'!$H$7:$H$100,$A254,'17a'!$I$7:$I$100,2)+SUMIFS('18'!$J$7:$J$100,'18'!$H$7:$H$100,$A254,'18'!$I$7:$I$100,2)+SUMIFS('18a'!$J$7:$J$100,'18a'!$H$7:$H$100,$A254,'18a'!$I$7:$I$100,2)
+SUMIFS('19'!$J$7:$J$100,'19'!$H$7:$H$100,$A254,'19'!$I$7:$I$100,2)+SUMIFS('20'!$J$7:$J$100,'20'!$H$7:$H$100,$A254,'20'!$I$7:$I$100,2)+SUMIFS('20a'!$J$7:$J$100,'20a'!$H$7:$H$100,$A254,'20a'!$I$7:$I$100,2)+SUMIFS('21'!$J$7:$J$100,'21'!$H$7:$H$100,$A254,'21'!$I$7:$I$100,2)+SUMIFS('22'!$J$7:$J$100,'22'!$H$7:$H$100,$A254,'22'!$I$7:$I$100,2)+SUMIFS('22a'!$J$7:$J$100,'22a'!$H$7:$H$100,$A254,'22a'!$I$7:$I$100,2)+SUMIFS('22b'!$J$7:$J$100,'22b'!$H$7:$H$100,$A254,'22b'!$I$7:$I$100,2)+SUMIFS('23'!$J$7:$J$100,'23'!$H$7:$H$100,$A254,'23'!$I$7:$I$100,2)+SUMIFS('24'!$J$7:$J$100,'24'!$H$7:$H$100,$A254,'24'!$I$7:$I$100,2)+SUMIFS('24a'!$J$7:$J$100,'24a'!$H$7:$H$100,$A254,'24a'!$I$7:$I$100,2)+SUMIFS('24b'!$J$7:$J$100,'24b'!$H$7:$H$100,$A254,'24b'!$I$7:$I$100,2)+SUMIFS('24c'!$J$7:$J$100,'24c'!$H$7:$H$100,$A254,'24c'!$I$7:$I$100,2)+SUMIFS('24d'!$J$7:$J$100,'24d'!$H$7:$H$100,$A254,'24d'!$I$7:$I$100,2)+SUMIFS('24e'!$J$7:$J$100,'24e'!$H$7:$H$100,$A254,'24e'!$I$7:$I$100,2)+SUMIFS('24f'!$J$7:$J$100,'24f'!$H$7:$H$100,$A254,'24f'!$I$7:$I$100,2)+SUMIFS('24g'!$J$7:$J$100,'24g'!$H$7:$H$100,$A254,'24g'!$I$7:$I$100,2)+SUMIFS('24h'!$J$7:$J$100,'24h'!$H$7:$H$100,$A254,'24h'!$I$7:$I$100,2)+SUMIFS('24i'!$J$7:$J$100,'24i'!$H$7:$H$100,$A254,'24i'!$I$7:$I$100,2)+SUMIFS('25'!$J$7:$J$100,'25'!$H$7:$H$100,$A254,'25'!$I$7:$I$100,2)+SUMIFS('26'!$J$7:$J$100,'26'!$H$7:$H$100,$A254,'26'!$I$7:$I$100,2)+SUMIFS('26a'!$J$7:$J$100,'26a'!$H$7:$H$100,$A254,'26a'!$I$7:$I$100,2)+SUMIFS('27'!$J$7:$J$100,'27'!$H$7:$H$100,$A254,'27'!$I$7:$I$100,2)+SUMIFS('27a'!$J$7:$J$100,'27a'!$H$7:$H$100,$A254,'27a'!$I$7:$I$100,2)+SUMIFS('28'!$J$7:$J$100,'28'!$H$7:$H$100,$A254,'28'!$I$7:$I$100,2)+SUMIFS('29'!$J$7:$J$100,'29'!$H$7:$H$100,$A254,'29'!$I$7:$I$100,2)</f>
        <v>2000</v>
      </c>
      <c r="I254" s="1315">
        <f>SUMIFS('12'!$J$7:$J$100,'12'!$H$7:$H$100,$A254,'12'!$I$7:$I$100,"")+SUMIFS('13'!$J$7:$J$100,'13'!$H$7:$H$100,$A254,'13'!$I$7:$I$100,"")+SUMIFS('14'!$J$7:$J$100,'14'!$H$7:$H$100,$A254,'14'!$I$7:$I$100,"")+SUMIFS('15'!$J$7:$J$100,'15'!$H$7:$H$100,$A254,'15'!$I$7:$I$100,"")+SUMIFS('15a'!$J$7:$J$100,'15a'!$H$7:$H$100,$A254,'15a'!$I$7:$I$100,"")+SUMIFS('15b'!$J$7:$J$100,'15b'!$H$7:$H$100,$A254,'15b'!$I$7:$I$100,"")+SUMIFS('15c'!$J$7:$J$100,'15c'!$H$7:$H$100,$A254,'15c'!$I$7:$I$100,"")+SUMIFS('15d'!$J$7:$J$100,'15d'!$H$7:$H$100,$A254,'15d'!$I$7:$I$100,"")+SUMIFS('15e'!$J$7:$J$100,'15e'!$H$7:$H$100,$A254,'15e'!$I$7:$I$100,"")+SUMIFS('15f'!$J$7:$J$100,'15f'!$H$7:$H$100,$A254,'15f'!$I$7:$I$100,"")+SUMIFS('15g'!$J$7:$J$100,'15g'!$H$7:$H$100,$A254,'15g'!$I$7:$I$100,"")+SUMIFS('15h'!$J$7:$J$100,'15h'!$H$7:$H$100,$A254,'15h'!$I$7:$I$100,"")+SUMIFS('15i'!$J$7:$J$100,'15i'!$H$7:$H$100,$A254,'15i'!$I$7:$I$100,"")+SUMIFS('15j'!$J$7:$J$100,'15j'!$H$7:$H$100,$A254,'15j'!$I$7:$I$100,"")+SUMIFS('15k'!$J$7:$J$100,'15k'!$H$7:$H$100,$A254,'15k'!$I$7:$I$100,"")+SUMIFS('15l'!$J$7:$J$100,'15l'!$H$7:$H$100,$A254,'15l'!$I$7:$I$100,"")+SUMIFS('15m'!$J$7:$J$100,'15m'!$H$7:$H$100,$A254,'15m'!$I$7:$I$100,"")+SUMIFS('15n'!$J$7:$J$100,'15n'!$H$7:$H$100,$A254,'15n'!$I$7:$I$100,"")+SUMIFS('16'!$J$7:$J$100,'16'!$H$7:$H$100,$A254,'16'!$I$7:$I$100,"")+SUMIFS('16a'!$J$7:$J$100,'16a'!$H$7:$H$100,$A254,'16a'!$I$7:$I$100,"")+SUMIFS('17'!$J$7:$J$100,'17'!$H$7:$H$100,$A254,'17'!$I$7:$I$100,"")+SUMIFS('17a'!$J$7:$J$100,'17a'!$H$7:$H$100,$A254,'17a'!$I$7:$I$100,"")+SUMIFS('18'!$J$7:$J$100,'18'!$H$7:$H$100,$A254,'18'!$I$7:$I$100,"")+SUMIFS('18a'!$J$7:$J$100,'18a'!$H$7:$H$100,$A254,'18a'!$I$7:$I$100,"")
+SUMIFS('19'!$J$7:$J$100,'19'!$H$7:$H$100,$A254,'19'!$I$7:$I$100,"")+SUMIFS('20'!$J$7:$J$100,'20'!$H$7:$H$100,$A254,'20'!$I$7:$I$100,"")+SUMIFS('20a'!$J$7:$J$100,'20a'!$H$7:$H$100,$A254,'20a'!$I$7:$I$100,"")+SUMIFS('21'!$J$7:$J$100,'21'!$H$7:$H$100,$A254,'21'!$I$7:$I$100,"")+SUMIFS('22'!$J$7:$J$100,'22'!$H$7:$H$100,$A254,'22'!$I$7:$I$100,"")+SUMIFS('22a'!$J$7:$J$100,'22a'!$H$7:$H$100,$A254,'22a'!$I$7:$I$100,"")+SUMIFS('22b'!$J$7:$J$100,'22b'!$H$7:$H$100,$A254,'22b'!$I$7:$I$100,"")+SUMIFS('23'!$J$7:$J$100,'23'!$H$7:$H$100,$A254,'23'!$I$7:$I$100,"")+SUMIFS('24'!$J$7:$J$100,'24'!$H$7:$H$100,$A254,'24'!$I$7:$I$100,"")+SUMIFS('24a'!$J$7:$J$100,'24a'!$H$7:$H$100,$A254,'24a'!$I$7:$I$100,"")+SUMIFS('24b'!$J$7:$J$100,'24b'!$H$7:$H$100,$A254,'24b'!$I$7:$I$100,"")+SUMIFS('24c'!$J$7:$J$100,'24c'!$H$7:$H$100,$A254,'24c'!$I$7:$I$100,"")+SUMIFS('24d'!$J$7:$J$100,'24d'!$H$7:$H$100,$A254,'24d'!$I$7:$I$100,"")+SUMIFS('24e'!$J$7:$J$100,'24e'!$H$7:$H$100,$A254,'24e'!$I$7:$I$100,"")+SUMIFS('24f'!$J$7:$J$100,'24f'!$H$7:$H$100,$A254,'24f'!$I$7:$I$100,"")+SUMIFS('24g'!$J$7:$J$100,'24g'!$H$7:$H$100,$A254,'24g'!$I$7:$I$100,"")+SUMIFS('24h'!$J$7:$J$100,'24h'!$H$7:$H$100,$A254,'24h'!$I$7:$I$100,"")+SUMIFS('24i'!$J$7:$J$100,'24i'!$H$7:$H$100,$A254,'24i'!$I$7:$I$100,"")+SUMIFS('25'!$J$7:$J$100,'25'!$H$7:$H$100,$A254,'25'!$I$7:$I$100,"")+SUMIFS('26'!$J$7:$J$100,'26'!$H$7:$H$100,$A254,'26'!$I$7:$I$100,"")+SUMIFS('26a'!$J$7:$J$100,'26a'!$H$7:$H$100,$A254,'26a'!$I$7:$I$100,"")+SUMIFS('27'!$J$7:$J$100,'27'!$H$7:$H$100,$A254,'27'!$I$7:$I$100,"")+SUMIFS('27a'!$J$7:$J$100,'27a'!$H$7:$H$100,$A254,'27a'!$I$7:$I$100,"")+SUMIFS('28'!$J$7:$J$100,'28'!$H$7:$H$100,$A254,'28'!$I$7:$I$100,"")+SUMIFS('29'!$J$7:$J$100,'29'!$H$7:$H$100,$A254,'29'!$I$7:$I$100,"")</f>
        <v>0</v>
      </c>
      <c r="J254" s="1296">
        <f t="shared" ref="J254:J266" si="25">SUM(G254:I254)</f>
        <v>2000</v>
      </c>
      <c r="K254"/>
      <c r="L254"/>
      <c r="M254"/>
      <c r="N254"/>
      <c r="O254"/>
      <c r="P254"/>
      <c r="Q254"/>
      <c r="R254"/>
      <c r="S254" s="1307">
        <f t="shared" si="14"/>
        <v>4000</v>
      </c>
      <c r="T254"/>
    </row>
    <row r="255" spans="1:20" ht="12.75" customHeight="1" outlineLevel="1" x14ac:dyDescent="0.2">
      <c r="A255" t="s">
        <v>5170</v>
      </c>
      <c r="B255" t="s">
        <v>5499</v>
      </c>
      <c r="C255" s="1295">
        <f>SUMIFS('12'!$N$7:$N$100,'12'!$H$7:$H$100,$A255,'12'!$I$7:$I$100,1)+SUMIFS('13'!$N$7:$N$100,'13'!$H$7:$H$100,$A255,'13'!$I$7:$I$100,1)+SUMIFS('14'!$N$7:$N$100,'14'!$H$7:$H$100,$A255,'14'!$I$7:$I$100,1)+SUMIFS('15'!$N$7:$N$100,'15'!$H$7:$H$100,$A255,'15'!$I$7:$I$100,1)+SUMIFS('15a'!$N$7:$N$100,'15a'!$H$7:$H$100,$A255,'15a'!$I$7:$I$100,1)+SUMIFS('15b'!$N$7:$N$100,'15b'!$H$7:$H$100,$A255,'15b'!$I$7:$I$100,1)+SUMIFS('15c'!$N$7:$N$100,'15c'!$H$7:$H$100,$A255,'15c'!$I$7:$I$100,1)+SUMIFS('15d'!$N$7:$N$100,'15d'!$H$7:$H$100,$A255,'15d'!$I$7:$I$100,1)+SUMIFS('15e'!$N$7:$N$100,'15e'!$H$7:$H$100,$A255,'15e'!$I$7:$I$100,1)+SUMIFS('15f'!$N$7:$N$100,'15f'!$H$7:$H$100,$A255,'15f'!$I$7:$I$100,1)+SUMIFS('15g'!$N$7:$N$100,'15g'!$H$7:$H$100,$A255,'15g'!$I$7:$I$100,1)+SUMIFS('15h'!$N$7:$N$100,'15h'!$H$7:$H$100,$A255,'15h'!$I$7:$I$100,1)+SUMIFS('15i'!$N$7:$N$100,'15i'!$H$7:$H$100,$A255,'15i'!$I$7:$I$100,1)+SUMIFS('15j'!$N$7:$N$100,'15j'!$H$7:$H$100,$A255,'15j'!$I$7:$I$100,1)+SUMIFS('15k'!$N$7:$N$100,'15k'!$H$7:$H$100,$A255,'15k'!$I$7:$I$100,1)+SUMIFS('15l'!$N$7:$N$100,'15l'!$H$7:$H$100,$A255,'15l'!$I$7:$I$100,1)+SUMIFS('15m'!$N$7:$N$100,'15m'!$H$7:$H$100,$A255,'15m'!$I$7:$I$100,1)+SUMIFS('15n'!$N$7:$N$100,'15n'!$H$7:$H$100,$A255,'15n'!$I$7:$I$100,1)+SUMIFS('16'!$N$7:$N$100,'16'!$H$7:$H$100,$A255,'16'!$I$7:$I$100,1)+SUMIFS('16a'!$N$7:$N$100,'16a'!$H$7:$H$100,$A255,'16a'!$I$7:$I$100,1)+SUMIFS('17'!$N$7:$N$100,'17'!$H$7:$H$100,$A255,'17'!$I$7:$I$100,1)+SUMIFS('17a'!$N$7:$N$100,'17a'!$H$7:$H$100,$A255,'17a'!$I$7:$I$100,1)+SUMIFS('18'!$N$7:$N$100,'18'!$H$7:$H$100,$A255,'18'!$I$7:$I$100,1)+SUMIFS('18a'!$N$7:$N$100,'18a'!$H$7:$H$100,$A255,'18a'!$I$7:$I$100,1)
+SUMIFS('19'!$N$7:$N$100,'19'!$H$7:$H$100,$A255,'19'!$I$7:$I$100,1)+SUMIFS('20'!$N$7:$N$100,'20'!$H$7:$H$100,$A255,'20'!$I$7:$I$100,1)+SUMIFS('20a'!$N$7:$N$100,'20a'!$H$7:$H$100,$A255,'20a'!$I$7:$I$100,1)+SUMIFS('21'!$N$7:$N$100,'21'!$H$7:$H$100,$A255,'21'!$I$7:$I$100,1)+SUMIFS('22'!$N$7:$N$100,'22'!$H$7:$H$100,$A255,'22'!$I$7:$I$100,1)+SUMIFS('22a'!$N$7:$N$100,'22a'!$H$7:$H$100,$A255,'22a'!$I$7:$I$100,1)+SUMIFS('22b'!$N$7:$N$100,'22b'!$H$7:$H$100,$A255,'22b'!$I$7:$I$100,1)+SUMIFS('23'!$N$7:$N$100,'23'!$H$7:$H$100,$A255,'23'!$I$7:$I$100,1)+SUMIFS('24'!$N$7:$N$100,'24'!$H$7:$H$100,$A255,'24'!$I$7:$I$100,1)+SUMIFS('24a'!$N$7:$N$100,'24a'!$H$7:$H$100,$A255,'24a'!$I$7:$I$100,1)+SUMIFS('24b'!$N$7:$N$100,'24b'!$H$7:$H$100,$A255,'24b'!$I$7:$I$100,1)+SUMIFS('24c'!$N$7:$N$100,'24c'!$H$7:$H$100,$A255,'24c'!$I$7:$I$100,1)+SUMIFS('24d'!$N$7:$N$100,'24d'!$H$7:$H$100,$A255,'24d'!$I$7:$I$100,1)+SUMIFS('24e'!$N$7:$N$100,'24e'!$H$7:$H$100,$A255,'24e'!$I$7:$I$100,1)+SUMIFS('24f'!$N$7:$N$100,'24f'!$H$7:$H$100,$A255,'24f'!$I$7:$I$100,1)+SUMIFS('24g'!$N$7:$N$100,'24g'!$H$7:$H$100,$A255,'24g'!$I$7:$I$100,1)+SUMIFS('24h'!$N$7:$N$100,'24h'!$H$7:$H$100,$A255,'24h'!$I$7:$I$100,1)+SUMIFS('24i'!$N$7:$N$100,'24i'!$H$7:$H$100,$A255,'24i'!$I$7:$I$100,1)+SUMIFS('25'!$N$7:$N$100,'25'!$H$7:$H$100,$A255,'25'!$I$7:$I$100,1)+SUMIFS('26'!$N$7:$N$100,'26'!$H$7:$H$100,$A255,'26'!$I$7:$I$100,1)+SUMIFS('26a'!$N$7:$N$100,'26a'!$H$7:$H$100,$A255,'26a'!$I$7:$I$100,1)+SUMIFS('27'!$N$7:$N$100,'27'!$H$7:$H$100,$A255,'27'!$I$7:$I$100,1)+SUMIFS('27a'!$N$7:$N$100,'27a'!$H$7:$H$100,$A255,'27a'!$I$7:$I$100,1)+SUMIFS('28'!$N$7:$N$100,'28'!$H$7:$H$100,$A255,'28'!$I$7:$I$100,1)+SUMIFS('29'!$N$7:$N$100,'29'!$H$7:$H$100,$A255,'29'!$I$7:$I$100,1)</f>
        <v>0</v>
      </c>
      <c r="D255" s="1315">
        <f>SUMIFS('12'!$N$7:$N$100,'12'!$H$7:$H$100,$A255,'12'!$I$7:$I$100,2)+SUMIFS('13'!$N$7:$N$100,'13'!$H$7:$H$100,$A255,'13'!$I$7:$I$100,2)+SUMIFS('14'!$N$7:$N$100,'14'!$H$7:$H$100,$A255,'14'!$I$7:$I$100,2)+SUMIFS('15'!$N$7:$N$100,'15'!$H$7:$H$100,$A255,'15'!$I$7:$I$100,2)+SUMIFS('15a'!$N$7:$N$100,'15a'!$H$7:$H$100,$A255,'15a'!$I$7:$I$100,2)+SUMIFS('15b'!$N$7:$N$100,'15b'!$H$7:$H$100,$A255,'15b'!$I$7:$I$100,2)+SUMIFS('15c'!$N$7:$N$100,'15c'!$H$7:$H$100,$A255,'15c'!$I$7:$I$100,2)+SUMIFS('15d'!$N$7:$N$100,'15d'!$H$7:$H$100,$A255,'15d'!$I$7:$I$100,2)+SUMIFS('15e'!$N$7:$N$100,'15e'!$H$7:$H$100,$A255,'15e'!$I$7:$I$100,2)+SUMIFS('15f'!$N$7:$N$100,'15f'!$H$7:$H$100,$A255,'15f'!$I$7:$I$100,2)+SUMIFS('15g'!$N$7:$N$100,'15g'!$H$7:$H$100,$A255,'15g'!$I$7:$I$100,2)+SUMIFS('15h'!$N$7:$N$100,'15h'!$H$7:$H$100,$A255,'15h'!$I$7:$I$100,2)+SUMIFS('15i'!$N$7:$N$100,'15i'!$H$7:$H$100,$A255,'15i'!$I$7:$I$100,2)+SUMIFS('15j'!$N$7:$N$100,'15j'!$H$7:$H$100,$A255,'15j'!$I$7:$I$100,2)+SUMIFS('15k'!$N$7:$N$100,'15k'!$H$7:$H$100,$A255,'15k'!$I$7:$I$100,2)+SUMIFS('15l'!$N$7:$N$100,'15l'!$H$7:$H$100,$A255,'15l'!$I$7:$I$100,2)+SUMIFS('15m'!$N$7:$N$100,'15m'!$H$7:$H$100,$A255,'15m'!$I$7:$I$100,2)+SUMIFS('15n'!$N$7:$N$100,'15n'!$H$7:$H$100,$A255,'15n'!$I$7:$I$100,2)+SUMIFS('16'!$N$7:$N$100,'16'!$H$7:$H$100,$A255,'16'!$I$7:$I$100,2)+SUMIFS('16a'!$N$7:$N$100,'16a'!$H$7:$H$100,$A255,'16a'!$I$7:$I$100,2)+SUMIFS('17'!$N$7:$N$100,'17'!$H$7:$H$100,$A255,'17'!$I$7:$I$100,2)+SUMIFS('17a'!$N$7:$N$100,'17a'!$H$7:$H$100,$A255,'17a'!$I$7:$I$100,2)+SUMIFS('18'!$N$7:$N$100,'18'!$H$7:$H$100,$A255,'18'!$I$7:$I$100,2)+SUMIFS('18a'!$N$7:$N$100,'18a'!$H$7:$H$100,$A255,'18a'!$I$7:$I$100,2)
+SUMIFS('19'!$N$7:$N$100,'19'!$H$7:$H$100,$A255,'19'!$I$7:$I$100,2)+SUMIFS('20'!$N$7:$N$100,'20'!$H$7:$H$100,$A255,'20'!$I$7:$I$100,2)+SUMIFS('20a'!$N$7:$N$100,'20a'!$H$7:$H$100,$A255,'20a'!$I$7:$I$100,2)+SUMIFS('21'!$N$7:$N$100,'21'!$H$7:$H$100,$A255,'21'!$I$7:$I$100,2)+SUMIFS('22'!$N$7:$N$100,'22'!$H$7:$H$100,$A255,'22'!$I$7:$I$100,2)+SUMIFS('22a'!$N$7:$N$100,'22a'!$H$7:$H$100,$A255,'22a'!$I$7:$I$100,2)+SUMIFS('22b'!$N$7:$N$100,'22b'!$H$7:$H$100,$A255,'22b'!$I$7:$I$100,2)+SUMIFS('23'!$N$7:$N$100,'23'!$H$7:$H$100,$A255,'23'!$I$7:$I$100,2)+SUMIFS('24'!$N$7:$N$100,'24'!$H$7:$H$100,$A255,'24'!$I$7:$I$100,2)+SUMIFS('24a'!$N$7:$N$100,'24a'!$H$7:$H$100,$A255,'24a'!$I$7:$I$100,2)+SUMIFS('24b'!$N$7:$N$100,'24b'!$H$7:$H$100,$A255,'24b'!$I$7:$I$100,2)+SUMIFS('24c'!$N$7:$N$100,'24c'!$H$7:$H$100,$A255,'24c'!$I$7:$I$100,2)+SUMIFS('24d'!$N$7:$N$100,'24d'!$H$7:$H$100,$A255,'24d'!$I$7:$I$100,2)+SUMIFS('24e'!$N$7:$N$100,'24e'!$H$7:$H$100,$A255,'24e'!$I$7:$I$100,2)+SUMIFS('24f'!$N$7:$N$100,'24f'!$H$7:$H$100,$A255,'24f'!$I$7:$I$100,2)+SUMIFS('24g'!$N$7:$N$100,'24g'!$H$7:$H$100,$A255,'24g'!$I$7:$I$100,2)+SUMIFS('24h'!$N$7:$N$100,'24h'!$H$7:$H$100,$A255,'24h'!$I$7:$I$100,2)+SUMIFS('24i'!$N$7:$N$100,'24i'!$H$7:$H$100,$A255,'24i'!$I$7:$I$100,2)+SUMIFS('25'!$N$7:$N$100,'25'!$H$7:$H$100,$A255,'25'!$I$7:$I$100,2)+SUMIFS('26'!$N$7:$N$100,'26'!$H$7:$H$100,$A255,'26'!$I$7:$I$100,2)+SUMIFS('26a'!$N$7:$N$100,'26a'!$H$7:$H$100,$A255,'26a'!$I$7:$I$100,2)+SUMIFS('27'!$N$7:$N$100,'27'!$H$7:$H$100,$A255,'27'!$I$7:$I$100,2)+SUMIFS('27a'!$N$7:$N$100,'27a'!$H$7:$H$100,$A255,'27a'!$I$7:$I$100,2)+SUMIFS('28'!$N$7:$N$100,'28'!$H$7:$H$100,$A255,'28'!$I$7:$I$100,2)+SUMIFS('29'!$N$7:$N$100,'29'!$H$7:$H$100,$A255,'29'!$I$7:$I$100,2)</f>
        <v>0</v>
      </c>
      <c r="E255" s="1315">
        <f>SUMIFS('12'!$N$7:$N$100,'12'!$H$7:$H$100,$A255,'12'!$I$7:$I$100,"")+SUMIFS('13'!$N$7:$N$100,'13'!$H$7:$H$100,$A255,'13'!$I$7:$I$100,"")+SUMIFS('14'!$N$7:$N$100,'14'!$H$7:$H$100,$A255,'14'!$I$7:$I$100,"")+SUMIFS('15'!$N$7:$N$100,'15'!$H$7:$H$100,$A255,'15'!$I$7:$I$100,"")+SUMIFS('15a'!$N$7:$N$100,'15a'!$H$7:$H$100,$A255,'15a'!$I$7:$I$100,"")+SUMIFS('15b'!$N$7:$N$100,'15b'!$H$7:$H$100,$A255,'15b'!$I$7:$I$100,"")+SUMIFS('15c'!$N$7:$N$100,'15c'!$H$7:$H$100,$A255,'15c'!$I$7:$I$100,"")+SUMIFS('15d'!$N$7:$N$100,'15d'!$H$7:$H$100,$A255,'15d'!$I$7:$I$100,"")+SUMIFS('15e'!$N$7:$N$100,'15e'!$H$7:$H$100,$A255,'15e'!$I$7:$I$100,"")+SUMIFS('15f'!$N$7:$N$100,'15f'!$H$7:$H$100,$A255,'15f'!$I$7:$I$100,"")+SUMIFS('15g'!$N$7:$N$100,'15g'!$H$7:$H$100,$A255,'15g'!$I$7:$I$100,"")+SUMIFS('15h'!$N$7:$N$100,'15h'!$H$7:$H$100,$A255,'15h'!$I$7:$I$100,"")+SUMIFS('15i'!$N$7:$N$100,'15i'!$H$7:$H$100,$A255,'15i'!$I$7:$I$100,"")+SUMIFS('15j'!$N$7:$N$100,'15j'!$H$7:$H$100,$A255,'15j'!$I$7:$I$100,"")+SUMIFS('15k'!$N$7:$N$100,'15k'!$H$7:$H$100,$A255,'15k'!$I$7:$I$100,"")+SUMIFS('15l'!$N$7:$N$100,'15l'!$H$7:$H$100,$A255,'15l'!$I$7:$I$100,"")+SUMIFS('15m'!$N$7:$N$100,'15m'!$H$7:$H$100,$A255,'15m'!$I$7:$I$100,"")+SUMIFS('15n'!$N$7:$N$100,'15n'!$H$7:$H$100,$A255,'15n'!$I$7:$I$100,"")+SUMIFS('16'!$N$7:$N$100,'16'!$H$7:$H$100,$A255,'16'!$I$7:$I$100,"")+SUMIFS('16a'!$N$7:$N$100,'16a'!$H$7:$H$100,$A255,'16a'!$I$7:$I$100,"")+SUMIFS('17'!$N$7:$N$100,'17'!$H$7:$H$100,$A255,'17'!$I$7:$I$100,"")+SUMIFS('17a'!$N$7:$N$100,'17a'!$H$7:$H$100,$A255,'17a'!$I$7:$I$100,"")+SUMIFS('18'!$N$7:$N$100,'18'!$H$7:$H$100,$A255,'18'!$I$7:$I$100,"")+SUMIFS('18a'!$N$7:$N$100,'18a'!$H$7:$H$100,$A255,'18a'!$I$7:$I$100,"")
+SUMIFS('19'!$N$7:$N$100,'19'!$H$7:$H$100,$A255,'19'!$I$7:$I$100,"")+SUMIFS('20'!$N$7:$N$100,'20'!$H$7:$H$100,$A255,'20'!$I$7:$I$100,"")+SUMIFS('20a'!$N$7:$N$100,'20a'!$H$7:$H$100,$A255,'20a'!$I$7:$I$100,"")+SUMIFS('21'!$N$7:$N$100,'21'!$H$7:$H$100,$A255,'21'!$I$7:$I$100,"")+SUMIFS('22'!$N$7:$N$100,'22'!$H$7:$H$100,$A255,'22'!$I$7:$I$100,"")+SUMIFS('22a'!$N$7:$N$100,'22a'!$H$7:$H$100,$A255,'22a'!$I$7:$I$100,"")+SUMIFS('22b'!$N$7:$N$100,'22b'!$H$7:$H$100,$A255,'22b'!$I$7:$I$100,"")+SUMIFS('23'!$N$7:$N$100,'23'!$H$7:$H$100,$A255,'23'!$I$7:$I$100,"")+SUMIFS('24'!$N$7:$N$100,'24'!$H$7:$H$100,$A255,'24'!$I$7:$I$100,"")+SUMIFS('24a'!$N$7:$N$100,'24a'!$H$7:$H$100,$A255,'24a'!$I$7:$I$100,"")+SUMIFS('24b'!$N$7:$N$100,'24b'!$H$7:$H$100,$A255,'24b'!$I$7:$I$100,"")+SUMIFS('24c'!$N$7:$N$100,'24c'!$H$7:$H$100,$A255,'24c'!$I$7:$I$100,"")+SUMIFS('24d'!$N$7:$N$100,'24d'!$H$7:$H$100,$A255,'24d'!$I$7:$I$100,"")+SUMIFS('24e'!$N$7:$N$100,'24e'!$H$7:$H$100,$A255,'24e'!$I$7:$I$100,"")+SUMIFS('24f'!$N$7:$N$100,'24f'!$H$7:$H$100,$A255,'24f'!$I$7:$I$100,"")+SUMIFS('24g'!$N$7:$N$100,'24g'!$H$7:$H$100,$A255,'24g'!$I$7:$I$100,"")+SUMIFS('24h'!$N$7:$N$100,'24h'!$H$7:$H$100,$A255,'24h'!$I$7:$I$100,"")+SUMIFS('24i'!$N$7:$N$100,'24i'!$H$7:$H$100,$A255,'24i'!$I$7:$I$100,"")+SUMIFS('25'!$N$7:$N$100,'25'!$H$7:$H$100,$A255,'25'!$I$7:$I$100,"")+SUMIFS('26'!$N$7:$N$100,'26'!$H$7:$H$100,$A255,'26'!$I$7:$I$100,"")+SUMIFS('26a'!$N$7:$N$100,'26a'!$H$7:$H$100,$A255,'26a'!$I$7:$I$100,"")+SUMIFS('27'!$N$7:$N$100,'27'!$H$7:$H$100,$A255,'27'!$I$7:$I$100,"")+SUMIFS('27a'!$N$7:$N$100,'27a'!$H$7:$H$100,$A255,'27a'!$I$7:$I$100,"")+SUMIFS('28'!$N$7:$N$100,'28'!$H$7:$H$100,$A255,'28'!$I$7:$I$100,"")+SUMIFS('29'!$N$7:$N$100,'29'!$H$7:$H$100,$A255,'29'!$I$7:$I$100,"")</f>
        <v>0</v>
      </c>
      <c r="F255" s="1296">
        <f t="shared" si="24"/>
        <v>0</v>
      </c>
      <c r="G255" s="1295">
        <f>SUMIFS('12'!$J$7:$J$100,'12'!$H$7:$H$100,$A255,'12'!$I$7:$I$100,1)+SUMIFS('13'!$J$7:$J$100,'13'!$H$7:$H$100,$A255,'13'!$I$7:$I$100,1)+SUMIFS('14'!$J$7:$J$100,'14'!$H$7:$H$100,$A255,'14'!$I$7:$I$100,1)+SUMIFS('15'!$J$7:$J$100,'15'!$H$7:$H$100,$A255,'15'!$I$7:$I$100,1)+SUMIFS('15a'!$J$7:$J$100,'15a'!$H$7:$H$100,$A255,'15a'!$I$7:$I$100,1)+SUMIFS('15b'!$J$7:$J$100,'15b'!$H$7:$H$100,$A255,'15b'!$I$7:$I$100,1)+SUMIFS('15c'!$J$7:$J$100,'15c'!$H$7:$H$100,$A255,'15c'!$I$7:$I$100,1)+SUMIFS('15d'!$J$7:$J$100,'15d'!$H$7:$H$100,$A255,'15d'!$I$7:$I$100,1)+SUMIFS('15e'!$J$7:$J$100,'15e'!$H$7:$H$100,$A255,'15e'!$I$7:$I$100,1)+SUMIFS('15f'!$J$7:$J$100,'15f'!$H$7:$H$100,$A255,'15f'!$I$7:$I$100,1)+SUMIFS('15g'!$J$7:$J$100,'15g'!$H$7:$H$100,$A255,'15g'!$I$7:$I$100,1)+SUMIFS('15h'!$J$7:$J$100,'15h'!$H$7:$H$100,$A255,'15h'!$I$7:$I$100,1)+SUMIFS('15i'!$J$7:$J$100,'15i'!$H$7:$H$100,$A255,'15i'!$I$7:$I$100,1)+SUMIFS('15j'!$J$7:$J$100,'15j'!$H$7:$H$100,$A255,'15j'!$I$7:$I$100,1)+SUMIFS('15k'!$J$7:$J$100,'15k'!$H$7:$H$100,$A255,'15k'!$I$7:$I$100,1)+SUMIFS('15l'!$J$7:$J$100,'15l'!$H$7:$H$100,$A255,'15l'!$I$7:$I$100,1)+SUMIFS('15m'!$J$7:$J$100,'15m'!$H$7:$H$100,$A255,'15m'!$I$7:$I$100,1)+SUMIFS('15n'!$J$7:$J$100,'15n'!$H$7:$H$100,$A255,'15n'!$I$7:$I$100,1)+SUMIFS('16'!$J$7:$J$100,'16'!$H$7:$H$100,$A255,'16'!$I$7:$I$100,1)+SUMIFS('16a'!$J$7:$J$100,'16a'!$H$7:$H$100,$A255,'16a'!$I$7:$I$100,1)+SUMIFS('17'!$J$7:$J$100,'17'!$H$7:$H$100,$A255,'17'!$I$7:$I$100,1)+SUMIFS('17a'!$J$7:$J$100,'17a'!$H$7:$H$100,$A255,'17a'!$I$7:$I$100,1)+SUMIFS('18'!$J$7:$J$100,'18'!$H$7:$H$100,$A255,'18'!$I$7:$I$100,1)+SUMIFS('18a'!$J$7:$J$100,'18a'!$H$7:$H$100,$A255,'18a'!$I$7:$I$100,1)
+SUMIFS('19'!$J$7:$J$100,'19'!$H$7:$H$100,$A255,'19'!$I$7:$I$100,1)+SUMIFS('20'!$J$7:$J$100,'20'!$H$7:$H$100,$A255,'20'!$I$7:$I$100,1)+SUMIFS('20a'!$J$7:$J$100,'20a'!$H$7:$H$100,$A255,'20a'!$I$7:$I$100,1)+SUMIFS('21'!$J$7:$J$100,'21'!$H$7:$H$100,$A255,'21'!$I$7:$I$100,1)+SUMIFS('22'!$J$7:$J$100,'22'!$H$7:$H$100,$A255,'22'!$I$7:$I$100,1)+SUMIFS('22a'!$J$7:$J$100,'22a'!$H$7:$H$100,$A255,'22a'!$I$7:$I$100,1)+SUMIFS('22b'!$J$7:$J$100,'22b'!$H$7:$H$100,$A255,'22b'!$I$7:$I$100,1)+SUMIFS('23'!$J$7:$J$100,'23'!$H$7:$H$100,$A255,'23'!$I$7:$I$100,1)+SUMIFS('24'!$J$7:$J$100,'24'!$H$7:$H$100,$A255,'24'!$I$7:$I$100,1)+SUMIFS('24a'!$J$7:$J$100,'24a'!$H$7:$H$100,$A255,'24a'!$I$7:$I$100,1)+SUMIFS('24b'!$J$7:$J$100,'24b'!$H$7:$H$100,$A255,'24b'!$I$7:$I$100,1)+SUMIFS('24c'!$J$7:$J$100,'24c'!$H$7:$H$100,$A255,'24c'!$I$7:$I$100,1)+SUMIFS('24d'!$J$7:$J$100,'24d'!$H$7:$H$100,$A255,'24d'!$I$7:$I$100,1)+SUMIFS('24e'!$J$7:$J$100,'24e'!$H$7:$H$100,$A255,'24e'!$I$7:$I$100,1)+SUMIFS('24f'!$J$7:$J$100,'24f'!$H$7:$H$100,$A255,'24f'!$I$7:$I$100,1)+SUMIFS('24g'!$J$7:$J$100,'24g'!$H$7:$H$100,$A255,'24g'!$I$7:$I$100,1)+SUMIFS('24h'!$J$7:$J$100,'24h'!$H$7:$H$100,$A255,'24h'!$I$7:$I$100,1)+SUMIFS('24i'!$J$7:$J$100,'24i'!$H$7:$H$100,$A255,'24i'!$I$7:$I$100,1)+SUMIFS('25'!$J$7:$J$100,'25'!$H$7:$H$100,$A255,'25'!$I$7:$I$100,1)+SUMIFS('26'!$J$7:$J$100,'26'!$H$7:$H$100,$A255,'26'!$I$7:$I$100,1)+SUMIFS('26a'!$J$7:$J$100,'26a'!$H$7:$H$100,$A255,'26a'!$I$7:$I$100,1)+SUMIFS('27'!$J$7:$J$100,'27'!$H$7:$H$100,$A255,'27'!$I$7:$I$100,1)+SUMIFS('27a'!$J$7:$J$100,'27a'!$H$7:$H$100,$A255,'27a'!$I$7:$I$100,1)+SUMIFS('28'!$J$7:$J$100,'28'!$H$7:$H$100,$A255,'28'!$I$7:$I$100,1)+SUMIFS('29'!$J$7:$J$100,'29'!$H$7:$H$100,$A255,'29'!$I$7:$I$100,1)</f>
        <v>0</v>
      </c>
      <c r="H255" s="1315">
        <f>SUMIFS('12'!$J$7:$J$100,'12'!$H$7:$H$100,$A255,'12'!$I$7:$I$100,2)+SUMIFS('13'!$J$7:$J$100,'13'!$H$7:$H$100,$A255,'13'!$I$7:$I$100,2)+SUMIFS('14'!$J$7:$J$100,'14'!$H$7:$H$100,$A255,'14'!$I$7:$I$100,2)+SUMIFS('15'!$J$7:$J$100,'15'!$H$7:$H$100,$A255,'15'!$I$7:$I$100,2)+SUMIFS('15a'!$J$7:$J$100,'15a'!$H$7:$H$100,$A255,'15a'!$I$7:$I$100,2)+SUMIFS('15b'!$J$7:$J$100,'15b'!$H$7:$H$100,$A255,'15b'!$I$7:$I$100,2)+SUMIFS('15c'!$J$7:$J$100,'15c'!$H$7:$H$100,$A255,'15c'!$I$7:$I$100,2)+SUMIFS('15d'!$J$7:$J$100,'15d'!$H$7:$H$100,$A255,'15d'!$I$7:$I$100,2)+SUMIFS('15e'!$J$7:$J$100,'15e'!$H$7:$H$100,$A255,'15e'!$I$7:$I$100,2)+SUMIFS('15f'!$J$7:$J$100,'15f'!$H$7:$H$100,$A255,'15f'!$I$7:$I$100,2)+SUMIFS('15g'!$J$7:$J$100,'15g'!$H$7:$H$100,$A255,'15g'!$I$7:$I$100,2)+SUMIFS('15h'!$J$7:$J$100,'15h'!$H$7:$H$100,$A255,'15h'!$I$7:$I$100,2)+SUMIFS('15i'!$J$7:$J$100,'15i'!$H$7:$H$100,$A255,'15i'!$I$7:$I$100,2)+SUMIFS('15j'!$J$7:$J$100,'15j'!$H$7:$H$100,$A255,'15j'!$I$7:$I$100,2)+SUMIFS('15k'!$J$7:$J$100,'15k'!$H$7:$H$100,$A255,'15k'!$I$7:$I$100,2)+SUMIFS('15l'!$J$7:$J$100,'15l'!$H$7:$H$100,$A255,'15l'!$I$7:$I$100,2)+SUMIFS('15m'!$J$7:$J$100,'15m'!$H$7:$H$100,$A255,'15m'!$I$7:$I$100,2)+SUMIFS('15n'!$J$7:$J$100,'15n'!$H$7:$H$100,$A255,'15n'!$I$7:$I$100,2)+SUMIFS('16'!$J$7:$J$100,'16'!$H$7:$H$100,$A255,'16'!$I$7:$I$100,2)+SUMIFS('16a'!$J$7:$J$100,'16a'!$H$7:$H$100,$A255,'16a'!$I$7:$I$100,2)+SUMIFS('17'!$J$7:$J$100,'17'!$H$7:$H$100,$A255,'17'!$I$7:$I$100,2)+SUMIFS('17a'!$J$7:$J$100,'17a'!$H$7:$H$100,$A255,'17a'!$I$7:$I$100,2)+SUMIFS('18'!$J$7:$J$100,'18'!$H$7:$H$100,$A255,'18'!$I$7:$I$100,2)+SUMIFS('18a'!$J$7:$J$100,'18a'!$H$7:$H$100,$A255,'18a'!$I$7:$I$100,2)
+SUMIFS('19'!$J$7:$J$100,'19'!$H$7:$H$100,$A255,'19'!$I$7:$I$100,2)+SUMIFS('20'!$J$7:$J$100,'20'!$H$7:$H$100,$A255,'20'!$I$7:$I$100,2)+SUMIFS('20a'!$J$7:$J$100,'20a'!$H$7:$H$100,$A255,'20a'!$I$7:$I$100,2)+SUMIFS('21'!$J$7:$J$100,'21'!$H$7:$H$100,$A255,'21'!$I$7:$I$100,2)+SUMIFS('22'!$J$7:$J$100,'22'!$H$7:$H$100,$A255,'22'!$I$7:$I$100,2)+SUMIFS('22a'!$J$7:$J$100,'22a'!$H$7:$H$100,$A255,'22a'!$I$7:$I$100,2)+SUMIFS('22b'!$J$7:$J$100,'22b'!$H$7:$H$100,$A255,'22b'!$I$7:$I$100,2)+SUMIFS('23'!$J$7:$J$100,'23'!$H$7:$H$100,$A255,'23'!$I$7:$I$100,2)+SUMIFS('24'!$J$7:$J$100,'24'!$H$7:$H$100,$A255,'24'!$I$7:$I$100,2)+SUMIFS('24a'!$J$7:$J$100,'24a'!$H$7:$H$100,$A255,'24a'!$I$7:$I$100,2)+SUMIFS('24b'!$J$7:$J$100,'24b'!$H$7:$H$100,$A255,'24b'!$I$7:$I$100,2)+SUMIFS('24c'!$J$7:$J$100,'24c'!$H$7:$H$100,$A255,'24c'!$I$7:$I$100,2)+SUMIFS('24d'!$J$7:$J$100,'24d'!$H$7:$H$100,$A255,'24d'!$I$7:$I$100,2)+SUMIFS('24e'!$J$7:$J$100,'24e'!$H$7:$H$100,$A255,'24e'!$I$7:$I$100,2)+SUMIFS('24f'!$J$7:$J$100,'24f'!$H$7:$H$100,$A255,'24f'!$I$7:$I$100,2)+SUMIFS('24g'!$J$7:$J$100,'24g'!$H$7:$H$100,$A255,'24g'!$I$7:$I$100,2)+SUMIFS('24h'!$J$7:$J$100,'24h'!$H$7:$H$100,$A255,'24h'!$I$7:$I$100,2)+SUMIFS('24i'!$J$7:$J$100,'24i'!$H$7:$H$100,$A255,'24i'!$I$7:$I$100,2)+SUMIFS('25'!$J$7:$J$100,'25'!$H$7:$H$100,$A255,'25'!$I$7:$I$100,2)+SUMIFS('26'!$J$7:$J$100,'26'!$H$7:$H$100,$A255,'26'!$I$7:$I$100,2)+SUMIFS('26a'!$J$7:$J$100,'26a'!$H$7:$H$100,$A255,'26a'!$I$7:$I$100,2)+SUMIFS('27'!$J$7:$J$100,'27'!$H$7:$H$100,$A255,'27'!$I$7:$I$100,2)+SUMIFS('27a'!$J$7:$J$100,'27a'!$H$7:$H$100,$A255,'27a'!$I$7:$I$100,2)+SUMIFS('28'!$J$7:$J$100,'28'!$H$7:$H$100,$A255,'28'!$I$7:$I$100,2)+SUMIFS('29'!$J$7:$J$100,'29'!$H$7:$H$100,$A255,'29'!$I$7:$I$100,2)</f>
        <v>0</v>
      </c>
      <c r="I255" s="1315">
        <f>SUMIFS('12'!$J$7:$J$100,'12'!$H$7:$H$100,$A255,'12'!$I$7:$I$100,"")+SUMIFS('13'!$J$7:$J$100,'13'!$H$7:$H$100,$A255,'13'!$I$7:$I$100,"")+SUMIFS('14'!$J$7:$J$100,'14'!$H$7:$H$100,$A255,'14'!$I$7:$I$100,"")+SUMIFS('15'!$J$7:$J$100,'15'!$H$7:$H$100,$A255,'15'!$I$7:$I$100,"")+SUMIFS('15a'!$J$7:$J$100,'15a'!$H$7:$H$100,$A255,'15a'!$I$7:$I$100,"")+SUMIFS('15b'!$J$7:$J$100,'15b'!$H$7:$H$100,$A255,'15b'!$I$7:$I$100,"")+SUMIFS('15c'!$J$7:$J$100,'15c'!$H$7:$H$100,$A255,'15c'!$I$7:$I$100,"")+SUMIFS('15d'!$J$7:$J$100,'15d'!$H$7:$H$100,$A255,'15d'!$I$7:$I$100,"")+SUMIFS('15e'!$J$7:$J$100,'15e'!$H$7:$H$100,$A255,'15e'!$I$7:$I$100,"")+SUMIFS('15f'!$J$7:$J$100,'15f'!$H$7:$H$100,$A255,'15f'!$I$7:$I$100,"")+SUMIFS('15g'!$J$7:$J$100,'15g'!$H$7:$H$100,$A255,'15g'!$I$7:$I$100,"")+SUMIFS('15h'!$J$7:$J$100,'15h'!$H$7:$H$100,$A255,'15h'!$I$7:$I$100,"")+SUMIFS('15i'!$J$7:$J$100,'15i'!$H$7:$H$100,$A255,'15i'!$I$7:$I$100,"")+SUMIFS('15j'!$J$7:$J$100,'15j'!$H$7:$H$100,$A255,'15j'!$I$7:$I$100,"")+SUMIFS('15k'!$J$7:$J$100,'15k'!$H$7:$H$100,$A255,'15k'!$I$7:$I$100,"")+SUMIFS('15l'!$J$7:$J$100,'15l'!$H$7:$H$100,$A255,'15l'!$I$7:$I$100,"")+SUMIFS('15m'!$J$7:$J$100,'15m'!$H$7:$H$100,$A255,'15m'!$I$7:$I$100,"")+SUMIFS('15n'!$J$7:$J$100,'15n'!$H$7:$H$100,$A255,'15n'!$I$7:$I$100,"")+SUMIFS('16'!$J$7:$J$100,'16'!$H$7:$H$100,$A255,'16'!$I$7:$I$100,"")+SUMIFS('16a'!$J$7:$J$100,'16a'!$H$7:$H$100,$A255,'16a'!$I$7:$I$100,"")+SUMIFS('17'!$J$7:$J$100,'17'!$H$7:$H$100,$A255,'17'!$I$7:$I$100,"")+SUMIFS('17a'!$J$7:$J$100,'17a'!$H$7:$H$100,$A255,'17a'!$I$7:$I$100,"")+SUMIFS('18'!$J$7:$J$100,'18'!$H$7:$H$100,$A255,'18'!$I$7:$I$100,"")+SUMIFS('18a'!$J$7:$J$100,'18a'!$H$7:$H$100,$A255,'18a'!$I$7:$I$100,"")
+SUMIFS('19'!$J$7:$J$100,'19'!$H$7:$H$100,$A255,'19'!$I$7:$I$100,"")+SUMIFS('20'!$J$7:$J$100,'20'!$H$7:$H$100,$A255,'20'!$I$7:$I$100,"")+SUMIFS('20a'!$J$7:$J$100,'20a'!$H$7:$H$100,$A255,'20a'!$I$7:$I$100,"")+SUMIFS('21'!$J$7:$J$100,'21'!$H$7:$H$100,$A255,'21'!$I$7:$I$100,"")+SUMIFS('22'!$J$7:$J$100,'22'!$H$7:$H$100,$A255,'22'!$I$7:$I$100,"")+SUMIFS('22a'!$J$7:$J$100,'22a'!$H$7:$H$100,$A255,'22a'!$I$7:$I$100,"")+SUMIFS('22b'!$J$7:$J$100,'22b'!$H$7:$H$100,$A255,'22b'!$I$7:$I$100,"")+SUMIFS('23'!$J$7:$J$100,'23'!$H$7:$H$100,$A255,'23'!$I$7:$I$100,"")+SUMIFS('24'!$J$7:$J$100,'24'!$H$7:$H$100,$A255,'24'!$I$7:$I$100,"")+SUMIFS('24a'!$J$7:$J$100,'24a'!$H$7:$H$100,$A255,'24a'!$I$7:$I$100,"")+SUMIFS('24b'!$J$7:$J$100,'24b'!$H$7:$H$100,$A255,'24b'!$I$7:$I$100,"")+SUMIFS('24c'!$J$7:$J$100,'24c'!$H$7:$H$100,$A255,'24c'!$I$7:$I$100,"")+SUMIFS('24d'!$J$7:$J$100,'24d'!$H$7:$H$100,$A255,'24d'!$I$7:$I$100,"")+SUMIFS('24e'!$J$7:$J$100,'24e'!$H$7:$H$100,$A255,'24e'!$I$7:$I$100,"")+SUMIFS('24f'!$J$7:$J$100,'24f'!$H$7:$H$100,$A255,'24f'!$I$7:$I$100,"")+SUMIFS('24g'!$J$7:$J$100,'24g'!$H$7:$H$100,$A255,'24g'!$I$7:$I$100,"")+SUMIFS('24h'!$J$7:$J$100,'24h'!$H$7:$H$100,$A255,'24h'!$I$7:$I$100,"")+SUMIFS('24i'!$J$7:$J$100,'24i'!$H$7:$H$100,$A255,'24i'!$I$7:$I$100,"")+SUMIFS('25'!$J$7:$J$100,'25'!$H$7:$H$100,$A255,'25'!$I$7:$I$100,"")+SUMIFS('26'!$J$7:$J$100,'26'!$H$7:$H$100,$A255,'26'!$I$7:$I$100,"")+SUMIFS('26a'!$J$7:$J$100,'26a'!$H$7:$H$100,$A255,'26a'!$I$7:$I$100,"")+SUMIFS('27'!$J$7:$J$100,'27'!$H$7:$H$100,$A255,'27'!$I$7:$I$100,"")+SUMIFS('27a'!$J$7:$J$100,'27a'!$H$7:$H$100,$A255,'27a'!$I$7:$I$100,"")+SUMIFS('28'!$J$7:$J$100,'28'!$H$7:$H$100,$A255,'28'!$I$7:$I$100,"")+SUMIFS('29'!$J$7:$J$100,'29'!$H$7:$H$100,$A255,'29'!$I$7:$I$100,"")</f>
        <v>0</v>
      </c>
      <c r="J255" s="1296">
        <f t="shared" si="25"/>
        <v>0</v>
      </c>
      <c r="K255"/>
      <c r="L255"/>
      <c r="M255"/>
      <c r="N255"/>
      <c r="O255"/>
      <c r="P255"/>
      <c r="Q255"/>
      <c r="R255"/>
      <c r="S255" s="1307">
        <f t="shared" si="14"/>
        <v>0</v>
      </c>
      <c r="T255"/>
    </row>
    <row r="256" spans="1:20" outlineLevel="1" x14ac:dyDescent="0.2">
      <c r="A256" t="s">
        <v>5171</v>
      </c>
      <c r="B256" t="s">
        <v>5499</v>
      </c>
      <c r="C256" s="1295">
        <f>SUMIFS('12'!$N$7:$N$100,'12'!$H$7:$H$100,$A256,'12'!$I$7:$I$100,1)+SUMIFS('13'!$N$7:$N$100,'13'!$H$7:$H$100,$A256,'13'!$I$7:$I$100,1)+SUMIFS('14'!$N$7:$N$100,'14'!$H$7:$H$100,$A256,'14'!$I$7:$I$100,1)+SUMIFS('15'!$N$7:$N$100,'15'!$H$7:$H$100,$A256,'15'!$I$7:$I$100,1)+SUMIFS('15a'!$N$7:$N$100,'15a'!$H$7:$H$100,$A256,'15a'!$I$7:$I$100,1)+SUMIFS('15b'!$N$7:$N$100,'15b'!$H$7:$H$100,$A256,'15b'!$I$7:$I$100,1)+SUMIFS('15c'!$N$7:$N$100,'15c'!$H$7:$H$100,$A256,'15c'!$I$7:$I$100,1)+SUMIFS('15d'!$N$7:$N$100,'15d'!$H$7:$H$100,$A256,'15d'!$I$7:$I$100,1)+SUMIFS('15e'!$N$7:$N$100,'15e'!$H$7:$H$100,$A256,'15e'!$I$7:$I$100,1)+SUMIFS('15f'!$N$7:$N$100,'15f'!$H$7:$H$100,$A256,'15f'!$I$7:$I$100,1)+SUMIFS('15g'!$N$7:$N$100,'15g'!$H$7:$H$100,$A256,'15g'!$I$7:$I$100,1)+SUMIFS('15h'!$N$7:$N$100,'15h'!$H$7:$H$100,$A256,'15h'!$I$7:$I$100,1)+SUMIFS('15i'!$N$7:$N$100,'15i'!$H$7:$H$100,$A256,'15i'!$I$7:$I$100,1)+SUMIFS('15j'!$N$7:$N$100,'15j'!$H$7:$H$100,$A256,'15j'!$I$7:$I$100,1)+SUMIFS('15k'!$N$7:$N$100,'15k'!$H$7:$H$100,$A256,'15k'!$I$7:$I$100,1)+SUMIFS('15l'!$N$7:$N$100,'15l'!$H$7:$H$100,$A256,'15l'!$I$7:$I$100,1)+SUMIFS('15m'!$N$7:$N$100,'15m'!$H$7:$H$100,$A256,'15m'!$I$7:$I$100,1)+SUMIFS('15n'!$N$7:$N$100,'15n'!$H$7:$H$100,$A256,'15n'!$I$7:$I$100,1)+SUMIFS('16'!$N$7:$N$100,'16'!$H$7:$H$100,$A256,'16'!$I$7:$I$100,1)+SUMIFS('16a'!$N$7:$N$100,'16a'!$H$7:$H$100,$A256,'16a'!$I$7:$I$100,1)+SUMIFS('17'!$N$7:$N$100,'17'!$H$7:$H$100,$A256,'17'!$I$7:$I$100,1)+SUMIFS('17a'!$N$7:$N$100,'17a'!$H$7:$H$100,$A256,'17a'!$I$7:$I$100,1)+SUMIFS('18'!$N$7:$N$100,'18'!$H$7:$H$100,$A256,'18'!$I$7:$I$100,1)+SUMIFS('18a'!$N$7:$N$100,'18a'!$H$7:$H$100,$A256,'18a'!$I$7:$I$100,1)
+SUMIFS('19'!$N$7:$N$100,'19'!$H$7:$H$100,$A256,'19'!$I$7:$I$100,1)+SUMIFS('20'!$N$7:$N$100,'20'!$H$7:$H$100,$A256,'20'!$I$7:$I$100,1)+SUMIFS('20a'!$N$7:$N$100,'20a'!$H$7:$H$100,$A256,'20a'!$I$7:$I$100,1)+SUMIFS('21'!$N$7:$N$100,'21'!$H$7:$H$100,$A256,'21'!$I$7:$I$100,1)+SUMIFS('22'!$N$7:$N$100,'22'!$H$7:$H$100,$A256,'22'!$I$7:$I$100,1)+SUMIFS('22a'!$N$7:$N$100,'22a'!$H$7:$H$100,$A256,'22a'!$I$7:$I$100,1)+SUMIFS('22b'!$N$7:$N$100,'22b'!$H$7:$H$100,$A256,'22b'!$I$7:$I$100,1)+SUMIFS('23'!$N$7:$N$100,'23'!$H$7:$H$100,$A256,'23'!$I$7:$I$100,1)+SUMIFS('24'!$N$7:$N$100,'24'!$H$7:$H$100,$A256,'24'!$I$7:$I$100,1)+SUMIFS('24a'!$N$7:$N$100,'24a'!$H$7:$H$100,$A256,'24a'!$I$7:$I$100,1)+SUMIFS('24b'!$N$7:$N$100,'24b'!$H$7:$H$100,$A256,'24b'!$I$7:$I$100,1)+SUMIFS('24c'!$N$7:$N$100,'24c'!$H$7:$H$100,$A256,'24c'!$I$7:$I$100,1)+SUMIFS('24d'!$N$7:$N$100,'24d'!$H$7:$H$100,$A256,'24d'!$I$7:$I$100,1)+SUMIFS('24e'!$N$7:$N$100,'24e'!$H$7:$H$100,$A256,'24e'!$I$7:$I$100,1)+SUMIFS('24f'!$N$7:$N$100,'24f'!$H$7:$H$100,$A256,'24f'!$I$7:$I$100,1)+SUMIFS('24g'!$N$7:$N$100,'24g'!$H$7:$H$100,$A256,'24g'!$I$7:$I$100,1)+SUMIFS('24h'!$N$7:$N$100,'24h'!$H$7:$H$100,$A256,'24h'!$I$7:$I$100,1)+SUMIFS('24i'!$N$7:$N$100,'24i'!$H$7:$H$100,$A256,'24i'!$I$7:$I$100,1)+SUMIFS('25'!$N$7:$N$100,'25'!$H$7:$H$100,$A256,'25'!$I$7:$I$100,1)+SUMIFS('26'!$N$7:$N$100,'26'!$H$7:$H$100,$A256,'26'!$I$7:$I$100,1)+SUMIFS('26a'!$N$7:$N$100,'26a'!$H$7:$H$100,$A256,'26a'!$I$7:$I$100,1)+SUMIFS('27'!$N$7:$N$100,'27'!$H$7:$H$100,$A256,'27'!$I$7:$I$100,1)+SUMIFS('27a'!$N$7:$N$100,'27a'!$H$7:$H$100,$A256,'27a'!$I$7:$I$100,1)+SUMIFS('28'!$N$7:$N$100,'28'!$H$7:$H$100,$A256,'28'!$I$7:$I$100,1)+SUMIFS('29'!$N$7:$N$100,'29'!$H$7:$H$100,$A256,'29'!$I$7:$I$100,1)</f>
        <v>0</v>
      </c>
      <c r="D256" s="1315">
        <f>SUMIFS('12'!$N$7:$N$100,'12'!$H$7:$H$100,$A256,'12'!$I$7:$I$100,2)+SUMIFS('13'!$N$7:$N$100,'13'!$H$7:$H$100,$A256,'13'!$I$7:$I$100,2)+SUMIFS('14'!$N$7:$N$100,'14'!$H$7:$H$100,$A256,'14'!$I$7:$I$100,2)+SUMIFS('15'!$N$7:$N$100,'15'!$H$7:$H$100,$A256,'15'!$I$7:$I$100,2)+SUMIFS('15a'!$N$7:$N$100,'15a'!$H$7:$H$100,$A256,'15a'!$I$7:$I$100,2)+SUMIFS('15b'!$N$7:$N$100,'15b'!$H$7:$H$100,$A256,'15b'!$I$7:$I$100,2)+SUMIFS('15c'!$N$7:$N$100,'15c'!$H$7:$H$100,$A256,'15c'!$I$7:$I$100,2)+SUMIFS('15d'!$N$7:$N$100,'15d'!$H$7:$H$100,$A256,'15d'!$I$7:$I$100,2)+SUMIFS('15e'!$N$7:$N$100,'15e'!$H$7:$H$100,$A256,'15e'!$I$7:$I$100,2)+SUMIFS('15f'!$N$7:$N$100,'15f'!$H$7:$H$100,$A256,'15f'!$I$7:$I$100,2)+SUMIFS('15g'!$N$7:$N$100,'15g'!$H$7:$H$100,$A256,'15g'!$I$7:$I$100,2)+SUMIFS('15h'!$N$7:$N$100,'15h'!$H$7:$H$100,$A256,'15h'!$I$7:$I$100,2)+SUMIFS('15i'!$N$7:$N$100,'15i'!$H$7:$H$100,$A256,'15i'!$I$7:$I$100,2)+SUMIFS('15j'!$N$7:$N$100,'15j'!$H$7:$H$100,$A256,'15j'!$I$7:$I$100,2)+SUMIFS('15k'!$N$7:$N$100,'15k'!$H$7:$H$100,$A256,'15k'!$I$7:$I$100,2)+SUMIFS('15l'!$N$7:$N$100,'15l'!$H$7:$H$100,$A256,'15l'!$I$7:$I$100,2)+SUMIFS('15m'!$N$7:$N$100,'15m'!$H$7:$H$100,$A256,'15m'!$I$7:$I$100,2)+SUMIFS('15n'!$N$7:$N$100,'15n'!$H$7:$H$100,$A256,'15n'!$I$7:$I$100,2)+SUMIFS('16'!$N$7:$N$100,'16'!$H$7:$H$100,$A256,'16'!$I$7:$I$100,2)+SUMIFS('16a'!$N$7:$N$100,'16a'!$H$7:$H$100,$A256,'16a'!$I$7:$I$100,2)+SUMIFS('17'!$N$7:$N$100,'17'!$H$7:$H$100,$A256,'17'!$I$7:$I$100,2)+SUMIFS('17a'!$N$7:$N$100,'17a'!$H$7:$H$100,$A256,'17a'!$I$7:$I$100,2)+SUMIFS('18'!$N$7:$N$100,'18'!$H$7:$H$100,$A256,'18'!$I$7:$I$100,2)+SUMIFS('18a'!$N$7:$N$100,'18a'!$H$7:$H$100,$A256,'18a'!$I$7:$I$100,2)
+SUMIFS('19'!$N$7:$N$100,'19'!$H$7:$H$100,$A256,'19'!$I$7:$I$100,2)+SUMIFS('20'!$N$7:$N$100,'20'!$H$7:$H$100,$A256,'20'!$I$7:$I$100,2)+SUMIFS('20a'!$N$7:$N$100,'20a'!$H$7:$H$100,$A256,'20a'!$I$7:$I$100,2)+SUMIFS('21'!$N$7:$N$100,'21'!$H$7:$H$100,$A256,'21'!$I$7:$I$100,2)+SUMIFS('22'!$N$7:$N$100,'22'!$H$7:$H$100,$A256,'22'!$I$7:$I$100,2)+SUMIFS('22a'!$N$7:$N$100,'22a'!$H$7:$H$100,$A256,'22a'!$I$7:$I$100,2)+SUMIFS('22b'!$N$7:$N$100,'22b'!$H$7:$H$100,$A256,'22b'!$I$7:$I$100,2)+SUMIFS('23'!$N$7:$N$100,'23'!$H$7:$H$100,$A256,'23'!$I$7:$I$100,2)+SUMIFS('24'!$N$7:$N$100,'24'!$H$7:$H$100,$A256,'24'!$I$7:$I$100,2)+SUMIFS('24a'!$N$7:$N$100,'24a'!$H$7:$H$100,$A256,'24a'!$I$7:$I$100,2)+SUMIFS('24b'!$N$7:$N$100,'24b'!$H$7:$H$100,$A256,'24b'!$I$7:$I$100,2)+SUMIFS('24c'!$N$7:$N$100,'24c'!$H$7:$H$100,$A256,'24c'!$I$7:$I$100,2)+SUMIFS('24d'!$N$7:$N$100,'24d'!$H$7:$H$100,$A256,'24d'!$I$7:$I$100,2)+SUMIFS('24e'!$N$7:$N$100,'24e'!$H$7:$H$100,$A256,'24e'!$I$7:$I$100,2)+SUMIFS('24f'!$N$7:$N$100,'24f'!$H$7:$H$100,$A256,'24f'!$I$7:$I$100,2)+SUMIFS('24g'!$N$7:$N$100,'24g'!$H$7:$H$100,$A256,'24g'!$I$7:$I$100,2)+SUMIFS('24h'!$N$7:$N$100,'24h'!$H$7:$H$100,$A256,'24h'!$I$7:$I$100,2)+SUMIFS('24i'!$N$7:$N$100,'24i'!$H$7:$H$100,$A256,'24i'!$I$7:$I$100,2)+SUMIFS('25'!$N$7:$N$100,'25'!$H$7:$H$100,$A256,'25'!$I$7:$I$100,2)+SUMIFS('26'!$N$7:$N$100,'26'!$H$7:$H$100,$A256,'26'!$I$7:$I$100,2)+SUMIFS('26a'!$N$7:$N$100,'26a'!$H$7:$H$100,$A256,'26a'!$I$7:$I$100,2)+SUMIFS('27'!$N$7:$N$100,'27'!$H$7:$H$100,$A256,'27'!$I$7:$I$100,2)+SUMIFS('27a'!$N$7:$N$100,'27a'!$H$7:$H$100,$A256,'27a'!$I$7:$I$100,2)+SUMIFS('28'!$N$7:$N$100,'28'!$H$7:$H$100,$A256,'28'!$I$7:$I$100,2)+SUMIFS('29'!$N$7:$N$100,'29'!$H$7:$H$100,$A256,'29'!$I$7:$I$100,2)</f>
        <v>0</v>
      </c>
      <c r="E256" s="1315">
        <f>SUMIFS('12'!$N$7:$N$100,'12'!$H$7:$H$100,$A256,'12'!$I$7:$I$100,"")+SUMIFS('13'!$N$7:$N$100,'13'!$H$7:$H$100,$A256,'13'!$I$7:$I$100,"")+SUMIFS('14'!$N$7:$N$100,'14'!$H$7:$H$100,$A256,'14'!$I$7:$I$100,"")+SUMIFS('15'!$N$7:$N$100,'15'!$H$7:$H$100,$A256,'15'!$I$7:$I$100,"")+SUMIFS('15a'!$N$7:$N$100,'15a'!$H$7:$H$100,$A256,'15a'!$I$7:$I$100,"")+SUMIFS('15b'!$N$7:$N$100,'15b'!$H$7:$H$100,$A256,'15b'!$I$7:$I$100,"")+SUMIFS('15c'!$N$7:$N$100,'15c'!$H$7:$H$100,$A256,'15c'!$I$7:$I$100,"")+SUMIFS('15d'!$N$7:$N$100,'15d'!$H$7:$H$100,$A256,'15d'!$I$7:$I$100,"")+SUMIFS('15e'!$N$7:$N$100,'15e'!$H$7:$H$100,$A256,'15e'!$I$7:$I$100,"")+SUMIFS('15f'!$N$7:$N$100,'15f'!$H$7:$H$100,$A256,'15f'!$I$7:$I$100,"")+SUMIFS('15g'!$N$7:$N$100,'15g'!$H$7:$H$100,$A256,'15g'!$I$7:$I$100,"")+SUMIFS('15h'!$N$7:$N$100,'15h'!$H$7:$H$100,$A256,'15h'!$I$7:$I$100,"")+SUMIFS('15i'!$N$7:$N$100,'15i'!$H$7:$H$100,$A256,'15i'!$I$7:$I$100,"")+SUMIFS('15j'!$N$7:$N$100,'15j'!$H$7:$H$100,$A256,'15j'!$I$7:$I$100,"")+SUMIFS('15k'!$N$7:$N$100,'15k'!$H$7:$H$100,$A256,'15k'!$I$7:$I$100,"")+SUMIFS('15l'!$N$7:$N$100,'15l'!$H$7:$H$100,$A256,'15l'!$I$7:$I$100,"")+SUMIFS('15m'!$N$7:$N$100,'15m'!$H$7:$H$100,$A256,'15m'!$I$7:$I$100,"")+SUMIFS('15n'!$N$7:$N$100,'15n'!$H$7:$H$100,$A256,'15n'!$I$7:$I$100,"")+SUMIFS('16'!$N$7:$N$100,'16'!$H$7:$H$100,$A256,'16'!$I$7:$I$100,"")+SUMIFS('16a'!$N$7:$N$100,'16a'!$H$7:$H$100,$A256,'16a'!$I$7:$I$100,"")+SUMIFS('17'!$N$7:$N$100,'17'!$H$7:$H$100,$A256,'17'!$I$7:$I$100,"")+SUMIFS('17a'!$N$7:$N$100,'17a'!$H$7:$H$100,$A256,'17a'!$I$7:$I$100,"")+SUMIFS('18'!$N$7:$N$100,'18'!$H$7:$H$100,$A256,'18'!$I$7:$I$100,"")+SUMIFS('18a'!$N$7:$N$100,'18a'!$H$7:$H$100,$A256,'18a'!$I$7:$I$100,"")
+SUMIFS('19'!$N$7:$N$100,'19'!$H$7:$H$100,$A256,'19'!$I$7:$I$100,"")+SUMIFS('20'!$N$7:$N$100,'20'!$H$7:$H$100,$A256,'20'!$I$7:$I$100,"")+SUMIFS('20a'!$N$7:$N$100,'20a'!$H$7:$H$100,$A256,'20a'!$I$7:$I$100,"")+SUMIFS('21'!$N$7:$N$100,'21'!$H$7:$H$100,$A256,'21'!$I$7:$I$100,"")+SUMIFS('22'!$N$7:$N$100,'22'!$H$7:$H$100,$A256,'22'!$I$7:$I$100,"")+SUMIFS('22a'!$N$7:$N$100,'22a'!$H$7:$H$100,$A256,'22a'!$I$7:$I$100,"")+SUMIFS('22b'!$N$7:$N$100,'22b'!$H$7:$H$100,$A256,'22b'!$I$7:$I$100,"")+SUMIFS('23'!$N$7:$N$100,'23'!$H$7:$H$100,$A256,'23'!$I$7:$I$100,"")+SUMIFS('24'!$N$7:$N$100,'24'!$H$7:$H$100,$A256,'24'!$I$7:$I$100,"")+SUMIFS('24a'!$N$7:$N$100,'24a'!$H$7:$H$100,$A256,'24a'!$I$7:$I$100,"")+SUMIFS('24b'!$N$7:$N$100,'24b'!$H$7:$H$100,$A256,'24b'!$I$7:$I$100,"")+SUMIFS('24c'!$N$7:$N$100,'24c'!$H$7:$H$100,$A256,'24c'!$I$7:$I$100,"")+SUMIFS('24d'!$N$7:$N$100,'24d'!$H$7:$H$100,$A256,'24d'!$I$7:$I$100,"")+SUMIFS('24e'!$N$7:$N$100,'24e'!$H$7:$H$100,$A256,'24e'!$I$7:$I$100,"")+SUMIFS('24f'!$N$7:$N$100,'24f'!$H$7:$H$100,$A256,'24f'!$I$7:$I$100,"")+SUMIFS('24g'!$N$7:$N$100,'24g'!$H$7:$H$100,$A256,'24g'!$I$7:$I$100,"")+SUMIFS('24h'!$N$7:$N$100,'24h'!$H$7:$H$100,$A256,'24h'!$I$7:$I$100,"")+SUMIFS('24i'!$N$7:$N$100,'24i'!$H$7:$H$100,$A256,'24i'!$I$7:$I$100,"")+SUMIFS('25'!$N$7:$N$100,'25'!$H$7:$H$100,$A256,'25'!$I$7:$I$100,"")+SUMIFS('26'!$N$7:$N$100,'26'!$H$7:$H$100,$A256,'26'!$I$7:$I$100,"")+SUMIFS('26a'!$N$7:$N$100,'26a'!$H$7:$H$100,$A256,'26a'!$I$7:$I$100,"")+SUMIFS('27'!$N$7:$N$100,'27'!$H$7:$H$100,$A256,'27'!$I$7:$I$100,"")+SUMIFS('27a'!$N$7:$N$100,'27a'!$H$7:$H$100,$A256,'27a'!$I$7:$I$100,"")+SUMIFS('28'!$N$7:$N$100,'28'!$H$7:$H$100,$A256,'28'!$I$7:$I$100,"")+SUMIFS('29'!$N$7:$N$100,'29'!$H$7:$H$100,$A256,'29'!$I$7:$I$100,"")</f>
        <v>0</v>
      </c>
      <c r="F256" s="1296">
        <f t="shared" si="24"/>
        <v>0</v>
      </c>
      <c r="G256" s="1295">
        <f>SUMIFS('12'!$J$7:$J$100,'12'!$H$7:$H$100,$A256,'12'!$I$7:$I$100,1)+SUMIFS('13'!$J$7:$J$100,'13'!$H$7:$H$100,$A256,'13'!$I$7:$I$100,1)+SUMIFS('14'!$J$7:$J$100,'14'!$H$7:$H$100,$A256,'14'!$I$7:$I$100,1)+SUMIFS('15'!$J$7:$J$100,'15'!$H$7:$H$100,$A256,'15'!$I$7:$I$100,1)+SUMIFS('15a'!$J$7:$J$100,'15a'!$H$7:$H$100,$A256,'15a'!$I$7:$I$100,1)+SUMIFS('15b'!$J$7:$J$100,'15b'!$H$7:$H$100,$A256,'15b'!$I$7:$I$100,1)+SUMIFS('15c'!$J$7:$J$100,'15c'!$H$7:$H$100,$A256,'15c'!$I$7:$I$100,1)+SUMIFS('15d'!$J$7:$J$100,'15d'!$H$7:$H$100,$A256,'15d'!$I$7:$I$100,1)+SUMIFS('15e'!$J$7:$J$100,'15e'!$H$7:$H$100,$A256,'15e'!$I$7:$I$100,1)+SUMIFS('15f'!$J$7:$J$100,'15f'!$H$7:$H$100,$A256,'15f'!$I$7:$I$100,1)+SUMIFS('15g'!$J$7:$J$100,'15g'!$H$7:$H$100,$A256,'15g'!$I$7:$I$100,1)+SUMIFS('15h'!$J$7:$J$100,'15h'!$H$7:$H$100,$A256,'15h'!$I$7:$I$100,1)+SUMIFS('15i'!$J$7:$J$100,'15i'!$H$7:$H$100,$A256,'15i'!$I$7:$I$100,1)+SUMIFS('15j'!$J$7:$J$100,'15j'!$H$7:$H$100,$A256,'15j'!$I$7:$I$100,1)+SUMIFS('15k'!$J$7:$J$100,'15k'!$H$7:$H$100,$A256,'15k'!$I$7:$I$100,1)+SUMIFS('15l'!$J$7:$J$100,'15l'!$H$7:$H$100,$A256,'15l'!$I$7:$I$100,1)+SUMIFS('15m'!$J$7:$J$100,'15m'!$H$7:$H$100,$A256,'15m'!$I$7:$I$100,1)+SUMIFS('15n'!$J$7:$J$100,'15n'!$H$7:$H$100,$A256,'15n'!$I$7:$I$100,1)+SUMIFS('16'!$J$7:$J$100,'16'!$H$7:$H$100,$A256,'16'!$I$7:$I$100,1)+SUMIFS('16a'!$J$7:$J$100,'16a'!$H$7:$H$100,$A256,'16a'!$I$7:$I$100,1)+SUMIFS('17'!$J$7:$J$100,'17'!$H$7:$H$100,$A256,'17'!$I$7:$I$100,1)+SUMIFS('17a'!$J$7:$J$100,'17a'!$H$7:$H$100,$A256,'17a'!$I$7:$I$100,1)+SUMIFS('18'!$J$7:$J$100,'18'!$H$7:$H$100,$A256,'18'!$I$7:$I$100,1)+SUMIFS('18a'!$J$7:$J$100,'18a'!$H$7:$H$100,$A256,'18a'!$I$7:$I$100,1)
+SUMIFS('19'!$J$7:$J$100,'19'!$H$7:$H$100,$A256,'19'!$I$7:$I$100,1)+SUMIFS('20'!$J$7:$J$100,'20'!$H$7:$H$100,$A256,'20'!$I$7:$I$100,1)+SUMIFS('20a'!$J$7:$J$100,'20a'!$H$7:$H$100,$A256,'20a'!$I$7:$I$100,1)+SUMIFS('21'!$J$7:$J$100,'21'!$H$7:$H$100,$A256,'21'!$I$7:$I$100,1)+SUMIFS('22'!$J$7:$J$100,'22'!$H$7:$H$100,$A256,'22'!$I$7:$I$100,1)+SUMIFS('22a'!$J$7:$J$100,'22a'!$H$7:$H$100,$A256,'22a'!$I$7:$I$100,1)+SUMIFS('22b'!$J$7:$J$100,'22b'!$H$7:$H$100,$A256,'22b'!$I$7:$I$100,1)+SUMIFS('23'!$J$7:$J$100,'23'!$H$7:$H$100,$A256,'23'!$I$7:$I$100,1)+SUMIFS('24'!$J$7:$J$100,'24'!$H$7:$H$100,$A256,'24'!$I$7:$I$100,1)+SUMIFS('24a'!$J$7:$J$100,'24a'!$H$7:$H$100,$A256,'24a'!$I$7:$I$100,1)+SUMIFS('24b'!$J$7:$J$100,'24b'!$H$7:$H$100,$A256,'24b'!$I$7:$I$100,1)+SUMIFS('24c'!$J$7:$J$100,'24c'!$H$7:$H$100,$A256,'24c'!$I$7:$I$100,1)+SUMIFS('24d'!$J$7:$J$100,'24d'!$H$7:$H$100,$A256,'24d'!$I$7:$I$100,1)+SUMIFS('24e'!$J$7:$J$100,'24e'!$H$7:$H$100,$A256,'24e'!$I$7:$I$100,1)+SUMIFS('24f'!$J$7:$J$100,'24f'!$H$7:$H$100,$A256,'24f'!$I$7:$I$100,1)+SUMIFS('24g'!$J$7:$J$100,'24g'!$H$7:$H$100,$A256,'24g'!$I$7:$I$100,1)+SUMIFS('24h'!$J$7:$J$100,'24h'!$H$7:$H$100,$A256,'24h'!$I$7:$I$100,1)+SUMIFS('24i'!$J$7:$J$100,'24i'!$H$7:$H$100,$A256,'24i'!$I$7:$I$100,1)+SUMIFS('25'!$J$7:$J$100,'25'!$H$7:$H$100,$A256,'25'!$I$7:$I$100,1)+SUMIFS('26'!$J$7:$J$100,'26'!$H$7:$H$100,$A256,'26'!$I$7:$I$100,1)+SUMIFS('26a'!$J$7:$J$100,'26a'!$H$7:$H$100,$A256,'26a'!$I$7:$I$100,1)+SUMIFS('27'!$J$7:$J$100,'27'!$H$7:$H$100,$A256,'27'!$I$7:$I$100,1)+SUMIFS('27a'!$J$7:$J$100,'27a'!$H$7:$H$100,$A256,'27a'!$I$7:$I$100,1)+SUMIFS('28'!$J$7:$J$100,'28'!$H$7:$H$100,$A256,'28'!$I$7:$I$100,1)+SUMIFS('29'!$J$7:$J$100,'29'!$H$7:$H$100,$A256,'29'!$I$7:$I$100,1)</f>
        <v>0</v>
      </c>
      <c r="H256" s="1315">
        <f>SUMIFS('12'!$J$7:$J$100,'12'!$H$7:$H$100,$A256,'12'!$I$7:$I$100,2)+SUMIFS('13'!$J$7:$J$100,'13'!$H$7:$H$100,$A256,'13'!$I$7:$I$100,2)+SUMIFS('14'!$J$7:$J$100,'14'!$H$7:$H$100,$A256,'14'!$I$7:$I$100,2)+SUMIFS('15'!$J$7:$J$100,'15'!$H$7:$H$100,$A256,'15'!$I$7:$I$100,2)+SUMIFS('15a'!$J$7:$J$100,'15a'!$H$7:$H$100,$A256,'15a'!$I$7:$I$100,2)+SUMIFS('15b'!$J$7:$J$100,'15b'!$H$7:$H$100,$A256,'15b'!$I$7:$I$100,2)+SUMIFS('15c'!$J$7:$J$100,'15c'!$H$7:$H$100,$A256,'15c'!$I$7:$I$100,2)+SUMIFS('15d'!$J$7:$J$100,'15d'!$H$7:$H$100,$A256,'15d'!$I$7:$I$100,2)+SUMIFS('15e'!$J$7:$J$100,'15e'!$H$7:$H$100,$A256,'15e'!$I$7:$I$100,2)+SUMIFS('15f'!$J$7:$J$100,'15f'!$H$7:$H$100,$A256,'15f'!$I$7:$I$100,2)+SUMIFS('15g'!$J$7:$J$100,'15g'!$H$7:$H$100,$A256,'15g'!$I$7:$I$100,2)+SUMIFS('15h'!$J$7:$J$100,'15h'!$H$7:$H$100,$A256,'15h'!$I$7:$I$100,2)+SUMIFS('15i'!$J$7:$J$100,'15i'!$H$7:$H$100,$A256,'15i'!$I$7:$I$100,2)+SUMIFS('15j'!$J$7:$J$100,'15j'!$H$7:$H$100,$A256,'15j'!$I$7:$I$100,2)+SUMIFS('15k'!$J$7:$J$100,'15k'!$H$7:$H$100,$A256,'15k'!$I$7:$I$100,2)+SUMIFS('15l'!$J$7:$J$100,'15l'!$H$7:$H$100,$A256,'15l'!$I$7:$I$100,2)+SUMIFS('15m'!$J$7:$J$100,'15m'!$H$7:$H$100,$A256,'15m'!$I$7:$I$100,2)+SUMIFS('15n'!$J$7:$J$100,'15n'!$H$7:$H$100,$A256,'15n'!$I$7:$I$100,2)+SUMIFS('16'!$J$7:$J$100,'16'!$H$7:$H$100,$A256,'16'!$I$7:$I$100,2)+SUMIFS('16a'!$J$7:$J$100,'16a'!$H$7:$H$100,$A256,'16a'!$I$7:$I$100,2)+SUMIFS('17'!$J$7:$J$100,'17'!$H$7:$H$100,$A256,'17'!$I$7:$I$100,2)+SUMIFS('17a'!$J$7:$J$100,'17a'!$H$7:$H$100,$A256,'17a'!$I$7:$I$100,2)+SUMIFS('18'!$J$7:$J$100,'18'!$H$7:$H$100,$A256,'18'!$I$7:$I$100,2)+SUMIFS('18a'!$J$7:$J$100,'18a'!$H$7:$H$100,$A256,'18a'!$I$7:$I$100,2)
+SUMIFS('19'!$J$7:$J$100,'19'!$H$7:$H$100,$A256,'19'!$I$7:$I$100,2)+SUMIFS('20'!$J$7:$J$100,'20'!$H$7:$H$100,$A256,'20'!$I$7:$I$100,2)+SUMIFS('20a'!$J$7:$J$100,'20a'!$H$7:$H$100,$A256,'20a'!$I$7:$I$100,2)+SUMIFS('21'!$J$7:$J$100,'21'!$H$7:$H$100,$A256,'21'!$I$7:$I$100,2)+SUMIFS('22'!$J$7:$J$100,'22'!$H$7:$H$100,$A256,'22'!$I$7:$I$100,2)+SUMIFS('22a'!$J$7:$J$100,'22a'!$H$7:$H$100,$A256,'22a'!$I$7:$I$100,2)+SUMIFS('22b'!$J$7:$J$100,'22b'!$H$7:$H$100,$A256,'22b'!$I$7:$I$100,2)+SUMIFS('23'!$J$7:$J$100,'23'!$H$7:$H$100,$A256,'23'!$I$7:$I$100,2)+SUMIFS('24'!$J$7:$J$100,'24'!$H$7:$H$100,$A256,'24'!$I$7:$I$100,2)+SUMIFS('24a'!$J$7:$J$100,'24a'!$H$7:$H$100,$A256,'24a'!$I$7:$I$100,2)+SUMIFS('24b'!$J$7:$J$100,'24b'!$H$7:$H$100,$A256,'24b'!$I$7:$I$100,2)+SUMIFS('24c'!$J$7:$J$100,'24c'!$H$7:$H$100,$A256,'24c'!$I$7:$I$100,2)+SUMIFS('24d'!$J$7:$J$100,'24d'!$H$7:$H$100,$A256,'24d'!$I$7:$I$100,2)+SUMIFS('24e'!$J$7:$J$100,'24e'!$H$7:$H$100,$A256,'24e'!$I$7:$I$100,2)+SUMIFS('24f'!$J$7:$J$100,'24f'!$H$7:$H$100,$A256,'24f'!$I$7:$I$100,2)+SUMIFS('24g'!$J$7:$J$100,'24g'!$H$7:$H$100,$A256,'24g'!$I$7:$I$100,2)+SUMIFS('24h'!$J$7:$J$100,'24h'!$H$7:$H$100,$A256,'24h'!$I$7:$I$100,2)+SUMIFS('24i'!$J$7:$J$100,'24i'!$H$7:$H$100,$A256,'24i'!$I$7:$I$100,2)+SUMIFS('25'!$J$7:$J$100,'25'!$H$7:$H$100,$A256,'25'!$I$7:$I$100,2)+SUMIFS('26'!$J$7:$J$100,'26'!$H$7:$H$100,$A256,'26'!$I$7:$I$100,2)+SUMIFS('26a'!$J$7:$J$100,'26a'!$H$7:$H$100,$A256,'26a'!$I$7:$I$100,2)+SUMIFS('27'!$J$7:$J$100,'27'!$H$7:$H$100,$A256,'27'!$I$7:$I$100,2)+SUMIFS('27a'!$J$7:$J$100,'27a'!$H$7:$H$100,$A256,'27a'!$I$7:$I$100,2)+SUMIFS('28'!$J$7:$J$100,'28'!$H$7:$H$100,$A256,'28'!$I$7:$I$100,2)+SUMIFS('29'!$J$7:$J$100,'29'!$H$7:$H$100,$A256,'29'!$I$7:$I$100,2)</f>
        <v>0</v>
      </c>
      <c r="I256" s="1315">
        <f>SUMIFS('12'!$J$7:$J$100,'12'!$H$7:$H$100,$A256,'12'!$I$7:$I$100,"")+SUMIFS('13'!$J$7:$J$100,'13'!$H$7:$H$100,$A256,'13'!$I$7:$I$100,"")+SUMIFS('14'!$J$7:$J$100,'14'!$H$7:$H$100,$A256,'14'!$I$7:$I$100,"")+SUMIFS('15'!$J$7:$J$100,'15'!$H$7:$H$100,$A256,'15'!$I$7:$I$100,"")+SUMIFS('15a'!$J$7:$J$100,'15a'!$H$7:$H$100,$A256,'15a'!$I$7:$I$100,"")+SUMIFS('15b'!$J$7:$J$100,'15b'!$H$7:$H$100,$A256,'15b'!$I$7:$I$100,"")+SUMIFS('15c'!$J$7:$J$100,'15c'!$H$7:$H$100,$A256,'15c'!$I$7:$I$100,"")+SUMIFS('15d'!$J$7:$J$100,'15d'!$H$7:$H$100,$A256,'15d'!$I$7:$I$100,"")+SUMIFS('15e'!$J$7:$J$100,'15e'!$H$7:$H$100,$A256,'15e'!$I$7:$I$100,"")+SUMIFS('15f'!$J$7:$J$100,'15f'!$H$7:$H$100,$A256,'15f'!$I$7:$I$100,"")+SUMIFS('15g'!$J$7:$J$100,'15g'!$H$7:$H$100,$A256,'15g'!$I$7:$I$100,"")+SUMIFS('15h'!$J$7:$J$100,'15h'!$H$7:$H$100,$A256,'15h'!$I$7:$I$100,"")+SUMIFS('15i'!$J$7:$J$100,'15i'!$H$7:$H$100,$A256,'15i'!$I$7:$I$100,"")+SUMIFS('15j'!$J$7:$J$100,'15j'!$H$7:$H$100,$A256,'15j'!$I$7:$I$100,"")+SUMIFS('15k'!$J$7:$J$100,'15k'!$H$7:$H$100,$A256,'15k'!$I$7:$I$100,"")+SUMIFS('15l'!$J$7:$J$100,'15l'!$H$7:$H$100,$A256,'15l'!$I$7:$I$100,"")+SUMIFS('15m'!$J$7:$J$100,'15m'!$H$7:$H$100,$A256,'15m'!$I$7:$I$100,"")+SUMIFS('15n'!$J$7:$J$100,'15n'!$H$7:$H$100,$A256,'15n'!$I$7:$I$100,"")+SUMIFS('16'!$J$7:$J$100,'16'!$H$7:$H$100,$A256,'16'!$I$7:$I$100,"")+SUMIFS('16a'!$J$7:$J$100,'16a'!$H$7:$H$100,$A256,'16a'!$I$7:$I$100,"")+SUMIFS('17'!$J$7:$J$100,'17'!$H$7:$H$100,$A256,'17'!$I$7:$I$100,"")+SUMIFS('17a'!$J$7:$J$100,'17a'!$H$7:$H$100,$A256,'17a'!$I$7:$I$100,"")+SUMIFS('18'!$J$7:$J$100,'18'!$H$7:$H$100,$A256,'18'!$I$7:$I$100,"")+SUMIFS('18a'!$J$7:$J$100,'18a'!$H$7:$H$100,$A256,'18a'!$I$7:$I$100,"")
+SUMIFS('19'!$J$7:$J$100,'19'!$H$7:$H$100,$A256,'19'!$I$7:$I$100,"")+SUMIFS('20'!$J$7:$J$100,'20'!$H$7:$H$100,$A256,'20'!$I$7:$I$100,"")+SUMIFS('20a'!$J$7:$J$100,'20a'!$H$7:$H$100,$A256,'20a'!$I$7:$I$100,"")+SUMIFS('21'!$J$7:$J$100,'21'!$H$7:$H$100,$A256,'21'!$I$7:$I$100,"")+SUMIFS('22'!$J$7:$J$100,'22'!$H$7:$H$100,$A256,'22'!$I$7:$I$100,"")+SUMIFS('22a'!$J$7:$J$100,'22a'!$H$7:$H$100,$A256,'22a'!$I$7:$I$100,"")+SUMIFS('22b'!$J$7:$J$100,'22b'!$H$7:$H$100,$A256,'22b'!$I$7:$I$100,"")+SUMIFS('23'!$J$7:$J$100,'23'!$H$7:$H$100,$A256,'23'!$I$7:$I$100,"")+SUMIFS('24'!$J$7:$J$100,'24'!$H$7:$H$100,$A256,'24'!$I$7:$I$100,"")+SUMIFS('24a'!$J$7:$J$100,'24a'!$H$7:$H$100,$A256,'24a'!$I$7:$I$100,"")+SUMIFS('24b'!$J$7:$J$100,'24b'!$H$7:$H$100,$A256,'24b'!$I$7:$I$100,"")+SUMIFS('24c'!$J$7:$J$100,'24c'!$H$7:$H$100,$A256,'24c'!$I$7:$I$100,"")+SUMIFS('24d'!$J$7:$J$100,'24d'!$H$7:$H$100,$A256,'24d'!$I$7:$I$100,"")+SUMIFS('24e'!$J$7:$J$100,'24e'!$H$7:$H$100,$A256,'24e'!$I$7:$I$100,"")+SUMIFS('24f'!$J$7:$J$100,'24f'!$H$7:$H$100,$A256,'24f'!$I$7:$I$100,"")+SUMIFS('24g'!$J$7:$J$100,'24g'!$H$7:$H$100,$A256,'24g'!$I$7:$I$100,"")+SUMIFS('24h'!$J$7:$J$100,'24h'!$H$7:$H$100,$A256,'24h'!$I$7:$I$100,"")+SUMIFS('24i'!$J$7:$J$100,'24i'!$H$7:$H$100,$A256,'24i'!$I$7:$I$100,"")+SUMIFS('25'!$J$7:$J$100,'25'!$H$7:$H$100,$A256,'25'!$I$7:$I$100,"")+SUMIFS('26'!$J$7:$J$100,'26'!$H$7:$H$100,$A256,'26'!$I$7:$I$100,"")+SUMIFS('26a'!$J$7:$J$100,'26a'!$H$7:$H$100,$A256,'26a'!$I$7:$I$100,"")+SUMIFS('27'!$J$7:$J$100,'27'!$H$7:$H$100,$A256,'27'!$I$7:$I$100,"")+SUMIFS('27a'!$J$7:$J$100,'27a'!$H$7:$H$100,$A256,'27a'!$I$7:$I$100,"")+SUMIFS('28'!$J$7:$J$100,'28'!$H$7:$H$100,$A256,'28'!$I$7:$I$100,"")+SUMIFS('29'!$J$7:$J$100,'29'!$H$7:$H$100,$A256,'29'!$I$7:$I$100,"")</f>
        <v>0</v>
      </c>
      <c r="J256" s="1296">
        <f t="shared" si="25"/>
        <v>0</v>
      </c>
      <c r="K256"/>
      <c r="L256"/>
      <c r="M256"/>
      <c r="N256"/>
      <c r="O256"/>
      <c r="P256"/>
      <c r="Q256"/>
      <c r="R256"/>
      <c r="S256" s="1307">
        <f t="shared" si="14"/>
        <v>0</v>
      </c>
      <c r="T256"/>
    </row>
    <row r="257" spans="1:20" outlineLevel="1" x14ac:dyDescent="0.2">
      <c r="A257" t="s">
        <v>5172</v>
      </c>
      <c r="B257" t="s">
        <v>5499</v>
      </c>
      <c r="C257" s="1295">
        <f>SUMIFS('12'!$N$7:$N$100,'12'!$H$7:$H$100,$A257,'12'!$I$7:$I$100,1)+SUMIFS('13'!$N$7:$N$100,'13'!$H$7:$H$100,$A257,'13'!$I$7:$I$100,1)+SUMIFS('14'!$N$7:$N$100,'14'!$H$7:$H$100,$A257,'14'!$I$7:$I$100,1)+SUMIFS('15'!$N$7:$N$100,'15'!$H$7:$H$100,$A257,'15'!$I$7:$I$100,1)+SUMIFS('15a'!$N$7:$N$100,'15a'!$H$7:$H$100,$A257,'15a'!$I$7:$I$100,1)+SUMIFS('15b'!$N$7:$N$100,'15b'!$H$7:$H$100,$A257,'15b'!$I$7:$I$100,1)+SUMIFS('15c'!$N$7:$N$100,'15c'!$H$7:$H$100,$A257,'15c'!$I$7:$I$100,1)+SUMIFS('15d'!$N$7:$N$100,'15d'!$H$7:$H$100,$A257,'15d'!$I$7:$I$100,1)+SUMIFS('15e'!$N$7:$N$100,'15e'!$H$7:$H$100,$A257,'15e'!$I$7:$I$100,1)+SUMIFS('15f'!$N$7:$N$100,'15f'!$H$7:$H$100,$A257,'15f'!$I$7:$I$100,1)+SUMIFS('15g'!$N$7:$N$100,'15g'!$H$7:$H$100,$A257,'15g'!$I$7:$I$100,1)+SUMIFS('15h'!$N$7:$N$100,'15h'!$H$7:$H$100,$A257,'15h'!$I$7:$I$100,1)+SUMIFS('15i'!$N$7:$N$100,'15i'!$H$7:$H$100,$A257,'15i'!$I$7:$I$100,1)+SUMIFS('15j'!$N$7:$N$100,'15j'!$H$7:$H$100,$A257,'15j'!$I$7:$I$100,1)+SUMIFS('15k'!$N$7:$N$100,'15k'!$H$7:$H$100,$A257,'15k'!$I$7:$I$100,1)+SUMIFS('15l'!$N$7:$N$100,'15l'!$H$7:$H$100,$A257,'15l'!$I$7:$I$100,1)+SUMIFS('15m'!$N$7:$N$100,'15m'!$H$7:$H$100,$A257,'15m'!$I$7:$I$100,1)+SUMIFS('15n'!$N$7:$N$100,'15n'!$H$7:$H$100,$A257,'15n'!$I$7:$I$100,1)+SUMIFS('16'!$N$7:$N$100,'16'!$H$7:$H$100,$A257,'16'!$I$7:$I$100,1)+SUMIFS('16a'!$N$7:$N$100,'16a'!$H$7:$H$100,$A257,'16a'!$I$7:$I$100,1)+SUMIFS('17'!$N$7:$N$100,'17'!$H$7:$H$100,$A257,'17'!$I$7:$I$100,1)+SUMIFS('17a'!$N$7:$N$100,'17a'!$H$7:$H$100,$A257,'17a'!$I$7:$I$100,1)+SUMIFS('18'!$N$7:$N$100,'18'!$H$7:$H$100,$A257,'18'!$I$7:$I$100,1)+SUMIFS('18a'!$N$7:$N$100,'18a'!$H$7:$H$100,$A257,'18a'!$I$7:$I$100,1)
+SUMIFS('19'!$N$7:$N$100,'19'!$H$7:$H$100,$A257,'19'!$I$7:$I$100,1)+SUMIFS('20'!$N$7:$N$100,'20'!$H$7:$H$100,$A257,'20'!$I$7:$I$100,1)+SUMIFS('20a'!$N$7:$N$100,'20a'!$H$7:$H$100,$A257,'20a'!$I$7:$I$100,1)+SUMIFS('21'!$N$7:$N$100,'21'!$H$7:$H$100,$A257,'21'!$I$7:$I$100,1)+SUMIFS('22'!$N$7:$N$100,'22'!$H$7:$H$100,$A257,'22'!$I$7:$I$100,1)+SUMIFS('22a'!$N$7:$N$100,'22a'!$H$7:$H$100,$A257,'22a'!$I$7:$I$100,1)+SUMIFS('22b'!$N$7:$N$100,'22b'!$H$7:$H$100,$A257,'22b'!$I$7:$I$100,1)+SUMIFS('23'!$N$7:$N$100,'23'!$H$7:$H$100,$A257,'23'!$I$7:$I$100,1)+SUMIFS('24'!$N$7:$N$100,'24'!$H$7:$H$100,$A257,'24'!$I$7:$I$100,1)+SUMIFS('24a'!$N$7:$N$100,'24a'!$H$7:$H$100,$A257,'24a'!$I$7:$I$100,1)+SUMIFS('24b'!$N$7:$N$100,'24b'!$H$7:$H$100,$A257,'24b'!$I$7:$I$100,1)+SUMIFS('24c'!$N$7:$N$100,'24c'!$H$7:$H$100,$A257,'24c'!$I$7:$I$100,1)+SUMIFS('24d'!$N$7:$N$100,'24d'!$H$7:$H$100,$A257,'24d'!$I$7:$I$100,1)+SUMIFS('24e'!$N$7:$N$100,'24e'!$H$7:$H$100,$A257,'24e'!$I$7:$I$100,1)+SUMIFS('24f'!$N$7:$N$100,'24f'!$H$7:$H$100,$A257,'24f'!$I$7:$I$100,1)+SUMIFS('24g'!$N$7:$N$100,'24g'!$H$7:$H$100,$A257,'24g'!$I$7:$I$100,1)+SUMIFS('24h'!$N$7:$N$100,'24h'!$H$7:$H$100,$A257,'24h'!$I$7:$I$100,1)+SUMIFS('24i'!$N$7:$N$100,'24i'!$H$7:$H$100,$A257,'24i'!$I$7:$I$100,1)+SUMIFS('25'!$N$7:$N$100,'25'!$H$7:$H$100,$A257,'25'!$I$7:$I$100,1)+SUMIFS('26'!$N$7:$N$100,'26'!$H$7:$H$100,$A257,'26'!$I$7:$I$100,1)+SUMIFS('26a'!$N$7:$N$100,'26a'!$H$7:$H$100,$A257,'26a'!$I$7:$I$100,1)+SUMIFS('27'!$N$7:$N$100,'27'!$H$7:$H$100,$A257,'27'!$I$7:$I$100,1)+SUMIFS('27a'!$N$7:$N$100,'27a'!$H$7:$H$100,$A257,'27a'!$I$7:$I$100,1)+SUMIFS('28'!$N$7:$N$100,'28'!$H$7:$H$100,$A257,'28'!$I$7:$I$100,1)+SUMIFS('29'!$N$7:$N$100,'29'!$H$7:$H$100,$A257,'29'!$I$7:$I$100,1)</f>
        <v>0</v>
      </c>
      <c r="D257" s="1315">
        <f>SUMIFS('12'!$N$7:$N$100,'12'!$H$7:$H$100,$A257,'12'!$I$7:$I$100,2)+SUMIFS('13'!$N$7:$N$100,'13'!$H$7:$H$100,$A257,'13'!$I$7:$I$100,2)+SUMIFS('14'!$N$7:$N$100,'14'!$H$7:$H$100,$A257,'14'!$I$7:$I$100,2)+SUMIFS('15'!$N$7:$N$100,'15'!$H$7:$H$100,$A257,'15'!$I$7:$I$100,2)+SUMIFS('15a'!$N$7:$N$100,'15a'!$H$7:$H$100,$A257,'15a'!$I$7:$I$100,2)+SUMIFS('15b'!$N$7:$N$100,'15b'!$H$7:$H$100,$A257,'15b'!$I$7:$I$100,2)+SUMIFS('15c'!$N$7:$N$100,'15c'!$H$7:$H$100,$A257,'15c'!$I$7:$I$100,2)+SUMIFS('15d'!$N$7:$N$100,'15d'!$H$7:$H$100,$A257,'15d'!$I$7:$I$100,2)+SUMIFS('15e'!$N$7:$N$100,'15e'!$H$7:$H$100,$A257,'15e'!$I$7:$I$100,2)+SUMIFS('15f'!$N$7:$N$100,'15f'!$H$7:$H$100,$A257,'15f'!$I$7:$I$100,2)+SUMIFS('15g'!$N$7:$N$100,'15g'!$H$7:$H$100,$A257,'15g'!$I$7:$I$100,2)+SUMIFS('15h'!$N$7:$N$100,'15h'!$H$7:$H$100,$A257,'15h'!$I$7:$I$100,2)+SUMIFS('15i'!$N$7:$N$100,'15i'!$H$7:$H$100,$A257,'15i'!$I$7:$I$100,2)+SUMIFS('15j'!$N$7:$N$100,'15j'!$H$7:$H$100,$A257,'15j'!$I$7:$I$100,2)+SUMIFS('15k'!$N$7:$N$100,'15k'!$H$7:$H$100,$A257,'15k'!$I$7:$I$100,2)+SUMIFS('15l'!$N$7:$N$100,'15l'!$H$7:$H$100,$A257,'15l'!$I$7:$I$100,2)+SUMIFS('15m'!$N$7:$N$100,'15m'!$H$7:$H$100,$A257,'15m'!$I$7:$I$100,2)+SUMIFS('15n'!$N$7:$N$100,'15n'!$H$7:$H$100,$A257,'15n'!$I$7:$I$100,2)+SUMIFS('16'!$N$7:$N$100,'16'!$H$7:$H$100,$A257,'16'!$I$7:$I$100,2)+SUMIFS('16a'!$N$7:$N$100,'16a'!$H$7:$H$100,$A257,'16a'!$I$7:$I$100,2)+SUMIFS('17'!$N$7:$N$100,'17'!$H$7:$H$100,$A257,'17'!$I$7:$I$100,2)+SUMIFS('17a'!$N$7:$N$100,'17a'!$H$7:$H$100,$A257,'17a'!$I$7:$I$100,2)+SUMIFS('18'!$N$7:$N$100,'18'!$H$7:$H$100,$A257,'18'!$I$7:$I$100,2)+SUMIFS('18a'!$N$7:$N$100,'18a'!$H$7:$H$100,$A257,'18a'!$I$7:$I$100,2)
+SUMIFS('19'!$N$7:$N$100,'19'!$H$7:$H$100,$A257,'19'!$I$7:$I$100,2)+SUMIFS('20'!$N$7:$N$100,'20'!$H$7:$H$100,$A257,'20'!$I$7:$I$100,2)+SUMIFS('20a'!$N$7:$N$100,'20a'!$H$7:$H$100,$A257,'20a'!$I$7:$I$100,2)+SUMIFS('21'!$N$7:$N$100,'21'!$H$7:$H$100,$A257,'21'!$I$7:$I$100,2)+SUMIFS('22'!$N$7:$N$100,'22'!$H$7:$H$100,$A257,'22'!$I$7:$I$100,2)+SUMIFS('22a'!$N$7:$N$100,'22a'!$H$7:$H$100,$A257,'22a'!$I$7:$I$100,2)+SUMIFS('22b'!$N$7:$N$100,'22b'!$H$7:$H$100,$A257,'22b'!$I$7:$I$100,2)+SUMIFS('23'!$N$7:$N$100,'23'!$H$7:$H$100,$A257,'23'!$I$7:$I$100,2)+SUMIFS('24'!$N$7:$N$100,'24'!$H$7:$H$100,$A257,'24'!$I$7:$I$100,2)+SUMIFS('24a'!$N$7:$N$100,'24a'!$H$7:$H$100,$A257,'24a'!$I$7:$I$100,2)+SUMIFS('24b'!$N$7:$N$100,'24b'!$H$7:$H$100,$A257,'24b'!$I$7:$I$100,2)+SUMIFS('24c'!$N$7:$N$100,'24c'!$H$7:$H$100,$A257,'24c'!$I$7:$I$100,2)+SUMIFS('24d'!$N$7:$N$100,'24d'!$H$7:$H$100,$A257,'24d'!$I$7:$I$100,2)+SUMIFS('24e'!$N$7:$N$100,'24e'!$H$7:$H$100,$A257,'24e'!$I$7:$I$100,2)+SUMIFS('24f'!$N$7:$N$100,'24f'!$H$7:$H$100,$A257,'24f'!$I$7:$I$100,2)+SUMIFS('24g'!$N$7:$N$100,'24g'!$H$7:$H$100,$A257,'24g'!$I$7:$I$100,2)+SUMIFS('24h'!$N$7:$N$100,'24h'!$H$7:$H$100,$A257,'24h'!$I$7:$I$100,2)+SUMIFS('24i'!$N$7:$N$100,'24i'!$H$7:$H$100,$A257,'24i'!$I$7:$I$100,2)+SUMIFS('25'!$N$7:$N$100,'25'!$H$7:$H$100,$A257,'25'!$I$7:$I$100,2)+SUMIFS('26'!$N$7:$N$100,'26'!$H$7:$H$100,$A257,'26'!$I$7:$I$100,2)+SUMIFS('26a'!$N$7:$N$100,'26a'!$H$7:$H$100,$A257,'26a'!$I$7:$I$100,2)+SUMIFS('27'!$N$7:$N$100,'27'!$H$7:$H$100,$A257,'27'!$I$7:$I$100,2)+SUMIFS('27a'!$N$7:$N$100,'27a'!$H$7:$H$100,$A257,'27a'!$I$7:$I$100,2)+SUMIFS('28'!$N$7:$N$100,'28'!$H$7:$H$100,$A257,'28'!$I$7:$I$100,2)+SUMIFS('29'!$N$7:$N$100,'29'!$H$7:$H$100,$A257,'29'!$I$7:$I$100,2)</f>
        <v>0</v>
      </c>
      <c r="E257" s="1315">
        <f>SUMIFS('12'!$N$7:$N$100,'12'!$H$7:$H$100,$A257,'12'!$I$7:$I$100,"")+SUMIFS('13'!$N$7:$N$100,'13'!$H$7:$H$100,$A257,'13'!$I$7:$I$100,"")+SUMIFS('14'!$N$7:$N$100,'14'!$H$7:$H$100,$A257,'14'!$I$7:$I$100,"")+SUMIFS('15'!$N$7:$N$100,'15'!$H$7:$H$100,$A257,'15'!$I$7:$I$100,"")+SUMIFS('15a'!$N$7:$N$100,'15a'!$H$7:$H$100,$A257,'15a'!$I$7:$I$100,"")+SUMIFS('15b'!$N$7:$N$100,'15b'!$H$7:$H$100,$A257,'15b'!$I$7:$I$100,"")+SUMIFS('15c'!$N$7:$N$100,'15c'!$H$7:$H$100,$A257,'15c'!$I$7:$I$100,"")+SUMIFS('15d'!$N$7:$N$100,'15d'!$H$7:$H$100,$A257,'15d'!$I$7:$I$100,"")+SUMIFS('15e'!$N$7:$N$100,'15e'!$H$7:$H$100,$A257,'15e'!$I$7:$I$100,"")+SUMIFS('15f'!$N$7:$N$100,'15f'!$H$7:$H$100,$A257,'15f'!$I$7:$I$100,"")+SUMIFS('15g'!$N$7:$N$100,'15g'!$H$7:$H$100,$A257,'15g'!$I$7:$I$100,"")+SUMIFS('15h'!$N$7:$N$100,'15h'!$H$7:$H$100,$A257,'15h'!$I$7:$I$100,"")+SUMIFS('15i'!$N$7:$N$100,'15i'!$H$7:$H$100,$A257,'15i'!$I$7:$I$100,"")+SUMIFS('15j'!$N$7:$N$100,'15j'!$H$7:$H$100,$A257,'15j'!$I$7:$I$100,"")+SUMIFS('15k'!$N$7:$N$100,'15k'!$H$7:$H$100,$A257,'15k'!$I$7:$I$100,"")+SUMIFS('15l'!$N$7:$N$100,'15l'!$H$7:$H$100,$A257,'15l'!$I$7:$I$100,"")+SUMIFS('15m'!$N$7:$N$100,'15m'!$H$7:$H$100,$A257,'15m'!$I$7:$I$100,"")+SUMIFS('15n'!$N$7:$N$100,'15n'!$H$7:$H$100,$A257,'15n'!$I$7:$I$100,"")+SUMIFS('16'!$N$7:$N$100,'16'!$H$7:$H$100,$A257,'16'!$I$7:$I$100,"")+SUMIFS('16a'!$N$7:$N$100,'16a'!$H$7:$H$100,$A257,'16a'!$I$7:$I$100,"")+SUMIFS('17'!$N$7:$N$100,'17'!$H$7:$H$100,$A257,'17'!$I$7:$I$100,"")+SUMIFS('17a'!$N$7:$N$100,'17a'!$H$7:$H$100,$A257,'17a'!$I$7:$I$100,"")+SUMIFS('18'!$N$7:$N$100,'18'!$H$7:$H$100,$A257,'18'!$I$7:$I$100,"")+SUMIFS('18a'!$N$7:$N$100,'18a'!$H$7:$H$100,$A257,'18a'!$I$7:$I$100,"")
+SUMIFS('19'!$N$7:$N$100,'19'!$H$7:$H$100,$A257,'19'!$I$7:$I$100,"")+SUMIFS('20'!$N$7:$N$100,'20'!$H$7:$H$100,$A257,'20'!$I$7:$I$100,"")+SUMIFS('20a'!$N$7:$N$100,'20a'!$H$7:$H$100,$A257,'20a'!$I$7:$I$100,"")+SUMIFS('21'!$N$7:$N$100,'21'!$H$7:$H$100,$A257,'21'!$I$7:$I$100,"")+SUMIFS('22'!$N$7:$N$100,'22'!$H$7:$H$100,$A257,'22'!$I$7:$I$100,"")+SUMIFS('22a'!$N$7:$N$100,'22a'!$H$7:$H$100,$A257,'22a'!$I$7:$I$100,"")+SUMIFS('22b'!$N$7:$N$100,'22b'!$H$7:$H$100,$A257,'22b'!$I$7:$I$100,"")+SUMIFS('23'!$N$7:$N$100,'23'!$H$7:$H$100,$A257,'23'!$I$7:$I$100,"")+SUMIFS('24'!$N$7:$N$100,'24'!$H$7:$H$100,$A257,'24'!$I$7:$I$100,"")+SUMIFS('24a'!$N$7:$N$100,'24a'!$H$7:$H$100,$A257,'24a'!$I$7:$I$100,"")+SUMIFS('24b'!$N$7:$N$100,'24b'!$H$7:$H$100,$A257,'24b'!$I$7:$I$100,"")+SUMIFS('24c'!$N$7:$N$100,'24c'!$H$7:$H$100,$A257,'24c'!$I$7:$I$100,"")+SUMIFS('24d'!$N$7:$N$100,'24d'!$H$7:$H$100,$A257,'24d'!$I$7:$I$100,"")+SUMIFS('24e'!$N$7:$N$100,'24e'!$H$7:$H$100,$A257,'24e'!$I$7:$I$100,"")+SUMIFS('24f'!$N$7:$N$100,'24f'!$H$7:$H$100,$A257,'24f'!$I$7:$I$100,"")+SUMIFS('24g'!$N$7:$N$100,'24g'!$H$7:$H$100,$A257,'24g'!$I$7:$I$100,"")+SUMIFS('24h'!$N$7:$N$100,'24h'!$H$7:$H$100,$A257,'24h'!$I$7:$I$100,"")+SUMIFS('24i'!$N$7:$N$100,'24i'!$H$7:$H$100,$A257,'24i'!$I$7:$I$100,"")+SUMIFS('25'!$N$7:$N$100,'25'!$H$7:$H$100,$A257,'25'!$I$7:$I$100,"")+SUMIFS('26'!$N$7:$N$100,'26'!$H$7:$H$100,$A257,'26'!$I$7:$I$100,"")+SUMIFS('26a'!$N$7:$N$100,'26a'!$H$7:$H$100,$A257,'26a'!$I$7:$I$100,"")+SUMIFS('27'!$N$7:$N$100,'27'!$H$7:$H$100,$A257,'27'!$I$7:$I$100,"")+SUMIFS('27a'!$N$7:$N$100,'27a'!$H$7:$H$100,$A257,'27a'!$I$7:$I$100,"")+SUMIFS('28'!$N$7:$N$100,'28'!$H$7:$H$100,$A257,'28'!$I$7:$I$100,"")+SUMIFS('29'!$N$7:$N$100,'29'!$H$7:$H$100,$A257,'29'!$I$7:$I$100,"")</f>
        <v>0</v>
      </c>
      <c r="F257" s="1296">
        <f t="shared" si="24"/>
        <v>0</v>
      </c>
      <c r="G257" s="1295">
        <f>SUMIFS('12'!$J$7:$J$100,'12'!$H$7:$H$100,$A257,'12'!$I$7:$I$100,1)+SUMIFS('13'!$J$7:$J$100,'13'!$H$7:$H$100,$A257,'13'!$I$7:$I$100,1)+SUMIFS('14'!$J$7:$J$100,'14'!$H$7:$H$100,$A257,'14'!$I$7:$I$100,1)+SUMIFS('15'!$J$7:$J$100,'15'!$H$7:$H$100,$A257,'15'!$I$7:$I$100,1)+SUMIFS('15a'!$J$7:$J$100,'15a'!$H$7:$H$100,$A257,'15a'!$I$7:$I$100,1)+SUMIFS('15b'!$J$7:$J$100,'15b'!$H$7:$H$100,$A257,'15b'!$I$7:$I$100,1)+SUMIFS('15c'!$J$7:$J$100,'15c'!$H$7:$H$100,$A257,'15c'!$I$7:$I$100,1)+SUMIFS('15d'!$J$7:$J$100,'15d'!$H$7:$H$100,$A257,'15d'!$I$7:$I$100,1)+SUMIFS('15e'!$J$7:$J$100,'15e'!$H$7:$H$100,$A257,'15e'!$I$7:$I$100,1)+SUMIFS('15f'!$J$7:$J$100,'15f'!$H$7:$H$100,$A257,'15f'!$I$7:$I$100,1)+SUMIFS('15g'!$J$7:$J$100,'15g'!$H$7:$H$100,$A257,'15g'!$I$7:$I$100,1)+SUMIFS('15h'!$J$7:$J$100,'15h'!$H$7:$H$100,$A257,'15h'!$I$7:$I$100,1)+SUMIFS('15i'!$J$7:$J$100,'15i'!$H$7:$H$100,$A257,'15i'!$I$7:$I$100,1)+SUMIFS('15j'!$J$7:$J$100,'15j'!$H$7:$H$100,$A257,'15j'!$I$7:$I$100,1)+SUMIFS('15k'!$J$7:$J$100,'15k'!$H$7:$H$100,$A257,'15k'!$I$7:$I$100,1)+SUMIFS('15l'!$J$7:$J$100,'15l'!$H$7:$H$100,$A257,'15l'!$I$7:$I$100,1)+SUMIFS('15m'!$J$7:$J$100,'15m'!$H$7:$H$100,$A257,'15m'!$I$7:$I$100,1)+SUMIFS('15n'!$J$7:$J$100,'15n'!$H$7:$H$100,$A257,'15n'!$I$7:$I$100,1)+SUMIFS('16'!$J$7:$J$100,'16'!$H$7:$H$100,$A257,'16'!$I$7:$I$100,1)+SUMIFS('16a'!$J$7:$J$100,'16a'!$H$7:$H$100,$A257,'16a'!$I$7:$I$100,1)+SUMIFS('17'!$J$7:$J$100,'17'!$H$7:$H$100,$A257,'17'!$I$7:$I$100,1)+SUMIFS('17a'!$J$7:$J$100,'17a'!$H$7:$H$100,$A257,'17a'!$I$7:$I$100,1)+SUMIFS('18'!$J$7:$J$100,'18'!$H$7:$H$100,$A257,'18'!$I$7:$I$100,1)+SUMIFS('18a'!$J$7:$J$100,'18a'!$H$7:$H$100,$A257,'18a'!$I$7:$I$100,1)
+SUMIFS('19'!$J$7:$J$100,'19'!$H$7:$H$100,$A257,'19'!$I$7:$I$100,1)+SUMIFS('20'!$J$7:$J$100,'20'!$H$7:$H$100,$A257,'20'!$I$7:$I$100,1)+SUMIFS('20a'!$J$7:$J$100,'20a'!$H$7:$H$100,$A257,'20a'!$I$7:$I$100,1)+SUMIFS('21'!$J$7:$J$100,'21'!$H$7:$H$100,$A257,'21'!$I$7:$I$100,1)+SUMIFS('22'!$J$7:$J$100,'22'!$H$7:$H$100,$A257,'22'!$I$7:$I$100,1)+SUMIFS('22a'!$J$7:$J$100,'22a'!$H$7:$H$100,$A257,'22a'!$I$7:$I$100,1)+SUMIFS('22b'!$J$7:$J$100,'22b'!$H$7:$H$100,$A257,'22b'!$I$7:$I$100,1)+SUMIFS('23'!$J$7:$J$100,'23'!$H$7:$H$100,$A257,'23'!$I$7:$I$100,1)+SUMIFS('24'!$J$7:$J$100,'24'!$H$7:$H$100,$A257,'24'!$I$7:$I$100,1)+SUMIFS('24a'!$J$7:$J$100,'24a'!$H$7:$H$100,$A257,'24a'!$I$7:$I$100,1)+SUMIFS('24b'!$J$7:$J$100,'24b'!$H$7:$H$100,$A257,'24b'!$I$7:$I$100,1)+SUMIFS('24c'!$J$7:$J$100,'24c'!$H$7:$H$100,$A257,'24c'!$I$7:$I$100,1)+SUMIFS('24d'!$J$7:$J$100,'24d'!$H$7:$H$100,$A257,'24d'!$I$7:$I$100,1)+SUMIFS('24e'!$J$7:$J$100,'24e'!$H$7:$H$100,$A257,'24e'!$I$7:$I$100,1)+SUMIFS('24f'!$J$7:$J$100,'24f'!$H$7:$H$100,$A257,'24f'!$I$7:$I$100,1)+SUMIFS('24g'!$J$7:$J$100,'24g'!$H$7:$H$100,$A257,'24g'!$I$7:$I$100,1)+SUMIFS('24h'!$J$7:$J$100,'24h'!$H$7:$H$100,$A257,'24h'!$I$7:$I$100,1)+SUMIFS('24i'!$J$7:$J$100,'24i'!$H$7:$H$100,$A257,'24i'!$I$7:$I$100,1)+SUMIFS('25'!$J$7:$J$100,'25'!$H$7:$H$100,$A257,'25'!$I$7:$I$100,1)+SUMIFS('26'!$J$7:$J$100,'26'!$H$7:$H$100,$A257,'26'!$I$7:$I$100,1)+SUMIFS('26a'!$J$7:$J$100,'26a'!$H$7:$H$100,$A257,'26a'!$I$7:$I$100,1)+SUMIFS('27'!$J$7:$J$100,'27'!$H$7:$H$100,$A257,'27'!$I$7:$I$100,1)+SUMIFS('27a'!$J$7:$J$100,'27a'!$H$7:$H$100,$A257,'27a'!$I$7:$I$100,1)+SUMIFS('28'!$J$7:$J$100,'28'!$H$7:$H$100,$A257,'28'!$I$7:$I$100,1)+SUMIFS('29'!$J$7:$J$100,'29'!$H$7:$H$100,$A257,'29'!$I$7:$I$100,1)</f>
        <v>0</v>
      </c>
      <c r="H257" s="1315">
        <f>SUMIFS('12'!$J$7:$J$100,'12'!$H$7:$H$100,$A257,'12'!$I$7:$I$100,2)+SUMIFS('13'!$J$7:$J$100,'13'!$H$7:$H$100,$A257,'13'!$I$7:$I$100,2)+SUMIFS('14'!$J$7:$J$100,'14'!$H$7:$H$100,$A257,'14'!$I$7:$I$100,2)+SUMIFS('15'!$J$7:$J$100,'15'!$H$7:$H$100,$A257,'15'!$I$7:$I$100,2)+SUMIFS('15a'!$J$7:$J$100,'15a'!$H$7:$H$100,$A257,'15a'!$I$7:$I$100,2)+SUMIFS('15b'!$J$7:$J$100,'15b'!$H$7:$H$100,$A257,'15b'!$I$7:$I$100,2)+SUMIFS('15c'!$J$7:$J$100,'15c'!$H$7:$H$100,$A257,'15c'!$I$7:$I$100,2)+SUMIFS('15d'!$J$7:$J$100,'15d'!$H$7:$H$100,$A257,'15d'!$I$7:$I$100,2)+SUMIFS('15e'!$J$7:$J$100,'15e'!$H$7:$H$100,$A257,'15e'!$I$7:$I$100,2)+SUMIFS('15f'!$J$7:$J$100,'15f'!$H$7:$H$100,$A257,'15f'!$I$7:$I$100,2)+SUMIFS('15g'!$J$7:$J$100,'15g'!$H$7:$H$100,$A257,'15g'!$I$7:$I$100,2)+SUMIFS('15h'!$J$7:$J$100,'15h'!$H$7:$H$100,$A257,'15h'!$I$7:$I$100,2)+SUMIFS('15i'!$J$7:$J$100,'15i'!$H$7:$H$100,$A257,'15i'!$I$7:$I$100,2)+SUMIFS('15j'!$J$7:$J$100,'15j'!$H$7:$H$100,$A257,'15j'!$I$7:$I$100,2)+SUMIFS('15k'!$J$7:$J$100,'15k'!$H$7:$H$100,$A257,'15k'!$I$7:$I$100,2)+SUMIFS('15l'!$J$7:$J$100,'15l'!$H$7:$H$100,$A257,'15l'!$I$7:$I$100,2)+SUMIFS('15m'!$J$7:$J$100,'15m'!$H$7:$H$100,$A257,'15m'!$I$7:$I$100,2)+SUMIFS('15n'!$J$7:$J$100,'15n'!$H$7:$H$100,$A257,'15n'!$I$7:$I$100,2)+SUMIFS('16'!$J$7:$J$100,'16'!$H$7:$H$100,$A257,'16'!$I$7:$I$100,2)+SUMIFS('16a'!$J$7:$J$100,'16a'!$H$7:$H$100,$A257,'16a'!$I$7:$I$100,2)+SUMIFS('17'!$J$7:$J$100,'17'!$H$7:$H$100,$A257,'17'!$I$7:$I$100,2)+SUMIFS('17a'!$J$7:$J$100,'17a'!$H$7:$H$100,$A257,'17a'!$I$7:$I$100,2)+SUMIFS('18'!$J$7:$J$100,'18'!$H$7:$H$100,$A257,'18'!$I$7:$I$100,2)+SUMIFS('18a'!$J$7:$J$100,'18a'!$H$7:$H$100,$A257,'18a'!$I$7:$I$100,2)
+SUMIFS('19'!$J$7:$J$100,'19'!$H$7:$H$100,$A257,'19'!$I$7:$I$100,2)+SUMIFS('20'!$J$7:$J$100,'20'!$H$7:$H$100,$A257,'20'!$I$7:$I$100,2)+SUMIFS('20a'!$J$7:$J$100,'20a'!$H$7:$H$100,$A257,'20a'!$I$7:$I$100,2)+SUMIFS('21'!$J$7:$J$100,'21'!$H$7:$H$100,$A257,'21'!$I$7:$I$100,2)+SUMIFS('22'!$J$7:$J$100,'22'!$H$7:$H$100,$A257,'22'!$I$7:$I$100,2)+SUMIFS('22a'!$J$7:$J$100,'22a'!$H$7:$H$100,$A257,'22a'!$I$7:$I$100,2)+SUMIFS('22b'!$J$7:$J$100,'22b'!$H$7:$H$100,$A257,'22b'!$I$7:$I$100,2)+SUMIFS('23'!$J$7:$J$100,'23'!$H$7:$H$100,$A257,'23'!$I$7:$I$100,2)+SUMIFS('24'!$J$7:$J$100,'24'!$H$7:$H$100,$A257,'24'!$I$7:$I$100,2)+SUMIFS('24a'!$J$7:$J$100,'24a'!$H$7:$H$100,$A257,'24a'!$I$7:$I$100,2)+SUMIFS('24b'!$J$7:$J$100,'24b'!$H$7:$H$100,$A257,'24b'!$I$7:$I$100,2)+SUMIFS('24c'!$J$7:$J$100,'24c'!$H$7:$H$100,$A257,'24c'!$I$7:$I$100,2)+SUMIFS('24d'!$J$7:$J$100,'24d'!$H$7:$H$100,$A257,'24d'!$I$7:$I$100,2)+SUMIFS('24e'!$J$7:$J$100,'24e'!$H$7:$H$100,$A257,'24e'!$I$7:$I$100,2)+SUMIFS('24f'!$J$7:$J$100,'24f'!$H$7:$H$100,$A257,'24f'!$I$7:$I$100,2)+SUMIFS('24g'!$J$7:$J$100,'24g'!$H$7:$H$100,$A257,'24g'!$I$7:$I$100,2)+SUMIFS('24h'!$J$7:$J$100,'24h'!$H$7:$H$100,$A257,'24h'!$I$7:$I$100,2)+SUMIFS('24i'!$J$7:$J$100,'24i'!$H$7:$H$100,$A257,'24i'!$I$7:$I$100,2)+SUMIFS('25'!$J$7:$J$100,'25'!$H$7:$H$100,$A257,'25'!$I$7:$I$100,2)+SUMIFS('26'!$J$7:$J$100,'26'!$H$7:$H$100,$A257,'26'!$I$7:$I$100,2)+SUMIFS('26a'!$J$7:$J$100,'26a'!$H$7:$H$100,$A257,'26a'!$I$7:$I$100,2)+SUMIFS('27'!$J$7:$J$100,'27'!$H$7:$H$100,$A257,'27'!$I$7:$I$100,2)+SUMIFS('27a'!$J$7:$J$100,'27a'!$H$7:$H$100,$A257,'27a'!$I$7:$I$100,2)+SUMIFS('28'!$J$7:$J$100,'28'!$H$7:$H$100,$A257,'28'!$I$7:$I$100,2)+SUMIFS('29'!$J$7:$J$100,'29'!$H$7:$H$100,$A257,'29'!$I$7:$I$100,2)</f>
        <v>0</v>
      </c>
      <c r="I257" s="1315">
        <f>SUMIFS('12'!$J$7:$J$100,'12'!$H$7:$H$100,$A257,'12'!$I$7:$I$100,"")+SUMIFS('13'!$J$7:$J$100,'13'!$H$7:$H$100,$A257,'13'!$I$7:$I$100,"")+SUMIFS('14'!$J$7:$J$100,'14'!$H$7:$H$100,$A257,'14'!$I$7:$I$100,"")+SUMIFS('15'!$J$7:$J$100,'15'!$H$7:$H$100,$A257,'15'!$I$7:$I$100,"")+SUMIFS('15a'!$J$7:$J$100,'15a'!$H$7:$H$100,$A257,'15a'!$I$7:$I$100,"")+SUMIFS('15b'!$J$7:$J$100,'15b'!$H$7:$H$100,$A257,'15b'!$I$7:$I$100,"")+SUMIFS('15c'!$J$7:$J$100,'15c'!$H$7:$H$100,$A257,'15c'!$I$7:$I$100,"")+SUMIFS('15d'!$J$7:$J$100,'15d'!$H$7:$H$100,$A257,'15d'!$I$7:$I$100,"")+SUMIFS('15e'!$J$7:$J$100,'15e'!$H$7:$H$100,$A257,'15e'!$I$7:$I$100,"")+SUMIFS('15f'!$J$7:$J$100,'15f'!$H$7:$H$100,$A257,'15f'!$I$7:$I$100,"")+SUMIFS('15g'!$J$7:$J$100,'15g'!$H$7:$H$100,$A257,'15g'!$I$7:$I$100,"")+SUMIFS('15h'!$J$7:$J$100,'15h'!$H$7:$H$100,$A257,'15h'!$I$7:$I$100,"")+SUMIFS('15i'!$J$7:$J$100,'15i'!$H$7:$H$100,$A257,'15i'!$I$7:$I$100,"")+SUMIFS('15j'!$J$7:$J$100,'15j'!$H$7:$H$100,$A257,'15j'!$I$7:$I$100,"")+SUMIFS('15k'!$J$7:$J$100,'15k'!$H$7:$H$100,$A257,'15k'!$I$7:$I$100,"")+SUMIFS('15l'!$J$7:$J$100,'15l'!$H$7:$H$100,$A257,'15l'!$I$7:$I$100,"")+SUMIFS('15m'!$J$7:$J$100,'15m'!$H$7:$H$100,$A257,'15m'!$I$7:$I$100,"")+SUMIFS('15n'!$J$7:$J$100,'15n'!$H$7:$H$100,$A257,'15n'!$I$7:$I$100,"")+SUMIFS('16'!$J$7:$J$100,'16'!$H$7:$H$100,$A257,'16'!$I$7:$I$100,"")+SUMIFS('16a'!$J$7:$J$100,'16a'!$H$7:$H$100,$A257,'16a'!$I$7:$I$100,"")+SUMIFS('17'!$J$7:$J$100,'17'!$H$7:$H$100,$A257,'17'!$I$7:$I$100,"")+SUMIFS('17a'!$J$7:$J$100,'17a'!$H$7:$H$100,$A257,'17a'!$I$7:$I$100,"")+SUMIFS('18'!$J$7:$J$100,'18'!$H$7:$H$100,$A257,'18'!$I$7:$I$100,"")+SUMIFS('18a'!$J$7:$J$100,'18a'!$H$7:$H$100,$A257,'18a'!$I$7:$I$100,"")
+SUMIFS('19'!$J$7:$J$100,'19'!$H$7:$H$100,$A257,'19'!$I$7:$I$100,"")+SUMIFS('20'!$J$7:$J$100,'20'!$H$7:$H$100,$A257,'20'!$I$7:$I$100,"")+SUMIFS('20a'!$J$7:$J$100,'20a'!$H$7:$H$100,$A257,'20a'!$I$7:$I$100,"")+SUMIFS('21'!$J$7:$J$100,'21'!$H$7:$H$100,$A257,'21'!$I$7:$I$100,"")+SUMIFS('22'!$J$7:$J$100,'22'!$H$7:$H$100,$A257,'22'!$I$7:$I$100,"")+SUMIFS('22a'!$J$7:$J$100,'22a'!$H$7:$H$100,$A257,'22a'!$I$7:$I$100,"")+SUMIFS('22b'!$J$7:$J$100,'22b'!$H$7:$H$100,$A257,'22b'!$I$7:$I$100,"")+SUMIFS('23'!$J$7:$J$100,'23'!$H$7:$H$100,$A257,'23'!$I$7:$I$100,"")+SUMIFS('24'!$J$7:$J$100,'24'!$H$7:$H$100,$A257,'24'!$I$7:$I$100,"")+SUMIFS('24a'!$J$7:$J$100,'24a'!$H$7:$H$100,$A257,'24a'!$I$7:$I$100,"")+SUMIFS('24b'!$J$7:$J$100,'24b'!$H$7:$H$100,$A257,'24b'!$I$7:$I$100,"")+SUMIFS('24c'!$J$7:$J$100,'24c'!$H$7:$H$100,$A257,'24c'!$I$7:$I$100,"")+SUMIFS('24d'!$J$7:$J$100,'24d'!$H$7:$H$100,$A257,'24d'!$I$7:$I$100,"")+SUMIFS('24e'!$J$7:$J$100,'24e'!$H$7:$H$100,$A257,'24e'!$I$7:$I$100,"")+SUMIFS('24f'!$J$7:$J$100,'24f'!$H$7:$H$100,$A257,'24f'!$I$7:$I$100,"")+SUMIFS('24g'!$J$7:$J$100,'24g'!$H$7:$H$100,$A257,'24g'!$I$7:$I$100,"")+SUMIFS('24h'!$J$7:$J$100,'24h'!$H$7:$H$100,$A257,'24h'!$I$7:$I$100,"")+SUMIFS('24i'!$J$7:$J$100,'24i'!$H$7:$H$100,$A257,'24i'!$I$7:$I$100,"")+SUMIFS('25'!$J$7:$J$100,'25'!$H$7:$H$100,$A257,'25'!$I$7:$I$100,"")+SUMIFS('26'!$J$7:$J$100,'26'!$H$7:$H$100,$A257,'26'!$I$7:$I$100,"")+SUMIFS('26a'!$J$7:$J$100,'26a'!$H$7:$H$100,$A257,'26a'!$I$7:$I$100,"")+SUMIFS('27'!$J$7:$J$100,'27'!$H$7:$H$100,$A257,'27'!$I$7:$I$100,"")+SUMIFS('27a'!$J$7:$J$100,'27a'!$H$7:$H$100,$A257,'27a'!$I$7:$I$100,"")+SUMIFS('28'!$J$7:$J$100,'28'!$H$7:$H$100,$A257,'28'!$I$7:$I$100,"")+SUMIFS('29'!$J$7:$J$100,'29'!$H$7:$H$100,$A257,'29'!$I$7:$I$100,"")</f>
        <v>0</v>
      </c>
      <c r="J257" s="1296">
        <f t="shared" si="25"/>
        <v>0</v>
      </c>
      <c r="K257"/>
      <c r="L257"/>
      <c r="M257"/>
      <c r="N257"/>
      <c r="O257"/>
      <c r="P257"/>
      <c r="Q257"/>
      <c r="R257"/>
      <c r="S257" s="1307">
        <f t="shared" si="14"/>
        <v>0</v>
      </c>
      <c r="T257"/>
    </row>
    <row r="258" spans="1:20" x14ac:dyDescent="0.2">
      <c r="A258" t="s">
        <v>5173</v>
      </c>
      <c r="B258" t="s">
        <v>5500</v>
      </c>
      <c r="C258" s="1295">
        <f>SUMIFS('12'!$N$7:$N$100,'12'!$H$7:$H$100,$A258,'12'!$I$7:$I$100,1)+SUMIFS('13'!$N$7:$N$100,'13'!$H$7:$H$100,$A258,'13'!$I$7:$I$100,1)+SUMIFS('14'!$N$7:$N$100,'14'!$H$7:$H$100,$A258,'14'!$I$7:$I$100,1)+SUMIFS('15'!$N$7:$N$100,'15'!$H$7:$H$100,$A258,'15'!$I$7:$I$100,1)+SUMIFS('15a'!$N$7:$N$100,'15a'!$H$7:$H$100,$A258,'15a'!$I$7:$I$100,1)+SUMIFS('15b'!$N$7:$N$100,'15b'!$H$7:$H$100,$A258,'15b'!$I$7:$I$100,1)+SUMIFS('15c'!$N$7:$N$100,'15c'!$H$7:$H$100,$A258,'15c'!$I$7:$I$100,1)+SUMIFS('15d'!$N$7:$N$100,'15d'!$H$7:$H$100,$A258,'15d'!$I$7:$I$100,1)+SUMIFS('15e'!$N$7:$N$100,'15e'!$H$7:$H$100,$A258,'15e'!$I$7:$I$100,1)+SUMIFS('15f'!$N$7:$N$100,'15f'!$H$7:$H$100,$A258,'15f'!$I$7:$I$100,1)+SUMIFS('15g'!$N$7:$N$100,'15g'!$H$7:$H$100,$A258,'15g'!$I$7:$I$100,1)+SUMIFS('15h'!$N$7:$N$100,'15h'!$H$7:$H$100,$A258,'15h'!$I$7:$I$100,1)+SUMIFS('15i'!$N$7:$N$100,'15i'!$H$7:$H$100,$A258,'15i'!$I$7:$I$100,1)+SUMIFS('15j'!$N$7:$N$100,'15j'!$H$7:$H$100,$A258,'15j'!$I$7:$I$100,1)+SUMIFS('15k'!$N$7:$N$100,'15k'!$H$7:$H$100,$A258,'15k'!$I$7:$I$100,1)+SUMIFS('15l'!$N$7:$N$100,'15l'!$H$7:$H$100,$A258,'15l'!$I$7:$I$100,1)+SUMIFS('15m'!$N$7:$N$100,'15m'!$H$7:$H$100,$A258,'15m'!$I$7:$I$100,1)+SUMIFS('15n'!$N$7:$N$100,'15n'!$H$7:$H$100,$A258,'15n'!$I$7:$I$100,1)+SUMIFS('16'!$N$7:$N$100,'16'!$H$7:$H$100,$A258,'16'!$I$7:$I$100,1)+SUMIFS('16a'!$N$7:$N$100,'16a'!$H$7:$H$100,$A258,'16a'!$I$7:$I$100,1)+SUMIFS('17'!$N$7:$N$100,'17'!$H$7:$H$100,$A258,'17'!$I$7:$I$100,1)+SUMIFS('17a'!$N$7:$N$100,'17a'!$H$7:$H$100,$A258,'17a'!$I$7:$I$100,1)+SUMIFS('18'!$N$7:$N$100,'18'!$H$7:$H$100,$A258,'18'!$I$7:$I$100,1)+SUMIFS('18a'!$N$7:$N$100,'18a'!$H$7:$H$100,$A258,'18a'!$I$7:$I$100,1)
+SUMIFS('19'!$N$7:$N$100,'19'!$H$7:$H$100,$A258,'19'!$I$7:$I$100,1)+SUMIFS('20'!$N$7:$N$100,'20'!$H$7:$H$100,$A258,'20'!$I$7:$I$100,1)+SUMIFS('20a'!$N$7:$N$100,'20a'!$H$7:$H$100,$A258,'20a'!$I$7:$I$100,1)+SUMIFS('21'!$N$7:$N$100,'21'!$H$7:$H$100,$A258,'21'!$I$7:$I$100,1)+SUMIFS('22'!$N$7:$N$100,'22'!$H$7:$H$100,$A258,'22'!$I$7:$I$100,1)+SUMIFS('22a'!$N$7:$N$100,'22a'!$H$7:$H$100,$A258,'22a'!$I$7:$I$100,1)+SUMIFS('22b'!$N$7:$N$100,'22b'!$H$7:$H$100,$A258,'22b'!$I$7:$I$100,1)+SUMIFS('23'!$N$7:$N$100,'23'!$H$7:$H$100,$A258,'23'!$I$7:$I$100,1)+SUMIFS('24'!$N$7:$N$100,'24'!$H$7:$H$100,$A258,'24'!$I$7:$I$100,1)+SUMIFS('24a'!$N$7:$N$100,'24a'!$H$7:$H$100,$A258,'24a'!$I$7:$I$100,1)+SUMIFS('24b'!$N$7:$N$100,'24b'!$H$7:$H$100,$A258,'24b'!$I$7:$I$100,1)+SUMIFS('24c'!$N$7:$N$100,'24c'!$H$7:$H$100,$A258,'24c'!$I$7:$I$100,1)+SUMIFS('24d'!$N$7:$N$100,'24d'!$H$7:$H$100,$A258,'24d'!$I$7:$I$100,1)+SUMIFS('24e'!$N$7:$N$100,'24e'!$H$7:$H$100,$A258,'24e'!$I$7:$I$100,1)+SUMIFS('24f'!$N$7:$N$100,'24f'!$H$7:$H$100,$A258,'24f'!$I$7:$I$100,1)+SUMIFS('24g'!$N$7:$N$100,'24g'!$H$7:$H$100,$A258,'24g'!$I$7:$I$100,1)+SUMIFS('24h'!$N$7:$N$100,'24h'!$H$7:$H$100,$A258,'24h'!$I$7:$I$100,1)+SUMIFS('24i'!$N$7:$N$100,'24i'!$H$7:$H$100,$A258,'24i'!$I$7:$I$100,1)+SUMIFS('25'!$N$7:$N$100,'25'!$H$7:$H$100,$A258,'25'!$I$7:$I$100,1)+SUMIFS('26'!$N$7:$N$100,'26'!$H$7:$H$100,$A258,'26'!$I$7:$I$100,1)+SUMIFS('26a'!$N$7:$N$100,'26a'!$H$7:$H$100,$A258,'26a'!$I$7:$I$100,1)+SUMIFS('27'!$N$7:$N$100,'27'!$H$7:$H$100,$A258,'27'!$I$7:$I$100,1)+SUMIFS('27a'!$N$7:$N$100,'27a'!$H$7:$H$100,$A258,'27a'!$I$7:$I$100,1)+SUMIFS('28'!$N$7:$N$100,'28'!$H$7:$H$100,$A258,'28'!$I$7:$I$100,1)+SUMIFS('29'!$N$7:$N$100,'29'!$H$7:$H$100,$A258,'29'!$I$7:$I$100,1)</f>
        <v>0</v>
      </c>
      <c r="D258" s="1315">
        <f>SUMIFS('12'!$N$7:$N$100,'12'!$H$7:$H$100,$A258,'12'!$I$7:$I$100,2)+SUMIFS('13'!$N$7:$N$100,'13'!$H$7:$H$100,$A258,'13'!$I$7:$I$100,2)+SUMIFS('14'!$N$7:$N$100,'14'!$H$7:$H$100,$A258,'14'!$I$7:$I$100,2)+SUMIFS('15'!$N$7:$N$100,'15'!$H$7:$H$100,$A258,'15'!$I$7:$I$100,2)+SUMIFS('15a'!$N$7:$N$100,'15a'!$H$7:$H$100,$A258,'15a'!$I$7:$I$100,2)+SUMIFS('15b'!$N$7:$N$100,'15b'!$H$7:$H$100,$A258,'15b'!$I$7:$I$100,2)+SUMIFS('15c'!$N$7:$N$100,'15c'!$H$7:$H$100,$A258,'15c'!$I$7:$I$100,2)+SUMIFS('15d'!$N$7:$N$100,'15d'!$H$7:$H$100,$A258,'15d'!$I$7:$I$100,2)+SUMIFS('15e'!$N$7:$N$100,'15e'!$H$7:$H$100,$A258,'15e'!$I$7:$I$100,2)+SUMIFS('15f'!$N$7:$N$100,'15f'!$H$7:$H$100,$A258,'15f'!$I$7:$I$100,2)+SUMIFS('15g'!$N$7:$N$100,'15g'!$H$7:$H$100,$A258,'15g'!$I$7:$I$100,2)+SUMIFS('15h'!$N$7:$N$100,'15h'!$H$7:$H$100,$A258,'15h'!$I$7:$I$100,2)+SUMIFS('15i'!$N$7:$N$100,'15i'!$H$7:$H$100,$A258,'15i'!$I$7:$I$100,2)+SUMIFS('15j'!$N$7:$N$100,'15j'!$H$7:$H$100,$A258,'15j'!$I$7:$I$100,2)+SUMIFS('15k'!$N$7:$N$100,'15k'!$H$7:$H$100,$A258,'15k'!$I$7:$I$100,2)+SUMIFS('15l'!$N$7:$N$100,'15l'!$H$7:$H$100,$A258,'15l'!$I$7:$I$100,2)+SUMIFS('15m'!$N$7:$N$100,'15m'!$H$7:$H$100,$A258,'15m'!$I$7:$I$100,2)+SUMIFS('15n'!$N$7:$N$100,'15n'!$H$7:$H$100,$A258,'15n'!$I$7:$I$100,2)+SUMIFS('16'!$N$7:$N$100,'16'!$H$7:$H$100,$A258,'16'!$I$7:$I$100,2)+SUMIFS('16a'!$N$7:$N$100,'16a'!$H$7:$H$100,$A258,'16a'!$I$7:$I$100,2)+SUMIFS('17'!$N$7:$N$100,'17'!$H$7:$H$100,$A258,'17'!$I$7:$I$100,2)+SUMIFS('17a'!$N$7:$N$100,'17a'!$H$7:$H$100,$A258,'17a'!$I$7:$I$100,2)+SUMIFS('18'!$N$7:$N$100,'18'!$H$7:$H$100,$A258,'18'!$I$7:$I$100,2)+SUMIFS('18a'!$N$7:$N$100,'18a'!$H$7:$H$100,$A258,'18a'!$I$7:$I$100,2)
+SUMIFS('19'!$N$7:$N$100,'19'!$H$7:$H$100,$A258,'19'!$I$7:$I$100,2)+SUMIFS('20'!$N$7:$N$100,'20'!$H$7:$H$100,$A258,'20'!$I$7:$I$100,2)+SUMIFS('20a'!$N$7:$N$100,'20a'!$H$7:$H$100,$A258,'20a'!$I$7:$I$100,2)+SUMIFS('21'!$N$7:$N$100,'21'!$H$7:$H$100,$A258,'21'!$I$7:$I$100,2)+SUMIFS('22'!$N$7:$N$100,'22'!$H$7:$H$100,$A258,'22'!$I$7:$I$100,2)+SUMIFS('22a'!$N$7:$N$100,'22a'!$H$7:$H$100,$A258,'22a'!$I$7:$I$100,2)+SUMIFS('22b'!$N$7:$N$100,'22b'!$H$7:$H$100,$A258,'22b'!$I$7:$I$100,2)+SUMIFS('23'!$N$7:$N$100,'23'!$H$7:$H$100,$A258,'23'!$I$7:$I$100,2)+SUMIFS('24'!$N$7:$N$100,'24'!$H$7:$H$100,$A258,'24'!$I$7:$I$100,2)+SUMIFS('24a'!$N$7:$N$100,'24a'!$H$7:$H$100,$A258,'24a'!$I$7:$I$100,2)+SUMIFS('24b'!$N$7:$N$100,'24b'!$H$7:$H$100,$A258,'24b'!$I$7:$I$100,2)+SUMIFS('24c'!$N$7:$N$100,'24c'!$H$7:$H$100,$A258,'24c'!$I$7:$I$100,2)+SUMIFS('24d'!$N$7:$N$100,'24d'!$H$7:$H$100,$A258,'24d'!$I$7:$I$100,2)+SUMIFS('24e'!$N$7:$N$100,'24e'!$H$7:$H$100,$A258,'24e'!$I$7:$I$100,2)+SUMIFS('24f'!$N$7:$N$100,'24f'!$H$7:$H$100,$A258,'24f'!$I$7:$I$100,2)+SUMIFS('24g'!$N$7:$N$100,'24g'!$H$7:$H$100,$A258,'24g'!$I$7:$I$100,2)+SUMIFS('24h'!$N$7:$N$100,'24h'!$H$7:$H$100,$A258,'24h'!$I$7:$I$100,2)+SUMIFS('24i'!$N$7:$N$100,'24i'!$H$7:$H$100,$A258,'24i'!$I$7:$I$100,2)+SUMIFS('25'!$N$7:$N$100,'25'!$H$7:$H$100,$A258,'25'!$I$7:$I$100,2)+SUMIFS('26'!$N$7:$N$100,'26'!$H$7:$H$100,$A258,'26'!$I$7:$I$100,2)+SUMIFS('26a'!$N$7:$N$100,'26a'!$H$7:$H$100,$A258,'26a'!$I$7:$I$100,2)+SUMIFS('27'!$N$7:$N$100,'27'!$H$7:$H$100,$A258,'27'!$I$7:$I$100,2)+SUMIFS('27a'!$N$7:$N$100,'27a'!$H$7:$H$100,$A258,'27a'!$I$7:$I$100,2)+SUMIFS('28'!$N$7:$N$100,'28'!$H$7:$H$100,$A258,'28'!$I$7:$I$100,2)+SUMIFS('29'!$N$7:$N$100,'29'!$H$7:$H$100,$A258,'29'!$I$7:$I$100,2)</f>
        <v>0</v>
      </c>
      <c r="E258" s="1315">
        <f>SUMIFS('12'!$N$7:$N$100,'12'!$H$7:$H$100,$A258,'12'!$I$7:$I$100,"")+SUMIFS('13'!$N$7:$N$100,'13'!$H$7:$H$100,$A258,'13'!$I$7:$I$100,"")+SUMIFS('14'!$N$7:$N$100,'14'!$H$7:$H$100,$A258,'14'!$I$7:$I$100,"")+SUMIFS('15'!$N$7:$N$100,'15'!$H$7:$H$100,$A258,'15'!$I$7:$I$100,"")+SUMIFS('15a'!$N$7:$N$100,'15a'!$H$7:$H$100,$A258,'15a'!$I$7:$I$100,"")+SUMIFS('15b'!$N$7:$N$100,'15b'!$H$7:$H$100,$A258,'15b'!$I$7:$I$100,"")+SUMIFS('15c'!$N$7:$N$100,'15c'!$H$7:$H$100,$A258,'15c'!$I$7:$I$100,"")+SUMIFS('15d'!$N$7:$N$100,'15d'!$H$7:$H$100,$A258,'15d'!$I$7:$I$100,"")+SUMIFS('15e'!$N$7:$N$100,'15e'!$H$7:$H$100,$A258,'15e'!$I$7:$I$100,"")+SUMIFS('15f'!$N$7:$N$100,'15f'!$H$7:$H$100,$A258,'15f'!$I$7:$I$100,"")+SUMIFS('15g'!$N$7:$N$100,'15g'!$H$7:$H$100,$A258,'15g'!$I$7:$I$100,"")+SUMIFS('15h'!$N$7:$N$100,'15h'!$H$7:$H$100,$A258,'15h'!$I$7:$I$100,"")+SUMIFS('15i'!$N$7:$N$100,'15i'!$H$7:$H$100,$A258,'15i'!$I$7:$I$100,"")+SUMIFS('15j'!$N$7:$N$100,'15j'!$H$7:$H$100,$A258,'15j'!$I$7:$I$100,"")+SUMIFS('15k'!$N$7:$N$100,'15k'!$H$7:$H$100,$A258,'15k'!$I$7:$I$100,"")+SUMIFS('15l'!$N$7:$N$100,'15l'!$H$7:$H$100,$A258,'15l'!$I$7:$I$100,"")+SUMIFS('15m'!$N$7:$N$100,'15m'!$H$7:$H$100,$A258,'15m'!$I$7:$I$100,"")+SUMIFS('15n'!$N$7:$N$100,'15n'!$H$7:$H$100,$A258,'15n'!$I$7:$I$100,"")+SUMIFS('16'!$N$7:$N$100,'16'!$H$7:$H$100,$A258,'16'!$I$7:$I$100,"")+SUMIFS('16a'!$N$7:$N$100,'16a'!$H$7:$H$100,$A258,'16a'!$I$7:$I$100,"")+SUMIFS('17'!$N$7:$N$100,'17'!$H$7:$H$100,$A258,'17'!$I$7:$I$100,"")+SUMIFS('17a'!$N$7:$N$100,'17a'!$H$7:$H$100,$A258,'17a'!$I$7:$I$100,"")+SUMIFS('18'!$N$7:$N$100,'18'!$H$7:$H$100,$A258,'18'!$I$7:$I$100,"")+SUMIFS('18a'!$N$7:$N$100,'18a'!$H$7:$H$100,$A258,'18a'!$I$7:$I$100,"")
+SUMIFS('19'!$N$7:$N$100,'19'!$H$7:$H$100,$A258,'19'!$I$7:$I$100,"")+SUMIFS('20'!$N$7:$N$100,'20'!$H$7:$H$100,$A258,'20'!$I$7:$I$100,"")+SUMIFS('20a'!$N$7:$N$100,'20a'!$H$7:$H$100,$A258,'20a'!$I$7:$I$100,"")+SUMIFS('21'!$N$7:$N$100,'21'!$H$7:$H$100,$A258,'21'!$I$7:$I$100,"")+SUMIFS('22'!$N$7:$N$100,'22'!$H$7:$H$100,$A258,'22'!$I$7:$I$100,"")+SUMIFS('22a'!$N$7:$N$100,'22a'!$H$7:$H$100,$A258,'22a'!$I$7:$I$100,"")+SUMIFS('22b'!$N$7:$N$100,'22b'!$H$7:$H$100,$A258,'22b'!$I$7:$I$100,"")+SUMIFS('23'!$N$7:$N$100,'23'!$H$7:$H$100,$A258,'23'!$I$7:$I$100,"")+SUMIFS('24'!$N$7:$N$100,'24'!$H$7:$H$100,$A258,'24'!$I$7:$I$100,"")+SUMIFS('24a'!$N$7:$N$100,'24a'!$H$7:$H$100,$A258,'24a'!$I$7:$I$100,"")+SUMIFS('24b'!$N$7:$N$100,'24b'!$H$7:$H$100,$A258,'24b'!$I$7:$I$100,"")+SUMIFS('24c'!$N$7:$N$100,'24c'!$H$7:$H$100,$A258,'24c'!$I$7:$I$100,"")+SUMIFS('24d'!$N$7:$N$100,'24d'!$H$7:$H$100,$A258,'24d'!$I$7:$I$100,"")+SUMIFS('24e'!$N$7:$N$100,'24e'!$H$7:$H$100,$A258,'24e'!$I$7:$I$100,"")+SUMIFS('24f'!$N$7:$N$100,'24f'!$H$7:$H$100,$A258,'24f'!$I$7:$I$100,"")+SUMIFS('24g'!$N$7:$N$100,'24g'!$H$7:$H$100,$A258,'24g'!$I$7:$I$100,"")+SUMIFS('24h'!$N$7:$N$100,'24h'!$H$7:$H$100,$A258,'24h'!$I$7:$I$100,"")+SUMIFS('24i'!$N$7:$N$100,'24i'!$H$7:$H$100,$A258,'24i'!$I$7:$I$100,"")+SUMIFS('25'!$N$7:$N$100,'25'!$H$7:$H$100,$A258,'25'!$I$7:$I$100,"")+SUMIFS('26'!$N$7:$N$100,'26'!$H$7:$H$100,$A258,'26'!$I$7:$I$100,"")+SUMIFS('26a'!$N$7:$N$100,'26a'!$H$7:$H$100,$A258,'26a'!$I$7:$I$100,"")+SUMIFS('27'!$N$7:$N$100,'27'!$H$7:$H$100,$A258,'27'!$I$7:$I$100,"")+SUMIFS('27a'!$N$7:$N$100,'27a'!$H$7:$H$100,$A258,'27a'!$I$7:$I$100,"")+SUMIFS('28'!$N$7:$N$100,'28'!$H$7:$H$100,$A258,'28'!$I$7:$I$100,"")+SUMIFS('29'!$N$7:$N$100,'29'!$H$7:$H$100,$A258,'29'!$I$7:$I$100,"")</f>
        <v>0</v>
      </c>
      <c r="F258" s="1296">
        <f t="shared" si="24"/>
        <v>0</v>
      </c>
      <c r="G258" s="1295">
        <f>SUMIFS('12'!$J$7:$J$100,'12'!$H$7:$H$100,$A258,'12'!$I$7:$I$100,1)+SUMIFS('13'!$J$7:$J$100,'13'!$H$7:$H$100,$A258,'13'!$I$7:$I$100,1)+SUMIFS('14'!$J$7:$J$100,'14'!$H$7:$H$100,$A258,'14'!$I$7:$I$100,1)+SUMIFS('15'!$J$7:$J$100,'15'!$H$7:$H$100,$A258,'15'!$I$7:$I$100,1)+SUMIFS('15a'!$J$7:$J$100,'15a'!$H$7:$H$100,$A258,'15a'!$I$7:$I$100,1)+SUMIFS('15b'!$J$7:$J$100,'15b'!$H$7:$H$100,$A258,'15b'!$I$7:$I$100,1)+SUMIFS('15c'!$J$7:$J$100,'15c'!$H$7:$H$100,$A258,'15c'!$I$7:$I$100,1)+SUMIFS('15d'!$J$7:$J$100,'15d'!$H$7:$H$100,$A258,'15d'!$I$7:$I$100,1)+SUMIFS('15e'!$J$7:$J$100,'15e'!$H$7:$H$100,$A258,'15e'!$I$7:$I$100,1)+SUMIFS('15f'!$J$7:$J$100,'15f'!$H$7:$H$100,$A258,'15f'!$I$7:$I$100,1)+SUMIFS('15g'!$J$7:$J$100,'15g'!$H$7:$H$100,$A258,'15g'!$I$7:$I$100,1)+SUMIFS('15h'!$J$7:$J$100,'15h'!$H$7:$H$100,$A258,'15h'!$I$7:$I$100,1)+SUMIFS('15i'!$J$7:$J$100,'15i'!$H$7:$H$100,$A258,'15i'!$I$7:$I$100,1)+SUMIFS('15j'!$J$7:$J$100,'15j'!$H$7:$H$100,$A258,'15j'!$I$7:$I$100,1)+SUMIFS('15k'!$J$7:$J$100,'15k'!$H$7:$H$100,$A258,'15k'!$I$7:$I$100,1)+SUMIFS('15l'!$J$7:$J$100,'15l'!$H$7:$H$100,$A258,'15l'!$I$7:$I$100,1)+SUMIFS('15m'!$J$7:$J$100,'15m'!$H$7:$H$100,$A258,'15m'!$I$7:$I$100,1)+SUMIFS('15n'!$J$7:$J$100,'15n'!$H$7:$H$100,$A258,'15n'!$I$7:$I$100,1)+SUMIFS('16'!$J$7:$J$100,'16'!$H$7:$H$100,$A258,'16'!$I$7:$I$100,1)+SUMIFS('16a'!$J$7:$J$100,'16a'!$H$7:$H$100,$A258,'16a'!$I$7:$I$100,1)+SUMIFS('17'!$J$7:$J$100,'17'!$H$7:$H$100,$A258,'17'!$I$7:$I$100,1)+SUMIFS('17a'!$J$7:$J$100,'17a'!$H$7:$H$100,$A258,'17a'!$I$7:$I$100,1)+SUMIFS('18'!$J$7:$J$100,'18'!$H$7:$H$100,$A258,'18'!$I$7:$I$100,1)+SUMIFS('18a'!$J$7:$J$100,'18a'!$H$7:$H$100,$A258,'18a'!$I$7:$I$100,1)
+SUMIFS('19'!$J$7:$J$100,'19'!$H$7:$H$100,$A258,'19'!$I$7:$I$100,1)+SUMIFS('20'!$J$7:$J$100,'20'!$H$7:$H$100,$A258,'20'!$I$7:$I$100,1)+SUMIFS('20a'!$J$7:$J$100,'20a'!$H$7:$H$100,$A258,'20a'!$I$7:$I$100,1)+SUMIFS('21'!$J$7:$J$100,'21'!$H$7:$H$100,$A258,'21'!$I$7:$I$100,1)+SUMIFS('22'!$J$7:$J$100,'22'!$H$7:$H$100,$A258,'22'!$I$7:$I$100,1)+SUMIFS('22a'!$J$7:$J$100,'22a'!$H$7:$H$100,$A258,'22a'!$I$7:$I$100,1)+SUMIFS('22b'!$J$7:$J$100,'22b'!$H$7:$H$100,$A258,'22b'!$I$7:$I$100,1)+SUMIFS('23'!$J$7:$J$100,'23'!$H$7:$H$100,$A258,'23'!$I$7:$I$100,1)+SUMIFS('24'!$J$7:$J$100,'24'!$H$7:$H$100,$A258,'24'!$I$7:$I$100,1)+SUMIFS('24a'!$J$7:$J$100,'24a'!$H$7:$H$100,$A258,'24a'!$I$7:$I$100,1)+SUMIFS('24b'!$J$7:$J$100,'24b'!$H$7:$H$100,$A258,'24b'!$I$7:$I$100,1)+SUMIFS('24c'!$J$7:$J$100,'24c'!$H$7:$H$100,$A258,'24c'!$I$7:$I$100,1)+SUMIFS('24d'!$J$7:$J$100,'24d'!$H$7:$H$100,$A258,'24d'!$I$7:$I$100,1)+SUMIFS('24e'!$J$7:$J$100,'24e'!$H$7:$H$100,$A258,'24e'!$I$7:$I$100,1)+SUMIFS('24f'!$J$7:$J$100,'24f'!$H$7:$H$100,$A258,'24f'!$I$7:$I$100,1)+SUMIFS('24g'!$J$7:$J$100,'24g'!$H$7:$H$100,$A258,'24g'!$I$7:$I$100,1)+SUMIFS('24h'!$J$7:$J$100,'24h'!$H$7:$H$100,$A258,'24h'!$I$7:$I$100,1)+SUMIFS('24i'!$J$7:$J$100,'24i'!$H$7:$H$100,$A258,'24i'!$I$7:$I$100,1)+SUMIFS('25'!$J$7:$J$100,'25'!$H$7:$H$100,$A258,'25'!$I$7:$I$100,1)+SUMIFS('26'!$J$7:$J$100,'26'!$H$7:$H$100,$A258,'26'!$I$7:$I$100,1)+SUMIFS('26a'!$J$7:$J$100,'26a'!$H$7:$H$100,$A258,'26a'!$I$7:$I$100,1)+SUMIFS('27'!$J$7:$J$100,'27'!$H$7:$H$100,$A258,'27'!$I$7:$I$100,1)+SUMIFS('27a'!$J$7:$J$100,'27a'!$H$7:$H$100,$A258,'27a'!$I$7:$I$100,1)+SUMIFS('28'!$J$7:$J$100,'28'!$H$7:$H$100,$A258,'28'!$I$7:$I$100,1)+SUMIFS('29'!$J$7:$J$100,'29'!$H$7:$H$100,$A258,'29'!$I$7:$I$100,1)</f>
        <v>0</v>
      </c>
      <c r="H258" s="1315">
        <f>SUMIFS('12'!$J$7:$J$100,'12'!$H$7:$H$100,$A258,'12'!$I$7:$I$100,2)+SUMIFS('13'!$J$7:$J$100,'13'!$H$7:$H$100,$A258,'13'!$I$7:$I$100,2)+SUMIFS('14'!$J$7:$J$100,'14'!$H$7:$H$100,$A258,'14'!$I$7:$I$100,2)+SUMIFS('15'!$J$7:$J$100,'15'!$H$7:$H$100,$A258,'15'!$I$7:$I$100,2)+SUMIFS('15a'!$J$7:$J$100,'15a'!$H$7:$H$100,$A258,'15a'!$I$7:$I$100,2)+SUMIFS('15b'!$J$7:$J$100,'15b'!$H$7:$H$100,$A258,'15b'!$I$7:$I$100,2)+SUMIFS('15c'!$J$7:$J$100,'15c'!$H$7:$H$100,$A258,'15c'!$I$7:$I$100,2)+SUMIFS('15d'!$J$7:$J$100,'15d'!$H$7:$H$100,$A258,'15d'!$I$7:$I$100,2)+SUMIFS('15e'!$J$7:$J$100,'15e'!$H$7:$H$100,$A258,'15e'!$I$7:$I$100,2)+SUMIFS('15f'!$J$7:$J$100,'15f'!$H$7:$H$100,$A258,'15f'!$I$7:$I$100,2)+SUMIFS('15g'!$J$7:$J$100,'15g'!$H$7:$H$100,$A258,'15g'!$I$7:$I$100,2)+SUMIFS('15h'!$J$7:$J$100,'15h'!$H$7:$H$100,$A258,'15h'!$I$7:$I$100,2)+SUMIFS('15i'!$J$7:$J$100,'15i'!$H$7:$H$100,$A258,'15i'!$I$7:$I$100,2)+SUMIFS('15j'!$J$7:$J$100,'15j'!$H$7:$H$100,$A258,'15j'!$I$7:$I$100,2)+SUMIFS('15k'!$J$7:$J$100,'15k'!$H$7:$H$100,$A258,'15k'!$I$7:$I$100,2)+SUMIFS('15l'!$J$7:$J$100,'15l'!$H$7:$H$100,$A258,'15l'!$I$7:$I$100,2)+SUMIFS('15m'!$J$7:$J$100,'15m'!$H$7:$H$100,$A258,'15m'!$I$7:$I$100,2)+SUMIFS('15n'!$J$7:$J$100,'15n'!$H$7:$H$100,$A258,'15n'!$I$7:$I$100,2)+SUMIFS('16'!$J$7:$J$100,'16'!$H$7:$H$100,$A258,'16'!$I$7:$I$100,2)+SUMIFS('16a'!$J$7:$J$100,'16a'!$H$7:$H$100,$A258,'16a'!$I$7:$I$100,2)+SUMIFS('17'!$J$7:$J$100,'17'!$H$7:$H$100,$A258,'17'!$I$7:$I$100,2)+SUMIFS('17a'!$J$7:$J$100,'17a'!$H$7:$H$100,$A258,'17a'!$I$7:$I$100,2)+SUMIFS('18'!$J$7:$J$100,'18'!$H$7:$H$100,$A258,'18'!$I$7:$I$100,2)+SUMIFS('18a'!$J$7:$J$100,'18a'!$H$7:$H$100,$A258,'18a'!$I$7:$I$100,2)
+SUMIFS('19'!$J$7:$J$100,'19'!$H$7:$H$100,$A258,'19'!$I$7:$I$100,2)+SUMIFS('20'!$J$7:$J$100,'20'!$H$7:$H$100,$A258,'20'!$I$7:$I$100,2)+SUMIFS('20a'!$J$7:$J$100,'20a'!$H$7:$H$100,$A258,'20a'!$I$7:$I$100,2)+SUMIFS('21'!$J$7:$J$100,'21'!$H$7:$H$100,$A258,'21'!$I$7:$I$100,2)+SUMIFS('22'!$J$7:$J$100,'22'!$H$7:$H$100,$A258,'22'!$I$7:$I$100,2)+SUMIFS('22a'!$J$7:$J$100,'22a'!$H$7:$H$100,$A258,'22a'!$I$7:$I$100,2)+SUMIFS('22b'!$J$7:$J$100,'22b'!$H$7:$H$100,$A258,'22b'!$I$7:$I$100,2)+SUMIFS('23'!$J$7:$J$100,'23'!$H$7:$H$100,$A258,'23'!$I$7:$I$100,2)+SUMIFS('24'!$J$7:$J$100,'24'!$H$7:$H$100,$A258,'24'!$I$7:$I$100,2)+SUMIFS('24a'!$J$7:$J$100,'24a'!$H$7:$H$100,$A258,'24a'!$I$7:$I$100,2)+SUMIFS('24b'!$J$7:$J$100,'24b'!$H$7:$H$100,$A258,'24b'!$I$7:$I$100,2)+SUMIFS('24c'!$J$7:$J$100,'24c'!$H$7:$H$100,$A258,'24c'!$I$7:$I$100,2)+SUMIFS('24d'!$J$7:$J$100,'24d'!$H$7:$H$100,$A258,'24d'!$I$7:$I$100,2)+SUMIFS('24e'!$J$7:$J$100,'24e'!$H$7:$H$100,$A258,'24e'!$I$7:$I$100,2)+SUMIFS('24f'!$J$7:$J$100,'24f'!$H$7:$H$100,$A258,'24f'!$I$7:$I$100,2)+SUMIFS('24g'!$J$7:$J$100,'24g'!$H$7:$H$100,$A258,'24g'!$I$7:$I$100,2)+SUMIFS('24h'!$J$7:$J$100,'24h'!$H$7:$H$100,$A258,'24h'!$I$7:$I$100,2)+SUMIFS('24i'!$J$7:$J$100,'24i'!$H$7:$H$100,$A258,'24i'!$I$7:$I$100,2)+SUMIFS('25'!$J$7:$J$100,'25'!$H$7:$H$100,$A258,'25'!$I$7:$I$100,2)+SUMIFS('26'!$J$7:$J$100,'26'!$H$7:$H$100,$A258,'26'!$I$7:$I$100,2)+SUMIFS('26a'!$J$7:$J$100,'26a'!$H$7:$H$100,$A258,'26a'!$I$7:$I$100,2)+SUMIFS('27'!$J$7:$J$100,'27'!$H$7:$H$100,$A258,'27'!$I$7:$I$100,2)+SUMIFS('27a'!$J$7:$J$100,'27a'!$H$7:$H$100,$A258,'27a'!$I$7:$I$100,2)+SUMIFS('28'!$J$7:$J$100,'28'!$H$7:$H$100,$A258,'28'!$I$7:$I$100,2)+SUMIFS('29'!$J$7:$J$100,'29'!$H$7:$H$100,$A258,'29'!$I$7:$I$100,2)</f>
        <v>0</v>
      </c>
      <c r="I258" s="1315">
        <f>SUMIFS('12'!$J$7:$J$100,'12'!$H$7:$H$100,$A258,'12'!$I$7:$I$100,"")+SUMIFS('13'!$J$7:$J$100,'13'!$H$7:$H$100,$A258,'13'!$I$7:$I$100,"")+SUMIFS('14'!$J$7:$J$100,'14'!$H$7:$H$100,$A258,'14'!$I$7:$I$100,"")+SUMIFS('15'!$J$7:$J$100,'15'!$H$7:$H$100,$A258,'15'!$I$7:$I$100,"")+SUMIFS('15a'!$J$7:$J$100,'15a'!$H$7:$H$100,$A258,'15a'!$I$7:$I$100,"")+SUMIFS('15b'!$J$7:$J$100,'15b'!$H$7:$H$100,$A258,'15b'!$I$7:$I$100,"")+SUMIFS('15c'!$J$7:$J$100,'15c'!$H$7:$H$100,$A258,'15c'!$I$7:$I$100,"")+SUMIFS('15d'!$J$7:$J$100,'15d'!$H$7:$H$100,$A258,'15d'!$I$7:$I$100,"")+SUMIFS('15e'!$J$7:$J$100,'15e'!$H$7:$H$100,$A258,'15e'!$I$7:$I$100,"")+SUMIFS('15f'!$J$7:$J$100,'15f'!$H$7:$H$100,$A258,'15f'!$I$7:$I$100,"")+SUMIFS('15g'!$J$7:$J$100,'15g'!$H$7:$H$100,$A258,'15g'!$I$7:$I$100,"")+SUMIFS('15h'!$J$7:$J$100,'15h'!$H$7:$H$100,$A258,'15h'!$I$7:$I$100,"")+SUMIFS('15i'!$J$7:$J$100,'15i'!$H$7:$H$100,$A258,'15i'!$I$7:$I$100,"")+SUMIFS('15j'!$J$7:$J$100,'15j'!$H$7:$H$100,$A258,'15j'!$I$7:$I$100,"")+SUMIFS('15k'!$J$7:$J$100,'15k'!$H$7:$H$100,$A258,'15k'!$I$7:$I$100,"")+SUMIFS('15l'!$J$7:$J$100,'15l'!$H$7:$H$100,$A258,'15l'!$I$7:$I$100,"")+SUMIFS('15m'!$J$7:$J$100,'15m'!$H$7:$H$100,$A258,'15m'!$I$7:$I$100,"")+SUMIFS('15n'!$J$7:$J$100,'15n'!$H$7:$H$100,$A258,'15n'!$I$7:$I$100,"")+SUMIFS('16'!$J$7:$J$100,'16'!$H$7:$H$100,$A258,'16'!$I$7:$I$100,"")+SUMIFS('16a'!$J$7:$J$100,'16a'!$H$7:$H$100,$A258,'16a'!$I$7:$I$100,"")+SUMIFS('17'!$J$7:$J$100,'17'!$H$7:$H$100,$A258,'17'!$I$7:$I$100,"")+SUMIFS('17a'!$J$7:$J$100,'17a'!$H$7:$H$100,$A258,'17a'!$I$7:$I$100,"")+SUMIFS('18'!$J$7:$J$100,'18'!$H$7:$H$100,$A258,'18'!$I$7:$I$100,"")+SUMIFS('18a'!$J$7:$J$100,'18a'!$H$7:$H$100,$A258,'18a'!$I$7:$I$100,"")
+SUMIFS('19'!$J$7:$J$100,'19'!$H$7:$H$100,$A258,'19'!$I$7:$I$100,"")+SUMIFS('20'!$J$7:$J$100,'20'!$H$7:$H$100,$A258,'20'!$I$7:$I$100,"")+SUMIFS('20a'!$J$7:$J$100,'20a'!$H$7:$H$100,$A258,'20a'!$I$7:$I$100,"")+SUMIFS('21'!$J$7:$J$100,'21'!$H$7:$H$100,$A258,'21'!$I$7:$I$100,"")+SUMIFS('22'!$J$7:$J$100,'22'!$H$7:$H$100,$A258,'22'!$I$7:$I$100,"")+SUMIFS('22a'!$J$7:$J$100,'22a'!$H$7:$H$100,$A258,'22a'!$I$7:$I$100,"")+SUMIFS('22b'!$J$7:$J$100,'22b'!$H$7:$H$100,$A258,'22b'!$I$7:$I$100,"")+SUMIFS('23'!$J$7:$J$100,'23'!$H$7:$H$100,$A258,'23'!$I$7:$I$100,"")+SUMIFS('24'!$J$7:$J$100,'24'!$H$7:$H$100,$A258,'24'!$I$7:$I$100,"")+SUMIFS('24a'!$J$7:$J$100,'24a'!$H$7:$H$100,$A258,'24a'!$I$7:$I$100,"")+SUMIFS('24b'!$J$7:$J$100,'24b'!$H$7:$H$100,$A258,'24b'!$I$7:$I$100,"")+SUMIFS('24c'!$J$7:$J$100,'24c'!$H$7:$H$100,$A258,'24c'!$I$7:$I$100,"")+SUMIFS('24d'!$J$7:$J$100,'24d'!$H$7:$H$100,$A258,'24d'!$I$7:$I$100,"")+SUMIFS('24e'!$J$7:$J$100,'24e'!$H$7:$H$100,$A258,'24e'!$I$7:$I$100,"")+SUMIFS('24f'!$J$7:$J$100,'24f'!$H$7:$H$100,$A258,'24f'!$I$7:$I$100,"")+SUMIFS('24g'!$J$7:$J$100,'24g'!$H$7:$H$100,$A258,'24g'!$I$7:$I$100,"")+SUMIFS('24h'!$J$7:$J$100,'24h'!$H$7:$H$100,$A258,'24h'!$I$7:$I$100,"")+SUMIFS('24i'!$J$7:$J$100,'24i'!$H$7:$H$100,$A258,'24i'!$I$7:$I$100,"")+SUMIFS('25'!$J$7:$J$100,'25'!$H$7:$H$100,$A258,'25'!$I$7:$I$100,"")+SUMIFS('26'!$J$7:$J$100,'26'!$H$7:$H$100,$A258,'26'!$I$7:$I$100,"")+SUMIFS('26a'!$J$7:$J$100,'26a'!$H$7:$H$100,$A258,'26a'!$I$7:$I$100,"")+SUMIFS('27'!$J$7:$J$100,'27'!$H$7:$H$100,$A258,'27'!$I$7:$I$100,"")+SUMIFS('27a'!$J$7:$J$100,'27a'!$H$7:$H$100,$A258,'27a'!$I$7:$I$100,"")+SUMIFS('28'!$J$7:$J$100,'28'!$H$7:$H$100,$A258,'28'!$I$7:$I$100,"")+SUMIFS('29'!$J$7:$J$100,'29'!$H$7:$H$100,$A258,'29'!$I$7:$I$100,"")</f>
        <v>0</v>
      </c>
      <c r="J258" s="1296">
        <f t="shared" si="25"/>
        <v>0</v>
      </c>
      <c r="K258"/>
      <c r="L258"/>
      <c r="M258"/>
      <c r="N258"/>
      <c r="O258"/>
      <c r="P258"/>
      <c r="Q258"/>
      <c r="R258"/>
      <c r="S258" s="1307">
        <f t="shared" si="14"/>
        <v>0</v>
      </c>
      <c r="T258"/>
    </row>
    <row r="259" spans="1:20" x14ac:dyDescent="0.2">
      <c r="A259" t="s">
        <v>5174</v>
      </c>
      <c r="B259" t="s">
        <v>5501</v>
      </c>
      <c r="C259" s="1295">
        <f>SUMIFS('12'!$N$7:$N$100,'12'!$H$7:$H$100,$A259,'12'!$I$7:$I$100,1)+SUMIFS('13'!$N$7:$N$100,'13'!$H$7:$H$100,$A259,'13'!$I$7:$I$100,1)+SUMIFS('14'!$N$7:$N$100,'14'!$H$7:$H$100,$A259,'14'!$I$7:$I$100,1)+SUMIFS('15'!$N$7:$N$100,'15'!$H$7:$H$100,$A259,'15'!$I$7:$I$100,1)+SUMIFS('15a'!$N$7:$N$100,'15a'!$H$7:$H$100,$A259,'15a'!$I$7:$I$100,1)+SUMIFS('15b'!$N$7:$N$100,'15b'!$H$7:$H$100,$A259,'15b'!$I$7:$I$100,1)+SUMIFS('15c'!$N$7:$N$100,'15c'!$H$7:$H$100,$A259,'15c'!$I$7:$I$100,1)+SUMIFS('15d'!$N$7:$N$100,'15d'!$H$7:$H$100,$A259,'15d'!$I$7:$I$100,1)+SUMIFS('15e'!$N$7:$N$100,'15e'!$H$7:$H$100,$A259,'15e'!$I$7:$I$100,1)+SUMIFS('15f'!$N$7:$N$100,'15f'!$H$7:$H$100,$A259,'15f'!$I$7:$I$100,1)+SUMIFS('15g'!$N$7:$N$100,'15g'!$H$7:$H$100,$A259,'15g'!$I$7:$I$100,1)+SUMIFS('15h'!$N$7:$N$100,'15h'!$H$7:$H$100,$A259,'15h'!$I$7:$I$100,1)+SUMIFS('15i'!$N$7:$N$100,'15i'!$H$7:$H$100,$A259,'15i'!$I$7:$I$100,1)+SUMIFS('15j'!$N$7:$N$100,'15j'!$H$7:$H$100,$A259,'15j'!$I$7:$I$100,1)+SUMIFS('15k'!$N$7:$N$100,'15k'!$H$7:$H$100,$A259,'15k'!$I$7:$I$100,1)+SUMIFS('15l'!$N$7:$N$100,'15l'!$H$7:$H$100,$A259,'15l'!$I$7:$I$100,1)+SUMIFS('15m'!$N$7:$N$100,'15m'!$H$7:$H$100,$A259,'15m'!$I$7:$I$100,1)+SUMIFS('15n'!$N$7:$N$100,'15n'!$H$7:$H$100,$A259,'15n'!$I$7:$I$100,1)+SUMIFS('16'!$N$7:$N$100,'16'!$H$7:$H$100,$A259,'16'!$I$7:$I$100,1)+SUMIFS('16a'!$N$7:$N$100,'16a'!$H$7:$H$100,$A259,'16a'!$I$7:$I$100,1)+SUMIFS('17'!$N$7:$N$100,'17'!$H$7:$H$100,$A259,'17'!$I$7:$I$100,1)+SUMIFS('17a'!$N$7:$N$100,'17a'!$H$7:$H$100,$A259,'17a'!$I$7:$I$100,1)+SUMIFS('18'!$N$7:$N$100,'18'!$H$7:$H$100,$A259,'18'!$I$7:$I$100,1)+SUMIFS('18a'!$N$7:$N$100,'18a'!$H$7:$H$100,$A259,'18a'!$I$7:$I$100,1)
+SUMIFS('19'!$N$7:$N$100,'19'!$H$7:$H$100,$A259,'19'!$I$7:$I$100,1)+SUMIFS('20'!$N$7:$N$100,'20'!$H$7:$H$100,$A259,'20'!$I$7:$I$100,1)+SUMIFS('20a'!$N$7:$N$100,'20a'!$H$7:$H$100,$A259,'20a'!$I$7:$I$100,1)+SUMIFS('21'!$N$7:$N$100,'21'!$H$7:$H$100,$A259,'21'!$I$7:$I$100,1)+SUMIFS('22'!$N$7:$N$100,'22'!$H$7:$H$100,$A259,'22'!$I$7:$I$100,1)+SUMIFS('22a'!$N$7:$N$100,'22a'!$H$7:$H$100,$A259,'22a'!$I$7:$I$100,1)+SUMIFS('22b'!$N$7:$N$100,'22b'!$H$7:$H$100,$A259,'22b'!$I$7:$I$100,1)+SUMIFS('23'!$N$7:$N$100,'23'!$H$7:$H$100,$A259,'23'!$I$7:$I$100,1)+SUMIFS('24'!$N$7:$N$100,'24'!$H$7:$H$100,$A259,'24'!$I$7:$I$100,1)+SUMIFS('24a'!$N$7:$N$100,'24a'!$H$7:$H$100,$A259,'24a'!$I$7:$I$100,1)+SUMIFS('24b'!$N$7:$N$100,'24b'!$H$7:$H$100,$A259,'24b'!$I$7:$I$100,1)+SUMIFS('24c'!$N$7:$N$100,'24c'!$H$7:$H$100,$A259,'24c'!$I$7:$I$100,1)+SUMIFS('24d'!$N$7:$N$100,'24d'!$H$7:$H$100,$A259,'24d'!$I$7:$I$100,1)+SUMIFS('24e'!$N$7:$N$100,'24e'!$H$7:$H$100,$A259,'24e'!$I$7:$I$100,1)+SUMIFS('24f'!$N$7:$N$100,'24f'!$H$7:$H$100,$A259,'24f'!$I$7:$I$100,1)+SUMIFS('24g'!$N$7:$N$100,'24g'!$H$7:$H$100,$A259,'24g'!$I$7:$I$100,1)+SUMIFS('24h'!$N$7:$N$100,'24h'!$H$7:$H$100,$A259,'24h'!$I$7:$I$100,1)+SUMIFS('24i'!$N$7:$N$100,'24i'!$H$7:$H$100,$A259,'24i'!$I$7:$I$100,1)+SUMIFS('25'!$N$7:$N$100,'25'!$H$7:$H$100,$A259,'25'!$I$7:$I$100,1)+SUMIFS('26'!$N$7:$N$100,'26'!$H$7:$H$100,$A259,'26'!$I$7:$I$100,1)+SUMIFS('26a'!$N$7:$N$100,'26a'!$H$7:$H$100,$A259,'26a'!$I$7:$I$100,1)+SUMIFS('27'!$N$7:$N$100,'27'!$H$7:$H$100,$A259,'27'!$I$7:$I$100,1)+SUMIFS('27a'!$N$7:$N$100,'27a'!$H$7:$H$100,$A259,'27a'!$I$7:$I$100,1)+SUMIFS('28'!$N$7:$N$100,'28'!$H$7:$H$100,$A259,'28'!$I$7:$I$100,1)+SUMIFS('29'!$N$7:$N$100,'29'!$H$7:$H$100,$A259,'29'!$I$7:$I$100,1)</f>
        <v>0</v>
      </c>
      <c r="D259" s="1315">
        <f>SUMIFS('12'!$N$7:$N$100,'12'!$H$7:$H$100,$A259,'12'!$I$7:$I$100,2)+SUMIFS('13'!$N$7:$N$100,'13'!$H$7:$H$100,$A259,'13'!$I$7:$I$100,2)+SUMIFS('14'!$N$7:$N$100,'14'!$H$7:$H$100,$A259,'14'!$I$7:$I$100,2)+SUMIFS('15'!$N$7:$N$100,'15'!$H$7:$H$100,$A259,'15'!$I$7:$I$100,2)+SUMIFS('15a'!$N$7:$N$100,'15a'!$H$7:$H$100,$A259,'15a'!$I$7:$I$100,2)+SUMIFS('15b'!$N$7:$N$100,'15b'!$H$7:$H$100,$A259,'15b'!$I$7:$I$100,2)+SUMIFS('15c'!$N$7:$N$100,'15c'!$H$7:$H$100,$A259,'15c'!$I$7:$I$100,2)+SUMIFS('15d'!$N$7:$N$100,'15d'!$H$7:$H$100,$A259,'15d'!$I$7:$I$100,2)+SUMIFS('15e'!$N$7:$N$100,'15e'!$H$7:$H$100,$A259,'15e'!$I$7:$I$100,2)+SUMIFS('15f'!$N$7:$N$100,'15f'!$H$7:$H$100,$A259,'15f'!$I$7:$I$100,2)+SUMIFS('15g'!$N$7:$N$100,'15g'!$H$7:$H$100,$A259,'15g'!$I$7:$I$100,2)+SUMIFS('15h'!$N$7:$N$100,'15h'!$H$7:$H$100,$A259,'15h'!$I$7:$I$100,2)+SUMIFS('15i'!$N$7:$N$100,'15i'!$H$7:$H$100,$A259,'15i'!$I$7:$I$100,2)+SUMIFS('15j'!$N$7:$N$100,'15j'!$H$7:$H$100,$A259,'15j'!$I$7:$I$100,2)+SUMIFS('15k'!$N$7:$N$100,'15k'!$H$7:$H$100,$A259,'15k'!$I$7:$I$100,2)+SUMIFS('15l'!$N$7:$N$100,'15l'!$H$7:$H$100,$A259,'15l'!$I$7:$I$100,2)+SUMIFS('15m'!$N$7:$N$100,'15m'!$H$7:$H$100,$A259,'15m'!$I$7:$I$100,2)+SUMIFS('15n'!$N$7:$N$100,'15n'!$H$7:$H$100,$A259,'15n'!$I$7:$I$100,2)+SUMIFS('16'!$N$7:$N$100,'16'!$H$7:$H$100,$A259,'16'!$I$7:$I$100,2)+SUMIFS('16a'!$N$7:$N$100,'16a'!$H$7:$H$100,$A259,'16a'!$I$7:$I$100,2)+SUMIFS('17'!$N$7:$N$100,'17'!$H$7:$H$100,$A259,'17'!$I$7:$I$100,2)+SUMIFS('17a'!$N$7:$N$100,'17a'!$H$7:$H$100,$A259,'17a'!$I$7:$I$100,2)+SUMIFS('18'!$N$7:$N$100,'18'!$H$7:$H$100,$A259,'18'!$I$7:$I$100,2)+SUMIFS('18a'!$N$7:$N$100,'18a'!$H$7:$H$100,$A259,'18a'!$I$7:$I$100,2)
+SUMIFS('19'!$N$7:$N$100,'19'!$H$7:$H$100,$A259,'19'!$I$7:$I$100,2)+SUMIFS('20'!$N$7:$N$100,'20'!$H$7:$H$100,$A259,'20'!$I$7:$I$100,2)+SUMIFS('20a'!$N$7:$N$100,'20a'!$H$7:$H$100,$A259,'20a'!$I$7:$I$100,2)+SUMIFS('21'!$N$7:$N$100,'21'!$H$7:$H$100,$A259,'21'!$I$7:$I$100,2)+SUMIFS('22'!$N$7:$N$100,'22'!$H$7:$H$100,$A259,'22'!$I$7:$I$100,2)+SUMIFS('22a'!$N$7:$N$100,'22a'!$H$7:$H$100,$A259,'22a'!$I$7:$I$100,2)+SUMIFS('22b'!$N$7:$N$100,'22b'!$H$7:$H$100,$A259,'22b'!$I$7:$I$100,2)+SUMIFS('23'!$N$7:$N$100,'23'!$H$7:$H$100,$A259,'23'!$I$7:$I$100,2)+SUMIFS('24'!$N$7:$N$100,'24'!$H$7:$H$100,$A259,'24'!$I$7:$I$100,2)+SUMIFS('24a'!$N$7:$N$100,'24a'!$H$7:$H$100,$A259,'24a'!$I$7:$I$100,2)+SUMIFS('24b'!$N$7:$N$100,'24b'!$H$7:$H$100,$A259,'24b'!$I$7:$I$100,2)+SUMIFS('24c'!$N$7:$N$100,'24c'!$H$7:$H$100,$A259,'24c'!$I$7:$I$100,2)+SUMIFS('24d'!$N$7:$N$100,'24d'!$H$7:$H$100,$A259,'24d'!$I$7:$I$100,2)+SUMIFS('24e'!$N$7:$N$100,'24e'!$H$7:$H$100,$A259,'24e'!$I$7:$I$100,2)+SUMIFS('24f'!$N$7:$N$100,'24f'!$H$7:$H$100,$A259,'24f'!$I$7:$I$100,2)+SUMIFS('24g'!$N$7:$N$100,'24g'!$H$7:$H$100,$A259,'24g'!$I$7:$I$100,2)+SUMIFS('24h'!$N$7:$N$100,'24h'!$H$7:$H$100,$A259,'24h'!$I$7:$I$100,2)+SUMIFS('24i'!$N$7:$N$100,'24i'!$H$7:$H$100,$A259,'24i'!$I$7:$I$100,2)+SUMIFS('25'!$N$7:$N$100,'25'!$H$7:$H$100,$A259,'25'!$I$7:$I$100,2)+SUMIFS('26'!$N$7:$N$100,'26'!$H$7:$H$100,$A259,'26'!$I$7:$I$100,2)+SUMIFS('26a'!$N$7:$N$100,'26a'!$H$7:$H$100,$A259,'26a'!$I$7:$I$100,2)+SUMIFS('27'!$N$7:$N$100,'27'!$H$7:$H$100,$A259,'27'!$I$7:$I$100,2)+SUMIFS('27a'!$N$7:$N$100,'27a'!$H$7:$H$100,$A259,'27a'!$I$7:$I$100,2)+SUMIFS('28'!$N$7:$N$100,'28'!$H$7:$H$100,$A259,'28'!$I$7:$I$100,2)+SUMIFS('29'!$N$7:$N$100,'29'!$H$7:$H$100,$A259,'29'!$I$7:$I$100,2)</f>
        <v>0</v>
      </c>
      <c r="E259" s="1315">
        <f>SUMIFS('12'!$N$7:$N$100,'12'!$H$7:$H$100,$A259,'12'!$I$7:$I$100,"")+SUMIFS('13'!$N$7:$N$100,'13'!$H$7:$H$100,$A259,'13'!$I$7:$I$100,"")+SUMIFS('14'!$N$7:$N$100,'14'!$H$7:$H$100,$A259,'14'!$I$7:$I$100,"")+SUMIFS('15'!$N$7:$N$100,'15'!$H$7:$H$100,$A259,'15'!$I$7:$I$100,"")+SUMIFS('15a'!$N$7:$N$100,'15a'!$H$7:$H$100,$A259,'15a'!$I$7:$I$100,"")+SUMIFS('15b'!$N$7:$N$100,'15b'!$H$7:$H$100,$A259,'15b'!$I$7:$I$100,"")+SUMIFS('15c'!$N$7:$N$100,'15c'!$H$7:$H$100,$A259,'15c'!$I$7:$I$100,"")+SUMIFS('15d'!$N$7:$N$100,'15d'!$H$7:$H$100,$A259,'15d'!$I$7:$I$100,"")+SUMIFS('15e'!$N$7:$N$100,'15e'!$H$7:$H$100,$A259,'15e'!$I$7:$I$100,"")+SUMIFS('15f'!$N$7:$N$100,'15f'!$H$7:$H$100,$A259,'15f'!$I$7:$I$100,"")+SUMIFS('15g'!$N$7:$N$100,'15g'!$H$7:$H$100,$A259,'15g'!$I$7:$I$100,"")+SUMIFS('15h'!$N$7:$N$100,'15h'!$H$7:$H$100,$A259,'15h'!$I$7:$I$100,"")+SUMIFS('15i'!$N$7:$N$100,'15i'!$H$7:$H$100,$A259,'15i'!$I$7:$I$100,"")+SUMIFS('15j'!$N$7:$N$100,'15j'!$H$7:$H$100,$A259,'15j'!$I$7:$I$100,"")+SUMIFS('15k'!$N$7:$N$100,'15k'!$H$7:$H$100,$A259,'15k'!$I$7:$I$100,"")+SUMIFS('15l'!$N$7:$N$100,'15l'!$H$7:$H$100,$A259,'15l'!$I$7:$I$100,"")+SUMIFS('15m'!$N$7:$N$100,'15m'!$H$7:$H$100,$A259,'15m'!$I$7:$I$100,"")+SUMIFS('15n'!$N$7:$N$100,'15n'!$H$7:$H$100,$A259,'15n'!$I$7:$I$100,"")+SUMIFS('16'!$N$7:$N$100,'16'!$H$7:$H$100,$A259,'16'!$I$7:$I$100,"")+SUMIFS('16a'!$N$7:$N$100,'16a'!$H$7:$H$100,$A259,'16a'!$I$7:$I$100,"")+SUMIFS('17'!$N$7:$N$100,'17'!$H$7:$H$100,$A259,'17'!$I$7:$I$100,"")+SUMIFS('17a'!$N$7:$N$100,'17a'!$H$7:$H$100,$A259,'17a'!$I$7:$I$100,"")+SUMIFS('18'!$N$7:$N$100,'18'!$H$7:$H$100,$A259,'18'!$I$7:$I$100,"")+SUMIFS('18a'!$N$7:$N$100,'18a'!$H$7:$H$100,$A259,'18a'!$I$7:$I$100,"")
+SUMIFS('19'!$N$7:$N$100,'19'!$H$7:$H$100,$A259,'19'!$I$7:$I$100,"")+SUMIFS('20'!$N$7:$N$100,'20'!$H$7:$H$100,$A259,'20'!$I$7:$I$100,"")+SUMIFS('20a'!$N$7:$N$100,'20a'!$H$7:$H$100,$A259,'20a'!$I$7:$I$100,"")+SUMIFS('21'!$N$7:$N$100,'21'!$H$7:$H$100,$A259,'21'!$I$7:$I$100,"")+SUMIFS('22'!$N$7:$N$100,'22'!$H$7:$H$100,$A259,'22'!$I$7:$I$100,"")+SUMIFS('22a'!$N$7:$N$100,'22a'!$H$7:$H$100,$A259,'22a'!$I$7:$I$100,"")+SUMIFS('22b'!$N$7:$N$100,'22b'!$H$7:$H$100,$A259,'22b'!$I$7:$I$100,"")+SUMIFS('23'!$N$7:$N$100,'23'!$H$7:$H$100,$A259,'23'!$I$7:$I$100,"")+SUMIFS('24'!$N$7:$N$100,'24'!$H$7:$H$100,$A259,'24'!$I$7:$I$100,"")+SUMIFS('24a'!$N$7:$N$100,'24a'!$H$7:$H$100,$A259,'24a'!$I$7:$I$100,"")+SUMIFS('24b'!$N$7:$N$100,'24b'!$H$7:$H$100,$A259,'24b'!$I$7:$I$100,"")+SUMIFS('24c'!$N$7:$N$100,'24c'!$H$7:$H$100,$A259,'24c'!$I$7:$I$100,"")+SUMIFS('24d'!$N$7:$N$100,'24d'!$H$7:$H$100,$A259,'24d'!$I$7:$I$100,"")+SUMIFS('24e'!$N$7:$N$100,'24e'!$H$7:$H$100,$A259,'24e'!$I$7:$I$100,"")+SUMIFS('24f'!$N$7:$N$100,'24f'!$H$7:$H$100,$A259,'24f'!$I$7:$I$100,"")+SUMIFS('24g'!$N$7:$N$100,'24g'!$H$7:$H$100,$A259,'24g'!$I$7:$I$100,"")+SUMIFS('24h'!$N$7:$N$100,'24h'!$H$7:$H$100,$A259,'24h'!$I$7:$I$100,"")+SUMIFS('24i'!$N$7:$N$100,'24i'!$H$7:$H$100,$A259,'24i'!$I$7:$I$100,"")+SUMIFS('25'!$N$7:$N$100,'25'!$H$7:$H$100,$A259,'25'!$I$7:$I$100,"")+SUMIFS('26'!$N$7:$N$100,'26'!$H$7:$H$100,$A259,'26'!$I$7:$I$100,"")+SUMIFS('26a'!$N$7:$N$100,'26a'!$H$7:$H$100,$A259,'26a'!$I$7:$I$100,"")+SUMIFS('27'!$N$7:$N$100,'27'!$H$7:$H$100,$A259,'27'!$I$7:$I$100,"")+SUMIFS('27a'!$N$7:$N$100,'27a'!$H$7:$H$100,$A259,'27a'!$I$7:$I$100,"")+SUMIFS('28'!$N$7:$N$100,'28'!$H$7:$H$100,$A259,'28'!$I$7:$I$100,"")+SUMIFS('29'!$N$7:$N$100,'29'!$H$7:$H$100,$A259,'29'!$I$7:$I$100,"")</f>
        <v>0</v>
      </c>
      <c r="F259" s="1296">
        <f t="shared" si="24"/>
        <v>0</v>
      </c>
      <c r="G259" s="1295">
        <f>SUMIFS('12'!$J$7:$J$100,'12'!$H$7:$H$100,$A259,'12'!$I$7:$I$100,1)+SUMIFS('13'!$J$7:$J$100,'13'!$H$7:$H$100,$A259,'13'!$I$7:$I$100,1)+SUMIFS('14'!$J$7:$J$100,'14'!$H$7:$H$100,$A259,'14'!$I$7:$I$100,1)+SUMIFS('15'!$J$7:$J$100,'15'!$H$7:$H$100,$A259,'15'!$I$7:$I$100,1)+SUMIFS('15a'!$J$7:$J$100,'15a'!$H$7:$H$100,$A259,'15a'!$I$7:$I$100,1)+SUMIFS('15b'!$J$7:$J$100,'15b'!$H$7:$H$100,$A259,'15b'!$I$7:$I$100,1)+SUMIFS('15c'!$J$7:$J$100,'15c'!$H$7:$H$100,$A259,'15c'!$I$7:$I$100,1)+SUMIFS('15d'!$J$7:$J$100,'15d'!$H$7:$H$100,$A259,'15d'!$I$7:$I$100,1)+SUMIFS('15e'!$J$7:$J$100,'15e'!$H$7:$H$100,$A259,'15e'!$I$7:$I$100,1)+SUMIFS('15f'!$J$7:$J$100,'15f'!$H$7:$H$100,$A259,'15f'!$I$7:$I$100,1)+SUMIFS('15g'!$J$7:$J$100,'15g'!$H$7:$H$100,$A259,'15g'!$I$7:$I$100,1)+SUMIFS('15h'!$J$7:$J$100,'15h'!$H$7:$H$100,$A259,'15h'!$I$7:$I$100,1)+SUMIFS('15i'!$J$7:$J$100,'15i'!$H$7:$H$100,$A259,'15i'!$I$7:$I$100,1)+SUMIFS('15j'!$J$7:$J$100,'15j'!$H$7:$H$100,$A259,'15j'!$I$7:$I$100,1)+SUMIFS('15k'!$J$7:$J$100,'15k'!$H$7:$H$100,$A259,'15k'!$I$7:$I$100,1)+SUMIFS('15l'!$J$7:$J$100,'15l'!$H$7:$H$100,$A259,'15l'!$I$7:$I$100,1)+SUMIFS('15m'!$J$7:$J$100,'15m'!$H$7:$H$100,$A259,'15m'!$I$7:$I$100,1)+SUMIFS('15n'!$J$7:$J$100,'15n'!$H$7:$H$100,$A259,'15n'!$I$7:$I$100,1)+SUMIFS('16'!$J$7:$J$100,'16'!$H$7:$H$100,$A259,'16'!$I$7:$I$100,1)+SUMIFS('16a'!$J$7:$J$100,'16a'!$H$7:$H$100,$A259,'16a'!$I$7:$I$100,1)+SUMIFS('17'!$J$7:$J$100,'17'!$H$7:$H$100,$A259,'17'!$I$7:$I$100,1)+SUMIFS('17a'!$J$7:$J$100,'17a'!$H$7:$H$100,$A259,'17a'!$I$7:$I$100,1)+SUMIFS('18'!$J$7:$J$100,'18'!$H$7:$H$100,$A259,'18'!$I$7:$I$100,1)+SUMIFS('18a'!$J$7:$J$100,'18a'!$H$7:$H$100,$A259,'18a'!$I$7:$I$100,1)
+SUMIFS('19'!$J$7:$J$100,'19'!$H$7:$H$100,$A259,'19'!$I$7:$I$100,1)+SUMIFS('20'!$J$7:$J$100,'20'!$H$7:$H$100,$A259,'20'!$I$7:$I$100,1)+SUMIFS('20a'!$J$7:$J$100,'20a'!$H$7:$H$100,$A259,'20a'!$I$7:$I$100,1)+SUMIFS('21'!$J$7:$J$100,'21'!$H$7:$H$100,$A259,'21'!$I$7:$I$100,1)+SUMIFS('22'!$J$7:$J$100,'22'!$H$7:$H$100,$A259,'22'!$I$7:$I$100,1)+SUMIFS('22a'!$J$7:$J$100,'22a'!$H$7:$H$100,$A259,'22a'!$I$7:$I$100,1)+SUMIFS('22b'!$J$7:$J$100,'22b'!$H$7:$H$100,$A259,'22b'!$I$7:$I$100,1)+SUMIFS('23'!$J$7:$J$100,'23'!$H$7:$H$100,$A259,'23'!$I$7:$I$100,1)+SUMIFS('24'!$J$7:$J$100,'24'!$H$7:$H$100,$A259,'24'!$I$7:$I$100,1)+SUMIFS('24a'!$J$7:$J$100,'24a'!$H$7:$H$100,$A259,'24a'!$I$7:$I$100,1)+SUMIFS('24b'!$J$7:$J$100,'24b'!$H$7:$H$100,$A259,'24b'!$I$7:$I$100,1)+SUMIFS('24c'!$J$7:$J$100,'24c'!$H$7:$H$100,$A259,'24c'!$I$7:$I$100,1)+SUMIFS('24d'!$J$7:$J$100,'24d'!$H$7:$H$100,$A259,'24d'!$I$7:$I$100,1)+SUMIFS('24e'!$J$7:$J$100,'24e'!$H$7:$H$100,$A259,'24e'!$I$7:$I$100,1)+SUMIFS('24f'!$J$7:$J$100,'24f'!$H$7:$H$100,$A259,'24f'!$I$7:$I$100,1)+SUMIFS('24g'!$J$7:$J$100,'24g'!$H$7:$H$100,$A259,'24g'!$I$7:$I$100,1)+SUMIFS('24h'!$J$7:$J$100,'24h'!$H$7:$H$100,$A259,'24h'!$I$7:$I$100,1)+SUMIFS('24i'!$J$7:$J$100,'24i'!$H$7:$H$100,$A259,'24i'!$I$7:$I$100,1)+SUMIFS('25'!$J$7:$J$100,'25'!$H$7:$H$100,$A259,'25'!$I$7:$I$100,1)+SUMIFS('26'!$J$7:$J$100,'26'!$H$7:$H$100,$A259,'26'!$I$7:$I$100,1)+SUMIFS('26a'!$J$7:$J$100,'26a'!$H$7:$H$100,$A259,'26a'!$I$7:$I$100,1)+SUMIFS('27'!$J$7:$J$100,'27'!$H$7:$H$100,$A259,'27'!$I$7:$I$100,1)+SUMIFS('27a'!$J$7:$J$100,'27a'!$H$7:$H$100,$A259,'27a'!$I$7:$I$100,1)+SUMIFS('28'!$J$7:$J$100,'28'!$H$7:$H$100,$A259,'28'!$I$7:$I$100,1)+SUMIFS('29'!$J$7:$J$100,'29'!$H$7:$H$100,$A259,'29'!$I$7:$I$100,1)</f>
        <v>0</v>
      </c>
      <c r="H259" s="1315">
        <f>SUMIFS('12'!$J$7:$J$100,'12'!$H$7:$H$100,$A259,'12'!$I$7:$I$100,2)+SUMIFS('13'!$J$7:$J$100,'13'!$H$7:$H$100,$A259,'13'!$I$7:$I$100,2)+SUMIFS('14'!$J$7:$J$100,'14'!$H$7:$H$100,$A259,'14'!$I$7:$I$100,2)+SUMIFS('15'!$J$7:$J$100,'15'!$H$7:$H$100,$A259,'15'!$I$7:$I$100,2)+SUMIFS('15a'!$J$7:$J$100,'15a'!$H$7:$H$100,$A259,'15a'!$I$7:$I$100,2)+SUMIFS('15b'!$J$7:$J$100,'15b'!$H$7:$H$100,$A259,'15b'!$I$7:$I$100,2)+SUMIFS('15c'!$J$7:$J$100,'15c'!$H$7:$H$100,$A259,'15c'!$I$7:$I$100,2)+SUMIFS('15d'!$J$7:$J$100,'15d'!$H$7:$H$100,$A259,'15d'!$I$7:$I$100,2)+SUMIFS('15e'!$J$7:$J$100,'15e'!$H$7:$H$100,$A259,'15e'!$I$7:$I$100,2)+SUMIFS('15f'!$J$7:$J$100,'15f'!$H$7:$H$100,$A259,'15f'!$I$7:$I$100,2)+SUMIFS('15g'!$J$7:$J$100,'15g'!$H$7:$H$100,$A259,'15g'!$I$7:$I$100,2)+SUMIFS('15h'!$J$7:$J$100,'15h'!$H$7:$H$100,$A259,'15h'!$I$7:$I$100,2)+SUMIFS('15i'!$J$7:$J$100,'15i'!$H$7:$H$100,$A259,'15i'!$I$7:$I$100,2)+SUMIFS('15j'!$J$7:$J$100,'15j'!$H$7:$H$100,$A259,'15j'!$I$7:$I$100,2)+SUMIFS('15k'!$J$7:$J$100,'15k'!$H$7:$H$100,$A259,'15k'!$I$7:$I$100,2)+SUMIFS('15l'!$J$7:$J$100,'15l'!$H$7:$H$100,$A259,'15l'!$I$7:$I$100,2)+SUMIFS('15m'!$J$7:$J$100,'15m'!$H$7:$H$100,$A259,'15m'!$I$7:$I$100,2)+SUMIFS('15n'!$J$7:$J$100,'15n'!$H$7:$H$100,$A259,'15n'!$I$7:$I$100,2)+SUMIFS('16'!$J$7:$J$100,'16'!$H$7:$H$100,$A259,'16'!$I$7:$I$100,2)+SUMIFS('16a'!$J$7:$J$100,'16a'!$H$7:$H$100,$A259,'16a'!$I$7:$I$100,2)+SUMIFS('17'!$J$7:$J$100,'17'!$H$7:$H$100,$A259,'17'!$I$7:$I$100,2)+SUMIFS('17a'!$J$7:$J$100,'17a'!$H$7:$H$100,$A259,'17a'!$I$7:$I$100,2)+SUMIFS('18'!$J$7:$J$100,'18'!$H$7:$H$100,$A259,'18'!$I$7:$I$100,2)+SUMIFS('18a'!$J$7:$J$100,'18a'!$H$7:$H$100,$A259,'18a'!$I$7:$I$100,2)
+SUMIFS('19'!$J$7:$J$100,'19'!$H$7:$H$100,$A259,'19'!$I$7:$I$100,2)+SUMIFS('20'!$J$7:$J$100,'20'!$H$7:$H$100,$A259,'20'!$I$7:$I$100,2)+SUMIFS('20a'!$J$7:$J$100,'20a'!$H$7:$H$100,$A259,'20a'!$I$7:$I$100,2)+SUMIFS('21'!$J$7:$J$100,'21'!$H$7:$H$100,$A259,'21'!$I$7:$I$100,2)+SUMIFS('22'!$J$7:$J$100,'22'!$H$7:$H$100,$A259,'22'!$I$7:$I$100,2)+SUMIFS('22a'!$J$7:$J$100,'22a'!$H$7:$H$100,$A259,'22a'!$I$7:$I$100,2)+SUMIFS('22b'!$J$7:$J$100,'22b'!$H$7:$H$100,$A259,'22b'!$I$7:$I$100,2)+SUMIFS('23'!$J$7:$J$100,'23'!$H$7:$H$100,$A259,'23'!$I$7:$I$100,2)+SUMIFS('24'!$J$7:$J$100,'24'!$H$7:$H$100,$A259,'24'!$I$7:$I$100,2)+SUMIFS('24a'!$J$7:$J$100,'24a'!$H$7:$H$100,$A259,'24a'!$I$7:$I$100,2)+SUMIFS('24b'!$J$7:$J$100,'24b'!$H$7:$H$100,$A259,'24b'!$I$7:$I$100,2)+SUMIFS('24c'!$J$7:$J$100,'24c'!$H$7:$H$100,$A259,'24c'!$I$7:$I$100,2)+SUMIFS('24d'!$J$7:$J$100,'24d'!$H$7:$H$100,$A259,'24d'!$I$7:$I$100,2)+SUMIFS('24e'!$J$7:$J$100,'24e'!$H$7:$H$100,$A259,'24e'!$I$7:$I$100,2)+SUMIFS('24f'!$J$7:$J$100,'24f'!$H$7:$H$100,$A259,'24f'!$I$7:$I$100,2)+SUMIFS('24g'!$J$7:$J$100,'24g'!$H$7:$H$100,$A259,'24g'!$I$7:$I$100,2)+SUMIFS('24h'!$J$7:$J$100,'24h'!$H$7:$H$100,$A259,'24h'!$I$7:$I$100,2)+SUMIFS('24i'!$J$7:$J$100,'24i'!$H$7:$H$100,$A259,'24i'!$I$7:$I$100,2)+SUMIFS('25'!$J$7:$J$100,'25'!$H$7:$H$100,$A259,'25'!$I$7:$I$100,2)+SUMIFS('26'!$J$7:$J$100,'26'!$H$7:$H$100,$A259,'26'!$I$7:$I$100,2)+SUMIFS('26a'!$J$7:$J$100,'26a'!$H$7:$H$100,$A259,'26a'!$I$7:$I$100,2)+SUMIFS('27'!$J$7:$J$100,'27'!$H$7:$H$100,$A259,'27'!$I$7:$I$100,2)+SUMIFS('27a'!$J$7:$J$100,'27a'!$H$7:$H$100,$A259,'27a'!$I$7:$I$100,2)+SUMIFS('28'!$J$7:$J$100,'28'!$H$7:$H$100,$A259,'28'!$I$7:$I$100,2)+SUMIFS('29'!$J$7:$J$100,'29'!$H$7:$H$100,$A259,'29'!$I$7:$I$100,2)</f>
        <v>0</v>
      </c>
      <c r="I259" s="1315">
        <f>SUMIFS('12'!$J$7:$J$100,'12'!$H$7:$H$100,$A259,'12'!$I$7:$I$100,"")+SUMIFS('13'!$J$7:$J$100,'13'!$H$7:$H$100,$A259,'13'!$I$7:$I$100,"")+SUMIFS('14'!$J$7:$J$100,'14'!$H$7:$H$100,$A259,'14'!$I$7:$I$100,"")+SUMIFS('15'!$J$7:$J$100,'15'!$H$7:$H$100,$A259,'15'!$I$7:$I$100,"")+SUMIFS('15a'!$J$7:$J$100,'15a'!$H$7:$H$100,$A259,'15a'!$I$7:$I$100,"")+SUMIFS('15b'!$J$7:$J$100,'15b'!$H$7:$H$100,$A259,'15b'!$I$7:$I$100,"")+SUMIFS('15c'!$J$7:$J$100,'15c'!$H$7:$H$100,$A259,'15c'!$I$7:$I$100,"")+SUMIFS('15d'!$J$7:$J$100,'15d'!$H$7:$H$100,$A259,'15d'!$I$7:$I$100,"")+SUMIFS('15e'!$J$7:$J$100,'15e'!$H$7:$H$100,$A259,'15e'!$I$7:$I$100,"")+SUMIFS('15f'!$J$7:$J$100,'15f'!$H$7:$H$100,$A259,'15f'!$I$7:$I$100,"")+SUMIFS('15g'!$J$7:$J$100,'15g'!$H$7:$H$100,$A259,'15g'!$I$7:$I$100,"")+SUMIFS('15h'!$J$7:$J$100,'15h'!$H$7:$H$100,$A259,'15h'!$I$7:$I$100,"")+SUMIFS('15i'!$J$7:$J$100,'15i'!$H$7:$H$100,$A259,'15i'!$I$7:$I$100,"")+SUMIFS('15j'!$J$7:$J$100,'15j'!$H$7:$H$100,$A259,'15j'!$I$7:$I$100,"")+SUMIFS('15k'!$J$7:$J$100,'15k'!$H$7:$H$100,$A259,'15k'!$I$7:$I$100,"")+SUMIFS('15l'!$J$7:$J$100,'15l'!$H$7:$H$100,$A259,'15l'!$I$7:$I$100,"")+SUMIFS('15m'!$J$7:$J$100,'15m'!$H$7:$H$100,$A259,'15m'!$I$7:$I$100,"")+SUMIFS('15n'!$J$7:$J$100,'15n'!$H$7:$H$100,$A259,'15n'!$I$7:$I$100,"")+SUMIFS('16'!$J$7:$J$100,'16'!$H$7:$H$100,$A259,'16'!$I$7:$I$100,"")+SUMIFS('16a'!$J$7:$J$100,'16a'!$H$7:$H$100,$A259,'16a'!$I$7:$I$100,"")+SUMIFS('17'!$J$7:$J$100,'17'!$H$7:$H$100,$A259,'17'!$I$7:$I$100,"")+SUMIFS('17a'!$J$7:$J$100,'17a'!$H$7:$H$100,$A259,'17a'!$I$7:$I$100,"")+SUMIFS('18'!$J$7:$J$100,'18'!$H$7:$H$100,$A259,'18'!$I$7:$I$100,"")+SUMIFS('18a'!$J$7:$J$100,'18a'!$H$7:$H$100,$A259,'18a'!$I$7:$I$100,"")
+SUMIFS('19'!$J$7:$J$100,'19'!$H$7:$H$100,$A259,'19'!$I$7:$I$100,"")+SUMIFS('20'!$J$7:$J$100,'20'!$H$7:$H$100,$A259,'20'!$I$7:$I$100,"")+SUMIFS('20a'!$J$7:$J$100,'20a'!$H$7:$H$100,$A259,'20a'!$I$7:$I$100,"")+SUMIFS('21'!$J$7:$J$100,'21'!$H$7:$H$100,$A259,'21'!$I$7:$I$100,"")+SUMIFS('22'!$J$7:$J$100,'22'!$H$7:$H$100,$A259,'22'!$I$7:$I$100,"")+SUMIFS('22a'!$J$7:$J$100,'22a'!$H$7:$H$100,$A259,'22a'!$I$7:$I$100,"")+SUMIFS('22b'!$J$7:$J$100,'22b'!$H$7:$H$100,$A259,'22b'!$I$7:$I$100,"")+SUMIFS('23'!$J$7:$J$100,'23'!$H$7:$H$100,$A259,'23'!$I$7:$I$100,"")+SUMIFS('24'!$J$7:$J$100,'24'!$H$7:$H$100,$A259,'24'!$I$7:$I$100,"")+SUMIFS('24a'!$J$7:$J$100,'24a'!$H$7:$H$100,$A259,'24a'!$I$7:$I$100,"")+SUMIFS('24b'!$J$7:$J$100,'24b'!$H$7:$H$100,$A259,'24b'!$I$7:$I$100,"")+SUMIFS('24c'!$J$7:$J$100,'24c'!$H$7:$H$100,$A259,'24c'!$I$7:$I$100,"")+SUMIFS('24d'!$J$7:$J$100,'24d'!$H$7:$H$100,$A259,'24d'!$I$7:$I$100,"")+SUMIFS('24e'!$J$7:$J$100,'24e'!$H$7:$H$100,$A259,'24e'!$I$7:$I$100,"")+SUMIFS('24f'!$J$7:$J$100,'24f'!$H$7:$H$100,$A259,'24f'!$I$7:$I$100,"")+SUMIFS('24g'!$J$7:$J$100,'24g'!$H$7:$H$100,$A259,'24g'!$I$7:$I$100,"")+SUMIFS('24h'!$J$7:$J$100,'24h'!$H$7:$H$100,$A259,'24h'!$I$7:$I$100,"")+SUMIFS('24i'!$J$7:$J$100,'24i'!$H$7:$H$100,$A259,'24i'!$I$7:$I$100,"")+SUMIFS('25'!$J$7:$J$100,'25'!$H$7:$H$100,$A259,'25'!$I$7:$I$100,"")+SUMIFS('26'!$J$7:$J$100,'26'!$H$7:$H$100,$A259,'26'!$I$7:$I$100,"")+SUMIFS('26a'!$J$7:$J$100,'26a'!$H$7:$H$100,$A259,'26a'!$I$7:$I$100,"")+SUMIFS('27'!$J$7:$J$100,'27'!$H$7:$H$100,$A259,'27'!$I$7:$I$100,"")+SUMIFS('27a'!$J$7:$J$100,'27a'!$H$7:$H$100,$A259,'27a'!$I$7:$I$100,"")+SUMIFS('28'!$J$7:$J$100,'28'!$H$7:$H$100,$A259,'28'!$I$7:$I$100,"")+SUMIFS('29'!$J$7:$J$100,'29'!$H$7:$H$100,$A259,'29'!$I$7:$I$100,"")</f>
        <v>0</v>
      </c>
      <c r="J259" s="1296">
        <f t="shared" si="25"/>
        <v>0</v>
      </c>
      <c r="K259"/>
      <c r="L259"/>
      <c r="M259"/>
      <c r="N259"/>
      <c r="O259"/>
      <c r="P259"/>
      <c r="Q259"/>
      <c r="R259"/>
      <c r="S259" s="1307">
        <f t="shared" si="14"/>
        <v>0</v>
      </c>
      <c r="T259"/>
    </row>
    <row r="260" spans="1:20" x14ac:dyDescent="0.2">
      <c r="A260" t="s">
        <v>5101</v>
      </c>
      <c r="B260" t="s">
        <v>5502</v>
      </c>
      <c r="C260" s="1295">
        <f>SUMIFS('12'!$N$7:$N$100,'12'!$H$7:$H$100,$A260,'12'!$I$7:$I$100,1)+SUMIFS('13'!$N$7:$N$100,'13'!$H$7:$H$100,$A260,'13'!$I$7:$I$100,1)+SUMIFS('14'!$N$7:$N$100,'14'!$H$7:$H$100,$A260,'14'!$I$7:$I$100,1)+SUMIFS('15'!$N$7:$N$100,'15'!$H$7:$H$100,$A260,'15'!$I$7:$I$100,1)+SUMIFS('15a'!$N$7:$N$100,'15a'!$H$7:$H$100,$A260,'15a'!$I$7:$I$100,1)+SUMIFS('15b'!$N$7:$N$100,'15b'!$H$7:$H$100,$A260,'15b'!$I$7:$I$100,1)+SUMIFS('15c'!$N$7:$N$100,'15c'!$H$7:$H$100,$A260,'15c'!$I$7:$I$100,1)+SUMIFS('15d'!$N$7:$N$100,'15d'!$H$7:$H$100,$A260,'15d'!$I$7:$I$100,1)+SUMIFS('15e'!$N$7:$N$100,'15e'!$H$7:$H$100,$A260,'15e'!$I$7:$I$100,1)+SUMIFS('15f'!$N$7:$N$100,'15f'!$H$7:$H$100,$A260,'15f'!$I$7:$I$100,1)+SUMIFS('15g'!$N$7:$N$100,'15g'!$H$7:$H$100,$A260,'15g'!$I$7:$I$100,1)+SUMIFS('15h'!$N$7:$N$100,'15h'!$H$7:$H$100,$A260,'15h'!$I$7:$I$100,1)+SUMIFS('15i'!$N$7:$N$100,'15i'!$H$7:$H$100,$A260,'15i'!$I$7:$I$100,1)+SUMIFS('15j'!$N$7:$N$100,'15j'!$H$7:$H$100,$A260,'15j'!$I$7:$I$100,1)+SUMIFS('15k'!$N$7:$N$100,'15k'!$H$7:$H$100,$A260,'15k'!$I$7:$I$100,1)+SUMIFS('15l'!$N$7:$N$100,'15l'!$H$7:$H$100,$A260,'15l'!$I$7:$I$100,1)+SUMIFS('15m'!$N$7:$N$100,'15m'!$H$7:$H$100,$A260,'15m'!$I$7:$I$100,1)+SUMIFS('15n'!$N$7:$N$100,'15n'!$H$7:$H$100,$A260,'15n'!$I$7:$I$100,1)+SUMIFS('16'!$N$7:$N$100,'16'!$H$7:$H$100,$A260,'16'!$I$7:$I$100,1)+SUMIFS('16a'!$N$7:$N$100,'16a'!$H$7:$H$100,$A260,'16a'!$I$7:$I$100,1)+SUMIFS('17'!$N$7:$N$100,'17'!$H$7:$H$100,$A260,'17'!$I$7:$I$100,1)+SUMIFS('17a'!$N$7:$N$100,'17a'!$H$7:$H$100,$A260,'17a'!$I$7:$I$100,1)+SUMIFS('18'!$N$7:$N$100,'18'!$H$7:$H$100,$A260,'18'!$I$7:$I$100,1)+SUMIFS('18a'!$N$7:$N$100,'18a'!$H$7:$H$100,$A260,'18a'!$I$7:$I$100,1)
+SUMIFS('19'!$N$7:$N$100,'19'!$H$7:$H$100,$A260,'19'!$I$7:$I$100,1)+SUMIFS('20'!$N$7:$N$100,'20'!$H$7:$H$100,$A260,'20'!$I$7:$I$100,1)+SUMIFS('20a'!$N$7:$N$100,'20a'!$H$7:$H$100,$A260,'20a'!$I$7:$I$100,1)+SUMIFS('21'!$N$7:$N$100,'21'!$H$7:$H$100,$A260,'21'!$I$7:$I$100,1)+SUMIFS('22'!$N$7:$N$100,'22'!$H$7:$H$100,$A260,'22'!$I$7:$I$100,1)+SUMIFS('22a'!$N$7:$N$100,'22a'!$H$7:$H$100,$A260,'22a'!$I$7:$I$100,1)+SUMIFS('22b'!$N$7:$N$100,'22b'!$H$7:$H$100,$A260,'22b'!$I$7:$I$100,1)+SUMIFS('23'!$N$7:$N$100,'23'!$H$7:$H$100,$A260,'23'!$I$7:$I$100,1)+SUMIFS('24'!$N$7:$N$100,'24'!$H$7:$H$100,$A260,'24'!$I$7:$I$100,1)+SUMIFS('24a'!$N$7:$N$100,'24a'!$H$7:$H$100,$A260,'24a'!$I$7:$I$100,1)+SUMIFS('24b'!$N$7:$N$100,'24b'!$H$7:$H$100,$A260,'24b'!$I$7:$I$100,1)+SUMIFS('24c'!$N$7:$N$100,'24c'!$H$7:$H$100,$A260,'24c'!$I$7:$I$100,1)+SUMIFS('24d'!$N$7:$N$100,'24d'!$H$7:$H$100,$A260,'24d'!$I$7:$I$100,1)+SUMIFS('24e'!$N$7:$N$100,'24e'!$H$7:$H$100,$A260,'24e'!$I$7:$I$100,1)+SUMIFS('24f'!$N$7:$N$100,'24f'!$H$7:$H$100,$A260,'24f'!$I$7:$I$100,1)+SUMIFS('24g'!$N$7:$N$100,'24g'!$H$7:$H$100,$A260,'24g'!$I$7:$I$100,1)+SUMIFS('24h'!$N$7:$N$100,'24h'!$H$7:$H$100,$A260,'24h'!$I$7:$I$100,1)+SUMIFS('24i'!$N$7:$N$100,'24i'!$H$7:$H$100,$A260,'24i'!$I$7:$I$100,1)+SUMIFS('25'!$N$7:$N$100,'25'!$H$7:$H$100,$A260,'25'!$I$7:$I$100,1)+SUMIFS('26'!$N$7:$N$100,'26'!$H$7:$H$100,$A260,'26'!$I$7:$I$100,1)+SUMIFS('26a'!$N$7:$N$100,'26a'!$H$7:$H$100,$A260,'26a'!$I$7:$I$100,1)+SUMIFS('27'!$N$7:$N$100,'27'!$H$7:$H$100,$A260,'27'!$I$7:$I$100,1)+SUMIFS('27a'!$N$7:$N$100,'27a'!$H$7:$H$100,$A260,'27a'!$I$7:$I$100,1)+SUMIFS('28'!$N$7:$N$100,'28'!$H$7:$H$100,$A260,'28'!$I$7:$I$100,1)+SUMIFS('29'!$N$7:$N$100,'29'!$H$7:$H$100,$A260,'29'!$I$7:$I$100,1)</f>
        <v>0</v>
      </c>
      <c r="D260" s="1315">
        <f>SUMIFS('12'!$N$7:$N$100,'12'!$H$7:$H$100,$A260,'12'!$I$7:$I$100,2)+SUMIFS('13'!$N$7:$N$100,'13'!$H$7:$H$100,$A260,'13'!$I$7:$I$100,2)+SUMIFS('14'!$N$7:$N$100,'14'!$H$7:$H$100,$A260,'14'!$I$7:$I$100,2)+SUMIFS('15'!$N$7:$N$100,'15'!$H$7:$H$100,$A260,'15'!$I$7:$I$100,2)+SUMIFS('15a'!$N$7:$N$100,'15a'!$H$7:$H$100,$A260,'15a'!$I$7:$I$100,2)+SUMIFS('15b'!$N$7:$N$100,'15b'!$H$7:$H$100,$A260,'15b'!$I$7:$I$100,2)+SUMIFS('15c'!$N$7:$N$100,'15c'!$H$7:$H$100,$A260,'15c'!$I$7:$I$100,2)+SUMIFS('15d'!$N$7:$N$100,'15d'!$H$7:$H$100,$A260,'15d'!$I$7:$I$100,2)+SUMIFS('15e'!$N$7:$N$100,'15e'!$H$7:$H$100,$A260,'15e'!$I$7:$I$100,2)+SUMIFS('15f'!$N$7:$N$100,'15f'!$H$7:$H$100,$A260,'15f'!$I$7:$I$100,2)+SUMIFS('15g'!$N$7:$N$100,'15g'!$H$7:$H$100,$A260,'15g'!$I$7:$I$100,2)+SUMIFS('15h'!$N$7:$N$100,'15h'!$H$7:$H$100,$A260,'15h'!$I$7:$I$100,2)+SUMIFS('15i'!$N$7:$N$100,'15i'!$H$7:$H$100,$A260,'15i'!$I$7:$I$100,2)+SUMIFS('15j'!$N$7:$N$100,'15j'!$H$7:$H$100,$A260,'15j'!$I$7:$I$100,2)+SUMIFS('15k'!$N$7:$N$100,'15k'!$H$7:$H$100,$A260,'15k'!$I$7:$I$100,2)+SUMIFS('15l'!$N$7:$N$100,'15l'!$H$7:$H$100,$A260,'15l'!$I$7:$I$100,2)+SUMIFS('15m'!$N$7:$N$100,'15m'!$H$7:$H$100,$A260,'15m'!$I$7:$I$100,2)+SUMIFS('15n'!$N$7:$N$100,'15n'!$H$7:$H$100,$A260,'15n'!$I$7:$I$100,2)+SUMIFS('16'!$N$7:$N$100,'16'!$H$7:$H$100,$A260,'16'!$I$7:$I$100,2)+SUMIFS('16a'!$N$7:$N$100,'16a'!$H$7:$H$100,$A260,'16a'!$I$7:$I$100,2)+SUMIFS('17'!$N$7:$N$100,'17'!$H$7:$H$100,$A260,'17'!$I$7:$I$100,2)+SUMIFS('17a'!$N$7:$N$100,'17a'!$H$7:$H$100,$A260,'17a'!$I$7:$I$100,2)+SUMIFS('18'!$N$7:$N$100,'18'!$H$7:$H$100,$A260,'18'!$I$7:$I$100,2)+SUMIFS('18a'!$N$7:$N$100,'18a'!$H$7:$H$100,$A260,'18a'!$I$7:$I$100,2)
+SUMIFS('19'!$N$7:$N$100,'19'!$H$7:$H$100,$A260,'19'!$I$7:$I$100,2)+SUMIFS('20'!$N$7:$N$100,'20'!$H$7:$H$100,$A260,'20'!$I$7:$I$100,2)+SUMIFS('20a'!$N$7:$N$100,'20a'!$H$7:$H$100,$A260,'20a'!$I$7:$I$100,2)+SUMIFS('21'!$N$7:$N$100,'21'!$H$7:$H$100,$A260,'21'!$I$7:$I$100,2)+SUMIFS('22'!$N$7:$N$100,'22'!$H$7:$H$100,$A260,'22'!$I$7:$I$100,2)+SUMIFS('22a'!$N$7:$N$100,'22a'!$H$7:$H$100,$A260,'22a'!$I$7:$I$100,2)+SUMIFS('22b'!$N$7:$N$100,'22b'!$H$7:$H$100,$A260,'22b'!$I$7:$I$100,2)+SUMIFS('23'!$N$7:$N$100,'23'!$H$7:$H$100,$A260,'23'!$I$7:$I$100,2)+SUMIFS('24'!$N$7:$N$100,'24'!$H$7:$H$100,$A260,'24'!$I$7:$I$100,2)+SUMIFS('24a'!$N$7:$N$100,'24a'!$H$7:$H$100,$A260,'24a'!$I$7:$I$100,2)+SUMIFS('24b'!$N$7:$N$100,'24b'!$H$7:$H$100,$A260,'24b'!$I$7:$I$100,2)+SUMIFS('24c'!$N$7:$N$100,'24c'!$H$7:$H$100,$A260,'24c'!$I$7:$I$100,2)+SUMIFS('24d'!$N$7:$N$100,'24d'!$H$7:$H$100,$A260,'24d'!$I$7:$I$100,2)+SUMIFS('24e'!$N$7:$N$100,'24e'!$H$7:$H$100,$A260,'24e'!$I$7:$I$100,2)+SUMIFS('24f'!$N$7:$N$100,'24f'!$H$7:$H$100,$A260,'24f'!$I$7:$I$100,2)+SUMIFS('24g'!$N$7:$N$100,'24g'!$H$7:$H$100,$A260,'24g'!$I$7:$I$100,2)+SUMIFS('24h'!$N$7:$N$100,'24h'!$H$7:$H$100,$A260,'24h'!$I$7:$I$100,2)+SUMIFS('24i'!$N$7:$N$100,'24i'!$H$7:$H$100,$A260,'24i'!$I$7:$I$100,2)+SUMIFS('25'!$N$7:$N$100,'25'!$H$7:$H$100,$A260,'25'!$I$7:$I$100,2)+SUMIFS('26'!$N$7:$N$100,'26'!$H$7:$H$100,$A260,'26'!$I$7:$I$100,2)+SUMIFS('26a'!$N$7:$N$100,'26a'!$H$7:$H$100,$A260,'26a'!$I$7:$I$100,2)+SUMIFS('27'!$N$7:$N$100,'27'!$H$7:$H$100,$A260,'27'!$I$7:$I$100,2)+SUMIFS('27a'!$N$7:$N$100,'27a'!$H$7:$H$100,$A260,'27a'!$I$7:$I$100,2)+SUMIFS('28'!$N$7:$N$100,'28'!$H$7:$H$100,$A260,'28'!$I$7:$I$100,2)+SUMIFS('29'!$N$7:$N$100,'29'!$H$7:$H$100,$A260,'29'!$I$7:$I$100,2)</f>
        <v>0</v>
      </c>
      <c r="E260" s="1315">
        <f>SUMIFS('12'!$N$7:$N$100,'12'!$H$7:$H$100,$A260,'12'!$I$7:$I$100,"")+SUMIFS('13'!$N$7:$N$100,'13'!$H$7:$H$100,$A260,'13'!$I$7:$I$100,"")+SUMIFS('14'!$N$7:$N$100,'14'!$H$7:$H$100,$A260,'14'!$I$7:$I$100,"")+SUMIFS('15'!$N$7:$N$100,'15'!$H$7:$H$100,$A260,'15'!$I$7:$I$100,"")+SUMIFS('15a'!$N$7:$N$100,'15a'!$H$7:$H$100,$A260,'15a'!$I$7:$I$100,"")+SUMIFS('15b'!$N$7:$N$100,'15b'!$H$7:$H$100,$A260,'15b'!$I$7:$I$100,"")+SUMIFS('15c'!$N$7:$N$100,'15c'!$H$7:$H$100,$A260,'15c'!$I$7:$I$100,"")+SUMIFS('15d'!$N$7:$N$100,'15d'!$H$7:$H$100,$A260,'15d'!$I$7:$I$100,"")+SUMIFS('15e'!$N$7:$N$100,'15e'!$H$7:$H$100,$A260,'15e'!$I$7:$I$100,"")+SUMIFS('15f'!$N$7:$N$100,'15f'!$H$7:$H$100,$A260,'15f'!$I$7:$I$100,"")+SUMIFS('15g'!$N$7:$N$100,'15g'!$H$7:$H$100,$A260,'15g'!$I$7:$I$100,"")+SUMIFS('15h'!$N$7:$N$100,'15h'!$H$7:$H$100,$A260,'15h'!$I$7:$I$100,"")+SUMIFS('15i'!$N$7:$N$100,'15i'!$H$7:$H$100,$A260,'15i'!$I$7:$I$100,"")+SUMIFS('15j'!$N$7:$N$100,'15j'!$H$7:$H$100,$A260,'15j'!$I$7:$I$100,"")+SUMIFS('15k'!$N$7:$N$100,'15k'!$H$7:$H$100,$A260,'15k'!$I$7:$I$100,"")+SUMIFS('15l'!$N$7:$N$100,'15l'!$H$7:$H$100,$A260,'15l'!$I$7:$I$100,"")+SUMIFS('15m'!$N$7:$N$100,'15m'!$H$7:$H$100,$A260,'15m'!$I$7:$I$100,"")+SUMIFS('15n'!$N$7:$N$100,'15n'!$H$7:$H$100,$A260,'15n'!$I$7:$I$100,"")+SUMIFS('16'!$N$7:$N$100,'16'!$H$7:$H$100,$A260,'16'!$I$7:$I$100,"")+SUMIFS('16a'!$N$7:$N$100,'16a'!$H$7:$H$100,$A260,'16a'!$I$7:$I$100,"")+SUMIFS('17'!$N$7:$N$100,'17'!$H$7:$H$100,$A260,'17'!$I$7:$I$100,"")+SUMIFS('17a'!$N$7:$N$100,'17a'!$H$7:$H$100,$A260,'17a'!$I$7:$I$100,"")+SUMIFS('18'!$N$7:$N$100,'18'!$H$7:$H$100,$A260,'18'!$I$7:$I$100,"")+SUMIFS('18a'!$N$7:$N$100,'18a'!$H$7:$H$100,$A260,'18a'!$I$7:$I$100,"")
+SUMIFS('19'!$N$7:$N$100,'19'!$H$7:$H$100,$A260,'19'!$I$7:$I$100,"")+SUMIFS('20'!$N$7:$N$100,'20'!$H$7:$H$100,$A260,'20'!$I$7:$I$100,"")+SUMIFS('20a'!$N$7:$N$100,'20a'!$H$7:$H$100,$A260,'20a'!$I$7:$I$100,"")+SUMIFS('21'!$N$7:$N$100,'21'!$H$7:$H$100,$A260,'21'!$I$7:$I$100,"")+SUMIFS('22'!$N$7:$N$100,'22'!$H$7:$H$100,$A260,'22'!$I$7:$I$100,"")+SUMIFS('22a'!$N$7:$N$100,'22a'!$H$7:$H$100,$A260,'22a'!$I$7:$I$100,"")+SUMIFS('22b'!$N$7:$N$100,'22b'!$H$7:$H$100,$A260,'22b'!$I$7:$I$100,"")+SUMIFS('23'!$N$7:$N$100,'23'!$H$7:$H$100,$A260,'23'!$I$7:$I$100,"")+SUMIFS('24'!$N$7:$N$100,'24'!$H$7:$H$100,$A260,'24'!$I$7:$I$100,"")+SUMIFS('24a'!$N$7:$N$100,'24a'!$H$7:$H$100,$A260,'24a'!$I$7:$I$100,"")+SUMIFS('24b'!$N$7:$N$100,'24b'!$H$7:$H$100,$A260,'24b'!$I$7:$I$100,"")+SUMIFS('24c'!$N$7:$N$100,'24c'!$H$7:$H$100,$A260,'24c'!$I$7:$I$100,"")+SUMIFS('24d'!$N$7:$N$100,'24d'!$H$7:$H$100,$A260,'24d'!$I$7:$I$100,"")+SUMIFS('24e'!$N$7:$N$100,'24e'!$H$7:$H$100,$A260,'24e'!$I$7:$I$100,"")+SUMIFS('24f'!$N$7:$N$100,'24f'!$H$7:$H$100,$A260,'24f'!$I$7:$I$100,"")+SUMIFS('24g'!$N$7:$N$100,'24g'!$H$7:$H$100,$A260,'24g'!$I$7:$I$100,"")+SUMIFS('24h'!$N$7:$N$100,'24h'!$H$7:$H$100,$A260,'24h'!$I$7:$I$100,"")+SUMIFS('24i'!$N$7:$N$100,'24i'!$H$7:$H$100,$A260,'24i'!$I$7:$I$100,"")+SUMIFS('25'!$N$7:$N$100,'25'!$H$7:$H$100,$A260,'25'!$I$7:$I$100,"")+SUMIFS('26'!$N$7:$N$100,'26'!$H$7:$H$100,$A260,'26'!$I$7:$I$100,"")+SUMIFS('26a'!$N$7:$N$100,'26a'!$H$7:$H$100,$A260,'26a'!$I$7:$I$100,"")+SUMIFS('27'!$N$7:$N$100,'27'!$H$7:$H$100,$A260,'27'!$I$7:$I$100,"")+SUMIFS('27a'!$N$7:$N$100,'27a'!$H$7:$H$100,$A260,'27a'!$I$7:$I$100,"")+SUMIFS('28'!$N$7:$N$100,'28'!$H$7:$H$100,$A260,'28'!$I$7:$I$100,"")+SUMIFS('29'!$N$7:$N$100,'29'!$H$7:$H$100,$A260,'29'!$I$7:$I$100,"")</f>
        <v>0</v>
      </c>
      <c r="F260" s="1296">
        <f t="shared" si="24"/>
        <v>0</v>
      </c>
      <c r="G260" s="1295">
        <f>SUMIFS('12'!$J$7:$J$100,'12'!$H$7:$H$100,$A260,'12'!$I$7:$I$100,1)+SUMIFS('13'!$J$7:$J$100,'13'!$H$7:$H$100,$A260,'13'!$I$7:$I$100,1)+SUMIFS('14'!$J$7:$J$100,'14'!$H$7:$H$100,$A260,'14'!$I$7:$I$100,1)+SUMIFS('15'!$J$7:$J$100,'15'!$H$7:$H$100,$A260,'15'!$I$7:$I$100,1)+SUMIFS('15a'!$J$7:$J$100,'15a'!$H$7:$H$100,$A260,'15a'!$I$7:$I$100,1)+SUMIFS('15b'!$J$7:$J$100,'15b'!$H$7:$H$100,$A260,'15b'!$I$7:$I$100,1)+SUMIFS('15c'!$J$7:$J$100,'15c'!$H$7:$H$100,$A260,'15c'!$I$7:$I$100,1)+SUMIFS('15d'!$J$7:$J$100,'15d'!$H$7:$H$100,$A260,'15d'!$I$7:$I$100,1)+SUMIFS('15e'!$J$7:$J$100,'15e'!$H$7:$H$100,$A260,'15e'!$I$7:$I$100,1)+SUMIFS('15f'!$J$7:$J$100,'15f'!$H$7:$H$100,$A260,'15f'!$I$7:$I$100,1)+SUMIFS('15g'!$J$7:$J$100,'15g'!$H$7:$H$100,$A260,'15g'!$I$7:$I$100,1)+SUMIFS('15h'!$J$7:$J$100,'15h'!$H$7:$H$100,$A260,'15h'!$I$7:$I$100,1)+SUMIFS('15i'!$J$7:$J$100,'15i'!$H$7:$H$100,$A260,'15i'!$I$7:$I$100,1)+SUMIFS('15j'!$J$7:$J$100,'15j'!$H$7:$H$100,$A260,'15j'!$I$7:$I$100,1)+SUMIFS('15k'!$J$7:$J$100,'15k'!$H$7:$H$100,$A260,'15k'!$I$7:$I$100,1)+SUMIFS('15l'!$J$7:$J$100,'15l'!$H$7:$H$100,$A260,'15l'!$I$7:$I$100,1)+SUMIFS('15m'!$J$7:$J$100,'15m'!$H$7:$H$100,$A260,'15m'!$I$7:$I$100,1)+SUMIFS('15n'!$J$7:$J$100,'15n'!$H$7:$H$100,$A260,'15n'!$I$7:$I$100,1)+SUMIFS('16'!$J$7:$J$100,'16'!$H$7:$H$100,$A260,'16'!$I$7:$I$100,1)+SUMIFS('16a'!$J$7:$J$100,'16a'!$H$7:$H$100,$A260,'16a'!$I$7:$I$100,1)+SUMIFS('17'!$J$7:$J$100,'17'!$H$7:$H$100,$A260,'17'!$I$7:$I$100,1)+SUMIFS('17a'!$J$7:$J$100,'17a'!$H$7:$H$100,$A260,'17a'!$I$7:$I$100,1)+SUMIFS('18'!$J$7:$J$100,'18'!$H$7:$H$100,$A260,'18'!$I$7:$I$100,1)+SUMIFS('18a'!$J$7:$J$100,'18a'!$H$7:$H$100,$A260,'18a'!$I$7:$I$100,1)
+SUMIFS('19'!$J$7:$J$100,'19'!$H$7:$H$100,$A260,'19'!$I$7:$I$100,1)+SUMIFS('20'!$J$7:$J$100,'20'!$H$7:$H$100,$A260,'20'!$I$7:$I$100,1)+SUMIFS('20a'!$J$7:$J$100,'20a'!$H$7:$H$100,$A260,'20a'!$I$7:$I$100,1)+SUMIFS('21'!$J$7:$J$100,'21'!$H$7:$H$100,$A260,'21'!$I$7:$I$100,1)+SUMIFS('22'!$J$7:$J$100,'22'!$H$7:$H$100,$A260,'22'!$I$7:$I$100,1)+SUMIFS('22a'!$J$7:$J$100,'22a'!$H$7:$H$100,$A260,'22a'!$I$7:$I$100,1)+SUMIFS('22b'!$J$7:$J$100,'22b'!$H$7:$H$100,$A260,'22b'!$I$7:$I$100,1)+SUMIFS('23'!$J$7:$J$100,'23'!$H$7:$H$100,$A260,'23'!$I$7:$I$100,1)+SUMIFS('24'!$J$7:$J$100,'24'!$H$7:$H$100,$A260,'24'!$I$7:$I$100,1)+SUMIFS('24a'!$J$7:$J$100,'24a'!$H$7:$H$100,$A260,'24a'!$I$7:$I$100,1)+SUMIFS('24b'!$J$7:$J$100,'24b'!$H$7:$H$100,$A260,'24b'!$I$7:$I$100,1)+SUMIFS('24c'!$J$7:$J$100,'24c'!$H$7:$H$100,$A260,'24c'!$I$7:$I$100,1)+SUMIFS('24d'!$J$7:$J$100,'24d'!$H$7:$H$100,$A260,'24d'!$I$7:$I$100,1)+SUMIFS('24e'!$J$7:$J$100,'24e'!$H$7:$H$100,$A260,'24e'!$I$7:$I$100,1)+SUMIFS('24f'!$J$7:$J$100,'24f'!$H$7:$H$100,$A260,'24f'!$I$7:$I$100,1)+SUMIFS('24g'!$J$7:$J$100,'24g'!$H$7:$H$100,$A260,'24g'!$I$7:$I$100,1)+SUMIFS('24h'!$J$7:$J$100,'24h'!$H$7:$H$100,$A260,'24h'!$I$7:$I$100,1)+SUMIFS('24i'!$J$7:$J$100,'24i'!$H$7:$H$100,$A260,'24i'!$I$7:$I$100,1)+SUMIFS('25'!$J$7:$J$100,'25'!$H$7:$H$100,$A260,'25'!$I$7:$I$100,1)+SUMIFS('26'!$J$7:$J$100,'26'!$H$7:$H$100,$A260,'26'!$I$7:$I$100,1)+SUMIFS('26a'!$J$7:$J$100,'26a'!$H$7:$H$100,$A260,'26a'!$I$7:$I$100,1)+SUMIFS('27'!$J$7:$J$100,'27'!$H$7:$H$100,$A260,'27'!$I$7:$I$100,1)+SUMIFS('27a'!$J$7:$J$100,'27a'!$H$7:$H$100,$A260,'27a'!$I$7:$I$100,1)+SUMIFS('28'!$J$7:$J$100,'28'!$H$7:$H$100,$A260,'28'!$I$7:$I$100,1)+SUMIFS('29'!$J$7:$J$100,'29'!$H$7:$H$100,$A260,'29'!$I$7:$I$100,1)</f>
        <v>0</v>
      </c>
      <c r="H260" s="1315">
        <f>SUMIFS('12'!$J$7:$J$100,'12'!$H$7:$H$100,$A260,'12'!$I$7:$I$100,2)+SUMIFS('13'!$J$7:$J$100,'13'!$H$7:$H$100,$A260,'13'!$I$7:$I$100,2)+SUMIFS('14'!$J$7:$J$100,'14'!$H$7:$H$100,$A260,'14'!$I$7:$I$100,2)+SUMIFS('15'!$J$7:$J$100,'15'!$H$7:$H$100,$A260,'15'!$I$7:$I$100,2)+SUMIFS('15a'!$J$7:$J$100,'15a'!$H$7:$H$100,$A260,'15a'!$I$7:$I$100,2)+SUMIFS('15b'!$J$7:$J$100,'15b'!$H$7:$H$100,$A260,'15b'!$I$7:$I$100,2)+SUMIFS('15c'!$J$7:$J$100,'15c'!$H$7:$H$100,$A260,'15c'!$I$7:$I$100,2)+SUMIFS('15d'!$J$7:$J$100,'15d'!$H$7:$H$100,$A260,'15d'!$I$7:$I$100,2)+SUMIFS('15e'!$J$7:$J$100,'15e'!$H$7:$H$100,$A260,'15e'!$I$7:$I$100,2)+SUMIFS('15f'!$J$7:$J$100,'15f'!$H$7:$H$100,$A260,'15f'!$I$7:$I$100,2)+SUMIFS('15g'!$J$7:$J$100,'15g'!$H$7:$H$100,$A260,'15g'!$I$7:$I$100,2)+SUMIFS('15h'!$J$7:$J$100,'15h'!$H$7:$H$100,$A260,'15h'!$I$7:$I$100,2)+SUMIFS('15i'!$J$7:$J$100,'15i'!$H$7:$H$100,$A260,'15i'!$I$7:$I$100,2)+SUMIFS('15j'!$J$7:$J$100,'15j'!$H$7:$H$100,$A260,'15j'!$I$7:$I$100,2)+SUMIFS('15k'!$J$7:$J$100,'15k'!$H$7:$H$100,$A260,'15k'!$I$7:$I$100,2)+SUMIFS('15l'!$J$7:$J$100,'15l'!$H$7:$H$100,$A260,'15l'!$I$7:$I$100,2)+SUMIFS('15m'!$J$7:$J$100,'15m'!$H$7:$H$100,$A260,'15m'!$I$7:$I$100,2)+SUMIFS('15n'!$J$7:$J$100,'15n'!$H$7:$H$100,$A260,'15n'!$I$7:$I$100,2)+SUMIFS('16'!$J$7:$J$100,'16'!$H$7:$H$100,$A260,'16'!$I$7:$I$100,2)+SUMIFS('16a'!$J$7:$J$100,'16a'!$H$7:$H$100,$A260,'16a'!$I$7:$I$100,2)+SUMIFS('17'!$J$7:$J$100,'17'!$H$7:$H$100,$A260,'17'!$I$7:$I$100,2)+SUMIFS('17a'!$J$7:$J$100,'17a'!$H$7:$H$100,$A260,'17a'!$I$7:$I$100,2)+SUMIFS('18'!$J$7:$J$100,'18'!$H$7:$H$100,$A260,'18'!$I$7:$I$100,2)+SUMIFS('18a'!$J$7:$J$100,'18a'!$H$7:$H$100,$A260,'18a'!$I$7:$I$100,2)
+SUMIFS('19'!$J$7:$J$100,'19'!$H$7:$H$100,$A260,'19'!$I$7:$I$100,2)+SUMIFS('20'!$J$7:$J$100,'20'!$H$7:$H$100,$A260,'20'!$I$7:$I$100,2)+SUMIFS('20a'!$J$7:$J$100,'20a'!$H$7:$H$100,$A260,'20a'!$I$7:$I$100,2)+SUMIFS('21'!$J$7:$J$100,'21'!$H$7:$H$100,$A260,'21'!$I$7:$I$100,2)+SUMIFS('22'!$J$7:$J$100,'22'!$H$7:$H$100,$A260,'22'!$I$7:$I$100,2)+SUMIFS('22a'!$J$7:$J$100,'22a'!$H$7:$H$100,$A260,'22a'!$I$7:$I$100,2)+SUMIFS('22b'!$J$7:$J$100,'22b'!$H$7:$H$100,$A260,'22b'!$I$7:$I$100,2)+SUMIFS('23'!$J$7:$J$100,'23'!$H$7:$H$100,$A260,'23'!$I$7:$I$100,2)+SUMIFS('24'!$J$7:$J$100,'24'!$H$7:$H$100,$A260,'24'!$I$7:$I$100,2)+SUMIFS('24a'!$J$7:$J$100,'24a'!$H$7:$H$100,$A260,'24a'!$I$7:$I$100,2)+SUMIFS('24b'!$J$7:$J$100,'24b'!$H$7:$H$100,$A260,'24b'!$I$7:$I$100,2)+SUMIFS('24c'!$J$7:$J$100,'24c'!$H$7:$H$100,$A260,'24c'!$I$7:$I$100,2)+SUMIFS('24d'!$J$7:$J$100,'24d'!$H$7:$H$100,$A260,'24d'!$I$7:$I$100,2)+SUMIFS('24e'!$J$7:$J$100,'24e'!$H$7:$H$100,$A260,'24e'!$I$7:$I$100,2)+SUMIFS('24f'!$J$7:$J$100,'24f'!$H$7:$H$100,$A260,'24f'!$I$7:$I$100,2)+SUMIFS('24g'!$J$7:$J$100,'24g'!$H$7:$H$100,$A260,'24g'!$I$7:$I$100,2)+SUMIFS('24h'!$J$7:$J$100,'24h'!$H$7:$H$100,$A260,'24h'!$I$7:$I$100,2)+SUMIFS('24i'!$J$7:$J$100,'24i'!$H$7:$H$100,$A260,'24i'!$I$7:$I$100,2)+SUMIFS('25'!$J$7:$J$100,'25'!$H$7:$H$100,$A260,'25'!$I$7:$I$100,2)+SUMIFS('26'!$J$7:$J$100,'26'!$H$7:$H$100,$A260,'26'!$I$7:$I$100,2)+SUMIFS('26a'!$J$7:$J$100,'26a'!$H$7:$H$100,$A260,'26a'!$I$7:$I$100,2)+SUMIFS('27'!$J$7:$J$100,'27'!$H$7:$H$100,$A260,'27'!$I$7:$I$100,2)+SUMIFS('27a'!$J$7:$J$100,'27a'!$H$7:$H$100,$A260,'27a'!$I$7:$I$100,2)+SUMIFS('28'!$J$7:$J$100,'28'!$H$7:$H$100,$A260,'28'!$I$7:$I$100,2)+SUMIFS('29'!$J$7:$J$100,'29'!$H$7:$H$100,$A260,'29'!$I$7:$I$100,2)</f>
        <v>0</v>
      </c>
      <c r="I260" s="1315">
        <f>SUMIFS('12'!$J$7:$J$100,'12'!$H$7:$H$100,$A260,'12'!$I$7:$I$100,"")+SUMIFS('13'!$J$7:$J$100,'13'!$H$7:$H$100,$A260,'13'!$I$7:$I$100,"")+SUMIFS('14'!$J$7:$J$100,'14'!$H$7:$H$100,$A260,'14'!$I$7:$I$100,"")+SUMIFS('15'!$J$7:$J$100,'15'!$H$7:$H$100,$A260,'15'!$I$7:$I$100,"")+SUMIFS('15a'!$J$7:$J$100,'15a'!$H$7:$H$100,$A260,'15a'!$I$7:$I$100,"")+SUMIFS('15b'!$J$7:$J$100,'15b'!$H$7:$H$100,$A260,'15b'!$I$7:$I$100,"")+SUMIFS('15c'!$J$7:$J$100,'15c'!$H$7:$H$100,$A260,'15c'!$I$7:$I$100,"")+SUMIFS('15d'!$J$7:$J$100,'15d'!$H$7:$H$100,$A260,'15d'!$I$7:$I$100,"")+SUMIFS('15e'!$J$7:$J$100,'15e'!$H$7:$H$100,$A260,'15e'!$I$7:$I$100,"")+SUMIFS('15f'!$J$7:$J$100,'15f'!$H$7:$H$100,$A260,'15f'!$I$7:$I$100,"")+SUMIFS('15g'!$J$7:$J$100,'15g'!$H$7:$H$100,$A260,'15g'!$I$7:$I$100,"")+SUMIFS('15h'!$J$7:$J$100,'15h'!$H$7:$H$100,$A260,'15h'!$I$7:$I$100,"")+SUMIFS('15i'!$J$7:$J$100,'15i'!$H$7:$H$100,$A260,'15i'!$I$7:$I$100,"")+SUMIFS('15j'!$J$7:$J$100,'15j'!$H$7:$H$100,$A260,'15j'!$I$7:$I$100,"")+SUMIFS('15k'!$J$7:$J$100,'15k'!$H$7:$H$100,$A260,'15k'!$I$7:$I$100,"")+SUMIFS('15l'!$J$7:$J$100,'15l'!$H$7:$H$100,$A260,'15l'!$I$7:$I$100,"")+SUMIFS('15m'!$J$7:$J$100,'15m'!$H$7:$H$100,$A260,'15m'!$I$7:$I$100,"")+SUMIFS('15n'!$J$7:$J$100,'15n'!$H$7:$H$100,$A260,'15n'!$I$7:$I$100,"")+SUMIFS('16'!$J$7:$J$100,'16'!$H$7:$H$100,$A260,'16'!$I$7:$I$100,"")+SUMIFS('16a'!$J$7:$J$100,'16a'!$H$7:$H$100,$A260,'16a'!$I$7:$I$100,"")+SUMIFS('17'!$J$7:$J$100,'17'!$H$7:$H$100,$A260,'17'!$I$7:$I$100,"")+SUMIFS('17a'!$J$7:$J$100,'17a'!$H$7:$H$100,$A260,'17a'!$I$7:$I$100,"")+SUMIFS('18'!$J$7:$J$100,'18'!$H$7:$H$100,$A260,'18'!$I$7:$I$100,"")+SUMIFS('18a'!$J$7:$J$100,'18a'!$H$7:$H$100,$A260,'18a'!$I$7:$I$100,"")
+SUMIFS('19'!$J$7:$J$100,'19'!$H$7:$H$100,$A260,'19'!$I$7:$I$100,"")+SUMIFS('20'!$J$7:$J$100,'20'!$H$7:$H$100,$A260,'20'!$I$7:$I$100,"")+SUMIFS('20a'!$J$7:$J$100,'20a'!$H$7:$H$100,$A260,'20a'!$I$7:$I$100,"")+SUMIFS('21'!$J$7:$J$100,'21'!$H$7:$H$100,$A260,'21'!$I$7:$I$100,"")+SUMIFS('22'!$J$7:$J$100,'22'!$H$7:$H$100,$A260,'22'!$I$7:$I$100,"")+SUMIFS('22a'!$J$7:$J$100,'22a'!$H$7:$H$100,$A260,'22a'!$I$7:$I$100,"")+SUMIFS('22b'!$J$7:$J$100,'22b'!$H$7:$H$100,$A260,'22b'!$I$7:$I$100,"")+SUMIFS('23'!$J$7:$J$100,'23'!$H$7:$H$100,$A260,'23'!$I$7:$I$100,"")+SUMIFS('24'!$J$7:$J$100,'24'!$H$7:$H$100,$A260,'24'!$I$7:$I$100,"")+SUMIFS('24a'!$J$7:$J$100,'24a'!$H$7:$H$100,$A260,'24a'!$I$7:$I$100,"")+SUMIFS('24b'!$J$7:$J$100,'24b'!$H$7:$H$100,$A260,'24b'!$I$7:$I$100,"")+SUMIFS('24c'!$J$7:$J$100,'24c'!$H$7:$H$100,$A260,'24c'!$I$7:$I$100,"")+SUMIFS('24d'!$J$7:$J$100,'24d'!$H$7:$H$100,$A260,'24d'!$I$7:$I$100,"")+SUMIFS('24e'!$J$7:$J$100,'24e'!$H$7:$H$100,$A260,'24e'!$I$7:$I$100,"")+SUMIFS('24f'!$J$7:$J$100,'24f'!$H$7:$H$100,$A260,'24f'!$I$7:$I$100,"")+SUMIFS('24g'!$J$7:$J$100,'24g'!$H$7:$H$100,$A260,'24g'!$I$7:$I$100,"")+SUMIFS('24h'!$J$7:$J$100,'24h'!$H$7:$H$100,$A260,'24h'!$I$7:$I$100,"")+SUMIFS('24i'!$J$7:$J$100,'24i'!$H$7:$H$100,$A260,'24i'!$I$7:$I$100,"")+SUMIFS('25'!$J$7:$J$100,'25'!$H$7:$H$100,$A260,'25'!$I$7:$I$100,"")+SUMIFS('26'!$J$7:$J$100,'26'!$H$7:$H$100,$A260,'26'!$I$7:$I$100,"")+SUMIFS('26a'!$J$7:$J$100,'26a'!$H$7:$H$100,$A260,'26a'!$I$7:$I$100,"")+SUMIFS('27'!$J$7:$J$100,'27'!$H$7:$H$100,$A260,'27'!$I$7:$I$100,"")+SUMIFS('27a'!$J$7:$J$100,'27a'!$H$7:$H$100,$A260,'27a'!$I$7:$I$100,"")+SUMIFS('28'!$J$7:$J$100,'28'!$H$7:$H$100,$A260,'28'!$I$7:$I$100,"")+SUMIFS('29'!$J$7:$J$100,'29'!$H$7:$H$100,$A260,'29'!$I$7:$I$100,"")</f>
        <v>0</v>
      </c>
      <c r="J260" s="1296">
        <f t="shared" si="25"/>
        <v>0</v>
      </c>
      <c r="K260"/>
      <c r="L260"/>
      <c r="M260"/>
      <c r="N260"/>
      <c r="O260"/>
      <c r="P260"/>
      <c r="Q260"/>
      <c r="R260"/>
      <c r="S260" s="1307">
        <f t="shared" si="14"/>
        <v>0</v>
      </c>
      <c r="T260"/>
    </row>
    <row r="261" spans="1:20" x14ac:dyDescent="0.2">
      <c r="A261" t="s">
        <v>5175</v>
      </c>
      <c r="B261" t="s">
        <v>5503</v>
      </c>
      <c r="C261" s="1295">
        <f>SUMIFS('12'!$N$7:$N$100,'12'!$H$7:$H$100,$A261,'12'!$I$7:$I$100,1)+SUMIFS('13'!$N$7:$N$100,'13'!$H$7:$H$100,$A261,'13'!$I$7:$I$100,1)+SUMIFS('14'!$N$7:$N$100,'14'!$H$7:$H$100,$A261,'14'!$I$7:$I$100,1)+SUMIFS('15'!$N$7:$N$100,'15'!$H$7:$H$100,$A261,'15'!$I$7:$I$100,1)+SUMIFS('15a'!$N$7:$N$100,'15a'!$H$7:$H$100,$A261,'15a'!$I$7:$I$100,1)+SUMIFS('15b'!$N$7:$N$100,'15b'!$H$7:$H$100,$A261,'15b'!$I$7:$I$100,1)+SUMIFS('15c'!$N$7:$N$100,'15c'!$H$7:$H$100,$A261,'15c'!$I$7:$I$100,1)+SUMIFS('15d'!$N$7:$N$100,'15d'!$H$7:$H$100,$A261,'15d'!$I$7:$I$100,1)+SUMIFS('15e'!$N$7:$N$100,'15e'!$H$7:$H$100,$A261,'15e'!$I$7:$I$100,1)+SUMIFS('15f'!$N$7:$N$100,'15f'!$H$7:$H$100,$A261,'15f'!$I$7:$I$100,1)+SUMIFS('15g'!$N$7:$N$100,'15g'!$H$7:$H$100,$A261,'15g'!$I$7:$I$100,1)+SUMIFS('15h'!$N$7:$N$100,'15h'!$H$7:$H$100,$A261,'15h'!$I$7:$I$100,1)+SUMIFS('15i'!$N$7:$N$100,'15i'!$H$7:$H$100,$A261,'15i'!$I$7:$I$100,1)+SUMIFS('15j'!$N$7:$N$100,'15j'!$H$7:$H$100,$A261,'15j'!$I$7:$I$100,1)+SUMIFS('15k'!$N$7:$N$100,'15k'!$H$7:$H$100,$A261,'15k'!$I$7:$I$100,1)+SUMIFS('15l'!$N$7:$N$100,'15l'!$H$7:$H$100,$A261,'15l'!$I$7:$I$100,1)+SUMIFS('15m'!$N$7:$N$100,'15m'!$H$7:$H$100,$A261,'15m'!$I$7:$I$100,1)+SUMIFS('15n'!$N$7:$N$100,'15n'!$H$7:$H$100,$A261,'15n'!$I$7:$I$100,1)+SUMIFS('16'!$N$7:$N$100,'16'!$H$7:$H$100,$A261,'16'!$I$7:$I$100,1)+SUMIFS('16a'!$N$7:$N$100,'16a'!$H$7:$H$100,$A261,'16a'!$I$7:$I$100,1)+SUMIFS('17'!$N$7:$N$100,'17'!$H$7:$H$100,$A261,'17'!$I$7:$I$100,1)+SUMIFS('17a'!$N$7:$N$100,'17a'!$H$7:$H$100,$A261,'17a'!$I$7:$I$100,1)+SUMIFS('18'!$N$7:$N$100,'18'!$H$7:$H$100,$A261,'18'!$I$7:$I$100,1)+SUMIFS('18a'!$N$7:$N$100,'18a'!$H$7:$H$100,$A261,'18a'!$I$7:$I$100,1)
+SUMIFS('19'!$N$7:$N$100,'19'!$H$7:$H$100,$A261,'19'!$I$7:$I$100,1)+SUMIFS('20'!$N$7:$N$100,'20'!$H$7:$H$100,$A261,'20'!$I$7:$I$100,1)+SUMIFS('20a'!$N$7:$N$100,'20a'!$H$7:$H$100,$A261,'20a'!$I$7:$I$100,1)+SUMIFS('21'!$N$7:$N$100,'21'!$H$7:$H$100,$A261,'21'!$I$7:$I$100,1)+SUMIFS('22'!$N$7:$N$100,'22'!$H$7:$H$100,$A261,'22'!$I$7:$I$100,1)+SUMIFS('22a'!$N$7:$N$100,'22a'!$H$7:$H$100,$A261,'22a'!$I$7:$I$100,1)+SUMIFS('22b'!$N$7:$N$100,'22b'!$H$7:$H$100,$A261,'22b'!$I$7:$I$100,1)+SUMIFS('23'!$N$7:$N$100,'23'!$H$7:$H$100,$A261,'23'!$I$7:$I$100,1)+SUMIFS('24'!$N$7:$N$100,'24'!$H$7:$H$100,$A261,'24'!$I$7:$I$100,1)+SUMIFS('24a'!$N$7:$N$100,'24a'!$H$7:$H$100,$A261,'24a'!$I$7:$I$100,1)+SUMIFS('24b'!$N$7:$N$100,'24b'!$H$7:$H$100,$A261,'24b'!$I$7:$I$100,1)+SUMIFS('24c'!$N$7:$N$100,'24c'!$H$7:$H$100,$A261,'24c'!$I$7:$I$100,1)+SUMIFS('24d'!$N$7:$N$100,'24d'!$H$7:$H$100,$A261,'24d'!$I$7:$I$100,1)+SUMIFS('24e'!$N$7:$N$100,'24e'!$H$7:$H$100,$A261,'24e'!$I$7:$I$100,1)+SUMIFS('24f'!$N$7:$N$100,'24f'!$H$7:$H$100,$A261,'24f'!$I$7:$I$100,1)+SUMIFS('24g'!$N$7:$N$100,'24g'!$H$7:$H$100,$A261,'24g'!$I$7:$I$100,1)+SUMIFS('24h'!$N$7:$N$100,'24h'!$H$7:$H$100,$A261,'24h'!$I$7:$I$100,1)+SUMIFS('24i'!$N$7:$N$100,'24i'!$H$7:$H$100,$A261,'24i'!$I$7:$I$100,1)+SUMIFS('25'!$N$7:$N$100,'25'!$H$7:$H$100,$A261,'25'!$I$7:$I$100,1)+SUMIFS('26'!$N$7:$N$100,'26'!$H$7:$H$100,$A261,'26'!$I$7:$I$100,1)+SUMIFS('26a'!$N$7:$N$100,'26a'!$H$7:$H$100,$A261,'26a'!$I$7:$I$100,1)+SUMIFS('27'!$N$7:$N$100,'27'!$H$7:$H$100,$A261,'27'!$I$7:$I$100,1)+SUMIFS('27a'!$N$7:$N$100,'27a'!$H$7:$H$100,$A261,'27a'!$I$7:$I$100,1)+SUMIFS('28'!$N$7:$N$100,'28'!$H$7:$H$100,$A261,'28'!$I$7:$I$100,1)+SUMIFS('29'!$N$7:$N$100,'29'!$H$7:$H$100,$A261,'29'!$I$7:$I$100,1)</f>
        <v>0</v>
      </c>
      <c r="D261" s="1315">
        <f>SUMIFS('12'!$N$7:$N$100,'12'!$H$7:$H$100,$A261,'12'!$I$7:$I$100,2)+SUMIFS('13'!$N$7:$N$100,'13'!$H$7:$H$100,$A261,'13'!$I$7:$I$100,2)+SUMIFS('14'!$N$7:$N$100,'14'!$H$7:$H$100,$A261,'14'!$I$7:$I$100,2)+SUMIFS('15'!$N$7:$N$100,'15'!$H$7:$H$100,$A261,'15'!$I$7:$I$100,2)+SUMIFS('15a'!$N$7:$N$100,'15a'!$H$7:$H$100,$A261,'15a'!$I$7:$I$100,2)+SUMIFS('15b'!$N$7:$N$100,'15b'!$H$7:$H$100,$A261,'15b'!$I$7:$I$100,2)+SUMIFS('15c'!$N$7:$N$100,'15c'!$H$7:$H$100,$A261,'15c'!$I$7:$I$100,2)+SUMIFS('15d'!$N$7:$N$100,'15d'!$H$7:$H$100,$A261,'15d'!$I$7:$I$100,2)+SUMIFS('15e'!$N$7:$N$100,'15e'!$H$7:$H$100,$A261,'15e'!$I$7:$I$100,2)+SUMIFS('15f'!$N$7:$N$100,'15f'!$H$7:$H$100,$A261,'15f'!$I$7:$I$100,2)+SUMIFS('15g'!$N$7:$N$100,'15g'!$H$7:$H$100,$A261,'15g'!$I$7:$I$100,2)+SUMIFS('15h'!$N$7:$N$100,'15h'!$H$7:$H$100,$A261,'15h'!$I$7:$I$100,2)+SUMIFS('15i'!$N$7:$N$100,'15i'!$H$7:$H$100,$A261,'15i'!$I$7:$I$100,2)+SUMIFS('15j'!$N$7:$N$100,'15j'!$H$7:$H$100,$A261,'15j'!$I$7:$I$100,2)+SUMIFS('15k'!$N$7:$N$100,'15k'!$H$7:$H$100,$A261,'15k'!$I$7:$I$100,2)+SUMIFS('15l'!$N$7:$N$100,'15l'!$H$7:$H$100,$A261,'15l'!$I$7:$I$100,2)+SUMIFS('15m'!$N$7:$N$100,'15m'!$H$7:$H$100,$A261,'15m'!$I$7:$I$100,2)+SUMIFS('15n'!$N$7:$N$100,'15n'!$H$7:$H$100,$A261,'15n'!$I$7:$I$100,2)+SUMIFS('16'!$N$7:$N$100,'16'!$H$7:$H$100,$A261,'16'!$I$7:$I$100,2)+SUMIFS('16a'!$N$7:$N$100,'16a'!$H$7:$H$100,$A261,'16a'!$I$7:$I$100,2)+SUMIFS('17'!$N$7:$N$100,'17'!$H$7:$H$100,$A261,'17'!$I$7:$I$100,2)+SUMIFS('17a'!$N$7:$N$100,'17a'!$H$7:$H$100,$A261,'17a'!$I$7:$I$100,2)+SUMIFS('18'!$N$7:$N$100,'18'!$H$7:$H$100,$A261,'18'!$I$7:$I$100,2)+SUMIFS('18a'!$N$7:$N$100,'18a'!$H$7:$H$100,$A261,'18a'!$I$7:$I$100,2)
+SUMIFS('19'!$N$7:$N$100,'19'!$H$7:$H$100,$A261,'19'!$I$7:$I$100,2)+SUMIFS('20'!$N$7:$N$100,'20'!$H$7:$H$100,$A261,'20'!$I$7:$I$100,2)+SUMIFS('20a'!$N$7:$N$100,'20a'!$H$7:$H$100,$A261,'20a'!$I$7:$I$100,2)+SUMIFS('21'!$N$7:$N$100,'21'!$H$7:$H$100,$A261,'21'!$I$7:$I$100,2)+SUMIFS('22'!$N$7:$N$100,'22'!$H$7:$H$100,$A261,'22'!$I$7:$I$100,2)+SUMIFS('22a'!$N$7:$N$100,'22a'!$H$7:$H$100,$A261,'22a'!$I$7:$I$100,2)+SUMIFS('22b'!$N$7:$N$100,'22b'!$H$7:$H$100,$A261,'22b'!$I$7:$I$100,2)+SUMIFS('23'!$N$7:$N$100,'23'!$H$7:$H$100,$A261,'23'!$I$7:$I$100,2)+SUMIFS('24'!$N$7:$N$100,'24'!$H$7:$H$100,$A261,'24'!$I$7:$I$100,2)+SUMIFS('24a'!$N$7:$N$100,'24a'!$H$7:$H$100,$A261,'24a'!$I$7:$I$100,2)+SUMIFS('24b'!$N$7:$N$100,'24b'!$H$7:$H$100,$A261,'24b'!$I$7:$I$100,2)+SUMIFS('24c'!$N$7:$N$100,'24c'!$H$7:$H$100,$A261,'24c'!$I$7:$I$100,2)+SUMIFS('24d'!$N$7:$N$100,'24d'!$H$7:$H$100,$A261,'24d'!$I$7:$I$100,2)+SUMIFS('24e'!$N$7:$N$100,'24e'!$H$7:$H$100,$A261,'24e'!$I$7:$I$100,2)+SUMIFS('24f'!$N$7:$N$100,'24f'!$H$7:$H$100,$A261,'24f'!$I$7:$I$100,2)+SUMIFS('24g'!$N$7:$N$100,'24g'!$H$7:$H$100,$A261,'24g'!$I$7:$I$100,2)+SUMIFS('24h'!$N$7:$N$100,'24h'!$H$7:$H$100,$A261,'24h'!$I$7:$I$100,2)+SUMIFS('24i'!$N$7:$N$100,'24i'!$H$7:$H$100,$A261,'24i'!$I$7:$I$100,2)+SUMIFS('25'!$N$7:$N$100,'25'!$H$7:$H$100,$A261,'25'!$I$7:$I$100,2)+SUMIFS('26'!$N$7:$N$100,'26'!$H$7:$H$100,$A261,'26'!$I$7:$I$100,2)+SUMIFS('26a'!$N$7:$N$100,'26a'!$H$7:$H$100,$A261,'26a'!$I$7:$I$100,2)+SUMIFS('27'!$N$7:$N$100,'27'!$H$7:$H$100,$A261,'27'!$I$7:$I$100,2)+SUMIFS('27a'!$N$7:$N$100,'27a'!$H$7:$H$100,$A261,'27a'!$I$7:$I$100,2)+SUMIFS('28'!$N$7:$N$100,'28'!$H$7:$H$100,$A261,'28'!$I$7:$I$100,2)+SUMIFS('29'!$N$7:$N$100,'29'!$H$7:$H$100,$A261,'29'!$I$7:$I$100,2)</f>
        <v>300</v>
      </c>
      <c r="E261" s="1315">
        <f>SUMIFS('12'!$N$7:$N$100,'12'!$H$7:$H$100,$A261,'12'!$I$7:$I$100,"")+SUMIFS('13'!$N$7:$N$100,'13'!$H$7:$H$100,$A261,'13'!$I$7:$I$100,"")+SUMIFS('14'!$N$7:$N$100,'14'!$H$7:$H$100,$A261,'14'!$I$7:$I$100,"")+SUMIFS('15'!$N$7:$N$100,'15'!$H$7:$H$100,$A261,'15'!$I$7:$I$100,"")+SUMIFS('15a'!$N$7:$N$100,'15a'!$H$7:$H$100,$A261,'15a'!$I$7:$I$100,"")+SUMIFS('15b'!$N$7:$N$100,'15b'!$H$7:$H$100,$A261,'15b'!$I$7:$I$100,"")+SUMIFS('15c'!$N$7:$N$100,'15c'!$H$7:$H$100,$A261,'15c'!$I$7:$I$100,"")+SUMIFS('15d'!$N$7:$N$100,'15d'!$H$7:$H$100,$A261,'15d'!$I$7:$I$100,"")+SUMIFS('15e'!$N$7:$N$100,'15e'!$H$7:$H$100,$A261,'15e'!$I$7:$I$100,"")+SUMIFS('15f'!$N$7:$N$100,'15f'!$H$7:$H$100,$A261,'15f'!$I$7:$I$100,"")+SUMIFS('15g'!$N$7:$N$100,'15g'!$H$7:$H$100,$A261,'15g'!$I$7:$I$100,"")+SUMIFS('15h'!$N$7:$N$100,'15h'!$H$7:$H$100,$A261,'15h'!$I$7:$I$100,"")+SUMIFS('15i'!$N$7:$N$100,'15i'!$H$7:$H$100,$A261,'15i'!$I$7:$I$100,"")+SUMIFS('15j'!$N$7:$N$100,'15j'!$H$7:$H$100,$A261,'15j'!$I$7:$I$100,"")+SUMIFS('15k'!$N$7:$N$100,'15k'!$H$7:$H$100,$A261,'15k'!$I$7:$I$100,"")+SUMIFS('15l'!$N$7:$N$100,'15l'!$H$7:$H$100,$A261,'15l'!$I$7:$I$100,"")+SUMIFS('15m'!$N$7:$N$100,'15m'!$H$7:$H$100,$A261,'15m'!$I$7:$I$100,"")+SUMIFS('15n'!$N$7:$N$100,'15n'!$H$7:$H$100,$A261,'15n'!$I$7:$I$100,"")+SUMIFS('16'!$N$7:$N$100,'16'!$H$7:$H$100,$A261,'16'!$I$7:$I$100,"")+SUMIFS('16a'!$N$7:$N$100,'16a'!$H$7:$H$100,$A261,'16a'!$I$7:$I$100,"")+SUMIFS('17'!$N$7:$N$100,'17'!$H$7:$H$100,$A261,'17'!$I$7:$I$100,"")+SUMIFS('17a'!$N$7:$N$100,'17a'!$H$7:$H$100,$A261,'17a'!$I$7:$I$100,"")+SUMIFS('18'!$N$7:$N$100,'18'!$H$7:$H$100,$A261,'18'!$I$7:$I$100,"")+SUMIFS('18a'!$N$7:$N$100,'18a'!$H$7:$H$100,$A261,'18a'!$I$7:$I$100,"")
+SUMIFS('19'!$N$7:$N$100,'19'!$H$7:$H$100,$A261,'19'!$I$7:$I$100,"")+SUMIFS('20'!$N$7:$N$100,'20'!$H$7:$H$100,$A261,'20'!$I$7:$I$100,"")+SUMIFS('20a'!$N$7:$N$100,'20a'!$H$7:$H$100,$A261,'20a'!$I$7:$I$100,"")+SUMIFS('21'!$N$7:$N$100,'21'!$H$7:$H$100,$A261,'21'!$I$7:$I$100,"")+SUMIFS('22'!$N$7:$N$100,'22'!$H$7:$H$100,$A261,'22'!$I$7:$I$100,"")+SUMIFS('22a'!$N$7:$N$100,'22a'!$H$7:$H$100,$A261,'22a'!$I$7:$I$100,"")+SUMIFS('22b'!$N$7:$N$100,'22b'!$H$7:$H$100,$A261,'22b'!$I$7:$I$100,"")+SUMIFS('23'!$N$7:$N$100,'23'!$H$7:$H$100,$A261,'23'!$I$7:$I$100,"")+SUMIFS('24'!$N$7:$N$100,'24'!$H$7:$H$100,$A261,'24'!$I$7:$I$100,"")+SUMIFS('24a'!$N$7:$N$100,'24a'!$H$7:$H$100,$A261,'24a'!$I$7:$I$100,"")+SUMIFS('24b'!$N$7:$N$100,'24b'!$H$7:$H$100,$A261,'24b'!$I$7:$I$100,"")+SUMIFS('24c'!$N$7:$N$100,'24c'!$H$7:$H$100,$A261,'24c'!$I$7:$I$100,"")+SUMIFS('24d'!$N$7:$N$100,'24d'!$H$7:$H$100,$A261,'24d'!$I$7:$I$100,"")+SUMIFS('24e'!$N$7:$N$100,'24e'!$H$7:$H$100,$A261,'24e'!$I$7:$I$100,"")+SUMIFS('24f'!$N$7:$N$100,'24f'!$H$7:$H$100,$A261,'24f'!$I$7:$I$100,"")+SUMIFS('24g'!$N$7:$N$100,'24g'!$H$7:$H$100,$A261,'24g'!$I$7:$I$100,"")+SUMIFS('24h'!$N$7:$N$100,'24h'!$H$7:$H$100,$A261,'24h'!$I$7:$I$100,"")+SUMIFS('24i'!$N$7:$N$100,'24i'!$H$7:$H$100,$A261,'24i'!$I$7:$I$100,"")+SUMIFS('25'!$N$7:$N$100,'25'!$H$7:$H$100,$A261,'25'!$I$7:$I$100,"")+SUMIFS('26'!$N$7:$N$100,'26'!$H$7:$H$100,$A261,'26'!$I$7:$I$100,"")+SUMIFS('26a'!$N$7:$N$100,'26a'!$H$7:$H$100,$A261,'26a'!$I$7:$I$100,"")+SUMIFS('27'!$N$7:$N$100,'27'!$H$7:$H$100,$A261,'27'!$I$7:$I$100,"")+SUMIFS('27a'!$N$7:$N$100,'27a'!$H$7:$H$100,$A261,'27a'!$I$7:$I$100,"")+SUMIFS('28'!$N$7:$N$100,'28'!$H$7:$H$100,$A261,'28'!$I$7:$I$100,"")+SUMIFS('29'!$N$7:$N$100,'29'!$H$7:$H$100,$A261,'29'!$I$7:$I$100,"")</f>
        <v>0</v>
      </c>
      <c r="F261" s="1296">
        <f t="shared" si="24"/>
        <v>300</v>
      </c>
      <c r="G261" s="1295">
        <f>SUMIFS('12'!$J$7:$J$100,'12'!$H$7:$H$100,$A261,'12'!$I$7:$I$100,1)+SUMIFS('13'!$J$7:$J$100,'13'!$H$7:$H$100,$A261,'13'!$I$7:$I$100,1)+SUMIFS('14'!$J$7:$J$100,'14'!$H$7:$H$100,$A261,'14'!$I$7:$I$100,1)+SUMIFS('15'!$J$7:$J$100,'15'!$H$7:$H$100,$A261,'15'!$I$7:$I$100,1)+SUMIFS('15a'!$J$7:$J$100,'15a'!$H$7:$H$100,$A261,'15a'!$I$7:$I$100,1)+SUMIFS('15b'!$J$7:$J$100,'15b'!$H$7:$H$100,$A261,'15b'!$I$7:$I$100,1)+SUMIFS('15c'!$J$7:$J$100,'15c'!$H$7:$H$100,$A261,'15c'!$I$7:$I$100,1)+SUMIFS('15d'!$J$7:$J$100,'15d'!$H$7:$H$100,$A261,'15d'!$I$7:$I$100,1)+SUMIFS('15e'!$J$7:$J$100,'15e'!$H$7:$H$100,$A261,'15e'!$I$7:$I$100,1)+SUMIFS('15f'!$J$7:$J$100,'15f'!$H$7:$H$100,$A261,'15f'!$I$7:$I$100,1)+SUMIFS('15g'!$J$7:$J$100,'15g'!$H$7:$H$100,$A261,'15g'!$I$7:$I$100,1)+SUMIFS('15h'!$J$7:$J$100,'15h'!$H$7:$H$100,$A261,'15h'!$I$7:$I$100,1)+SUMIFS('15i'!$J$7:$J$100,'15i'!$H$7:$H$100,$A261,'15i'!$I$7:$I$100,1)+SUMIFS('15j'!$J$7:$J$100,'15j'!$H$7:$H$100,$A261,'15j'!$I$7:$I$100,1)+SUMIFS('15k'!$J$7:$J$100,'15k'!$H$7:$H$100,$A261,'15k'!$I$7:$I$100,1)+SUMIFS('15l'!$J$7:$J$100,'15l'!$H$7:$H$100,$A261,'15l'!$I$7:$I$100,1)+SUMIFS('15m'!$J$7:$J$100,'15m'!$H$7:$H$100,$A261,'15m'!$I$7:$I$100,1)+SUMIFS('15n'!$J$7:$J$100,'15n'!$H$7:$H$100,$A261,'15n'!$I$7:$I$100,1)+SUMIFS('16'!$J$7:$J$100,'16'!$H$7:$H$100,$A261,'16'!$I$7:$I$100,1)+SUMIFS('16a'!$J$7:$J$100,'16a'!$H$7:$H$100,$A261,'16a'!$I$7:$I$100,1)+SUMIFS('17'!$J$7:$J$100,'17'!$H$7:$H$100,$A261,'17'!$I$7:$I$100,1)+SUMIFS('17a'!$J$7:$J$100,'17a'!$H$7:$H$100,$A261,'17a'!$I$7:$I$100,1)+SUMIFS('18'!$J$7:$J$100,'18'!$H$7:$H$100,$A261,'18'!$I$7:$I$100,1)+SUMIFS('18a'!$J$7:$J$100,'18a'!$H$7:$H$100,$A261,'18a'!$I$7:$I$100,1)
+SUMIFS('19'!$J$7:$J$100,'19'!$H$7:$H$100,$A261,'19'!$I$7:$I$100,1)+SUMIFS('20'!$J$7:$J$100,'20'!$H$7:$H$100,$A261,'20'!$I$7:$I$100,1)+SUMIFS('20a'!$J$7:$J$100,'20a'!$H$7:$H$100,$A261,'20a'!$I$7:$I$100,1)+SUMIFS('21'!$J$7:$J$100,'21'!$H$7:$H$100,$A261,'21'!$I$7:$I$100,1)+SUMIFS('22'!$J$7:$J$100,'22'!$H$7:$H$100,$A261,'22'!$I$7:$I$100,1)+SUMIFS('22a'!$J$7:$J$100,'22a'!$H$7:$H$100,$A261,'22a'!$I$7:$I$100,1)+SUMIFS('22b'!$J$7:$J$100,'22b'!$H$7:$H$100,$A261,'22b'!$I$7:$I$100,1)+SUMIFS('23'!$J$7:$J$100,'23'!$H$7:$H$100,$A261,'23'!$I$7:$I$100,1)+SUMIFS('24'!$J$7:$J$100,'24'!$H$7:$H$100,$A261,'24'!$I$7:$I$100,1)+SUMIFS('24a'!$J$7:$J$100,'24a'!$H$7:$H$100,$A261,'24a'!$I$7:$I$100,1)+SUMIFS('24b'!$J$7:$J$100,'24b'!$H$7:$H$100,$A261,'24b'!$I$7:$I$100,1)+SUMIFS('24c'!$J$7:$J$100,'24c'!$H$7:$H$100,$A261,'24c'!$I$7:$I$100,1)+SUMIFS('24d'!$J$7:$J$100,'24d'!$H$7:$H$100,$A261,'24d'!$I$7:$I$100,1)+SUMIFS('24e'!$J$7:$J$100,'24e'!$H$7:$H$100,$A261,'24e'!$I$7:$I$100,1)+SUMIFS('24f'!$J$7:$J$100,'24f'!$H$7:$H$100,$A261,'24f'!$I$7:$I$100,1)+SUMIFS('24g'!$J$7:$J$100,'24g'!$H$7:$H$100,$A261,'24g'!$I$7:$I$100,1)+SUMIFS('24h'!$J$7:$J$100,'24h'!$H$7:$H$100,$A261,'24h'!$I$7:$I$100,1)+SUMIFS('24i'!$J$7:$J$100,'24i'!$H$7:$H$100,$A261,'24i'!$I$7:$I$100,1)+SUMIFS('25'!$J$7:$J$100,'25'!$H$7:$H$100,$A261,'25'!$I$7:$I$100,1)+SUMIFS('26'!$J$7:$J$100,'26'!$H$7:$H$100,$A261,'26'!$I$7:$I$100,1)+SUMIFS('26a'!$J$7:$J$100,'26a'!$H$7:$H$100,$A261,'26a'!$I$7:$I$100,1)+SUMIFS('27'!$J$7:$J$100,'27'!$H$7:$H$100,$A261,'27'!$I$7:$I$100,1)+SUMIFS('27a'!$J$7:$J$100,'27a'!$H$7:$H$100,$A261,'27a'!$I$7:$I$100,1)+SUMIFS('28'!$J$7:$J$100,'28'!$H$7:$H$100,$A261,'28'!$I$7:$I$100,1)+SUMIFS('29'!$J$7:$J$100,'29'!$H$7:$H$100,$A261,'29'!$I$7:$I$100,1)</f>
        <v>0</v>
      </c>
      <c r="H261" s="1315">
        <f>SUMIFS('12'!$J$7:$J$100,'12'!$H$7:$H$100,$A261,'12'!$I$7:$I$100,2)+SUMIFS('13'!$J$7:$J$100,'13'!$H$7:$H$100,$A261,'13'!$I$7:$I$100,2)+SUMIFS('14'!$J$7:$J$100,'14'!$H$7:$H$100,$A261,'14'!$I$7:$I$100,2)+SUMIFS('15'!$J$7:$J$100,'15'!$H$7:$H$100,$A261,'15'!$I$7:$I$100,2)+SUMIFS('15a'!$J$7:$J$100,'15a'!$H$7:$H$100,$A261,'15a'!$I$7:$I$100,2)+SUMIFS('15b'!$J$7:$J$100,'15b'!$H$7:$H$100,$A261,'15b'!$I$7:$I$100,2)+SUMIFS('15c'!$J$7:$J$100,'15c'!$H$7:$H$100,$A261,'15c'!$I$7:$I$100,2)+SUMIFS('15d'!$J$7:$J$100,'15d'!$H$7:$H$100,$A261,'15d'!$I$7:$I$100,2)+SUMIFS('15e'!$J$7:$J$100,'15e'!$H$7:$H$100,$A261,'15e'!$I$7:$I$100,2)+SUMIFS('15f'!$J$7:$J$100,'15f'!$H$7:$H$100,$A261,'15f'!$I$7:$I$100,2)+SUMIFS('15g'!$J$7:$J$100,'15g'!$H$7:$H$100,$A261,'15g'!$I$7:$I$100,2)+SUMIFS('15h'!$J$7:$J$100,'15h'!$H$7:$H$100,$A261,'15h'!$I$7:$I$100,2)+SUMIFS('15i'!$J$7:$J$100,'15i'!$H$7:$H$100,$A261,'15i'!$I$7:$I$100,2)+SUMIFS('15j'!$J$7:$J$100,'15j'!$H$7:$H$100,$A261,'15j'!$I$7:$I$100,2)+SUMIFS('15k'!$J$7:$J$100,'15k'!$H$7:$H$100,$A261,'15k'!$I$7:$I$100,2)+SUMIFS('15l'!$J$7:$J$100,'15l'!$H$7:$H$100,$A261,'15l'!$I$7:$I$100,2)+SUMIFS('15m'!$J$7:$J$100,'15m'!$H$7:$H$100,$A261,'15m'!$I$7:$I$100,2)+SUMIFS('15n'!$J$7:$J$100,'15n'!$H$7:$H$100,$A261,'15n'!$I$7:$I$100,2)+SUMIFS('16'!$J$7:$J$100,'16'!$H$7:$H$100,$A261,'16'!$I$7:$I$100,2)+SUMIFS('16a'!$J$7:$J$100,'16a'!$H$7:$H$100,$A261,'16a'!$I$7:$I$100,2)+SUMIFS('17'!$J$7:$J$100,'17'!$H$7:$H$100,$A261,'17'!$I$7:$I$100,2)+SUMIFS('17a'!$J$7:$J$100,'17a'!$H$7:$H$100,$A261,'17a'!$I$7:$I$100,2)+SUMIFS('18'!$J$7:$J$100,'18'!$H$7:$H$100,$A261,'18'!$I$7:$I$100,2)+SUMIFS('18a'!$J$7:$J$100,'18a'!$H$7:$H$100,$A261,'18a'!$I$7:$I$100,2)
+SUMIFS('19'!$J$7:$J$100,'19'!$H$7:$H$100,$A261,'19'!$I$7:$I$100,2)+SUMIFS('20'!$J$7:$J$100,'20'!$H$7:$H$100,$A261,'20'!$I$7:$I$100,2)+SUMIFS('20a'!$J$7:$J$100,'20a'!$H$7:$H$100,$A261,'20a'!$I$7:$I$100,2)+SUMIFS('21'!$J$7:$J$100,'21'!$H$7:$H$100,$A261,'21'!$I$7:$I$100,2)+SUMIFS('22'!$J$7:$J$100,'22'!$H$7:$H$100,$A261,'22'!$I$7:$I$100,2)+SUMIFS('22a'!$J$7:$J$100,'22a'!$H$7:$H$100,$A261,'22a'!$I$7:$I$100,2)+SUMIFS('22b'!$J$7:$J$100,'22b'!$H$7:$H$100,$A261,'22b'!$I$7:$I$100,2)+SUMIFS('23'!$J$7:$J$100,'23'!$H$7:$H$100,$A261,'23'!$I$7:$I$100,2)+SUMIFS('24'!$J$7:$J$100,'24'!$H$7:$H$100,$A261,'24'!$I$7:$I$100,2)+SUMIFS('24a'!$J$7:$J$100,'24a'!$H$7:$H$100,$A261,'24a'!$I$7:$I$100,2)+SUMIFS('24b'!$J$7:$J$100,'24b'!$H$7:$H$100,$A261,'24b'!$I$7:$I$100,2)+SUMIFS('24c'!$J$7:$J$100,'24c'!$H$7:$H$100,$A261,'24c'!$I$7:$I$100,2)+SUMIFS('24d'!$J$7:$J$100,'24d'!$H$7:$H$100,$A261,'24d'!$I$7:$I$100,2)+SUMIFS('24e'!$J$7:$J$100,'24e'!$H$7:$H$100,$A261,'24e'!$I$7:$I$100,2)+SUMIFS('24f'!$J$7:$J$100,'24f'!$H$7:$H$100,$A261,'24f'!$I$7:$I$100,2)+SUMIFS('24g'!$J$7:$J$100,'24g'!$H$7:$H$100,$A261,'24g'!$I$7:$I$100,2)+SUMIFS('24h'!$J$7:$J$100,'24h'!$H$7:$H$100,$A261,'24h'!$I$7:$I$100,2)+SUMIFS('24i'!$J$7:$J$100,'24i'!$H$7:$H$100,$A261,'24i'!$I$7:$I$100,2)+SUMIFS('25'!$J$7:$J$100,'25'!$H$7:$H$100,$A261,'25'!$I$7:$I$100,2)+SUMIFS('26'!$J$7:$J$100,'26'!$H$7:$H$100,$A261,'26'!$I$7:$I$100,2)+SUMIFS('26a'!$J$7:$J$100,'26a'!$H$7:$H$100,$A261,'26a'!$I$7:$I$100,2)+SUMIFS('27'!$J$7:$J$100,'27'!$H$7:$H$100,$A261,'27'!$I$7:$I$100,2)+SUMIFS('27a'!$J$7:$J$100,'27a'!$H$7:$H$100,$A261,'27a'!$I$7:$I$100,2)+SUMIFS('28'!$J$7:$J$100,'28'!$H$7:$H$100,$A261,'28'!$I$7:$I$100,2)+SUMIFS('29'!$J$7:$J$100,'29'!$H$7:$H$100,$A261,'29'!$I$7:$I$100,2)</f>
        <v>5000</v>
      </c>
      <c r="I261" s="1315">
        <f>SUMIFS('12'!$J$7:$J$100,'12'!$H$7:$H$100,$A261,'12'!$I$7:$I$100,"")+SUMIFS('13'!$J$7:$J$100,'13'!$H$7:$H$100,$A261,'13'!$I$7:$I$100,"")+SUMIFS('14'!$J$7:$J$100,'14'!$H$7:$H$100,$A261,'14'!$I$7:$I$100,"")+SUMIFS('15'!$J$7:$J$100,'15'!$H$7:$H$100,$A261,'15'!$I$7:$I$100,"")+SUMIFS('15a'!$J$7:$J$100,'15a'!$H$7:$H$100,$A261,'15a'!$I$7:$I$100,"")+SUMIFS('15b'!$J$7:$J$100,'15b'!$H$7:$H$100,$A261,'15b'!$I$7:$I$100,"")+SUMIFS('15c'!$J$7:$J$100,'15c'!$H$7:$H$100,$A261,'15c'!$I$7:$I$100,"")+SUMIFS('15d'!$J$7:$J$100,'15d'!$H$7:$H$100,$A261,'15d'!$I$7:$I$100,"")+SUMIFS('15e'!$J$7:$J$100,'15e'!$H$7:$H$100,$A261,'15e'!$I$7:$I$100,"")+SUMIFS('15f'!$J$7:$J$100,'15f'!$H$7:$H$100,$A261,'15f'!$I$7:$I$100,"")+SUMIFS('15g'!$J$7:$J$100,'15g'!$H$7:$H$100,$A261,'15g'!$I$7:$I$100,"")+SUMIFS('15h'!$J$7:$J$100,'15h'!$H$7:$H$100,$A261,'15h'!$I$7:$I$100,"")+SUMIFS('15i'!$J$7:$J$100,'15i'!$H$7:$H$100,$A261,'15i'!$I$7:$I$100,"")+SUMIFS('15j'!$J$7:$J$100,'15j'!$H$7:$H$100,$A261,'15j'!$I$7:$I$100,"")+SUMIFS('15k'!$J$7:$J$100,'15k'!$H$7:$H$100,$A261,'15k'!$I$7:$I$100,"")+SUMIFS('15l'!$J$7:$J$100,'15l'!$H$7:$H$100,$A261,'15l'!$I$7:$I$100,"")+SUMIFS('15m'!$J$7:$J$100,'15m'!$H$7:$H$100,$A261,'15m'!$I$7:$I$100,"")+SUMIFS('15n'!$J$7:$J$100,'15n'!$H$7:$H$100,$A261,'15n'!$I$7:$I$100,"")+SUMIFS('16'!$J$7:$J$100,'16'!$H$7:$H$100,$A261,'16'!$I$7:$I$100,"")+SUMIFS('16a'!$J$7:$J$100,'16a'!$H$7:$H$100,$A261,'16a'!$I$7:$I$100,"")+SUMIFS('17'!$J$7:$J$100,'17'!$H$7:$H$100,$A261,'17'!$I$7:$I$100,"")+SUMIFS('17a'!$J$7:$J$100,'17a'!$H$7:$H$100,$A261,'17a'!$I$7:$I$100,"")+SUMIFS('18'!$J$7:$J$100,'18'!$H$7:$H$100,$A261,'18'!$I$7:$I$100,"")+SUMIFS('18a'!$J$7:$J$100,'18a'!$H$7:$H$100,$A261,'18a'!$I$7:$I$100,"")
+SUMIFS('19'!$J$7:$J$100,'19'!$H$7:$H$100,$A261,'19'!$I$7:$I$100,"")+SUMIFS('20'!$J$7:$J$100,'20'!$H$7:$H$100,$A261,'20'!$I$7:$I$100,"")+SUMIFS('20a'!$J$7:$J$100,'20a'!$H$7:$H$100,$A261,'20a'!$I$7:$I$100,"")+SUMIFS('21'!$J$7:$J$100,'21'!$H$7:$H$100,$A261,'21'!$I$7:$I$100,"")+SUMIFS('22'!$J$7:$J$100,'22'!$H$7:$H$100,$A261,'22'!$I$7:$I$100,"")+SUMIFS('22a'!$J$7:$J$100,'22a'!$H$7:$H$100,$A261,'22a'!$I$7:$I$100,"")+SUMIFS('22b'!$J$7:$J$100,'22b'!$H$7:$H$100,$A261,'22b'!$I$7:$I$100,"")+SUMIFS('23'!$J$7:$J$100,'23'!$H$7:$H$100,$A261,'23'!$I$7:$I$100,"")+SUMIFS('24'!$J$7:$J$100,'24'!$H$7:$H$100,$A261,'24'!$I$7:$I$100,"")+SUMIFS('24a'!$J$7:$J$100,'24a'!$H$7:$H$100,$A261,'24a'!$I$7:$I$100,"")+SUMIFS('24b'!$J$7:$J$100,'24b'!$H$7:$H$100,$A261,'24b'!$I$7:$I$100,"")+SUMIFS('24c'!$J$7:$J$100,'24c'!$H$7:$H$100,$A261,'24c'!$I$7:$I$100,"")+SUMIFS('24d'!$J$7:$J$100,'24d'!$H$7:$H$100,$A261,'24d'!$I$7:$I$100,"")+SUMIFS('24e'!$J$7:$J$100,'24e'!$H$7:$H$100,$A261,'24e'!$I$7:$I$100,"")+SUMIFS('24f'!$J$7:$J$100,'24f'!$H$7:$H$100,$A261,'24f'!$I$7:$I$100,"")+SUMIFS('24g'!$J$7:$J$100,'24g'!$H$7:$H$100,$A261,'24g'!$I$7:$I$100,"")+SUMIFS('24h'!$J$7:$J$100,'24h'!$H$7:$H$100,$A261,'24h'!$I$7:$I$100,"")+SUMIFS('24i'!$J$7:$J$100,'24i'!$H$7:$H$100,$A261,'24i'!$I$7:$I$100,"")+SUMIFS('25'!$J$7:$J$100,'25'!$H$7:$H$100,$A261,'25'!$I$7:$I$100,"")+SUMIFS('26'!$J$7:$J$100,'26'!$H$7:$H$100,$A261,'26'!$I$7:$I$100,"")+SUMIFS('26a'!$J$7:$J$100,'26a'!$H$7:$H$100,$A261,'26a'!$I$7:$I$100,"")+SUMIFS('27'!$J$7:$J$100,'27'!$H$7:$H$100,$A261,'27'!$I$7:$I$100,"")+SUMIFS('27a'!$J$7:$J$100,'27a'!$H$7:$H$100,$A261,'27a'!$I$7:$I$100,"")+SUMIFS('28'!$J$7:$J$100,'28'!$H$7:$H$100,$A261,'28'!$I$7:$I$100,"")+SUMIFS('29'!$J$7:$J$100,'29'!$H$7:$H$100,$A261,'29'!$I$7:$I$100,"")</f>
        <v>0</v>
      </c>
      <c r="J261" s="1296">
        <f t="shared" si="25"/>
        <v>5000</v>
      </c>
      <c r="K261"/>
      <c r="L261"/>
      <c r="M261"/>
      <c r="N261"/>
      <c r="O261"/>
      <c r="P261"/>
      <c r="Q261"/>
      <c r="R261"/>
      <c r="S261" s="1307">
        <f t="shared" si="14"/>
        <v>10600</v>
      </c>
      <c r="T261"/>
    </row>
    <row r="262" spans="1:20" x14ac:dyDescent="0.2">
      <c r="A262" t="s">
        <v>5176</v>
      </c>
      <c r="B262" t="s">
        <v>5504</v>
      </c>
      <c r="C262" s="1295">
        <f>SUMIFS('12'!$N$7:$N$100,'12'!$H$7:$H$100,$A262,'12'!$I$7:$I$100,1)+SUMIFS('13'!$N$7:$N$100,'13'!$H$7:$H$100,$A262,'13'!$I$7:$I$100,1)+SUMIFS('14'!$N$7:$N$100,'14'!$H$7:$H$100,$A262,'14'!$I$7:$I$100,1)+SUMIFS('15'!$N$7:$N$100,'15'!$H$7:$H$100,$A262,'15'!$I$7:$I$100,1)+SUMIFS('15a'!$N$7:$N$100,'15a'!$H$7:$H$100,$A262,'15a'!$I$7:$I$100,1)+SUMIFS('15b'!$N$7:$N$100,'15b'!$H$7:$H$100,$A262,'15b'!$I$7:$I$100,1)+SUMIFS('15c'!$N$7:$N$100,'15c'!$H$7:$H$100,$A262,'15c'!$I$7:$I$100,1)+SUMIFS('15d'!$N$7:$N$100,'15d'!$H$7:$H$100,$A262,'15d'!$I$7:$I$100,1)+SUMIFS('15e'!$N$7:$N$100,'15e'!$H$7:$H$100,$A262,'15e'!$I$7:$I$100,1)+SUMIFS('15f'!$N$7:$N$100,'15f'!$H$7:$H$100,$A262,'15f'!$I$7:$I$100,1)+SUMIFS('15g'!$N$7:$N$100,'15g'!$H$7:$H$100,$A262,'15g'!$I$7:$I$100,1)+SUMIFS('15h'!$N$7:$N$100,'15h'!$H$7:$H$100,$A262,'15h'!$I$7:$I$100,1)+SUMIFS('15i'!$N$7:$N$100,'15i'!$H$7:$H$100,$A262,'15i'!$I$7:$I$100,1)+SUMIFS('15j'!$N$7:$N$100,'15j'!$H$7:$H$100,$A262,'15j'!$I$7:$I$100,1)+SUMIFS('15k'!$N$7:$N$100,'15k'!$H$7:$H$100,$A262,'15k'!$I$7:$I$100,1)+SUMIFS('15l'!$N$7:$N$100,'15l'!$H$7:$H$100,$A262,'15l'!$I$7:$I$100,1)+SUMIFS('15m'!$N$7:$N$100,'15m'!$H$7:$H$100,$A262,'15m'!$I$7:$I$100,1)+SUMIFS('15n'!$N$7:$N$100,'15n'!$H$7:$H$100,$A262,'15n'!$I$7:$I$100,1)+SUMIFS('16'!$N$7:$N$100,'16'!$H$7:$H$100,$A262,'16'!$I$7:$I$100,1)+SUMIFS('16a'!$N$7:$N$100,'16a'!$H$7:$H$100,$A262,'16a'!$I$7:$I$100,1)+SUMIFS('17'!$N$7:$N$100,'17'!$H$7:$H$100,$A262,'17'!$I$7:$I$100,1)+SUMIFS('17a'!$N$7:$N$100,'17a'!$H$7:$H$100,$A262,'17a'!$I$7:$I$100,1)+SUMIFS('18'!$N$7:$N$100,'18'!$H$7:$H$100,$A262,'18'!$I$7:$I$100,1)+SUMIFS('18a'!$N$7:$N$100,'18a'!$H$7:$H$100,$A262,'18a'!$I$7:$I$100,1)
+SUMIFS('19'!$N$7:$N$100,'19'!$H$7:$H$100,$A262,'19'!$I$7:$I$100,1)+SUMIFS('20'!$N$7:$N$100,'20'!$H$7:$H$100,$A262,'20'!$I$7:$I$100,1)+SUMIFS('20a'!$N$7:$N$100,'20a'!$H$7:$H$100,$A262,'20a'!$I$7:$I$100,1)+SUMIFS('21'!$N$7:$N$100,'21'!$H$7:$H$100,$A262,'21'!$I$7:$I$100,1)+SUMIFS('22'!$N$7:$N$100,'22'!$H$7:$H$100,$A262,'22'!$I$7:$I$100,1)+SUMIFS('22a'!$N$7:$N$100,'22a'!$H$7:$H$100,$A262,'22a'!$I$7:$I$100,1)+SUMIFS('22b'!$N$7:$N$100,'22b'!$H$7:$H$100,$A262,'22b'!$I$7:$I$100,1)+SUMIFS('23'!$N$7:$N$100,'23'!$H$7:$H$100,$A262,'23'!$I$7:$I$100,1)+SUMIFS('24'!$N$7:$N$100,'24'!$H$7:$H$100,$A262,'24'!$I$7:$I$100,1)+SUMIFS('24a'!$N$7:$N$100,'24a'!$H$7:$H$100,$A262,'24a'!$I$7:$I$100,1)+SUMIFS('24b'!$N$7:$N$100,'24b'!$H$7:$H$100,$A262,'24b'!$I$7:$I$100,1)+SUMIFS('24c'!$N$7:$N$100,'24c'!$H$7:$H$100,$A262,'24c'!$I$7:$I$100,1)+SUMIFS('24d'!$N$7:$N$100,'24d'!$H$7:$H$100,$A262,'24d'!$I$7:$I$100,1)+SUMIFS('24e'!$N$7:$N$100,'24e'!$H$7:$H$100,$A262,'24e'!$I$7:$I$100,1)+SUMIFS('24f'!$N$7:$N$100,'24f'!$H$7:$H$100,$A262,'24f'!$I$7:$I$100,1)+SUMIFS('24g'!$N$7:$N$100,'24g'!$H$7:$H$100,$A262,'24g'!$I$7:$I$100,1)+SUMIFS('24h'!$N$7:$N$100,'24h'!$H$7:$H$100,$A262,'24h'!$I$7:$I$100,1)+SUMIFS('24i'!$N$7:$N$100,'24i'!$H$7:$H$100,$A262,'24i'!$I$7:$I$100,1)+SUMIFS('25'!$N$7:$N$100,'25'!$H$7:$H$100,$A262,'25'!$I$7:$I$100,1)+SUMIFS('26'!$N$7:$N$100,'26'!$H$7:$H$100,$A262,'26'!$I$7:$I$100,1)+SUMIFS('26a'!$N$7:$N$100,'26a'!$H$7:$H$100,$A262,'26a'!$I$7:$I$100,1)+SUMIFS('27'!$N$7:$N$100,'27'!$H$7:$H$100,$A262,'27'!$I$7:$I$100,1)+SUMIFS('27a'!$N$7:$N$100,'27a'!$H$7:$H$100,$A262,'27a'!$I$7:$I$100,1)+SUMIFS('28'!$N$7:$N$100,'28'!$H$7:$H$100,$A262,'28'!$I$7:$I$100,1)+SUMIFS('29'!$N$7:$N$100,'29'!$H$7:$H$100,$A262,'29'!$I$7:$I$100,1)</f>
        <v>0</v>
      </c>
      <c r="D262" s="1315">
        <f>SUMIFS('12'!$N$7:$N$100,'12'!$H$7:$H$100,$A262,'12'!$I$7:$I$100,2)+SUMIFS('13'!$N$7:$N$100,'13'!$H$7:$H$100,$A262,'13'!$I$7:$I$100,2)+SUMIFS('14'!$N$7:$N$100,'14'!$H$7:$H$100,$A262,'14'!$I$7:$I$100,2)+SUMIFS('15'!$N$7:$N$100,'15'!$H$7:$H$100,$A262,'15'!$I$7:$I$100,2)+SUMIFS('15a'!$N$7:$N$100,'15a'!$H$7:$H$100,$A262,'15a'!$I$7:$I$100,2)+SUMIFS('15b'!$N$7:$N$100,'15b'!$H$7:$H$100,$A262,'15b'!$I$7:$I$100,2)+SUMIFS('15c'!$N$7:$N$100,'15c'!$H$7:$H$100,$A262,'15c'!$I$7:$I$100,2)+SUMIFS('15d'!$N$7:$N$100,'15d'!$H$7:$H$100,$A262,'15d'!$I$7:$I$100,2)+SUMIFS('15e'!$N$7:$N$100,'15e'!$H$7:$H$100,$A262,'15e'!$I$7:$I$100,2)+SUMIFS('15f'!$N$7:$N$100,'15f'!$H$7:$H$100,$A262,'15f'!$I$7:$I$100,2)+SUMIFS('15g'!$N$7:$N$100,'15g'!$H$7:$H$100,$A262,'15g'!$I$7:$I$100,2)+SUMIFS('15h'!$N$7:$N$100,'15h'!$H$7:$H$100,$A262,'15h'!$I$7:$I$100,2)+SUMIFS('15i'!$N$7:$N$100,'15i'!$H$7:$H$100,$A262,'15i'!$I$7:$I$100,2)+SUMIFS('15j'!$N$7:$N$100,'15j'!$H$7:$H$100,$A262,'15j'!$I$7:$I$100,2)+SUMIFS('15k'!$N$7:$N$100,'15k'!$H$7:$H$100,$A262,'15k'!$I$7:$I$100,2)+SUMIFS('15l'!$N$7:$N$100,'15l'!$H$7:$H$100,$A262,'15l'!$I$7:$I$100,2)+SUMIFS('15m'!$N$7:$N$100,'15m'!$H$7:$H$100,$A262,'15m'!$I$7:$I$100,2)+SUMIFS('15n'!$N$7:$N$100,'15n'!$H$7:$H$100,$A262,'15n'!$I$7:$I$100,2)+SUMIFS('16'!$N$7:$N$100,'16'!$H$7:$H$100,$A262,'16'!$I$7:$I$100,2)+SUMIFS('16a'!$N$7:$N$100,'16a'!$H$7:$H$100,$A262,'16a'!$I$7:$I$100,2)+SUMIFS('17'!$N$7:$N$100,'17'!$H$7:$H$100,$A262,'17'!$I$7:$I$100,2)+SUMIFS('17a'!$N$7:$N$100,'17a'!$H$7:$H$100,$A262,'17a'!$I$7:$I$100,2)+SUMIFS('18'!$N$7:$N$100,'18'!$H$7:$H$100,$A262,'18'!$I$7:$I$100,2)+SUMIFS('18a'!$N$7:$N$100,'18a'!$H$7:$H$100,$A262,'18a'!$I$7:$I$100,2)
+SUMIFS('19'!$N$7:$N$100,'19'!$H$7:$H$100,$A262,'19'!$I$7:$I$100,2)+SUMIFS('20'!$N$7:$N$100,'20'!$H$7:$H$100,$A262,'20'!$I$7:$I$100,2)+SUMIFS('20a'!$N$7:$N$100,'20a'!$H$7:$H$100,$A262,'20a'!$I$7:$I$100,2)+SUMIFS('21'!$N$7:$N$100,'21'!$H$7:$H$100,$A262,'21'!$I$7:$I$100,2)+SUMIFS('22'!$N$7:$N$100,'22'!$H$7:$H$100,$A262,'22'!$I$7:$I$100,2)+SUMIFS('22a'!$N$7:$N$100,'22a'!$H$7:$H$100,$A262,'22a'!$I$7:$I$100,2)+SUMIFS('22b'!$N$7:$N$100,'22b'!$H$7:$H$100,$A262,'22b'!$I$7:$I$100,2)+SUMIFS('23'!$N$7:$N$100,'23'!$H$7:$H$100,$A262,'23'!$I$7:$I$100,2)+SUMIFS('24'!$N$7:$N$100,'24'!$H$7:$H$100,$A262,'24'!$I$7:$I$100,2)+SUMIFS('24a'!$N$7:$N$100,'24a'!$H$7:$H$100,$A262,'24a'!$I$7:$I$100,2)+SUMIFS('24b'!$N$7:$N$100,'24b'!$H$7:$H$100,$A262,'24b'!$I$7:$I$100,2)+SUMIFS('24c'!$N$7:$N$100,'24c'!$H$7:$H$100,$A262,'24c'!$I$7:$I$100,2)+SUMIFS('24d'!$N$7:$N$100,'24d'!$H$7:$H$100,$A262,'24d'!$I$7:$I$100,2)+SUMIFS('24e'!$N$7:$N$100,'24e'!$H$7:$H$100,$A262,'24e'!$I$7:$I$100,2)+SUMIFS('24f'!$N$7:$N$100,'24f'!$H$7:$H$100,$A262,'24f'!$I$7:$I$100,2)+SUMIFS('24g'!$N$7:$N$100,'24g'!$H$7:$H$100,$A262,'24g'!$I$7:$I$100,2)+SUMIFS('24h'!$N$7:$N$100,'24h'!$H$7:$H$100,$A262,'24h'!$I$7:$I$100,2)+SUMIFS('24i'!$N$7:$N$100,'24i'!$H$7:$H$100,$A262,'24i'!$I$7:$I$100,2)+SUMIFS('25'!$N$7:$N$100,'25'!$H$7:$H$100,$A262,'25'!$I$7:$I$100,2)+SUMIFS('26'!$N$7:$N$100,'26'!$H$7:$H$100,$A262,'26'!$I$7:$I$100,2)+SUMIFS('26a'!$N$7:$N$100,'26a'!$H$7:$H$100,$A262,'26a'!$I$7:$I$100,2)+SUMIFS('27'!$N$7:$N$100,'27'!$H$7:$H$100,$A262,'27'!$I$7:$I$100,2)+SUMIFS('27a'!$N$7:$N$100,'27a'!$H$7:$H$100,$A262,'27a'!$I$7:$I$100,2)+SUMIFS('28'!$N$7:$N$100,'28'!$H$7:$H$100,$A262,'28'!$I$7:$I$100,2)+SUMIFS('29'!$N$7:$N$100,'29'!$H$7:$H$100,$A262,'29'!$I$7:$I$100,2)</f>
        <v>0</v>
      </c>
      <c r="E262" s="1315">
        <f>SUMIFS('12'!$N$7:$N$100,'12'!$H$7:$H$100,$A262,'12'!$I$7:$I$100,"")+SUMIFS('13'!$N$7:$N$100,'13'!$H$7:$H$100,$A262,'13'!$I$7:$I$100,"")+SUMIFS('14'!$N$7:$N$100,'14'!$H$7:$H$100,$A262,'14'!$I$7:$I$100,"")+SUMIFS('15'!$N$7:$N$100,'15'!$H$7:$H$100,$A262,'15'!$I$7:$I$100,"")+SUMIFS('15a'!$N$7:$N$100,'15a'!$H$7:$H$100,$A262,'15a'!$I$7:$I$100,"")+SUMIFS('15b'!$N$7:$N$100,'15b'!$H$7:$H$100,$A262,'15b'!$I$7:$I$100,"")+SUMIFS('15c'!$N$7:$N$100,'15c'!$H$7:$H$100,$A262,'15c'!$I$7:$I$100,"")+SUMIFS('15d'!$N$7:$N$100,'15d'!$H$7:$H$100,$A262,'15d'!$I$7:$I$100,"")+SUMIFS('15e'!$N$7:$N$100,'15e'!$H$7:$H$100,$A262,'15e'!$I$7:$I$100,"")+SUMIFS('15f'!$N$7:$N$100,'15f'!$H$7:$H$100,$A262,'15f'!$I$7:$I$100,"")+SUMIFS('15g'!$N$7:$N$100,'15g'!$H$7:$H$100,$A262,'15g'!$I$7:$I$100,"")+SUMIFS('15h'!$N$7:$N$100,'15h'!$H$7:$H$100,$A262,'15h'!$I$7:$I$100,"")+SUMIFS('15i'!$N$7:$N$100,'15i'!$H$7:$H$100,$A262,'15i'!$I$7:$I$100,"")+SUMIFS('15j'!$N$7:$N$100,'15j'!$H$7:$H$100,$A262,'15j'!$I$7:$I$100,"")+SUMIFS('15k'!$N$7:$N$100,'15k'!$H$7:$H$100,$A262,'15k'!$I$7:$I$100,"")+SUMIFS('15l'!$N$7:$N$100,'15l'!$H$7:$H$100,$A262,'15l'!$I$7:$I$100,"")+SUMIFS('15m'!$N$7:$N$100,'15m'!$H$7:$H$100,$A262,'15m'!$I$7:$I$100,"")+SUMIFS('15n'!$N$7:$N$100,'15n'!$H$7:$H$100,$A262,'15n'!$I$7:$I$100,"")+SUMIFS('16'!$N$7:$N$100,'16'!$H$7:$H$100,$A262,'16'!$I$7:$I$100,"")+SUMIFS('16a'!$N$7:$N$100,'16a'!$H$7:$H$100,$A262,'16a'!$I$7:$I$100,"")+SUMIFS('17'!$N$7:$N$100,'17'!$H$7:$H$100,$A262,'17'!$I$7:$I$100,"")+SUMIFS('17a'!$N$7:$N$100,'17a'!$H$7:$H$100,$A262,'17a'!$I$7:$I$100,"")+SUMIFS('18'!$N$7:$N$100,'18'!$H$7:$H$100,$A262,'18'!$I$7:$I$100,"")+SUMIFS('18a'!$N$7:$N$100,'18a'!$H$7:$H$100,$A262,'18a'!$I$7:$I$100,"")
+SUMIFS('19'!$N$7:$N$100,'19'!$H$7:$H$100,$A262,'19'!$I$7:$I$100,"")+SUMIFS('20'!$N$7:$N$100,'20'!$H$7:$H$100,$A262,'20'!$I$7:$I$100,"")+SUMIFS('20a'!$N$7:$N$100,'20a'!$H$7:$H$100,$A262,'20a'!$I$7:$I$100,"")+SUMIFS('21'!$N$7:$N$100,'21'!$H$7:$H$100,$A262,'21'!$I$7:$I$100,"")+SUMIFS('22'!$N$7:$N$100,'22'!$H$7:$H$100,$A262,'22'!$I$7:$I$100,"")+SUMIFS('22a'!$N$7:$N$100,'22a'!$H$7:$H$100,$A262,'22a'!$I$7:$I$100,"")+SUMIFS('22b'!$N$7:$N$100,'22b'!$H$7:$H$100,$A262,'22b'!$I$7:$I$100,"")+SUMIFS('23'!$N$7:$N$100,'23'!$H$7:$H$100,$A262,'23'!$I$7:$I$100,"")+SUMIFS('24'!$N$7:$N$100,'24'!$H$7:$H$100,$A262,'24'!$I$7:$I$100,"")+SUMIFS('24a'!$N$7:$N$100,'24a'!$H$7:$H$100,$A262,'24a'!$I$7:$I$100,"")+SUMIFS('24b'!$N$7:$N$100,'24b'!$H$7:$H$100,$A262,'24b'!$I$7:$I$100,"")+SUMIFS('24c'!$N$7:$N$100,'24c'!$H$7:$H$100,$A262,'24c'!$I$7:$I$100,"")+SUMIFS('24d'!$N$7:$N$100,'24d'!$H$7:$H$100,$A262,'24d'!$I$7:$I$100,"")+SUMIFS('24e'!$N$7:$N$100,'24e'!$H$7:$H$100,$A262,'24e'!$I$7:$I$100,"")+SUMIFS('24f'!$N$7:$N$100,'24f'!$H$7:$H$100,$A262,'24f'!$I$7:$I$100,"")+SUMIFS('24g'!$N$7:$N$100,'24g'!$H$7:$H$100,$A262,'24g'!$I$7:$I$100,"")+SUMIFS('24h'!$N$7:$N$100,'24h'!$H$7:$H$100,$A262,'24h'!$I$7:$I$100,"")+SUMIFS('24i'!$N$7:$N$100,'24i'!$H$7:$H$100,$A262,'24i'!$I$7:$I$100,"")+SUMIFS('25'!$N$7:$N$100,'25'!$H$7:$H$100,$A262,'25'!$I$7:$I$100,"")+SUMIFS('26'!$N$7:$N$100,'26'!$H$7:$H$100,$A262,'26'!$I$7:$I$100,"")+SUMIFS('26a'!$N$7:$N$100,'26a'!$H$7:$H$100,$A262,'26a'!$I$7:$I$100,"")+SUMIFS('27'!$N$7:$N$100,'27'!$H$7:$H$100,$A262,'27'!$I$7:$I$100,"")+SUMIFS('27a'!$N$7:$N$100,'27a'!$H$7:$H$100,$A262,'27a'!$I$7:$I$100,"")+SUMIFS('28'!$N$7:$N$100,'28'!$H$7:$H$100,$A262,'28'!$I$7:$I$100,"")+SUMIFS('29'!$N$7:$N$100,'29'!$H$7:$H$100,$A262,'29'!$I$7:$I$100,"")</f>
        <v>0</v>
      </c>
      <c r="F262" s="1296">
        <f t="shared" si="24"/>
        <v>0</v>
      </c>
      <c r="G262" s="1295">
        <f>SUMIFS('12'!$J$7:$J$100,'12'!$H$7:$H$100,$A262,'12'!$I$7:$I$100,1)+SUMIFS('13'!$J$7:$J$100,'13'!$H$7:$H$100,$A262,'13'!$I$7:$I$100,1)+SUMIFS('14'!$J$7:$J$100,'14'!$H$7:$H$100,$A262,'14'!$I$7:$I$100,1)+SUMIFS('15'!$J$7:$J$100,'15'!$H$7:$H$100,$A262,'15'!$I$7:$I$100,1)+SUMIFS('15a'!$J$7:$J$100,'15a'!$H$7:$H$100,$A262,'15a'!$I$7:$I$100,1)+SUMIFS('15b'!$J$7:$J$100,'15b'!$H$7:$H$100,$A262,'15b'!$I$7:$I$100,1)+SUMIFS('15c'!$J$7:$J$100,'15c'!$H$7:$H$100,$A262,'15c'!$I$7:$I$100,1)+SUMIFS('15d'!$J$7:$J$100,'15d'!$H$7:$H$100,$A262,'15d'!$I$7:$I$100,1)+SUMIFS('15e'!$J$7:$J$100,'15e'!$H$7:$H$100,$A262,'15e'!$I$7:$I$100,1)+SUMIFS('15f'!$J$7:$J$100,'15f'!$H$7:$H$100,$A262,'15f'!$I$7:$I$100,1)+SUMIFS('15g'!$J$7:$J$100,'15g'!$H$7:$H$100,$A262,'15g'!$I$7:$I$100,1)+SUMIFS('15h'!$J$7:$J$100,'15h'!$H$7:$H$100,$A262,'15h'!$I$7:$I$100,1)+SUMIFS('15i'!$J$7:$J$100,'15i'!$H$7:$H$100,$A262,'15i'!$I$7:$I$100,1)+SUMIFS('15j'!$J$7:$J$100,'15j'!$H$7:$H$100,$A262,'15j'!$I$7:$I$100,1)+SUMIFS('15k'!$J$7:$J$100,'15k'!$H$7:$H$100,$A262,'15k'!$I$7:$I$100,1)+SUMIFS('15l'!$J$7:$J$100,'15l'!$H$7:$H$100,$A262,'15l'!$I$7:$I$100,1)+SUMIFS('15m'!$J$7:$J$100,'15m'!$H$7:$H$100,$A262,'15m'!$I$7:$I$100,1)+SUMIFS('15n'!$J$7:$J$100,'15n'!$H$7:$H$100,$A262,'15n'!$I$7:$I$100,1)+SUMIFS('16'!$J$7:$J$100,'16'!$H$7:$H$100,$A262,'16'!$I$7:$I$100,1)+SUMIFS('16a'!$J$7:$J$100,'16a'!$H$7:$H$100,$A262,'16a'!$I$7:$I$100,1)+SUMIFS('17'!$J$7:$J$100,'17'!$H$7:$H$100,$A262,'17'!$I$7:$I$100,1)+SUMIFS('17a'!$J$7:$J$100,'17a'!$H$7:$H$100,$A262,'17a'!$I$7:$I$100,1)+SUMIFS('18'!$J$7:$J$100,'18'!$H$7:$H$100,$A262,'18'!$I$7:$I$100,1)+SUMIFS('18a'!$J$7:$J$100,'18a'!$H$7:$H$100,$A262,'18a'!$I$7:$I$100,1)
+SUMIFS('19'!$J$7:$J$100,'19'!$H$7:$H$100,$A262,'19'!$I$7:$I$100,1)+SUMIFS('20'!$J$7:$J$100,'20'!$H$7:$H$100,$A262,'20'!$I$7:$I$100,1)+SUMIFS('20a'!$J$7:$J$100,'20a'!$H$7:$H$100,$A262,'20a'!$I$7:$I$100,1)+SUMIFS('21'!$J$7:$J$100,'21'!$H$7:$H$100,$A262,'21'!$I$7:$I$100,1)+SUMIFS('22'!$J$7:$J$100,'22'!$H$7:$H$100,$A262,'22'!$I$7:$I$100,1)+SUMIFS('22a'!$J$7:$J$100,'22a'!$H$7:$H$100,$A262,'22a'!$I$7:$I$100,1)+SUMIFS('22b'!$J$7:$J$100,'22b'!$H$7:$H$100,$A262,'22b'!$I$7:$I$100,1)+SUMIFS('23'!$J$7:$J$100,'23'!$H$7:$H$100,$A262,'23'!$I$7:$I$100,1)+SUMIFS('24'!$J$7:$J$100,'24'!$H$7:$H$100,$A262,'24'!$I$7:$I$100,1)+SUMIFS('24a'!$J$7:$J$100,'24a'!$H$7:$H$100,$A262,'24a'!$I$7:$I$100,1)+SUMIFS('24b'!$J$7:$J$100,'24b'!$H$7:$H$100,$A262,'24b'!$I$7:$I$100,1)+SUMIFS('24c'!$J$7:$J$100,'24c'!$H$7:$H$100,$A262,'24c'!$I$7:$I$100,1)+SUMIFS('24d'!$J$7:$J$100,'24d'!$H$7:$H$100,$A262,'24d'!$I$7:$I$100,1)+SUMIFS('24e'!$J$7:$J$100,'24e'!$H$7:$H$100,$A262,'24e'!$I$7:$I$100,1)+SUMIFS('24f'!$J$7:$J$100,'24f'!$H$7:$H$100,$A262,'24f'!$I$7:$I$100,1)+SUMIFS('24g'!$J$7:$J$100,'24g'!$H$7:$H$100,$A262,'24g'!$I$7:$I$100,1)+SUMIFS('24h'!$J$7:$J$100,'24h'!$H$7:$H$100,$A262,'24h'!$I$7:$I$100,1)+SUMIFS('24i'!$J$7:$J$100,'24i'!$H$7:$H$100,$A262,'24i'!$I$7:$I$100,1)+SUMIFS('25'!$J$7:$J$100,'25'!$H$7:$H$100,$A262,'25'!$I$7:$I$100,1)+SUMIFS('26'!$J$7:$J$100,'26'!$H$7:$H$100,$A262,'26'!$I$7:$I$100,1)+SUMIFS('26a'!$J$7:$J$100,'26a'!$H$7:$H$100,$A262,'26a'!$I$7:$I$100,1)+SUMIFS('27'!$J$7:$J$100,'27'!$H$7:$H$100,$A262,'27'!$I$7:$I$100,1)+SUMIFS('27a'!$J$7:$J$100,'27a'!$H$7:$H$100,$A262,'27a'!$I$7:$I$100,1)+SUMIFS('28'!$J$7:$J$100,'28'!$H$7:$H$100,$A262,'28'!$I$7:$I$100,1)+SUMIFS('29'!$J$7:$J$100,'29'!$H$7:$H$100,$A262,'29'!$I$7:$I$100,1)</f>
        <v>0</v>
      </c>
      <c r="H262" s="1315">
        <f>SUMIFS('12'!$J$7:$J$100,'12'!$H$7:$H$100,$A262,'12'!$I$7:$I$100,2)+SUMIFS('13'!$J$7:$J$100,'13'!$H$7:$H$100,$A262,'13'!$I$7:$I$100,2)+SUMIFS('14'!$J$7:$J$100,'14'!$H$7:$H$100,$A262,'14'!$I$7:$I$100,2)+SUMIFS('15'!$J$7:$J$100,'15'!$H$7:$H$100,$A262,'15'!$I$7:$I$100,2)+SUMIFS('15a'!$J$7:$J$100,'15a'!$H$7:$H$100,$A262,'15a'!$I$7:$I$100,2)+SUMIFS('15b'!$J$7:$J$100,'15b'!$H$7:$H$100,$A262,'15b'!$I$7:$I$100,2)+SUMIFS('15c'!$J$7:$J$100,'15c'!$H$7:$H$100,$A262,'15c'!$I$7:$I$100,2)+SUMIFS('15d'!$J$7:$J$100,'15d'!$H$7:$H$100,$A262,'15d'!$I$7:$I$100,2)+SUMIFS('15e'!$J$7:$J$100,'15e'!$H$7:$H$100,$A262,'15e'!$I$7:$I$100,2)+SUMIFS('15f'!$J$7:$J$100,'15f'!$H$7:$H$100,$A262,'15f'!$I$7:$I$100,2)+SUMIFS('15g'!$J$7:$J$100,'15g'!$H$7:$H$100,$A262,'15g'!$I$7:$I$100,2)+SUMIFS('15h'!$J$7:$J$100,'15h'!$H$7:$H$100,$A262,'15h'!$I$7:$I$100,2)+SUMIFS('15i'!$J$7:$J$100,'15i'!$H$7:$H$100,$A262,'15i'!$I$7:$I$100,2)+SUMIFS('15j'!$J$7:$J$100,'15j'!$H$7:$H$100,$A262,'15j'!$I$7:$I$100,2)+SUMIFS('15k'!$J$7:$J$100,'15k'!$H$7:$H$100,$A262,'15k'!$I$7:$I$100,2)+SUMIFS('15l'!$J$7:$J$100,'15l'!$H$7:$H$100,$A262,'15l'!$I$7:$I$100,2)+SUMIFS('15m'!$J$7:$J$100,'15m'!$H$7:$H$100,$A262,'15m'!$I$7:$I$100,2)+SUMIFS('15n'!$J$7:$J$100,'15n'!$H$7:$H$100,$A262,'15n'!$I$7:$I$100,2)+SUMIFS('16'!$J$7:$J$100,'16'!$H$7:$H$100,$A262,'16'!$I$7:$I$100,2)+SUMIFS('16a'!$J$7:$J$100,'16a'!$H$7:$H$100,$A262,'16a'!$I$7:$I$100,2)+SUMIFS('17'!$J$7:$J$100,'17'!$H$7:$H$100,$A262,'17'!$I$7:$I$100,2)+SUMIFS('17a'!$J$7:$J$100,'17a'!$H$7:$H$100,$A262,'17a'!$I$7:$I$100,2)+SUMIFS('18'!$J$7:$J$100,'18'!$H$7:$H$100,$A262,'18'!$I$7:$I$100,2)+SUMIFS('18a'!$J$7:$J$100,'18a'!$H$7:$H$100,$A262,'18a'!$I$7:$I$100,2)
+SUMIFS('19'!$J$7:$J$100,'19'!$H$7:$H$100,$A262,'19'!$I$7:$I$100,2)+SUMIFS('20'!$J$7:$J$100,'20'!$H$7:$H$100,$A262,'20'!$I$7:$I$100,2)+SUMIFS('20a'!$J$7:$J$100,'20a'!$H$7:$H$100,$A262,'20a'!$I$7:$I$100,2)+SUMIFS('21'!$J$7:$J$100,'21'!$H$7:$H$100,$A262,'21'!$I$7:$I$100,2)+SUMIFS('22'!$J$7:$J$100,'22'!$H$7:$H$100,$A262,'22'!$I$7:$I$100,2)+SUMIFS('22a'!$J$7:$J$100,'22a'!$H$7:$H$100,$A262,'22a'!$I$7:$I$100,2)+SUMIFS('22b'!$J$7:$J$100,'22b'!$H$7:$H$100,$A262,'22b'!$I$7:$I$100,2)+SUMIFS('23'!$J$7:$J$100,'23'!$H$7:$H$100,$A262,'23'!$I$7:$I$100,2)+SUMIFS('24'!$J$7:$J$100,'24'!$H$7:$H$100,$A262,'24'!$I$7:$I$100,2)+SUMIFS('24a'!$J$7:$J$100,'24a'!$H$7:$H$100,$A262,'24a'!$I$7:$I$100,2)+SUMIFS('24b'!$J$7:$J$100,'24b'!$H$7:$H$100,$A262,'24b'!$I$7:$I$100,2)+SUMIFS('24c'!$J$7:$J$100,'24c'!$H$7:$H$100,$A262,'24c'!$I$7:$I$100,2)+SUMIFS('24d'!$J$7:$J$100,'24d'!$H$7:$H$100,$A262,'24d'!$I$7:$I$100,2)+SUMIFS('24e'!$J$7:$J$100,'24e'!$H$7:$H$100,$A262,'24e'!$I$7:$I$100,2)+SUMIFS('24f'!$J$7:$J$100,'24f'!$H$7:$H$100,$A262,'24f'!$I$7:$I$100,2)+SUMIFS('24g'!$J$7:$J$100,'24g'!$H$7:$H$100,$A262,'24g'!$I$7:$I$100,2)+SUMIFS('24h'!$J$7:$J$100,'24h'!$H$7:$H$100,$A262,'24h'!$I$7:$I$100,2)+SUMIFS('24i'!$J$7:$J$100,'24i'!$H$7:$H$100,$A262,'24i'!$I$7:$I$100,2)+SUMIFS('25'!$J$7:$J$100,'25'!$H$7:$H$100,$A262,'25'!$I$7:$I$100,2)+SUMIFS('26'!$J$7:$J$100,'26'!$H$7:$H$100,$A262,'26'!$I$7:$I$100,2)+SUMIFS('26a'!$J$7:$J$100,'26a'!$H$7:$H$100,$A262,'26a'!$I$7:$I$100,2)+SUMIFS('27'!$J$7:$J$100,'27'!$H$7:$H$100,$A262,'27'!$I$7:$I$100,2)+SUMIFS('27a'!$J$7:$J$100,'27a'!$H$7:$H$100,$A262,'27a'!$I$7:$I$100,2)+SUMIFS('28'!$J$7:$J$100,'28'!$H$7:$H$100,$A262,'28'!$I$7:$I$100,2)+SUMIFS('29'!$J$7:$J$100,'29'!$H$7:$H$100,$A262,'29'!$I$7:$I$100,2)</f>
        <v>0</v>
      </c>
      <c r="I262" s="1315">
        <f>SUMIFS('12'!$J$7:$J$100,'12'!$H$7:$H$100,$A262,'12'!$I$7:$I$100,"")+SUMIFS('13'!$J$7:$J$100,'13'!$H$7:$H$100,$A262,'13'!$I$7:$I$100,"")+SUMIFS('14'!$J$7:$J$100,'14'!$H$7:$H$100,$A262,'14'!$I$7:$I$100,"")+SUMIFS('15'!$J$7:$J$100,'15'!$H$7:$H$100,$A262,'15'!$I$7:$I$100,"")+SUMIFS('15a'!$J$7:$J$100,'15a'!$H$7:$H$100,$A262,'15a'!$I$7:$I$100,"")+SUMIFS('15b'!$J$7:$J$100,'15b'!$H$7:$H$100,$A262,'15b'!$I$7:$I$100,"")+SUMIFS('15c'!$J$7:$J$100,'15c'!$H$7:$H$100,$A262,'15c'!$I$7:$I$100,"")+SUMIFS('15d'!$J$7:$J$100,'15d'!$H$7:$H$100,$A262,'15d'!$I$7:$I$100,"")+SUMIFS('15e'!$J$7:$J$100,'15e'!$H$7:$H$100,$A262,'15e'!$I$7:$I$100,"")+SUMIFS('15f'!$J$7:$J$100,'15f'!$H$7:$H$100,$A262,'15f'!$I$7:$I$100,"")+SUMIFS('15g'!$J$7:$J$100,'15g'!$H$7:$H$100,$A262,'15g'!$I$7:$I$100,"")+SUMIFS('15h'!$J$7:$J$100,'15h'!$H$7:$H$100,$A262,'15h'!$I$7:$I$100,"")+SUMIFS('15i'!$J$7:$J$100,'15i'!$H$7:$H$100,$A262,'15i'!$I$7:$I$100,"")+SUMIFS('15j'!$J$7:$J$100,'15j'!$H$7:$H$100,$A262,'15j'!$I$7:$I$100,"")+SUMIFS('15k'!$J$7:$J$100,'15k'!$H$7:$H$100,$A262,'15k'!$I$7:$I$100,"")+SUMIFS('15l'!$J$7:$J$100,'15l'!$H$7:$H$100,$A262,'15l'!$I$7:$I$100,"")+SUMIFS('15m'!$J$7:$J$100,'15m'!$H$7:$H$100,$A262,'15m'!$I$7:$I$100,"")+SUMIFS('15n'!$J$7:$J$100,'15n'!$H$7:$H$100,$A262,'15n'!$I$7:$I$100,"")+SUMIFS('16'!$J$7:$J$100,'16'!$H$7:$H$100,$A262,'16'!$I$7:$I$100,"")+SUMIFS('16a'!$J$7:$J$100,'16a'!$H$7:$H$100,$A262,'16a'!$I$7:$I$100,"")+SUMIFS('17'!$J$7:$J$100,'17'!$H$7:$H$100,$A262,'17'!$I$7:$I$100,"")+SUMIFS('17a'!$J$7:$J$100,'17a'!$H$7:$H$100,$A262,'17a'!$I$7:$I$100,"")+SUMIFS('18'!$J$7:$J$100,'18'!$H$7:$H$100,$A262,'18'!$I$7:$I$100,"")+SUMIFS('18a'!$J$7:$J$100,'18a'!$H$7:$H$100,$A262,'18a'!$I$7:$I$100,"")
+SUMIFS('19'!$J$7:$J$100,'19'!$H$7:$H$100,$A262,'19'!$I$7:$I$100,"")+SUMIFS('20'!$J$7:$J$100,'20'!$H$7:$H$100,$A262,'20'!$I$7:$I$100,"")+SUMIFS('20a'!$J$7:$J$100,'20a'!$H$7:$H$100,$A262,'20a'!$I$7:$I$100,"")+SUMIFS('21'!$J$7:$J$100,'21'!$H$7:$H$100,$A262,'21'!$I$7:$I$100,"")+SUMIFS('22'!$J$7:$J$100,'22'!$H$7:$H$100,$A262,'22'!$I$7:$I$100,"")+SUMIFS('22a'!$J$7:$J$100,'22a'!$H$7:$H$100,$A262,'22a'!$I$7:$I$100,"")+SUMIFS('22b'!$J$7:$J$100,'22b'!$H$7:$H$100,$A262,'22b'!$I$7:$I$100,"")+SUMIFS('23'!$J$7:$J$100,'23'!$H$7:$H$100,$A262,'23'!$I$7:$I$100,"")+SUMIFS('24'!$J$7:$J$100,'24'!$H$7:$H$100,$A262,'24'!$I$7:$I$100,"")+SUMIFS('24a'!$J$7:$J$100,'24a'!$H$7:$H$100,$A262,'24a'!$I$7:$I$100,"")+SUMIFS('24b'!$J$7:$J$100,'24b'!$H$7:$H$100,$A262,'24b'!$I$7:$I$100,"")+SUMIFS('24c'!$J$7:$J$100,'24c'!$H$7:$H$100,$A262,'24c'!$I$7:$I$100,"")+SUMIFS('24d'!$J$7:$J$100,'24d'!$H$7:$H$100,$A262,'24d'!$I$7:$I$100,"")+SUMIFS('24e'!$J$7:$J$100,'24e'!$H$7:$H$100,$A262,'24e'!$I$7:$I$100,"")+SUMIFS('24f'!$J$7:$J$100,'24f'!$H$7:$H$100,$A262,'24f'!$I$7:$I$100,"")+SUMIFS('24g'!$J$7:$J$100,'24g'!$H$7:$H$100,$A262,'24g'!$I$7:$I$100,"")+SUMIFS('24h'!$J$7:$J$100,'24h'!$H$7:$H$100,$A262,'24h'!$I$7:$I$100,"")+SUMIFS('24i'!$J$7:$J$100,'24i'!$H$7:$H$100,$A262,'24i'!$I$7:$I$100,"")+SUMIFS('25'!$J$7:$J$100,'25'!$H$7:$H$100,$A262,'25'!$I$7:$I$100,"")+SUMIFS('26'!$J$7:$J$100,'26'!$H$7:$H$100,$A262,'26'!$I$7:$I$100,"")+SUMIFS('26a'!$J$7:$J$100,'26a'!$H$7:$H$100,$A262,'26a'!$I$7:$I$100,"")+SUMIFS('27'!$J$7:$J$100,'27'!$H$7:$H$100,$A262,'27'!$I$7:$I$100,"")+SUMIFS('27a'!$J$7:$J$100,'27a'!$H$7:$H$100,$A262,'27a'!$I$7:$I$100,"")+SUMIFS('28'!$J$7:$J$100,'28'!$H$7:$H$100,$A262,'28'!$I$7:$I$100,"")+SUMIFS('29'!$J$7:$J$100,'29'!$H$7:$H$100,$A262,'29'!$I$7:$I$100,"")</f>
        <v>0</v>
      </c>
      <c r="J262" s="1296">
        <f t="shared" si="25"/>
        <v>0</v>
      </c>
      <c r="K262"/>
      <c r="L262"/>
      <c r="M262"/>
      <c r="N262"/>
      <c r="O262"/>
      <c r="P262"/>
      <c r="Q262"/>
      <c r="R262"/>
      <c r="S262" s="1307">
        <f t="shared" si="14"/>
        <v>0</v>
      </c>
      <c r="T262"/>
    </row>
    <row r="263" spans="1:20" x14ac:dyDescent="0.2">
      <c r="A263" t="s">
        <v>5177</v>
      </c>
      <c r="B263" t="s">
        <v>5505</v>
      </c>
      <c r="C263" s="1295">
        <f>SUMIFS('12'!$N$7:$N$100,'12'!$H$7:$H$100,$A263,'12'!$I$7:$I$100,1)+SUMIFS('13'!$N$7:$N$100,'13'!$H$7:$H$100,$A263,'13'!$I$7:$I$100,1)+SUMIFS('14'!$N$7:$N$100,'14'!$H$7:$H$100,$A263,'14'!$I$7:$I$100,1)+SUMIFS('15'!$N$7:$N$100,'15'!$H$7:$H$100,$A263,'15'!$I$7:$I$100,1)+SUMIFS('15a'!$N$7:$N$100,'15a'!$H$7:$H$100,$A263,'15a'!$I$7:$I$100,1)+SUMIFS('15b'!$N$7:$N$100,'15b'!$H$7:$H$100,$A263,'15b'!$I$7:$I$100,1)+SUMIFS('15c'!$N$7:$N$100,'15c'!$H$7:$H$100,$A263,'15c'!$I$7:$I$100,1)+SUMIFS('15d'!$N$7:$N$100,'15d'!$H$7:$H$100,$A263,'15d'!$I$7:$I$100,1)+SUMIFS('15e'!$N$7:$N$100,'15e'!$H$7:$H$100,$A263,'15e'!$I$7:$I$100,1)+SUMIFS('15f'!$N$7:$N$100,'15f'!$H$7:$H$100,$A263,'15f'!$I$7:$I$100,1)+SUMIFS('15g'!$N$7:$N$100,'15g'!$H$7:$H$100,$A263,'15g'!$I$7:$I$100,1)+SUMIFS('15h'!$N$7:$N$100,'15h'!$H$7:$H$100,$A263,'15h'!$I$7:$I$100,1)+SUMIFS('15i'!$N$7:$N$100,'15i'!$H$7:$H$100,$A263,'15i'!$I$7:$I$100,1)+SUMIFS('15j'!$N$7:$N$100,'15j'!$H$7:$H$100,$A263,'15j'!$I$7:$I$100,1)+SUMIFS('15k'!$N$7:$N$100,'15k'!$H$7:$H$100,$A263,'15k'!$I$7:$I$100,1)+SUMIFS('15l'!$N$7:$N$100,'15l'!$H$7:$H$100,$A263,'15l'!$I$7:$I$100,1)+SUMIFS('15m'!$N$7:$N$100,'15m'!$H$7:$H$100,$A263,'15m'!$I$7:$I$100,1)+SUMIFS('15n'!$N$7:$N$100,'15n'!$H$7:$H$100,$A263,'15n'!$I$7:$I$100,1)+SUMIFS('16'!$N$7:$N$100,'16'!$H$7:$H$100,$A263,'16'!$I$7:$I$100,1)+SUMIFS('16a'!$N$7:$N$100,'16a'!$H$7:$H$100,$A263,'16a'!$I$7:$I$100,1)+SUMIFS('17'!$N$7:$N$100,'17'!$H$7:$H$100,$A263,'17'!$I$7:$I$100,1)+SUMIFS('17a'!$N$7:$N$100,'17a'!$H$7:$H$100,$A263,'17a'!$I$7:$I$100,1)+SUMIFS('18'!$N$7:$N$100,'18'!$H$7:$H$100,$A263,'18'!$I$7:$I$100,1)+SUMIFS('18a'!$N$7:$N$100,'18a'!$H$7:$H$100,$A263,'18a'!$I$7:$I$100,1)
+SUMIFS('19'!$N$7:$N$100,'19'!$H$7:$H$100,$A263,'19'!$I$7:$I$100,1)+SUMIFS('20'!$N$7:$N$100,'20'!$H$7:$H$100,$A263,'20'!$I$7:$I$100,1)+SUMIFS('20a'!$N$7:$N$100,'20a'!$H$7:$H$100,$A263,'20a'!$I$7:$I$100,1)+SUMIFS('21'!$N$7:$N$100,'21'!$H$7:$H$100,$A263,'21'!$I$7:$I$100,1)+SUMIFS('22'!$N$7:$N$100,'22'!$H$7:$H$100,$A263,'22'!$I$7:$I$100,1)+SUMIFS('22a'!$N$7:$N$100,'22a'!$H$7:$H$100,$A263,'22a'!$I$7:$I$100,1)+SUMIFS('22b'!$N$7:$N$100,'22b'!$H$7:$H$100,$A263,'22b'!$I$7:$I$100,1)+SUMIFS('23'!$N$7:$N$100,'23'!$H$7:$H$100,$A263,'23'!$I$7:$I$100,1)+SUMIFS('24'!$N$7:$N$100,'24'!$H$7:$H$100,$A263,'24'!$I$7:$I$100,1)+SUMIFS('24a'!$N$7:$N$100,'24a'!$H$7:$H$100,$A263,'24a'!$I$7:$I$100,1)+SUMIFS('24b'!$N$7:$N$100,'24b'!$H$7:$H$100,$A263,'24b'!$I$7:$I$100,1)+SUMIFS('24c'!$N$7:$N$100,'24c'!$H$7:$H$100,$A263,'24c'!$I$7:$I$100,1)+SUMIFS('24d'!$N$7:$N$100,'24d'!$H$7:$H$100,$A263,'24d'!$I$7:$I$100,1)+SUMIFS('24e'!$N$7:$N$100,'24e'!$H$7:$H$100,$A263,'24e'!$I$7:$I$100,1)+SUMIFS('24f'!$N$7:$N$100,'24f'!$H$7:$H$100,$A263,'24f'!$I$7:$I$100,1)+SUMIFS('24g'!$N$7:$N$100,'24g'!$H$7:$H$100,$A263,'24g'!$I$7:$I$100,1)+SUMIFS('24h'!$N$7:$N$100,'24h'!$H$7:$H$100,$A263,'24h'!$I$7:$I$100,1)+SUMIFS('24i'!$N$7:$N$100,'24i'!$H$7:$H$100,$A263,'24i'!$I$7:$I$100,1)+SUMIFS('25'!$N$7:$N$100,'25'!$H$7:$H$100,$A263,'25'!$I$7:$I$100,1)+SUMIFS('26'!$N$7:$N$100,'26'!$H$7:$H$100,$A263,'26'!$I$7:$I$100,1)+SUMIFS('26a'!$N$7:$N$100,'26a'!$H$7:$H$100,$A263,'26a'!$I$7:$I$100,1)+SUMIFS('27'!$N$7:$N$100,'27'!$H$7:$H$100,$A263,'27'!$I$7:$I$100,1)+SUMIFS('27a'!$N$7:$N$100,'27a'!$H$7:$H$100,$A263,'27a'!$I$7:$I$100,1)+SUMIFS('28'!$N$7:$N$100,'28'!$H$7:$H$100,$A263,'28'!$I$7:$I$100,1)+SUMIFS('29'!$N$7:$N$100,'29'!$H$7:$H$100,$A263,'29'!$I$7:$I$100,1)</f>
        <v>0</v>
      </c>
      <c r="D263" s="1315">
        <f>SUMIFS('12'!$N$7:$N$100,'12'!$H$7:$H$100,$A263,'12'!$I$7:$I$100,2)+SUMIFS('13'!$N$7:$N$100,'13'!$H$7:$H$100,$A263,'13'!$I$7:$I$100,2)+SUMIFS('14'!$N$7:$N$100,'14'!$H$7:$H$100,$A263,'14'!$I$7:$I$100,2)+SUMIFS('15'!$N$7:$N$100,'15'!$H$7:$H$100,$A263,'15'!$I$7:$I$100,2)+SUMIFS('15a'!$N$7:$N$100,'15a'!$H$7:$H$100,$A263,'15a'!$I$7:$I$100,2)+SUMIFS('15b'!$N$7:$N$100,'15b'!$H$7:$H$100,$A263,'15b'!$I$7:$I$100,2)+SUMIFS('15c'!$N$7:$N$100,'15c'!$H$7:$H$100,$A263,'15c'!$I$7:$I$100,2)+SUMIFS('15d'!$N$7:$N$100,'15d'!$H$7:$H$100,$A263,'15d'!$I$7:$I$100,2)+SUMIFS('15e'!$N$7:$N$100,'15e'!$H$7:$H$100,$A263,'15e'!$I$7:$I$100,2)+SUMIFS('15f'!$N$7:$N$100,'15f'!$H$7:$H$100,$A263,'15f'!$I$7:$I$100,2)+SUMIFS('15g'!$N$7:$N$100,'15g'!$H$7:$H$100,$A263,'15g'!$I$7:$I$100,2)+SUMIFS('15h'!$N$7:$N$100,'15h'!$H$7:$H$100,$A263,'15h'!$I$7:$I$100,2)+SUMIFS('15i'!$N$7:$N$100,'15i'!$H$7:$H$100,$A263,'15i'!$I$7:$I$100,2)+SUMIFS('15j'!$N$7:$N$100,'15j'!$H$7:$H$100,$A263,'15j'!$I$7:$I$100,2)+SUMIFS('15k'!$N$7:$N$100,'15k'!$H$7:$H$100,$A263,'15k'!$I$7:$I$100,2)+SUMIFS('15l'!$N$7:$N$100,'15l'!$H$7:$H$100,$A263,'15l'!$I$7:$I$100,2)+SUMIFS('15m'!$N$7:$N$100,'15m'!$H$7:$H$100,$A263,'15m'!$I$7:$I$100,2)+SUMIFS('15n'!$N$7:$N$100,'15n'!$H$7:$H$100,$A263,'15n'!$I$7:$I$100,2)+SUMIFS('16'!$N$7:$N$100,'16'!$H$7:$H$100,$A263,'16'!$I$7:$I$100,2)+SUMIFS('16a'!$N$7:$N$100,'16a'!$H$7:$H$100,$A263,'16a'!$I$7:$I$100,2)+SUMIFS('17'!$N$7:$N$100,'17'!$H$7:$H$100,$A263,'17'!$I$7:$I$100,2)+SUMIFS('17a'!$N$7:$N$100,'17a'!$H$7:$H$100,$A263,'17a'!$I$7:$I$100,2)+SUMIFS('18'!$N$7:$N$100,'18'!$H$7:$H$100,$A263,'18'!$I$7:$I$100,2)+SUMIFS('18a'!$N$7:$N$100,'18a'!$H$7:$H$100,$A263,'18a'!$I$7:$I$100,2)
+SUMIFS('19'!$N$7:$N$100,'19'!$H$7:$H$100,$A263,'19'!$I$7:$I$100,2)+SUMIFS('20'!$N$7:$N$100,'20'!$H$7:$H$100,$A263,'20'!$I$7:$I$100,2)+SUMIFS('20a'!$N$7:$N$100,'20a'!$H$7:$H$100,$A263,'20a'!$I$7:$I$100,2)+SUMIFS('21'!$N$7:$N$100,'21'!$H$7:$H$100,$A263,'21'!$I$7:$I$100,2)+SUMIFS('22'!$N$7:$N$100,'22'!$H$7:$H$100,$A263,'22'!$I$7:$I$100,2)+SUMIFS('22a'!$N$7:$N$100,'22a'!$H$7:$H$100,$A263,'22a'!$I$7:$I$100,2)+SUMIFS('22b'!$N$7:$N$100,'22b'!$H$7:$H$100,$A263,'22b'!$I$7:$I$100,2)+SUMIFS('23'!$N$7:$N$100,'23'!$H$7:$H$100,$A263,'23'!$I$7:$I$100,2)+SUMIFS('24'!$N$7:$N$100,'24'!$H$7:$H$100,$A263,'24'!$I$7:$I$100,2)+SUMIFS('24a'!$N$7:$N$100,'24a'!$H$7:$H$100,$A263,'24a'!$I$7:$I$100,2)+SUMIFS('24b'!$N$7:$N$100,'24b'!$H$7:$H$100,$A263,'24b'!$I$7:$I$100,2)+SUMIFS('24c'!$N$7:$N$100,'24c'!$H$7:$H$100,$A263,'24c'!$I$7:$I$100,2)+SUMIFS('24d'!$N$7:$N$100,'24d'!$H$7:$H$100,$A263,'24d'!$I$7:$I$100,2)+SUMIFS('24e'!$N$7:$N$100,'24e'!$H$7:$H$100,$A263,'24e'!$I$7:$I$100,2)+SUMIFS('24f'!$N$7:$N$100,'24f'!$H$7:$H$100,$A263,'24f'!$I$7:$I$100,2)+SUMIFS('24g'!$N$7:$N$100,'24g'!$H$7:$H$100,$A263,'24g'!$I$7:$I$100,2)+SUMIFS('24h'!$N$7:$N$100,'24h'!$H$7:$H$100,$A263,'24h'!$I$7:$I$100,2)+SUMIFS('24i'!$N$7:$N$100,'24i'!$H$7:$H$100,$A263,'24i'!$I$7:$I$100,2)+SUMIFS('25'!$N$7:$N$100,'25'!$H$7:$H$100,$A263,'25'!$I$7:$I$100,2)+SUMIFS('26'!$N$7:$N$100,'26'!$H$7:$H$100,$A263,'26'!$I$7:$I$100,2)+SUMIFS('26a'!$N$7:$N$100,'26a'!$H$7:$H$100,$A263,'26a'!$I$7:$I$100,2)+SUMIFS('27'!$N$7:$N$100,'27'!$H$7:$H$100,$A263,'27'!$I$7:$I$100,2)+SUMIFS('27a'!$N$7:$N$100,'27a'!$H$7:$H$100,$A263,'27a'!$I$7:$I$100,2)+SUMIFS('28'!$N$7:$N$100,'28'!$H$7:$H$100,$A263,'28'!$I$7:$I$100,2)+SUMIFS('29'!$N$7:$N$100,'29'!$H$7:$H$100,$A263,'29'!$I$7:$I$100,2)</f>
        <v>15545.03</v>
      </c>
      <c r="E263" s="1315">
        <f>SUMIFS('12'!$N$7:$N$100,'12'!$H$7:$H$100,$A263,'12'!$I$7:$I$100,"")+SUMIFS('13'!$N$7:$N$100,'13'!$H$7:$H$100,$A263,'13'!$I$7:$I$100,"")+SUMIFS('14'!$N$7:$N$100,'14'!$H$7:$H$100,$A263,'14'!$I$7:$I$100,"")+SUMIFS('15'!$N$7:$N$100,'15'!$H$7:$H$100,$A263,'15'!$I$7:$I$100,"")+SUMIFS('15a'!$N$7:$N$100,'15a'!$H$7:$H$100,$A263,'15a'!$I$7:$I$100,"")+SUMIFS('15b'!$N$7:$N$100,'15b'!$H$7:$H$100,$A263,'15b'!$I$7:$I$100,"")+SUMIFS('15c'!$N$7:$N$100,'15c'!$H$7:$H$100,$A263,'15c'!$I$7:$I$100,"")+SUMIFS('15d'!$N$7:$N$100,'15d'!$H$7:$H$100,$A263,'15d'!$I$7:$I$100,"")+SUMIFS('15e'!$N$7:$N$100,'15e'!$H$7:$H$100,$A263,'15e'!$I$7:$I$100,"")+SUMIFS('15f'!$N$7:$N$100,'15f'!$H$7:$H$100,$A263,'15f'!$I$7:$I$100,"")+SUMIFS('15g'!$N$7:$N$100,'15g'!$H$7:$H$100,$A263,'15g'!$I$7:$I$100,"")+SUMIFS('15h'!$N$7:$N$100,'15h'!$H$7:$H$100,$A263,'15h'!$I$7:$I$100,"")+SUMIFS('15i'!$N$7:$N$100,'15i'!$H$7:$H$100,$A263,'15i'!$I$7:$I$100,"")+SUMIFS('15j'!$N$7:$N$100,'15j'!$H$7:$H$100,$A263,'15j'!$I$7:$I$100,"")+SUMIFS('15k'!$N$7:$N$100,'15k'!$H$7:$H$100,$A263,'15k'!$I$7:$I$100,"")+SUMIFS('15l'!$N$7:$N$100,'15l'!$H$7:$H$100,$A263,'15l'!$I$7:$I$100,"")+SUMIFS('15m'!$N$7:$N$100,'15m'!$H$7:$H$100,$A263,'15m'!$I$7:$I$100,"")+SUMIFS('15n'!$N$7:$N$100,'15n'!$H$7:$H$100,$A263,'15n'!$I$7:$I$100,"")+SUMIFS('16'!$N$7:$N$100,'16'!$H$7:$H$100,$A263,'16'!$I$7:$I$100,"")+SUMIFS('16a'!$N$7:$N$100,'16a'!$H$7:$H$100,$A263,'16a'!$I$7:$I$100,"")+SUMIFS('17'!$N$7:$N$100,'17'!$H$7:$H$100,$A263,'17'!$I$7:$I$100,"")+SUMIFS('17a'!$N$7:$N$100,'17a'!$H$7:$H$100,$A263,'17a'!$I$7:$I$100,"")+SUMIFS('18'!$N$7:$N$100,'18'!$H$7:$H$100,$A263,'18'!$I$7:$I$100,"")+SUMIFS('18a'!$N$7:$N$100,'18a'!$H$7:$H$100,$A263,'18a'!$I$7:$I$100,"")
+SUMIFS('19'!$N$7:$N$100,'19'!$H$7:$H$100,$A263,'19'!$I$7:$I$100,"")+SUMIFS('20'!$N$7:$N$100,'20'!$H$7:$H$100,$A263,'20'!$I$7:$I$100,"")+SUMIFS('20a'!$N$7:$N$100,'20a'!$H$7:$H$100,$A263,'20a'!$I$7:$I$100,"")+SUMIFS('21'!$N$7:$N$100,'21'!$H$7:$H$100,$A263,'21'!$I$7:$I$100,"")+SUMIFS('22'!$N$7:$N$100,'22'!$H$7:$H$100,$A263,'22'!$I$7:$I$100,"")+SUMIFS('22a'!$N$7:$N$100,'22a'!$H$7:$H$100,$A263,'22a'!$I$7:$I$100,"")+SUMIFS('22b'!$N$7:$N$100,'22b'!$H$7:$H$100,$A263,'22b'!$I$7:$I$100,"")+SUMIFS('23'!$N$7:$N$100,'23'!$H$7:$H$100,$A263,'23'!$I$7:$I$100,"")+SUMIFS('24'!$N$7:$N$100,'24'!$H$7:$H$100,$A263,'24'!$I$7:$I$100,"")+SUMIFS('24a'!$N$7:$N$100,'24a'!$H$7:$H$100,$A263,'24a'!$I$7:$I$100,"")+SUMIFS('24b'!$N$7:$N$100,'24b'!$H$7:$H$100,$A263,'24b'!$I$7:$I$100,"")+SUMIFS('24c'!$N$7:$N$100,'24c'!$H$7:$H$100,$A263,'24c'!$I$7:$I$100,"")+SUMIFS('24d'!$N$7:$N$100,'24d'!$H$7:$H$100,$A263,'24d'!$I$7:$I$100,"")+SUMIFS('24e'!$N$7:$N$100,'24e'!$H$7:$H$100,$A263,'24e'!$I$7:$I$100,"")+SUMIFS('24f'!$N$7:$N$100,'24f'!$H$7:$H$100,$A263,'24f'!$I$7:$I$100,"")+SUMIFS('24g'!$N$7:$N$100,'24g'!$H$7:$H$100,$A263,'24g'!$I$7:$I$100,"")+SUMIFS('24h'!$N$7:$N$100,'24h'!$H$7:$H$100,$A263,'24h'!$I$7:$I$100,"")+SUMIFS('24i'!$N$7:$N$100,'24i'!$H$7:$H$100,$A263,'24i'!$I$7:$I$100,"")+SUMIFS('25'!$N$7:$N$100,'25'!$H$7:$H$100,$A263,'25'!$I$7:$I$100,"")+SUMIFS('26'!$N$7:$N$100,'26'!$H$7:$H$100,$A263,'26'!$I$7:$I$100,"")+SUMIFS('26a'!$N$7:$N$100,'26a'!$H$7:$H$100,$A263,'26a'!$I$7:$I$100,"")+SUMIFS('27'!$N$7:$N$100,'27'!$H$7:$H$100,$A263,'27'!$I$7:$I$100,"")+SUMIFS('27a'!$N$7:$N$100,'27a'!$H$7:$H$100,$A263,'27a'!$I$7:$I$100,"")+SUMIFS('28'!$N$7:$N$100,'28'!$H$7:$H$100,$A263,'28'!$I$7:$I$100,"")+SUMIFS('29'!$N$7:$N$100,'29'!$H$7:$H$100,$A263,'29'!$I$7:$I$100,"")</f>
        <v>0</v>
      </c>
      <c r="F263" s="1296">
        <f t="shared" si="24"/>
        <v>15545.03</v>
      </c>
      <c r="G263" s="1295">
        <f>SUMIFS('12'!$J$7:$J$100,'12'!$H$7:$H$100,$A263,'12'!$I$7:$I$100,1)+SUMIFS('13'!$J$7:$J$100,'13'!$H$7:$H$100,$A263,'13'!$I$7:$I$100,1)+SUMIFS('14'!$J$7:$J$100,'14'!$H$7:$H$100,$A263,'14'!$I$7:$I$100,1)+SUMIFS('15'!$J$7:$J$100,'15'!$H$7:$H$100,$A263,'15'!$I$7:$I$100,1)+SUMIFS('15a'!$J$7:$J$100,'15a'!$H$7:$H$100,$A263,'15a'!$I$7:$I$100,1)+SUMIFS('15b'!$J$7:$J$100,'15b'!$H$7:$H$100,$A263,'15b'!$I$7:$I$100,1)+SUMIFS('15c'!$J$7:$J$100,'15c'!$H$7:$H$100,$A263,'15c'!$I$7:$I$100,1)+SUMIFS('15d'!$J$7:$J$100,'15d'!$H$7:$H$100,$A263,'15d'!$I$7:$I$100,1)+SUMIFS('15e'!$J$7:$J$100,'15e'!$H$7:$H$100,$A263,'15e'!$I$7:$I$100,1)+SUMIFS('15f'!$J$7:$J$100,'15f'!$H$7:$H$100,$A263,'15f'!$I$7:$I$100,1)+SUMIFS('15g'!$J$7:$J$100,'15g'!$H$7:$H$100,$A263,'15g'!$I$7:$I$100,1)+SUMIFS('15h'!$J$7:$J$100,'15h'!$H$7:$H$100,$A263,'15h'!$I$7:$I$100,1)+SUMIFS('15i'!$J$7:$J$100,'15i'!$H$7:$H$100,$A263,'15i'!$I$7:$I$100,1)+SUMIFS('15j'!$J$7:$J$100,'15j'!$H$7:$H$100,$A263,'15j'!$I$7:$I$100,1)+SUMIFS('15k'!$J$7:$J$100,'15k'!$H$7:$H$100,$A263,'15k'!$I$7:$I$100,1)+SUMIFS('15l'!$J$7:$J$100,'15l'!$H$7:$H$100,$A263,'15l'!$I$7:$I$100,1)+SUMIFS('15m'!$J$7:$J$100,'15m'!$H$7:$H$100,$A263,'15m'!$I$7:$I$100,1)+SUMIFS('15n'!$J$7:$J$100,'15n'!$H$7:$H$100,$A263,'15n'!$I$7:$I$100,1)+SUMIFS('16'!$J$7:$J$100,'16'!$H$7:$H$100,$A263,'16'!$I$7:$I$100,1)+SUMIFS('16a'!$J$7:$J$100,'16a'!$H$7:$H$100,$A263,'16a'!$I$7:$I$100,1)+SUMIFS('17'!$J$7:$J$100,'17'!$H$7:$H$100,$A263,'17'!$I$7:$I$100,1)+SUMIFS('17a'!$J$7:$J$100,'17a'!$H$7:$H$100,$A263,'17a'!$I$7:$I$100,1)+SUMIFS('18'!$J$7:$J$100,'18'!$H$7:$H$100,$A263,'18'!$I$7:$I$100,1)+SUMIFS('18a'!$J$7:$J$100,'18a'!$H$7:$H$100,$A263,'18a'!$I$7:$I$100,1)
+SUMIFS('19'!$J$7:$J$100,'19'!$H$7:$H$100,$A263,'19'!$I$7:$I$100,1)+SUMIFS('20'!$J$7:$J$100,'20'!$H$7:$H$100,$A263,'20'!$I$7:$I$100,1)+SUMIFS('20a'!$J$7:$J$100,'20a'!$H$7:$H$100,$A263,'20a'!$I$7:$I$100,1)+SUMIFS('21'!$J$7:$J$100,'21'!$H$7:$H$100,$A263,'21'!$I$7:$I$100,1)+SUMIFS('22'!$J$7:$J$100,'22'!$H$7:$H$100,$A263,'22'!$I$7:$I$100,1)+SUMIFS('22a'!$J$7:$J$100,'22a'!$H$7:$H$100,$A263,'22a'!$I$7:$I$100,1)+SUMIFS('22b'!$J$7:$J$100,'22b'!$H$7:$H$100,$A263,'22b'!$I$7:$I$100,1)+SUMIFS('23'!$J$7:$J$100,'23'!$H$7:$H$100,$A263,'23'!$I$7:$I$100,1)+SUMIFS('24'!$J$7:$J$100,'24'!$H$7:$H$100,$A263,'24'!$I$7:$I$100,1)+SUMIFS('24a'!$J$7:$J$100,'24a'!$H$7:$H$100,$A263,'24a'!$I$7:$I$100,1)+SUMIFS('24b'!$J$7:$J$100,'24b'!$H$7:$H$100,$A263,'24b'!$I$7:$I$100,1)+SUMIFS('24c'!$J$7:$J$100,'24c'!$H$7:$H$100,$A263,'24c'!$I$7:$I$100,1)+SUMIFS('24d'!$J$7:$J$100,'24d'!$H$7:$H$100,$A263,'24d'!$I$7:$I$100,1)+SUMIFS('24e'!$J$7:$J$100,'24e'!$H$7:$H$100,$A263,'24e'!$I$7:$I$100,1)+SUMIFS('24f'!$J$7:$J$100,'24f'!$H$7:$H$100,$A263,'24f'!$I$7:$I$100,1)+SUMIFS('24g'!$J$7:$J$100,'24g'!$H$7:$H$100,$A263,'24g'!$I$7:$I$100,1)+SUMIFS('24h'!$J$7:$J$100,'24h'!$H$7:$H$100,$A263,'24h'!$I$7:$I$100,1)+SUMIFS('24i'!$J$7:$J$100,'24i'!$H$7:$H$100,$A263,'24i'!$I$7:$I$100,1)+SUMIFS('25'!$J$7:$J$100,'25'!$H$7:$H$100,$A263,'25'!$I$7:$I$100,1)+SUMIFS('26'!$J$7:$J$100,'26'!$H$7:$H$100,$A263,'26'!$I$7:$I$100,1)+SUMIFS('26a'!$J$7:$J$100,'26a'!$H$7:$H$100,$A263,'26a'!$I$7:$I$100,1)+SUMIFS('27'!$J$7:$J$100,'27'!$H$7:$H$100,$A263,'27'!$I$7:$I$100,1)+SUMIFS('27a'!$J$7:$J$100,'27a'!$H$7:$H$100,$A263,'27a'!$I$7:$I$100,1)+SUMIFS('28'!$J$7:$J$100,'28'!$H$7:$H$100,$A263,'28'!$I$7:$I$100,1)+SUMIFS('29'!$J$7:$J$100,'29'!$H$7:$H$100,$A263,'29'!$I$7:$I$100,1)</f>
        <v>100</v>
      </c>
      <c r="H263" s="1315">
        <f>SUMIFS('12'!$J$7:$J$100,'12'!$H$7:$H$100,$A263,'12'!$I$7:$I$100,2)+SUMIFS('13'!$J$7:$J$100,'13'!$H$7:$H$100,$A263,'13'!$I$7:$I$100,2)+SUMIFS('14'!$J$7:$J$100,'14'!$H$7:$H$100,$A263,'14'!$I$7:$I$100,2)+SUMIFS('15'!$J$7:$J$100,'15'!$H$7:$H$100,$A263,'15'!$I$7:$I$100,2)+SUMIFS('15a'!$J$7:$J$100,'15a'!$H$7:$H$100,$A263,'15a'!$I$7:$I$100,2)+SUMIFS('15b'!$J$7:$J$100,'15b'!$H$7:$H$100,$A263,'15b'!$I$7:$I$100,2)+SUMIFS('15c'!$J$7:$J$100,'15c'!$H$7:$H$100,$A263,'15c'!$I$7:$I$100,2)+SUMIFS('15d'!$J$7:$J$100,'15d'!$H$7:$H$100,$A263,'15d'!$I$7:$I$100,2)+SUMIFS('15e'!$J$7:$J$100,'15e'!$H$7:$H$100,$A263,'15e'!$I$7:$I$100,2)+SUMIFS('15f'!$J$7:$J$100,'15f'!$H$7:$H$100,$A263,'15f'!$I$7:$I$100,2)+SUMIFS('15g'!$J$7:$J$100,'15g'!$H$7:$H$100,$A263,'15g'!$I$7:$I$100,2)+SUMIFS('15h'!$J$7:$J$100,'15h'!$H$7:$H$100,$A263,'15h'!$I$7:$I$100,2)+SUMIFS('15i'!$J$7:$J$100,'15i'!$H$7:$H$100,$A263,'15i'!$I$7:$I$100,2)+SUMIFS('15j'!$J$7:$J$100,'15j'!$H$7:$H$100,$A263,'15j'!$I$7:$I$100,2)+SUMIFS('15k'!$J$7:$J$100,'15k'!$H$7:$H$100,$A263,'15k'!$I$7:$I$100,2)+SUMIFS('15l'!$J$7:$J$100,'15l'!$H$7:$H$100,$A263,'15l'!$I$7:$I$100,2)+SUMIFS('15m'!$J$7:$J$100,'15m'!$H$7:$H$100,$A263,'15m'!$I$7:$I$100,2)+SUMIFS('15n'!$J$7:$J$100,'15n'!$H$7:$H$100,$A263,'15n'!$I$7:$I$100,2)+SUMIFS('16'!$J$7:$J$100,'16'!$H$7:$H$100,$A263,'16'!$I$7:$I$100,2)+SUMIFS('16a'!$J$7:$J$100,'16a'!$H$7:$H$100,$A263,'16a'!$I$7:$I$100,2)+SUMIFS('17'!$J$7:$J$100,'17'!$H$7:$H$100,$A263,'17'!$I$7:$I$100,2)+SUMIFS('17a'!$J$7:$J$100,'17a'!$H$7:$H$100,$A263,'17a'!$I$7:$I$100,2)+SUMIFS('18'!$J$7:$J$100,'18'!$H$7:$H$100,$A263,'18'!$I$7:$I$100,2)+SUMIFS('18a'!$J$7:$J$100,'18a'!$H$7:$H$100,$A263,'18a'!$I$7:$I$100,2)
+SUMIFS('19'!$J$7:$J$100,'19'!$H$7:$H$100,$A263,'19'!$I$7:$I$100,2)+SUMIFS('20'!$J$7:$J$100,'20'!$H$7:$H$100,$A263,'20'!$I$7:$I$100,2)+SUMIFS('20a'!$J$7:$J$100,'20a'!$H$7:$H$100,$A263,'20a'!$I$7:$I$100,2)+SUMIFS('21'!$J$7:$J$100,'21'!$H$7:$H$100,$A263,'21'!$I$7:$I$100,2)+SUMIFS('22'!$J$7:$J$100,'22'!$H$7:$H$100,$A263,'22'!$I$7:$I$100,2)+SUMIFS('22a'!$J$7:$J$100,'22a'!$H$7:$H$100,$A263,'22a'!$I$7:$I$100,2)+SUMIFS('22b'!$J$7:$J$100,'22b'!$H$7:$H$100,$A263,'22b'!$I$7:$I$100,2)+SUMIFS('23'!$J$7:$J$100,'23'!$H$7:$H$100,$A263,'23'!$I$7:$I$100,2)+SUMIFS('24'!$J$7:$J$100,'24'!$H$7:$H$100,$A263,'24'!$I$7:$I$100,2)+SUMIFS('24a'!$J$7:$J$100,'24a'!$H$7:$H$100,$A263,'24a'!$I$7:$I$100,2)+SUMIFS('24b'!$J$7:$J$100,'24b'!$H$7:$H$100,$A263,'24b'!$I$7:$I$100,2)+SUMIFS('24c'!$J$7:$J$100,'24c'!$H$7:$H$100,$A263,'24c'!$I$7:$I$100,2)+SUMIFS('24d'!$J$7:$J$100,'24d'!$H$7:$H$100,$A263,'24d'!$I$7:$I$100,2)+SUMIFS('24e'!$J$7:$J$100,'24e'!$H$7:$H$100,$A263,'24e'!$I$7:$I$100,2)+SUMIFS('24f'!$J$7:$J$100,'24f'!$H$7:$H$100,$A263,'24f'!$I$7:$I$100,2)+SUMIFS('24g'!$J$7:$J$100,'24g'!$H$7:$H$100,$A263,'24g'!$I$7:$I$100,2)+SUMIFS('24h'!$J$7:$J$100,'24h'!$H$7:$H$100,$A263,'24h'!$I$7:$I$100,2)+SUMIFS('24i'!$J$7:$J$100,'24i'!$H$7:$H$100,$A263,'24i'!$I$7:$I$100,2)+SUMIFS('25'!$J$7:$J$100,'25'!$H$7:$H$100,$A263,'25'!$I$7:$I$100,2)+SUMIFS('26'!$J$7:$J$100,'26'!$H$7:$H$100,$A263,'26'!$I$7:$I$100,2)+SUMIFS('26a'!$J$7:$J$100,'26a'!$H$7:$H$100,$A263,'26a'!$I$7:$I$100,2)+SUMIFS('27'!$J$7:$J$100,'27'!$H$7:$H$100,$A263,'27'!$I$7:$I$100,2)+SUMIFS('27a'!$J$7:$J$100,'27a'!$H$7:$H$100,$A263,'27a'!$I$7:$I$100,2)+SUMIFS('28'!$J$7:$J$100,'28'!$H$7:$H$100,$A263,'28'!$I$7:$I$100,2)+SUMIFS('29'!$J$7:$J$100,'29'!$H$7:$H$100,$A263,'29'!$I$7:$I$100,2)</f>
        <v>20000</v>
      </c>
      <c r="I263" s="1315">
        <f>SUMIFS('12'!$J$7:$J$100,'12'!$H$7:$H$100,$A263,'12'!$I$7:$I$100,"")+SUMIFS('13'!$J$7:$J$100,'13'!$H$7:$H$100,$A263,'13'!$I$7:$I$100,"")+SUMIFS('14'!$J$7:$J$100,'14'!$H$7:$H$100,$A263,'14'!$I$7:$I$100,"")+SUMIFS('15'!$J$7:$J$100,'15'!$H$7:$H$100,$A263,'15'!$I$7:$I$100,"")+SUMIFS('15a'!$J$7:$J$100,'15a'!$H$7:$H$100,$A263,'15a'!$I$7:$I$100,"")+SUMIFS('15b'!$J$7:$J$100,'15b'!$H$7:$H$100,$A263,'15b'!$I$7:$I$100,"")+SUMIFS('15c'!$J$7:$J$100,'15c'!$H$7:$H$100,$A263,'15c'!$I$7:$I$100,"")+SUMIFS('15d'!$J$7:$J$100,'15d'!$H$7:$H$100,$A263,'15d'!$I$7:$I$100,"")+SUMIFS('15e'!$J$7:$J$100,'15e'!$H$7:$H$100,$A263,'15e'!$I$7:$I$100,"")+SUMIFS('15f'!$J$7:$J$100,'15f'!$H$7:$H$100,$A263,'15f'!$I$7:$I$100,"")+SUMIFS('15g'!$J$7:$J$100,'15g'!$H$7:$H$100,$A263,'15g'!$I$7:$I$100,"")+SUMIFS('15h'!$J$7:$J$100,'15h'!$H$7:$H$100,$A263,'15h'!$I$7:$I$100,"")+SUMIFS('15i'!$J$7:$J$100,'15i'!$H$7:$H$100,$A263,'15i'!$I$7:$I$100,"")+SUMIFS('15j'!$J$7:$J$100,'15j'!$H$7:$H$100,$A263,'15j'!$I$7:$I$100,"")+SUMIFS('15k'!$J$7:$J$100,'15k'!$H$7:$H$100,$A263,'15k'!$I$7:$I$100,"")+SUMIFS('15l'!$J$7:$J$100,'15l'!$H$7:$H$100,$A263,'15l'!$I$7:$I$100,"")+SUMIFS('15m'!$J$7:$J$100,'15m'!$H$7:$H$100,$A263,'15m'!$I$7:$I$100,"")+SUMIFS('15n'!$J$7:$J$100,'15n'!$H$7:$H$100,$A263,'15n'!$I$7:$I$100,"")+SUMIFS('16'!$J$7:$J$100,'16'!$H$7:$H$100,$A263,'16'!$I$7:$I$100,"")+SUMIFS('16a'!$J$7:$J$100,'16a'!$H$7:$H$100,$A263,'16a'!$I$7:$I$100,"")+SUMIFS('17'!$J$7:$J$100,'17'!$H$7:$H$100,$A263,'17'!$I$7:$I$100,"")+SUMIFS('17a'!$J$7:$J$100,'17a'!$H$7:$H$100,$A263,'17a'!$I$7:$I$100,"")+SUMIFS('18'!$J$7:$J$100,'18'!$H$7:$H$100,$A263,'18'!$I$7:$I$100,"")+SUMIFS('18a'!$J$7:$J$100,'18a'!$H$7:$H$100,$A263,'18a'!$I$7:$I$100,"")
+SUMIFS('19'!$J$7:$J$100,'19'!$H$7:$H$100,$A263,'19'!$I$7:$I$100,"")+SUMIFS('20'!$J$7:$J$100,'20'!$H$7:$H$100,$A263,'20'!$I$7:$I$100,"")+SUMIFS('20a'!$J$7:$J$100,'20a'!$H$7:$H$100,$A263,'20a'!$I$7:$I$100,"")+SUMIFS('21'!$J$7:$J$100,'21'!$H$7:$H$100,$A263,'21'!$I$7:$I$100,"")+SUMIFS('22'!$J$7:$J$100,'22'!$H$7:$H$100,$A263,'22'!$I$7:$I$100,"")+SUMIFS('22a'!$J$7:$J$100,'22a'!$H$7:$H$100,$A263,'22a'!$I$7:$I$100,"")+SUMIFS('22b'!$J$7:$J$100,'22b'!$H$7:$H$100,$A263,'22b'!$I$7:$I$100,"")+SUMIFS('23'!$J$7:$J$100,'23'!$H$7:$H$100,$A263,'23'!$I$7:$I$100,"")+SUMIFS('24'!$J$7:$J$100,'24'!$H$7:$H$100,$A263,'24'!$I$7:$I$100,"")+SUMIFS('24a'!$J$7:$J$100,'24a'!$H$7:$H$100,$A263,'24a'!$I$7:$I$100,"")+SUMIFS('24b'!$J$7:$J$100,'24b'!$H$7:$H$100,$A263,'24b'!$I$7:$I$100,"")+SUMIFS('24c'!$J$7:$J$100,'24c'!$H$7:$H$100,$A263,'24c'!$I$7:$I$100,"")+SUMIFS('24d'!$J$7:$J$100,'24d'!$H$7:$H$100,$A263,'24d'!$I$7:$I$100,"")+SUMIFS('24e'!$J$7:$J$100,'24e'!$H$7:$H$100,$A263,'24e'!$I$7:$I$100,"")+SUMIFS('24f'!$J$7:$J$100,'24f'!$H$7:$H$100,$A263,'24f'!$I$7:$I$100,"")+SUMIFS('24g'!$J$7:$J$100,'24g'!$H$7:$H$100,$A263,'24g'!$I$7:$I$100,"")+SUMIFS('24h'!$J$7:$J$100,'24h'!$H$7:$H$100,$A263,'24h'!$I$7:$I$100,"")+SUMIFS('24i'!$J$7:$J$100,'24i'!$H$7:$H$100,$A263,'24i'!$I$7:$I$100,"")+SUMIFS('25'!$J$7:$J$100,'25'!$H$7:$H$100,$A263,'25'!$I$7:$I$100,"")+SUMIFS('26'!$J$7:$J$100,'26'!$H$7:$H$100,$A263,'26'!$I$7:$I$100,"")+SUMIFS('26a'!$J$7:$J$100,'26a'!$H$7:$H$100,$A263,'26a'!$I$7:$I$100,"")+SUMIFS('27'!$J$7:$J$100,'27'!$H$7:$H$100,$A263,'27'!$I$7:$I$100,"")+SUMIFS('27a'!$J$7:$J$100,'27a'!$H$7:$H$100,$A263,'27a'!$I$7:$I$100,"")+SUMIFS('28'!$J$7:$J$100,'28'!$H$7:$H$100,$A263,'28'!$I$7:$I$100,"")+SUMIFS('29'!$J$7:$J$100,'29'!$H$7:$H$100,$A263,'29'!$I$7:$I$100,"")</f>
        <v>0</v>
      </c>
      <c r="J263" s="1296">
        <f t="shared" si="25"/>
        <v>20100</v>
      </c>
      <c r="K263"/>
      <c r="L263"/>
      <c r="M263"/>
      <c r="N263"/>
      <c r="O263"/>
      <c r="P263"/>
      <c r="Q263"/>
      <c r="R263"/>
      <c r="S263" s="1307">
        <f t="shared" si="14"/>
        <v>71290.06</v>
      </c>
      <c r="T263"/>
    </row>
    <row r="264" spans="1:20" x14ac:dyDescent="0.2">
      <c r="A264" t="s">
        <v>5178</v>
      </c>
      <c r="B264" t="s">
        <v>5506</v>
      </c>
      <c r="C264" s="1295">
        <f>SUMIFS('12'!$N$7:$N$100,'12'!$H$7:$H$100,$A264,'12'!$I$7:$I$100,1)+SUMIFS('13'!$N$7:$N$100,'13'!$H$7:$H$100,$A264,'13'!$I$7:$I$100,1)+SUMIFS('14'!$N$7:$N$100,'14'!$H$7:$H$100,$A264,'14'!$I$7:$I$100,1)+SUMIFS('15'!$N$7:$N$100,'15'!$H$7:$H$100,$A264,'15'!$I$7:$I$100,1)+SUMIFS('15a'!$N$7:$N$100,'15a'!$H$7:$H$100,$A264,'15a'!$I$7:$I$100,1)+SUMIFS('15b'!$N$7:$N$100,'15b'!$H$7:$H$100,$A264,'15b'!$I$7:$I$100,1)+SUMIFS('15c'!$N$7:$N$100,'15c'!$H$7:$H$100,$A264,'15c'!$I$7:$I$100,1)+SUMIFS('15d'!$N$7:$N$100,'15d'!$H$7:$H$100,$A264,'15d'!$I$7:$I$100,1)+SUMIFS('15e'!$N$7:$N$100,'15e'!$H$7:$H$100,$A264,'15e'!$I$7:$I$100,1)+SUMIFS('15f'!$N$7:$N$100,'15f'!$H$7:$H$100,$A264,'15f'!$I$7:$I$100,1)+SUMIFS('15g'!$N$7:$N$100,'15g'!$H$7:$H$100,$A264,'15g'!$I$7:$I$100,1)+SUMIFS('15h'!$N$7:$N$100,'15h'!$H$7:$H$100,$A264,'15h'!$I$7:$I$100,1)+SUMIFS('15i'!$N$7:$N$100,'15i'!$H$7:$H$100,$A264,'15i'!$I$7:$I$100,1)+SUMIFS('15j'!$N$7:$N$100,'15j'!$H$7:$H$100,$A264,'15j'!$I$7:$I$100,1)+SUMIFS('15k'!$N$7:$N$100,'15k'!$H$7:$H$100,$A264,'15k'!$I$7:$I$100,1)+SUMIFS('15l'!$N$7:$N$100,'15l'!$H$7:$H$100,$A264,'15l'!$I$7:$I$100,1)+SUMIFS('15m'!$N$7:$N$100,'15m'!$H$7:$H$100,$A264,'15m'!$I$7:$I$100,1)+SUMIFS('15n'!$N$7:$N$100,'15n'!$H$7:$H$100,$A264,'15n'!$I$7:$I$100,1)+SUMIFS('16'!$N$7:$N$100,'16'!$H$7:$H$100,$A264,'16'!$I$7:$I$100,1)+SUMIFS('16a'!$N$7:$N$100,'16a'!$H$7:$H$100,$A264,'16a'!$I$7:$I$100,1)+SUMIFS('17'!$N$7:$N$100,'17'!$H$7:$H$100,$A264,'17'!$I$7:$I$100,1)+SUMIFS('17a'!$N$7:$N$100,'17a'!$H$7:$H$100,$A264,'17a'!$I$7:$I$100,1)+SUMIFS('18'!$N$7:$N$100,'18'!$H$7:$H$100,$A264,'18'!$I$7:$I$100,1)+SUMIFS('18a'!$N$7:$N$100,'18a'!$H$7:$H$100,$A264,'18a'!$I$7:$I$100,1)
+SUMIFS('19'!$N$7:$N$100,'19'!$H$7:$H$100,$A264,'19'!$I$7:$I$100,1)+SUMIFS('20'!$N$7:$N$100,'20'!$H$7:$H$100,$A264,'20'!$I$7:$I$100,1)+SUMIFS('20a'!$N$7:$N$100,'20a'!$H$7:$H$100,$A264,'20a'!$I$7:$I$100,1)+SUMIFS('21'!$N$7:$N$100,'21'!$H$7:$H$100,$A264,'21'!$I$7:$I$100,1)+SUMIFS('22'!$N$7:$N$100,'22'!$H$7:$H$100,$A264,'22'!$I$7:$I$100,1)+SUMIFS('22a'!$N$7:$N$100,'22a'!$H$7:$H$100,$A264,'22a'!$I$7:$I$100,1)+SUMIFS('22b'!$N$7:$N$100,'22b'!$H$7:$H$100,$A264,'22b'!$I$7:$I$100,1)+SUMIFS('23'!$N$7:$N$100,'23'!$H$7:$H$100,$A264,'23'!$I$7:$I$100,1)+SUMIFS('24'!$N$7:$N$100,'24'!$H$7:$H$100,$A264,'24'!$I$7:$I$100,1)+SUMIFS('24a'!$N$7:$N$100,'24a'!$H$7:$H$100,$A264,'24a'!$I$7:$I$100,1)+SUMIFS('24b'!$N$7:$N$100,'24b'!$H$7:$H$100,$A264,'24b'!$I$7:$I$100,1)+SUMIFS('24c'!$N$7:$N$100,'24c'!$H$7:$H$100,$A264,'24c'!$I$7:$I$100,1)+SUMIFS('24d'!$N$7:$N$100,'24d'!$H$7:$H$100,$A264,'24d'!$I$7:$I$100,1)+SUMIFS('24e'!$N$7:$N$100,'24e'!$H$7:$H$100,$A264,'24e'!$I$7:$I$100,1)+SUMIFS('24f'!$N$7:$N$100,'24f'!$H$7:$H$100,$A264,'24f'!$I$7:$I$100,1)+SUMIFS('24g'!$N$7:$N$100,'24g'!$H$7:$H$100,$A264,'24g'!$I$7:$I$100,1)+SUMIFS('24h'!$N$7:$N$100,'24h'!$H$7:$H$100,$A264,'24h'!$I$7:$I$100,1)+SUMIFS('24i'!$N$7:$N$100,'24i'!$H$7:$H$100,$A264,'24i'!$I$7:$I$100,1)+SUMIFS('25'!$N$7:$N$100,'25'!$H$7:$H$100,$A264,'25'!$I$7:$I$100,1)+SUMIFS('26'!$N$7:$N$100,'26'!$H$7:$H$100,$A264,'26'!$I$7:$I$100,1)+SUMIFS('26a'!$N$7:$N$100,'26a'!$H$7:$H$100,$A264,'26a'!$I$7:$I$100,1)+SUMIFS('27'!$N$7:$N$100,'27'!$H$7:$H$100,$A264,'27'!$I$7:$I$100,1)+SUMIFS('27a'!$N$7:$N$100,'27a'!$H$7:$H$100,$A264,'27a'!$I$7:$I$100,1)+SUMIFS('28'!$N$7:$N$100,'28'!$H$7:$H$100,$A264,'28'!$I$7:$I$100,1)+SUMIFS('29'!$N$7:$N$100,'29'!$H$7:$H$100,$A264,'29'!$I$7:$I$100,1)</f>
        <v>0</v>
      </c>
      <c r="D264" s="1315">
        <f>SUMIFS('12'!$N$7:$N$100,'12'!$H$7:$H$100,$A264,'12'!$I$7:$I$100,2)+SUMIFS('13'!$N$7:$N$100,'13'!$H$7:$H$100,$A264,'13'!$I$7:$I$100,2)+SUMIFS('14'!$N$7:$N$100,'14'!$H$7:$H$100,$A264,'14'!$I$7:$I$100,2)+SUMIFS('15'!$N$7:$N$100,'15'!$H$7:$H$100,$A264,'15'!$I$7:$I$100,2)+SUMIFS('15a'!$N$7:$N$100,'15a'!$H$7:$H$100,$A264,'15a'!$I$7:$I$100,2)+SUMIFS('15b'!$N$7:$N$100,'15b'!$H$7:$H$100,$A264,'15b'!$I$7:$I$100,2)+SUMIFS('15c'!$N$7:$N$100,'15c'!$H$7:$H$100,$A264,'15c'!$I$7:$I$100,2)+SUMIFS('15d'!$N$7:$N$100,'15d'!$H$7:$H$100,$A264,'15d'!$I$7:$I$100,2)+SUMIFS('15e'!$N$7:$N$100,'15e'!$H$7:$H$100,$A264,'15e'!$I$7:$I$100,2)+SUMIFS('15f'!$N$7:$N$100,'15f'!$H$7:$H$100,$A264,'15f'!$I$7:$I$100,2)+SUMIFS('15g'!$N$7:$N$100,'15g'!$H$7:$H$100,$A264,'15g'!$I$7:$I$100,2)+SUMIFS('15h'!$N$7:$N$100,'15h'!$H$7:$H$100,$A264,'15h'!$I$7:$I$100,2)+SUMIFS('15i'!$N$7:$N$100,'15i'!$H$7:$H$100,$A264,'15i'!$I$7:$I$100,2)+SUMIFS('15j'!$N$7:$N$100,'15j'!$H$7:$H$100,$A264,'15j'!$I$7:$I$100,2)+SUMIFS('15k'!$N$7:$N$100,'15k'!$H$7:$H$100,$A264,'15k'!$I$7:$I$100,2)+SUMIFS('15l'!$N$7:$N$100,'15l'!$H$7:$H$100,$A264,'15l'!$I$7:$I$100,2)+SUMIFS('15m'!$N$7:$N$100,'15m'!$H$7:$H$100,$A264,'15m'!$I$7:$I$100,2)+SUMIFS('15n'!$N$7:$N$100,'15n'!$H$7:$H$100,$A264,'15n'!$I$7:$I$100,2)+SUMIFS('16'!$N$7:$N$100,'16'!$H$7:$H$100,$A264,'16'!$I$7:$I$100,2)+SUMIFS('16a'!$N$7:$N$100,'16a'!$H$7:$H$100,$A264,'16a'!$I$7:$I$100,2)+SUMIFS('17'!$N$7:$N$100,'17'!$H$7:$H$100,$A264,'17'!$I$7:$I$100,2)+SUMIFS('17a'!$N$7:$N$100,'17a'!$H$7:$H$100,$A264,'17a'!$I$7:$I$100,2)+SUMIFS('18'!$N$7:$N$100,'18'!$H$7:$H$100,$A264,'18'!$I$7:$I$100,2)+SUMIFS('18a'!$N$7:$N$100,'18a'!$H$7:$H$100,$A264,'18a'!$I$7:$I$100,2)
+SUMIFS('19'!$N$7:$N$100,'19'!$H$7:$H$100,$A264,'19'!$I$7:$I$100,2)+SUMIFS('20'!$N$7:$N$100,'20'!$H$7:$H$100,$A264,'20'!$I$7:$I$100,2)+SUMIFS('20a'!$N$7:$N$100,'20a'!$H$7:$H$100,$A264,'20a'!$I$7:$I$100,2)+SUMIFS('21'!$N$7:$N$100,'21'!$H$7:$H$100,$A264,'21'!$I$7:$I$100,2)+SUMIFS('22'!$N$7:$N$100,'22'!$H$7:$H$100,$A264,'22'!$I$7:$I$100,2)+SUMIFS('22a'!$N$7:$N$100,'22a'!$H$7:$H$100,$A264,'22a'!$I$7:$I$100,2)+SUMIFS('22b'!$N$7:$N$100,'22b'!$H$7:$H$100,$A264,'22b'!$I$7:$I$100,2)+SUMIFS('23'!$N$7:$N$100,'23'!$H$7:$H$100,$A264,'23'!$I$7:$I$100,2)+SUMIFS('24'!$N$7:$N$100,'24'!$H$7:$H$100,$A264,'24'!$I$7:$I$100,2)+SUMIFS('24a'!$N$7:$N$100,'24a'!$H$7:$H$100,$A264,'24a'!$I$7:$I$100,2)+SUMIFS('24b'!$N$7:$N$100,'24b'!$H$7:$H$100,$A264,'24b'!$I$7:$I$100,2)+SUMIFS('24c'!$N$7:$N$100,'24c'!$H$7:$H$100,$A264,'24c'!$I$7:$I$100,2)+SUMIFS('24d'!$N$7:$N$100,'24d'!$H$7:$H$100,$A264,'24d'!$I$7:$I$100,2)+SUMIFS('24e'!$N$7:$N$100,'24e'!$H$7:$H$100,$A264,'24e'!$I$7:$I$100,2)+SUMIFS('24f'!$N$7:$N$100,'24f'!$H$7:$H$100,$A264,'24f'!$I$7:$I$100,2)+SUMIFS('24g'!$N$7:$N$100,'24g'!$H$7:$H$100,$A264,'24g'!$I$7:$I$100,2)+SUMIFS('24h'!$N$7:$N$100,'24h'!$H$7:$H$100,$A264,'24h'!$I$7:$I$100,2)+SUMIFS('24i'!$N$7:$N$100,'24i'!$H$7:$H$100,$A264,'24i'!$I$7:$I$100,2)+SUMIFS('25'!$N$7:$N$100,'25'!$H$7:$H$100,$A264,'25'!$I$7:$I$100,2)+SUMIFS('26'!$N$7:$N$100,'26'!$H$7:$H$100,$A264,'26'!$I$7:$I$100,2)+SUMIFS('26a'!$N$7:$N$100,'26a'!$H$7:$H$100,$A264,'26a'!$I$7:$I$100,2)+SUMIFS('27'!$N$7:$N$100,'27'!$H$7:$H$100,$A264,'27'!$I$7:$I$100,2)+SUMIFS('27a'!$N$7:$N$100,'27a'!$H$7:$H$100,$A264,'27a'!$I$7:$I$100,2)+SUMIFS('28'!$N$7:$N$100,'28'!$H$7:$H$100,$A264,'28'!$I$7:$I$100,2)+SUMIFS('29'!$N$7:$N$100,'29'!$H$7:$H$100,$A264,'29'!$I$7:$I$100,2)</f>
        <v>0</v>
      </c>
      <c r="E264" s="1315">
        <f>SUMIFS('12'!$N$7:$N$100,'12'!$H$7:$H$100,$A264,'12'!$I$7:$I$100,"")+SUMIFS('13'!$N$7:$N$100,'13'!$H$7:$H$100,$A264,'13'!$I$7:$I$100,"")+SUMIFS('14'!$N$7:$N$100,'14'!$H$7:$H$100,$A264,'14'!$I$7:$I$100,"")+SUMIFS('15'!$N$7:$N$100,'15'!$H$7:$H$100,$A264,'15'!$I$7:$I$100,"")+SUMIFS('15a'!$N$7:$N$100,'15a'!$H$7:$H$100,$A264,'15a'!$I$7:$I$100,"")+SUMIFS('15b'!$N$7:$N$100,'15b'!$H$7:$H$100,$A264,'15b'!$I$7:$I$100,"")+SUMIFS('15c'!$N$7:$N$100,'15c'!$H$7:$H$100,$A264,'15c'!$I$7:$I$100,"")+SUMIFS('15d'!$N$7:$N$100,'15d'!$H$7:$H$100,$A264,'15d'!$I$7:$I$100,"")+SUMIFS('15e'!$N$7:$N$100,'15e'!$H$7:$H$100,$A264,'15e'!$I$7:$I$100,"")+SUMIFS('15f'!$N$7:$N$100,'15f'!$H$7:$H$100,$A264,'15f'!$I$7:$I$100,"")+SUMIFS('15g'!$N$7:$N$100,'15g'!$H$7:$H$100,$A264,'15g'!$I$7:$I$100,"")+SUMIFS('15h'!$N$7:$N$100,'15h'!$H$7:$H$100,$A264,'15h'!$I$7:$I$100,"")+SUMIFS('15i'!$N$7:$N$100,'15i'!$H$7:$H$100,$A264,'15i'!$I$7:$I$100,"")+SUMIFS('15j'!$N$7:$N$100,'15j'!$H$7:$H$100,$A264,'15j'!$I$7:$I$100,"")+SUMIFS('15k'!$N$7:$N$100,'15k'!$H$7:$H$100,$A264,'15k'!$I$7:$I$100,"")+SUMIFS('15l'!$N$7:$N$100,'15l'!$H$7:$H$100,$A264,'15l'!$I$7:$I$100,"")+SUMIFS('15m'!$N$7:$N$100,'15m'!$H$7:$H$100,$A264,'15m'!$I$7:$I$100,"")+SUMIFS('15n'!$N$7:$N$100,'15n'!$H$7:$H$100,$A264,'15n'!$I$7:$I$100,"")+SUMIFS('16'!$N$7:$N$100,'16'!$H$7:$H$100,$A264,'16'!$I$7:$I$100,"")+SUMIFS('16a'!$N$7:$N$100,'16a'!$H$7:$H$100,$A264,'16a'!$I$7:$I$100,"")+SUMIFS('17'!$N$7:$N$100,'17'!$H$7:$H$100,$A264,'17'!$I$7:$I$100,"")+SUMIFS('17a'!$N$7:$N$100,'17a'!$H$7:$H$100,$A264,'17a'!$I$7:$I$100,"")+SUMIFS('18'!$N$7:$N$100,'18'!$H$7:$H$100,$A264,'18'!$I$7:$I$100,"")+SUMIFS('18a'!$N$7:$N$100,'18a'!$H$7:$H$100,$A264,'18a'!$I$7:$I$100,"")
+SUMIFS('19'!$N$7:$N$100,'19'!$H$7:$H$100,$A264,'19'!$I$7:$I$100,"")+SUMIFS('20'!$N$7:$N$100,'20'!$H$7:$H$100,$A264,'20'!$I$7:$I$100,"")+SUMIFS('20a'!$N$7:$N$100,'20a'!$H$7:$H$100,$A264,'20a'!$I$7:$I$100,"")+SUMIFS('21'!$N$7:$N$100,'21'!$H$7:$H$100,$A264,'21'!$I$7:$I$100,"")+SUMIFS('22'!$N$7:$N$100,'22'!$H$7:$H$100,$A264,'22'!$I$7:$I$100,"")+SUMIFS('22a'!$N$7:$N$100,'22a'!$H$7:$H$100,$A264,'22a'!$I$7:$I$100,"")+SUMIFS('22b'!$N$7:$N$100,'22b'!$H$7:$H$100,$A264,'22b'!$I$7:$I$100,"")+SUMIFS('23'!$N$7:$N$100,'23'!$H$7:$H$100,$A264,'23'!$I$7:$I$100,"")+SUMIFS('24'!$N$7:$N$100,'24'!$H$7:$H$100,$A264,'24'!$I$7:$I$100,"")+SUMIFS('24a'!$N$7:$N$100,'24a'!$H$7:$H$100,$A264,'24a'!$I$7:$I$100,"")+SUMIFS('24b'!$N$7:$N$100,'24b'!$H$7:$H$100,$A264,'24b'!$I$7:$I$100,"")+SUMIFS('24c'!$N$7:$N$100,'24c'!$H$7:$H$100,$A264,'24c'!$I$7:$I$100,"")+SUMIFS('24d'!$N$7:$N$100,'24d'!$H$7:$H$100,$A264,'24d'!$I$7:$I$100,"")+SUMIFS('24e'!$N$7:$N$100,'24e'!$H$7:$H$100,$A264,'24e'!$I$7:$I$100,"")+SUMIFS('24f'!$N$7:$N$100,'24f'!$H$7:$H$100,$A264,'24f'!$I$7:$I$100,"")+SUMIFS('24g'!$N$7:$N$100,'24g'!$H$7:$H$100,$A264,'24g'!$I$7:$I$100,"")+SUMIFS('24h'!$N$7:$N$100,'24h'!$H$7:$H$100,$A264,'24h'!$I$7:$I$100,"")+SUMIFS('24i'!$N$7:$N$100,'24i'!$H$7:$H$100,$A264,'24i'!$I$7:$I$100,"")+SUMIFS('25'!$N$7:$N$100,'25'!$H$7:$H$100,$A264,'25'!$I$7:$I$100,"")+SUMIFS('26'!$N$7:$N$100,'26'!$H$7:$H$100,$A264,'26'!$I$7:$I$100,"")+SUMIFS('26a'!$N$7:$N$100,'26a'!$H$7:$H$100,$A264,'26a'!$I$7:$I$100,"")+SUMIFS('27'!$N$7:$N$100,'27'!$H$7:$H$100,$A264,'27'!$I$7:$I$100,"")+SUMIFS('27a'!$N$7:$N$100,'27a'!$H$7:$H$100,$A264,'27a'!$I$7:$I$100,"")+SUMIFS('28'!$N$7:$N$100,'28'!$H$7:$H$100,$A264,'28'!$I$7:$I$100,"")+SUMIFS('29'!$N$7:$N$100,'29'!$H$7:$H$100,$A264,'29'!$I$7:$I$100,"")</f>
        <v>0</v>
      </c>
      <c r="F264" s="1296">
        <f t="shared" si="24"/>
        <v>0</v>
      </c>
      <c r="G264" s="1295">
        <f>SUMIFS('12'!$J$7:$J$100,'12'!$H$7:$H$100,$A264,'12'!$I$7:$I$100,1)+SUMIFS('13'!$J$7:$J$100,'13'!$H$7:$H$100,$A264,'13'!$I$7:$I$100,1)+SUMIFS('14'!$J$7:$J$100,'14'!$H$7:$H$100,$A264,'14'!$I$7:$I$100,1)+SUMIFS('15'!$J$7:$J$100,'15'!$H$7:$H$100,$A264,'15'!$I$7:$I$100,1)+SUMIFS('15a'!$J$7:$J$100,'15a'!$H$7:$H$100,$A264,'15a'!$I$7:$I$100,1)+SUMIFS('15b'!$J$7:$J$100,'15b'!$H$7:$H$100,$A264,'15b'!$I$7:$I$100,1)+SUMIFS('15c'!$J$7:$J$100,'15c'!$H$7:$H$100,$A264,'15c'!$I$7:$I$100,1)+SUMIFS('15d'!$J$7:$J$100,'15d'!$H$7:$H$100,$A264,'15d'!$I$7:$I$100,1)+SUMIFS('15e'!$J$7:$J$100,'15e'!$H$7:$H$100,$A264,'15e'!$I$7:$I$100,1)+SUMIFS('15f'!$J$7:$J$100,'15f'!$H$7:$H$100,$A264,'15f'!$I$7:$I$100,1)+SUMIFS('15g'!$J$7:$J$100,'15g'!$H$7:$H$100,$A264,'15g'!$I$7:$I$100,1)+SUMIFS('15h'!$J$7:$J$100,'15h'!$H$7:$H$100,$A264,'15h'!$I$7:$I$100,1)+SUMIFS('15i'!$J$7:$J$100,'15i'!$H$7:$H$100,$A264,'15i'!$I$7:$I$100,1)+SUMIFS('15j'!$J$7:$J$100,'15j'!$H$7:$H$100,$A264,'15j'!$I$7:$I$100,1)+SUMIFS('15k'!$J$7:$J$100,'15k'!$H$7:$H$100,$A264,'15k'!$I$7:$I$100,1)+SUMIFS('15l'!$J$7:$J$100,'15l'!$H$7:$H$100,$A264,'15l'!$I$7:$I$100,1)+SUMIFS('15m'!$J$7:$J$100,'15m'!$H$7:$H$100,$A264,'15m'!$I$7:$I$100,1)+SUMIFS('15n'!$J$7:$J$100,'15n'!$H$7:$H$100,$A264,'15n'!$I$7:$I$100,1)+SUMIFS('16'!$J$7:$J$100,'16'!$H$7:$H$100,$A264,'16'!$I$7:$I$100,1)+SUMIFS('16a'!$J$7:$J$100,'16a'!$H$7:$H$100,$A264,'16a'!$I$7:$I$100,1)+SUMIFS('17'!$J$7:$J$100,'17'!$H$7:$H$100,$A264,'17'!$I$7:$I$100,1)+SUMIFS('17a'!$J$7:$J$100,'17a'!$H$7:$H$100,$A264,'17a'!$I$7:$I$100,1)+SUMIFS('18'!$J$7:$J$100,'18'!$H$7:$H$100,$A264,'18'!$I$7:$I$100,1)+SUMIFS('18a'!$J$7:$J$100,'18a'!$H$7:$H$100,$A264,'18a'!$I$7:$I$100,1)
+SUMIFS('19'!$J$7:$J$100,'19'!$H$7:$H$100,$A264,'19'!$I$7:$I$100,1)+SUMIFS('20'!$J$7:$J$100,'20'!$H$7:$H$100,$A264,'20'!$I$7:$I$100,1)+SUMIFS('20a'!$J$7:$J$100,'20a'!$H$7:$H$100,$A264,'20a'!$I$7:$I$100,1)+SUMIFS('21'!$J$7:$J$100,'21'!$H$7:$H$100,$A264,'21'!$I$7:$I$100,1)+SUMIFS('22'!$J$7:$J$100,'22'!$H$7:$H$100,$A264,'22'!$I$7:$I$100,1)+SUMIFS('22a'!$J$7:$J$100,'22a'!$H$7:$H$100,$A264,'22a'!$I$7:$I$100,1)+SUMIFS('22b'!$J$7:$J$100,'22b'!$H$7:$H$100,$A264,'22b'!$I$7:$I$100,1)+SUMIFS('23'!$J$7:$J$100,'23'!$H$7:$H$100,$A264,'23'!$I$7:$I$100,1)+SUMIFS('24'!$J$7:$J$100,'24'!$H$7:$H$100,$A264,'24'!$I$7:$I$100,1)+SUMIFS('24a'!$J$7:$J$100,'24a'!$H$7:$H$100,$A264,'24a'!$I$7:$I$100,1)+SUMIFS('24b'!$J$7:$J$100,'24b'!$H$7:$H$100,$A264,'24b'!$I$7:$I$100,1)+SUMIFS('24c'!$J$7:$J$100,'24c'!$H$7:$H$100,$A264,'24c'!$I$7:$I$100,1)+SUMIFS('24d'!$J$7:$J$100,'24d'!$H$7:$H$100,$A264,'24d'!$I$7:$I$100,1)+SUMIFS('24e'!$J$7:$J$100,'24e'!$H$7:$H$100,$A264,'24e'!$I$7:$I$100,1)+SUMIFS('24f'!$J$7:$J$100,'24f'!$H$7:$H$100,$A264,'24f'!$I$7:$I$100,1)+SUMIFS('24g'!$J$7:$J$100,'24g'!$H$7:$H$100,$A264,'24g'!$I$7:$I$100,1)+SUMIFS('24h'!$J$7:$J$100,'24h'!$H$7:$H$100,$A264,'24h'!$I$7:$I$100,1)+SUMIFS('24i'!$J$7:$J$100,'24i'!$H$7:$H$100,$A264,'24i'!$I$7:$I$100,1)+SUMIFS('25'!$J$7:$J$100,'25'!$H$7:$H$100,$A264,'25'!$I$7:$I$100,1)+SUMIFS('26'!$J$7:$J$100,'26'!$H$7:$H$100,$A264,'26'!$I$7:$I$100,1)+SUMIFS('26a'!$J$7:$J$100,'26a'!$H$7:$H$100,$A264,'26a'!$I$7:$I$100,1)+SUMIFS('27'!$J$7:$J$100,'27'!$H$7:$H$100,$A264,'27'!$I$7:$I$100,1)+SUMIFS('27a'!$J$7:$J$100,'27a'!$H$7:$H$100,$A264,'27a'!$I$7:$I$100,1)+SUMIFS('28'!$J$7:$J$100,'28'!$H$7:$H$100,$A264,'28'!$I$7:$I$100,1)+SUMIFS('29'!$J$7:$J$100,'29'!$H$7:$H$100,$A264,'29'!$I$7:$I$100,1)</f>
        <v>0</v>
      </c>
      <c r="H264" s="1315">
        <f>SUMIFS('12'!$J$7:$J$100,'12'!$H$7:$H$100,$A264,'12'!$I$7:$I$100,2)+SUMIFS('13'!$J$7:$J$100,'13'!$H$7:$H$100,$A264,'13'!$I$7:$I$100,2)+SUMIFS('14'!$J$7:$J$100,'14'!$H$7:$H$100,$A264,'14'!$I$7:$I$100,2)+SUMIFS('15'!$J$7:$J$100,'15'!$H$7:$H$100,$A264,'15'!$I$7:$I$100,2)+SUMIFS('15a'!$J$7:$J$100,'15a'!$H$7:$H$100,$A264,'15a'!$I$7:$I$100,2)+SUMIFS('15b'!$J$7:$J$100,'15b'!$H$7:$H$100,$A264,'15b'!$I$7:$I$100,2)+SUMIFS('15c'!$J$7:$J$100,'15c'!$H$7:$H$100,$A264,'15c'!$I$7:$I$100,2)+SUMIFS('15d'!$J$7:$J$100,'15d'!$H$7:$H$100,$A264,'15d'!$I$7:$I$100,2)+SUMIFS('15e'!$J$7:$J$100,'15e'!$H$7:$H$100,$A264,'15e'!$I$7:$I$100,2)+SUMIFS('15f'!$J$7:$J$100,'15f'!$H$7:$H$100,$A264,'15f'!$I$7:$I$100,2)+SUMIFS('15g'!$J$7:$J$100,'15g'!$H$7:$H$100,$A264,'15g'!$I$7:$I$100,2)+SUMIFS('15h'!$J$7:$J$100,'15h'!$H$7:$H$100,$A264,'15h'!$I$7:$I$100,2)+SUMIFS('15i'!$J$7:$J$100,'15i'!$H$7:$H$100,$A264,'15i'!$I$7:$I$100,2)+SUMIFS('15j'!$J$7:$J$100,'15j'!$H$7:$H$100,$A264,'15j'!$I$7:$I$100,2)+SUMIFS('15k'!$J$7:$J$100,'15k'!$H$7:$H$100,$A264,'15k'!$I$7:$I$100,2)+SUMIFS('15l'!$J$7:$J$100,'15l'!$H$7:$H$100,$A264,'15l'!$I$7:$I$100,2)+SUMIFS('15m'!$J$7:$J$100,'15m'!$H$7:$H$100,$A264,'15m'!$I$7:$I$100,2)+SUMIFS('15n'!$J$7:$J$100,'15n'!$H$7:$H$100,$A264,'15n'!$I$7:$I$100,2)+SUMIFS('16'!$J$7:$J$100,'16'!$H$7:$H$100,$A264,'16'!$I$7:$I$100,2)+SUMIFS('16a'!$J$7:$J$100,'16a'!$H$7:$H$100,$A264,'16a'!$I$7:$I$100,2)+SUMIFS('17'!$J$7:$J$100,'17'!$H$7:$H$100,$A264,'17'!$I$7:$I$100,2)+SUMIFS('17a'!$J$7:$J$100,'17a'!$H$7:$H$100,$A264,'17a'!$I$7:$I$100,2)+SUMIFS('18'!$J$7:$J$100,'18'!$H$7:$H$100,$A264,'18'!$I$7:$I$100,2)+SUMIFS('18a'!$J$7:$J$100,'18a'!$H$7:$H$100,$A264,'18a'!$I$7:$I$100,2)
+SUMIFS('19'!$J$7:$J$100,'19'!$H$7:$H$100,$A264,'19'!$I$7:$I$100,2)+SUMIFS('20'!$J$7:$J$100,'20'!$H$7:$H$100,$A264,'20'!$I$7:$I$100,2)+SUMIFS('20a'!$J$7:$J$100,'20a'!$H$7:$H$100,$A264,'20a'!$I$7:$I$100,2)+SUMIFS('21'!$J$7:$J$100,'21'!$H$7:$H$100,$A264,'21'!$I$7:$I$100,2)+SUMIFS('22'!$J$7:$J$100,'22'!$H$7:$H$100,$A264,'22'!$I$7:$I$100,2)+SUMIFS('22a'!$J$7:$J$100,'22a'!$H$7:$H$100,$A264,'22a'!$I$7:$I$100,2)+SUMIFS('22b'!$J$7:$J$100,'22b'!$H$7:$H$100,$A264,'22b'!$I$7:$I$100,2)+SUMIFS('23'!$J$7:$J$100,'23'!$H$7:$H$100,$A264,'23'!$I$7:$I$100,2)+SUMIFS('24'!$J$7:$J$100,'24'!$H$7:$H$100,$A264,'24'!$I$7:$I$100,2)+SUMIFS('24a'!$J$7:$J$100,'24a'!$H$7:$H$100,$A264,'24a'!$I$7:$I$100,2)+SUMIFS('24b'!$J$7:$J$100,'24b'!$H$7:$H$100,$A264,'24b'!$I$7:$I$100,2)+SUMIFS('24c'!$J$7:$J$100,'24c'!$H$7:$H$100,$A264,'24c'!$I$7:$I$100,2)+SUMIFS('24d'!$J$7:$J$100,'24d'!$H$7:$H$100,$A264,'24d'!$I$7:$I$100,2)+SUMIFS('24e'!$J$7:$J$100,'24e'!$H$7:$H$100,$A264,'24e'!$I$7:$I$100,2)+SUMIFS('24f'!$J$7:$J$100,'24f'!$H$7:$H$100,$A264,'24f'!$I$7:$I$100,2)+SUMIFS('24g'!$J$7:$J$100,'24g'!$H$7:$H$100,$A264,'24g'!$I$7:$I$100,2)+SUMIFS('24h'!$J$7:$J$100,'24h'!$H$7:$H$100,$A264,'24h'!$I$7:$I$100,2)+SUMIFS('24i'!$J$7:$J$100,'24i'!$H$7:$H$100,$A264,'24i'!$I$7:$I$100,2)+SUMIFS('25'!$J$7:$J$100,'25'!$H$7:$H$100,$A264,'25'!$I$7:$I$100,2)+SUMIFS('26'!$J$7:$J$100,'26'!$H$7:$H$100,$A264,'26'!$I$7:$I$100,2)+SUMIFS('26a'!$J$7:$J$100,'26a'!$H$7:$H$100,$A264,'26a'!$I$7:$I$100,2)+SUMIFS('27'!$J$7:$J$100,'27'!$H$7:$H$100,$A264,'27'!$I$7:$I$100,2)+SUMIFS('27a'!$J$7:$J$100,'27a'!$H$7:$H$100,$A264,'27a'!$I$7:$I$100,2)+SUMIFS('28'!$J$7:$J$100,'28'!$H$7:$H$100,$A264,'28'!$I$7:$I$100,2)+SUMIFS('29'!$J$7:$J$100,'29'!$H$7:$H$100,$A264,'29'!$I$7:$I$100,2)</f>
        <v>0</v>
      </c>
      <c r="I264" s="1315">
        <f>SUMIFS('12'!$J$7:$J$100,'12'!$H$7:$H$100,$A264,'12'!$I$7:$I$100,"")+SUMIFS('13'!$J$7:$J$100,'13'!$H$7:$H$100,$A264,'13'!$I$7:$I$100,"")+SUMIFS('14'!$J$7:$J$100,'14'!$H$7:$H$100,$A264,'14'!$I$7:$I$100,"")+SUMIFS('15'!$J$7:$J$100,'15'!$H$7:$H$100,$A264,'15'!$I$7:$I$100,"")+SUMIFS('15a'!$J$7:$J$100,'15a'!$H$7:$H$100,$A264,'15a'!$I$7:$I$100,"")+SUMIFS('15b'!$J$7:$J$100,'15b'!$H$7:$H$100,$A264,'15b'!$I$7:$I$100,"")+SUMIFS('15c'!$J$7:$J$100,'15c'!$H$7:$H$100,$A264,'15c'!$I$7:$I$100,"")+SUMIFS('15d'!$J$7:$J$100,'15d'!$H$7:$H$100,$A264,'15d'!$I$7:$I$100,"")+SUMIFS('15e'!$J$7:$J$100,'15e'!$H$7:$H$100,$A264,'15e'!$I$7:$I$100,"")+SUMIFS('15f'!$J$7:$J$100,'15f'!$H$7:$H$100,$A264,'15f'!$I$7:$I$100,"")+SUMIFS('15g'!$J$7:$J$100,'15g'!$H$7:$H$100,$A264,'15g'!$I$7:$I$100,"")+SUMIFS('15h'!$J$7:$J$100,'15h'!$H$7:$H$100,$A264,'15h'!$I$7:$I$100,"")+SUMIFS('15i'!$J$7:$J$100,'15i'!$H$7:$H$100,$A264,'15i'!$I$7:$I$100,"")+SUMIFS('15j'!$J$7:$J$100,'15j'!$H$7:$H$100,$A264,'15j'!$I$7:$I$100,"")+SUMIFS('15k'!$J$7:$J$100,'15k'!$H$7:$H$100,$A264,'15k'!$I$7:$I$100,"")+SUMIFS('15l'!$J$7:$J$100,'15l'!$H$7:$H$100,$A264,'15l'!$I$7:$I$100,"")+SUMIFS('15m'!$J$7:$J$100,'15m'!$H$7:$H$100,$A264,'15m'!$I$7:$I$100,"")+SUMIFS('15n'!$J$7:$J$100,'15n'!$H$7:$H$100,$A264,'15n'!$I$7:$I$100,"")+SUMIFS('16'!$J$7:$J$100,'16'!$H$7:$H$100,$A264,'16'!$I$7:$I$100,"")+SUMIFS('16a'!$J$7:$J$100,'16a'!$H$7:$H$100,$A264,'16a'!$I$7:$I$100,"")+SUMIFS('17'!$J$7:$J$100,'17'!$H$7:$H$100,$A264,'17'!$I$7:$I$100,"")+SUMIFS('17a'!$J$7:$J$100,'17a'!$H$7:$H$100,$A264,'17a'!$I$7:$I$100,"")+SUMIFS('18'!$J$7:$J$100,'18'!$H$7:$H$100,$A264,'18'!$I$7:$I$100,"")+SUMIFS('18a'!$J$7:$J$100,'18a'!$H$7:$H$100,$A264,'18a'!$I$7:$I$100,"")
+SUMIFS('19'!$J$7:$J$100,'19'!$H$7:$H$100,$A264,'19'!$I$7:$I$100,"")+SUMIFS('20'!$J$7:$J$100,'20'!$H$7:$H$100,$A264,'20'!$I$7:$I$100,"")+SUMIFS('20a'!$J$7:$J$100,'20a'!$H$7:$H$100,$A264,'20a'!$I$7:$I$100,"")+SUMIFS('21'!$J$7:$J$100,'21'!$H$7:$H$100,$A264,'21'!$I$7:$I$100,"")+SUMIFS('22'!$J$7:$J$100,'22'!$H$7:$H$100,$A264,'22'!$I$7:$I$100,"")+SUMIFS('22a'!$J$7:$J$100,'22a'!$H$7:$H$100,$A264,'22a'!$I$7:$I$100,"")+SUMIFS('22b'!$J$7:$J$100,'22b'!$H$7:$H$100,$A264,'22b'!$I$7:$I$100,"")+SUMIFS('23'!$J$7:$J$100,'23'!$H$7:$H$100,$A264,'23'!$I$7:$I$100,"")+SUMIFS('24'!$J$7:$J$100,'24'!$H$7:$H$100,$A264,'24'!$I$7:$I$100,"")+SUMIFS('24a'!$J$7:$J$100,'24a'!$H$7:$H$100,$A264,'24a'!$I$7:$I$100,"")+SUMIFS('24b'!$J$7:$J$100,'24b'!$H$7:$H$100,$A264,'24b'!$I$7:$I$100,"")+SUMIFS('24c'!$J$7:$J$100,'24c'!$H$7:$H$100,$A264,'24c'!$I$7:$I$100,"")+SUMIFS('24d'!$J$7:$J$100,'24d'!$H$7:$H$100,$A264,'24d'!$I$7:$I$100,"")+SUMIFS('24e'!$J$7:$J$100,'24e'!$H$7:$H$100,$A264,'24e'!$I$7:$I$100,"")+SUMIFS('24f'!$J$7:$J$100,'24f'!$H$7:$H$100,$A264,'24f'!$I$7:$I$100,"")+SUMIFS('24g'!$J$7:$J$100,'24g'!$H$7:$H$100,$A264,'24g'!$I$7:$I$100,"")+SUMIFS('24h'!$J$7:$J$100,'24h'!$H$7:$H$100,$A264,'24h'!$I$7:$I$100,"")+SUMIFS('24i'!$J$7:$J$100,'24i'!$H$7:$H$100,$A264,'24i'!$I$7:$I$100,"")+SUMIFS('25'!$J$7:$J$100,'25'!$H$7:$H$100,$A264,'25'!$I$7:$I$100,"")+SUMIFS('26'!$J$7:$J$100,'26'!$H$7:$H$100,$A264,'26'!$I$7:$I$100,"")+SUMIFS('26a'!$J$7:$J$100,'26a'!$H$7:$H$100,$A264,'26a'!$I$7:$I$100,"")+SUMIFS('27'!$J$7:$J$100,'27'!$H$7:$H$100,$A264,'27'!$I$7:$I$100,"")+SUMIFS('27a'!$J$7:$J$100,'27a'!$H$7:$H$100,$A264,'27a'!$I$7:$I$100,"")+SUMIFS('28'!$J$7:$J$100,'28'!$H$7:$H$100,$A264,'28'!$I$7:$I$100,"")+SUMIFS('29'!$J$7:$J$100,'29'!$H$7:$H$100,$A264,'29'!$I$7:$I$100,"")</f>
        <v>0</v>
      </c>
      <c r="J264" s="1296">
        <f t="shared" si="25"/>
        <v>0</v>
      </c>
      <c r="K264"/>
      <c r="L264"/>
      <c r="M264"/>
      <c r="N264"/>
      <c r="O264"/>
      <c r="P264"/>
      <c r="Q264"/>
      <c r="R264"/>
      <c r="S264" s="1307">
        <f t="shared" si="14"/>
        <v>0</v>
      </c>
      <c r="T264"/>
    </row>
    <row r="265" spans="1:20" x14ac:dyDescent="0.2">
      <c r="A265" t="s">
        <v>5179</v>
      </c>
      <c r="B265" t="s">
        <v>5507</v>
      </c>
      <c r="C265" s="1295">
        <f>SUMIFS('12'!$N$7:$N$100,'12'!$H$7:$H$100,$A265,'12'!$I$7:$I$100,1)+SUMIFS('13'!$N$7:$N$100,'13'!$H$7:$H$100,$A265,'13'!$I$7:$I$100,1)+SUMIFS('14'!$N$7:$N$100,'14'!$H$7:$H$100,$A265,'14'!$I$7:$I$100,1)+SUMIFS('15'!$N$7:$N$100,'15'!$H$7:$H$100,$A265,'15'!$I$7:$I$100,1)+SUMIFS('15a'!$N$7:$N$100,'15a'!$H$7:$H$100,$A265,'15a'!$I$7:$I$100,1)+SUMIFS('15b'!$N$7:$N$100,'15b'!$H$7:$H$100,$A265,'15b'!$I$7:$I$100,1)+SUMIFS('15c'!$N$7:$N$100,'15c'!$H$7:$H$100,$A265,'15c'!$I$7:$I$100,1)+SUMIFS('15d'!$N$7:$N$100,'15d'!$H$7:$H$100,$A265,'15d'!$I$7:$I$100,1)+SUMIFS('15e'!$N$7:$N$100,'15e'!$H$7:$H$100,$A265,'15e'!$I$7:$I$100,1)+SUMIFS('15f'!$N$7:$N$100,'15f'!$H$7:$H$100,$A265,'15f'!$I$7:$I$100,1)+SUMIFS('15g'!$N$7:$N$100,'15g'!$H$7:$H$100,$A265,'15g'!$I$7:$I$100,1)+SUMIFS('15h'!$N$7:$N$100,'15h'!$H$7:$H$100,$A265,'15h'!$I$7:$I$100,1)+SUMIFS('15i'!$N$7:$N$100,'15i'!$H$7:$H$100,$A265,'15i'!$I$7:$I$100,1)+SUMIFS('15j'!$N$7:$N$100,'15j'!$H$7:$H$100,$A265,'15j'!$I$7:$I$100,1)+SUMIFS('15k'!$N$7:$N$100,'15k'!$H$7:$H$100,$A265,'15k'!$I$7:$I$100,1)+SUMIFS('15l'!$N$7:$N$100,'15l'!$H$7:$H$100,$A265,'15l'!$I$7:$I$100,1)+SUMIFS('15m'!$N$7:$N$100,'15m'!$H$7:$H$100,$A265,'15m'!$I$7:$I$100,1)+SUMIFS('15n'!$N$7:$N$100,'15n'!$H$7:$H$100,$A265,'15n'!$I$7:$I$100,1)+SUMIFS('16'!$N$7:$N$100,'16'!$H$7:$H$100,$A265,'16'!$I$7:$I$100,1)+SUMIFS('16a'!$N$7:$N$100,'16a'!$H$7:$H$100,$A265,'16a'!$I$7:$I$100,1)+SUMIFS('17'!$N$7:$N$100,'17'!$H$7:$H$100,$A265,'17'!$I$7:$I$100,1)+SUMIFS('17a'!$N$7:$N$100,'17a'!$H$7:$H$100,$A265,'17a'!$I$7:$I$100,1)+SUMIFS('18'!$N$7:$N$100,'18'!$H$7:$H$100,$A265,'18'!$I$7:$I$100,1)+SUMIFS('18a'!$N$7:$N$100,'18a'!$H$7:$H$100,$A265,'18a'!$I$7:$I$100,1)
+SUMIFS('19'!$N$7:$N$100,'19'!$H$7:$H$100,$A265,'19'!$I$7:$I$100,1)+SUMIFS('20'!$N$7:$N$100,'20'!$H$7:$H$100,$A265,'20'!$I$7:$I$100,1)+SUMIFS('20a'!$N$7:$N$100,'20a'!$H$7:$H$100,$A265,'20a'!$I$7:$I$100,1)+SUMIFS('21'!$N$7:$N$100,'21'!$H$7:$H$100,$A265,'21'!$I$7:$I$100,1)+SUMIFS('22'!$N$7:$N$100,'22'!$H$7:$H$100,$A265,'22'!$I$7:$I$100,1)+SUMIFS('22a'!$N$7:$N$100,'22a'!$H$7:$H$100,$A265,'22a'!$I$7:$I$100,1)+SUMIFS('22b'!$N$7:$N$100,'22b'!$H$7:$H$100,$A265,'22b'!$I$7:$I$100,1)+SUMIFS('23'!$N$7:$N$100,'23'!$H$7:$H$100,$A265,'23'!$I$7:$I$100,1)+SUMIFS('24'!$N$7:$N$100,'24'!$H$7:$H$100,$A265,'24'!$I$7:$I$100,1)+SUMIFS('24a'!$N$7:$N$100,'24a'!$H$7:$H$100,$A265,'24a'!$I$7:$I$100,1)+SUMIFS('24b'!$N$7:$N$100,'24b'!$H$7:$H$100,$A265,'24b'!$I$7:$I$100,1)+SUMIFS('24c'!$N$7:$N$100,'24c'!$H$7:$H$100,$A265,'24c'!$I$7:$I$100,1)+SUMIFS('24d'!$N$7:$N$100,'24d'!$H$7:$H$100,$A265,'24d'!$I$7:$I$100,1)+SUMIFS('24e'!$N$7:$N$100,'24e'!$H$7:$H$100,$A265,'24e'!$I$7:$I$100,1)+SUMIFS('24f'!$N$7:$N$100,'24f'!$H$7:$H$100,$A265,'24f'!$I$7:$I$100,1)+SUMIFS('24g'!$N$7:$N$100,'24g'!$H$7:$H$100,$A265,'24g'!$I$7:$I$100,1)+SUMIFS('24h'!$N$7:$N$100,'24h'!$H$7:$H$100,$A265,'24h'!$I$7:$I$100,1)+SUMIFS('24i'!$N$7:$N$100,'24i'!$H$7:$H$100,$A265,'24i'!$I$7:$I$100,1)+SUMIFS('25'!$N$7:$N$100,'25'!$H$7:$H$100,$A265,'25'!$I$7:$I$100,1)+SUMIFS('26'!$N$7:$N$100,'26'!$H$7:$H$100,$A265,'26'!$I$7:$I$100,1)+SUMIFS('26a'!$N$7:$N$100,'26a'!$H$7:$H$100,$A265,'26a'!$I$7:$I$100,1)+SUMIFS('27'!$N$7:$N$100,'27'!$H$7:$H$100,$A265,'27'!$I$7:$I$100,1)+SUMIFS('27a'!$N$7:$N$100,'27a'!$H$7:$H$100,$A265,'27a'!$I$7:$I$100,1)+SUMIFS('28'!$N$7:$N$100,'28'!$H$7:$H$100,$A265,'28'!$I$7:$I$100,1)+SUMIFS('29'!$N$7:$N$100,'29'!$H$7:$H$100,$A265,'29'!$I$7:$I$100,1)</f>
        <v>0</v>
      </c>
      <c r="D265" s="1315">
        <f>SUMIFS('12'!$N$7:$N$100,'12'!$H$7:$H$100,$A265,'12'!$I$7:$I$100,2)+SUMIFS('13'!$N$7:$N$100,'13'!$H$7:$H$100,$A265,'13'!$I$7:$I$100,2)+SUMIFS('14'!$N$7:$N$100,'14'!$H$7:$H$100,$A265,'14'!$I$7:$I$100,2)+SUMIFS('15'!$N$7:$N$100,'15'!$H$7:$H$100,$A265,'15'!$I$7:$I$100,2)+SUMIFS('15a'!$N$7:$N$100,'15a'!$H$7:$H$100,$A265,'15a'!$I$7:$I$100,2)+SUMIFS('15b'!$N$7:$N$100,'15b'!$H$7:$H$100,$A265,'15b'!$I$7:$I$100,2)+SUMIFS('15c'!$N$7:$N$100,'15c'!$H$7:$H$100,$A265,'15c'!$I$7:$I$100,2)+SUMIFS('15d'!$N$7:$N$100,'15d'!$H$7:$H$100,$A265,'15d'!$I$7:$I$100,2)+SUMIFS('15e'!$N$7:$N$100,'15e'!$H$7:$H$100,$A265,'15e'!$I$7:$I$100,2)+SUMIFS('15f'!$N$7:$N$100,'15f'!$H$7:$H$100,$A265,'15f'!$I$7:$I$100,2)+SUMIFS('15g'!$N$7:$N$100,'15g'!$H$7:$H$100,$A265,'15g'!$I$7:$I$100,2)+SUMIFS('15h'!$N$7:$N$100,'15h'!$H$7:$H$100,$A265,'15h'!$I$7:$I$100,2)+SUMIFS('15i'!$N$7:$N$100,'15i'!$H$7:$H$100,$A265,'15i'!$I$7:$I$100,2)+SUMIFS('15j'!$N$7:$N$100,'15j'!$H$7:$H$100,$A265,'15j'!$I$7:$I$100,2)+SUMIFS('15k'!$N$7:$N$100,'15k'!$H$7:$H$100,$A265,'15k'!$I$7:$I$100,2)+SUMIFS('15l'!$N$7:$N$100,'15l'!$H$7:$H$100,$A265,'15l'!$I$7:$I$100,2)+SUMIFS('15m'!$N$7:$N$100,'15m'!$H$7:$H$100,$A265,'15m'!$I$7:$I$100,2)+SUMIFS('15n'!$N$7:$N$100,'15n'!$H$7:$H$100,$A265,'15n'!$I$7:$I$100,2)+SUMIFS('16'!$N$7:$N$100,'16'!$H$7:$H$100,$A265,'16'!$I$7:$I$100,2)+SUMIFS('16a'!$N$7:$N$100,'16a'!$H$7:$H$100,$A265,'16a'!$I$7:$I$100,2)+SUMIFS('17'!$N$7:$N$100,'17'!$H$7:$H$100,$A265,'17'!$I$7:$I$100,2)+SUMIFS('17a'!$N$7:$N$100,'17a'!$H$7:$H$100,$A265,'17a'!$I$7:$I$100,2)+SUMIFS('18'!$N$7:$N$100,'18'!$H$7:$H$100,$A265,'18'!$I$7:$I$100,2)+SUMIFS('18a'!$N$7:$N$100,'18a'!$H$7:$H$100,$A265,'18a'!$I$7:$I$100,2)
+SUMIFS('19'!$N$7:$N$100,'19'!$H$7:$H$100,$A265,'19'!$I$7:$I$100,2)+SUMIFS('20'!$N$7:$N$100,'20'!$H$7:$H$100,$A265,'20'!$I$7:$I$100,2)+SUMIFS('20a'!$N$7:$N$100,'20a'!$H$7:$H$100,$A265,'20a'!$I$7:$I$100,2)+SUMIFS('21'!$N$7:$N$100,'21'!$H$7:$H$100,$A265,'21'!$I$7:$I$100,2)+SUMIFS('22'!$N$7:$N$100,'22'!$H$7:$H$100,$A265,'22'!$I$7:$I$100,2)+SUMIFS('22a'!$N$7:$N$100,'22a'!$H$7:$H$100,$A265,'22a'!$I$7:$I$100,2)+SUMIFS('22b'!$N$7:$N$100,'22b'!$H$7:$H$100,$A265,'22b'!$I$7:$I$100,2)+SUMIFS('23'!$N$7:$N$100,'23'!$H$7:$H$100,$A265,'23'!$I$7:$I$100,2)+SUMIFS('24'!$N$7:$N$100,'24'!$H$7:$H$100,$A265,'24'!$I$7:$I$100,2)+SUMIFS('24a'!$N$7:$N$100,'24a'!$H$7:$H$100,$A265,'24a'!$I$7:$I$100,2)+SUMIFS('24b'!$N$7:$N$100,'24b'!$H$7:$H$100,$A265,'24b'!$I$7:$I$100,2)+SUMIFS('24c'!$N$7:$N$100,'24c'!$H$7:$H$100,$A265,'24c'!$I$7:$I$100,2)+SUMIFS('24d'!$N$7:$N$100,'24d'!$H$7:$H$100,$A265,'24d'!$I$7:$I$100,2)+SUMIFS('24e'!$N$7:$N$100,'24e'!$H$7:$H$100,$A265,'24e'!$I$7:$I$100,2)+SUMIFS('24f'!$N$7:$N$100,'24f'!$H$7:$H$100,$A265,'24f'!$I$7:$I$100,2)+SUMIFS('24g'!$N$7:$N$100,'24g'!$H$7:$H$100,$A265,'24g'!$I$7:$I$100,2)+SUMIFS('24h'!$N$7:$N$100,'24h'!$H$7:$H$100,$A265,'24h'!$I$7:$I$100,2)+SUMIFS('24i'!$N$7:$N$100,'24i'!$H$7:$H$100,$A265,'24i'!$I$7:$I$100,2)+SUMIFS('25'!$N$7:$N$100,'25'!$H$7:$H$100,$A265,'25'!$I$7:$I$100,2)+SUMIFS('26'!$N$7:$N$100,'26'!$H$7:$H$100,$A265,'26'!$I$7:$I$100,2)+SUMIFS('26a'!$N$7:$N$100,'26a'!$H$7:$H$100,$A265,'26a'!$I$7:$I$100,2)+SUMIFS('27'!$N$7:$N$100,'27'!$H$7:$H$100,$A265,'27'!$I$7:$I$100,2)+SUMIFS('27a'!$N$7:$N$100,'27a'!$H$7:$H$100,$A265,'27a'!$I$7:$I$100,2)+SUMIFS('28'!$N$7:$N$100,'28'!$H$7:$H$100,$A265,'28'!$I$7:$I$100,2)+SUMIFS('29'!$N$7:$N$100,'29'!$H$7:$H$100,$A265,'29'!$I$7:$I$100,2)</f>
        <v>0</v>
      </c>
      <c r="E265" s="1315">
        <f>SUMIFS('12'!$N$7:$N$100,'12'!$H$7:$H$100,$A265,'12'!$I$7:$I$100,"")+SUMIFS('13'!$N$7:$N$100,'13'!$H$7:$H$100,$A265,'13'!$I$7:$I$100,"")+SUMIFS('14'!$N$7:$N$100,'14'!$H$7:$H$100,$A265,'14'!$I$7:$I$100,"")+SUMIFS('15'!$N$7:$N$100,'15'!$H$7:$H$100,$A265,'15'!$I$7:$I$100,"")+SUMIFS('15a'!$N$7:$N$100,'15a'!$H$7:$H$100,$A265,'15a'!$I$7:$I$100,"")+SUMIFS('15b'!$N$7:$N$100,'15b'!$H$7:$H$100,$A265,'15b'!$I$7:$I$100,"")+SUMIFS('15c'!$N$7:$N$100,'15c'!$H$7:$H$100,$A265,'15c'!$I$7:$I$100,"")+SUMIFS('15d'!$N$7:$N$100,'15d'!$H$7:$H$100,$A265,'15d'!$I$7:$I$100,"")+SUMIFS('15e'!$N$7:$N$100,'15e'!$H$7:$H$100,$A265,'15e'!$I$7:$I$100,"")+SUMIFS('15f'!$N$7:$N$100,'15f'!$H$7:$H$100,$A265,'15f'!$I$7:$I$100,"")+SUMIFS('15g'!$N$7:$N$100,'15g'!$H$7:$H$100,$A265,'15g'!$I$7:$I$100,"")+SUMIFS('15h'!$N$7:$N$100,'15h'!$H$7:$H$100,$A265,'15h'!$I$7:$I$100,"")+SUMIFS('15i'!$N$7:$N$100,'15i'!$H$7:$H$100,$A265,'15i'!$I$7:$I$100,"")+SUMIFS('15j'!$N$7:$N$100,'15j'!$H$7:$H$100,$A265,'15j'!$I$7:$I$100,"")+SUMIFS('15k'!$N$7:$N$100,'15k'!$H$7:$H$100,$A265,'15k'!$I$7:$I$100,"")+SUMIFS('15l'!$N$7:$N$100,'15l'!$H$7:$H$100,$A265,'15l'!$I$7:$I$100,"")+SUMIFS('15m'!$N$7:$N$100,'15m'!$H$7:$H$100,$A265,'15m'!$I$7:$I$100,"")+SUMIFS('15n'!$N$7:$N$100,'15n'!$H$7:$H$100,$A265,'15n'!$I$7:$I$100,"")+SUMIFS('16'!$N$7:$N$100,'16'!$H$7:$H$100,$A265,'16'!$I$7:$I$100,"")+SUMIFS('16a'!$N$7:$N$100,'16a'!$H$7:$H$100,$A265,'16a'!$I$7:$I$100,"")+SUMIFS('17'!$N$7:$N$100,'17'!$H$7:$H$100,$A265,'17'!$I$7:$I$100,"")+SUMIFS('17a'!$N$7:$N$100,'17a'!$H$7:$H$100,$A265,'17a'!$I$7:$I$100,"")+SUMIFS('18'!$N$7:$N$100,'18'!$H$7:$H$100,$A265,'18'!$I$7:$I$100,"")+SUMIFS('18a'!$N$7:$N$100,'18a'!$H$7:$H$100,$A265,'18a'!$I$7:$I$100,"")
+SUMIFS('19'!$N$7:$N$100,'19'!$H$7:$H$100,$A265,'19'!$I$7:$I$100,"")+SUMIFS('20'!$N$7:$N$100,'20'!$H$7:$H$100,$A265,'20'!$I$7:$I$100,"")+SUMIFS('20a'!$N$7:$N$100,'20a'!$H$7:$H$100,$A265,'20a'!$I$7:$I$100,"")+SUMIFS('21'!$N$7:$N$100,'21'!$H$7:$H$100,$A265,'21'!$I$7:$I$100,"")+SUMIFS('22'!$N$7:$N$100,'22'!$H$7:$H$100,$A265,'22'!$I$7:$I$100,"")+SUMIFS('22a'!$N$7:$N$100,'22a'!$H$7:$H$100,$A265,'22a'!$I$7:$I$100,"")+SUMIFS('22b'!$N$7:$N$100,'22b'!$H$7:$H$100,$A265,'22b'!$I$7:$I$100,"")+SUMIFS('23'!$N$7:$N$100,'23'!$H$7:$H$100,$A265,'23'!$I$7:$I$100,"")+SUMIFS('24'!$N$7:$N$100,'24'!$H$7:$H$100,$A265,'24'!$I$7:$I$100,"")+SUMIFS('24a'!$N$7:$N$100,'24a'!$H$7:$H$100,$A265,'24a'!$I$7:$I$100,"")+SUMIFS('24b'!$N$7:$N$100,'24b'!$H$7:$H$100,$A265,'24b'!$I$7:$I$100,"")+SUMIFS('24c'!$N$7:$N$100,'24c'!$H$7:$H$100,$A265,'24c'!$I$7:$I$100,"")+SUMIFS('24d'!$N$7:$N$100,'24d'!$H$7:$H$100,$A265,'24d'!$I$7:$I$100,"")+SUMIFS('24e'!$N$7:$N$100,'24e'!$H$7:$H$100,$A265,'24e'!$I$7:$I$100,"")+SUMIFS('24f'!$N$7:$N$100,'24f'!$H$7:$H$100,$A265,'24f'!$I$7:$I$100,"")+SUMIFS('24g'!$N$7:$N$100,'24g'!$H$7:$H$100,$A265,'24g'!$I$7:$I$100,"")+SUMIFS('24h'!$N$7:$N$100,'24h'!$H$7:$H$100,$A265,'24h'!$I$7:$I$100,"")+SUMIFS('24i'!$N$7:$N$100,'24i'!$H$7:$H$100,$A265,'24i'!$I$7:$I$100,"")+SUMIFS('25'!$N$7:$N$100,'25'!$H$7:$H$100,$A265,'25'!$I$7:$I$100,"")+SUMIFS('26'!$N$7:$N$100,'26'!$H$7:$H$100,$A265,'26'!$I$7:$I$100,"")+SUMIFS('26a'!$N$7:$N$100,'26a'!$H$7:$H$100,$A265,'26a'!$I$7:$I$100,"")+SUMIFS('27'!$N$7:$N$100,'27'!$H$7:$H$100,$A265,'27'!$I$7:$I$100,"")+SUMIFS('27a'!$N$7:$N$100,'27a'!$H$7:$H$100,$A265,'27a'!$I$7:$I$100,"")+SUMIFS('28'!$N$7:$N$100,'28'!$H$7:$H$100,$A265,'28'!$I$7:$I$100,"")+SUMIFS('29'!$N$7:$N$100,'29'!$H$7:$H$100,$A265,'29'!$I$7:$I$100,"")</f>
        <v>0</v>
      </c>
      <c r="F265" s="1296">
        <f t="shared" si="24"/>
        <v>0</v>
      </c>
      <c r="G265" s="1295">
        <f>SUMIFS('12'!$J$7:$J$100,'12'!$H$7:$H$100,$A265,'12'!$I$7:$I$100,1)+SUMIFS('13'!$J$7:$J$100,'13'!$H$7:$H$100,$A265,'13'!$I$7:$I$100,1)+SUMIFS('14'!$J$7:$J$100,'14'!$H$7:$H$100,$A265,'14'!$I$7:$I$100,1)+SUMIFS('15'!$J$7:$J$100,'15'!$H$7:$H$100,$A265,'15'!$I$7:$I$100,1)+SUMIFS('15a'!$J$7:$J$100,'15a'!$H$7:$H$100,$A265,'15a'!$I$7:$I$100,1)+SUMIFS('15b'!$J$7:$J$100,'15b'!$H$7:$H$100,$A265,'15b'!$I$7:$I$100,1)+SUMIFS('15c'!$J$7:$J$100,'15c'!$H$7:$H$100,$A265,'15c'!$I$7:$I$100,1)+SUMIFS('15d'!$J$7:$J$100,'15d'!$H$7:$H$100,$A265,'15d'!$I$7:$I$100,1)+SUMIFS('15e'!$J$7:$J$100,'15e'!$H$7:$H$100,$A265,'15e'!$I$7:$I$100,1)+SUMIFS('15f'!$J$7:$J$100,'15f'!$H$7:$H$100,$A265,'15f'!$I$7:$I$100,1)+SUMIFS('15g'!$J$7:$J$100,'15g'!$H$7:$H$100,$A265,'15g'!$I$7:$I$100,1)+SUMIFS('15h'!$J$7:$J$100,'15h'!$H$7:$H$100,$A265,'15h'!$I$7:$I$100,1)+SUMIFS('15i'!$J$7:$J$100,'15i'!$H$7:$H$100,$A265,'15i'!$I$7:$I$100,1)+SUMIFS('15j'!$J$7:$J$100,'15j'!$H$7:$H$100,$A265,'15j'!$I$7:$I$100,1)+SUMIFS('15k'!$J$7:$J$100,'15k'!$H$7:$H$100,$A265,'15k'!$I$7:$I$100,1)+SUMIFS('15l'!$J$7:$J$100,'15l'!$H$7:$H$100,$A265,'15l'!$I$7:$I$100,1)+SUMIFS('15m'!$J$7:$J$100,'15m'!$H$7:$H$100,$A265,'15m'!$I$7:$I$100,1)+SUMIFS('15n'!$J$7:$J$100,'15n'!$H$7:$H$100,$A265,'15n'!$I$7:$I$100,1)+SUMIFS('16'!$J$7:$J$100,'16'!$H$7:$H$100,$A265,'16'!$I$7:$I$100,1)+SUMIFS('16a'!$J$7:$J$100,'16a'!$H$7:$H$100,$A265,'16a'!$I$7:$I$100,1)+SUMIFS('17'!$J$7:$J$100,'17'!$H$7:$H$100,$A265,'17'!$I$7:$I$100,1)+SUMIFS('17a'!$J$7:$J$100,'17a'!$H$7:$H$100,$A265,'17a'!$I$7:$I$100,1)+SUMIFS('18'!$J$7:$J$100,'18'!$H$7:$H$100,$A265,'18'!$I$7:$I$100,1)+SUMIFS('18a'!$J$7:$J$100,'18a'!$H$7:$H$100,$A265,'18a'!$I$7:$I$100,1)
+SUMIFS('19'!$J$7:$J$100,'19'!$H$7:$H$100,$A265,'19'!$I$7:$I$100,1)+SUMIFS('20'!$J$7:$J$100,'20'!$H$7:$H$100,$A265,'20'!$I$7:$I$100,1)+SUMIFS('20a'!$J$7:$J$100,'20a'!$H$7:$H$100,$A265,'20a'!$I$7:$I$100,1)+SUMIFS('21'!$J$7:$J$100,'21'!$H$7:$H$100,$A265,'21'!$I$7:$I$100,1)+SUMIFS('22'!$J$7:$J$100,'22'!$H$7:$H$100,$A265,'22'!$I$7:$I$100,1)+SUMIFS('22a'!$J$7:$J$100,'22a'!$H$7:$H$100,$A265,'22a'!$I$7:$I$100,1)+SUMIFS('22b'!$J$7:$J$100,'22b'!$H$7:$H$100,$A265,'22b'!$I$7:$I$100,1)+SUMIFS('23'!$J$7:$J$100,'23'!$H$7:$H$100,$A265,'23'!$I$7:$I$100,1)+SUMIFS('24'!$J$7:$J$100,'24'!$H$7:$H$100,$A265,'24'!$I$7:$I$100,1)+SUMIFS('24a'!$J$7:$J$100,'24a'!$H$7:$H$100,$A265,'24a'!$I$7:$I$100,1)+SUMIFS('24b'!$J$7:$J$100,'24b'!$H$7:$H$100,$A265,'24b'!$I$7:$I$100,1)+SUMIFS('24c'!$J$7:$J$100,'24c'!$H$7:$H$100,$A265,'24c'!$I$7:$I$100,1)+SUMIFS('24d'!$J$7:$J$100,'24d'!$H$7:$H$100,$A265,'24d'!$I$7:$I$100,1)+SUMIFS('24e'!$J$7:$J$100,'24e'!$H$7:$H$100,$A265,'24e'!$I$7:$I$100,1)+SUMIFS('24f'!$J$7:$J$100,'24f'!$H$7:$H$100,$A265,'24f'!$I$7:$I$100,1)+SUMIFS('24g'!$J$7:$J$100,'24g'!$H$7:$H$100,$A265,'24g'!$I$7:$I$100,1)+SUMIFS('24h'!$J$7:$J$100,'24h'!$H$7:$H$100,$A265,'24h'!$I$7:$I$100,1)+SUMIFS('24i'!$J$7:$J$100,'24i'!$H$7:$H$100,$A265,'24i'!$I$7:$I$100,1)+SUMIFS('25'!$J$7:$J$100,'25'!$H$7:$H$100,$A265,'25'!$I$7:$I$100,1)+SUMIFS('26'!$J$7:$J$100,'26'!$H$7:$H$100,$A265,'26'!$I$7:$I$100,1)+SUMIFS('26a'!$J$7:$J$100,'26a'!$H$7:$H$100,$A265,'26a'!$I$7:$I$100,1)+SUMIFS('27'!$J$7:$J$100,'27'!$H$7:$H$100,$A265,'27'!$I$7:$I$100,1)+SUMIFS('27a'!$J$7:$J$100,'27a'!$H$7:$H$100,$A265,'27a'!$I$7:$I$100,1)+SUMIFS('28'!$J$7:$J$100,'28'!$H$7:$H$100,$A265,'28'!$I$7:$I$100,1)+SUMIFS('29'!$J$7:$J$100,'29'!$H$7:$H$100,$A265,'29'!$I$7:$I$100,1)</f>
        <v>0</v>
      </c>
      <c r="H265" s="1315">
        <f>SUMIFS('12'!$J$7:$J$100,'12'!$H$7:$H$100,$A265,'12'!$I$7:$I$100,2)+SUMIFS('13'!$J$7:$J$100,'13'!$H$7:$H$100,$A265,'13'!$I$7:$I$100,2)+SUMIFS('14'!$J$7:$J$100,'14'!$H$7:$H$100,$A265,'14'!$I$7:$I$100,2)+SUMIFS('15'!$J$7:$J$100,'15'!$H$7:$H$100,$A265,'15'!$I$7:$I$100,2)+SUMIFS('15a'!$J$7:$J$100,'15a'!$H$7:$H$100,$A265,'15a'!$I$7:$I$100,2)+SUMIFS('15b'!$J$7:$J$100,'15b'!$H$7:$H$100,$A265,'15b'!$I$7:$I$100,2)+SUMIFS('15c'!$J$7:$J$100,'15c'!$H$7:$H$100,$A265,'15c'!$I$7:$I$100,2)+SUMIFS('15d'!$J$7:$J$100,'15d'!$H$7:$H$100,$A265,'15d'!$I$7:$I$100,2)+SUMIFS('15e'!$J$7:$J$100,'15e'!$H$7:$H$100,$A265,'15e'!$I$7:$I$100,2)+SUMIFS('15f'!$J$7:$J$100,'15f'!$H$7:$H$100,$A265,'15f'!$I$7:$I$100,2)+SUMIFS('15g'!$J$7:$J$100,'15g'!$H$7:$H$100,$A265,'15g'!$I$7:$I$100,2)+SUMIFS('15h'!$J$7:$J$100,'15h'!$H$7:$H$100,$A265,'15h'!$I$7:$I$100,2)+SUMIFS('15i'!$J$7:$J$100,'15i'!$H$7:$H$100,$A265,'15i'!$I$7:$I$100,2)+SUMIFS('15j'!$J$7:$J$100,'15j'!$H$7:$H$100,$A265,'15j'!$I$7:$I$100,2)+SUMIFS('15k'!$J$7:$J$100,'15k'!$H$7:$H$100,$A265,'15k'!$I$7:$I$100,2)+SUMIFS('15l'!$J$7:$J$100,'15l'!$H$7:$H$100,$A265,'15l'!$I$7:$I$100,2)+SUMIFS('15m'!$J$7:$J$100,'15m'!$H$7:$H$100,$A265,'15m'!$I$7:$I$100,2)+SUMIFS('15n'!$J$7:$J$100,'15n'!$H$7:$H$100,$A265,'15n'!$I$7:$I$100,2)+SUMIFS('16'!$J$7:$J$100,'16'!$H$7:$H$100,$A265,'16'!$I$7:$I$100,2)+SUMIFS('16a'!$J$7:$J$100,'16a'!$H$7:$H$100,$A265,'16a'!$I$7:$I$100,2)+SUMIFS('17'!$J$7:$J$100,'17'!$H$7:$H$100,$A265,'17'!$I$7:$I$100,2)+SUMIFS('17a'!$J$7:$J$100,'17a'!$H$7:$H$100,$A265,'17a'!$I$7:$I$100,2)+SUMIFS('18'!$J$7:$J$100,'18'!$H$7:$H$100,$A265,'18'!$I$7:$I$100,2)+SUMIFS('18a'!$J$7:$J$100,'18a'!$H$7:$H$100,$A265,'18a'!$I$7:$I$100,2)
+SUMIFS('19'!$J$7:$J$100,'19'!$H$7:$H$100,$A265,'19'!$I$7:$I$100,2)+SUMIFS('20'!$J$7:$J$100,'20'!$H$7:$H$100,$A265,'20'!$I$7:$I$100,2)+SUMIFS('20a'!$J$7:$J$100,'20a'!$H$7:$H$100,$A265,'20a'!$I$7:$I$100,2)+SUMIFS('21'!$J$7:$J$100,'21'!$H$7:$H$100,$A265,'21'!$I$7:$I$100,2)+SUMIFS('22'!$J$7:$J$100,'22'!$H$7:$H$100,$A265,'22'!$I$7:$I$100,2)+SUMIFS('22a'!$J$7:$J$100,'22a'!$H$7:$H$100,$A265,'22a'!$I$7:$I$100,2)+SUMIFS('22b'!$J$7:$J$100,'22b'!$H$7:$H$100,$A265,'22b'!$I$7:$I$100,2)+SUMIFS('23'!$J$7:$J$100,'23'!$H$7:$H$100,$A265,'23'!$I$7:$I$100,2)+SUMIFS('24'!$J$7:$J$100,'24'!$H$7:$H$100,$A265,'24'!$I$7:$I$100,2)+SUMIFS('24a'!$J$7:$J$100,'24a'!$H$7:$H$100,$A265,'24a'!$I$7:$I$100,2)+SUMIFS('24b'!$J$7:$J$100,'24b'!$H$7:$H$100,$A265,'24b'!$I$7:$I$100,2)+SUMIFS('24c'!$J$7:$J$100,'24c'!$H$7:$H$100,$A265,'24c'!$I$7:$I$100,2)+SUMIFS('24d'!$J$7:$J$100,'24d'!$H$7:$H$100,$A265,'24d'!$I$7:$I$100,2)+SUMIFS('24e'!$J$7:$J$100,'24e'!$H$7:$H$100,$A265,'24e'!$I$7:$I$100,2)+SUMIFS('24f'!$J$7:$J$100,'24f'!$H$7:$H$100,$A265,'24f'!$I$7:$I$100,2)+SUMIFS('24g'!$J$7:$J$100,'24g'!$H$7:$H$100,$A265,'24g'!$I$7:$I$100,2)+SUMIFS('24h'!$J$7:$J$100,'24h'!$H$7:$H$100,$A265,'24h'!$I$7:$I$100,2)+SUMIFS('24i'!$J$7:$J$100,'24i'!$H$7:$H$100,$A265,'24i'!$I$7:$I$100,2)+SUMIFS('25'!$J$7:$J$100,'25'!$H$7:$H$100,$A265,'25'!$I$7:$I$100,2)+SUMIFS('26'!$J$7:$J$100,'26'!$H$7:$H$100,$A265,'26'!$I$7:$I$100,2)+SUMIFS('26a'!$J$7:$J$100,'26a'!$H$7:$H$100,$A265,'26a'!$I$7:$I$100,2)+SUMIFS('27'!$J$7:$J$100,'27'!$H$7:$H$100,$A265,'27'!$I$7:$I$100,2)+SUMIFS('27a'!$J$7:$J$100,'27a'!$H$7:$H$100,$A265,'27a'!$I$7:$I$100,2)+SUMIFS('28'!$J$7:$J$100,'28'!$H$7:$H$100,$A265,'28'!$I$7:$I$100,2)+SUMIFS('29'!$J$7:$J$100,'29'!$H$7:$H$100,$A265,'29'!$I$7:$I$100,2)</f>
        <v>0</v>
      </c>
      <c r="I265" s="1315">
        <f>SUMIFS('12'!$J$7:$J$100,'12'!$H$7:$H$100,$A265,'12'!$I$7:$I$100,"")+SUMIFS('13'!$J$7:$J$100,'13'!$H$7:$H$100,$A265,'13'!$I$7:$I$100,"")+SUMIFS('14'!$J$7:$J$100,'14'!$H$7:$H$100,$A265,'14'!$I$7:$I$100,"")+SUMIFS('15'!$J$7:$J$100,'15'!$H$7:$H$100,$A265,'15'!$I$7:$I$100,"")+SUMIFS('15a'!$J$7:$J$100,'15a'!$H$7:$H$100,$A265,'15a'!$I$7:$I$100,"")+SUMIFS('15b'!$J$7:$J$100,'15b'!$H$7:$H$100,$A265,'15b'!$I$7:$I$100,"")+SUMIFS('15c'!$J$7:$J$100,'15c'!$H$7:$H$100,$A265,'15c'!$I$7:$I$100,"")+SUMIFS('15d'!$J$7:$J$100,'15d'!$H$7:$H$100,$A265,'15d'!$I$7:$I$100,"")+SUMIFS('15e'!$J$7:$J$100,'15e'!$H$7:$H$100,$A265,'15e'!$I$7:$I$100,"")+SUMIFS('15f'!$J$7:$J$100,'15f'!$H$7:$H$100,$A265,'15f'!$I$7:$I$100,"")+SUMIFS('15g'!$J$7:$J$100,'15g'!$H$7:$H$100,$A265,'15g'!$I$7:$I$100,"")+SUMIFS('15h'!$J$7:$J$100,'15h'!$H$7:$H$100,$A265,'15h'!$I$7:$I$100,"")+SUMIFS('15i'!$J$7:$J$100,'15i'!$H$7:$H$100,$A265,'15i'!$I$7:$I$100,"")+SUMIFS('15j'!$J$7:$J$100,'15j'!$H$7:$H$100,$A265,'15j'!$I$7:$I$100,"")+SUMIFS('15k'!$J$7:$J$100,'15k'!$H$7:$H$100,$A265,'15k'!$I$7:$I$100,"")+SUMIFS('15l'!$J$7:$J$100,'15l'!$H$7:$H$100,$A265,'15l'!$I$7:$I$100,"")+SUMIFS('15m'!$J$7:$J$100,'15m'!$H$7:$H$100,$A265,'15m'!$I$7:$I$100,"")+SUMIFS('15n'!$J$7:$J$100,'15n'!$H$7:$H$100,$A265,'15n'!$I$7:$I$100,"")+SUMIFS('16'!$J$7:$J$100,'16'!$H$7:$H$100,$A265,'16'!$I$7:$I$100,"")+SUMIFS('16a'!$J$7:$J$100,'16a'!$H$7:$H$100,$A265,'16a'!$I$7:$I$100,"")+SUMIFS('17'!$J$7:$J$100,'17'!$H$7:$H$100,$A265,'17'!$I$7:$I$100,"")+SUMIFS('17a'!$J$7:$J$100,'17a'!$H$7:$H$100,$A265,'17a'!$I$7:$I$100,"")+SUMIFS('18'!$J$7:$J$100,'18'!$H$7:$H$100,$A265,'18'!$I$7:$I$100,"")+SUMIFS('18a'!$J$7:$J$100,'18a'!$H$7:$H$100,$A265,'18a'!$I$7:$I$100,"")
+SUMIFS('19'!$J$7:$J$100,'19'!$H$7:$H$100,$A265,'19'!$I$7:$I$100,"")+SUMIFS('20'!$J$7:$J$100,'20'!$H$7:$H$100,$A265,'20'!$I$7:$I$100,"")+SUMIFS('20a'!$J$7:$J$100,'20a'!$H$7:$H$100,$A265,'20a'!$I$7:$I$100,"")+SUMIFS('21'!$J$7:$J$100,'21'!$H$7:$H$100,$A265,'21'!$I$7:$I$100,"")+SUMIFS('22'!$J$7:$J$100,'22'!$H$7:$H$100,$A265,'22'!$I$7:$I$100,"")+SUMIFS('22a'!$J$7:$J$100,'22a'!$H$7:$H$100,$A265,'22a'!$I$7:$I$100,"")+SUMIFS('22b'!$J$7:$J$100,'22b'!$H$7:$H$100,$A265,'22b'!$I$7:$I$100,"")+SUMIFS('23'!$J$7:$J$100,'23'!$H$7:$H$100,$A265,'23'!$I$7:$I$100,"")+SUMIFS('24'!$J$7:$J$100,'24'!$H$7:$H$100,$A265,'24'!$I$7:$I$100,"")+SUMIFS('24a'!$J$7:$J$100,'24a'!$H$7:$H$100,$A265,'24a'!$I$7:$I$100,"")+SUMIFS('24b'!$J$7:$J$100,'24b'!$H$7:$H$100,$A265,'24b'!$I$7:$I$100,"")+SUMIFS('24c'!$J$7:$J$100,'24c'!$H$7:$H$100,$A265,'24c'!$I$7:$I$100,"")+SUMIFS('24d'!$J$7:$J$100,'24d'!$H$7:$H$100,$A265,'24d'!$I$7:$I$100,"")+SUMIFS('24e'!$J$7:$J$100,'24e'!$H$7:$H$100,$A265,'24e'!$I$7:$I$100,"")+SUMIFS('24f'!$J$7:$J$100,'24f'!$H$7:$H$100,$A265,'24f'!$I$7:$I$100,"")+SUMIFS('24g'!$J$7:$J$100,'24g'!$H$7:$H$100,$A265,'24g'!$I$7:$I$100,"")+SUMIFS('24h'!$J$7:$J$100,'24h'!$H$7:$H$100,$A265,'24h'!$I$7:$I$100,"")+SUMIFS('24i'!$J$7:$J$100,'24i'!$H$7:$H$100,$A265,'24i'!$I$7:$I$100,"")+SUMIFS('25'!$J$7:$J$100,'25'!$H$7:$H$100,$A265,'25'!$I$7:$I$100,"")+SUMIFS('26'!$J$7:$J$100,'26'!$H$7:$H$100,$A265,'26'!$I$7:$I$100,"")+SUMIFS('26a'!$J$7:$J$100,'26a'!$H$7:$H$100,$A265,'26a'!$I$7:$I$100,"")+SUMIFS('27'!$J$7:$J$100,'27'!$H$7:$H$100,$A265,'27'!$I$7:$I$100,"")+SUMIFS('27a'!$J$7:$J$100,'27a'!$H$7:$H$100,$A265,'27a'!$I$7:$I$100,"")+SUMIFS('28'!$J$7:$J$100,'28'!$H$7:$H$100,$A265,'28'!$I$7:$I$100,"")+SUMIFS('29'!$J$7:$J$100,'29'!$H$7:$H$100,$A265,'29'!$I$7:$I$100,"")</f>
        <v>0</v>
      </c>
      <c r="J265" s="1296">
        <f t="shared" si="25"/>
        <v>0</v>
      </c>
      <c r="K265"/>
      <c r="L265"/>
      <c r="M265"/>
      <c r="N265"/>
      <c r="O265"/>
      <c r="P265"/>
      <c r="Q265"/>
      <c r="R265"/>
      <c r="S265" s="1307">
        <f t="shared" si="14"/>
        <v>0</v>
      </c>
      <c r="T265"/>
    </row>
    <row r="266" spans="1:20" x14ac:dyDescent="0.2">
      <c r="A266" t="s">
        <v>5180</v>
      </c>
      <c r="B266" t="s">
        <v>5508</v>
      </c>
      <c r="C266" s="1295">
        <f>SUMIFS('12'!$N$7:$N$100,'12'!$H$7:$H$100,$A266,'12'!$I$7:$I$100,1)+SUMIFS('13'!$N$7:$N$100,'13'!$H$7:$H$100,$A266,'13'!$I$7:$I$100,1)+SUMIFS('14'!$N$7:$N$100,'14'!$H$7:$H$100,$A266,'14'!$I$7:$I$100,1)+SUMIFS('15'!$N$7:$N$100,'15'!$H$7:$H$100,$A266,'15'!$I$7:$I$100,1)+SUMIFS('15a'!$N$7:$N$100,'15a'!$H$7:$H$100,$A266,'15a'!$I$7:$I$100,1)+SUMIFS('15b'!$N$7:$N$100,'15b'!$H$7:$H$100,$A266,'15b'!$I$7:$I$100,1)+SUMIFS('15c'!$N$7:$N$100,'15c'!$H$7:$H$100,$A266,'15c'!$I$7:$I$100,1)+SUMIFS('15d'!$N$7:$N$100,'15d'!$H$7:$H$100,$A266,'15d'!$I$7:$I$100,1)+SUMIFS('15e'!$N$7:$N$100,'15e'!$H$7:$H$100,$A266,'15e'!$I$7:$I$100,1)+SUMIFS('15f'!$N$7:$N$100,'15f'!$H$7:$H$100,$A266,'15f'!$I$7:$I$100,1)+SUMIFS('15g'!$N$7:$N$100,'15g'!$H$7:$H$100,$A266,'15g'!$I$7:$I$100,1)+SUMIFS('15h'!$N$7:$N$100,'15h'!$H$7:$H$100,$A266,'15h'!$I$7:$I$100,1)+SUMIFS('15i'!$N$7:$N$100,'15i'!$H$7:$H$100,$A266,'15i'!$I$7:$I$100,1)+SUMIFS('15j'!$N$7:$N$100,'15j'!$H$7:$H$100,$A266,'15j'!$I$7:$I$100,1)+SUMIFS('15k'!$N$7:$N$100,'15k'!$H$7:$H$100,$A266,'15k'!$I$7:$I$100,1)+SUMIFS('15l'!$N$7:$N$100,'15l'!$H$7:$H$100,$A266,'15l'!$I$7:$I$100,1)+SUMIFS('15m'!$N$7:$N$100,'15m'!$H$7:$H$100,$A266,'15m'!$I$7:$I$100,1)+SUMIFS('15n'!$N$7:$N$100,'15n'!$H$7:$H$100,$A266,'15n'!$I$7:$I$100,1)+SUMIFS('16'!$N$7:$N$100,'16'!$H$7:$H$100,$A266,'16'!$I$7:$I$100,1)+SUMIFS('16a'!$N$7:$N$100,'16a'!$H$7:$H$100,$A266,'16a'!$I$7:$I$100,1)+SUMIFS('17'!$N$7:$N$100,'17'!$H$7:$H$100,$A266,'17'!$I$7:$I$100,1)+SUMIFS('17a'!$N$7:$N$100,'17a'!$H$7:$H$100,$A266,'17a'!$I$7:$I$100,1)+SUMIFS('18'!$N$7:$N$100,'18'!$H$7:$H$100,$A266,'18'!$I$7:$I$100,1)+SUMIFS('18a'!$N$7:$N$100,'18a'!$H$7:$H$100,$A266,'18a'!$I$7:$I$100,1)
+SUMIFS('19'!$N$7:$N$100,'19'!$H$7:$H$100,$A266,'19'!$I$7:$I$100,1)+SUMIFS('20'!$N$7:$N$100,'20'!$H$7:$H$100,$A266,'20'!$I$7:$I$100,1)+SUMIFS('20a'!$N$7:$N$100,'20a'!$H$7:$H$100,$A266,'20a'!$I$7:$I$100,1)+SUMIFS('21'!$N$7:$N$100,'21'!$H$7:$H$100,$A266,'21'!$I$7:$I$100,1)+SUMIFS('22'!$N$7:$N$100,'22'!$H$7:$H$100,$A266,'22'!$I$7:$I$100,1)+SUMIFS('22a'!$N$7:$N$100,'22a'!$H$7:$H$100,$A266,'22a'!$I$7:$I$100,1)+SUMIFS('22b'!$N$7:$N$100,'22b'!$H$7:$H$100,$A266,'22b'!$I$7:$I$100,1)+SUMIFS('23'!$N$7:$N$100,'23'!$H$7:$H$100,$A266,'23'!$I$7:$I$100,1)+SUMIFS('24'!$N$7:$N$100,'24'!$H$7:$H$100,$A266,'24'!$I$7:$I$100,1)+SUMIFS('24a'!$N$7:$N$100,'24a'!$H$7:$H$100,$A266,'24a'!$I$7:$I$100,1)+SUMIFS('24b'!$N$7:$N$100,'24b'!$H$7:$H$100,$A266,'24b'!$I$7:$I$100,1)+SUMIFS('24c'!$N$7:$N$100,'24c'!$H$7:$H$100,$A266,'24c'!$I$7:$I$100,1)+SUMIFS('24d'!$N$7:$N$100,'24d'!$H$7:$H$100,$A266,'24d'!$I$7:$I$100,1)+SUMIFS('24e'!$N$7:$N$100,'24e'!$H$7:$H$100,$A266,'24e'!$I$7:$I$100,1)+SUMIFS('24f'!$N$7:$N$100,'24f'!$H$7:$H$100,$A266,'24f'!$I$7:$I$100,1)+SUMIFS('24g'!$N$7:$N$100,'24g'!$H$7:$H$100,$A266,'24g'!$I$7:$I$100,1)+SUMIFS('24h'!$N$7:$N$100,'24h'!$H$7:$H$100,$A266,'24h'!$I$7:$I$100,1)+SUMIFS('24i'!$N$7:$N$100,'24i'!$H$7:$H$100,$A266,'24i'!$I$7:$I$100,1)+SUMIFS('25'!$N$7:$N$100,'25'!$H$7:$H$100,$A266,'25'!$I$7:$I$100,1)+SUMIFS('26'!$N$7:$N$100,'26'!$H$7:$H$100,$A266,'26'!$I$7:$I$100,1)+SUMIFS('26a'!$N$7:$N$100,'26a'!$H$7:$H$100,$A266,'26a'!$I$7:$I$100,1)+SUMIFS('27'!$N$7:$N$100,'27'!$H$7:$H$100,$A266,'27'!$I$7:$I$100,1)+SUMIFS('27a'!$N$7:$N$100,'27a'!$H$7:$H$100,$A266,'27a'!$I$7:$I$100,1)+SUMIFS('28'!$N$7:$N$100,'28'!$H$7:$H$100,$A266,'28'!$I$7:$I$100,1)+SUMIFS('29'!$N$7:$N$100,'29'!$H$7:$H$100,$A266,'29'!$I$7:$I$100,1)</f>
        <v>0</v>
      </c>
      <c r="D266" s="1315">
        <f>SUMIFS('12'!$N$7:$N$100,'12'!$H$7:$H$100,$A266,'12'!$I$7:$I$100,2)+SUMIFS('13'!$N$7:$N$100,'13'!$H$7:$H$100,$A266,'13'!$I$7:$I$100,2)+SUMIFS('14'!$N$7:$N$100,'14'!$H$7:$H$100,$A266,'14'!$I$7:$I$100,2)+SUMIFS('15'!$N$7:$N$100,'15'!$H$7:$H$100,$A266,'15'!$I$7:$I$100,2)+SUMIFS('15a'!$N$7:$N$100,'15a'!$H$7:$H$100,$A266,'15a'!$I$7:$I$100,2)+SUMIFS('15b'!$N$7:$N$100,'15b'!$H$7:$H$100,$A266,'15b'!$I$7:$I$100,2)+SUMIFS('15c'!$N$7:$N$100,'15c'!$H$7:$H$100,$A266,'15c'!$I$7:$I$100,2)+SUMIFS('15d'!$N$7:$N$100,'15d'!$H$7:$H$100,$A266,'15d'!$I$7:$I$100,2)+SUMIFS('15e'!$N$7:$N$100,'15e'!$H$7:$H$100,$A266,'15e'!$I$7:$I$100,2)+SUMIFS('15f'!$N$7:$N$100,'15f'!$H$7:$H$100,$A266,'15f'!$I$7:$I$100,2)+SUMIFS('15g'!$N$7:$N$100,'15g'!$H$7:$H$100,$A266,'15g'!$I$7:$I$100,2)+SUMIFS('15h'!$N$7:$N$100,'15h'!$H$7:$H$100,$A266,'15h'!$I$7:$I$100,2)+SUMIFS('15i'!$N$7:$N$100,'15i'!$H$7:$H$100,$A266,'15i'!$I$7:$I$100,2)+SUMIFS('15j'!$N$7:$N$100,'15j'!$H$7:$H$100,$A266,'15j'!$I$7:$I$100,2)+SUMIFS('15k'!$N$7:$N$100,'15k'!$H$7:$H$100,$A266,'15k'!$I$7:$I$100,2)+SUMIFS('15l'!$N$7:$N$100,'15l'!$H$7:$H$100,$A266,'15l'!$I$7:$I$100,2)+SUMIFS('15m'!$N$7:$N$100,'15m'!$H$7:$H$100,$A266,'15m'!$I$7:$I$100,2)+SUMIFS('15n'!$N$7:$N$100,'15n'!$H$7:$H$100,$A266,'15n'!$I$7:$I$100,2)+SUMIFS('16'!$N$7:$N$100,'16'!$H$7:$H$100,$A266,'16'!$I$7:$I$100,2)+SUMIFS('16a'!$N$7:$N$100,'16a'!$H$7:$H$100,$A266,'16a'!$I$7:$I$100,2)+SUMIFS('17'!$N$7:$N$100,'17'!$H$7:$H$100,$A266,'17'!$I$7:$I$100,2)+SUMIFS('17a'!$N$7:$N$100,'17a'!$H$7:$H$100,$A266,'17a'!$I$7:$I$100,2)+SUMIFS('18'!$N$7:$N$100,'18'!$H$7:$H$100,$A266,'18'!$I$7:$I$100,2)+SUMIFS('18a'!$N$7:$N$100,'18a'!$H$7:$H$100,$A266,'18a'!$I$7:$I$100,2)
+SUMIFS('19'!$N$7:$N$100,'19'!$H$7:$H$100,$A266,'19'!$I$7:$I$100,2)+SUMIFS('20'!$N$7:$N$100,'20'!$H$7:$H$100,$A266,'20'!$I$7:$I$100,2)+SUMIFS('20a'!$N$7:$N$100,'20a'!$H$7:$H$100,$A266,'20a'!$I$7:$I$100,2)+SUMIFS('21'!$N$7:$N$100,'21'!$H$7:$H$100,$A266,'21'!$I$7:$I$100,2)+SUMIFS('22'!$N$7:$N$100,'22'!$H$7:$H$100,$A266,'22'!$I$7:$I$100,2)+SUMIFS('22a'!$N$7:$N$100,'22a'!$H$7:$H$100,$A266,'22a'!$I$7:$I$100,2)+SUMIFS('22b'!$N$7:$N$100,'22b'!$H$7:$H$100,$A266,'22b'!$I$7:$I$100,2)+SUMIFS('23'!$N$7:$N$100,'23'!$H$7:$H$100,$A266,'23'!$I$7:$I$100,2)+SUMIFS('24'!$N$7:$N$100,'24'!$H$7:$H$100,$A266,'24'!$I$7:$I$100,2)+SUMIFS('24a'!$N$7:$N$100,'24a'!$H$7:$H$100,$A266,'24a'!$I$7:$I$100,2)+SUMIFS('24b'!$N$7:$N$100,'24b'!$H$7:$H$100,$A266,'24b'!$I$7:$I$100,2)+SUMIFS('24c'!$N$7:$N$100,'24c'!$H$7:$H$100,$A266,'24c'!$I$7:$I$100,2)+SUMIFS('24d'!$N$7:$N$100,'24d'!$H$7:$H$100,$A266,'24d'!$I$7:$I$100,2)+SUMIFS('24e'!$N$7:$N$100,'24e'!$H$7:$H$100,$A266,'24e'!$I$7:$I$100,2)+SUMIFS('24f'!$N$7:$N$100,'24f'!$H$7:$H$100,$A266,'24f'!$I$7:$I$100,2)+SUMIFS('24g'!$N$7:$N$100,'24g'!$H$7:$H$100,$A266,'24g'!$I$7:$I$100,2)+SUMIFS('24h'!$N$7:$N$100,'24h'!$H$7:$H$100,$A266,'24h'!$I$7:$I$100,2)+SUMIFS('24i'!$N$7:$N$100,'24i'!$H$7:$H$100,$A266,'24i'!$I$7:$I$100,2)+SUMIFS('25'!$N$7:$N$100,'25'!$H$7:$H$100,$A266,'25'!$I$7:$I$100,2)+SUMIFS('26'!$N$7:$N$100,'26'!$H$7:$H$100,$A266,'26'!$I$7:$I$100,2)+SUMIFS('26a'!$N$7:$N$100,'26a'!$H$7:$H$100,$A266,'26a'!$I$7:$I$100,2)+SUMIFS('27'!$N$7:$N$100,'27'!$H$7:$H$100,$A266,'27'!$I$7:$I$100,2)+SUMIFS('27a'!$N$7:$N$100,'27a'!$H$7:$H$100,$A266,'27a'!$I$7:$I$100,2)+SUMIFS('28'!$N$7:$N$100,'28'!$H$7:$H$100,$A266,'28'!$I$7:$I$100,2)+SUMIFS('29'!$N$7:$N$100,'29'!$H$7:$H$100,$A266,'29'!$I$7:$I$100,2)</f>
        <v>0</v>
      </c>
      <c r="E266" s="1315">
        <f>SUMIFS('12'!$N$7:$N$100,'12'!$H$7:$H$100,$A266,'12'!$I$7:$I$100,"")+SUMIFS('13'!$N$7:$N$100,'13'!$H$7:$H$100,$A266,'13'!$I$7:$I$100,"")+SUMIFS('14'!$N$7:$N$100,'14'!$H$7:$H$100,$A266,'14'!$I$7:$I$100,"")+SUMIFS('15'!$N$7:$N$100,'15'!$H$7:$H$100,$A266,'15'!$I$7:$I$100,"")+SUMIFS('15a'!$N$7:$N$100,'15a'!$H$7:$H$100,$A266,'15a'!$I$7:$I$100,"")+SUMIFS('15b'!$N$7:$N$100,'15b'!$H$7:$H$100,$A266,'15b'!$I$7:$I$100,"")+SUMIFS('15c'!$N$7:$N$100,'15c'!$H$7:$H$100,$A266,'15c'!$I$7:$I$100,"")+SUMIFS('15d'!$N$7:$N$100,'15d'!$H$7:$H$100,$A266,'15d'!$I$7:$I$100,"")+SUMIFS('15e'!$N$7:$N$100,'15e'!$H$7:$H$100,$A266,'15e'!$I$7:$I$100,"")+SUMIFS('15f'!$N$7:$N$100,'15f'!$H$7:$H$100,$A266,'15f'!$I$7:$I$100,"")+SUMIFS('15g'!$N$7:$N$100,'15g'!$H$7:$H$100,$A266,'15g'!$I$7:$I$100,"")+SUMIFS('15h'!$N$7:$N$100,'15h'!$H$7:$H$100,$A266,'15h'!$I$7:$I$100,"")+SUMIFS('15i'!$N$7:$N$100,'15i'!$H$7:$H$100,$A266,'15i'!$I$7:$I$100,"")+SUMIFS('15j'!$N$7:$N$100,'15j'!$H$7:$H$100,$A266,'15j'!$I$7:$I$100,"")+SUMIFS('15k'!$N$7:$N$100,'15k'!$H$7:$H$100,$A266,'15k'!$I$7:$I$100,"")+SUMIFS('15l'!$N$7:$N$100,'15l'!$H$7:$H$100,$A266,'15l'!$I$7:$I$100,"")+SUMIFS('15m'!$N$7:$N$100,'15m'!$H$7:$H$100,$A266,'15m'!$I$7:$I$100,"")+SUMIFS('15n'!$N$7:$N$100,'15n'!$H$7:$H$100,$A266,'15n'!$I$7:$I$100,"")+SUMIFS('16'!$N$7:$N$100,'16'!$H$7:$H$100,$A266,'16'!$I$7:$I$100,"")+SUMIFS('16a'!$N$7:$N$100,'16a'!$H$7:$H$100,$A266,'16a'!$I$7:$I$100,"")+SUMIFS('17'!$N$7:$N$100,'17'!$H$7:$H$100,$A266,'17'!$I$7:$I$100,"")+SUMIFS('17a'!$N$7:$N$100,'17a'!$H$7:$H$100,$A266,'17a'!$I$7:$I$100,"")+SUMIFS('18'!$N$7:$N$100,'18'!$H$7:$H$100,$A266,'18'!$I$7:$I$100,"")+SUMIFS('18a'!$N$7:$N$100,'18a'!$H$7:$H$100,$A266,'18a'!$I$7:$I$100,"")
+SUMIFS('19'!$N$7:$N$100,'19'!$H$7:$H$100,$A266,'19'!$I$7:$I$100,"")+SUMIFS('20'!$N$7:$N$100,'20'!$H$7:$H$100,$A266,'20'!$I$7:$I$100,"")+SUMIFS('20a'!$N$7:$N$100,'20a'!$H$7:$H$100,$A266,'20a'!$I$7:$I$100,"")+SUMIFS('21'!$N$7:$N$100,'21'!$H$7:$H$100,$A266,'21'!$I$7:$I$100,"")+SUMIFS('22'!$N$7:$N$100,'22'!$H$7:$H$100,$A266,'22'!$I$7:$I$100,"")+SUMIFS('22a'!$N$7:$N$100,'22a'!$H$7:$H$100,$A266,'22a'!$I$7:$I$100,"")+SUMIFS('22b'!$N$7:$N$100,'22b'!$H$7:$H$100,$A266,'22b'!$I$7:$I$100,"")+SUMIFS('23'!$N$7:$N$100,'23'!$H$7:$H$100,$A266,'23'!$I$7:$I$100,"")+SUMIFS('24'!$N$7:$N$100,'24'!$H$7:$H$100,$A266,'24'!$I$7:$I$100,"")+SUMIFS('24a'!$N$7:$N$100,'24a'!$H$7:$H$100,$A266,'24a'!$I$7:$I$100,"")+SUMIFS('24b'!$N$7:$N$100,'24b'!$H$7:$H$100,$A266,'24b'!$I$7:$I$100,"")+SUMIFS('24c'!$N$7:$N$100,'24c'!$H$7:$H$100,$A266,'24c'!$I$7:$I$100,"")+SUMIFS('24d'!$N$7:$N$100,'24d'!$H$7:$H$100,$A266,'24d'!$I$7:$I$100,"")+SUMIFS('24e'!$N$7:$N$100,'24e'!$H$7:$H$100,$A266,'24e'!$I$7:$I$100,"")+SUMIFS('24f'!$N$7:$N$100,'24f'!$H$7:$H$100,$A266,'24f'!$I$7:$I$100,"")+SUMIFS('24g'!$N$7:$N$100,'24g'!$H$7:$H$100,$A266,'24g'!$I$7:$I$100,"")+SUMIFS('24h'!$N$7:$N$100,'24h'!$H$7:$H$100,$A266,'24h'!$I$7:$I$100,"")+SUMIFS('24i'!$N$7:$N$100,'24i'!$H$7:$H$100,$A266,'24i'!$I$7:$I$100,"")+SUMIFS('25'!$N$7:$N$100,'25'!$H$7:$H$100,$A266,'25'!$I$7:$I$100,"")+SUMIFS('26'!$N$7:$N$100,'26'!$H$7:$H$100,$A266,'26'!$I$7:$I$100,"")+SUMIFS('26a'!$N$7:$N$100,'26a'!$H$7:$H$100,$A266,'26a'!$I$7:$I$100,"")+SUMIFS('27'!$N$7:$N$100,'27'!$H$7:$H$100,$A266,'27'!$I$7:$I$100,"")+SUMIFS('27a'!$N$7:$N$100,'27a'!$H$7:$H$100,$A266,'27a'!$I$7:$I$100,"")+SUMIFS('28'!$N$7:$N$100,'28'!$H$7:$H$100,$A266,'28'!$I$7:$I$100,"")+SUMIFS('29'!$N$7:$N$100,'29'!$H$7:$H$100,$A266,'29'!$I$7:$I$100,"")</f>
        <v>0</v>
      </c>
      <c r="F266" s="1296">
        <f t="shared" si="24"/>
        <v>0</v>
      </c>
      <c r="G266" s="1295">
        <f>SUMIFS('12'!$J$7:$J$100,'12'!$H$7:$H$100,$A266,'12'!$I$7:$I$100,1)+SUMIFS('13'!$J$7:$J$100,'13'!$H$7:$H$100,$A266,'13'!$I$7:$I$100,1)+SUMIFS('14'!$J$7:$J$100,'14'!$H$7:$H$100,$A266,'14'!$I$7:$I$100,1)+SUMIFS('15'!$J$7:$J$100,'15'!$H$7:$H$100,$A266,'15'!$I$7:$I$100,1)+SUMIFS('15a'!$J$7:$J$100,'15a'!$H$7:$H$100,$A266,'15a'!$I$7:$I$100,1)+SUMIFS('15b'!$J$7:$J$100,'15b'!$H$7:$H$100,$A266,'15b'!$I$7:$I$100,1)+SUMIFS('15c'!$J$7:$J$100,'15c'!$H$7:$H$100,$A266,'15c'!$I$7:$I$100,1)+SUMIFS('15d'!$J$7:$J$100,'15d'!$H$7:$H$100,$A266,'15d'!$I$7:$I$100,1)+SUMIFS('15e'!$J$7:$J$100,'15e'!$H$7:$H$100,$A266,'15e'!$I$7:$I$100,1)+SUMIFS('15f'!$J$7:$J$100,'15f'!$H$7:$H$100,$A266,'15f'!$I$7:$I$100,1)+SUMIFS('15g'!$J$7:$J$100,'15g'!$H$7:$H$100,$A266,'15g'!$I$7:$I$100,1)+SUMIFS('15h'!$J$7:$J$100,'15h'!$H$7:$H$100,$A266,'15h'!$I$7:$I$100,1)+SUMIFS('15i'!$J$7:$J$100,'15i'!$H$7:$H$100,$A266,'15i'!$I$7:$I$100,1)+SUMIFS('15j'!$J$7:$J$100,'15j'!$H$7:$H$100,$A266,'15j'!$I$7:$I$100,1)+SUMIFS('15k'!$J$7:$J$100,'15k'!$H$7:$H$100,$A266,'15k'!$I$7:$I$100,1)+SUMIFS('15l'!$J$7:$J$100,'15l'!$H$7:$H$100,$A266,'15l'!$I$7:$I$100,1)+SUMIFS('15m'!$J$7:$J$100,'15m'!$H$7:$H$100,$A266,'15m'!$I$7:$I$100,1)+SUMIFS('15n'!$J$7:$J$100,'15n'!$H$7:$H$100,$A266,'15n'!$I$7:$I$100,1)+SUMIFS('16'!$J$7:$J$100,'16'!$H$7:$H$100,$A266,'16'!$I$7:$I$100,1)+SUMIFS('16a'!$J$7:$J$100,'16a'!$H$7:$H$100,$A266,'16a'!$I$7:$I$100,1)+SUMIFS('17'!$J$7:$J$100,'17'!$H$7:$H$100,$A266,'17'!$I$7:$I$100,1)+SUMIFS('17a'!$J$7:$J$100,'17a'!$H$7:$H$100,$A266,'17a'!$I$7:$I$100,1)+SUMIFS('18'!$J$7:$J$100,'18'!$H$7:$H$100,$A266,'18'!$I$7:$I$100,1)+SUMIFS('18a'!$J$7:$J$100,'18a'!$H$7:$H$100,$A266,'18a'!$I$7:$I$100,1)
+SUMIFS('19'!$J$7:$J$100,'19'!$H$7:$H$100,$A266,'19'!$I$7:$I$100,1)+SUMIFS('20'!$J$7:$J$100,'20'!$H$7:$H$100,$A266,'20'!$I$7:$I$100,1)+SUMIFS('20a'!$J$7:$J$100,'20a'!$H$7:$H$100,$A266,'20a'!$I$7:$I$100,1)+SUMIFS('21'!$J$7:$J$100,'21'!$H$7:$H$100,$A266,'21'!$I$7:$I$100,1)+SUMIFS('22'!$J$7:$J$100,'22'!$H$7:$H$100,$A266,'22'!$I$7:$I$100,1)+SUMIFS('22a'!$J$7:$J$100,'22a'!$H$7:$H$100,$A266,'22a'!$I$7:$I$100,1)+SUMIFS('22b'!$J$7:$J$100,'22b'!$H$7:$H$100,$A266,'22b'!$I$7:$I$100,1)+SUMIFS('23'!$J$7:$J$100,'23'!$H$7:$H$100,$A266,'23'!$I$7:$I$100,1)+SUMIFS('24'!$J$7:$J$100,'24'!$H$7:$H$100,$A266,'24'!$I$7:$I$100,1)+SUMIFS('24a'!$J$7:$J$100,'24a'!$H$7:$H$100,$A266,'24a'!$I$7:$I$100,1)+SUMIFS('24b'!$J$7:$J$100,'24b'!$H$7:$H$100,$A266,'24b'!$I$7:$I$100,1)+SUMIFS('24c'!$J$7:$J$100,'24c'!$H$7:$H$100,$A266,'24c'!$I$7:$I$100,1)+SUMIFS('24d'!$J$7:$J$100,'24d'!$H$7:$H$100,$A266,'24d'!$I$7:$I$100,1)+SUMIFS('24e'!$J$7:$J$100,'24e'!$H$7:$H$100,$A266,'24e'!$I$7:$I$100,1)+SUMIFS('24f'!$J$7:$J$100,'24f'!$H$7:$H$100,$A266,'24f'!$I$7:$I$100,1)+SUMIFS('24g'!$J$7:$J$100,'24g'!$H$7:$H$100,$A266,'24g'!$I$7:$I$100,1)+SUMIFS('24h'!$J$7:$J$100,'24h'!$H$7:$H$100,$A266,'24h'!$I$7:$I$100,1)+SUMIFS('24i'!$J$7:$J$100,'24i'!$H$7:$H$100,$A266,'24i'!$I$7:$I$100,1)+SUMIFS('25'!$J$7:$J$100,'25'!$H$7:$H$100,$A266,'25'!$I$7:$I$100,1)+SUMIFS('26'!$J$7:$J$100,'26'!$H$7:$H$100,$A266,'26'!$I$7:$I$100,1)+SUMIFS('26a'!$J$7:$J$100,'26a'!$H$7:$H$100,$A266,'26a'!$I$7:$I$100,1)+SUMIFS('27'!$J$7:$J$100,'27'!$H$7:$H$100,$A266,'27'!$I$7:$I$100,1)+SUMIFS('27a'!$J$7:$J$100,'27a'!$H$7:$H$100,$A266,'27a'!$I$7:$I$100,1)+SUMIFS('28'!$J$7:$J$100,'28'!$H$7:$H$100,$A266,'28'!$I$7:$I$100,1)+SUMIFS('29'!$J$7:$J$100,'29'!$H$7:$H$100,$A266,'29'!$I$7:$I$100,1)</f>
        <v>0</v>
      </c>
      <c r="H266" s="1315">
        <f>SUMIFS('12'!$J$7:$J$100,'12'!$H$7:$H$100,$A266,'12'!$I$7:$I$100,2)+SUMIFS('13'!$J$7:$J$100,'13'!$H$7:$H$100,$A266,'13'!$I$7:$I$100,2)+SUMIFS('14'!$J$7:$J$100,'14'!$H$7:$H$100,$A266,'14'!$I$7:$I$100,2)+SUMIFS('15'!$J$7:$J$100,'15'!$H$7:$H$100,$A266,'15'!$I$7:$I$100,2)+SUMIFS('15a'!$J$7:$J$100,'15a'!$H$7:$H$100,$A266,'15a'!$I$7:$I$100,2)+SUMIFS('15b'!$J$7:$J$100,'15b'!$H$7:$H$100,$A266,'15b'!$I$7:$I$100,2)+SUMIFS('15c'!$J$7:$J$100,'15c'!$H$7:$H$100,$A266,'15c'!$I$7:$I$100,2)+SUMIFS('15d'!$J$7:$J$100,'15d'!$H$7:$H$100,$A266,'15d'!$I$7:$I$100,2)+SUMIFS('15e'!$J$7:$J$100,'15e'!$H$7:$H$100,$A266,'15e'!$I$7:$I$100,2)+SUMIFS('15f'!$J$7:$J$100,'15f'!$H$7:$H$100,$A266,'15f'!$I$7:$I$100,2)+SUMIFS('15g'!$J$7:$J$100,'15g'!$H$7:$H$100,$A266,'15g'!$I$7:$I$100,2)+SUMIFS('15h'!$J$7:$J$100,'15h'!$H$7:$H$100,$A266,'15h'!$I$7:$I$100,2)+SUMIFS('15i'!$J$7:$J$100,'15i'!$H$7:$H$100,$A266,'15i'!$I$7:$I$100,2)+SUMIFS('15j'!$J$7:$J$100,'15j'!$H$7:$H$100,$A266,'15j'!$I$7:$I$100,2)+SUMIFS('15k'!$J$7:$J$100,'15k'!$H$7:$H$100,$A266,'15k'!$I$7:$I$100,2)+SUMIFS('15l'!$J$7:$J$100,'15l'!$H$7:$H$100,$A266,'15l'!$I$7:$I$100,2)+SUMIFS('15m'!$J$7:$J$100,'15m'!$H$7:$H$100,$A266,'15m'!$I$7:$I$100,2)+SUMIFS('15n'!$J$7:$J$100,'15n'!$H$7:$H$100,$A266,'15n'!$I$7:$I$100,2)+SUMIFS('16'!$J$7:$J$100,'16'!$H$7:$H$100,$A266,'16'!$I$7:$I$100,2)+SUMIFS('16a'!$J$7:$J$100,'16a'!$H$7:$H$100,$A266,'16a'!$I$7:$I$100,2)+SUMIFS('17'!$J$7:$J$100,'17'!$H$7:$H$100,$A266,'17'!$I$7:$I$100,2)+SUMIFS('17a'!$J$7:$J$100,'17a'!$H$7:$H$100,$A266,'17a'!$I$7:$I$100,2)+SUMIFS('18'!$J$7:$J$100,'18'!$H$7:$H$100,$A266,'18'!$I$7:$I$100,2)+SUMIFS('18a'!$J$7:$J$100,'18a'!$H$7:$H$100,$A266,'18a'!$I$7:$I$100,2)
+SUMIFS('19'!$J$7:$J$100,'19'!$H$7:$H$100,$A266,'19'!$I$7:$I$100,2)+SUMIFS('20'!$J$7:$J$100,'20'!$H$7:$H$100,$A266,'20'!$I$7:$I$100,2)+SUMIFS('20a'!$J$7:$J$100,'20a'!$H$7:$H$100,$A266,'20a'!$I$7:$I$100,2)+SUMIFS('21'!$J$7:$J$100,'21'!$H$7:$H$100,$A266,'21'!$I$7:$I$100,2)+SUMIFS('22'!$J$7:$J$100,'22'!$H$7:$H$100,$A266,'22'!$I$7:$I$100,2)+SUMIFS('22a'!$J$7:$J$100,'22a'!$H$7:$H$100,$A266,'22a'!$I$7:$I$100,2)+SUMIFS('22b'!$J$7:$J$100,'22b'!$H$7:$H$100,$A266,'22b'!$I$7:$I$100,2)+SUMIFS('23'!$J$7:$J$100,'23'!$H$7:$H$100,$A266,'23'!$I$7:$I$100,2)+SUMIFS('24'!$J$7:$J$100,'24'!$H$7:$H$100,$A266,'24'!$I$7:$I$100,2)+SUMIFS('24a'!$J$7:$J$100,'24a'!$H$7:$H$100,$A266,'24a'!$I$7:$I$100,2)+SUMIFS('24b'!$J$7:$J$100,'24b'!$H$7:$H$100,$A266,'24b'!$I$7:$I$100,2)+SUMIFS('24c'!$J$7:$J$100,'24c'!$H$7:$H$100,$A266,'24c'!$I$7:$I$100,2)+SUMIFS('24d'!$J$7:$J$100,'24d'!$H$7:$H$100,$A266,'24d'!$I$7:$I$100,2)+SUMIFS('24e'!$J$7:$J$100,'24e'!$H$7:$H$100,$A266,'24e'!$I$7:$I$100,2)+SUMIFS('24f'!$J$7:$J$100,'24f'!$H$7:$H$100,$A266,'24f'!$I$7:$I$100,2)+SUMIFS('24g'!$J$7:$J$100,'24g'!$H$7:$H$100,$A266,'24g'!$I$7:$I$100,2)+SUMIFS('24h'!$J$7:$J$100,'24h'!$H$7:$H$100,$A266,'24h'!$I$7:$I$100,2)+SUMIFS('24i'!$J$7:$J$100,'24i'!$H$7:$H$100,$A266,'24i'!$I$7:$I$100,2)+SUMIFS('25'!$J$7:$J$100,'25'!$H$7:$H$100,$A266,'25'!$I$7:$I$100,2)+SUMIFS('26'!$J$7:$J$100,'26'!$H$7:$H$100,$A266,'26'!$I$7:$I$100,2)+SUMIFS('26a'!$J$7:$J$100,'26a'!$H$7:$H$100,$A266,'26a'!$I$7:$I$100,2)+SUMIFS('27'!$J$7:$J$100,'27'!$H$7:$H$100,$A266,'27'!$I$7:$I$100,2)+SUMIFS('27a'!$J$7:$J$100,'27a'!$H$7:$H$100,$A266,'27a'!$I$7:$I$100,2)+SUMIFS('28'!$J$7:$J$100,'28'!$H$7:$H$100,$A266,'28'!$I$7:$I$100,2)+SUMIFS('29'!$J$7:$J$100,'29'!$H$7:$H$100,$A266,'29'!$I$7:$I$100,2)</f>
        <v>0</v>
      </c>
      <c r="I266" s="1315">
        <f>SUMIFS('12'!$J$7:$J$100,'12'!$H$7:$H$100,$A266,'12'!$I$7:$I$100,"")+SUMIFS('13'!$J$7:$J$100,'13'!$H$7:$H$100,$A266,'13'!$I$7:$I$100,"")+SUMIFS('14'!$J$7:$J$100,'14'!$H$7:$H$100,$A266,'14'!$I$7:$I$100,"")+SUMIFS('15'!$J$7:$J$100,'15'!$H$7:$H$100,$A266,'15'!$I$7:$I$100,"")+SUMIFS('15a'!$J$7:$J$100,'15a'!$H$7:$H$100,$A266,'15a'!$I$7:$I$100,"")+SUMIFS('15b'!$J$7:$J$100,'15b'!$H$7:$H$100,$A266,'15b'!$I$7:$I$100,"")+SUMIFS('15c'!$J$7:$J$100,'15c'!$H$7:$H$100,$A266,'15c'!$I$7:$I$100,"")+SUMIFS('15d'!$J$7:$J$100,'15d'!$H$7:$H$100,$A266,'15d'!$I$7:$I$100,"")+SUMIFS('15e'!$J$7:$J$100,'15e'!$H$7:$H$100,$A266,'15e'!$I$7:$I$100,"")+SUMIFS('15f'!$J$7:$J$100,'15f'!$H$7:$H$100,$A266,'15f'!$I$7:$I$100,"")+SUMIFS('15g'!$J$7:$J$100,'15g'!$H$7:$H$100,$A266,'15g'!$I$7:$I$100,"")+SUMIFS('15h'!$J$7:$J$100,'15h'!$H$7:$H$100,$A266,'15h'!$I$7:$I$100,"")+SUMIFS('15i'!$J$7:$J$100,'15i'!$H$7:$H$100,$A266,'15i'!$I$7:$I$100,"")+SUMIFS('15j'!$J$7:$J$100,'15j'!$H$7:$H$100,$A266,'15j'!$I$7:$I$100,"")+SUMIFS('15k'!$J$7:$J$100,'15k'!$H$7:$H$100,$A266,'15k'!$I$7:$I$100,"")+SUMIFS('15l'!$J$7:$J$100,'15l'!$H$7:$H$100,$A266,'15l'!$I$7:$I$100,"")+SUMIFS('15m'!$J$7:$J$100,'15m'!$H$7:$H$100,$A266,'15m'!$I$7:$I$100,"")+SUMIFS('15n'!$J$7:$J$100,'15n'!$H$7:$H$100,$A266,'15n'!$I$7:$I$100,"")+SUMIFS('16'!$J$7:$J$100,'16'!$H$7:$H$100,$A266,'16'!$I$7:$I$100,"")+SUMIFS('16a'!$J$7:$J$100,'16a'!$H$7:$H$100,$A266,'16a'!$I$7:$I$100,"")+SUMIFS('17'!$J$7:$J$100,'17'!$H$7:$H$100,$A266,'17'!$I$7:$I$100,"")+SUMIFS('17a'!$J$7:$J$100,'17a'!$H$7:$H$100,$A266,'17a'!$I$7:$I$100,"")+SUMIFS('18'!$J$7:$J$100,'18'!$H$7:$H$100,$A266,'18'!$I$7:$I$100,"")+SUMIFS('18a'!$J$7:$J$100,'18a'!$H$7:$H$100,$A266,'18a'!$I$7:$I$100,"")
+SUMIFS('19'!$J$7:$J$100,'19'!$H$7:$H$100,$A266,'19'!$I$7:$I$100,"")+SUMIFS('20'!$J$7:$J$100,'20'!$H$7:$H$100,$A266,'20'!$I$7:$I$100,"")+SUMIFS('20a'!$J$7:$J$100,'20a'!$H$7:$H$100,$A266,'20a'!$I$7:$I$100,"")+SUMIFS('21'!$J$7:$J$100,'21'!$H$7:$H$100,$A266,'21'!$I$7:$I$100,"")+SUMIFS('22'!$J$7:$J$100,'22'!$H$7:$H$100,$A266,'22'!$I$7:$I$100,"")+SUMIFS('22a'!$J$7:$J$100,'22a'!$H$7:$H$100,$A266,'22a'!$I$7:$I$100,"")+SUMIFS('22b'!$J$7:$J$100,'22b'!$H$7:$H$100,$A266,'22b'!$I$7:$I$100,"")+SUMIFS('23'!$J$7:$J$100,'23'!$H$7:$H$100,$A266,'23'!$I$7:$I$100,"")+SUMIFS('24'!$J$7:$J$100,'24'!$H$7:$H$100,$A266,'24'!$I$7:$I$100,"")+SUMIFS('24a'!$J$7:$J$100,'24a'!$H$7:$H$100,$A266,'24a'!$I$7:$I$100,"")+SUMIFS('24b'!$J$7:$J$100,'24b'!$H$7:$H$100,$A266,'24b'!$I$7:$I$100,"")+SUMIFS('24c'!$J$7:$J$100,'24c'!$H$7:$H$100,$A266,'24c'!$I$7:$I$100,"")+SUMIFS('24d'!$J$7:$J$100,'24d'!$H$7:$H$100,$A266,'24d'!$I$7:$I$100,"")+SUMIFS('24e'!$J$7:$J$100,'24e'!$H$7:$H$100,$A266,'24e'!$I$7:$I$100,"")+SUMIFS('24f'!$J$7:$J$100,'24f'!$H$7:$H$100,$A266,'24f'!$I$7:$I$100,"")+SUMIFS('24g'!$J$7:$J$100,'24g'!$H$7:$H$100,$A266,'24g'!$I$7:$I$100,"")+SUMIFS('24h'!$J$7:$J$100,'24h'!$H$7:$H$100,$A266,'24h'!$I$7:$I$100,"")+SUMIFS('24i'!$J$7:$J$100,'24i'!$H$7:$H$100,$A266,'24i'!$I$7:$I$100,"")+SUMIFS('25'!$J$7:$J$100,'25'!$H$7:$H$100,$A266,'25'!$I$7:$I$100,"")+SUMIFS('26'!$J$7:$J$100,'26'!$H$7:$H$100,$A266,'26'!$I$7:$I$100,"")+SUMIFS('26a'!$J$7:$J$100,'26a'!$H$7:$H$100,$A266,'26a'!$I$7:$I$100,"")+SUMIFS('27'!$J$7:$J$100,'27'!$H$7:$H$100,$A266,'27'!$I$7:$I$100,"")+SUMIFS('27a'!$J$7:$J$100,'27a'!$H$7:$H$100,$A266,'27a'!$I$7:$I$100,"")+SUMIFS('28'!$J$7:$J$100,'28'!$H$7:$H$100,$A266,'28'!$I$7:$I$100,"")+SUMIFS('29'!$J$7:$J$100,'29'!$H$7:$H$100,$A266,'29'!$I$7:$I$100,"")</f>
        <v>0</v>
      </c>
      <c r="J266" s="1296">
        <f t="shared" si="25"/>
        <v>0</v>
      </c>
      <c r="K266"/>
      <c r="L266"/>
      <c r="M266"/>
      <c r="N266"/>
      <c r="O266"/>
      <c r="P266"/>
      <c r="Q266"/>
      <c r="R266"/>
      <c r="S266" s="1307">
        <f t="shared" si="14"/>
        <v>0</v>
      </c>
      <c r="T266"/>
    </row>
    <row r="267" spans="1:20" x14ac:dyDescent="0.2">
      <c r="A267"/>
      <c r="B267" s="1289" t="str">
        <f>"Total- "&amp;A251</f>
        <v>Total- Public Works</v>
      </c>
      <c r="C267" s="1297">
        <f>SUM(C258:C266,C252:C253)</f>
        <v>0</v>
      </c>
      <c r="D267" s="1290">
        <f>SUM(D258:D266,D252:D253)</f>
        <v>33108.629999999997</v>
      </c>
      <c r="E267" s="1290">
        <f t="shared" ref="E267:J267" si="26">SUM(E258:E266,E252:E253)</f>
        <v>0</v>
      </c>
      <c r="F267" s="1298">
        <f t="shared" si="26"/>
        <v>33108.629999999997</v>
      </c>
      <c r="G267" s="1297">
        <f t="shared" si="26"/>
        <v>200</v>
      </c>
      <c r="H267" s="1290">
        <f t="shared" si="26"/>
        <v>46016.55</v>
      </c>
      <c r="I267" s="1290">
        <f t="shared" si="26"/>
        <v>0</v>
      </c>
      <c r="J267" s="1298">
        <f t="shared" si="26"/>
        <v>46216.55</v>
      </c>
      <c r="K267"/>
      <c r="L267"/>
      <c r="M267"/>
      <c r="N267"/>
      <c r="O267"/>
      <c r="P267"/>
      <c r="Q267"/>
      <c r="R267"/>
      <c r="S267" s="1307"/>
      <c r="T267"/>
    </row>
    <row r="268" spans="1:20" x14ac:dyDescent="0.2">
      <c r="A268"/>
      <c r="B268"/>
      <c r="C268" s="292"/>
      <c r="D268"/>
      <c r="E268"/>
      <c r="F268" s="345"/>
      <c r="G268" s="292"/>
      <c r="H268"/>
      <c r="I268"/>
      <c r="J268" s="345"/>
      <c r="K268"/>
      <c r="L268"/>
      <c r="M268"/>
      <c r="N268"/>
      <c r="O268"/>
      <c r="P268"/>
      <c r="Q268"/>
      <c r="R268"/>
      <c r="S268" s="1307"/>
      <c r="T268"/>
    </row>
    <row r="269" spans="1:20" x14ac:dyDescent="0.2">
      <c r="A269" s="106" t="s">
        <v>5444</v>
      </c>
      <c r="B269" s="5"/>
      <c r="C269" s="1299"/>
      <c r="D269" s="523"/>
      <c r="E269" s="5"/>
      <c r="F269" s="1322"/>
      <c r="G269" s="1299"/>
      <c r="H269" s="523"/>
      <c r="I269" s="5"/>
      <c r="J269" s="1322"/>
      <c r="K269"/>
      <c r="L269"/>
      <c r="M269"/>
      <c r="N269"/>
      <c r="O269"/>
      <c r="P269"/>
      <c r="Q269"/>
      <c r="R269"/>
      <c r="S269" s="1307"/>
      <c r="T269"/>
    </row>
    <row r="270" spans="1:20" ht="12.75" customHeight="1" x14ac:dyDescent="0.2">
      <c r="A270" t="s">
        <v>5181</v>
      </c>
      <c r="B270" t="s">
        <v>5509</v>
      </c>
      <c r="C270" s="1295">
        <f>SUMIFS('12'!$N$7:$N$100,'12'!$H$7:$H$100,$A270,'12'!$I$7:$I$100,1)+SUMIFS('13'!$N$7:$N$100,'13'!$H$7:$H$100,$A270,'13'!$I$7:$I$100,1)+SUMIFS('14'!$N$7:$N$100,'14'!$H$7:$H$100,$A270,'14'!$I$7:$I$100,1)+SUMIFS('15'!$N$7:$N$100,'15'!$H$7:$H$100,$A270,'15'!$I$7:$I$100,1)+SUMIFS('15a'!$N$7:$N$100,'15a'!$H$7:$H$100,$A270,'15a'!$I$7:$I$100,1)+SUMIFS('15b'!$N$7:$N$100,'15b'!$H$7:$H$100,$A270,'15b'!$I$7:$I$100,1)+SUMIFS('15c'!$N$7:$N$100,'15c'!$H$7:$H$100,$A270,'15c'!$I$7:$I$100,1)+SUMIFS('15d'!$N$7:$N$100,'15d'!$H$7:$H$100,$A270,'15d'!$I$7:$I$100,1)+SUMIFS('15e'!$N$7:$N$100,'15e'!$H$7:$H$100,$A270,'15e'!$I$7:$I$100,1)+SUMIFS('15f'!$N$7:$N$100,'15f'!$H$7:$H$100,$A270,'15f'!$I$7:$I$100,1)+SUMIFS('15g'!$N$7:$N$100,'15g'!$H$7:$H$100,$A270,'15g'!$I$7:$I$100,1)+SUMIFS('15h'!$N$7:$N$100,'15h'!$H$7:$H$100,$A270,'15h'!$I$7:$I$100,1)+SUMIFS('15i'!$N$7:$N$100,'15i'!$H$7:$H$100,$A270,'15i'!$I$7:$I$100,1)+SUMIFS('15j'!$N$7:$N$100,'15j'!$H$7:$H$100,$A270,'15j'!$I$7:$I$100,1)+SUMIFS('15k'!$N$7:$N$100,'15k'!$H$7:$H$100,$A270,'15k'!$I$7:$I$100,1)+SUMIFS('15l'!$N$7:$N$100,'15l'!$H$7:$H$100,$A270,'15l'!$I$7:$I$100,1)+SUMIFS('15m'!$N$7:$N$100,'15m'!$H$7:$H$100,$A270,'15m'!$I$7:$I$100,1)+SUMIFS('15n'!$N$7:$N$100,'15n'!$H$7:$H$100,$A270,'15n'!$I$7:$I$100,1)+SUMIFS('16'!$N$7:$N$100,'16'!$H$7:$H$100,$A270,'16'!$I$7:$I$100,1)+SUMIFS('16a'!$N$7:$N$100,'16a'!$H$7:$H$100,$A270,'16a'!$I$7:$I$100,1)+SUMIFS('17'!$N$7:$N$100,'17'!$H$7:$H$100,$A270,'17'!$I$7:$I$100,1)+SUMIFS('17a'!$N$7:$N$100,'17a'!$H$7:$H$100,$A270,'17a'!$I$7:$I$100,1)+SUMIFS('18'!$N$7:$N$100,'18'!$H$7:$H$100,$A270,'18'!$I$7:$I$100,1)+SUMIFS('18a'!$N$7:$N$100,'18a'!$H$7:$H$100,$A270,'18a'!$I$7:$I$100,1)
+SUMIFS('19'!$N$7:$N$100,'19'!$H$7:$H$100,$A270,'19'!$I$7:$I$100,1)+SUMIFS('20'!$N$7:$N$100,'20'!$H$7:$H$100,$A270,'20'!$I$7:$I$100,1)+SUMIFS('20a'!$N$7:$N$100,'20a'!$H$7:$H$100,$A270,'20a'!$I$7:$I$100,1)+SUMIFS('21'!$N$7:$N$100,'21'!$H$7:$H$100,$A270,'21'!$I$7:$I$100,1)+SUMIFS('22'!$N$7:$N$100,'22'!$H$7:$H$100,$A270,'22'!$I$7:$I$100,1)+SUMIFS('22a'!$N$7:$N$100,'22a'!$H$7:$H$100,$A270,'22a'!$I$7:$I$100,1)+SUMIFS('22b'!$N$7:$N$100,'22b'!$H$7:$H$100,$A270,'22b'!$I$7:$I$100,1)+SUMIFS('23'!$N$7:$N$100,'23'!$H$7:$H$100,$A270,'23'!$I$7:$I$100,1)+SUMIFS('24'!$N$7:$N$100,'24'!$H$7:$H$100,$A270,'24'!$I$7:$I$100,1)+SUMIFS('24a'!$N$7:$N$100,'24a'!$H$7:$H$100,$A270,'24a'!$I$7:$I$100,1)+SUMIFS('24b'!$N$7:$N$100,'24b'!$H$7:$H$100,$A270,'24b'!$I$7:$I$100,1)+SUMIFS('24c'!$N$7:$N$100,'24c'!$H$7:$H$100,$A270,'24c'!$I$7:$I$100,1)+SUMIFS('24d'!$N$7:$N$100,'24d'!$H$7:$H$100,$A270,'24d'!$I$7:$I$100,1)+SUMIFS('24e'!$N$7:$N$100,'24e'!$H$7:$H$100,$A270,'24e'!$I$7:$I$100,1)+SUMIFS('24f'!$N$7:$N$100,'24f'!$H$7:$H$100,$A270,'24f'!$I$7:$I$100,1)+SUMIFS('24g'!$N$7:$N$100,'24g'!$H$7:$H$100,$A270,'24g'!$I$7:$I$100,1)+SUMIFS('24h'!$N$7:$N$100,'24h'!$H$7:$H$100,$A270,'24h'!$I$7:$I$100,1)+SUMIFS('24i'!$N$7:$N$100,'24i'!$H$7:$H$100,$A270,'24i'!$I$7:$I$100,1)+SUMIFS('25'!$N$7:$N$100,'25'!$H$7:$H$100,$A270,'25'!$I$7:$I$100,1)+SUMIFS('26'!$N$7:$N$100,'26'!$H$7:$H$100,$A270,'26'!$I$7:$I$100,1)+SUMIFS('26a'!$N$7:$N$100,'26a'!$H$7:$H$100,$A270,'26a'!$I$7:$I$100,1)+SUMIFS('27'!$N$7:$N$100,'27'!$H$7:$H$100,$A270,'27'!$I$7:$I$100,1)+SUMIFS('27a'!$N$7:$N$100,'27a'!$H$7:$H$100,$A270,'27a'!$I$7:$I$100,1)+SUMIFS('28'!$N$7:$N$100,'28'!$H$7:$H$100,$A270,'28'!$I$7:$I$100,1)+SUMIFS('29'!$N$7:$N$100,'29'!$H$7:$H$100,$A270,'29'!$I$7:$I$100,1)</f>
        <v>0</v>
      </c>
      <c r="D270" s="1315">
        <f>SUMIFS('12'!$N$7:$N$100,'12'!$H$7:$H$100,$A270,'12'!$I$7:$I$100,2)+SUMIFS('13'!$N$7:$N$100,'13'!$H$7:$H$100,$A270,'13'!$I$7:$I$100,2)+SUMIFS('14'!$N$7:$N$100,'14'!$H$7:$H$100,$A270,'14'!$I$7:$I$100,2)+SUMIFS('15'!$N$7:$N$100,'15'!$H$7:$H$100,$A270,'15'!$I$7:$I$100,2)+SUMIFS('15a'!$N$7:$N$100,'15a'!$H$7:$H$100,$A270,'15a'!$I$7:$I$100,2)+SUMIFS('15b'!$N$7:$N$100,'15b'!$H$7:$H$100,$A270,'15b'!$I$7:$I$100,2)+SUMIFS('15c'!$N$7:$N$100,'15c'!$H$7:$H$100,$A270,'15c'!$I$7:$I$100,2)+SUMIFS('15d'!$N$7:$N$100,'15d'!$H$7:$H$100,$A270,'15d'!$I$7:$I$100,2)+SUMIFS('15e'!$N$7:$N$100,'15e'!$H$7:$H$100,$A270,'15e'!$I$7:$I$100,2)+SUMIFS('15f'!$N$7:$N$100,'15f'!$H$7:$H$100,$A270,'15f'!$I$7:$I$100,2)+SUMIFS('15g'!$N$7:$N$100,'15g'!$H$7:$H$100,$A270,'15g'!$I$7:$I$100,2)+SUMIFS('15h'!$N$7:$N$100,'15h'!$H$7:$H$100,$A270,'15h'!$I$7:$I$100,2)+SUMIFS('15i'!$N$7:$N$100,'15i'!$H$7:$H$100,$A270,'15i'!$I$7:$I$100,2)+SUMIFS('15j'!$N$7:$N$100,'15j'!$H$7:$H$100,$A270,'15j'!$I$7:$I$100,2)+SUMIFS('15k'!$N$7:$N$100,'15k'!$H$7:$H$100,$A270,'15k'!$I$7:$I$100,2)+SUMIFS('15l'!$N$7:$N$100,'15l'!$H$7:$H$100,$A270,'15l'!$I$7:$I$100,2)+SUMIFS('15m'!$N$7:$N$100,'15m'!$H$7:$H$100,$A270,'15m'!$I$7:$I$100,2)+SUMIFS('15n'!$N$7:$N$100,'15n'!$H$7:$H$100,$A270,'15n'!$I$7:$I$100,2)+SUMIFS('16'!$N$7:$N$100,'16'!$H$7:$H$100,$A270,'16'!$I$7:$I$100,2)+SUMIFS('16a'!$N$7:$N$100,'16a'!$H$7:$H$100,$A270,'16a'!$I$7:$I$100,2)+SUMIFS('17'!$N$7:$N$100,'17'!$H$7:$H$100,$A270,'17'!$I$7:$I$100,2)+SUMIFS('17a'!$N$7:$N$100,'17a'!$H$7:$H$100,$A270,'17a'!$I$7:$I$100,2)+SUMIFS('18'!$N$7:$N$100,'18'!$H$7:$H$100,$A270,'18'!$I$7:$I$100,2)+SUMIFS('18a'!$N$7:$N$100,'18a'!$H$7:$H$100,$A270,'18a'!$I$7:$I$100,2)
+SUMIFS('19'!$N$7:$N$100,'19'!$H$7:$H$100,$A270,'19'!$I$7:$I$100,2)+SUMIFS('20'!$N$7:$N$100,'20'!$H$7:$H$100,$A270,'20'!$I$7:$I$100,2)+SUMIFS('20a'!$N$7:$N$100,'20a'!$H$7:$H$100,$A270,'20a'!$I$7:$I$100,2)+SUMIFS('21'!$N$7:$N$100,'21'!$H$7:$H$100,$A270,'21'!$I$7:$I$100,2)+SUMIFS('22'!$N$7:$N$100,'22'!$H$7:$H$100,$A270,'22'!$I$7:$I$100,2)+SUMIFS('22a'!$N$7:$N$100,'22a'!$H$7:$H$100,$A270,'22a'!$I$7:$I$100,2)+SUMIFS('22b'!$N$7:$N$100,'22b'!$H$7:$H$100,$A270,'22b'!$I$7:$I$100,2)+SUMIFS('23'!$N$7:$N$100,'23'!$H$7:$H$100,$A270,'23'!$I$7:$I$100,2)+SUMIFS('24'!$N$7:$N$100,'24'!$H$7:$H$100,$A270,'24'!$I$7:$I$100,2)+SUMIFS('24a'!$N$7:$N$100,'24a'!$H$7:$H$100,$A270,'24a'!$I$7:$I$100,2)+SUMIFS('24b'!$N$7:$N$100,'24b'!$H$7:$H$100,$A270,'24b'!$I$7:$I$100,2)+SUMIFS('24c'!$N$7:$N$100,'24c'!$H$7:$H$100,$A270,'24c'!$I$7:$I$100,2)+SUMIFS('24d'!$N$7:$N$100,'24d'!$H$7:$H$100,$A270,'24d'!$I$7:$I$100,2)+SUMIFS('24e'!$N$7:$N$100,'24e'!$H$7:$H$100,$A270,'24e'!$I$7:$I$100,2)+SUMIFS('24f'!$N$7:$N$100,'24f'!$H$7:$H$100,$A270,'24f'!$I$7:$I$100,2)+SUMIFS('24g'!$N$7:$N$100,'24g'!$H$7:$H$100,$A270,'24g'!$I$7:$I$100,2)+SUMIFS('24h'!$N$7:$N$100,'24h'!$H$7:$H$100,$A270,'24h'!$I$7:$I$100,2)+SUMIFS('24i'!$N$7:$N$100,'24i'!$H$7:$H$100,$A270,'24i'!$I$7:$I$100,2)+SUMIFS('25'!$N$7:$N$100,'25'!$H$7:$H$100,$A270,'25'!$I$7:$I$100,2)+SUMIFS('26'!$N$7:$N$100,'26'!$H$7:$H$100,$A270,'26'!$I$7:$I$100,2)+SUMIFS('26a'!$N$7:$N$100,'26a'!$H$7:$H$100,$A270,'26a'!$I$7:$I$100,2)+SUMIFS('27'!$N$7:$N$100,'27'!$H$7:$H$100,$A270,'27'!$I$7:$I$100,2)+SUMIFS('27a'!$N$7:$N$100,'27a'!$H$7:$H$100,$A270,'27a'!$I$7:$I$100,2)+SUMIFS('28'!$N$7:$N$100,'28'!$H$7:$H$100,$A270,'28'!$I$7:$I$100,2)+SUMIFS('29'!$N$7:$N$100,'29'!$H$7:$H$100,$A270,'29'!$I$7:$I$100,2)</f>
        <v>0</v>
      </c>
      <c r="E270" s="1315">
        <f>SUMIFS('12'!$N$7:$N$100,'12'!$H$7:$H$100,$A270,'12'!$I$7:$I$100,"")+SUMIFS('13'!$N$7:$N$100,'13'!$H$7:$H$100,$A270,'13'!$I$7:$I$100,"")+SUMIFS('14'!$N$7:$N$100,'14'!$H$7:$H$100,$A270,'14'!$I$7:$I$100,"")+SUMIFS('15'!$N$7:$N$100,'15'!$H$7:$H$100,$A270,'15'!$I$7:$I$100,"")+SUMIFS('15a'!$N$7:$N$100,'15a'!$H$7:$H$100,$A270,'15a'!$I$7:$I$100,"")+SUMIFS('15b'!$N$7:$N$100,'15b'!$H$7:$H$100,$A270,'15b'!$I$7:$I$100,"")+SUMIFS('15c'!$N$7:$N$100,'15c'!$H$7:$H$100,$A270,'15c'!$I$7:$I$100,"")+SUMIFS('15d'!$N$7:$N$100,'15d'!$H$7:$H$100,$A270,'15d'!$I$7:$I$100,"")+SUMIFS('15e'!$N$7:$N$100,'15e'!$H$7:$H$100,$A270,'15e'!$I$7:$I$100,"")+SUMIFS('15f'!$N$7:$N$100,'15f'!$H$7:$H$100,$A270,'15f'!$I$7:$I$100,"")+SUMIFS('15g'!$N$7:$N$100,'15g'!$H$7:$H$100,$A270,'15g'!$I$7:$I$100,"")+SUMIFS('15h'!$N$7:$N$100,'15h'!$H$7:$H$100,$A270,'15h'!$I$7:$I$100,"")+SUMIFS('15i'!$N$7:$N$100,'15i'!$H$7:$H$100,$A270,'15i'!$I$7:$I$100,"")+SUMIFS('15j'!$N$7:$N$100,'15j'!$H$7:$H$100,$A270,'15j'!$I$7:$I$100,"")+SUMIFS('15k'!$N$7:$N$100,'15k'!$H$7:$H$100,$A270,'15k'!$I$7:$I$100,"")+SUMIFS('15l'!$N$7:$N$100,'15l'!$H$7:$H$100,$A270,'15l'!$I$7:$I$100,"")+SUMIFS('15m'!$N$7:$N$100,'15m'!$H$7:$H$100,$A270,'15m'!$I$7:$I$100,"")+SUMIFS('15n'!$N$7:$N$100,'15n'!$H$7:$H$100,$A270,'15n'!$I$7:$I$100,"")+SUMIFS('16'!$N$7:$N$100,'16'!$H$7:$H$100,$A270,'16'!$I$7:$I$100,"")+SUMIFS('16a'!$N$7:$N$100,'16a'!$H$7:$H$100,$A270,'16a'!$I$7:$I$100,"")+SUMIFS('17'!$N$7:$N$100,'17'!$H$7:$H$100,$A270,'17'!$I$7:$I$100,"")+SUMIFS('17a'!$N$7:$N$100,'17a'!$H$7:$H$100,$A270,'17a'!$I$7:$I$100,"")+SUMIFS('18'!$N$7:$N$100,'18'!$H$7:$H$100,$A270,'18'!$I$7:$I$100,"")+SUMIFS('18a'!$N$7:$N$100,'18a'!$H$7:$H$100,$A270,'18a'!$I$7:$I$100,"")
+SUMIFS('19'!$N$7:$N$100,'19'!$H$7:$H$100,$A270,'19'!$I$7:$I$100,"")+SUMIFS('20'!$N$7:$N$100,'20'!$H$7:$H$100,$A270,'20'!$I$7:$I$100,"")+SUMIFS('20a'!$N$7:$N$100,'20a'!$H$7:$H$100,$A270,'20a'!$I$7:$I$100,"")+SUMIFS('21'!$N$7:$N$100,'21'!$H$7:$H$100,$A270,'21'!$I$7:$I$100,"")+SUMIFS('22'!$N$7:$N$100,'22'!$H$7:$H$100,$A270,'22'!$I$7:$I$100,"")+SUMIFS('22a'!$N$7:$N$100,'22a'!$H$7:$H$100,$A270,'22a'!$I$7:$I$100,"")+SUMIFS('22b'!$N$7:$N$100,'22b'!$H$7:$H$100,$A270,'22b'!$I$7:$I$100,"")+SUMIFS('23'!$N$7:$N$100,'23'!$H$7:$H$100,$A270,'23'!$I$7:$I$100,"")+SUMIFS('24'!$N$7:$N$100,'24'!$H$7:$H$100,$A270,'24'!$I$7:$I$100,"")+SUMIFS('24a'!$N$7:$N$100,'24a'!$H$7:$H$100,$A270,'24a'!$I$7:$I$100,"")+SUMIFS('24b'!$N$7:$N$100,'24b'!$H$7:$H$100,$A270,'24b'!$I$7:$I$100,"")+SUMIFS('24c'!$N$7:$N$100,'24c'!$H$7:$H$100,$A270,'24c'!$I$7:$I$100,"")+SUMIFS('24d'!$N$7:$N$100,'24d'!$H$7:$H$100,$A270,'24d'!$I$7:$I$100,"")+SUMIFS('24e'!$N$7:$N$100,'24e'!$H$7:$H$100,$A270,'24e'!$I$7:$I$100,"")+SUMIFS('24f'!$N$7:$N$100,'24f'!$H$7:$H$100,$A270,'24f'!$I$7:$I$100,"")+SUMIFS('24g'!$N$7:$N$100,'24g'!$H$7:$H$100,$A270,'24g'!$I$7:$I$100,"")+SUMIFS('24h'!$N$7:$N$100,'24h'!$H$7:$H$100,$A270,'24h'!$I$7:$I$100,"")+SUMIFS('24i'!$N$7:$N$100,'24i'!$H$7:$H$100,$A270,'24i'!$I$7:$I$100,"")+SUMIFS('25'!$N$7:$N$100,'25'!$H$7:$H$100,$A270,'25'!$I$7:$I$100,"")+SUMIFS('26'!$N$7:$N$100,'26'!$H$7:$H$100,$A270,'26'!$I$7:$I$100,"")+SUMIFS('26a'!$N$7:$N$100,'26a'!$H$7:$H$100,$A270,'26a'!$I$7:$I$100,"")+SUMIFS('27'!$N$7:$N$100,'27'!$H$7:$H$100,$A270,'27'!$I$7:$I$100,"")+SUMIFS('27a'!$N$7:$N$100,'27a'!$H$7:$H$100,$A270,'27a'!$I$7:$I$100,"")+SUMIFS('28'!$N$7:$N$100,'28'!$H$7:$H$100,$A270,'28'!$I$7:$I$100,"")+SUMIFS('29'!$N$7:$N$100,'29'!$H$7:$H$100,$A270,'29'!$I$7:$I$100,"")</f>
        <v>0</v>
      </c>
      <c r="F270" s="1296">
        <f>SUM(C270:E270)</f>
        <v>0</v>
      </c>
      <c r="G270" s="1295">
        <f>SUMIFS('12'!$J$7:$J$100,'12'!$H$7:$H$100,$A270,'12'!$I$7:$I$100,1)+SUMIFS('13'!$J$7:$J$100,'13'!$H$7:$H$100,$A270,'13'!$I$7:$I$100,1)+SUMIFS('14'!$J$7:$J$100,'14'!$H$7:$H$100,$A270,'14'!$I$7:$I$100,1)+SUMIFS('15'!$J$7:$J$100,'15'!$H$7:$H$100,$A270,'15'!$I$7:$I$100,1)+SUMIFS('15a'!$J$7:$J$100,'15a'!$H$7:$H$100,$A270,'15a'!$I$7:$I$100,1)+SUMIFS('15b'!$J$7:$J$100,'15b'!$H$7:$H$100,$A270,'15b'!$I$7:$I$100,1)+SUMIFS('15c'!$J$7:$J$100,'15c'!$H$7:$H$100,$A270,'15c'!$I$7:$I$100,1)+SUMIFS('15d'!$J$7:$J$100,'15d'!$H$7:$H$100,$A270,'15d'!$I$7:$I$100,1)+SUMIFS('15e'!$J$7:$J$100,'15e'!$H$7:$H$100,$A270,'15e'!$I$7:$I$100,1)+SUMIFS('15f'!$J$7:$J$100,'15f'!$H$7:$H$100,$A270,'15f'!$I$7:$I$100,1)+SUMIFS('15g'!$J$7:$J$100,'15g'!$H$7:$H$100,$A270,'15g'!$I$7:$I$100,1)+SUMIFS('15h'!$J$7:$J$100,'15h'!$H$7:$H$100,$A270,'15h'!$I$7:$I$100,1)+SUMIFS('15i'!$J$7:$J$100,'15i'!$H$7:$H$100,$A270,'15i'!$I$7:$I$100,1)+SUMIFS('15j'!$J$7:$J$100,'15j'!$H$7:$H$100,$A270,'15j'!$I$7:$I$100,1)+SUMIFS('15k'!$J$7:$J$100,'15k'!$H$7:$H$100,$A270,'15k'!$I$7:$I$100,1)+SUMIFS('15l'!$J$7:$J$100,'15l'!$H$7:$H$100,$A270,'15l'!$I$7:$I$100,1)+SUMIFS('15m'!$J$7:$J$100,'15m'!$H$7:$H$100,$A270,'15m'!$I$7:$I$100,1)+SUMIFS('15n'!$J$7:$J$100,'15n'!$H$7:$H$100,$A270,'15n'!$I$7:$I$100,1)+SUMIFS('16'!$J$7:$J$100,'16'!$H$7:$H$100,$A270,'16'!$I$7:$I$100,1)+SUMIFS('16a'!$J$7:$J$100,'16a'!$H$7:$H$100,$A270,'16a'!$I$7:$I$100,1)+SUMIFS('17'!$J$7:$J$100,'17'!$H$7:$H$100,$A270,'17'!$I$7:$I$100,1)+SUMIFS('17a'!$J$7:$J$100,'17a'!$H$7:$H$100,$A270,'17a'!$I$7:$I$100,1)+SUMIFS('18'!$J$7:$J$100,'18'!$H$7:$H$100,$A270,'18'!$I$7:$I$100,1)+SUMIFS('18a'!$J$7:$J$100,'18a'!$H$7:$H$100,$A270,'18a'!$I$7:$I$100,1)
+SUMIFS('19'!$J$7:$J$100,'19'!$H$7:$H$100,$A270,'19'!$I$7:$I$100,1)+SUMIFS('20'!$J$7:$J$100,'20'!$H$7:$H$100,$A270,'20'!$I$7:$I$100,1)+SUMIFS('20a'!$J$7:$J$100,'20a'!$H$7:$H$100,$A270,'20a'!$I$7:$I$100,1)+SUMIFS('21'!$J$7:$J$100,'21'!$H$7:$H$100,$A270,'21'!$I$7:$I$100,1)+SUMIFS('22'!$J$7:$J$100,'22'!$H$7:$H$100,$A270,'22'!$I$7:$I$100,1)+SUMIFS('22a'!$J$7:$J$100,'22a'!$H$7:$H$100,$A270,'22a'!$I$7:$I$100,1)+SUMIFS('22b'!$J$7:$J$100,'22b'!$H$7:$H$100,$A270,'22b'!$I$7:$I$100,1)+SUMIFS('23'!$J$7:$J$100,'23'!$H$7:$H$100,$A270,'23'!$I$7:$I$100,1)+SUMIFS('24'!$J$7:$J$100,'24'!$H$7:$H$100,$A270,'24'!$I$7:$I$100,1)+SUMIFS('24a'!$J$7:$J$100,'24a'!$H$7:$H$100,$A270,'24a'!$I$7:$I$100,1)+SUMIFS('24b'!$J$7:$J$100,'24b'!$H$7:$H$100,$A270,'24b'!$I$7:$I$100,1)+SUMIFS('24c'!$J$7:$J$100,'24c'!$H$7:$H$100,$A270,'24c'!$I$7:$I$100,1)+SUMIFS('24d'!$J$7:$J$100,'24d'!$H$7:$H$100,$A270,'24d'!$I$7:$I$100,1)+SUMIFS('24e'!$J$7:$J$100,'24e'!$H$7:$H$100,$A270,'24e'!$I$7:$I$100,1)+SUMIFS('24f'!$J$7:$J$100,'24f'!$H$7:$H$100,$A270,'24f'!$I$7:$I$100,1)+SUMIFS('24g'!$J$7:$J$100,'24g'!$H$7:$H$100,$A270,'24g'!$I$7:$I$100,1)+SUMIFS('24h'!$J$7:$J$100,'24h'!$H$7:$H$100,$A270,'24h'!$I$7:$I$100,1)+SUMIFS('24i'!$J$7:$J$100,'24i'!$H$7:$H$100,$A270,'24i'!$I$7:$I$100,1)+SUMIFS('25'!$J$7:$J$100,'25'!$H$7:$H$100,$A270,'25'!$I$7:$I$100,1)+SUMIFS('26'!$J$7:$J$100,'26'!$H$7:$H$100,$A270,'26'!$I$7:$I$100,1)+SUMIFS('26a'!$J$7:$J$100,'26a'!$H$7:$H$100,$A270,'26a'!$I$7:$I$100,1)+SUMIFS('27'!$J$7:$J$100,'27'!$H$7:$H$100,$A270,'27'!$I$7:$I$100,1)+SUMIFS('27a'!$J$7:$J$100,'27a'!$H$7:$H$100,$A270,'27a'!$I$7:$I$100,1)+SUMIFS('28'!$J$7:$J$100,'28'!$H$7:$H$100,$A270,'28'!$I$7:$I$100,1)+SUMIFS('29'!$J$7:$J$100,'29'!$H$7:$H$100,$A270,'29'!$I$7:$I$100,1)</f>
        <v>0</v>
      </c>
      <c r="H270" s="1315">
        <f>SUMIFS('12'!$J$7:$J$100,'12'!$H$7:$H$100,$A270,'12'!$I$7:$I$100,2)+SUMIFS('13'!$J$7:$J$100,'13'!$H$7:$H$100,$A270,'13'!$I$7:$I$100,2)+SUMIFS('14'!$J$7:$J$100,'14'!$H$7:$H$100,$A270,'14'!$I$7:$I$100,2)+SUMIFS('15'!$J$7:$J$100,'15'!$H$7:$H$100,$A270,'15'!$I$7:$I$100,2)+SUMIFS('15a'!$J$7:$J$100,'15a'!$H$7:$H$100,$A270,'15a'!$I$7:$I$100,2)+SUMIFS('15b'!$J$7:$J$100,'15b'!$H$7:$H$100,$A270,'15b'!$I$7:$I$100,2)+SUMIFS('15c'!$J$7:$J$100,'15c'!$H$7:$H$100,$A270,'15c'!$I$7:$I$100,2)+SUMIFS('15d'!$J$7:$J$100,'15d'!$H$7:$H$100,$A270,'15d'!$I$7:$I$100,2)+SUMIFS('15e'!$J$7:$J$100,'15e'!$H$7:$H$100,$A270,'15e'!$I$7:$I$100,2)+SUMIFS('15f'!$J$7:$J$100,'15f'!$H$7:$H$100,$A270,'15f'!$I$7:$I$100,2)+SUMIFS('15g'!$J$7:$J$100,'15g'!$H$7:$H$100,$A270,'15g'!$I$7:$I$100,2)+SUMIFS('15h'!$J$7:$J$100,'15h'!$H$7:$H$100,$A270,'15h'!$I$7:$I$100,2)+SUMIFS('15i'!$J$7:$J$100,'15i'!$H$7:$H$100,$A270,'15i'!$I$7:$I$100,2)+SUMIFS('15j'!$J$7:$J$100,'15j'!$H$7:$H$100,$A270,'15j'!$I$7:$I$100,2)+SUMIFS('15k'!$J$7:$J$100,'15k'!$H$7:$H$100,$A270,'15k'!$I$7:$I$100,2)+SUMIFS('15l'!$J$7:$J$100,'15l'!$H$7:$H$100,$A270,'15l'!$I$7:$I$100,2)+SUMIFS('15m'!$J$7:$J$100,'15m'!$H$7:$H$100,$A270,'15m'!$I$7:$I$100,2)+SUMIFS('15n'!$J$7:$J$100,'15n'!$H$7:$H$100,$A270,'15n'!$I$7:$I$100,2)+SUMIFS('16'!$J$7:$J$100,'16'!$H$7:$H$100,$A270,'16'!$I$7:$I$100,2)+SUMIFS('16a'!$J$7:$J$100,'16a'!$H$7:$H$100,$A270,'16a'!$I$7:$I$100,2)+SUMIFS('17'!$J$7:$J$100,'17'!$H$7:$H$100,$A270,'17'!$I$7:$I$100,2)+SUMIFS('17a'!$J$7:$J$100,'17a'!$H$7:$H$100,$A270,'17a'!$I$7:$I$100,2)+SUMIFS('18'!$J$7:$J$100,'18'!$H$7:$H$100,$A270,'18'!$I$7:$I$100,2)+SUMIFS('18a'!$J$7:$J$100,'18a'!$H$7:$H$100,$A270,'18a'!$I$7:$I$100,2)
+SUMIFS('19'!$J$7:$J$100,'19'!$H$7:$H$100,$A270,'19'!$I$7:$I$100,2)+SUMIFS('20'!$J$7:$J$100,'20'!$H$7:$H$100,$A270,'20'!$I$7:$I$100,2)+SUMIFS('20a'!$J$7:$J$100,'20a'!$H$7:$H$100,$A270,'20a'!$I$7:$I$100,2)+SUMIFS('21'!$J$7:$J$100,'21'!$H$7:$H$100,$A270,'21'!$I$7:$I$100,2)+SUMIFS('22'!$J$7:$J$100,'22'!$H$7:$H$100,$A270,'22'!$I$7:$I$100,2)+SUMIFS('22a'!$J$7:$J$100,'22a'!$H$7:$H$100,$A270,'22a'!$I$7:$I$100,2)+SUMIFS('22b'!$J$7:$J$100,'22b'!$H$7:$H$100,$A270,'22b'!$I$7:$I$100,2)+SUMIFS('23'!$J$7:$J$100,'23'!$H$7:$H$100,$A270,'23'!$I$7:$I$100,2)+SUMIFS('24'!$J$7:$J$100,'24'!$H$7:$H$100,$A270,'24'!$I$7:$I$100,2)+SUMIFS('24a'!$J$7:$J$100,'24a'!$H$7:$H$100,$A270,'24a'!$I$7:$I$100,2)+SUMIFS('24b'!$J$7:$J$100,'24b'!$H$7:$H$100,$A270,'24b'!$I$7:$I$100,2)+SUMIFS('24c'!$J$7:$J$100,'24c'!$H$7:$H$100,$A270,'24c'!$I$7:$I$100,2)+SUMIFS('24d'!$J$7:$J$100,'24d'!$H$7:$H$100,$A270,'24d'!$I$7:$I$100,2)+SUMIFS('24e'!$J$7:$J$100,'24e'!$H$7:$H$100,$A270,'24e'!$I$7:$I$100,2)+SUMIFS('24f'!$J$7:$J$100,'24f'!$H$7:$H$100,$A270,'24f'!$I$7:$I$100,2)+SUMIFS('24g'!$J$7:$J$100,'24g'!$H$7:$H$100,$A270,'24g'!$I$7:$I$100,2)+SUMIFS('24h'!$J$7:$J$100,'24h'!$H$7:$H$100,$A270,'24h'!$I$7:$I$100,2)+SUMIFS('24i'!$J$7:$J$100,'24i'!$H$7:$H$100,$A270,'24i'!$I$7:$I$100,2)+SUMIFS('25'!$J$7:$J$100,'25'!$H$7:$H$100,$A270,'25'!$I$7:$I$100,2)+SUMIFS('26'!$J$7:$J$100,'26'!$H$7:$H$100,$A270,'26'!$I$7:$I$100,2)+SUMIFS('26a'!$J$7:$J$100,'26a'!$H$7:$H$100,$A270,'26a'!$I$7:$I$100,2)+SUMIFS('27'!$J$7:$J$100,'27'!$H$7:$H$100,$A270,'27'!$I$7:$I$100,2)+SUMIFS('27a'!$J$7:$J$100,'27a'!$H$7:$H$100,$A270,'27a'!$I$7:$I$100,2)+SUMIFS('28'!$J$7:$J$100,'28'!$H$7:$H$100,$A270,'28'!$I$7:$I$100,2)+SUMIFS('29'!$J$7:$J$100,'29'!$H$7:$H$100,$A270,'29'!$I$7:$I$100,2)</f>
        <v>100</v>
      </c>
      <c r="I270" s="1315">
        <f>SUMIFS('12'!$J$7:$J$100,'12'!$H$7:$H$100,$A270,'12'!$I$7:$I$100,"")+SUMIFS('13'!$J$7:$J$100,'13'!$H$7:$H$100,$A270,'13'!$I$7:$I$100,"")+SUMIFS('14'!$J$7:$J$100,'14'!$H$7:$H$100,$A270,'14'!$I$7:$I$100,"")+SUMIFS('15'!$J$7:$J$100,'15'!$H$7:$H$100,$A270,'15'!$I$7:$I$100,"")+SUMIFS('15a'!$J$7:$J$100,'15a'!$H$7:$H$100,$A270,'15a'!$I$7:$I$100,"")+SUMIFS('15b'!$J$7:$J$100,'15b'!$H$7:$H$100,$A270,'15b'!$I$7:$I$100,"")+SUMIFS('15c'!$J$7:$J$100,'15c'!$H$7:$H$100,$A270,'15c'!$I$7:$I$100,"")+SUMIFS('15d'!$J$7:$J$100,'15d'!$H$7:$H$100,$A270,'15d'!$I$7:$I$100,"")+SUMIFS('15e'!$J$7:$J$100,'15e'!$H$7:$H$100,$A270,'15e'!$I$7:$I$100,"")+SUMIFS('15f'!$J$7:$J$100,'15f'!$H$7:$H$100,$A270,'15f'!$I$7:$I$100,"")+SUMIFS('15g'!$J$7:$J$100,'15g'!$H$7:$H$100,$A270,'15g'!$I$7:$I$100,"")+SUMIFS('15h'!$J$7:$J$100,'15h'!$H$7:$H$100,$A270,'15h'!$I$7:$I$100,"")+SUMIFS('15i'!$J$7:$J$100,'15i'!$H$7:$H$100,$A270,'15i'!$I$7:$I$100,"")+SUMIFS('15j'!$J$7:$J$100,'15j'!$H$7:$H$100,$A270,'15j'!$I$7:$I$100,"")+SUMIFS('15k'!$J$7:$J$100,'15k'!$H$7:$H$100,$A270,'15k'!$I$7:$I$100,"")+SUMIFS('15l'!$J$7:$J$100,'15l'!$H$7:$H$100,$A270,'15l'!$I$7:$I$100,"")+SUMIFS('15m'!$J$7:$J$100,'15m'!$H$7:$H$100,$A270,'15m'!$I$7:$I$100,"")+SUMIFS('15n'!$J$7:$J$100,'15n'!$H$7:$H$100,$A270,'15n'!$I$7:$I$100,"")+SUMIFS('16'!$J$7:$J$100,'16'!$H$7:$H$100,$A270,'16'!$I$7:$I$100,"")+SUMIFS('16a'!$J$7:$J$100,'16a'!$H$7:$H$100,$A270,'16a'!$I$7:$I$100,"")+SUMIFS('17'!$J$7:$J$100,'17'!$H$7:$H$100,$A270,'17'!$I$7:$I$100,"")+SUMIFS('17a'!$J$7:$J$100,'17a'!$H$7:$H$100,$A270,'17a'!$I$7:$I$100,"")+SUMIFS('18'!$J$7:$J$100,'18'!$H$7:$H$100,$A270,'18'!$I$7:$I$100,"")+SUMIFS('18a'!$J$7:$J$100,'18a'!$H$7:$H$100,$A270,'18a'!$I$7:$I$100,"")
+SUMIFS('19'!$J$7:$J$100,'19'!$H$7:$H$100,$A270,'19'!$I$7:$I$100,"")+SUMIFS('20'!$J$7:$J$100,'20'!$H$7:$H$100,$A270,'20'!$I$7:$I$100,"")+SUMIFS('20a'!$J$7:$J$100,'20a'!$H$7:$H$100,$A270,'20a'!$I$7:$I$100,"")+SUMIFS('21'!$J$7:$J$100,'21'!$H$7:$H$100,$A270,'21'!$I$7:$I$100,"")+SUMIFS('22'!$J$7:$J$100,'22'!$H$7:$H$100,$A270,'22'!$I$7:$I$100,"")+SUMIFS('22a'!$J$7:$J$100,'22a'!$H$7:$H$100,$A270,'22a'!$I$7:$I$100,"")+SUMIFS('22b'!$J$7:$J$100,'22b'!$H$7:$H$100,$A270,'22b'!$I$7:$I$100,"")+SUMIFS('23'!$J$7:$J$100,'23'!$H$7:$H$100,$A270,'23'!$I$7:$I$100,"")+SUMIFS('24'!$J$7:$J$100,'24'!$H$7:$H$100,$A270,'24'!$I$7:$I$100,"")+SUMIFS('24a'!$J$7:$J$100,'24a'!$H$7:$H$100,$A270,'24a'!$I$7:$I$100,"")+SUMIFS('24b'!$J$7:$J$100,'24b'!$H$7:$H$100,$A270,'24b'!$I$7:$I$100,"")+SUMIFS('24c'!$J$7:$J$100,'24c'!$H$7:$H$100,$A270,'24c'!$I$7:$I$100,"")+SUMIFS('24d'!$J$7:$J$100,'24d'!$H$7:$H$100,$A270,'24d'!$I$7:$I$100,"")+SUMIFS('24e'!$J$7:$J$100,'24e'!$H$7:$H$100,$A270,'24e'!$I$7:$I$100,"")+SUMIFS('24f'!$J$7:$J$100,'24f'!$H$7:$H$100,$A270,'24f'!$I$7:$I$100,"")+SUMIFS('24g'!$J$7:$J$100,'24g'!$H$7:$H$100,$A270,'24g'!$I$7:$I$100,"")+SUMIFS('24h'!$J$7:$J$100,'24h'!$H$7:$H$100,$A270,'24h'!$I$7:$I$100,"")+SUMIFS('24i'!$J$7:$J$100,'24i'!$H$7:$H$100,$A270,'24i'!$I$7:$I$100,"")+SUMIFS('25'!$J$7:$J$100,'25'!$H$7:$H$100,$A270,'25'!$I$7:$I$100,"")+SUMIFS('26'!$J$7:$J$100,'26'!$H$7:$H$100,$A270,'26'!$I$7:$I$100,"")+SUMIFS('26a'!$J$7:$J$100,'26a'!$H$7:$H$100,$A270,'26a'!$I$7:$I$100,"")+SUMIFS('27'!$J$7:$J$100,'27'!$H$7:$H$100,$A270,'27'!$I$7:$I$100,"")+SUMIFS('27a'!$J$7:$J$100,'27a'!$H$7:$H$100,$A270,'27a'!$I$7:$I$100,"")+SUMIFS('28'!$J$7:$J$100,'28'!$H$7:$H$100,$A270,'28'!$I$7:$I$100,"")+SUMIFS('29'!$J$7:$J$100,'29'!$H$7:$H$100,$A270,'29'!$I$7:$I$100,"")</f>
        <v>0</v>
      </c>
      <c r="J270" s="1296">
        <f>SUM(G270:I270)</f>
        <v>100</v>
      </c>
      <c r="K270"/>
      <c r="L270"/>
      <c r="M270"/>
      <c r="N270"/>
      <c r="O270"/>
      <c r="P270"/>
      <c r="Q270"/>
      <c r="R270"/>
      <c r="S270" s="1307">
        <f t="shared" si="14"/>
        <v>200</v>
      </c>
      <c r="T270"/>
    </row>
    <row r="271" spans="1:20" ht="12.75" customHeight="1" x14ac:dyDescent="0.2">
      <c r="A271"/>
      <c r="B271" t="s">
        <v>5573</v>
      </c>
      <c r="C271" s="1295">
        <f>SUM(C272:C275)</f>
        <v>0</v>
      </c>
      <c r="D271" s="1315">
        <f t="shared" ref="D271:J271" si="27">SUM(D272:D275)</f>
        <v>0</v>
      </c>
      <c r="E271" s="1315">
        <f t="shared" si="27"/>
        <v>0</v>
      </c>
      <c r="F271" s="1296">
        <f t="shared" si="27"/>
        <v>0</v>
      </c>
      <c r="G271" s="1295">
        <f t="shared" si="27"/>
        <v>0</v>
      </c>
      <c r="H271" s="1315">
        <f t="shared" si="27"/>
        <v>100</v>
      </c>
      <c r="I271" s="1315">
        <f t="shared" si="27"/>
        <v>0</v>
      </c>
      <c r="J271" s="1296">
        <f t="shared" si="27"/>
        <v>100</v>
      </c>
      <c r="K271"/>
      <c r="L271"/>
      <c r="M271"/>
      <c r="N271"/>
      <c r="O271"/>
      <c r="P271"/>
      <c r="Q271"/>
      <c r="R271"/>
      <c r="S271" s="1307">
        <f t="shared" si="14"/>
        <v>200</v>
      </c>
      <c r="T271"/>
    </row>
    <row r="272" spans="1:20" ht="12.75" customHeight="1" outlineLevel="1" x14ac:dyDescent="0.2">
      <c r="A272" t="s">
        <v>5182</v>
      </c>
      <c r="B272" t="s">
        <v>5510</v>
      </c>
      <c r="C272" s="1295">
        <f>SUMIFS('12'!$N$7:$N$100,'12'!$H$7:$H$100,$A272,'12'!$I$7:$I$100,1)+SUMIFS('13'!$N$7:$N$100,'13'!$H$7:$H$100,$A272,'13'!$I$7:$I$100,1)+SUMIFS('14'!$N$7:$N$100,'14'!$H$7:$H$100,$A272,'14'!$I$7:$I$100,1)+SUMIFS('15'!$N$7:$N$100,'15'!$H$7:$H$100,$A272,'15'!$I$7:$I$100,1)+SUMIFS('15a'!$N$7:$N$100,'15a'!$H$7:$H$100,$A272,'15a'!$I$7:$I$100,1)+SUMIFS('15b'!$N$7:$N$100,'15b'!$H$7:$H$100,$A272,'15b'!$I$7:$I$100,1)+SUMIFS('15c'!$N$7:$N$100,'15c'!$H$7:$H$100,$A272,'15c'!$I$7:$I$100,1)+SUMIFS('15d'!$N$7:$N$100,'15d'!$H$7:$H$100,$A272,'15d'!$I$7:$I$100,1)+SUMIFS('15e'!$N$7:$N$100,'15e'!$H$7:$H$100,$A272,'15e'!$I$7:$I$100,1)+SUMIFS('15f'!$N$7:$N$100,'15f'!$H$7:$H$100,$A272,'15f'!$I$7:$I$100,1)+SUMIFS('15g'!$N$7:$N$100,'15g'!$H$7:$H$100,$A272,'15g'!$I$7:$I$100,1)+SUMIFS('15h'!$N$7:$N$100,'15h'!$H$7:$H$100,$A272,'15h'!$I$7:$I$100,1)+SUMIFS('15i'!$N$7:$N$100,'15i'!$H$7:$H$100,$A272,'15i'!$I$7:$I$100,1)+SUMIFS('15j'!$N$7:$N$100,'15j'!$H$7:$H$100,$A272,'15j'!$I$7:$I$100,1)+SUMIFS('15k'!$N$7:$N$100,'15k'!$H$7:$H$100,$A272,'15k'!$I$7:$I$100,1)+SUMIFS('15l'!$N$7:$N$100,'15l'!$H$7:$H$100,$A272,'15l'!$I$7:$I$100,1)+SUMIFS('15m'!$N$7:$N$100,'15m'!$H$7:$H$100,$A272,'15m'!$I$7:$I$100,1)+SUMIFS('15n'!$N$7:$N$100,'15n'!$H$7:$H$100,$A272,'15n'!$I$7:$I$100,1)+SUMIFS('16'!$N$7:$N$100,'16'!$H$7:$H$100,$A272,'16'!$I$7:$I$100,1)+SUMIFS('16a'!$N$7:$N$100,'16a'!$H$7:$H$100,$A272,'16a'!$I$7:$I$100,1)+SUMIFS('17'!$N$7:$N$100,'17'!$H$7:$H$100,$A272,'17'!$I$7:$I$100,1)+SUMIFS('17a'!$N$7:$N$100,'17a'!$H$7:$H$100,$A272,'17a'!$I$7:$I$100,1)+SUMIFS('18'!$N$7:$N$100,'18'!$H$7:$H$100,$A272,'18'!$I$7:$I$100,1)+SUMIFS('18a'!$N$7:$N$100,'18a'!$H$7:$H$100,$A272,'18a'!$I$7:$I$100,1)
+SUMIFS('19'!$N$7:$N$100,'19'!$H$7:$H$100,$A272,'19'!$I$7:$I$100,1)+SUMIFS('20'!$N$7:$N$100,'20'!$H$7:$H$100,$A272,'20'!$I$7:$I$100,1)+SUMIFS('20a'!$N$7:$N$100,'20a'!$H$7:$H$100,$A272,'20a'!$I$7:$I$100,1)+SUMIFS('21'!$N$7:$N$100,'21'!$H$7:$H$100,$A272,'21'!$I$7:$I$100,1)+SUMIFS('22'!$N$7:$N$100,'22'!$H$7:$H$100,$A272,'22'!$I$7:$I$100,1)+SUMIFS('22a'!$N$7:$N$100,'22a'!$H$7:$H$100,$A272,'22a'!$I$7:$I$100,1)+SUMIFS('22b'!$N$7:$N$100,'22b'!$H$7:$H$100,$A272,'22b'!$I$7:$I$100,1)+SUMIFS('23'!$N$7:$N$100,'23'!$H$7:$H$100,$A272,'23'!$I$7:$I$100,1)+SUMIFS('24'!$N$7:$N$100,'24'!$H$7:$H$100,$A272,'24'!$I$7:$I$100,1)+SUMIFS('24a'!$N$7:$N$100,'24a'!$H$7:$H$100,$A272,'24a'!$I$7:$I$100,1)+SUMIFS('24b'!$N$7:$N$100,'24b'!$H$7:$H$100,$A272,'24b'!$I$7:$I$100,1)+SUMIFS('24c'!$N$7:$N$100,'24c'!$H$7:$H$100,$A272,'24c'!$I$7:$I$100,1)+SUMIFS('24d'!$N$7:$N$100,'24d'!$H$7:$H$100,$A272,'24d'!$I$7:$I$100,1)+SUMIFS('24e'!$N$7:$N$100,'24e'!$H$7:$H$100,$A272,'24e'!$I$7:$I$100,1)+SUMIFS('24f'!$N$7:$N$100,'24f'!$H$7:$H$100,$A272,'24f'!$I$7:$I$100,1)+SUMIFS('24g'!$N$7:$N$100,'24g'!$H$7:$H$100,$A272,'24g'!$I$7:$I$100,1)+SUMIFS('24h'!$N$7:$N$100,'24h'!$H$7:$H$100,$A272,'24h'!$I$7:$I$100,1)+SUMIFS('24i'!$N$7:$N$100,'24i'!$H$7:$H$100,$A272,'24i'!$I$7:$I$100,1)+SUMIFS('25'!$N$7:$N$100,'25'!$H$7:$H$100,$A272,'25'!$I$7:$I$100,1)+SUMIFS('26'!$N$7:$N$100,'26'!$H$7:$H$100,$A272,'26'!$I$7:$I$100,1)+SUMIFS('26a'!$N$7:$N$100,'26a'!$H$7:$H$100,$A272,'26a'!$I$7:$I$100,1)+SUMIFS('27'!$N$7:$N$100,'27'!$H$7:$H$100,$A272,'27'!$I$7:$I$100,1)+SUMIFS('27a'!$N$7:$N$100,'27a'!$H$7:$H$100,$A272,'27a'!$I$7:$I$100,1)+SUMIFS('28'!$N$7:$N$100,'28'!$H$7:$H$100,$A272,'28'!$I$7:$I$100,1)+SUMIFS('29'!$N$7:$N$100,'29'!$H$7:$H$100,$A272,'29'!$I$7:$I$100,1)</f>
        <v>0</v>
      </c>
      <c r="D272" s="1315">
        <f>SUMIFS('12'!$N$7:$N$100,'12'!$H$7:$H$100,$A272,'12'!$I$7:$I$100,2)+SUMIFS('13'!$N$7:$N$100,'13'!$H$7:$H$100,$A272,'13'!$I$7:$I$100,2)+SUMIFS('14'!$N$7:$N$100,'14'!$H$7:$H$100,$A272,'14'!$I$7:$I$100,2)+SUMIFS('15'!$N$7:$N$100,'15'!$H$7:$H$100,$A272,'15'!$I$7:$I$100,2)+SUMIFS('15a'!$N$7:$N$100,'15a'!$H$7:$H$100,$A272,'15a'!$I$7:$I$100,2)+SUMIFS('15b'!$N$7:$N$100,'15b'!$H$7:$H$100,$A272,'15b'!$I$7:$I$100,2)+SUMIFS('15c'!$N$7:$N$100,'15c'!$H$7:$H$100,$A272,'15c'!$I$7:$I$100,2)+SUMIFS('15d'!$N$7:$N$100,'15d'!$H$7:$H$100,$A272,'15d'!$I$7:$I$100,2)+SUMIFS('15e'!$N$7:$N$100,'15e'!$H$7:$H$100,$A272,'15e'!$I$7:$I$100,2)+SUMIFS('15f'!$N$7:$N$100,'15f'!$H$7:$H$100,$A272,'15f'!$I$7:$I$100,2)+SUMIFS('15g'!$N$7:$N$100,'15g'!$H$7:$H$100,$A272,'15g'!$I$7:$I$100,2)+SUMIFS('15h'!$N$7:$N$100,'15h'!$H$7:$H$100,$A272,'15h'!$I$7:$I$100,2)+SUMIFS('15i'!$N$7:$N$100,'15i'!$H$7:$H$100,$A272,'15i'!$I$7:$I$100,2)+SUMIFS('15j'!$N$7:$N$100,'15j'!$H$7:$H$100,$A272,'15j'!$I$7:$I$100,2)+SUMIFS('15k'!$N$7:$N$100,'15k'!$H$7:$H$100,$A272,'15k'!$I$7:$I$100,2)+SUMIFS('15l'!$N$7:$N$100,'15l'!$H$7:$H$100,$A272,'15l'!$I$7:$I$100,2)+SUMIFS('15m'!$N$7:$N$100,'15m'!$H$7:$H$100,$A272,'15m'!$I$7:$I$100,2)+SUMIFS('15n'!$N$7:$N$100,'15n'!$H$7:$H$100,$A272,'15n'!$I$7:$I$100,2)+SUMIFS('16'!$N$7:$N$100,'16'!$H$7:$H$100,$A272,'16'!$I$7:$I$100,2)+SUMIFS('16a'!$N$7:$N$100,'16a'!$H$7:$H$100,$A272,'16a'!$I$7:$I$100,2)+SUMIFS('17'!$N$7:$N$100,'17'!$H$7:$H$100,$A272,'17'!$I$7:$I$100,2)+SUMIFS('17a'!$N$7:$N$100,'17a'!$H$7:$H$100,$A272,'17a'!$I$7:$I$100,2)+SUMIFS('18'!$N$7:$N$100,'18'!$H$7:$H$100,$A272,'18'!$I$7:$I$100,2)+SUMIFS('18a'!$N$7:$N$100,'18a'!$H$7:$H$100,$A272,'18a'!$I$7:$I$100,2)
+SUMIFS('19'!$N$7:$N$100,'19'!$H$7:$H$100,$A272,'19'!$I$7:$I$100,2)+SUMIFS('20'!$N$7:$N$100,'20'!$H$7:$H$100,$A272,'20'!$I$7:$I$100,2)+SUMIFS('20a'!$N$7:$N$100,'20a'!$H$7:$H$100,$A272,'20a'!$I$7:$I$100,2)+SUMIFS('21'!$N$7:$N$100,'21'!$H$7:$H$100,$A272,'21'!$I$7:$I$100,2)+SUMIFS('22'!$N$7:$N$100,'22'!$H$7:$H$100,$A272,'22'!$I$7:$I$100,2)+SUMIFS('22a'!$N$7:$N$100,'22a'!$H$7:$H$100,$A272,'22a'!$I$7:$I$100,2)+SUMIFS('22b'!$N$7:$N$100,'22b'!$H$7:$H$100,$A272,'22b'!$I$7:$I$100,2)+SUMIFS('23'!$N$7:$N$100,'23'!$H$7:$H$100,$A272,'23'!$I$7:$I$100,2)+SUMIFS('24'!$N$7:$N$100,'24'!$H$7:$H$100,$A272,'24'!$I$7:$I$100,2)+SUMIFS('24a'!$N$7:$N$100,'24a'!$H$7:$H$100,$A272,'24a'!$I$7:$I$100,2)+SUMIFS('24b'!$N$7:$N$100,'24b'!$H$7:$H$100,$A272,'24b'!$I$7:$I$100,2)+SUMIFS('24c'!$N$7:$N$100,'24c'!$H$7:$H$100,$A272,'24c'!$I$7:$I$100,2)+SUMIFS('24d'!$N$7:$N$100,'24d'!$H$7:$H$100,$A272,'24d'!$I$7:$I$100,2)+SUMIFS('24e'!$N$7:$N$100,'24e'!$H$7:$H$100,$A272,'24e'!$I$7:$I$100,2)+SUMIFS('24f'!$N$7:$N$100,'24f'!$H$7:$H$100,$A272,'24f'!$I$7:$I$100,2)+SUMIFS('24g'!$N$7:$N$100,'24g'!$H$7:$H$100,$A272,'24g'!$I$7:$I$100,2)+SUMIFS('24h'!$N$7:$N$100,'24h'!$H$7:$H$100,$A272,'24h'!$I$7:$I$100,2)+SUMIFS('24i'!$N$7:$N$100,'24i'!$H$7:$H$100,$A272,'24i'!$I$7:$I$100,2)+SUMIFS('25'!$N$7:$N$100,'25'!$H$7:$H$100,$A272,'25'!$I$7:$I$100,2)+SUMIFS('26'!$N$7:$N$100,'26'!$H$7:$H$100,$A272,'26'!$I$7:$I$100,2)+SUMIFS('26a'!$N$7:$N$100,'26a'!$H$7:$H$100,$A272,'26a'!$I$7:$I$100,2)+SUMIFS('27'!$N$7:$N$100,'27'!$H$7:$H$100,$A272,'27'!$I$7:$I$100,2)+SUMIFS('27a'!$N$7:$N$100,'27a'!$H$7:$H$100,$A272,'27a'!$I$7:$I$100,2)+SUMIFS('28'!$N$7:$N$100,'28'!$H$7:$H$100,$A272,'28'!$I$7:$I$100,2)+SUMIFS('29'!$N$7:$N$100,'29'!$H$7:$H$100,$A272,'29'!$I$7:$I$100,2)</f>
        <v>0</v>
      </c>
      <c r="E272" s="1315">
        <f>SUMIFS('12'!$N$7:$N$100,'12'!$H$7:$H$100,$A272,'12'!$I$7:$I$100,"")+SUMIFS('13'!$N$7:$N$100,'13'!$H$7:$H$100,$A272,'13'!$I$7:$I$100,"")+SUMIFS('14'!$N$7:$N$100,'14'!$H$7:$H$100,$A272,'14'!$I$7:$I$100,"")+SUMIFS('15'!$N$7:$N$100,'15'!$H$7:$H$100,$A272,'15'!$I$7:$I$100,"")+SUMIFS('15a'!$N$7:$N$100,'15a'!$H$7:$H$100,$A272,'15a'!$I$7:$I$100,"")+SUMIFS('15b'!$N$7:$N$100,'15b'!$H$7:$H$100,$A272,'15b'!$I$7:$I$100,"")+SUMIFS('15c'!$N$7:$N$100,'15c'!$H$7:$H$100,$A272,'15c'!$I$7:$I$100,"")+SUMIFS('15d'!$N$7:$N$100,'15d'!$H$7:$H$100,$A272,'15d'!$I$7:$I$100,"")+SUMIFS('15e'!$N$7:$N$100,'15e'!$H$7:$H$100,$A272,'15e'!$I$7:$I$100,"")+SUMIFS('15f'!$N$7:$N$100,'15f'!$H$7:$H$100,$A272,'15f'!$I$7:$I$100,"")+SUMIFS('15g'!$N$7:$N$100,'15g'!$H$7:$H$100,$A272,'15g'!$I$7:$I$100,"")+SUMIFS('15h'!$N$7:$N$100,'15h'!$H$7:$H$100,$A272,'15h'!$I$7:$I$100,"")+SUMIFS('15i'!$N$7:$N$100,'15i'!$H$7:$H$100,$A272,'15i'!$I$7:$I$100,"")+SUMIFS('15j'!$N$7:$N$100,'15j'!$H$7:$H$100,$A272,'15j'!$I$7:$I$100,"")+SUMIFS('15k'!$N$7:$N$100,'15k'!$H$7:$H$100,$A272,'15k'!$I$7:$I$100,"")+SUMIFS('15l'!$N$7:$N$100,'15l'!$H$7:$H$100,$A272,'15l'!$I$7:$I$100,"")+SUMIFS('15m'!$N$7:$N$100,'15m'!$H$7:$H$100,$A272,'15m'!$I$7:$I$100,"")+SUMIFS('15n'!$N$7:$N$100,'15n'!$H$7:$H$100,$A272,'15n'!$I$7:$I$100,"")+SUMIFS('16'!$N$7:$N$100,'16'!$H$7:$H$100,$A272,'16'!$I$7:$I$100,"")+SUMIFS('16a'!$N$7:$N$100,'16a'!$H$7:$H$100,$A272,'16a'!$I$7:$I$100,"")+SUMIFS('17'!$N$7:$N$100,'17'!$H$7:$H$100,$A272,'17'!$I$7:$I$100,"")+SUMIFS('17a'!$N$7:$N$100,'17a'!$H$7:$H$100,$A272,'17a'!$I$7:$I$100,"")+SUMIFS('18'!$N$7:$N$100,'18'!$H$7:$H$100,$A272,'18'!$I$7:$I$100,"")+SUMIFS('18a'!$N$7:$N$100,'18a'!$H$7:$H$100,$A272,'18a'!$I$7:$I$100,"")
+SUMIFS('19'!$N$7:$N$100,'19'!$H$7:$H$100,$A272,'19'!$I$7:$I$100,"")+SUMIFS('20'!$N$7:$N$100,'20'!$H$7:$H$100,$A272,'20'!$I$7:$I$100,"")+SUMIFS('20a'!$N$7:$N$100,'20a'!$H$7:$H$100,$A272,'20a'!$I$7:$I$100,"")+SUMIFS('21'!$N$7:$N$100,'21'!$H$7:$H$100,$A272,'21'!$I$7:$I$100,"")+SUMIFS('22'!$N$7:$N$100,'22'!$H$7:$H$100,$A272,'22'!$I$7:$I$100,"")+SUMIFS('22a'!$N$7:$N$100,'22a'!$H$7:$H$100,$A272,'22a'!$I$7:$I$100,"")+SUMIFS('22b'!$N$7:$N$100,'22b'!$H$7:$H$100,$A272,'22b'!$I$7:$I$100,"")+SUMIFS('23'!$N$7:$N$100,'23'!$H$7:$H$100,$A272,'23'!$I$7:$I$100,"")+SUMIFS('24'!$N$7:$N$100,'24'!$H$7:$H$100,$A272,'24'!$I$7:$I$100,"")+SUMIFS('24a'!$N$7:$N$100,'24a'!$H$7:$H$100,$A272,'24a'!$I$7:$I$100,"")+SUMIFS('24b'!$N$7:$N$100,'24b'!$H$7:$H$100,$A272,'24b'!$I$7:$I$100,"")+SUMIFS('24c'!$N$7:$N$100,'24c'!$H$7:$H$100,$A272,'24c'!$I$7:$I$100,"")+SUMIFS('24d'!$N$7:$N$100,'24d'!$H$7:$H$100,$A272,'24d'!$I$7:$I$100,"")+SUMIFS('24e'!$N$7:$N$100,'24e'!$H$7:$H$100,$A272,'24e'!$I$7:$I$100,"")+SUMIFS('24f'!$N$7:$N$100,'24f'!$H$7:$H$100,$A272,'24f'!$I$7:$I$100,"")+SUMIFS('24g'!$N$7:$N$100,'24g'!$H$7:$H$100,$A272,'24g'!$I$7:$I$100,"")+SUMIFS('24h'!$N$7:$N$100,'24h'!$H$7:$H$100,$A272,'24h'!$I$7:$I$100,"")+SUMIFS('24i'!$N$7:$N$100,'24i'!$H$7:$H$100,$A272,'24i'!$I$7:$I$100,"")+SUMIFS('25'!$N$7:$N$100,'25'!$H$7:$H$100,$A272,'25'!$I$7:$I$100,"")+SUMIFS('26'!$N$7:$N$100,'26'!$H$7:$H$100,$A272,'26'!$I$7:$I$100,"")+SUMIFS('26a'!$N$7:$N$100,'26a'!$H$7:$H$100,$A272,'26a'!$I$7:$I$100,"")+SUMIFS('27'!$N$7:$N$100,'27'!$H$7:$H$100,$A272,'27'!$I$7:$I$100,"")+SUMIFS('27a'!$N$7:$N$100,'27a'!$H$7:$H$100,$A272,'27a'!$I$7:$I$100,"")+SUMIFS('28'!$N$7:$N$100,'28'!$H$7:$H$100,$A272,'28'!$I$7:$I$100,"")+SUMIFS('29'!$N$7:$N$100,'29'!$H$7:$H$100,$A272,'29'!$I$7:$I$100,"")</f>
        <v>0</v>
      </c>
      <c r="F272" s="1296">
        <f t="shared" ref="F272:F281" si="28">SUM(C272:E272)</f>
        <v>0</v>
      </c>
      <c r="G272" s="1295">
        <f>SUMIFS('12'!$J$7:$J$100,'12'!$H$7:$H$100,$A272,'12'!$I$7:$I$100,1)+SUMIFS('13'!$J$7:$J$100,'13'!$H$7:$H$100,$A272,'13'!$I$7:$I$100,1)+SUMIFS('14'!$J$7:$J$100,'14'!$H$7:$H$100,$A272,'14'!$I$7:$I$100,1)+SUMIFS('15'!$J$7:$J$100,'15'!$H$7:$H$100,$A272,'15'!$I$7:$I$100,1)+SUMIFS('15a'!$J$7:$J$100,'15a'!$H$7:$H$100,$A272,'15a'!$I$7:$I$100,1)+SUMIFS('15b'!$J$7:$J$100,'15b'!$H$7:$H$100,$A272,'15b'!$I$7:$I$100,1)+SUMIFS('15c'!$J$7:$J$100,'15c'!$H$7:$H$100,$A272,'15c'!$I$7:$I$100,1)+SUMIFS('15d'!$J$7:$J$100,'15d'!$H$7:$H$100,$A272,'15d'!$I$7:$I$100,1)+SUMIFS('15e'!$J$7:$J$100,'15e'!$H$7:$H$100,$A272,'15e'!$I$7:$I$100,1)+SUMIFS('15f'!$J$7:$J$100,'15f'!$H$7:$H$100,$A272,'15f'!$I$7:$I$100,1)+SUMIFS('15g'!$J$7:$J$100,'15g'!$H$7:$H$100,$A272,'15g'!$I$7:$I$100,1)+SUMIFS('15h'!$J$7:$J$100,'15h'!$H$7:$H$100,$A272,'15h'!$I$7:$I$100,1)+SUMIFS('15i'!$J$7:$J$100,'15i'!$H$7:$H$100,$A272,'15i'!$I$7:$I$100,1)+SUMIFS('15j'!$J$7:$J$100,'15j'!$H$7:$H$100,$A272,'15j'!$I$7:$I$100,1)+SUMIFS('15k'!$J$7:$J$100,'15k'!$H$7:$H$100,$A272,'15k'!$I$7:$I$100,1)+SUMIFS('15l'!$J$7:$J$100,'15l'!$H$7:$H$100,$A272,'15l'!$I$7:$I$100,1)+SUMIFS('15m'!$J$7:$J$100,'15m'!$H$7:$H$100,$A272,'15m'!$I$7:$I$100,1)+SUMIFS('15n'!$J$7:$J$100,'15n'!$H$7:$H$100,$A272,'15n'!$I$7:$I$100,1)+SUMIFS('16'!$J$7:$J$100,'16'!$H$7:$H$100,$A272,'16'!$I$7:$I$100,1)+SUMIFS('16a'!$J$7:$J$100,'16a'!$H$7:$H$100,$A272,'16a'!$I$7:$I$100,1)+SUMIFS('17'!$J$7:$J$100,'17'!$H$7:$H$100,$A272,'17'!$I$7:$I$100,1)+SUMIFS('17a'!$J$7:$J$100,'17a'!$H$7:$H$100,$A272,'17a'!$I$7:$I$100,1)+SUMIFS('18'!$J$7:$J$100,'18'!$H$7:$H$100,$A272,'18'!$I$7:$I$100,1)+SUMIFS('18a'!$J$7:$J$100,'18a'!$H$7:$H$100,$A272,'18a'!$I$7:$I$100,1)
+SUMIFS('19'!$J$7:$J$100,'19'!$H$7:$H$100,$A272,'19'!$I$7:$I$100,1)+SUMIFS('20'!$J$7:$J$100,'20'!$H$7:$H$100,$A272,'20'!$I$7:$I$100,1)+SUMIFS('20a'!$J$7:$J$100,'20a'!$H$7:$H$100,$A272,'20a'!$I$7:$I$100,1)+SUMIFS('21'!$J$7:$J$100,'21'!$H$7:$H$100,$A272,'21'!$I$7:$I$100,1)+SUMIFS('22'!$J$7:$J$100,'22'!$H$7:$H$100,$A272,'22'!$I$7:$I$100,1)+SUMIFS('22a'!$J$7:$J$100,'22a'!$H$7:$H$100,$A272,'22a'!$I$7:$I$100,1)+SUMIFS('22b'!$J$7:$J$100,'22b'!$H$7:$H$100,$A272,'22b'!$I$7:$I$100,1)+SUMIFS('23'!$J$7:$J$100,'23'!$H$7:$H$100,$A272,'23'!$I$7:$I$100,1)+SUMIFS('24'!$J$7:$J$100,'24'!$H$7:$H$100,$A272,'24'!$I$7:$I$100,1)+SUMIFS('24a'!$J$7:$J$100,'24a'!$H$7:$H$100,$A272,'24a'!$I$7:$I$100,1)+SUMIFS('24b'!$J$7:$J$100,'24b'!$H$7:$H$100,$A272,'24b'!$I$7:$I$100,1)+SUMIFS('24c'!$J$7:$J$100,'24c'!$H$7:$H$100,$A272,'24c'!$I$7:$I$100,1)+SUMIFS('24d'!$J$7:$J$100,'24d'!$H$7:$H$100,$A272,'24d'!$I$7:$I$100,1)+SUMIFS('24e'!$J$7:$J$100,'24e'!$H$7:$H$100,$A272,'24e'!$I$7:$I$100,1)+SUMIFS('24f'!$J$7:$J$100,'24f'!$H$7:$H$100,$A272,'24f'!$I$7:$I$100,1)+SUMIFS('24g'!$J$7:$J$100,'24g'!$H$7:$H$100,$A272,'24g'!$I$7:$I$100,1)+SUMIFS('24h'!$J$7:$J$100,'24h'!$H$7:$H$100,$A272,'24h'!$I$7:$I$100,1)+SUMIFS('24i'!$J$7:$J$100,'24i'!$H$7:$H$100,$A272,'24i'!$I$7:$I$100,1)+SUMIFS('25'!$J$7:$J$100,'25'!$H$7:$H$100,$A272,'25'!$I$7:$I$100,1)+SUMIFS('26'!$J$7:$J$100,'26'!$H$7:$H$100,$A272,'26'!$I$7:$I$100,1)+SUMIFS('26a'!$J$7:$J$100,'26a'!$H$7:$H$100,$A272,'26a'!$I$7:$I$100,1)+SUMIFS('27'!$J$7:$J$100,'27'!$H$7:$H$100,$A272,'27'!$I$7:$I$100,1)+SUMIFS('27a'!$J$7:$J$100,'27a'!$H$7:$H$100,$A272,'27a'!$I$7:$I$100,1)+SUMIFS('28'!$J$7:$J$100,'28'!$H$7:$H$100,$A272,'28'!$I$7:$I$100,1)+SUMIFS('29'!$J$7:$J$100,'29'!$H$7:$H$100,$A272,'29'!$I$7:$I$100,1)</f>
        <v>0</v>
      </c>
      <c r="H272" s="1315">
        <f>SUMIFS('12'!$J$7:$J$100,'12'!$H$7:$H$100,$A272,'12'!$I$7:$I$100,2)+SUMIFS('13'!$J$7:$J$100,'13'!$H$7:$H$100,$A272,'13'!$I$7:$I$100,2)+SUMIFS('14'!$J$7:$J$100,'14'!$H$7:$H$100,$A272,'14'!$I$7:$I$100,2)+SUMIFS('15'!$J$7:$J$100,'15'!$H$7:$H$100,$A272,'15'!$I$7:$I$100,2)+SUMIFS('15a'!$J$7:$J$100,'15a'!$H$7:$H$100,$A272,'15a'!$I$7:$I$100,2)+SUMIFS('15b'!$J$7:$J$100,'15b'!$H$7:$H$100,$A272,'15b'!$I$7:$I$100,2)+SUMIFS('15c'!$J$7:$J$100,'15c'!$H$7:$H$100,$A272,'15c'!$I$7:$I$100,2)+SUMIFS('15d'!$J$7:$J$100,'15d'!$H$7:$H$100,$A272,'15d'!$I$7:$I$100,2)+SUMIFS('15e'!$J$7:$J$100,'15e'!$H$7:$H$100,$A272,'15e'!$I$7:$I$100,2)+SUMIFS('15f'!$J$7:$J$100,'15f'!$H$7:$H$100,$A272,'15f'!$I$7:$I$100,2)+SUMIFS('15g'!$J$7:$J$100,'15g'!$H$7:$H$100,$A272,'15g'!$I$7:$I$100,2)+SUMIFS('15h'!$J$7:$J$100,'15h'!$H$7:$H$100,$A272,'15h'!$I$7:$I$100,2)+SUMIFS('15i'!$J$7:$J$100,'15i'!$H$7:$H$100,$A272,'15i'!$I$7:$I$100,2)+SUMIFS('15j'!$J$7:$J$100,'15j'!$H$7:$H$100,$A272,'15j'!$I$7:$I$100,2)+SUMIFS('15k'!$J$7:$J$100,'15k'!$H$7:$H$100,$A272,'15k'!$I$7:$I$100,2)+SUMIFS('15l'!$J$7:$J$100,'15l'!$H$7:$H$100,$A272,'15l'!$I$7:$I$100,2)+SUMIFS('15m'!$J$7:$J$100,'15m'!$H$7:$H$100,$A272,'15m'!$I$7:$I$100,2)+SUMIFS('15n'!$J$7:$J$100,'15n'!$H$7:$H$100,$A272,'15n'!$I$7:$I$100,2)+SUMIFS('16'!$J$7:$J$100,'16'!$H$7:$H$100,$A272,'16'!$I$7:$I$100,2)+SUMIFS('16a'!$J$7:$J$100,'16a'!$H$7:$H$100,$A272,'16a'!$I$7:$I$100,2)+SUMIFS('17'!$J$7:$J$100,'17'!$H$7:$H$100,$A272,'17'!$I$7:$I$100,2)+SUMIFS('17a'!$J$7:$J$100,'17a'!$H$7:$H$100,$A272,'17a'!$I$7:$I$100,2)+SUMIFS('18'!$J$7:$J$100,'18'!$H$7:$H$100,$A272,'18'!$I$7:$I$100,2)+SUMIFS('18a'!$J$7:$J$100,'18a'!$H$7:$H$100,$A272,'18a'!$I$7:$I$100,2)
+SUMIFS('19'!$J$7:$J$100,'19'!$H$7:$H$100,$A272,'19'!$I$7:$I$100,2)+SUMIFS('20'!$J$7:$J$100,'20'!$H$7:$H$100,$A272,'20'!$I$7:$I$100,2)+SUMIFS('20a'!$J$7:$J$100,'20a'!$H$7:$H$100,$A272,'20a'!$I$7:$I$100,2)+SUMIFS('21'!$J$7:$J$100,'21'!$H$7:$H$100,$A272,'21'!$I$7:$I$100,2)+SUMIFS('22'!$J$7:$J$100,'22'!$H$7:$H$100,$A272,'22'!$I$7:$I$100,2)+SUMIFS('22a'!$J$7:$J$100,'22a'!$H$7:$H$100,$A272,'22a'!$I$7:$I$100,2)+SUMIFS('22b'!$J$7:$J$100,'22b'!$H$7:$H$100,$A272,'22b'!$I$7:$I$100,2)+SUMIFS('23'!$J$7:$J$100,'23'!$H$7:$H$100,$A272,'23'!$I$7:$I$100,2)+SUMIFS('24'!$J$7:$J$100,'24'!$H$7:$H$100,$A272,'24'!$I$7:$I$100,2)+SUMIFS('24a'!$J$7:$J$100,'24a'!$H$7:$H$100,$A272,'24a'!$I$7:$I$100,2)+SUMIFS('24b'!$J$7:$J$100,'24b'!$H$7:$H$100,$A272,'24b'!$I$7:$I$100,2)+SUMIFS('24c'!$J$7:$J$100,'24c'!$H$7:$H$100,$A272,'24c'!$I$7:$I$100,2)+SUMIFS('24d'!$J$7:$J$100,'24d'!$H$7:$H$100,$A272,'24d'!$I$7:$I$100,2)+SUMIFS('24e'!$J$7:$J$100,'24e'!$H$7:$H$100,$A272,'24e'!$I$7:$I$100,2)+SUMIFS('24f'!$J$7:$J$100,'24f'!$H$7:$H$100,$A272,'24f'!$I$7:$I$100,2)+SUMIFS('24g'!$J$7:$J$100,'24g'!$H$7:$H$100,$A272,'24g'!$I$7:$I$100,2)+SUMIFS('24h'!$J$7:$J$100,'24h'!$H$7:$H$100,$A272,'24h'!$I$7:$I$100,2)+SUMIFS('24i'!$J$7:$J$100,'24i'!$H$7:$H$100,$A272,'24i'!$I$7:$I$100,2)+SUMIFS('25'!$J$7:$J$100,'25'!$H$7:$H$100,$A272,'25'!$I$7:$I$100,2)+SUMIFS('26'!$J$7:$J$100,'26'!$H$7:$H$100,$A272,'26'!$I$7:$I$100,2)+SUMIFS('26a'!$J$7:$J$100,'26a'!$H$7:$H$100,$A272,'26a'!$I$7:$I$100,2)+SUMIFS('27'!$J$7:$J$100,'27'!$H$7:$H$100,$A272,'27'!$I$7:$I$100,2)+SUMIFS('27a'!$J$7:$J$100,'27a'!$H$7:$H$100,$A272,'27a'!$I$7:$I$100,2)+SUMIFS('28'!$J$7:$J$100,'28'!$H$7:$H$100,$A272,'28'!$I$7:$I$100,2)+SUMIFS('29'!$J$7:$J$100,'29'!$H$7:$H$100,$A272,'29'!$I$7:$I$100,2)</f>
        <v>100</v>
      </c>
      <c r="I272" s="1315">
        <f>SUMIFS('12'!$J$7:$J$100,'12'!$H$7:$H$100,$A272,'12'!$I$7:$I$100,"")+SUMIFS('13'!$J$7:$J$100,'13'!$H$7:$H$100,$A272,'13'!$I$7:$I$100,"")+SUMIFS('14'!$J$7:$J$100,'14'!$H$7:$H$100,$A272,'14'!$I$7:$I$100,"")+SUMIFS('15'!$J$7:$J$100,'15'!$H$7:$H$100,$A272,'15'!$I$7:$I$100,"")+SUMIFS('15a'!$J$7:$J$100,'15a'!$H$7:$H$100,$A272,'15a'!$I$7:$I$100,"")+SUMIFS('15b'!$J$7:$J$100,'15b'!$H$7:$H$100,$A272,'15b'!$I$7:$I$100,"")+SUMIFS('15c'!$J$7:$J$100,'15c'!$H$7:$H$100,$A272,'15c'!$I$7:$I$100,"")+SUMIFS('15d'!$J$7:$J$100,'15d'!$H$7:$H$100,$A272,'15d'!$I$7:$I$100,"")+SUMIFS('15e'!$J$7:$J$100,'15e'!$H$7:$H$100,$A272,'15e'!$I$7:$I$100,"")+SUMIFS('15f'!$J$7:$J$100,'15f'!$H$7:$H$100,$A272,'15f'!$I$7:$I$100,"")+SUMIFS('15g'!$J$7:$J$100,'15g'!$H$7:$H$100,$A272,'15g'!$I$7:$I$100,"")+SUMIFS('15h'!$J$7:$J$100,'15h'!$H$7:$H$100,$A272,'15h'!$I$7:$I$100,"")+SUMIFS('15i'!$J$7:$J$100,'15i'!$H$7:$H$100,$A272,'15i'!$I$7:$I$100,"")+SUMIFS('15j'!$J$7:$J$100,'15j'!$H$7:$H$100,$A272,'15j'!$I$7:$I$100,"")+SUMIFS('15k'!$J$7:$J$100,'15k'!$H$7:$H$100,$A272,'15k'!$I$7:$I$100,"")+SUMIFS('15l'!$J$7:$J$100,'15l'!$H$7:$H$100,$A272,'15l'!$I$7:$I$100,"")+SUMIFS('15m'!$J$7:$J$100,'15m'!$H$7:$H$100,$A272,'15m'!$I$7:$I$100,"")+SUMIFS('15n'!$J$7:$J$100,'15n'!$H$7:$H$100,$A272,'15n'!$I$7:$I$100,"")+SUMIFS('16'!$J$7:$J$100,'16'!$H$7:$H$100,$A272,'16'!$I$7:$I$100,"")+SUMIFS('16a'!$J$7:$J$100,'16a'!$H$7:$H$100,$A272,'16a'!$I$7:$I$100,"")+SUMIFS('17'!$J$7:$J$100,'17'!$H$7:$H$100,$A272,'17'!$I$7:$I$100,"")+SUMIFS('17a'!$J$7:$J$100,'17a'!$H$7:$H$100,$A272,'17a'!$I$7:$I$100,"")+SUMIFS('18'!$J$7:$J$100,'18'!$H$7:$H$100,$A272,'18'!$I$7:$I$100,"")+SUMIFS('18a'!$J$7:$J$100,'18a'!$H$7:$H$100,$A272,'18a'!$I$7:$I$100,"")
+SUMIFS('19'!$J$7:$J$100,'19'!$H$7:$H$100,$A272,'19'!$I$7:$I$100,"")+SUMIFS('20'!$J$7:$J$100,'20'!$H$7:$H$100,$A272,'20'!$I$7:$I$100,"")+SUMIFS('20a'!$J$7:$J$100,'20a'!$H$7:$H$100,$A272,'20a'!$I$7:$I$100,"")+SUMIFS('21'!$J$7:$J$100,'21'!$H$7:$H$100,$A272,'21'!$I$7:$I$100,"")+SUMIFS('22'!$J$7:$J$100,'22'!$H$7:$H$100,$A272,'22'!$I$7:$I$100,"")+SUMIFS('22a'!$J$7:$J$100,'22a'!$H$7:$H$100,$A272,'22a'!$I$7:$I$100,"")+SUMIFS('22b'!$J$7:$J$100,'22b'!$H$7:$H$100,$A272,'22b'!$I$7:$I$100,"")+SUMIFS('23'!$J$7:$J$100,'23'!$H$7:$H$100,$A272,'23'!$I$7:$I$100,"")+SUMIFS('24'!$J$7:$J$100,'24'!$H$7:$H$100,$A272,'24'!$I$7:$I$100,"")+SUMIFS('24a'!$J$7:$J$100,'24a'!$H$7:$H$100,$A272,'24a'!$I$7:$I$100,"")+SUMIFS('24b'!$J$7:$J$100,'24b'!$H$7:$H$100,$A272,'24b'!$I$7:$I$100,"")+SUMIFS('24c'!$J$7:$J$100,'24c'!$H$7:$H$100,$A272,'24c'!$I$7:$I$100,"")+SUMIFS('24d'!$J$7:$J$100,'24d'!$H$7:$H$100,$A272,'24d'!$I$7:$I$100,"")+SUMIFS('24e'!$J$7:$J$100,'24e'!$H$7:$H$100,$A272,'24e'!$I$7:$I$100,"")+SUMIFS('24f'!$J$7:$J$100,'24f'!$H$7:$H$100,$A272,'24f'!$I$7:$I$100,"")+SUMIFS('24g'!$J$7:$J$100,'24g'!$H$7:$H$100,$A272,'24g'!$I$7:$I$100,"")+SUMIFS('24h'!$J$7:$J$100,'24h'!$H$7:$H$100,$A272,'24h'!$I$7:$I$100,"")+SUMIFS('24i'!$J$7:$J$100,'24i'!$H$7:$H$100,$A272,'24i'!$I$7:$I$100,"")+SUMIFS('25'!$J$7:$J$100,'25'!$H$7:$H$100,$A272,'25'!$I$7:$I$100,"")+SUMIFS('26'!$J$7:$J$100,'26'!$H$7:$H$100,$A272,'26'!$I$7:$I$100,"")+SUMIFS('26a'!$J$7:$J$100,'26a'!$H$7:$H$100,$A272,'26a'!$I$7:$I$100,"")+SUMIFS('27'!$J$7:$J$100,'27'!$H$7:$H$100,$A272,'27'!$I$7:$I$100,"")+SUMIFS('27a'!$J$7:$J$100,'27a'!$H$7:$H$100,$A272,'27a'!$I$7:$I$100,"")+SUMIFS('28'!$J$7:$J$100,'28'!$H$7:$H$100,$A272,'28'!$I$7:$I$100,"")+SUMIFS('29'!$J$7:$J$100,'29'!$H$7:$H$100,$A272,'29'!$I$7:$I$100,"")</f>
        <v>0</v>
      </c>
      <c r="J272" s="1296">
        <f t="shared" ref="J272:J281" si="29">SUM(G272:I272)</f>
        <v>100</v>
      </c>
      <c r="K272"/>
      <c r="L272"/>
      <c r="M272"/>
      <c r="N272"/>
      <c r="O272"/>
      <c r="P272"/>
      <c r="Q272"/>
      <c r="R272"/>
      <c r="S272" s="1307">
        <f t="shared" si="14"/>
        <v>200</v>
      </c>
      <c r="T272"/>
    </row>
    <row r="273" spans="1:20" ht="12.75" customHeight="1" outlineLevel="1" x14ac:dyDescent="0.2">
      <c r="A273" t="s">
        <v>5183</v>
      </c>
      <c r="B273" t="s">
        <v>5510</v>
      </c>
      <c r="C273" s="1295">
        <f>SUMIFS('12'!$N$7:$N$100,'12'!$H$7:$H$100,$A273,'12'!$I$7:$I$100,1)+SUMIFS('13'!$N$7:$N$100,'13'!$H$7:$H$100,$A273,'13'!$I$7:$I$100,1)+SUMIFS('14'!$N$7:$N$100,'14'!$H$7:$H$100,$A273,'14'!$I$7:$I$100,1)+SUMIFS('15'!$N$7:$N$100,'15'!$H$7:$H$100,$A273,'15'!$I$7:$I$100,1)+SUMIFS('15a'!$N$7:$N$100,'15a'!$H$7:$H$100,$A273,'15a'!$I$7:$I$100,1)+SUMIFS('15b'!$N$7:$N$100,'15b'!$H$7:$H$100,$A273,'15b'!$I$7:$I$100,1)+SUMIFS('15c'!$N$7:$N$100,'15c'!$H$7:$H$100,$A273,'15c'!$I$7:$I$100,1)+SUMIFS('15d'!$N$7:$N$100,'15d'!$H$7:$H$100,$A273,'15d'!$I$7:$I$100,1)+SUMIFS('15e'!$N$7:$N$100,'15e'!$H$7:$H$100,$A273,'15e'!$I$7:$I$100,1)+SUMIFS('15f'!$N$7:$N$100,'15f'!$H$7:$H$100,$A273,'15f'!$I$7:$I$100,1)+SUMIFS('15g'!$N$7:$N$100,'15g'!$H$7:$H$100,$A273,'15g'!$I$7:$I$100,1)+SUMIFS('15h'!$N$7:$N$100,'15h'!$H$7:$H$100,$A273,'15h'!$I$7:$I$100,1)+SUMIFS('15i'!$N$7:$N$100,'15i'!$H$7:$H$100,$A273,'15i'!$I$7:$I$100,1)+SUMIFS('15j'!$N$7:$N$100,'15j'!$H$7:$H$100,$A273,'15j'!$I$7:$I$100,1)+SUMIFS('15k'!$N$7:$N$100,'15k'!$H$7:$H$100,$A273,'15k'!$I$7:$I$100,1)+SUMIFS('15l'!$N$7:$N$100,'15l'!$H$7:$H$100,$A273,'15l'!$I$7:$I$100,1)+SUMIFS('15m'!$N$7:$N$100,'15m'!$H$7:$H$100,$A273,'15m'!$I$7:$I$100,1)+SUMIFS('15n'!$N$7:$N$100,'15n'!$H$7:$H$100,$A273,'15n'!$I$7:$I$100,1)+SUMIFS('16'!$N$7:$N$100,'16'!$H$7:$H$100,$A273,'16'!$I$7:$I$100,1)+SUMIFS('16a'!$N$7:$N$100,'16a'!$H$7:$H$100,$A273,'16a'!$I$7:$I$100,1)+SUMIFS('17'!$N$7:$N$100,'17'!$H$7:$H$100,$A273,'17'!$I$7:$I$100,1)+SUMIFS('17a'!$N$7:$N$100,'17a'!$H$7:$H$100,$A273,'17a'!$I$7:$I$100,1)+SUMIFS('18'!$N$7:$N$100,'18'!$H$7:$H$100,$A273,'18'!$I$7:$I$100,1)+SUMIFS('18a'!$N$7:$N$100,'18a'!$H$7:$H$100,$A273,'18a'!$I$7:$I$100,1)
+SUMIFS('19'!$N$7:$N$100,'19'!$H$7:$H$100,$A273,'19'!$I$7:$I$100,1)+SUMIFS('20'!$N$7:$N$100,'20'!$H$7:$H$100,$A273,'20'!$I$7:$I$100,1)+SUMIFS('20a'!$N$7:$N$100,'20a'!$H$7:$H$100,$A273,'20a'!$I$7:$I$100,1)+SUMIFS('21'!$N$7:$N$100,'21'!$H$7:$H$100,$A273,'21'!$I$7:$I$100,1)+SUMIFS('22'!$N$7:$N$100,'22'!$H$7:$H$100,$A273,'22'!$I$7:$I$100,1)+SUMIFS('22a'!$N$7:$N$100,'22a'!$H$7:$H$100,$A273,'22a'!$I$7:$I$100,1)+SUMIFS('22b'!$N$7:$N$100,'22b'!$H$7:$H$100,$A273,'22b'!$I$7:$I$100,1)+SUMIFS('23'!$N$7:$N$100,'23'!$H$7:$H$100,$A273,'23'!$I$7:$I$100,1)+SUMIFS('24'!$N$7:$N$100,'24'!$H$7:$H$100,$A273,'24'!$I$7:$I$100,1)+SUMIFS('24a'!$N$7:$N$100,'24a'!$H$7:$H$100,$A273,'24a'!$I$7:$I$100,1)+SUMIFS('24b'!$N$7:$N$100,'24b'!$H$7:$H$100,$A273,'24b'!$I$7:$I$100,1)+SUMIFS('24c'!$N$7:$N$100,'24c'!$H$7:$H$100,$A273,'24c'!$I$7:$I$100,1)+SUMIFS('24d'!$N$7:$N$100,'24d'!$H$7:$H$100,$A273,'24d'!$I$7:$I$100,1)+SUMIFS('24e'!$N$7:$N$100,'24e'!$H$7:$H$100,$A273,'24e'!$I$7:$I$100,1)+SUMIFS('24f'!$N$7:$N$100,'24f'!$H$7:$H$100,$A273,'24f'!$I$7:$I$100,1)+SUMIFS('24g'!$N$7:$N$100,'24g'!$H$7:$H$100,$A273,'24g'!$I$7:$I$100,1)+SUMIFS('24h'!$N$7:$N$100,'24h'!$H$7:$H$100,$A273,'24h'!$I$7:$I$100,1)+SUMIFS('24i'!$N$7:$N$100,'24i'!$H$7:$H$100,$A273,'24i'!$I$7:$I$100,1)+SUMIFS('25'!$N$7:$N$100,'25'!$H$7:$H$100,$A273,'25'!$I$7:$I$100,1)+SUMIFS('26'!$N$7:$N$100,'26'!$H$7:$H$100,$A273,'26'!$I$7:$I$100,1)+SUMIFS('26a'!$N$7:$N$100,'26a'!$H$7:$H$100,$A273,'26a'!$I$7:$I$100,1)+SUMIFS('27'!$N$7:$N$100,'27'!$H$7:$H$100,$A273,'27'!$I$7:$I$100,1)+SUMIFS('27a'!$N$7:$N$100,'27a'!$H$7:$H$100,$A273,'27a'!$I$7:$I$100,1)+SUMIFS('28'!$N$7:$N$100,'28'!$H$7:$H$100,$A273,'28'!$I$7:$I$100,1)+SUMIFS('29'!$N$7:$N$100,'29'!$H$7:$H$100,$A273,'29'!$I$7:$I$100,1)</f>
        <v>0</v>
      </c>
      <c r="D273" s="1315">
        <f>SUMIFS('12'!$N$7:$N$100,'12'!$H$7:$H$100,$A273,'12'!$I$7:$I$100,2)+SUMIFS('13'!$N$7:$N$100,'13'!$H$7:$H$100,$A273,'13'!$I$7:$I$100,2)+SUMIFS('14'!$N$7:$N$100,'14'!$H$7:$H$100,$A273,'14'!$I$7:$I$100,2)+SUMIFS('15'!$N$7:$N$100,'15'!$H$7:$H$100,$A273,'15'!$I$7:$I$100,2)+SUMIFS('15a'!$N$7:$N$100,'15a'!$H$7:$H$100,$A273,'15a'!$I$7:$I$100,2)+SUMIFS('15b'!$N$7:$N$100,'15b'!$H$7:$H$100,$A273,'15b'!$I$7:$I$100,2)+SUMIFS('15c'!$N$7:$N$100,'15c'!$H$7:$H$100,$A273,'15c'!$I$7:$I$100,2)+SUMIFS('15d'!$N$7:$N$100,'15d'!$H$7:$H$100,$A273,'15d'!$I$7:$I$100,2)+SUMIFS('15e'!$N$7:$N$100,'15e'!$H$7:$H$100,$A273,'15e'!$I$7:$I$100,2)+SUMIFS('15f'!$N$7:$N$100,'15f'!$H$7:$H$100,$A273,'15f'!$I$7:$I$100,2)+SUMIFS('15g'!$N$7:$N$100,'15g'!$H$7:$H$100,$A273,'15g'!$I$7:$I$100,2)+SUMIFS('15h'!$N$7:$N$100,'15h'!$H$7:$H$100,$A273,'15h'!$I$7:$I$100,2)+SUMIFS('15i'!$N$7:$N$100,'15i'!$H$7:$H$100,$A273,'15i'!$I$7:$I$100,2)+SUMIFS('15j'!$N$7:$N$100,'15j'!$H$7:$H$100,$A273,'15j'!$I$7:$I$100,2)+SUMIFS('15k'!$N$7:$N$100,'15k'!$H$7:$H$100,$A273,'15k'!$I$7:$I$100,2)+SUMIFS('15l'!$N$7:$N$100,'15l'!$H$7:$H$100,$A273,'15l'!$I$7:$I$100,2)+SUMIFS('15m'!$N$7:$N$100,'15m'!$H$7:$H$100,$A273,'15m'!$I$7:$I$100,2)+SUMIFS('15n'!$N$7:$N$100,'15n'!$H$7:$H$100,$A273,'15n'!$I$7:$I$100,2)+SUMIFS('16'!$N$7:$N$100,'16'!$H$7:$H$100,$A273,'16'!$I$7:$I$100,2)+SUMIFS('16a'!$N$7:$N$100,'16a'!$H$7:$H$100,$A273,'16a'!$I$7:$I$100,2)+SUMIFS('17'!$N$7:$N$100,'17'!$H$7:$H$100,$A273,'17'!$I$7:$I$100,2)+SUMIFS('17a'!$N$7:$N$100,'17a'!$H$7:$H$100,$A273,'17a'!$I$7:$I$100,2)+SUMIFS('18'!$N$7:$N$100,'18'!$H$7:$H$100,$A273,'18'!$I$7:$I$100,2)+SUMIFS('18a'!$N$7:$N$100,'18a'!$H$7:$H$100,$A273,'18a'!$I$7:$I$100,2)
+SUMIFS('19'!$N$7:$N$100,'19'!$H$7:$H$100,$A273,'19'!$I$7:$I$100,2)+SUMIFS('20'!$N$7:$N$100,'20'!$H$7:$H$100,$A273,'20'!$I$7:$I$100,2)+SUMIFS('20a'!$N$7:$N$100,'20a'!$H$7:$H$100,$A273,'20a'!$I$7:$I$100,2)+SUMIFS('21'!$N$7:$N$100,'21'!$H$7:$H$100,$A273,'21'!$I$7:$I$100,2)+SUMIFS('22'!$N$7:$N$100,'22'!$H$7:$H$100,$A273,'22'!$I$7:$I$100,2)+SUMIFS('22a'!$N$7:$N$100,'22a'!$H$7:$H$100,$A273,'22a'!$I$7:$I$100,2)+SUMIFS('22b'!$N$7:$N$100,'22b'!$H$7:$H$100,$A273,'22b'!$I$7:$I$100,2)+SUMIFS('23'!$N$7:$N$100,'23'!$H$7:$H$100,$A273,'23'!$I$7:$I$100,2)+SUMIFS('24'!$N$7:$N$100,'24'!$H$7:$H$100,$A273,'24'!$I$7:$I$100,2)+SUMIFS('24a'!$N$7:$N$100,'24a'!$H$7:$H$100,$A273,'24a'!$I$7:$I$100,2)+SUMIFS('24b'!$N$7:$N$100,'24b'!$H$7:$H$100,$A273,'24b'!$I$7:$I$100,2)+SUMIFS('24c'!$N$7:$N$100,'24c'!$H$7:$H$100,$A273,'24c'!$I$7:$I$100,2)+SUMIFS('24d'!$N$7:$N$100,'24d'!$H$7:$H$100,$A273,'24d'!$I$7:$I$100,2)+SUMIFS('24e'!$N$7:$N$100,'24e'!$H$7:$H$100,$A273,'24e'!$I$7:$I$100,2)+SUMIFS('24f'!$N$7:$N$100,'24f'!$H$7:$H$100,$A273,'24f'!$I$7:$I$100,2)+SUMIFS('24g'!$N$7:$N$100,'24g'!$H$7:$H$100,$A273,'24g'!$I$7:$I$100,2)+SUMIFS('24h'!$N$7:$N$100,'24h'!$H$7:$H$100,$A273,'24h'!$I$7:$I$100,2)+SUMIFS('24i'!$N$7:$N$100,'24i'!$H$7:$H$100,$A273,'24i'!$I$7:$I$100,2)+SUMIFS('25'!$N$7:$N$100,'25'!$H$7:$H$100,$A273,'25'!$I$7:$I$100,2)+SUMIFS('26'!$N$7:$N$100,'26'!$H$7:$H$100,$A273,'26'!$I$7:$I$100,2)+SUMIFS('26a'!$N$7:$N$100,'26a'!$H$7:$H$100,$A273,'26a'!$I$7:$I$100,2)+SUMIFS('27'!$N$7:$N$100,'27'!$H$7:$H$100,$A273,'27'!$I$7:$I$100,2)+SUMIFS('27a'!$N$7:$N$100,'27a'!$H$7:$H$100,$A273,'27a'!$I$7:$I$100,2)+SUMIFS('28'!$N$7:$N$100,'28'!$H$7:$H$100,$A273,'28'!$I$7:$I$100,2)+SUMIFS('29'!$N$7:$N$100,'29'!$H$7:$H$100,$A273,'29'!$I$7:$I$100,2)</f>
        <v>0</v>
      </c>
      <c r="E273" s="1315">
        <f>SUMIFS('12'!$N$7:$N$100,'12'!$H$7:$H$100,$A273,'12'!$I$7:$I$100,"")+SUMIFS('13'!$N$7:$N$100,'13'!$H$7:$H$100,$A273,'13'!$I$7:$I$100,"")+SUMIFS('14'!$N$7:$N$100,'14'!$H$7:$H$100,$A273,'14'!$I$7:$I$100,"")+SUMIFS('15'!$N$7:$N$100,'15'!$H$7:$H$100,$A273,'15'!$I$7:$I$100,"")+SUMIFS('15a'!$N$7:$N$100,'15a'!$H$7:$H$100,$A273,'15a'!$I$7:$I$100,"")+SUMIFS('15b'!$N$7:$N$100,'15b'!$H$7:$H$100,$A273,'15b'!$I$7:$I$100,"")+SUMIFS('15c'!$N$7:$N$100,'15c'!$H$7:$H$100,$A273,'15c'!$I$7:$I$100,"")+SUMIFS('15d'!$N$7:$N$100,'15d'!$H$7:$H$100,$A273,'15d'!$I$7:$I$100,"")+SUMIFS('15e'!$N$7:$N$100,'15e'!$H$7:$H$100,$A273,'15e'!$I$7:$I$100,"")+SUMIFS('15f'!$N$7:$N$100,'15f'!$H$7:$H$100,$A273,'15f'!$I$7:$I$100,"")+SUMIFS('15g'!$N$7:$N$100,'15g'!$H$7:$H$100,$A273,'15g'!$I$7:$I$100,"")+SUMIFS('15h'!$N$7:$N$100,'15h'!$H$7:$H$100,$A273,'15h'!$I$7:$I$100,"")+SUMIFS('15i'!$N$7:$N$100,'15i'!$H$7:$H$100,$A273,'15i'!$I$7:$I$100,"")+SUMIFS('15j'!$N$7:$N$100,'15j'!$H$7:$H$100,$A273,'15j'!$I$7:$I$100,"")+SUMIFS('15k'!$N$7:$N$100,'15k'!$H$7:$H$100,$A273,'15k'!$I$7:$I$100,"")+SUMIFS('15l'!$N$7:$N$100,'15l'!$H$7:$H$100,$A273,'15l'!$I$7:$I$100,"")+SUMIFS('15m'!$N$7:$N$100,'15m'!$H$7:$H$100,$A273,'15m'!$I$7:$I$100,"")+SUMIFS('15n'!$N$7:$N$100,'15n'!$H$7:$H$100,$A273,'15n'!$I$7:$I$100,"")+SUMIFS('16'!$N$7:$N$100,'16'!$H$7:$H$100,$A273,'16'!$I$7:$I$100,"")+SUMIFS('16a'!$N$7:$N$100,'16a'!$H$7:$H$100,$A273,'16a'!$I$7:$I$100,"")+SUMIFS('17'!$N$7:$N$100,'17'!$H$7:$H$100,$A273,'17'!$I$7:$I$100,"")+SUMIFS('17a'!$N$7:$N$100,'17a'!$H$7:$H$100,$A273,'17a'!$I$7:$I$100,"")+SUMIFS('18'!$N$7:$N$100,'18'!$H$7:$H$100,$A273,'18'!$I$7:$I$100,"")+SUMIFS('18a'!$N$7:$N$100,'18a'!$H$7:$H$100,$A273,'18a'!$I$7:$I$100,"")
+SUMIFS('19'!$N$7:$N$100,'19'!$H$7:$H$100,$A273,'19'!$I$7:$I$100,"")+SUMIFS('20'!$N$7:$N$100,'20'!$H$7:$H$100,$A273,'20'!$I$7:$I$100,"")+SUMIFS('20a'!$N$7:$N$100,'20a'!$H$7:$H$100,$A273,'20a'!$I$7:$I$100,"")+SUMIFS('21'!$N$7:$N$100,'21'!$H$7:$H$100,$A273,'21'!$I$7:$I$100,"")+SUMIFS('22'!$N$7:$N$100,'22'!$H$7:$H$100,$A273,'22'!$I$7:$I$100,"")+SUMIFS('22a'!$N$7:$N$100,'22a'!$H$7:$H$100,$A273,'22a'!$I$7:$I$100,"")+SUMIFS('22b'!$N$7:$N$100,'22b'!$H$7:$H$100,$A273,'22b'!$I$7:$I$100,"")+SUMIFS('23'!$N$7:$N$100,'23'!$H$7:$H$100,$A273,'23'!$I$7:$I$100,"")+SUMIFS('24'!$N$7:$N$100,'24'!$H$7:$H$100,$A273,'24'!$I$7:$I$100,"")+SUMIFS('24a'!$N$7:$N$100,'24a'!$H$7:$H$100,$A273,'24a'!$I$7:$I$100,"")+SUMIFS('24b'!$N$7:$N$100,'24b'!$H$7:$H$100,$A273,'24b'!$I$7:$I$100,"")+SUMIFS('24c'!$N$7:$N$100,'24c'!$H$7:$H$100,$A273,'24c'!$I$7:$I$100,"")+SUMIFS('24d'!$N$7:$N$100,'24d'!$H$7:$H$100,$A273,'24d'!$I$7:$I$100,"")+SUMIFS('24e'!$N$7:$N$100,'24e'!$H$7:$H$100,$A273,'24e'!$I$7:$I$100,"")+SUMIFS('24f'!$N$7:$N$100,'24f'!$H$7:$H$100,$A273,'24f'!$I$7:$I$100,"")+SUMIFS('24g'!$N$7:$N$100,'24g'!$H$7:$H$100,$A273,'24g'!$I$7:$I$100,"")+SUMIFS('24h'!$N$7:$N$100,'24h'!$H$7:$H$100,$A273,'24h'!$I$7:$I$100,"")+SUMIFS('24i'!$N$7:$N$100,'24i'!$H$7:$H$100,$A273,'24i'!$I$7:$I$100,"")+SUMIFS('25'!$N$7:$N$100,'25'!$H$7:$H$100,$A273,'25'!$I$7:$I$100,"")+SUMIFS('26'!$N$7:$N$100,'26'!$H$7:$H$100,$A273,'26'!$I$7:$I$100,"")+SUMIFS('26a'!$N$7:$N$100,'26a'!$H$7:$H$100,$A273,'26a'!$I$7:$I$100,"")+SUMIFS('27'!$N$7:$N$100,'27'!$H$7:$H$100,$A273,'27'!$I$7:$I$100,"")+SUMIFS('27a'!$N$7:$N$100,'27a'!$H$7:$H$100,$A273,'27a'!$I$7:$I$100,"")+SUMIFS('28'!$N$7:$N$100,'28'!$H$7:$H$100,$A273,'28'!$I$7:$I$100,"")+SUMIFS('29'!$N$7:$N$100,'29'!$H$7:$H$100,$A273,'29'!$I$7:$I$100,"")</f>
        <v>0</v>
      </c>
      <c r="F273" s="1296">
        <f t="shared" si="28"/>
        <v>0</v>
      </c>
      <c r="G273" s="1295">
        <f>SUMIFS('12'!$J$7:$J$100,'12'!$H$7:$H$100,$A273,'12'!$I$7:$I$100,1)+SUMIFS('13'!$J$7:$J$100,'13'!$H$7:$H$100,$A273,'13'!$I$7:$I$100,1)+SUMIFS('14'!$J$7:$J$100,'14'!$H$7:$H$100,$A273,'14'!$I$7:$I$100,1)+SUMIFS('15'!$J$7:$J$100,'15'!$H$7:$H$100,$A273,'15'!$I$7:$I$100,1)+SUMIFS('15a'!$J$7:$J$100,'15a'!$H$7:$H$100,$A273,'15a'!$I$7:$I$100,1)+SUMIFS('15b'!$J$7:$J$100,'15b'!$H$7:$H$100,$A273,'15b'!$I$7:$I$100,1)+SUMIFS('15c'!$J$7:$J$100,'15c'!$H$7:$H$100,$A273,'15c'!$I$7:$I$100,1)+SUMIFS('15d'!$J$7:$J$100,'15d'!$H$7:$H$100,$A273,'15d'!$I$7:$I$100,1)+SUMIFS('15e'!$J$7:$J$100,'15e'!$H$7:$H$100,$A273,'15e'!$I$7:$I$100,1)+SUMIFS('15f'!$J$7:$J$100,'15f'!$H$7:$H$100,$A273,'15f'!$I$7:$I$100,1)+SUMIFS('15g'!$J$7:$J$100,'15g'!$H$7:$H$100,$A273,'15g'!$I$7:$I$100,1)+SUMIFS('15h'!$J$7:$J$100,'15h'!$H$7:$H$100,$A273,'15h'!$I$7:$I$100,1)+SUMIFS('15i'!$J$7:$J$100,'15i'!$H$7:$H$100,$A273,'15i'!$I$7:$I$100,1)+SUMIFS('15j'!$J$7:$J$100,'15j'!$H$7:$H$100,$A273,'15j'!$I$7:$I$100,1)+SUMIFS('15k'!$J$7:$J$100,'15k'!$H$7:$H$100,$A273,'15k'!$I$7:$I$100,1)+SUMIFS('15l'!$J$7:$J$100,'15l'!$H$7:$H$100,$A273,'15l'!$I$7:$I$100,1)+SUMIFS('15m'!$J$7:$J$100,'15m'!$H$7:$H$100,$A273,'15m'!$I$7:$I$100,1)+SUMIFS('15n'!$J$7:$J$100,'15n'!$H$7:$H$100,$A273,'15n'!$I$7:$I$100,1)+SUMIFS('16'!$J$7:$J$100,'16'!$H$7:$H$100,$A273,'16'!$I$7:$I$100,1)+SUMIFS('16a'!$J$7:$J$100,'16a'!$H$7:$H$100,$A273,'16a'!$I$7:$I$100,1)+SUMIFS('17'!$J$7:$J$100,'17'!$H$7:$H$100,$A273,'17'!$I$7:$I$100,1)+SUMIFS('17a'!$J$7:$J$100,'17a'!$H$7:$H$100,$A273,'17a'!$I$7:$I$100,1)+SUMIFS('18'!$J$7:$J$100,'18'!$H$7:$H$100,$A273,'18'!$I$7:$I$100,1)+SUMIFS('18a'!$J$7:$J$100,'18a'!$H$7:$H$100,$A273,'18a'!$I$7:$I$100,1)
+SUMIFS('19'!$J$7:$J$100,'19'!$H$7:$H$100,$A273,'19'!$I$7:$I$100,1)+SUMIFS('20'!$J$7:$J$100,'20'!$H$7:$H$100,$A273,'20'!$I$7:$I$100,1)+SUMIFS('20a'!$J$7:$J$100,'20a'!$H$7:$H$100,$A273,'20a'!$I$7:$I$100,1)+SUMIFS('21'!$J$7:$J$100,'21'!$H$7:$H$100,$A273,'21'!$I$7:$I$100,1)+SUMIFS('22'!$J$7:$J$100,'22'!$H$7:$H$100,$A273,'22'!$I$7:$I$100,1)+SUMIFS('22a'!$J$7:$J$100,'22a'!$H$7:$H$100,$A273,'22a'!$I$7:$I$100,1)+SUMIFS('22b'!$J$7:$J$100,'22b'!$H$7:$H$100,$A273,'22b'!$I$7:$I$100,1)+SUMIFS('23'!$J$7:$J$100,'23'!$H$7:$H$100,$A273,'23'!$I$7:$I$100,1)+SUMIFS('24'!$J$7:$J$100,'24'!$H$7:$H$100,$A273,'24'!$I$7:$I$100,1)+SUMIFS('24a'!$J$7:$J$100,'24a'!$H$7:$H$100,$A273,'24a'!$I$7:$I$100,1)+SUMIFS('24b'!$J$7:$J$100,'24b'!$H$7:$H$100,$A273,'24b'!$I$7:$I$100,1)+SUMIFS('24c'!$J$7:$J$100,'24c'!$H$7:$H$100,$A273,'24c'!$I$7:$I$100,1)+SUMIFS('24d'!$J$7:$J$100,'24d'!$H$7:$H$100,$A273,'24d'!$I$7:$I$100,1)+SUMIFS('24e'!$J$7:$J$100,'24e'!$H$7:$H$100,$A273,'24e'!$I$7:$I$100,1)+SUMIFS('24f'!$J$7:$J$100,'24f'!$H$7:$H$100,$A273,'24f'!$I$7:$I$100,1)+SUMIFS('24g'!$J$7:$J$100,'24g'!$H$7:$H$100,$A273,'24g'!$I$7:$I$100,1)+SUMIFS('24h'!$J$7:$J$100,'24h'!$H$7:$H$100,$A273,'24h'!$I$7:$I$100,1)+SUMIFS('24i'!$J$7:$J$100,'24i'!$H$7:$H$100,$A273,'24i'!$I$7:$I$100,1)+SUMIFS('25'!$J$7:$J$100,'25'!$H$7:$H$100,$A273,'25'!$I$7:$I$100,1)+SUMIFS('26'!$J$7:$J$100,'26'!$H$7:$H$100,$A273,'26'!$I$7:$I$100,1)+SUMIFS('26a'!$J$7:$J$100,'26a'!$H$7:$H$100,$A273,'26a'!$I$7:$I$100,1)+SUMIFS('27'!$J$7:$J$100,'27'!$H$7:$H$100,$A273,'27'!$I$7:$I$100,1)+SUMIFS('27a'!$J$7:$J$100,'27a'!$H$7:$H$100,$A273,'27a'!$I$7:$I$100,1)+SUMIFS('28'!$J$7:$J$100,'28'!$H$7:$H$100,$A273,'28'!$I$7:$I$100,1)+SUMIFS('29'!$J$7:$J$100,'29'!$H$7:$H$100,$A273,'29'!$I$7:$I$100,1)</f>
        <v>0</v>
      </c>
      <c r="H273" s="1315">
        <f>SUMIFS('12'!$J$7:$J$100,'12'!$H$7:$H$100,$A273,'12'!$I$7:$I$100,2)+SUMIFS('13'!$J$7:$J$100,'13'!$H$7:$H$100,$A273,'13'!$I$7:$I$100,2)+SUMIFS('14'!$J$7:$J$100,'14'!$H$7:$H$100,$A273,'14'!$I$7:$I$100,2)+SUMIFS('15'!$J$7:$J$100,'15'!$H$7:$H$100,$A273,'15'!$I$7:$I$100,2)+SUMIFS('15a'!$J$7:$J$100,'15a'!$H$7:$H$100,$A273,'15a'!$I$7:$I$100,2)+SUMIFS('15b'!$J$7:$J$100,'15b'!$H$7:$H$100,$A273,'15b'!$I$7:$I$100,2)+SUMIFS('15c'!$J$7:$J$100,'15c'!$H$7:$H$100,$A273,'15c'!$I$7:$I$100,2)+SUMIFS('15d'!$J$7:$J$100,'15d'!$H$7:$H$100,$A273,'15d'!$I$7:$I$100,2)+SUMIFS('15e'!$J$7:$J$100,'15e'!$H$7:$H$100,$A273,'15e'!$I$7:$I$100,2)+SUMIFS('15f'!$J$7:$J$100,'15f'!$H$7:$H$100,$A273,'15f'!$I$7:$I$100,2)+SUMIFS('15g'!$J$7:$J$100,'15g'!$H$7:$H$100,$A273,'15g'!$I$7:$I$100,2)+SUMIFS('15h'!$J$7:$J$100,'15h'!$H$7:$H$100,$A273,'15h'!$I$7:$I$100,2)+SUMIFS('15i'!$J$7:$J$100,'15i'!$H$7:$H$100,$A273,'15i'!$I$7:$I$100,2)+SUMIFS('15j'!$J$7:$J$100,'15j'!$H$7:$H$100,$A273,'15j'!$I$7:$I$100,2)+SUMIFS('15k'!$J$7:$J$100,'15k'!$H$7:$H$100,$A273,'15k'!$I$7:$I$100,2)+SUMIFS('15l'!$J$7:$J$100,'15l'!$H$7:$H$100,$A273,'15l'!$I$7:$I$100,2)+SUMIFS('15m'!$J$7:$J$100,'15m'!$H$7:$H$100,$A273,'15m'!$I$7:$I$100,2)+SUMIFS('15n'!$J$7:$J$100,'15n'!$H$7:$H$100,$A273,'15n'!$I$7:$I$100,2)+SUMIFS('16'!$J$7:$J$100,'16'!$H$7:$H$100,$A273,'16'!$I$7:$I$100,2)+SUMIFS('16a'!$J$7:$J$100,'16a'!$H$7:$H$100,$A273,'16a'!$I$7:$I$100,2)+SUMIFS('17'!$J$7:$J$100,'17'!$H$7:$H$100,$A273,'17'!$I$7:$I$100,2)+SUMIFS('17a'!$J$7:$J$100,'17a'!$H$7:$H$100,$A273,'17a'!$I$7:$I$100,2)+SUMIFS('18'!$J$7:$J$100,'18'!$H$7:$H$100,$A273,'18'!$I$7:$I$100,2)+SUMIFS('18a'!$J$7:$J$100,'18a'!$H$7:$H$100,$A273,'18a'!$I$7:$I$100,2)
+SUMIFS('19'!$J$7:$J$100,'19'!$H$7:$H$100,$A273,'19'!$I$7:$I$100,2)+SUMIFS('20'!$J$7:$J$100,'20'!$H$7:$H$100,$A273,'20'!$I$7:$I$100,2)+SUMIFS('20a'!$J$7:$J$100,'20a'!$H$7:$H$100,$A273,'20a'!$I$7:$I$100,2)+SUMIFS('21'!$J$7:$J$100,'21'!$H$7:$H$100,$A273,'21'!$I$7:$I$100,2)+SUMIFS('22'!$J$7:$J$100,'22'!$H$7:$H$100,$A273,'22'!$I$7:$I$100,2)+SUMIFS('22a'!$J$7:$J$100,'22a'!$H$7:$H$100,$A273,'22a'!$I$7:$I$100,2)+SUMIFS('22b'!$J$7:$J$100,'22b'!$H$7:$H$100,$A273,'22b'!$I$7:$I$100,2)+SUMIFS('23'!$J$7:$J$100,'23'!$H$7:$H$100,$A273,'23'!$I$7:$I$100,2)+SUMIFS('24'!$J$7:$J$100,'24'!$H$7:$H$100,$A273,'24'!$I$7:$I$100,2)+SUMIFS('24a'!$J$7:$J$100,'24a'!$H$7:$H$100,$A273,'24a'!$I$7:$I$100,2)+SUMIFS('24b'!$J$7:$J$100,'24b'!$H$7:$H$100,$A273,'24b'!$I$7:$I$100,2)+SUMIFS('24c'!$J$7:$J$100,'24c'!$H$7:$H$100,$A273,'24c'!$I$7:$I$100,2)+SUMIFS('24d'!$J$7:$J$100,'24d'!$H$7:$H$100,$A273,'24d'!$I$7:$I$100,2)+SUMIFS('24e'!$J$7:$J$100,'24e'!$H$7:$H$100,$A273,'24e'!$I$7:$I$100,2)+SUMIFS('24f'!$J$7:$J$100,'24f'!$H$7:$H$100,$A273,'24f'!$I$7:$I$100,2)+SUMIFS('24g'!$J$7:$J$100,'24g'!$H$7:$H$100,$A273,'24g'!$I$7:$I$100,2)+SUMIFS('24h'!$J$7:$J$100,'24h'!$H$7:$H$100,$A273,'24h'!$I$7:$I$100,2)+SUMIFS('24i'!$J$7:$J$100,'24i'!$H$7:$H$100,$A273,'24i'!$I$7:$I$100,2)+SUMIFS('25'!$J$7:$J$100,'25'!$H$7:$H$100,$A273,'25'!$I$7:$I$100,2)+SUMIFS('26'!$J$7:$J$100,'26'!$H$7:$H$100,$A273,'26'!$I$7:$I$100,2)+SUMIFS('26a'!$J$7:$J$100,'26a'!$H$7:$H$100,$A273,'26a'!$I$7:$I$100,2)+SUMIFS('27'!$J$7:$J$100,'27'!$H$7:$H$100,$A273,'27'!$I$7:$I$100,2)+SUMIFS('27a'!$J$7:$J$100,'27a'!$H$7:$H$100,$A273,'27a'!$I$7:$I$100,2)+SUMIFS('28'!$J$7:$J$100,'28'!$H$7:$H$100,$A273,'28'!$I$7:$I$100,2)+SUMIFS('29'!$J$7:$J$100,'29'!$H$7:$H$100,$A273,'29'!$I$7:$I$100,2)</f>
        <v>0</v>
      </c>
      <c r="I273" s="1315">
        <f>SUMIFS('12'!$J$7:$J$100,'12'!$H$7:$H$100,$A273,'12'!$I$7:$I$100,"")+SUMIFS('13'!$J$7:$J$100,'13'!$H$7:$H$100,$A273,'13'!$I$7:$I$100,"")+SUMIFS('14'!$J$7:$J$100,'14'!$H$7:$H$100,$A273,'14'!$I$7:$I$100,"")+SUMIFS('15'!$J$7:$J$100,'15'!$H$7:$H$100,$A273,'15'!$I$7:$I$100,"")+SUMIFS('15a'!$J$7:$J$100,'15a'!$H$7:$H$100,$A273,'15a'!$I$7:$I$100,"")+SUMIFS('15b'!$J$7:$J$100,'15b'!$H$7:$H$100,$A273,'15b'!$I$7:$I$100,"")+SUMIFS('15c'!$J$7:$J$100,'15c'!$H$7:$H$100,$A273,'15c'!$I$7:$I$100,"")+SUMIFS('15d'!$J$7:$J$100,'15d'!$H$7:$H$100,$A273,'15d'!$I$7:$I$100,"")+SUMIFS('15e'!$J$7:$J$100,'15e'!$H$7:$H$100,$A273,'15e'!$I$7:$I$100,"")+SUMIFS('15f'!$J$7:$J$100,'15f'!$H$7:$H$100,$A273,'15f'!$I$7:$I$100,"")+SUMIFS('15g'!$J$7:$J$100,'15g'!$H$7:$H$100,$A273,'15g'!$I$7:$I$100,"")+SUMIFS('15h'!$J$7:$J$100,'15h'!$H$7:$H$100,$A273,'15h'!$I$7:$I$100,"")+SUMIFS('15i'!$J$7:$J$100,'15i'!$H$7:$H$100,$A273,'15i'!$I$7:$I$100,"")+SUMIFS('15j'!$J$7:$J$100,'15j'!$H$7:$H$100,$A273,'15j'!$I$7:$I$100,"")+SUMIFS('15k'!$J$7:$J$100,'15k'!$H$7:$H$100,$A273,'15k'!$I$7:$I$100,"")+SUMIFS('15l'!$J$7:$J$100,'15l'!$H$7:$H$100,$A273,'15l'!$I$7:$I$100,"")+SUMIFS('15m'!$J$7:$J$100,'15m'!$H$7:$H$100,$A273,'15m'!$I$7:$I$100,"")+SUMIFS('15n'!$J$7:$J$100,'15n'!$H$7:$H$100,$A273,'15n'!$I$7:$I$100,"")+SUMIFS('16'!$J$7:$J$100,'16'!$H$7:$H$100,$A273,'16'!$I$7:$I$100,"")+SUMIFS('16a'!$J$7:$J$100,'16a'!$H$7:$H$100,$A273,'16a'!$I$7:$I$100,"")+SUMIFS('17'!$J$7:$J$100,'17'!$H$7:$H$100,$A273,'17'!$I$7:$I$100,"")+SUMIFS('17a'!$J$7:$J$100,'17a'!$H$7:$H$100,$A273,'17a'!$I$7:$I$100,"")+SUMIFS('18'!$J$7:$J$100,'18'!$H$7:$H$100,$A273,'18'!$I$7:$I$100,"")+SUMIFS('18a'!$J$7:$J$100,'18a'!$H$7:$H$100,$A273,'18a'!$I$7:$I$100,"")
+SUMIFS('19'!$J$7:$J$100,'19'!$H$7:$H$100,$A273,'19'!$I$7:$I$100,"")+SUMIFS('20'!$J$7:$J$100,'20'!$H$7:$H$100,$A273,'20'!$I$7:$I$100,"")+SUMIFS('20a'!$J$7:$J$100,'20a'!$H$7:$H$100,$A273,'20a'!$I$7:$I$100,"")+SUMIFS('21'!$J$7:$J$100,'21'!$H$7:$H$100,$A273,'21'!$I$7:$I$100,"")+SUMIFS('22'!$J$7:$J$100,'22'!$H$7:$H$100,$A273,'22'!$I$7:$I$100,"")+SUMIFS('22a'!$J$7:$J$100,'22a'!$H$7:$H$100,$A273,'22a'!$I$7:$I$100,"")+SUMIFS('22b'!$J$7:$J$100,'22b'!$H$7:$H$100,$A273,'22b'!$I$7:$I$100,"")+SUMIFS('23'!$J$7:$J$100,'23'!$H$7:$H$100,$A273,'23'!$I$7:$I$100,"")+SUMIFS('24'!$J$7:$J$100,'24'!$H$7:$H$100,$A273,'24'!$I$7:$I$100,"")+SUMIFS('24a'!$J$7:$J$100,'24a'!$H$7:$H$100,$A273,'24a'!$I$7:$I$100,"")+SUMIFS('24b'!$J$7:$J$100,'24b'!$H$7:$H$100,$A273,'24b'!$I$7:$I$100,"")+SUMIFS('24c'!$J$7:$J$100,'24c'!$H$7:$H$100,$A273,'24c'!$I$7:$I$100,"")+SUMIFS('24d'!$J$7:$J$100,'24d'!$H$7:$H$100,$A273,'24d'!$I$7:$I$100,"")+SUMIFS('24e'!$J$7:$J$100,'24e'!$H$7:$H$100,$A273,'24e'!$I$7:$I$100,"")+SUMIFS('24f'!$J$7:$J$100,'24f'!$H$7:$H$100,$A273,'24f'!$I$7:$I$100,"")+SUMIFS('24g'!$J$7:$J$100,'24g'!$H$7:$H$100,$A273,'24g'!$I$7:$I$100,"")+SUMIFS('24h'!$J$7:$J$100,'24h'!$H$7:$H$100,$A273,'24h'!$I$7:$I$100,"")+SUMIFS('24i'!$J$7:$J$100,'24i'!$H$7:$H$100,$A273,'24i'!$I$7:$I$100,"")+SUMIFS('25'!$J$7:$J$100,'25'!$H$7:$H$100,$A273,'25'!$I$7:$I$100,"")+SUMIFS('26'!$J$7:$J$100,'26'!$H$7:$H$100,$A273,'26'!$I$7:$I$100,"")+SUMIFS('26a'!$J$7:$J$100,'26a'!$H$7:$H$100,$A273,'26a'!$I$7:$I$100,"")+SUMIFS('27'!$J$7:$J$100,'27'!$H$7:$H$100,$A273,'27'!$I$7:$I$100,"")+SUMIFS('27a'!$J$7:$J$100,'27a'!$H$7:$H$100,$A273,'27a'!$I$7:$I$100,"")+SUMIFS('28'!$J$7:$J$100,'28'!$H$7:$H$100,$A273,'28'!$I$7:$I$100,"")+SUMIFS('29'!$J$7:$J$100,'29'!$H$7:$H$100,$A273,'29'!$I$7:$I$100,"")</f>
        <v>0</v>
      </c>
      <c r="J273" s="1296">
        <f t="shared" si="29"/>
        <v>0</v>
      </c>
      <c r="K273"/>
      <c r="L273"/>
      <c r="M273"/>
      <c r="N273"/>
      <c r="O273"/>
      <c r="P273"/>
      <c r="Q273"/>
      <c r="R273"/>
      <c r="S273" s="1307">
        <f t="shared" si="14"/>
        <v>0</v>
      </c>
      <c r="T273"/>
    </row>
    <row r="274" spans="1:20" outlineLevel="1" x14ac:dyDescent="0.2">
      <c r="A274" t="s">
        <v>5184</v>
      </c>
      <c r="B274" t="s">
        <v>5510</v>
      </c>
      <c r="C274" s="1295">
        <f>SUMIFS('12'!$N$7:$N$100,'12'!$H$7:$H$100,$A274,'12'!$I$7:$I$100,1)+SUMIFS('13'!$N$7:$N$100,'13'!$H$7:$H$100,$A274,'13'!$I$7:$I$100,1)+SUMIFS('14'!$N$7:$N$100,'14'!$H$7:$H$100,$A274,'14'!$I$7:$I$100,1)+SUMIFS('15'!$N$7:$N$100,'15'!$H$7:$H$100,$A274,'15'!$I$7:$I$100,1)+SUMIFS('15a'!$N$7:$N$100,'15a'!$H$7:$H$100,$A274,'15a'!$I$7:$I$100,1)+SUMIFS('15b'!$N$7:$N$100,'15b'!$H$7:$H$100,$A274,'15b'!$I$7:$I$100,1)+SUMIFS('15c'!$N$7:$N$100,'15c'!$H$7:$H$100,$A274,'15c'!$I$7:$I$100,1)+SUMIFS('15d'!$N$7:$N$100,'15d'!$H$7:$H$100,$A274,'15d'!$I$7:$I$100,1)+SUMIFS('15e'!$N$7:$N$100,'15e'!$H$7:$H$100,$A274,'15e'!$I$7:$I$100,1)+SUMIFS('15f'!$N$7:$N$100,'15f'!$H$7:$H$100,$A274,'15f'!$I$7:$I$100,1)+SUMIFS('15g'!$N$7:$N$100,'15g'!$H$7:$H$100,$A274,'15g'!$I$7:$I$100,1)+SUMIFS('15h'!$N$7:$N$100,'15h'!$H$7:$H$100,$A274,'15h'!$I$7:$I$100,1)+SUMIFS('15i'!$N$7:$N$100,'15i'!$H$7:$H$100,$A274,'15i'!$I$7:$I$100,1)+SUMIFS('15j'!$N$7:$N$100,'15j'!$H$7:$H$100,$A274,'15j'!$I$7:$I$100,1)+SUMIFS('15k'!$N$7:$N$100,'15k'!$H$7:$H$100,$A274,'15k'!$I$7:$I$100,1)+SUMIFS('15l'!$N$7:$N$100,'15l'!$H$7:$H$100,$A274,'15l'!$I$7:$I$100,1)+SUMIFS('15m'!$N$7:$N$100,'15m'!$H$7:$H$100,$A274,'15m'!$I$7:$I$100,1)+SUMIFS('15n'!$N$7:$N$100,'15n'!$H$7:$H$100,$A274,'15n'!$I$7:$I$100,1)+SUMIFS('16'!$N$7:$N$100,'16'!$H$7:$H$100,$A274,'16'!$I$7:$I$100,1)+SUMIFS('16a'!$N$7:$N$100,'16a'!$H$7:$H$100,$A274,'16a'!$I$7:$I$100,1)+SUMIFS('17'!$N$7:$N$100,'17'!$H$7:$H$100,$A274,'17'!$I$7:$I$100,1)+SUMIFS('17a'!$N$7:$N$100,'17a'!$H$7:$H$100,$A274,'17a'!$I$7:$I$100,1)+SUMIFS('18'!$N$7:$N$100,'18'!$H$7:$H$100,$A274,'18'!$I$7:$I$100,1)+SUMIFS('18a'!$N$7:$N$100,'18a'!$H$7:$H$100,$A274,'18a'!$I$7:$I$100,1)
+SUMIFS('19'!$N$7:$N$100,'19'!$H$7:$H$100,$A274,'19'!$I$7:$I$100,1)+SUMIFS('20'!$N$7:$N$100,'20'!$H$7:$H$100,$A274,'20'!$I$7:$I$100,1)+SUMIFS('20a'!$N$7:$N$100,'20a'!$H$7:$H$100,$A274,'20a'!$I$7:$I$100,1)+SUMIFS('21'!$N$7:$N$100,'21'!$H$7:$H$100,$A274,'21'!$I$7:$I$100,1)+SUMIFS('22'!$N$7:$N$100,'22'!$H$7:$H$100,$A274,'22'!$I$7:$I$100,1)+SUMIFS('22a'!$N$7:$N$100,'22a'!$H$7:$H$100,$A274,'22a'!$I$7:$I$100,1)+SUMIFS('22b'!$N$7:$N$100,'22b'!$H$7:$H$100,$A274,'22b'!$I$7:$I$100,1)+SUMIFS('23'!$N$7:$N$100,'23'!$H$7:$H$100,$A274,'23'!$I$7:$I$100,1)+SUMIFS('24'!$N$7:$N$100,'24'!$H$7:$H$100,$A274,'24'!$I$7:$I$100,1)+SUMIFS('24a'!$N$7:$N$100,'24a'!$H$7:$H$100,$A274,'24a'!$I$7:$I$100,1)+SUMIFS('24b'!$N$7:$N$100,'24b'!$H$7:$H$100,$A274,'24b'!$I$7:$I$100,1)+SUMIFS('24c'!$N$7:$N$100,'24c'!$H$7:$H$100,$A274,'24c'!$I$7:$I$100,1)+SUMIFS('24d'!$N$7:$N$100,'24d'!$H$7:$H$100,$A274,'24d'!$I$7:$I$100,1)+SUMIFS('24e'!$N$7:$N$100,'24e'!$H$7:$H$100,$A274,'24e'!$I$7:$I$100,1)+SUMIFS('24f'!$N$7:$N$100,'24f'!$H$7:$H$100,$A274,'24f'!$I$7:$I$100,1)+SUMIFS('24g'!$N$7:$N$100,'24g'!$H$7:$H$100,$A274,'24g'!$I$7:$I$100,1)+SUMIFS('24h'!$N$7:$N$100,'24h'!$H$7:$H$100,$A274,'24h'!$I$7:$I$100,1)+SUMIFS('24i'!$N$7:$N$100,'24i'!$H$7:$H$100,$A274,'24i'!$I$7:$I$100,1)+SUMIFS('25'!$N$7:$N$100,'25'!$H$7:$H$100,$A274,'25'!$I$7:$I$100,1)+SUMIFS('26'!$N$7:$N$100,'26'!$H$7:$H$100,$A274,'26'!$I$7:$I$100,1)+SUMIFS('26a'!$N$7:$N$100,'26a'!$H$7:$H$100,$A274,'26a'!$I$7:$I$100,1)+SUMIFS('27'!$N$7:$N$100,'27'!$H$7:$H$100,$A274,'27'!$I$7:$I$100,1)+SUMIFS('27a'!$N$7:$N$100,'27a'!$H$7:$H$100,$A274,'27a'!$I$7:$I$100,1)+SUMIFS('28'!$N$7:$N$100,'28'!$H$7:$H$100,$A274,'28'!$I$7:$I$100,1)+SUMIFS('29'!$N$7:$N$100,'29'!$H$7:$H$100,$A274,'29'!$I$7:$I$100,1)</f>
        <v>0</v>
      </c>
      <c r="D274" s="1315">
        <f>SUMIFS('12'!$N$7:$N$100,'12'!$H$7:$H$100,$A274,'12'!$I$7:$I$100,2)+SUMIFS('13'!$N$7:$N$100,'13'!$H$7:$H$100,$A274,'13'!$I$7:$I$100,2)+SUMIFS('14'!$N$7:$N$100,'14'!$H$7:$H$100,$A274,'14'!$I$7:$I$100,2)+SUMIFS('15'!$N$7:$N$100,'15'!$H$7:$H$100,$A274,'15'!$I$7:$I$100,2)+SUMIFS('15a'!$N$7:$N$100,'15a'!$H$7:$H$100,$A274,'15a'!$I$7:$I$100,2)+SUMIFS('15b'!$N$7:$N$100,'15b'!$H$7:$H$100,$A274,'15b'!$I$7:$I$100,2)+SUMIFS('15c'!$N$7:$N$100,'15c'!$H$7:$H$100,$A274,'15c'!$I$7:$I$100,2)+SUMIFS('15d'!$N$7:$N$100,'15d'!$H$7:$H$100,$A274,'15d'!$I$7:$I$100,2)+SUMIFS('15e'!$N$7:$N$100,'15e'!$H$7:$H$100,$A274,'15e'!$I$7:$I$100,2)+SUMIFS('15f'!$N$7:$N$100,'15f'!$H$7:$H$100,$A274,'15f'!$I$7:$I$100,2)+SUMIFS('15g'!$N$7:$N$100,'15g'!$H$7:$H$100,$A274,'15g'!$I$7:$I$100,2)+SUMIFS('15h'!$N$7:$N$100,'15h'!$H$7:$H$100,$A274,'15h'!$I$7:$I$100,2)+SUMIFS('15i'!$N$7:$N$100,'15i'!$H$7:$H$100,$A274,'15i'!$I$7:$I$100,2)+SUMIFS('15j'!$N$7:$N$100,'15j'!$H$7:$H$100,$A274,'15j'!$I$7:$I$100,2)+SUMIFS('15k'!$N$7:$N$100,'15k'!$H$7:$H$100,$A274,'15k'!$I$7:$I$100,2)+SUMIFS('15l'!$N$7:$N$100,'15l'!$H$7:$H$100,$A274,'15l'!$I$7:$I$100,2)+SUMIFS('15m'!$N$7:$N$100,'15m'!$H$7:$H$100,$A274,'15m'!$I$7:$I$100,2)+SUMIFS('15n'!$N$7:$N$100,'15n'!$H$7:$H$100,$A274,'15n'!$I$7:$I$100,2)+SUMIFS('16'!$N$7:$N$100,'16'!$H$7:$H$100,$A274,'16'!$I$7:$I$100,2)+SUMIFS('16a'!$N$7:$N$100,'16a'!$H$7:$H$100,$A274,'16a'!$I$7:$I$100,2)+SUMIFS('17'!$N$7:$N$100,'17'!$H$7:$H$100,$A274,'17'!$I$7:$I$100,2)+SUMIFS('17a'!$N$7:$N$100,'17a'!$H$7:$H$100,$A274,'17a'!$I$7:$I$100,2)+SUMIFS('18'!$N$7:$N$100,'18'!$H$7:$H$100,$A274,'18'!$I$7:$I$100,2)+SUMIFS('18a'!$N$7:$N$100,'18a'!$H$7:$H$100,$A274,'18a'!$I$7:$I$100,2)
+SUMIFS('19'!$N$7:$N$100,'19'!$H$7:$H$100,$A274,'19'!$I$7:$I$100,2)+SUMIFS('20'!$N$7:$N$100,'20'!$H$7:$H$100,$A274,'20'!$I$7:$I$100,2)+SUMIFS('20a'!$N$7:$N$100,'20a'!$H$7:$H$100,$A274,'20a'!$I$7:$I$100,2)+SUMIFS('21'!$N$7:$N$100,'21'!$H$7:$H$100,$A274,'21'!$I$7:$I$100,2)+SUMIFS('22'!$N$7:$N$100,'22'!$H$7:$H$100,$A274,'22'!$I$7:$I$100,2)+SUMIFS('22a'!$N$7:$N$100,'22a'!$H$7:$H$100,$A274,'22a'!$I$7:$I$100,2)+SUMIFS('22b'!$N$7:$N$100,'22b'!$H$7:$H$100,$A274,'22b'!$I$7:$I$100,2)+SUMIFS('23'!$N$7:$N$100,'23'!$H$7:$H$100,$A274,'23'!$I$7:$I$100,2)+SUMIFS('24'!$N$7:$N$100,'24'!$H$7:$H$100,$A274,'24'!$I$7:$I$100,2)+SUMIFS('24a'!$N$7:$N$100,'24a'!$H$7:$H$100,$A274,'24a'!$I$7:$I$100,2)+SUMIFS('24b'!$N$7:$N$100,'24b'!$H$7:$H$100,$A274,'24b'!$I$7:$I$100,2)+SUMIFS('24c'!$N$7:$N$100,'24c'!$H$7:$H$100,$A274,'24c'!$I$7:$I$100,2)+SUMIFS('24d'!$N$7:$N$100,'24d'!$H$7:$H$100,$A274,'24d'!$I$7:$I$100,2)+SUMIFS('24e'!$N$7:$N$100,'24e'!$H$7:$H$100,$A274,'24e'!$I$7:$I$100,2)+SUMIFS('24f'!$N$7:$N$100,'24f'!$H$7:$H$100,$A274,'24f'!$I$7:$I$100,2)+SUMIFS('24g'!$N$7:$N$100,'24g'!$H$7:$H$100,$A274,'24g'!$I$7:$I$100,2)+SUMIFS('24h'!$N$7:$N$100,'24h'!$H$7:$H$100,$A274,'24h'!$I$7:$I$100,2)+SUMIFS('24i'!$N$7:$N$100,'24i'!$H$7:$H$100,$A274,'24i'!$I$7:$I$100,2)+SUMIFS('25'!$N$7:$N$100,'25'!$H$7:$H$100,$A274,'25'!$I$7:$I$100,2)+SUMIFS('26'!$N$7:$N$100,'26'!$H$7:$H$100,$A274,'26'!$I$7:$I$100,2)+SUMIFS('26a'!$N$7:$N$100,'26a'!$H$7:$H$100,$A274,'26a'!$I$7:$I$100,2)+SUMIFS('27'!$N$7:$N$100,'27'!$H$7:$H$100,$A274,'27'!$I$7:$I$100,2)+SUMIFS('27a'!$N$7:$N$100,'27a'!$H$7:$H$100,$A274,'27a'!$I$7:$I$100,2)+SUMIFS('28'!$N$7:$N$100,'28'!$H$7:$H$100,$A274,'28'!$I$7:$I$100,2)+SUMIFS('29'!$N$7:$N$100,'29'!$H$7:$H$100,$A274,'29'!$I$7:$I$100,2)</f>
        <v>0</v>
      </c>
      <c r="E274" s="1315">
        <f>SUMIFS('12'!$N$7:$N$100,'12'!$H$7:$H$100,$A274,'12'!$I$7:$I$100,"")+SUMIFS('13'!$N$7:$N$100,'13'!$H$7:$H$100,$A274,'13'!$I$7:$I$100,"")+SUMIFS('14'!$N$7:$N$100,'14'!$H$7:$H$100,$A274,'14'!$I$7:$I$100,"")+SUMIFS('15'!$N$7:$N$100,'15'!$H$7:$H$100,$A274,'15'!$I$7:$I$100,"")+SUMIFS('15a'!$N$7:$N$100,'15a'!$H$7:$H$100,$A274,'15a'!$I$7:$I$100,"")+SUMIFS('15b'!$N$7:$N$100,'15b'!$H$7:$H$100,$A274,'15b'!$I$7:$I$100,"")+SUMIFS('15c'!$N$7:$N$100,'15c'!$H$7:$H$100,$A274,'15c'!$I$7:$I$100,"")+SUMIFS('15d'!$N$7:$N$100,'15d'!$H$7:$H$100,$A274,'15d'!$I$7:$I$100,"")+SUMIFS('15e'!$N$7:$N$100,'15e'!$H$7:$H$100,$A274,'15e'!$I$7:$I$100,"")+SUMIFS('15f'!$N$7:$N$100,'15f'!$H$7:$H$100,$A274,'15f'!$I$7:$I$100,"")+SUMIFS('15g'!$N$7:$N$100,'15g'!$H$7:$H$100,$A274,'15g'!$I$7:$I$100,"")+SUMIFS('15h'!$N$7:$N$100,'15h'!$H$7:$H$100,$A274,'15h'!$I$7:$I$100,"")+SUMIFS('15i'!$N$7:$N$100,'15i'!$H$7:$H$100,$A274,'15i'!$I$7:$I$100,"")+SUMIFS('15j'!$N$7:$N$100,'15j'!$H$7:$H$100,$A274,'15j'!$I$7:$I$100,"")+SUMIFS('15k'!$N$7:$N$100,'15k'!$H$7:$H$100,$A274,'15k'!$I$7:$I$100,"")+SUMIFS('15l'!$N$7:$N$100,'15l'!$H$7:$H$100,$A274,'15l'!$I$7:$I$100,"")+SUMIFS('15m'!$N$7:$N$100,'15m'!$H$7:$H$100,$A274,'15m'!$I$7:$I$100,"")+SUMIFS('15n'!$N$7:$N$100,'15n'!$H$7:$H$100,$A274,'15n'!$I$7:$I$100,"")+SUMIFS('16'!$N$7:$N$100,'16'!$H$7:$H$100,$A274,'16'!$I$7:$I$100,"")+SUMIFS('16a'!$N$7:$N$100,'16a'!$H$7:$H$100,$A274,'16a'!$I$7:$I$100,"")+SUMIFS('17'!$N$7:$N$100,'17'!$H$7:$H$100,$A274,'17'!$I$7:$I$100,"")+SUMIFS('17a'!$N$7:$N$100,'17a'!$H$7:$H$100,$A274,'17a'!$I$7:$I$100,"")+SUMIFS('18'!$N$7:$N$100,'18'!$H$7:$H$100,$A274,'18'!$I$7:$I$100,"")+SUMIFS('18a'!$N$7:$N$100,'18a'!$H$7:$H$100,$A274,'18a'!$I$7:$I$100,"")
+SUMIFS('19'!$N$7:$N$100,'19'!$H$7:$H$100,$A274,'19'!$I$7:$I$100,"")+SUMIFS('20'!$N$7:$N$100,'20'!$H$7:$H$100,$A274,'20'!$I$7:$I$100,"")+SUMIFS('20a'!$N$7:$N$100,'20a'!$H$7:$H$100,$A274,'20a'!$I$7:$I$100,"")+SUMIFS('21'!$N$7:$N$100,'21'!$H$7:$H$100,$A274,'21'!$I$7:$I$100,"")+SUMIFS('22'!$N$7:$N$100,'22'!$H$7:$H$100,$A274,'22'!$I$7:$I$100,"")+SUMIFS('22a'!$N$7:$N$100,'22a'!$H$7:$H$100,$A274,'22a'!$I$7:$I$100,"")+SUMIFS('22b'!$N$7:$N$100,'22b'!$H$7:$H$100,$A274,'22b'!$I$7:$I$100,"")+SUMIFS('23'!$N$7:$N$100,'23'!$H$7:$H$100,$A274,'23'!$I$7:$I$100,"")+SUMIFS('24'!$N$7:$N$100,'24'!$H$7:$H$100,$A274,'24'!$I$7:$I$100,"")+SUMIFS('24a'!$N$7:$N$100,'24a'!$H$7:$H$100,$A274,'24a'!$I$7:$I$100,"")+SUMIFS('24b'!$N$7:$N$100,'24b'!$H$7:$H$100,$A274,'24b'!$I$7:$I$100,"")+SUMIFS('24c'!$N$7:$N$100,'24c'!$H$7:$H$100,$A274,'24c'!$I$7:$I$100,"")+SUMIFS('24d'!$N$7:$N$100,'24d'!$H$7:$H$100,$A274,'24d'!$I$7:$I$100,"")+SUMIFS('24e'!$N$7:$N$100,'24e'!$H$7:$H$100,$A274,'24e'!$I$7:$I$100,"")+SUMIFS('24f'!$N$7:$N$100,'24f'!$H$7:$H$100,$A274,'24f'!$I$7:$I$100,"")+SUMIFS('24g'!$N$7:$N$100,'24g'!$H$7:$H$100,$A274,'24g'!$I$7:$I$100,"")+SUMIFS('24h'!$N$7:$N$100,'24h'!$H$7:$H$100,$A274,'24h'!$I$7:$I$100,"")+SUMIFS('24i'!$N$7:$N$100,'24i'!$H$7:$H$100,$A274,'24i'!$I$7:$I$100,"")+SUMIFS('25'!$N$7:$N$100,'25'!$H$7:$H$100,$A274,'25'!$I$7:$I$100,"")+SUMIFS('26'!$N$7:$N$100,'26'!$H$7:$H$100,$A274,'26'!$I$7:$I$100,"")+SUMIFS('26a'!$N$7:$N$100,'26a'!$H$7:$H$100,$A274,'26a'!$I$7:$I$100,"")+SUMIFS('27'!$N$7:$N$100,'27'!$H$7:$H$100,$A274,'27'!$I$7:$I$100,"")+SUMIFS('27a'!$N$7:$N$100,'27a'!$H$7:$H$100,$A274,'27a'!$I$7:$I$100,"")+SUMIFS('28'!$N$7:$N$100,'28'!$H$7:$H$100,$A274,'28'!$I$7:$I$100,"")+SUMIFS('29'!$N$7:$N$100,'29'!$H$7:$H$100,$A274,'29'!$I$7:$I$100,"")</f>
        <v>0</v>
      </c>
      <c r="F274" s="1296">
        <f t="shared" si="28"/>
        <v>0</v>
      </c>
      <c r="G274" s="1295">
        <f>SUMIFS('12'!$J$7:$J$100,'12'!$H$7:$H$100,$A274,'12'!$I$7:$I$100,1)+SUMIFS('13'!$J$7:$J$100,'13'!$H$7:$H$100,$A274,'13'!$I$7:$I$100,1)+SUMIFS('14'!$J$7:$J$100,'14'!$H$7:$H$100,$A274,'14'!$I$7:$I$100,1)+SUMIFS('15'!$J$7:$J$100,'15'!$H$7:$H$100,$A274,'15'!$I$7:$I$100,1)+SUMIFS('15a'!$J$7:$J$100,'15a'!$H$7:$H$100,$A274,'15a'!$I$7:$I$100,1)+SUMIFS('15b'!$J$7:$J$100,'15b'!$H$7:$H$100,$A274,'15b'!$I$7:$I$100,1)+SUMIFS('15c'!$J$7:$J$100,'15c'!$H$7:$H$100,$A274,'15c'!$I$7:$I$100,1)+SUMIFS('15d'!$J$7:$J$100,'15d'!$H$7:$H$100,$A274,'15d'!$I$7:$I$100,1)+SUMIFS('15e'!$J$7:$J$100,'15e'!$H$7:$H$100,$A274,'15e'!$I$7:$I$100,1)+SUMIFS('15f'!$J$7:$J$100,'15f'!$H$7:$H$100,$A274,'15f'!$I$7:$I$100,1)+SUMIFS('15g'!$J$7:$J$100,'15g'!$H$7:$H$100,$A274,'15g'!$I$7:$I$100,1)+SUMIFS('15h'!$J$7:$J$100,'15h'!$H$7:$H$100,$A274,'15h'!$I$7:$I$100,1)+SUMIFS('15i'!$J$7:$J$100,'15i'!$H$7:$H$100,$A274,'15i'!$I$7:$I$100,1)+SUMIFS('15j'!$J$7:$J$100,'15j'!$H$7:$H$100,$A274,'15j'!$I$7:$I$100,1)+SUMIFS('15k'!$J$7:$J$100,'15k'!$H$7:$H$100,$A274,'15k'!$I$7:$I$100,1)+SUMIFS('15l'!$J$7:$J$100,'15l'!$H$7:$H$100,$A274,'15l'!$I$7:$I$100,1)+SUMIFS('15m'!$J$7:$J$100,'15m'!$H$7:$H$100,$A274,'15m'!$I$7:$I$100,1)+SUMIFS('15n'!$J$7:$J$100,'15n'!$H$7:$H$100,$A274,'15n'!$I$7:$I$100,1)+SUMIFS('16'!$J$7:$J$100,'16'!$H$7:$H$100,$A274,'16'!$I$7:$I$100,1)+SUMIFS('16a'!$J$7:$J$100,'16a'!$H$7:$H$100,$A274,'16a'!$I$7:$I$100,1)+SUMIFS('17'!$J$7:$J$100,'17'!$H$7:$H$100,$A274,'17'!$I$7:$I$100,1)+SUMIFS('17a'!$J$7:$J$100,'17a'!$H$7:$H$100,$A274,'17a'!$I$7:$I$100,1)+SUMIFS('18'!$J$7:$J$100,'18'!$H$7:$H$100,$A274,'18'!$I$7:$I$100,1)+SUMIFS('18a'!$J$7:$J$100,'18a'!$H$7:$H$100,$A274,'18a'!$I$7:$I$100,1)
+SUMIFS('19'!$J$7:$J$100,'19'!$H$7:$H$100,$A274,'19'!$I$7:$I$100,1)+SUMIFS('20'!$J$7:$J$100,'20'!$H$7:$H$100,$A274,'20'!$I$7:$I$100,1)+SUMIFS('20a'!$J$7:$J$100,'20a'!$H$7:$H$100,$A274,'20a'!$I$7:$I$100,1)+SUMIFS('21'!$J$7:$J$100,'21'!$H$7:$H$100,$A274,'21'!$I$7:$I$100,1)+SUMIFS('22'!$J$7:$J$100,'22'!$H$7:$H$100,$A274,'22'!$I$7:$I$100,1)+SUMIFS('22a'!$J$7:$J$100,'22a'!$H$7:$H$100,$A274,'22a'!$I$7:$I$100,1)+SUMIFS('22b'!$J$7:$J$100,'22b'!$H$7:$H$100,$A274,'22b'!$I$7:$I$100,1)+SUMIFS('23'!$J$7:$J$100,'23'!$H$7:$H$100,$A274,'23'!$I$7:$I$100,1)+SUMIFS('24'!$J$7:$J$100,'24'!$H$7:$H$100,$A274,'24'!$I$7:$I$100,1)+SUMIFS('24a'!$J$7:$J$100,'24a'!$H$7:$H$100,$A274,'24a'!$I$7:$I$100,1)+SUMIFS('24b'!$J$7:$J$100,'24b'!$H$7:$H$100,$A274,'24b'!$I$7:$I$100,1)+SUMIFS('24c'!$J$7:$J$100,'24c'!$H$7:$H$100,$A274,'24c'!$I$7:$I$100,1)+SUMIFS('24d'!$J$7:$J$100,'24d'!$H$7:$H$100,$A274,'24d'!$I$7:$I$100,1)+SUMIFS('24e'!$J$7:$J$100,'24e'!$H$7:$H$100,$A274,'24e'!$I$7:$I$100,1)+SUMIFS('24f'!$J$7:$J$100,'24f'!$H$7:$H$100,$A274,'24f'!$I$7:$I$100,1)+SUMIFS('24g'!$J$7:$J$100,'24g'!$H$7:$H$100,$A274,'24g'!$I$7:$I$100,1)+SUMIFS('24h'!$J$7:$J$100,'24h'!$H$7:$H$100,$A274,'24h'!$I$7:$I$100,1)+SUMIFS('24i'!$J$7:$J$100,'24i'!$H$7:$H$100,$A274,'24i'!$I$7:$I$100,1)+SUMIFS('25'!$J$7:$J$100,'25'!$H$7:$H$100,$A274,'25'!$I$7:$I$100,1)+SUMIFS('26'!$J$7:$J$100,'26'!$H$7:$H$100,$A274,'26'!$I$7:$I$100,1)+SUMIFS('26a'!$J$7:$J$100,'26a'!$H$7:$H$100,$A274,'26a'!$I$7:$I$100,1)+SUMIFS('27'!$J$7:$J$100,'27'!$H$7:$H$100,$A274,'27'!$I$7:$I$100,1)+SUMIFS('27a'!$J$7:$J$100,'27a'!$H$7:$H$100,$A274,'27a'!$I$7:$I$100,1)+SUMIFS('28'!$J$7:$J$100,'28'!$H$7:$H$100,$A274,'28'!$I$7:$I$100,1)+SUMIFS('29'!$J$7:$J$100,'29'!$H$7:$H$100,$A274,'29'!$I$7:$I$100,1)</f>
        <v>0</v>
      </c>
      <c r="H274" s="1315">
        <f>SUMIFS('12'!$J$7:$J$100,'12'!$H$7:$H$100,$A274,'12'!$I$7:$I$100,2)+SUMIFS('13'!$J$7:$J$100,'13'!$H$7:$H$100,$A274,'13'!$I$7:$I$100,2)+SUMIFS('14'!$J$7:$J$100,'14'!$H$7:$H$100,$A274,'14'!$I$7:$I$100,2)+SUMIFS('15'!$J$7:$J$100,'15'!$H$7:$H$100,$A274,'15'!$I$7:$I$100,2)+SUMIFS('15a'!$J$7:$J$100,'15a'!$H$7:$H$100,$A274,'15a'!$I$7:$I$100,2)+SUMIFS('15b'!$J$7:$J$100,'15b'!$H$7:$H$100,$A274,'15b'!$I$7:$I$100,2)+SUMIFS('15c'!$J$7:$J$100,'15c'!$H$7:$H$100,$A274,'15c'!$I$7:$I$100,2)+SUMIFS('15d'!$J$7:$J$100,'15d'!$H$7:$H$100,$A274,'15d'!$I$7:$I$100,2)+SUMIFS('15e'!$J$7:$J$100,'15e'!$H$7:$H$100,$A274,'15e'!$I$7:$I$100,2)+SUMIFS('15f'!$J$7:$J$100,'15f'!$H$7:$H$100,$A274,'15f'!$I$7:$I$100,2)+SUMIFS('15g'!$J$7:$J$100,'15g'!$H$7:$H$100,$A274,'15g'!$I$7:$I$100,2)+SUMIFS('15h'!$J$7:$J$100,'15h'!$H$7:$H$100,$A274,'15h'!$I$7:$I$100,2)+SUMIFS('15i'!$J$7:$J$100,'15i'!$H$7:$H$100,$A274,'15i'!$I$7:$I$100,2)+SUMIFS('15j'!$J$7:$J$100,'15j'!$H$7:$H$100,$A274,'15j'!$I$7:$I$100,2)+SUMIFS('15k'!$J$7:$J$100,'15k'!$H$7:$H$100,$A274,'15k'!$I$7:$I$100,2)+SUMIFS('15l'!$J$7:$J$100,'15l'!$H$7:$H$100,$A274,'15l'!$I$7:$I$100,2)+SUMIFS('15m'!$J$7:$J$100,'15m'!$H$7:$H$100,$A274,'15m'!$I$7:$I$100,2)+SUMIFS('15n'!$J$7:$J$100,'15n'!$H$7:$H$100,$A274,'15n'!$I$7:$I$100,2)+SUMIFS('16'!$J$7:$J$100,'16'!$H$7:$H$100,$A274,'16'!$I$7:$I$100,2)+SUMIFS('16a'!$J$7:$J$100,'16a'!$H$7:$H$100,$A274,'16a'!$I$7:$I$100,2)+SUMIFS('17'!$J$7:$J$100,'17'!$H$7:$H$100,$A274,'17'!$I$7:$I$100,2)+SUMIFS('17a'!$J$7:$J$100,'17a'!$H$7:$H$100,$A274,'17a'!$I$7:$I$100,2)+SUMIFS('18'!$J$7:$J$100,'18'!$H$7:$H$100,$A274,'18'!$I$7:$I$100,2)+SUMIFS('18a'!$J$7:$J$100,'18a'!$H$7:$H$100,$A274,'18a'!$I$7:$I$100,2)
+SUMIFS('19'!$J$7:$J$100,'19'!$H$7:$H$100,$A274,'19'!$I$7:$I$100,2)+SUMIFS('20'!$J$7:$J$100,'20'!$H$7:$H$100,$A274,'20'!$I$7:$I$100,2)+SUMIFS('20a'!$J$7:$J$100,'20a'!$H$7:$H$100,$A274,'20a'!$I$7:$I$100,2)+SUMIFS('21'!$J$7:$J$100,'21'!$H$7:$H$100,$A274,'21'!$I$7:$I$100,2)+SUMIFS('22'!$J$7:$J$100,'22'!$H$7:$H$100,$A274,'22'!$I$7:$I$100,2)+SUMIFS('22a'!$J$7:$J$100,'22a'!$H$7:$H$100,$A274,'22a'!$I$7:$I$100,2)+SUMIFS('22b'!$J$7:$J$100,'22b'!$H$7:$H$100,$A274,'22b'!$I$7:$I$100,2)+SUMIFS('23'!$J$7:$J$100,'23'!$H$7:$H$100,$A274,'23'!$I$7:$I$100,2)+SUMIFS('24'!$J$7:$J$100,'24'!$H$7:$H$100,$A274,'24'!$I$7:$I$100,2)+SUMIFS('24a'!$J$7:$J$100,'24a'!$H$7:$H$100,$A274,'24a'!$I$7:$I$100,2)+SUMIFS('24b'!$J$7:$J$100,'24b'!$H$7:$H$100,$A274,'24b'!$I$7:$I$100,2)+SUMIFS('24c'!$J$7:$J$100,'24c'!$H$7:$H$100,$A274,'24c'!$I$7:$I$100,2)+SUMIFS('24d'!$J$7:$J$100,'24d'!$H$7:$H$100,$A274,'24d'!$I$7:$I$100,2)+SUMIFS('24e'!$J$7:$J$100,'24e'!$H$7:$H$100,$A274,'24e'!$I$7:$I$100,2)+SUMIFS('24f'!$J$7:$J$100,'24f'!$H$7:$H$100,$A274,'24f'!$I$7:$I$100,2)+SUMIFS('24g'!$J$7:$J$100,'24g'!$H$7:$H$100,$A274,'24g'!$I$7:$I$100,2)+SUMIFS('24h'!$J$7:$J$100,'24h'!$H$7:$H$100,$A274,'24h'!$I$7:$I$100,2)+SUMIFS('24i'!$J$7:$J$100,'24i'!$H$7:$H$100,$A274,'24i'!$I$7:$I$100,2)+SUMIFS('25'!$J$7:$J$100,'25'!$H$7:$H$100,$A274,'25'!$I$7:$I$100,2)+SUMIFS('26'!$J$7:$J$100,'26'!$H$7:$H$100,$A274,'26'!$I$7:$I$100,2)+SUMIFS('26a'!$J$7:$J$100,'26a'!$H$7:$H$100,$A274,'26a'!$I$7:$I$100,2)+SUMIFS('27'!$J$7:$J$100,'27'!$H$7:$H$100,$A274,'27'!$I$7:$I$100,2)+SUMIFS('27a'!$J$7:$J$100,'27a'!$H$7:$H$100,$A274,'27a'!$I$7:$I$100,2)+SUMIFS('28'!$J$7:$J$100,'28'!$H$7:$H$100,$A274,'28'!$I$7:$I$100,2)+SUMIFS('29'!$J$7:$J$100,'29'!$H$7:$H$100,$A274,'29'!$I$7:$I$100,2)</f>
        <v>0</v>
      </c>
      <c r="I274" s="1315">
        <f>SUMIFS('12'!$J$7:$J$100,'12'!$H$7:$H$100,$A274,'12'!$I$7:$I$100,"")+SUMIFS('13'!$J$7:$J$100,'13'!$H$7:$H$100,$A274,'13'!$I$7:$I$100,"")+SUMIFS('14'!$J$7:$J$100,'14'!$H$7:$H$100,$A274,'14'!$I$7:$I$100,"")+SUMIFS('15'!$J$7:$J$100,'15'!$H$7:$H$100,$A274,'15'!$I$7:$I$100,"")+SUMIFS('15a'!$J$7:$J$100,'15a'!$H$7:$H$100,$A274,'15a'!$I$7:$I$100,"")+SUMIFS('15b'!$J$7:$J$100,'15b'!$H$7:$H$100,$A274,'15b'!$I$7:$I$100,"")+SUMIFS('15c'!$J$7:$J$100,'15c'!$H$7:$H$100,$A274,'15c'!$I$7:$I$100,"")+SUMIFS('15d'!$J$7:$J$100,'15d'!$H$7:$H$100,$A274,'15d'!$I$7:$I$100,"")+SUMIFS('15e'!$J$7:$J$100,'15e'!$H$7:$H$100,$A274,'15e'!$I$7:$I$100,"")+SUMIFS('15f'!$J$7:$J$100,'15f'!$H$7:$H$100,$A274,'15f'!$I$7:$I$100,"")+SUMIFS('15g'!$J$7:$J$100,'15g'!$H$7:$H$100,$A274,'15g'!$I$7:$I$100,"")+SUMIFS('15h'!$J$7:$J$100,'15h'!$H$7:$H$100,$A274,'15h'!$I$7:$I$100,"")+SUMIFS('15i'!$J$7:$J$100,'15i'!$H$7:$H$100,$A274,'15i'!$I$7:$I$100,"")+SUMIFS('15j'!$J$7:$J$100,'15j'!$H$7:$H$100,$A274,'15j'!$I$7:$I$100,"")+SUMIFS('15k'!$J$7:$J$100,'15k'!$H$7:$H$100,$A274,'15k'!$I$7:$I$100,"")+SUMIFS('15l'!$J$7:$J$100,'15l'!$H$7:$H$100,$A274,'15l'!$I$7:$I$100,"")+SUMIFS('15m'!$J$7:$J$100,'15m'!$H$7:$H$100,$A274,'15m'!$I$7:$I$100,"")+SUMIFS('15n'!$J$7:$J$100,'15n'!$H$7:$H$100,$A274,'15n'!$I$7:$I$100,"")+SUMIFS('16'!$J$7:$J$100,'16'!$H$7:$H$100,$A274,'16'!$I$7:$I$100,"")+SUMIFS('16a'!$J$7:$J$100,'16a'!$H$7:$H$100,$A274,'16a'!$I$7:$I$100,"")+SUMIFS('17'!$J$7:$J$100,'17'!$H$7:$H$100,$A274,'17'!$I$7:$I$100,"")+SUMIFS('17a'!$J$7:$J$100,'17a'!$H$7:$H$100,$A274,'17a'!$I$7:$I$100,"")+SUMIFS('18'!$J$7:$J$100,'18'!$H$7:$H$100,$A274,'18'!$I$7:$I$100,"")+SUMIFS('18a'!$J$7:$J$100,'18a'!$H$7:$H$100,$A274,'18a'!$I$7:$I$100,"")
+SUMIFS('19'!$J$7:$J$100,'19'!$H$7:$H$100,$A274,'19'!$I$7:$I$100,"")+SUMIFS('20'!$J$7:$J$100,'20'!$H$7:$H$100,$A274,'20'!$I$7:$I$100,"")+SUMIFS('20a'!$J$7:$J$100,'20a'!$H$7:$H$100,$A274,'20a'!$I$7:$I$100,"")+SUMIFS('21'!$J$7:$J$100,'21'!$H$7:$H$100,$A274,'21'!$I$7:$I$100,"")+SUMIFS('22'!$J$7:$J$100,'22'!$H$7:$H$100,$A274,'22'!$I$7:$I$100,"")+SUMIFS('22a'!$J$7:$J$100,'22a'!$H$7:$H$100,$A274,'22a'!$I$7:$I$100,"")+SUMIFS('22b'!$J$7:$J$100,'22b'!$H$7:$H$100,$A274,'22b'!$I$7:$I$100,"")+SUMIFS('23'!$J$7:$J$100,'23'!$H$7:$H$100,$A274,'23'!$I$7:$I$100,"")+SUMIFS('24'!$J$7:$J$100,'24'!$H$7:$H$100,$A274,'24'!$I$7:$I$100,"")+SUMIFS('24a'!$J$7:$J$100,'24a'!$H$7:$H$100,$A274,'24a'!$I$7:$I$100,"")+SUMIFS('24b'!$J$7:$J$100,'24b'!$H$7:$H$100,$A274,'24b'!$I$7:$I$100,"")+SUMIFS('24c'!$J$7:$J$100,'24c'!$H$7:$H$100,$A274,'24c'!$I$7:$I$100,"")+SUMIFS('24d'!$J$7:$J$100,'24d'!$H$7:$H$100,$A274,'24d'!$I$7:$I$100,"")+SUMIFS('24e'!$J$7:$J$100,'24e'!$H$7:$H$100,$A274,'24e'!$I$7:$I$100,"")+SUMIFS('24f'!$J$7:$J$100,'24f'!$H$7:$H$100,$A274,'24f'!$I$7:$I$100,"")+SUMIFS('24g'!$J$7:$J$100,'24g'!$H$7:$H$100,$A274,'24g'!$I$7:$I$100,"")+SUMIFS('24h'!$J$7:$J$100,'24h'!$H$7:$H$100,$A274,'24h'!$I$7:$I$100,"")+SUMIFS('24i'!$J$7:$J$100,'24i'!$H$7:$H$100,$A274,'24i'!$I$7:$I$100,"")+SUMIFS('25'!$J$7:$J$100,'25'!$H$7:$H$100,$A274,'25'!$I$7:$I$100,"")+SUMIFS('26'!$J$7:$J$100,'26'!$H$7:$H$100,$A274,'26'!$I$7:$I$100,"")+SUMIFS('26a'!$J$7:$J$100,'26a'!$H$7:$H$100,$A274,'26a'!$I$7:$I$100,"")+SUMIFS('27'!$J$7:$J$100,'27'!$H$7:$H$100,$A274,'27'!$I$7:$I$100,"")+SUMIFS('27a'!$J$7:$J$100,'27a'!$H$7:$H$100,$A274,'27a'!$I$7:$I$100,"")+SUMIFS('28'!$J$7:$J$100,'28'!$H$7:$H$100,$A274,'28'!$I$7:$I$100,"")+SUMIFS('29'!$J$7:$J$100,'29'!$H$7:$H$100,$A274,'29'!$I$7:$I$100,"")</f>
        <v>0</v>
      </c>
      <c r="J274" s="1296">
        <f t="shared" si="29"/>
        <v>0</v>
      </c>
      <c r="K274"/>
      <c r="L274"/>
      <c r="M274"/>
      <c r="N274"/>
      <c r="O274"/>
      <c r="P274"/>
      <c r="Q274"/>
      <c r="R274"/>
      <c r="S274" s="1307">
        <f t="shared" si="14"/>
        <v>0</v>
      </c>
      <c r="T274"/>
    </row>
    <row r="275" spans="1:20" outlineLevel="1" x14ac:dyDescent="0.2">
      <c r="A275" t="s">
        <v>5185</v>
      </c>
      <c r="B275" t="s">
        <v>5510</v>
      </c>
      <c r="C275" s="1295">
        <f>SUMIFS('12'!$N$7:$N$100,'12'!$H$7:$H$100,$A275,'12'!$I$7:$I$100,1)+SUMIFS('13'!$N$7:$N$100,'13'!$H$7:$H$100,$A275,'13'!$I$7:$I$100,1)+SUMIFS('14'!$N$7:$N$100,'14'!$H$7:$H$100,$A275,'14'!$I$7:$I$100,1)+SUMIFS('15'!$N$7:$N$100,'15'!$H$7:$H$100,$A275,'15'!$I$7:$I$100,1)+SUMIFS('15a'!$N$7:$N$100,'15a'!$H$7:$H$100,$A275,'15a'!$I$7:$I$100,1)+SUMIFS('15b'!$N$7:$N$100,'15b'!$H$7:$H$100,$A275,'15b'!$I$7:$I$100,1)+SUMIFS('15c'!$N$7:$N$100,'15c'!$H$7:$H$100,$A275,'15c'!$I$7:$I$100,1)+SUMIFS('15d'!$N$7:$N$100,'15d'!$H$7:$H$100,$A275,'15d'!$I$7:$I$100,1)+SUMIFS('15e'!$N$7:$N$100,'15e'!$H$7:$H$100,$A275,'15e'!$I$7:$I$100,1)+SUMIFS('15f'!$N$7:$N$100,'15f'!$H$7:$H$100,$A275,'15f'!$I$7:$I$100,1)+SUMIFS('15g'!$N$7:$N$100,'15g'!$H$7:$H$100,$A275,'15g'!$I$7:$I$100,1)+SUMIFS('15h'!$N$7:$N$100,'15h'!$H$7:$H$100,$A275,'15h'!$I$7:$I$100,1)+SUMIFS('15i'!$N$7:$N$100,'15i'!$H$7:$H$100,$A275,'15i'!$I$7:$I$100,1)+SUMIFS('15j'!$N$7:$N$100,'15j'!$H$7:$H$100,$A275,'15j'!$I$7:$I$100,1)+SUMIFS('15k'!$N$7:$N$100,'15k'!$H$7:$H$100,$A275,'15k'!$I$7:$I$100,1)+SUMIFS('15l'!$N$7:$N$100,'15l'!$H$7:$H$100,$A275,'15l'!$I$7:$I$100,1)+SUMIFS('15m'!$N$7:$N$100,'15m'!$H$7:$H$100,$A275,'15m'!$I$7:$I$100,1)+SUMIFS('15n'!$N$7:$N$100,'15n'!$H$7:$H$100,$A275,'15n'!$I$7:$I$100,1)+SUMIFS('16'!$N$7:$N$100,'16'!$H$7:$H$100,$A275,'16'!$I$7:$I$100,1)+SUMIFS('16a'!$N$7:$N$100,'16a'!$H$7:$H$100,$A275,'16a'!$I$7:$I$100,1)+SUMIFS('17'!$N$7:$N$100,'17'!$H$7:$H$100,$A275,'17'!$I$7:$I$100,1)+SUMIFS('17a'!$N$7:$N$100,'17a'!$H$7:$H$100,$A275,'17a'!$I$7:$I$100,1)+SUMIFS('18'!$N$7:$N$100,'18'!$H$7:$H$100,$A275,'18'!$I$7:$I$100,1)+SUMIFS('18a'!$N$7:$N$100,'18a'!$H$7:$H$100,$A275,'18a'!$I$7:$I$100,1)
+SUMIFS('19'!$N$7:$N$100,'19'!$H$7:$H$100,$A275,'19'!$I$7:$I$100,1)+SUMIFS('20'!$N$7:$N$100,'20'!$H$7:$H$100,$A275,'20'!$I$7:$I$100,1)+SUMIFS('20a'!$N$7:$N$100,'20a'!$H$7:$H$100,$A275,'20a'!$I$7:$I$100,1)+SUMIFS('21'!$N$7:$N$100,'21'!$H$7:$H$100,$A275,'21'!$I$7:$I$100,1)+SUMIFS('22'!$N$7:$N$100,'22'!$H$7:$H$100,$A275,'22'!$I$7:$I$100,1)+SUMIFS('22a'!$N$7:$N$100,'22a'!$H$7:$H$100,$A275,'22a'!$I$7:$I$100,1)+SUMIFS('22b'!$N$7:$N$100,'22b'!$H$7:$H$100,$A275,'22b'!$I$7:$I$100,1)+SUMIFS('23'!$N$7:$N$100,'23'!$H$7:$H$100,$A275,'23'!$I$7:$I$100,1)+SUMIFS('24'!$N$7:$N$100,'24'!$H$7:$H$100,$A275,'24'!$I$7:$I$100,1)+SUMIFS('24a'!$N$7:$N$100,'24a'!$H$7:$H$100,$A275,'24a'!$I$7:$I$100,1)+SUMIFS('24b'!$N$7:$N$100,'24b'!$H$7:$H$100,$A275,'24b'!$I$7:$I$100,1)+SUMIFS('24c'!$N$7:$N$100,'24c'!$H$7:$H$100,$A275,'24c'!$I$7:$I$100,1)+SUMIFS('24d'!$N$7:$N$100,'24d'!$H$7:$H$100,$A275,'24d'!$I$7:$I$100,1)+SUMIFS('24e'!$N$7:$N$100,'24e'!$H$7:$H$100,$A275,'24e'!$I$7:$I$100,1)+SUMIFS('24f'!$N$7:$N$100,'24f'!$H$7:$H$100,$A275,'24f'!$I$7:$I$100,1)+SUMIFS('24g'!$N$7:$N$100,'24g'!$H$7:$H$100,$A275,'24g'!$I$7:$I$100,1)+SUMIFS('24h'!$N$7:$N$100,'24h'!$H$7:$H$100,$A275,'24h'!$I$7:$I$100,1)+SUMIFS('24i'!$N$7:$N$100,'24i'!$H$7:$H$100,$A275,'24i'!$I$7:$I$100,1)+SUMIFS('25'!$N$7:$N$100,'25'!$H$7:$H$100,$A275,'25'!$I$7:$I$100,1)+SUMIFS('26'!$N$7:$N$100,'26'!$H$7:$H$100,$A275,'26'!$I$7:$I$100,1)+SUMIFS('26a'!$N$7:$N$100,'26a'!$H$7:$H$100,$A275,'26a'!$I$7:$I$100,1)+SUMIFS('27'!$N$7:$N$100,'27'!$H$7:$H$100,$A275,'27'!$I$7:$I$100,1)+SUMIFS('27a'!$N$7:$N$100,'27a'!$H$7:$H$100,$A275,'27a'!$I$7:$I$100,1)+SUMIFS('28'!$N$7:$N$100,'28'!$H$7:$H$100,$A275,'28'!$I$7:$I$100,1)+SUMIFS('29'!$N$7:$N$100,'29'!$H$7:$H$100,$A275,'29'!$I$7:$I$100,1)</f>
        <v>0</v>
      </c>
      <c r="D275" s="1315">
        <f>SUMIFS('12'!$N$7:$N$100,'12'!$H$7:$H$100,$A275,'12'!$I$7:$I$100,2)+SUMIFS('13'!$N$7:$N$100,'13'!$H$7:$H$100,$A275,'13'!$I$7:$I$100,2)+SUMIFS('14'!$N$7:$N$100,'14'!$H$7:$H$100,$A275,'14'!$I$7:$I$100,2)+SUMIFS('15'!$N$7:$N$100,'15'!$H$7:$H$100,$A275,'15'!$I$7:$I$100,2)+SUMIFS('15a'!$N$7:$N$100,'15a'!$H$7:$H$100,$A275,'15a'!$I$7:$I$100,2)+SUMIFS('15b'!$N$7:$N$100,'15b'!$H$7:$H$100,$A275,'15b'!$I$7:$I$100,2)+SUMIFS('15c'!$N$7:$N$100,'15c'!$H$7:$H$100,$A275,'15c'!$I$7:$I$100,2)+SUMIFS('15d'!$N$7:$N$100,'15d'!$H$7:$H$100,$A275,'15d'!$I$7:$I$100,2)+SUMIFS('15e'!$N$7:$N$100,'15e'!$H$7:$H$100,$A275,'15e'!$I$7:$I$100,2)+SUMIFS('15f'!$N$7:$N$100,'15f'!$H$7:$H$100,$A275,'15f'!$I$7:$I$100,2)+SUMIFS('15g'!$N$7:$N$100,'15g'!$H$7:$H$100,$A275,'15g'!$I$7:$I$100,2)+SUMIFS('15h'!$N$7:$N$100,'15h'!$H$7:$H$100,$A275,'15h'!$I$7:$I$100,2)+SUMIFS('15i'!$N$7:$N$100,'15i'!$H$7:$H$100,$A275,'15i'!$I$7:$I$100,2)+SUMIFS('15j'!$N$7:$N$100,'15j'!$H$7:$H$100,$A275,'15j'!$I$7:$I$100,2)+SUMIFS('15k'!$N$7:$N$100,'15k'!$H$7:$H$100,$A275,'15k'!$I$7:$I$100,2)+SUMIFS('15l'!$N$7:$N$100,'15l'!$H$7:$H$100,$A275,'15l'!$I$7:$I$100,2)+SUMIFS('15m'!$N$7:$N$100,'15m'!$H$7:$H$100,$A275,'15m'!$I$7:$I$100,2)+SUMIFS('15n'!$N$7:$N$100,'15n'!$H$7:$H$100,$A275,'15n'!$I$7:$I$100,2)+SUMIFS('16'!$N$7:$N$100,'16'!$H$7:$H$100,$A275,'16'!$I$7:$I$100,2)+SUMIFS('16a'!$N$7:$N$100,'16a'!$H$7:$H$100,$A275,'16a'!$I$7:$I$100,2)+SUMIFS('17'!$N$7:$N$100,'17'!$H$7:$H$100,$A275,'17'!$I$7:$I$100,2)+SUMIFS('17a'!$N$7:$N$100,'17a'!$H$7:$H$100,$A275,'17a'!$I$7:$I$100,2)+SUMIFS('18'!$N$7:$N$100,'18'!$H$7:$H$100,$A275,'18'!$I$7:$I$100,2)+SUMIFS('18a'!$N$7:$N$100,'18a'!$H$7:$H$100,$A275,'18a'!$I$7:$I$100,2)
+SUMIFS('19'!$N$7:$N$100,'19'!$H$7:$H$100,$A275,'19'!$I$7:$I$100,2)+SUMIFS('20'!$N$7:$N$100,'20'!$H$7:$H$100,$A275,'20'!$I$7:$I$100,2)+SUMIFS('20a'!$N$7:$N$100,'20a'!$H$7:$H$100,$A275,'20a'!$I$7:$I$100,2)+SUMIFS('21'!$N$7:$N$100,'21'!$H$7:$H$100,$A275,'21'!$I$7:$I$100,2)+SUMIFS('22'!$N$7:$N$100,'22'!$H$7:$H$100,$A275,'22'!$I$7:$I$100,2)+SUMIFS('22a'!$N$7:$N$100,'22a'!$H$7:$H$100,$A275,'22a'!$I$7:$I$100,2)+SUMIFS('22b'!$N$7:$N$100,'22b'!$H$7:$H$100,$A275,'22b'!$I$7:$I$100,2)+SUMIFS('23'!$N$7:$N$100,'23'!$H$7:$H$100,$A275,'23'!$I$7:$I$100,2)+SUMIFS('24'!$N$7:$N$100,'24'!$H$7:$H$100,$A275,'24'!$I$7:$I$100,2)+SUMIFS('24a'!$N$7:$N$100,'24a'!$H$7:$H$100,$A275,'24a'!$I$7:$I$100,2)+SUMIFS('24b'!$N$7:$N$100,'24b'!$H$7:$H$100,$A275,'24b'!$I$7:$I$100,2)+SUMIFS('24c'!$N$7:$N$100,'24c'!$H$7:$H$100,$A275,'24c'!$I$7:$I$100,2)+SUMIFS('24d'!$N$7:$N$100,'24d'!$H$7:$H$100,$A275,'24d'!$I$7:$I$100,2)+SUMIFS('24e'!$N$7:$N$100,'24e'!$H$7:$H$100,$A275,'24e'!$I$7:$I$100,2)+SUMIFS('24f'!$N$7:$N$100,'24f'!$H$7:$H$100,$A275,'24f'!$I$7:$I$100,2)+SUMIFS('24g'!$N$7:$N$100,'24g'!$H$7:$H$100,$A275,'24g'!$I$7:$I$100,2)+SUMIFS('24h'!$N$7:$N$100,'24h'!$H$7:$H$100,$A275,'24h'!$I$7:$I$100,2)+SUMIFS('24i'!$N$7:$N$100,'24i'!$H$7:$H$100,$A275,'24i'!$I$7:$I$100,2)+SUMIFS('25'!$N$7:$N$100,'25'!$H$7:$H$100,$A275,'25'!$I$7:$I$100,2)+SUMIFS('26'!$N$7:$N$100,'26'!$H$7:$H$100,$A275,'26'!$I$7:$I$100,2)+SUMIFS('26a'!$N$7:$N$100,'26a'!$H$7:$H$100,$A275,'26a'!$I$7:$I$100,2)+SUMIFS('27'!$N$7:$N$100,'27'!$H$7:$H$100,$A275,'27'!$I$7:$I$100,2)+SUMIFS('27a'!$N$7:$N$100,'27a'!$H$7:$H$100,$A275,'27a'!$I$7:$I$100,2)+SUMIFS('28'!$N$7:$N$100,'28'!$H$7:$H$100,$A275,'28'!$I$7:$I$100,2)+SUMIFS('29'!$N$7:$N$100,'29'!$H$7:$H$100,$A275,'29'!$I$7:$I$100,2)</f>
        <v>0</v>
      </c>
      <c r="E275" s="1315">
        <f>SUMIFS('12'!$N$7:$N$100,'12'!$H$7:$H$100,$A275,'12'!$I$7:$I$100,"")+SUMIFS('13'!$N$7:$N$100,'13'!$H$7:$H$100,$A275,'13'!$I$7:$I$100,"")+SUMIFS('14'!$N$7:$N$100,'14'!$H$7:$H$100,$A275,'14'!$I$7:$I$100,"")+SUMIFS('15'!$N$7:$N$100,'15'!$H$7:$H$100,$A275,'15'!$I$7:$I$100,"")+SUMIFS('15a'!$N$7:$N$100,'15a'!$H$7:$H$100,$A275,'15a'!$I$7:$I$100,"")+SUMIFS('15b'!$N$7:$N$100,'15b'!$H$7:$H$100,$A275,'15b'!$I$7:$I$100,"")+SUMIFS('15c'!$N$7:$N$100,'15c'!$H$7:$H$100,$A275,'15c'!$I$7:$I$100,"")+SUMIFS('15d'!$N$7:$N$100,'15d'!$H$7:$H$100,$A275,'15d'!$I$7:$I$100,"")+SUMIFS('15e'!$N$7:$N$100,'15e'!$H$7:$H$100,$A275,'15e'!$I$7:$I$100,"")+SUMIFS('15f'!$N$7:$N$100,'15f'!$H$7:$H$100,$A275,'15f'!$I$7:$I$100,"")+SUMIFS('15g'!$N$7:$N$100,'15g'!$H$7:$H$100,$A275,'15g'!$I$7:$I$100,"")+SUMIFS('15h'!$N$7:$N$100,'15h'!$H$7:$H$100,$A275,'15h'!$I$7:$I$100,"")+SUMIFS('15i'!$N$7:$N$100,'15i'!$H$7:$H$100,$A275,'15i'!$I$7:$I$100,"")+SUMIFS('15j'!$N$7:$N$100,'15j'!$H$7:$H$100,$A275,'15j'!$I$7:$I$100,"")+SUMIFS('15k'!$N$7:$N$100,'15k'!$H$7:$H$100,$A275,'15k'!$I$7:$I$100,"")+SUMIFS('15l'!$N$7:$N$100,'15l'!$H$7:$H$100,$A275,'15l'!$I$7:$I$100,"")+SUMIFS('15m'!$N$7:$N$100,'15m'!$H$7:$H$100,$A275,'15m'!$I$7:$I$100,"")+SUMIFS('15n'!$N$7:$N$100,'15n'!$H$7:$H$100,$A275,'15n'!$I$7:$I$100,"")+SUMIFS('16'!$N$7:$N$100,'16'!$H$7:$H$100,$A275,'16'!$I$7:$I$100,"")+SUMIFS('16a'!$N$7:$N$100,'16a'!$H$7:$H$100,$A275,'16a'!$I$7:$I$100,"")+SUMIFS('17'!$N$7:$N$100,'17'!$H$7:$H$100,$A275,'17'!$I$7:$I$100,"")+SUMIFS('17a'!$N$7:$N$100,'17a'!$H$7:$H$100,$A275,'17a'!$I$7:$I$100,"")+SUMIFS('18'!$N$7:$N$100,'18'!$H$7:$H$100,$A275,'18'!$I$7:$I$100,"")+SUMIFS('18a'!$N$7:$N$100,'18a'!$H$7:$H$100,$A275,'18a'!$I$7:$I$100,"")
+SUMIFS('19'!$N$7:$N$100,'19'!$H$7:$H$100,$A275,'19'!$I$7:$I$100,"")+SUMIFS('20'!$N$7:$N$100,'20'!$H$7:$H$100,$A275,'20'!$I$7:$I$100,"")+SUMIFS('20a'!$N$7:$N$100,'20a'!$H$7:$H$100,$A275,'20a'!$I$7:$I$100,"")+SUMIFS('21'!$N$7:$N$100,'21'!$H$7:$H$100,$A275,'21'!$I$7:$I$100,"")+SUMIFS('22'!$N$7:$N$100,'22'!$H$7:$H$100,$A275,'22'!$I$7:$I$100,"")+SUMIFS('22a'!$N$7:$N$100,'22a'!$H$7:$H$100,$A275,'22a'!$I$7:$I$100,"")+SUMIFS('22b'!$N$7:$N$100,'22b'!$H$7:$H$100,$A275,'22b'!$I$7:$I$100,"")+SUMIFS('23'!$N$7:$N$100,'23'!$H$7:$H$100,$A275,'23'!$I$7:$I$100,"")+SUMIFS('24'!$N$7:$N$100,'24'!$H$7:$H$100,$A275,'24'!$I$7:$I$100,"")+SUMIFS('24a'!$N$7:$N$100,'24a'!$H$7:$H$100,$A275,'24a'!$I$7:$I$100,"")+SUMIFS('24b'!$N$7:$N$100,'24b'!$H$7:$H$100,$A275,'24b'!$I$7:$I$100,"")+SUMIFS('24c'!$N$7:$N$100,'24c'!$H$7:$H$100,$A275,'24c'!$I$7:$I$100,"")+SUMIFS('24d'!$N$7:$N$100,'24d'!$H$7:$H$100,$A275,'24d'!$I$7:$I$100,"")+SUMIFS('24e'!$N$7:$N$100,'24e'!$H$7:$H$100,$A275,'24e'!$I$7:$I$100,"")+SUMIFS('24f'!$N$7:$N$100,'24f'!$H$7:$H$100,$A275,'24f'!$I$7:$I$100,"")+SUMIFS('24g'!$N$7:$N$100,'24g'!$H$7:$H$100,$A275,'24g'!$I$7:$I$100,"")+SUMIFS('24h'!$N$7:$N$100,'24h'!$H$7:$H$100,$A275,'24h'!$I$7:$I$100,"")+SUMIFS('24i'!$N$7:$N$100,'24i'!$H$7:$H$100,$A275,'24i'!$I$7:$I$100,"")+SUMIFS('25'!$N$7:$N$100,'25'!$H$7:$H$100,$A275,'25'!$I$7:$I$100,"")+SUMIFS('26'!$N$7:$N$100,'26'!$H$7:$H$100,$A275,'26'!$I$7:$I$100,"")+SUMIFS('26a'!$N$7:$N$100,'26a'!$H$7:$H$100,$A275,'26a'!$I$7:$I$100,"")+SUMIFS('27'!$N$7:$N$100,'27'!$H$7:$H$100,$A275,'27'!$I$7:$I$100,"")+SUMIFS('27a'!$N$7:$N$100,'27a'!$H$7:$H$100,$A275,'27a'!$I$7:$I$100,"")+SUMIFS('28'!$N$7:$N$100,'28'!$H$7:$H$100,$A275,'28'!$I$7:$I$100,"")+SUMIFS('29'!$N$7:$N$100,'29'!$H$7:$H$100,$A275,'29'!$I$7:$I$100,"")</f>
        <v>0</v>
      </c>
      <c r="F275" s="1296">
        <f t="shared" si="28"/>
        <v>0</v>
      </c>
      <c r="G275" s="1295">
        <f>SUMIFS('12'!$J$7:$J$100,'12'!$H$7:$H$100,$A275,'12'!$I$7:$I$100,1)+SUMIFS('13'!$J$7:$J$100,'13'!$H$7:$H$100,$A275,'13'!$I$7:$I$100,1)+SUMIFS('14'!$J$7:$J$100,'14'!$H$7:$H$100,$A275,'14'!$I$7:$I$100,1)+SUMIFS('15'!$J$7:$J$100,'15'!$H$7:$H$100,$A275,'15'!$I$7:$I$100,1)+SUMIFS('15a'!$J$7:$J$100,'15a'!$H$7:$H$100,$A275,'15a'!$I$7:$I$100,1)+SUMIFS('15b'!$J$7:$J$100,'15b'!$H$7:$H$100,$A275,'15b'!$I$7:$I$100,1)+SUMIFS('15c'!$J$7:$J$100,'15c'!$H$7:$H$100,$A275,'15c'!$I$7:$I$100,1)+SUMIFS('15d'!$J$7:$J$100,'15d'!$H$7:$H$100,$A275,'15d'!$I$7:$I$100,1)+SUMIFS('15e'!$J$7:$J$100,'15e'!$H$7:$H$100,$A275,'15e'!$I$7:$I$100,1)+SUMIFS('15f'!$J$7:$J$100,'15f'!$H$7:$H$100,$A275,'15f'!$I$7:$I$100,1)+SUMIFS('15g'!$J$7:$J$100,'15g'!$H$7:$H$100,$A275,'15g'!$I$7:$I$100,1)+SUMIFS('15h'!$J$7:$J$100,'15h'!$H$7:$H$100,$A275,'15h'!$I$7:$I$100,1)+SUMIFS('15i'!$J$7:$J$100,'15i'!$H$7:$H$100,$A275,'15i'!$I$7:$I$100,1)+SUMIFS('15j'!$J$7:$J$100,'15j'!$H$7:$H$100,$A275,'15j'!$I$7:$I$100,1)+SUMIFS('15k'!$J$7:$J$100,'15k'!$H$7:$H$100,$A275,'15k'!$I$7:$I$100,1)+SUMIFS('15l'!$J$7:$J$100,'15l'!$H$7:$H$100,$A275,'15l'!$I$7:$I$100,1)+SUMIFS('15m'!$J$7:$J$100,'15m'!$H$7:$H$100,$A275,'15m'!$I$7:$I$100,1)+SUMIFS('15n'!$J$7:$J$100,'15n'!$H$7:$H$100,$A275,'15n'!$I$7:$I$100,1)+SUMIFS('16'!$J$7:$J$100,'16'!$H$7:$H$100,$A275,'16'!$I$7:$I$100,1)+SUMIFS('16a'!$J$7:$J$100,'16a'!$H$7:$H$100,$A275,'16a'!$I$7:$I$100,1)+SUMIFS('17'!$J$7:$J$100,'17'!$H$7:$H$100,$A275,'17'!$I$7:$I$100,1)+SUMIFS('17a'!$J$7:$J$100,'17a'!$H$7:$H$100,$A275,'17a'!$I$7:$I$100,1)+SUMIFS('18'!$J$7:$J$100,'18'!$H$7:$H$100,$A275,'18'!$I$7:$I$100,1)+SUMIFS('18a'!$J$7:$J$100,'18a'!$H$7:$H$100,$A275,'18a'!$I$7:$I$100,1)
+SUMIFS('19'!$J$7:$J$100,'19'!$H$7:$H$100,$A275,'19'!$I$7:$I$100,1)+SUMIFS('20'!$J$7:$J$100,'20'!$H$7:$H$100,$A275,'20'!$I$7:$I$100,1)+SUMIFS('20a'!$J$7:$J$100,'20a'!$H$7:$H$100,$A275,'20a'!$I$7:$I$100,1)+SUMIFS('21'!$J$7:$J$100,'21'!$H$7:$H$100,$A275,'21'!$I$7:$I$100,1)+SUMIFS('22'!$J$7:$J$100,'22'!$H$7:$H$100,$A275,'22'!$I$7:$I$100,1)+SUMIFS('22a'!$J$7:$J$100,'22a'!$H$7:$H$100,$A275,'22a'!$I$7:$I$100,1)+SUMIFS('22b'!$J$7:$J$100,'22b'!$H$7:$H$100,$A275,'22b'!$I$7:$I$100,1)+SUMIFS('23'!$J$7:$J$100,'23'!$H$7:$H$100,$A275,'23'!$I$7:$I$100,1)+SUMIFS('24'!$J$7:$J$100,'24'!$H$7:$H$100,$A275,'24'!$I$7:$I$100,1)+SUMIFS('24a'!$J$7:$J$100,'24a'!$H$7:$H$100,$A275,'24a'!$I$7:$I$100,1)+SUMIFS('24b'!$J$7:$J$100,'24b'!$H$7:$H$100,$A275,'24b'!$I$7:$I$100,1)+SUMIFS('24c'!$J$7:$J$100,'24c'!$H$7:$H$100,$A275,'24c'!$I$7:$I$100,1)+SUMIFS('24d'!$J$7:$J$100,'24d'!$H$7:$H$100,$A275,'24d'!$I$7:$I$100,1)+SUMIFS('24e'!$J$7:$J$100,'24e'!$H$7:$H$100,$A275,'24e'!$I$7:$I$100,1)+SUMIFS('24f'!$J$7:$J$100,'24f'!$H$7:$H$100,$A275,'24f'!$I$7:$I$100,1)+SUMIFS('24g'!$J$7:$J$100,'24g'!$H$7:$H$100,$A275,'24g'!$I$7:$I$100,1)+SUMIFS('24h'!$J$7:$J$100,'24h'!$H$7:$H$100,$A275,'24h'!$I$7:$I$100,1)+SUMIFS('24i'!$J$7:$J$100,'24i'!$H$7:$H$100,$A275,'24i'!$I$7:$I$100,1)+SUMIFS('25'!$J$7:$J$100,'25'!$H$7:$H$100,$A275,'25'!$I$7:$I$100,1)+SUMIFS('26'!$J$7:$J$100,'26'!$H$7:$H$100,$A275,'26'!$I$7:$I$100,1)+SUMIFS('26a'!$J$7:$J$100,'26a'!$H$7:$H$100,$A275,'26a'!$I$7:$I$100,1)+SUMIFS('27'!$J$7:$J$100,'27'!$H$7:$H$100,$A275,'27'!$I$7:$I$100,1)+SUMIFS('27a'!$J$7:$J$100,'27a'!$H$7:$H$100,$A275,'27a'!$I$7:$I$100,1)+SUMIFS('28'!$J$7:$J$100,'28'!$H$7:$H$100,$A275,'28'!$I$7:$I$100,1)+SUMIFS('29'!$J$7:$J$100,'29'!$H$7:$H$100,$A275,'29'!$I$7:$I$100,1)</f>
        <v>0</v>
      </c>
      <c r="H275" s="1315">
        <f>SUMIFS('12'!$J$7:$J$100,'12'!$H$7:$H$100,$A275,'12'!$I$7:$I$100,2)+SUMIFS('13'!$J$7:$J$100,'13'!$H$7:$H$100,$A275,'13'!$I$7:$I$100,2)+SUMIFS('14'!$J$7:$J$100,'14'!$H$7:$H$100,$A275,'14'!$I$7:$I$100,2)+SUMIFS('15'!$J$7:$J$100,'15'!$H$7:$H$100,$A275,'15'!$I$7:$I$100,2)+SUMIFS('15a'!$J$7:$J$100,'15a'!$H$7:$H$100,$A275,'15a'!$I$7:$I$100,2)+SUMIFS('15b'!$J$7:$J$100,'15b'!$H$7:$H$100,$A275,'15b'!$I$7:$I$100,2)+SUMIFS('15c'!$J$7:$J$100,'15c'!$H$7:$H$100,$A275,'15c'!$I$7:$I$100,2)+SUMIFS('15d'!$J$7:$J$100,'15d'!$H$7:$H$100,$A275,'15d'!$I$7:$I$100,2)+SUMIFS('15e'!$J$7:$J$100,'15e'!$H$7:$H$100,$A275,'15e'!$I$7:$I$100,2)+SUMIFS('15f'!$J$7:$J$100,'15f'!$H$7:$H$100,$A275,'15f'!$I$7:$I$100,2)+SUMIFS('15g'!$J$7:$J$100,'15g'!$H$7:$H$100,$A275,'15g'!$I$7:$I$100,2)+SUMIFS('15h'!$J$7:$J$100,'15h'!$H$7:$H$100,$A275,'15h'!$I$7:$I$100,2)+SUMIFS('15i'!$J$7:$J$100,'15i'!$H$7:$H$100,$A275,'15i'!$I$7:$I$100,2)+SUMIFS('15j'!$J$7:$J$100,'15j'!$H$7:$H$100,$A275,'15j'!$I$7:$I$100,2)+SUMIFS('15k'!$J$7:$J$100,'15k'!$H$7:$H$100,$A275,'15k'!$I$7:$I$100,2)+SUMIFS('15l'!$J$7:$J$100,'15l'!$H$7:$H$100,$A275,'15l'!$I$7:$I$100,2)+SUMIFS('15m'!$J$7:$J$100,'15m'!$H$7:$H$100,$A275,'15m'!$I$7:$I$100,2)+SUMIFS('15n'!$J$7:$J$100,'15n'!$H$7:$H$100,$A275,'15n'!$I$7:$I$100,2)+SUMIFS('16'!$J$7:$J$100,'16'!$H$7:$H$100,$A275,'16'!$I$7:$I$100,2)+SUMIFS('16a'!$J$7:$J$100,'16a'!$H$7:$H$100,$A275,'16a'!$I$7:$I$100,2)+SUMIFS('17'!$J$7:$J$100,'17'!$H$7:$H$100,$A275,'17'!$I$7:$I$100,2)+SUMIFS('17a'!$J$7:$J$100,'17a'!$H$7:$H$100,$A275,'17a'!$I$7:$I$100,2)+SUMIFS('18'!$J$7:$J$100,'18'!$H$7:$H$100,$A275,'18'!$I$7:$I$100,2)+SUMIFS('18a'!$J$7:$J$100,'18a'!$H$7:$H$100,$A275,'18a'!$I$7:$I$100,2)
+SUMIFS('19'!$J$7:$J$100,'19'!$H$7:$H$100,$A275,'19'!$I$7:$I$100,2)+SUMIFS('20'!$J$7:$J$100,'20'!$H$7:$H$100,$A275,'20'!$I$7:$I$100,2)+SUMIFS('20a'!$J$7:$J$100,'20a'!$H$7:$H$100,$A275,'20a'!$I$7:$I$100,2)+SUMIFS('21'!$J$7:$J$100,'21'!$H$7:$H$100,$A275,'21'!$I$7:$I$100,2)+SUMIFS('22'!$J$7:$J$100,'22'!$H$7:$H$100,$A275,'22'!$I$7:$I$100,2)+SUMIFS('22a'!$J$7:$J$100,'22a'!$H$7:$H$100,$A275,'22a'!$I$7:$I$100,2)+SUMIFS('22b'!$J$7:$J$100,'22b'!$H$7:$H$100,$A275,'22b'!$I$7:$I$100,2)+SUMIFS('23'!$J$7:$J$100,'23'!$H$7:$H$100,$A275,'23'!$I$7:$I$100,2)+SUMIFS('24'!$J$7:$J$100,'24'!$H$7:$H$100,$A275,'24'!$I$7:$I$100,2)+SUMIFS('24a'!$J$7:$J$100,'24a'!$H$7:$H$100,$A275,'24a'!$I$7:$I$100,2)+SUMIFS('24b'!$J$7:$J$100,'24b'!$H$7:$H$100,$A275,'24b'!$I$7:$I$100,2)+SUMIFS('24c'!$J$7:$J$100,'24c'!$H$7:$H$100,$A275,'24c'!$I$7:$I$100,2)+SUMIFS('24d'!$J$7:$J$100,'24d'!$H$7:$H$100,$A275,'24d'!$I$7:$I$100,2)+SUMIFS('24e'!$J$7:$J$100,'24e'!$H$7:$H$100,$A275,'24e'!$I$7:$I$100,2)+SUMIFS('24f'!$J$7:$J$100,'24f'!$H$7:$H$100,$A275,'24f'!$I$7:$I$100,2)+SUMIFS('24g'!$J$7:$J$100,'24g'!$H$7:$H$100,$A275,'24g'!$I$7:$I$100,2)+SUMIFS('24h'!$J$7:$J$100,'24h'!$H$7:$H$100,$A275,'24h'!$I$7:$I$100,2)+SUMIFS('24i'!$J$7:$J$100,'24i'!$H$7:$H$100,$A275,'24i'!$I$7:$I$100,2)+SUMIFS('25'!$J$7:$J$100,'25'!$H$7:$H$100,$A275,'25'!$I$7:$I$100,2)+SUMIFS('26'!$J$7:$J$100,'26'!$H$7:$H$100,$A275,'26'!$I$7:$I$100,2)+SUMIFS('26a'!$J$7:$J$100,'26a'!$H$7:$H$100,$A275,'26a'!$I$7:$I$100,2)+SUMIFS('27'!$J$7:$J$100,'27'!$H$7:$H$100,$A275,'27'!$I$7:$I$100,2)+SUMIFS('27a'!$J$7:$J$100,'27a'!$H$7:$H$100,$A275,'27a'!$I$7:$I$100,2)+SUMIFS('28'!$J$7:$J$100,'28'!$H$7:$H$100,$A275,'28'!$I$7:$I$100,2)+SUMIFS('29'!$J$7:$J$100,'29'!$H$7:$H$100,$A275,'29'!$I$7:$I$100,2)</f>
        <v>0</v>
      </c>
      <c r="I275" s="1315">
        <f>SUMIFS('12'!$J$7:$J$100,'12'!$H$7:$H$100,$A275,'12'!$I$7:$I$100,"")+SUMIFS('13'!$J$7:$J$100,'13'!$H$7:$H$100,$A275,'13'!$I$7:$I$100,"")+SUMIFS('14'!$J$7:$J$100,'14'!$H$7:$H$100,$A275,'14'!$I$7:$I$100,"")+SUMIFS('15'!$J$7:$J$100,'15'!$H$7:$H$100,$A275,'15'!$I$7:$I$100,"")+SUMIFS('15a'!$J$7:$J$100,'15a'!$H$7:$H$100,$A275,'15a'!$I$7:$I$100,"")+SUMIFS('15b'!$J$7:$J$100,'15b'!$H$7:$H$100,$A275,'15b'!$I$7:$I$100,"")+SUMIFS('15c'!$J$7:$J$100,'15c'!$H$7:$H$100,$A275,'15c'!$I$7:$I$100,"")+SUMIFS('15d'!$J$7:$J$100,'15d'!$H$7:$H$100,$A275,'15d'!$I$7:$I$100,"")+SUMIFS('15e'!$J$7:$J$100,'15e'!$H$7:$H$100,$A275,'15e'!$I$7:$I$100,"")+SUMIFS('15f'!$J$7:$J$100,'15f'!$H$7:$H$100,$A275,'15f'!$I$7:$I$100,"")+SUMIFS('15g'!$J$7:$J$100,'15g'!$H$7:$H$100,$A275,'15g'!$I$7:$I$100,"")+SUMIFS('15h'!$J$7:$J$100,'15h'!$H$7:$H$100,$A275,'15h'!$I$7:$I$100,"")+SUMIFS('15i'!$J$7:$J$100,'15i'!$H$7:$H$100,$A275,'15i'!$I$7:$I$100,"")+SUMIFS('15j'!$J$7:$J$100,'15j'!$H$7:$H$100,$A275,'15j'!$I$7:$I$100,"")+SUMIFS('15k'!$J$7:$J$100,'15k'!$H$7:$H$100,$A275,'15k'!$I$7:$I$100,"")+SUMIFS('15l'!$J$7:$J$100,'15l'!$H$7:$H$100,$A275,'15l'!$I$7:$I$100,"")+SUMIFS('15m'!$J$7:$J$100,'15m'!$H$7:$H$100,$A275,'15m'!$I$7:$I$100,"")+SUMIFS('15n'!$J$7:$J$100,'15n'!$H$7:$H$100,$A275,'15n'!$I$7:$I$100,"")+SUMIFS('16'!$J$7:$J$100,'16'!$H$7:$H$100,$A275,'16'!$I$7:$I$100,"")+SUMIFS('16a'!$J$7:$J$100,'16a'!$H$7:$H$100,$A275,'16a'!$I$7:$I$100,"")+SUMIFS('17'!$J$7:$J$100,'17'!$H$7:$H$100,$A275,'17'!$I$7:$I$100,"")+SUMIFS('17a'!$J$7:$J$100,'17a'!$H$7:$H$100,$A275,'17a'!$I$7:$I$100,"")+SUMIFS('18'!$J$7:$J$100,'18'!$H$7:$H$100,$A275,'18'!$I$7:$I$100,"")+SUMIFS('18a'!$J$7:$J$100,'18a'!$H$7:$H$100,$A275,'18a'!$I$7:$I$100,"")
+SUMIFS('19'!$J$7:$J$100,'19'!$H$7:$H$100,$A275,'19'!$I$7:$I$100,"")+SUMIFS('20'!$J$7:$J$100,'20'!$H$7:$H$100,$A275,'20'!$I$7:$I$100,"")+SUMIFS('20a'!$J$7:$J$100,'20a'!$H$7:$H$100,$A275,'20a'!$I$7:$I$100,"")+SUMIFS('21'!$J$7:$J$100,'21'!$H$7:$H$100,$A275,'21'!$I$7:$I$100,"")+SUMIFS('22'!$J$7:$J$100,'22'!$H$7:$H$100,$A275,'22'!$I$7:$I$100,"")+SUMIFS('22a'!$J$7:$J$100,'22a'!$H$7:$H$100,$A275,'22a'!$I$7:$I$100,"")+SUMIFS('22b'!$J$7:$J$100,'22b'!$H$7:$H$100,$A275,'22b'!$I$7:$I$100,"")+SUMIFS('23'!$J$7:$J$100,'23'!$H$7:$H$100,$A275,'23'!$I$7:$I$100,"")+SUMIFS('24'!$J$7:$J$100,'24'!$H$7:$H$100,$A275,'24'!$I$7:$I$100,"")+SUMIFS('24a'!$J$7:$J$100,'24a'!$H$7:$H$100,$A275,'24a'!$I$7:$I$100,"")+SUMIFS('24b'!$J$7:$J$100,'24b'!$H$7:$H$100,$A275,'24b'!$I$7:$I$100,"")+SUMIFS('24c'!$J$7:$J$100,'24c'!$H$7:$H$100,$A275,'24c'!$I$7:$I$100,"")+SUMIFS('24d'!$J$7:$J$100,'24d'!$H$7:$H$100,$A275,'24d'!$I$7:$I$100,"")+SUMIFS('24e'!$J$7:$J$100,'24e'!$H$7:$H$100,$A275,'24e'!$I$7:$I$100,"")+SUMIFS('24f'!$J$7:$J$100,'24f'!$H$7:$H$100,$A275,'24f'!$I$7:$I$100,"")+SUMIFS('24g'!$J$7:$J$100,'24g'!$H$7:$H$100,$A275,'24g'!$I$7:$I$100,"")+SUMIFS('24h'!$J$7:$J$100,'24h'!$H$7:$H$100,$A275,'24h'!$I$7:$I$100,"")+SUMIFS('24i'!$J$7:$J$100,'24i'!$H$7:$H$100,$A275,'24i'!$I$7:$I$100,"")+SUMIFS('25'!$J$7:$J$100,'25'!$H$7:$H$100,$A275,'25'!$I$7:$I$100,"")+SUMIFS('26'!$J$7:$J$100,'26'!$H$7:$H$100,$A275,'26'!$I$7:$I$100,"")+SUMIFS('26a'!$J$7:$J$100,'26a'!$H$7:$H$100,$A275,'26a'!$I$7:$I$100,"")+SUMIFS('27'!$J$7:$J$100,'27'!$H$7:$H$100,$A275,'27'!$I$7:$I$100,"")+SUMIFS('27a'!$J$7:$J$100,'27a'!$H$7:$H$100,$A275,'27a'!$I$7:$I$100,"")+SUMIFS('28'!$J$7:$J$100,'28'!$H$7:$H$100,$A275,'28'!$I$7:$I$100,"")+SUMIFS('29'!$J$7:$J$100,'29'!$H$7:$H$100,$A275,'29'!$I$7:$I$100,"")</f>
        <v>0</v>
      </c>
      <c r="J275" s="1296">
        <f t="shared" si="29"/>
        <v>0</v>
      </c>
      <c r="K275"/>
      <c r="L275"/>
      <c r="M275"/>
      <c r="N275"/>
      <c r="O275"/>
      <c r="P275"/>
      <c r="Q275"/>
      <c r="R275"/>
      <c r="S275" s="1307">
        <f t="shared" si="14"/>
        <v>0</v>
      </c>
      <c r="T275"/>
    </row>
    <row r="276" spans="1:20" x14ac:dyDescent="0.2">
      <c r="A276" t="s">
        <v>5186</v>
      </c>
      <c r="B276" t="s">
        <v>5511</v>
      </c>
      <c r="C276" s="1295">
        <f>SUMIFS('12'!$N$7:$N$100,'12'!$H$7:$H$100,$A276,'12'!$I$7:$I$100,1)+SUMIFS('13'!$N$7:$N$100,'13'!$H$7:$H$100,$A276,'13'!$I$7:$I$100,1)+SUMIFS('14'!$N$7:$N$100,'14'!$H$7:$H$100,$A276,'14'!$I$7:$I$100,1)+SUMIFS('15'!$N$7:$N$100,'15'!$H$7:$H$100,$A276,'15'!$I$7:$I$100,1)+SUMIFS('15a'!$N$7:$N$100,'15a'!$H$7:$H$100,$A276,'15a'!$I$7:$I$100,1)+SUMIFS('15b'!$N$7:$N$100,'15b'!$H$7:$H$100,$A276,'15b'!$I$7:$I$100,1)+SUMIFS('15c'!$N$7:$N$100,'15c'!$H$7:$H$100,$A276,'15c'!$I$7:$I$100,1)+SUMIFS('15d'!$N$7:$N$100,'15d'!$H$7:$H$100,$A276,'15d'!$I$7:$I$100,1)+SUMIFS('15e'!$N$7:$N$100,'15e'!$H$7:$H$100,$A276,'15e'!$I$7:$I$100,1)+SUMIFS('15f'!$N$7:$N$100,'15f'!$H$7:$H$100,$A276,'15f'!$I$7:$I$100,1)+SUMIFS('15g'!$N$7:$N$100,'15g'!$H$7:$H$100,$A276,'15g'!$I$7:$I$100,1)+SUMIFS('15h'!$N$7:$N$100,'15h'!$H$7:$H$100,$A276,'15h'!$I$7:$I$100,1)+SUMIFS('15i'!$N$7:$N$100,'15i'!$H$7:$H$100,$A276,'15i'!$I$7:$I$100,1)+SUMIFS('15j'!$N$7:$N$100,'15j'!$H$7:$H$100,$A276,'15j'!$I$7:$I$100,1)+SUMIFS('15k'!$N$7:$N$100,'15k'!$H$7:$H$100,$A276,'15k'!$I$7:$I$100,1)+SUMIFS('15l'!$N$7:$N$100,'15l'!$H$7:$H$100,$A276,'15l'!$I$7:$I$100,1)+SUMIFS('15m'!$N$7:$N$100,'15m'!$H$7:$H$100,$A276,'15m'!$I$7:$I$100,1)+SUMIFS('15n'!$N$7:$N$100,'15n'!$H$7:$H$100,$A276,'15n'!$I$7:$I$100,1)+SUMIFS('16'!$N$7:$N$100,'16'!$H$7:$H$100,$A276,'16'!$I$7:$I$100,1)+SUMIFS('16a'!$N$7:$N$100,'16a'!$H$7:$H$100,$A276,'16a'!$I$7:$I$100,1)+SUMIFS('17'!$N$7:$N$100,'17'!$H$7:$H$100,$A276,'17'!$I$7:$I$100,1)+SUMIFS('17a'!$N$7:$N$100,'17a'!$H$7:$H$100,$A276,'17a'!$I$7:$I$100,1)+SUMIFS('18'!$N$7:$N$100,'18'!$H$7:$H$100,$A276,'18'!$I$7:$I$100,1)+SUMIFS('18a'!$N$7:$N$100,'18a'!$H$7:$H$100,$A276,'18a'!$I$7:$I$100,1)
+SUMIFS('19'!$N$7:$N$100,'19'!$H$7:$H$100,$A276,'19'!$I$7:$I$100,1)+SUMIFS('20'!$N$7:$N$100,'20'!$H$7:$H$100,$A276,'20'!$I$7:$I$100,1)+SUMIFS('20a'!$N$7:$N$100,'20a'!$H$7:$H$100,$A276,'20a'!$I$7:$I$100,1)+SUMIFS('21'!$N$7:$N$100,'21'!$H$7:$H$100,$A276,'21'!$I$7:$I$100,1)+SUMIFS('22'!$N$7:$N$100,'22'!$H$7:$H$100,$A276,'22'!$I$7:$I$100,1)+SUMIFS('22a'!$N$7:$N$100,'22a'!$H$7:$H$100,$A276,'22a'!$I$7:$I$100,1)+SUMIFS('22b'!$N$7:$N$100,'22b'!$H$7:$H$100,$A276,'22b'!$I$7:$I$100,1)+SUMIFS('23'!$N$7:$N$100,'23'!$H$7:$H$100,$A276,'23'!$I$7:$I$100,1)+SUMIFS('24'!$N$7:$N$100,'24'!$H$7:$H$100,$A276,'24'!$I$7:$I$100,1)+SUMIFS('24a'!$N$7:$N$100,'24a'!$H$7:$H$100,$A276,'24a'!$I$7:$I$100,1)+SUMIFS('24b'!$N$7:$N$100,'24b'!$H$7:$H$100,$A276,'24b'!$I$7:$I$100,1)+SUMIFS('24c'!$N$7:$N$100,'24c'!$H$7:$H$100,$A276,'24c'!$I$7:$I$100,1)+SUMIFS('24d'!$N$7:$N$100,'24d'!$H$7:$H$100,$A276,'24d'!$I$7:$I$100,1)+SUMIFS('24e'!$N$7:$N$100,'24e'!$H$7:$H$100,$A276,'24e'!$I$7:$I$100,1)+SUMIFS('24f'!$N$7:$N$100,'24f'!$H$7:$H$100,$A276,'24f'!$I$7:$I$100,1)+SUMIFS('24g'!$N$7:$N$100,'24g'!$H$7:$H$100,$A276,'24g'!$I$7:$I$100,1)+SUMIFS('24h'!$N$7:$N$100,'24h'!$H$7:$H$100,$A276,'24h'!$I$7:$I$100,1)+SUMIFS('24i'!$N$7:$N$100,'24i'!$H$7:$H$100,$A276,'24i'!$I$7:$I$100,1)+SUMIFS('25'!$N$7:$N$100,'25'!$H$7:$H$100,$A276,'25'!$I$7:$I$100,1)+SUMIFS('26'!$N$7:$N$100,'26'!$H$7:$H$100,$A276,'26'!$I$7:$I$100,1)+SUMIFS('26a'!$N$7:$N$100,'26a'!$H$7:$H$100,$A276,'26a'!$I$7:$I$100,1)+SUMIFS('27'!$N$7:$N$100,'27'!$H$7:$H$100,$A276,'27'!$I$7:$I$100,1)+SUMIFS('27a'!$N$7:$N$100,'27a'!$H$7:$H$100,$A276,'27a'!$I$7:$I$100,1)+SUMIFS('28'!$N$7:$N$100,'28'!$H$7:$H$100,$A276,'28'!$I$7:$I$100,1)+SUMIFS('29'!$N$7:$N$100,'29'!$H$7:$H$100,$A276,'29'!$I$7:$I$100,1)</f>
        <v>0</v>
      </c>
      <c r="D276" s="1315">
        <f>SUMIFS('12'!$N$7:$N$100,'12'!$H$7:$H$100,$A276,'12'!$I$7:$I$100,2)+SUMIFS('13'!$N$7:$N$100,'13'!$H$7:$H$100,$A276,'13'!$I$7:$I$100,2)+SUMIFS('14'!$N$7:$N$100,'14'!$H$7:$H$100,$A276,'14'!$I$7:$I$100,2)+SUMIFS('15'!$N$7:$N$100,'15'!$H$7:$H$100,$A276,'15'!$I$7:$I$100,2)+SUMIFS('15a'!$N$7:$N$100,'15a'!$H$7:$H$100,$A276,'15a'!$I$7:$I$100,2)+SUMIFS('15b'!$N$7:$N$100,'15b'!$H$7:$H$100,$A276,'15b'!$I$7:$I$100,2)+SUMIFS('15c'!$N$7:$N$100,'15c'!$H$7:$H$100,$A276,'15c'!$I$7:$I$100,2)+SUMIFS('15d'!$N$7:$N$100,'15d'!$H$7:$H$100,$A276,'15d'!$I$7:$I$100,2)+SUMIFS('15e'!$N$7:$N$100,'15e'!$H$7:$H$100,$A276,'15e'!$I$7:$I$100,2)+SUMIFS('15f'!$N$7:$N$100,'15f'!$H$7:$H$100,$A276,'15f'!$I$7:$I$100,2)+SUMIFS('15g'!$N$7:$N$100,'15g'!$H$7:$H$100,$A276,'15g'!$I$7:$I$100,2)+SUMIFS('15h'!$N$7:$N$100,'15h'!$H$7:$H$100,$A276,'15h'!$I$7:$I$100,2)+SUMIFS('15i'!$N$7:$N$100,'15i'!$H$7:$H$100,$A276,'15i'!$I$7:$I$100,2)+SUMIFS('15j'!$N$7:$N$100,'15j'!$H$7:$H$100,$A276,'15j'!$I$7:$I$100,2)+SUMIFS('15k'!$N$7:$N$100,'15k'!$H$7:$H$100,$A276,'15k'!$I$7:$I$100,2)+SUMIFS('15l'!$N$7:$N$100,'15l'!$H$7:$H$100,$A276,'15l'!$I$7:$I$100,2)+SUMIFS('15m'!$N$7:$N$100,'15m'!$H$7:$H$100,$A276,'15m'!$I$7:$I$100,2)+SUMIFS('15n'!$N$7:$N$100,'15n'!$H$7:$H$100,$A276,'15n'!$I$7:$I$100,2)+SUMIFS('16'!$N$7:$N$100,'16'!$H$7:$H$100,$A276,'16'!$I$7:$I$100,2)+SUMIFS('16a'!$N$7:$N$100,'16a'!$H$7:$H$100,$A276,'16a'!$I$7:$I$100,2)+SUMIFS('17'!$N$7:$N$100,'17'!$H$7:$H$100,$A276,'17'!$I$7:$I$100,2)+SUMIFS('17a'!$N$7:$N$100,'17a'!$H$7:$H$100,$A276,'17a'!$I$7:$I$100,2)+SUMIFS('18'!$N$7:$N$100,'18'!$H$7:$H$100,$A276,'18'!$I$7:$I$100,2)+SUMIFS('18a'!$N$7:$N$100,'18a'!$H$7:$H$100,$A276,'18a'!$I$7:$I$100,2)
+SUMIFS('19'!$N$7:$N$100,'19'!$H$7:$H$100,$A276,'19'!$I$7:$I$100,2)+SUMIFS('20'!$N$7:$N$100,'20'!$H$7:$H$100,$A276,'20'!$I$7:$I$100,2)+SUMIFS('20a'!$N$7:$N$100,'20a'!$H$7:$H$100,$A276,'20a'!$I$7:$I$100,2)+SUMIFS('21'!$N$7:$N$100,'21'!$H$7:$H$100,$A276,'21'!$I$7:$I$100,2)+SUMIFS('22'!$N$7:$N$100,'22'!$H$7:$H$100,$A276,'22'!$I$7:$I$100,2)+SUMIFS('22a'!$N$7:$N$100,'22a'!$H$7:$H$100,$A276,'22a'!$I$7:$I$100,2)+SUMIFS('22b'!$N$7:$N$100,'22b'!$H$7:$H$100,$A276,'22b'!$I$7:$I$100,2)+SUMIFS('23'!$N$7:$N$100,'23'!$H$7:$H$100,$A276,'23'!$I$7:$I$100,2)+SUMIFS('24'!$N$7:$N$100,'24'!$H$7:$H$100,$A276,'24'!$I$7:$I$100,2)+SUMIFS('24a'!$N$7:$N$100,'24a'!$H$7:$H$100,$A276,'24a'!$I$7:$I$100,2)+SUMIFS('24b'!$N$7:$N$100,'24b'!$H$7:$H$100,$A276,'24b'!$I$7:$I$100,2)+SUMIFS('24c'!$N$7:$N$100,'24c'!$H$7:$H$100,$A276,'24c'!$I$7:$I$100,2)+SUMIFS('24d'!$N$7:$N$100,'24d'!$H$7:$H$100,$A276,'24d'!$I$7:$I$100,2)+SUMIFS('24e'!$N$7:$N$100,'24e'!$H$7:$H$100,$A276,'24e'!$I$7:$I$100,2)+SUMIFS('24f'!$N$7:$N$100,'24f'!$H$7:$H$100,$A276,'24f'!$I$7:$I$100,2)+SUMIFS('24g'!$N$7:$N$100,'24g'!$H$7:$H$100,$A276,'24g'!$I$7:$I$100,2)+SUMIFS('24h'!$N$7:$N$100,'24h'!$H$7:$H$100,$A276,'24h'!$I$7:$I$100,2)+SUMIFS('24i'!$N$7:$N$100,'24i'!$H$7:$H$100,$A276,'24i'!$I$7:$I$100,2)+SUMIFS('25'!$N$7:$N$100,'25'!$H$7:$H$100,$A276,'25'!$I$7:$I$100,2)+SUMIFS('26'!$N$7:$N$100,'26'!$H$7:$H$100,$A276,'26'!$I$7:$I$100,2)+SUMIFS('26a'!$N$7:$N$100,'26a'!$H$7:$H$100,$A276,'26a'!$I$7:$I$100,2)+SUMIFS('27'!$N$7:$N$100,'27'!$H$7:$H$100,$A276,'27'!$I$7:$I$100,2)+SUMIFS('27a'!$N$7:$N$100,'27a'!$H$7:$H$100,$A276,'27a'!$I$7:$I$100,2)+SUMIFS('28'!$N$7:$N$100,'28'!$H$7:$H$100,$A276,'28'!$I$7:$I$100,2)+SUMIFS('29'!$N$7:$N$100,'29'!$H$7:$H$100,$A276,'29'!$I$7:$I$100,2)</f>
        <v>0</v>
      </c>
      <c r="E276" s="1315">
        <f>SUMIFS('12'!$N$7:$N$100,'12'!$H$7:$H$100,$A276,'12'!$I$7:$I$100,"")+SUMIFS('13'!$N$7:$N$100,'13'!$H$7:$H$100,$A276,'13'!$I$7:$I$100,"")+SUMIFS('14'!$N$7:$N$100,'14'!$H$7:$H$100,$A276,'14'!$I$7:$I$100,"")+SUMIFS('15'!$N$7:$N$100,'15'!$H$7:$H$100,$A276,'15'!$I$7:$I$100,"")+SUMIFS('15a'!$N$7:$N$100,'15a'!$H$7:$H$100,$A276,'15a'!$I$7:$I$100,"")+SUMIFS('15b'!$N$7:$N$100,'15b'!$H$7:$H$100,$A276,'15b'!$I$7:$I$100,"")+SUMIFS('15c'!$N$7:$N$100,'15c'!$H$7:$H$100,$A276,'15c'!$I$7:$I$100,"")+SUMIFS('15d'!$N$7:$N$100,'15d'!$H$7:$H$100,$A276,'15d'!$I$7:$I$100,"")+SUMIFS('15e'!$N$7:$N$100,'15e'!$H$7:$H$100,$A276,'15e'!$I$7:$I$100,"")+SUMIFS('15f'!$N$7:$N$100,'15f'!$H$7:$H$100,$A276,'15f'!$I$7:$I$100,"")+SUMIFS('15g'!$N$7:$N$100,'15g'!$H$7:$H$100,$A276,'15g'!$I$7:$I$100,"")+SUMIFS('15h'!$N$7:$N$100,'15h'!$H$7:$H$100,$A276,'15h'!$I$7:$I$100,"")+SUMIFS('15i'!$N$7:$N$100,'15i'!$H$7:$H$100,$A276,'15i'!$I$7:$I$100,"")+SUMIFS('15j'!$N$7:$N$100,'15j'!$H$7:$H$100,$A276,'15j'!$I$7:$I$100,"")+SUMIFS('15k'!$N$7:$N$100,'15k'!$H$7:$H$100,$A276,'15k'!$I$7:$I$100,"")+SUMIFS('15l'!$N$7:$N$100,'15l'!$H$7:$H$100,$A276,'15l'!$I$7:$I$100,"")+SUMIFS('15m'!$N$7:$N$100,'15m'!$H$7:$H$100,$A276,'15m'!$I$7:$I$100,"")+SUMIFS('15n'!$N$7:$N$100,'15n'!$H$7:$H$100,$A276,'15n'!$I$7:$I$100,"")+SUMIFS('16'!$N$7:$N$100,'16'!$H$7:$H$100,$A276,'16'!$I$7:$I$100,"")+SUMIFS('16a'!$N$7:$N$100,'16a'!$H$7:$H$100,$A276,'16a'!$I$7:$I$100,"")+SUMIFS('17'!$N$7:$N$100,'17'!$H$7:$H$100,$A276,'17'!$I$7:$I$100,"")+SUMIFS('17a'!$N$7:$N$100,'17a'!$H$7:$H$100,$A276,'17a'!$I$7:$I$100,"")+SUMIFS('18'!$N$7:$N$100,'18'!$H$7:$H$100,$A276,'18'!$I$7:$I$100,"")+SUMIFS('18a'!$N$7:$N$100,'18a'!$H$7:$H$100,$A276,'18a'!$I$7:$I$100,"")
+SUMIFS('19'!$N$7:$N$100,'19'!$H$7:$H$100,$A276,'19'!$I$7:$I$100,"")+SUMIFS('20'!$N$7:$N$100,'20'!$H$7:$H$100,$A276,'20'!$I$7:$I$100,"")+SUMIFS('20a'!$N$7:$N$100,'20a'!$H$7:$H$100,$A276,'20a'!$I$7:$I$100,"")+SUMIFS('21'!$N$7:$N$100,'21'!$H$7:$H$100,$A276,'21'!$I$7:$I$100,"")+SUMIFS('22'!$N$7:$N$100,'22'!$H$7:$H$100,$A276,'22'!$I$7:$I$100,"")+SUMIFS('22a'!$N$7:$N$100,'22a'!$H$7:$H$100,$A276,'22a'!$I$7:$I$100,"")+SUMIFS('22b'!$N$7:$N$100,'22b'!$H$7:$H$100,$A276,'22b'!$I$7:$I$100,"")+SUMIFS('23'!$N$7:$N$100,'23'!$H$7:$H$100,$A276,'23'!$I$7:$I$100,"")+SUMIFS('24'!$N$7:$N$100,'24'!$H$7:$H$100,$A276,'24'!$I$7:$I$100,"")+SUMIFS('24a'!$N$7:$N$100,'24a'!$H$7:$H$100,$A276,'24a'!$I$7:$I$100,"")+SUMIFS('24b'!$N$7:$N$100,'24b'!$H$7:$H$100,$A276,'24b'!$I$7:$I$100,"")+SUMIFS('24c'!$N$7:$N$100,'24c'!$H$7:$H$100,$A276,'24c'!$I$7:$I$100,"")+SUMIFS('24d'!$N$7:$N$100,'24d'!$H$7:$H$100,$A276,'24d'!$I$7:$I$100,"")+SUMIFS('24e'!$N$7:$N$100,'24e'!$H$7:$H$100,$A276,'24e'!$I$7:$I$100,"")+SUMIFS('24f'!$N$7:$N$100,'24f'!$H$7:$H$100,$A276,'24f'!$I$7:$I$100,"")+SUMIFS('24g'!$N$7:$N$100,'24g'!$H$7:$H$100,$A276,'24g'!$I$7:$I$100,"")+SUMIFS('24h'!$N$7:$N$100,'24h'!$H$7:$H$100,$A276,'24h'!$I$7:$I$100,"")+SUMIFS('24i'!$N$7:$N$100,'24i'!$H$7:$H$100,$A276,'24i'!$I$7:$I$100,"")+SUMIFS('25'!$N$7:$N$100,'25'!$H$7:$H$100,$A276,'25'!$I$7:$I$100,"")+SUMIFS('26'!$N$7:$N$100,'26'!$H$7:$H$100,$A276,'26'!$I$7:$I$100,"")+SUMIFS('26a'!$N$7:$N$100,'26a'!$H$7:$H$100,$A276,'26a'!$I$7:$I$100,"")+SUMIFS('27'!$N$7:$N$100,'27'!$H$7:$H$100,$A276,'27'!$I$7:$I$100,"")+SUMIFS('27a'!$N$7:$N$100,'27a'!$H$7:$H$100,$A276,'27a'!$I$7:$I$100,"")+SUMIFS('28'!$N$7:$N$100,'28'!$H$7:$H$100,$A276,'28'!$I$7:$I$100,"")+SUMIFS('29'!$N$7:$N$100,'29'!$H$7:$H$100,$A276,'29'!$I$7:$I$100,"")</f>
        <v>0</v>
      </c>
      <c r="F276" s="1296">
        <f t="shared" si="28"/>
        <v>0</v>
      </c>
      <c r="G276" s="1295">
        <f>SUMIFS('12'!$J$7:$J$100,'12'!$H$7:$H$100,$A276,'12'!$I$7:$I$100,1)+SUMIFS('13'!$J$7:$J$100,'13'!$H$7:$H$100,$A276,'13'!$I$7:$I$100,1)+SUMIFS('14'!$J$7:$J$100,'14'!$H$7:$H$100,$A276,'14'!$I$7:$I$100,1)+SUMIFS('15'!$J$7:$J$100,'15'!$H$7:$H$100,$A276,'15'!$I$7:$I$100,1)+SUMIFS('15a'!$J$7:$J$100,'15a'!$H$7:$H$100,$A276,'15a'!$I$7:$I$100,1)+SUMIFS('15b'!$J$7:$J$100,'15b'!$H$7:$H$100,$A276,'15b'!$I$7:$I$100,1)+SUMIFS('15c'!$J$7:$J$100,'15c'!$H$7:$H$100,$A276,'15c'!$I$7:$I$100,1)+SUMIFS('15d'!$J$7:$J$100,'15d'!$H$7:$H$100,$A276,'15d'!$I$7:$I$100,1)+SUMIFS('15e'!$J$7:$J$100,'15e'!$H$7:$H$100,$A276,'15e'!$I$7:$I$100,1)+SUMIFS('15f'!$J$7:$J$100,'15f'!$H$7:$H$100,$A276,'15f'!$I$7:$I$100,1)+SUMIFS('15g'!$J$7:$J$100,'15g'!$H$7:$H$100,$A276,'15g'!$I$7:$I$100,1)+SUMIFS('15h'!$J$7:$J$100,'15h'!$H$7:$H$100,$A276,'15h'!$I$7:$I$100,1)+SUMIFS('15i'!$J$7:$J$100,'15i'!$H$7:$H$100,$A276,'15i'!$I$7:$I$100,1)+SUMIFS('15j'!$J$7:$J$100,'15j'!$H$7:$H$100,$A276,'15j'!$I$7:$I$100,1)+SUMIFS('15k'!$J$7:$J$100,'15k'!$H$7:$H$100,$A276,'15k'!$I$7:$I$100,1)+SUMIFS('15l'!$J$7:$J$100,'15l'!$H$7:$H$100,$A276,'15l'!$I$7:$I$100,1)+SUMIFS('15m'!$J$7:$J$100,'15m'!$H$7:$H$100,$A276,'15m'!$I$7:$I$100,1)+SUMIFS('15n'!$J$7:$J$100,'15n'!$H$7:$H$100,$A276,'15n'!$I$7:$I$100,1)+SUMIFS('16'!$J$7:$J$100,'16'!$H$7:$H$100,$A276,'16'!$I$7:$I$100,1)+SUMIFS('16a'!$J$7:$J$100,'16a'!$H$7:$H$100,$A276,'16a'!$I$7:$I$100,1)+SUMIFS('17'!$J$7:$J$100,'17'!$H$7:$H$100,$A276,'17'!$I$7:$I$100,1)+SUMIFS('17a'!$J$7:$J$100,'17a'!$H$7:$H$100,$A276,'17a'!$I$7:$I$100,1)+SUMIFS('18'!$J$7:$J$100,'18'!$H$7:$H$100,$A276,'18'!$I$7:$I$100,1)+SUMIFS('18a'!$J$7:$J$100,'18a'!$H$7:$H$100,$A276,'18a'!$I$7:$I$100,1)
+SUMIFS('19'!$J$7:$J$100,'19'!$H$7:$H$100,$A276,'19'!$I$7:$I$100,1)+SUMIFS('20'!$J$7:$J$100,'20'!$H$7:$H$100,$A276,'20'!$I$7:$I$100,1)+SUMIFS('20a'!$J$7:$J$100,'20a'!$H$7:$H$100,$A276,'20a'!$I$7:$I$100,1)+SUMIFS('21'!$J$7:$J$100,'21'!$H$7:$H$100,$A276,'21'!$I$7:$I$100,1)+SUMIFS('22'!$J$7:$J$100,'22'!$H$7:$H$100,$A276,'22'!$I$7:$I$100,1)+SUMIFS('22a'!$J$7:$J$100,'22a'!$H$7:$H$100,$A276,'22a'!$I$7:$I$100,1)+SUMIFS('22b'!$J$7:$J$100,'22b'!$H$7:$H$100,$A276,'22b'!$I$7:$I$100,1)+SUMIFS('23'!$J$7:$J$100,'23'!$H$7:$H$100,$A276,'23'!$I$7:$I$100,1)+SUMIFS('24'!$J$7:$J$100,'24'!$H$7:$H$100,$A276,'24'!$I$7:$I$100,1)+SUMIFS('24a'!$J$7:$J$100,'24a'!$H$7:$H$100,$A276,'24a'!$I$7:$I$100,1)+SUMIFS('24b'!$J$7:$J$100,'24b'!$H$7:$H$100,$A276,'24b'!$I$7:$I$100,1)+SUMIFS('24c'!$J$7:$J$100,'24c'!$H$7:$H$100,$A276,'24c'!$I$7:$I$100,1)+SUMIFS('24d'!$J$7:$J$100,'24d'!$H$7:$H$100,$A276,'24d'!$I$7:$I$100,1)+SUMIFS('24e'!$J$7:$J$100,'24e'!$H$7:$H$100,$A276,'24e'!$I$7:$I$100,1)+SUMIFS('24f'!$J$7:$J$100,'24f'!$H$7:$H$100,$A276,'24f'!$I$7:$I$100,1)+SUMIFS('24g'!$J$7:$J$100,'24g'!$H$7:$H$100,$A276,'24g'!$I$7:$I$100,1)+SUMIFS('24h'!$J$7:$J$100,'24h'!$H$7:$H$100,$A276,'24h'!$I$7:$I$100,1)+SUMIFS('24i'!$J$7:$J$100,'24i'!$H$7:$H$100,$A276,'24i'!$I$7:$I$100,1)+SUMIFS('25'!$J$7:$J$100,'25'!$H$7:$H$100,$A276,'25'!$I$7:$I$100,1)+SUMIFS('26'!$J$7:$J$100,'26'!$H$7:$H$100,$A276,'26'!$I$7:$I$100,1)+SUMIFS('26a'!$J$7:$J$100,'26a'!$H$7:$H$100,$A276,'26a'!$I$7:$I$100,1)+SUMIFS('27'!$J$7:$J$100,'27'!$H$7:$H$100,$A276,'27'!$I$7:$I$100,1)+SUMIFS('27a'!$J$7:$J$100,'27a'!$H$7:$H$100,$A276,'27a'!$I$7:$I$100,1)+SUMIFS('28'!$J$7:$J$100,'28'!$H$7:$H$100,$A276,'28'!$I$7:$I$100,1)+SUMIFS('29'!$J$7:$J$100,'29'!$H$7:$H$100,$A276,'29'!$I$7:$I$100,1)</f>
        <v>0</v>
      </c>
      <c r="H276" s="1315">
        <f>SUMIFS('12'!$J$7:$J$100,'12'!$H$7:$H$100,$A276,'12'!$I$7:$I$100,2)+SUMIFS('13'!$J$7:$J$100,'13'!$H$7:$H$100,$A276,'13'!$I$7:$I$100,2)+SUMIFS('14'!$J$7:$J$100,'14'!$H$7:$H$100,$A276,'14'!$I$7:$I$100,2)+SUMIFS('15'!$J$7:$J$100,'15'!$H$7:$H$100,$A276,'15'!$I$7:$I$100,2)+SUMIFS('15a'!$J$7:$J$100,'15a'!$H$7:$H$100,$A276,'15a'!$I$7:$I$100,2)+SUMIFS('15b'!$J$7:$J$100,'15b'!$H$7:$H$100,$A276,'15b'!$I$7:$I$100,2)+SUMIFS('15c'!$J$7:$J$100,'15c'!$H$7:$H$100,$A276,'15c'!$I$7:$I$100,2)+SUMIFS('15d'!$J$7:$J$100,'15d'!$H$7:$H$100,$A276,'15d'!$I$7:$I$100,2)+SUMIFS('15e'!$J$7:$J$100,'15e'!$H$7:$H$100,$A276,'15e'!$I$7:$I$100,2)+SUMIFS('15f'!$J$7:$J$100,'15f'!$H$7:$H$100,$A276,'15f'!$I$7:$I$100,2)+SUMIFS('15g'!$J$7:$J$100,'15g'!$H$7:$H$100,$A276,'15g'!$I$7:$I$100,2)+SUMIFS('15h'!$J$7:$J$100,'15h'!$H$7:$H$100,$A276,'15h'!$I$7:$I$100,2)+SUMIFS('15i'!$J$7:$J$100,'15i'!$H$7:$H$100,$A276,'15i'!$I$7:$I$100,2)+SUMIFS('15j'!$J$7:$J$100,'15j'!$H$7:$H$100,$A276,'15j'!$I$7:$I$100,2)+SUMIFS('15k'!$J$7:$J$100,'15k'!$H$7:$H$100,$A276,'15k'!$I$7:$I$100,2)+SUMIFS('15l'!$J$7:$J$100,'15l'!$H$7:$H$100,$A276,'15l'!$I$7:$I$100,2)+SUMIFS('15m'!$J$7:$J$100,'15m'!$H$7:$H$100,$A276,'15m'!$I$7:$I$100,2)+SUMIFS('15n'!$J$7:$J$100,'15n'!$H$7:$H$100,$A276,'15n'!$I$7:$I$100,2)+SUMIFS('16'!$J$7:$J$100,'16'!$H$7:$H$100,$A276,'16'!$I$7:$I$100,2)+SUMIFS('16a'!$J$7:$J$100,'16a'!$H$7:$H$100,$A276,'16a'!$I$7:$I$100,2)+SUMIFS('17'!$J$7:$J$100,'17'!$H$7:$H$100,$A276,'17'!$I$7:$I$100,2)+SUMIFS('17a'!$J$7:$J$100,'17a'!$H$7:$H$100,$A276,'17a'!$I$7:$I$100,2)+SUMIFS('18'!$J$7:$J$100,'18'!$H$7:$H$100,$A276,'18'!$I$7:$I$100,2)+SUMIFS('18a'!$J$7:$J$100,'18a'!$H$7:$H$100,$A276,'18a'!$I$7:$I$100,2)
+SUMIFS('19'!$J$7:$J$100,'19'!$H$7:$H$100,$A276,'19'!$I$7:$I$100,2)+SUMIFS('20'!$J$7:$J$100,'20'!$H$7:$H$100,$A276,'20'!$I$7:$I$100,2)+SUMIFS('20a'!$J$7:$J$100,'20a'!$H$7:$H$100,$A276,'20a'!$I$7:$I$100,2)+SUMIFS('21'!$J$7:$J$100,'21'!$H$7:$H$100,$A276,'21'!$I$7:$I$100,2)+SUMIFS('22'!$J$7:$J$100,'22'!$H$7:$H$100,$A276,'22'!$I$7:$I$100,2)+SUMIFS('22a'!$J$7:$J$100,'22a'!$H$7:$H$100,$A276,'22a'!$I$7:$I$100,2)+SUMIFS('22b'!$J$7:$J$100,'22b'!$H$7:$H$100,$A276,'22b'!$I$7:$I$100,2)+SUMIFS('23'!$J$7:$J$100,'23'!$H$7:$H$100,$A276,'23'!$I$7:$I$100,2)+SUMIFS('24'!$J$7:$J$100,'24'!$H$7:$H$100,$A276,'24'!$I$7:$I$100,2)+SUMIFS('24a'!$J$7:$J$100,'24a'!$H$7:$H$100,$A276,'24a'!$I$7:$I$100,2)+SUMIFS('24b'!$J$7:$J$100,'24b'!$H$7:$H$100,$A276,'24b'!$I$7:$I$100,2)+SUMIFS('24c'!$J$7:$J$100,'24c'!$H$7:$H$100,$A276,'24c'!$I$7:$I$100,2)+SUMIFS('24d'!$J$7:$J$100,'24d'!$H$7:$H$100,$A276,'24d'!$I$7:$I$100,2)+SUMIFS('24e'!$J$7:$J$100,'24e'!$H$7:$H$100,$A276,'24e'!$I$7:$I$100,2)+SUMIFS('24f'!$J$7:$J$100,'24f'!$H$7:$H$100,$A276,'24f'!$I$7:$I$100,2)+SUMIFS('24g'!$J$7:$J$100,'24g'!$H$7:$H$100,$A276,'24g'!$I$7:$I$100,2)+SUMIFS('24h'!$J$7:$J$100,'24h'!$H$7:$H$100,$A276,'24h'!$I$7:$I$100,2)+SUMIFS('24i'!$J$7:$J$100,'24i'!$H$7:$H$100,$A276,'24i'!$I$7:$I$100,2)+SUMIFS('25'!$J$7:$J$100,'25'!$H$7:$H$100,$A276,'25'!$I$7:$I$100,2)+SUMIFS('26'!$J$7:$J$100,'26'!$H$7:$H$100,$A276,'26'!$I$7:$I$100,2)+SUMIFS('26a'!$J$7:$J$100,'26a'!$H$7:$H$100,$A276,'26a'!$I$7:$I$100,2)+SUMIFS('27'!$J$7:$J$100,'27'!$H$7:$H$100,$A276,'27'!$I$7:$I$100,2)+SUMIFS('27a'!$J$7:$J$100,'27a'!$H$7:$H$100,$A276,'27a'!$I$7:$I$100,2)+SUMIFS('28'!$J$7:$J$100,'28'!$H$7:$H$100,$A276,'28'!$I$7:$I$100,2)+SUMIFS('29'!$J$7:$J$100,'29'!$H$7:$H$100,$A276,'29'!$I$7:$I$100,2)</f>
        <v>100</v>
      </c>
      <c r="I276" s="1315">
        <f>SUMIFS('12'!$J$7:$J$100,'12'!$H$7:$H$100,$A276,'12'!$I$7:$I$100,"")+SUMIFS('13'!$J$7:$J$100,'13'!$H$7:$H$100,$A276,'13'!$I$7:$I$100,"")+SUMIFS('14'!$J$7:$J$100,'14'!$H$7:$H$100,$A276,'14'!$I$7:$I$100,"")+SUMIFS('15'!$J$7:$J$100,'15'!$H$7:$H$100,$A276,'15'!$I$7:$I$100,"")+SUMIFS('15a'!$J$7:$J$100,'15a'!$H$7:$H$100,$A276,'15a'!$I$7:$I$100,"")+SUMIFS('15b'!$J$7:$J$100,'15b'!$H$7:$H$100,$A276,'15b'!$I$7:$I$100,"")+SUMIFS('15c'!$J$7:$J$100,'15c'!$H$7:$H$100,$A276,'15c'!$I$7:$I$100,"")+SUMIFS('15d'!$J$7:$J$100,'15d'!$H$7:$H$100,$A276,'15d'!$I$7:$I$100,"")+SUMIFS('15e'!$J$7:$J$100,'15e'!$H$7:$H$100,$A276,'15e'!$I$7:$I$100,"")+SUMIFS('15f'!$J$7:$J$100,'15f'!$H$7:$H$100,$A276,'15f'!$I$7:$I$100,"")+SUMIFS('15g'!$J$7:$J$100,'15g'!$H$7:$H$100,$A276,'15g'!$I$7:$I$100,"")+SUMIFS('15h'!$J$7:$J$100,'15h'!$H$7:$H$100,$A276,'15h'!$I$7:$I$100,"")+SUMIFS('15i'!$J$7:$J$100,'15i'!$H$7:$H$100,$A276,'15i'!$I$7:$I$100,"")+SUMIFS('15j'!$J$7:$J$100,'15j'!$H$7:$H$100,$A276,'15j'!$I$7:$I$100,"")+SUMIFS('15k'!$J$7:$J$100,'15k'!$H$7:$H$100,$A276,'15k'!$I$7:$I$100,"")+SUMIFS('15l'!$J$7:$J$100,'15l'!$H$7:$H$100,$A276,'15l'!$I$7:$I$100,"")+SUMIFS('15m'!$J$7:$J$100,'15m'!$H$7:$H$100,$A276,'15m'!$I$7:$I$100,"")+SUMIFS('15n'!$J$7:$J$100,'15n'!$H$7:$H$100,$A276,'15n'!$I$7:$I$100,"")+SUMIFS('16'!$J$7:$J$100,'16'!$H$7:$H$100,$A276,'16'!$I$7:$I$100,"")+SUMIFS('16a'!$J$7:$J$100,'16a'!$H$7:$H$100,$A276,'16a'!$I$7:$I$100,"")+SUMIFS('17'!$J$7:$J$100,'17'!$H$7:$H$100,$A276,'17'!$I$7:$I$100,"")+SUMIFS('17a'!$J$7:$J$100,'17a'!$H$7:$H$100,$A276,'17a'!$I$7:$I$100,"")+SUMIFS('18'!$J$7:$J$100,'18'!$H$7:$H$100,$A276,'18'!$I$7:$I$100,"")+SUMIFS('18a'!$J$7:$J$100,'18a'!$H$7:$H$100,$A276,'18a'!$I$7:$I$100,"")
+SUMIFS('19'!$J$7:$J$100,'19'!$H$7:$H$100,$A276,'19'!$I$7:$I$100,"")+SUMIFS('20'!$J$7:$J$100,'20'!$H$7:$H$100,$A276,'20'!$I$7:$I$100,"")+SUMIFS('20a'!$J$7:$J$100,'20a'!$H$7:$H$100,$A276,'20a'!$I$7:$I$100,"")+SUMIFS('21'!$J$7:$J$100,'21'!$H$7:$H$100,$A276,'21'!$I$7:$I$100,"")+SUMIFS('22'!$J$7:$J$100,'22'!$H$7:$H$100,$A276,'22'!$I$7:$I$100,"")+SUMIFS('22a'!$J$7:$J$100,'22a'!$H$7:$H$100,$A276,'22a'!$I$7:$I$100,"")+SUMIFS('22b'!$J$7:$J$100,'22b'!$H$7:$H$100,$A276,'22b'!$I$7:$I$100,"")+SUMIFS('23'!$J$7:$J$100,'23'!$H$7:$H$100,$A276,'23'!$I$7:$I$100,"")+SUMIFS('24'!$J$7:$J$100,'24'!$H$7:$H$100,$A276,'24'!$I$7:$I$100,"")+SUMIFS('24a'!$J$7:$J$100,'24a'!$H$7:$H$100,$A276,'24a'!$I$7:$I$100,"")+SUMIFS('24b'!$J$7:$J$100,'24b'!$H$7:$H$100,$A276,'24b'!$I$7:$I$100,"")+SUMIFS('24c'!$J$7:$J$100,'24c'!$H$7:$H$100,$A276,'24c'!$I$7:$I$100,"")+SUMIFS('24d'!$J$7:$J$100,'24d'!$H$7:$H$100,$A276,'24d'!$I$7:$I$100,"")+SUMIFS('24e'!$J$7:$J$100,'24e'!$H$7:$H$100,$A276,'24e'!$I$7:$I$100,"")+SUMIFS('24f'!$J$7:$J$100,'24f'!$H$7:$H$100,$A276,'24f'!$I$7:$I$100,"")+SUMIFS('24g'!$J$7:$J$100,'24g'!$H$7:$H$100,$A276,'24g'!$I$7:$I$100,"")+SUMIFS('24h'!$J$7:$J$100,'24h'!$H$7:$H$100,$A276,'24h'!$I$7:$I$100,"")+SUMIFS('24i'!$J$7:$J$100,'24i'!$H$7:$H$100,$A276,'24i'!$I$7:$I$100,"")+SUMIFS('25'!$J$7:$J$100,'25'!$H$7:$H$100,$A276,'25'!$I$7:$I$100,"")+SUMIFS('26'!$J$7:$J$100,'26'!$H$7:$H$100,$A276,'26'!$I$7:$I$100,"")+SUMIFS('26a'!$J$7:$J$100,'26a'!$H$7:$H$100,$A276,'26a'!$I$7:$I$100,"")+SUMIFS('27'!$J$7:$J$100,'27'!$H$7:$H$100,$A276,'27'!$I$7:$I$100,"")+SUMIFS('27a'!$J$7:$J$100,'27a'!$H$7:$H$100,$A276,'27a'!$I$7:$I$100,"")+SUMIFS('28'!$J$7:$J$100,'28'!$H$7:$H$100,$A276,'28'!$I$7:$I$100,"")+SUMIFS('29'!$J$7:$J$100,'29'!$H$7:$H$100,$A276,'29'!$I$7:$I$100,"")</f>
        <v>0</v>
      </c>
      <c r="J276" s="1296">
        <f t="shared" si="29"/>
        <v>100</v>
      </c>
      <c r="K276"/>
      <c r="L276"/>
      <c r="M276"/>
      <c r="N276"/>
      <c r="O276"/>
      <c r="P276"/>
      <c r="Q276"/>
      <c r="R276"/>
      <c r="S276" s="1307">
        <f t="shared" si="14"/>
        <v>200</v>
      </c>
      <c r="T276"/>
    </row>
    <row r="277" spans="1:20" x14ac:dyDescent="0.2">
      <c r="A277" t="s">
        <v>5187</v>
      </c>
      <c r="B277" t="s">
        <v>5512</v>
      </c>
      <c r="C277" s="1295">
        <f>SUMIFS('12'!$N$7:$N$100,'12'!$H$7:$H$100,$A277,'12'!$I$7:$I$100,1)+SUMIFS('13'!$N$7:$N$100,'13'!$H$7:$H$100,$A277,'13'!$I$7:$I$100,1)+SUMIFS('14'!$N$7:$N$100,'14'!$H$7:$H$100,$A277,'14'!$I$7:$I$100,1)+SUMIFS('15'!$N$7:$N$100,'15'!$H$7:$H$100,$A277,'15'!$I$7:$I$100,1)+SUMIFS('15a'!$N$7:$N$100,'15a'!$H$7:$H$100,$A277,'15a'!$I$7:$I$100,1)+SUMIFS('15b'!$N$7:$N$100,'15b'!$H$7:$H$100,$A277,'15b'!$I$7:$I$100,1)+SUMIFS('15c'!$N$7:$N$100,'15c'!$H$7:$H$100,$A277,'15c'!$I$7:$I$100,1)+SUMIFS('15d'!$N$7:$N$100,'15d'!$H$7:$H$100,$A277,'15d'!$I$7:$I$100,1)+SUMIFS('15e'!$N$7:$N$100,'15e'!$H$7:$H$100,$A277,'15e'!$I$7:$I$100,1)+SUMIFS('15f'!$N$7:$N$100,'15f'!$H$7:$H$100,$A277,'15f'!$I$7:$I$100,1)+SUMIFS('15g'!$N$7:$N$100,'15g'!$H$7:$H$100,$A277,'15g'!$I$7:$I$100,1)+SUMIFS('15h'!$N$7:$N$100,'15h'!$H$7:$H$100,$A277,'15h'!$I$7:$I$100,1)+SUMIFS('15i'!$N$7:$N$100,'15i'!$H$7:$H$100,$A277,'15i'!$I$7:$I$100,1)+SUMIFS('15j'!$N$7:$N$100,'15j'!$H$7:$H$100,$A277,'15j'!$I$7:$I$100,1)+SUMIFS('15k'!$N$7:$N$100,'15k'!$H$7:$H$100,$A277,'15k'!$I$7:$I$100,1)+SUMIFS('15l'!$N$7:$N$100,'15l'!$H$7:$H$100,$A277,'15l'!$I$7:$I$100,1)+SUMIFS('15m'!$N$7:$N$100,'15m'!$H$7:$H$100,$A277,'15m'!$I$7:$I$100,1)+SUMIFS('15n'!$N$7:$N$100,'15n'!$H$7:$H$100,$A277,'15n'!$I$7:$I$100,1)+SUMIFS('16'!$N$7:$N$100,'16'!$H$7:$H$100,$A277,'16'!$I$7:$I$100,1)+SUMIFS('16a'!$N$7:$N$100,'16a'!$H$7:$H$100,$A277,'16a'!$I$7:$I$100,1)+SUMIFS('17'!$N$7:$N$100,'17'!$H$7:$H$100,$A277,'17'!$I$7:$I$100,1)+SUMIFS('17a'!$N$7:$N$100,'17a'!$H$7:$H$100,$A277,'17a'!$I$7:$I$100,1)+SUMIFS('18'!$N$7:$N$100,'18'!$H$7:$H$100,$A277,'18'!$I$7:$I$100,1)+SUMIFS('18a'!$N$7:$N$100,'18a'!$H$7:$H$100,$A277,'18a'!$I$7:$I$100,1)
+SUMIFS('19'!$N$7:$N$100,'19'!$H$7:$H$100,$A277,'19'!$I$7:$I$100,1)+SUMIFS('20'!$N$7:$N$100,'20'!$H$7:$H$100,$A277,'20'!$I$7:$I$100,1)+SUMIFS('20a'!$N$7:$N$100,'20a'!$H$7:$H$100,$A277,'20a'!$I$7:$I$100,1)+SUMIFS('21'!$N$7:$N$100,'21'!$H$7:$H$100,$A277,'21'!$I$7:$I$100,1)+SUMIFS('22'!$N$7:$N$100,'22'!$H$7:$H$100,$A277,'22'!$I$7:$I$100,1)+SUMIFS('22a'!$N$7:$N$100,'22a'!$H$7:$H$100,$A277,'22a'!$I$7:$I$100,1)+SUMIFS('22b'!$N$7:$N$100,'22b'!$H$7:$H$100,$A277,'22b'!$I$7:$I$100,1)+SUMIFS('23'!$N$7:$N$100,'23'!$H$7:$H$100,$A277,'23'!$I$7:$I$100,1)+SUMIFS('24'!$N$7:$N$100,'24'!$H$7:$H$100,$A277,'24'!$I$7:$I$100,1)+SUMIFS('24a'!$N$7:$N$100,'24a'!$H$7:$H$100,$A277,'24a'!$I$7:$I$100,1)+SUMIFS('24b'!$N$7:$N$100,'24b'!$H$7:$H$100,$A277,'24b'!$I$7:$I$100,1)+SUMIFS('24c'!$N$7:$N$100,'24c'!$H$7:$H$100,$A277,'24c'!$I$7:$I$100,1)+SUMIFS('24d'!$N$7:$N$100,'24d'!$H$7:$H$100,$A277,'24d'!$I$7:$I$100,1)+SUMIFS('24e'!$N$7:$N$100,'24e'!$H$7:$H$100,$A277,'24e'!$I$7:$I$100,1)+SUMIFS('24f'!$N$7:$N$100,'24f'!$H$7:$H$100,$A277,'24f'!$I$7:$I$100,1)+SUMIFS('24g'!$N$7:$N$100,'24g'!$H$7:$H$100,$A277,'24g'!$I$7:$I$100,1)+SUMIFS('24h'!$N$7:$N$100,'24h'!$H$7:$H$100,$A277,'24h'!$I$7:$I$100,1)+SUMIFS('24i'!$N$7:$N$100,'24i'!$H$7:$H$100,$A277,'24i'!$I$7:$I$100,1)+SUMIFS('25'!$N$7:$N$100,'25'!$H$7:$H$100,$A277,'25'!$I$7:$I$100,1)+SUMIFS('26'!$N$7:$N$100,'26'!$H$7:$H$100,$A277,'26'!$I$7:$I$100,1)+SUMIFS('26a'!$N$7:$N$100,'26a'!$H$7:$H$100,$A277,'26a'!$I$7:$I$100,1)+SUMIFS('27'!$N$7:$N$100,'27'!$H$7:$H$100,$A277,'27'!$I$7:$I$100,1)+SUMIFS('27a'!$N$7:$N$100,'27a'!$H$7:$H$100,$A277,'27a'!$I$7:$I$100,1)+SUMIFS('28'!$N$7:$N$100,'28'!$H$7:$H$100,$A277,'28'!$I$7:$I$100,1)+SUMIFS('29'!$N$7:$N$100,'29'!$H$7:$H$100,$A277,'29'!$I$7:$I$100,1)</f>
        <v>500</v>
      </c>
      <c r="D277" s="1315">
        <f>SUMIFS('12'!$N$7:$N$100,'12'!$H$7:$H$100,$A277,'12'!$I$7:$I$100,2)+SUMIFS('13'!$N$7:$N$100,'13'!$H$7:$H$100,$A277,'13'!$I$7:$I$100,2)+SUMIFS('14'!$N$7:$N$100,'14'!$H$7:$H$100,$A277,'14'!$I$7:$I$100,2)+SUMIFS('15'!$N$7:$N$100,'15'!$H$7:$H$100,$A277,'15'!$I$7:$I$100,2)+SUMIFS('15a'!$N$7:$N$100,'15a'!$H$7:$H$100,$A277,'15a'!$I$7:$I$100,2)+SUMIFS('15b'!$N$7:$N$100,'15b'!$H$7:$H$100,$A277,'15b'!$I$7:$I$100,2)+SUMIFS('15c'!$N$7:$N$100,'15c'!$H$7:$H$100,$A277,'15c'!$I$7:$I$100,2)+SUMIFS('15d'!$N$7:$N$100,'15d'!$H$7:$H$100,$A277,'15d'!$I$7:$I$100,2)+SUMIFS('15e'!$N$7:$N$100,'15e'!$H$7:$H$100,$A277,'15e'!$I$7:$I$100,2)+SUMIFS('15f'!$N$7:$N$100,'15f'!$H$7:$H$100,$A277,'15f'!$I$7:$I$100,2)+SUMIFS('15g'!$N$7:$N$100,'15g'!$H$7:$H$100,$A277,'15g'!$I$7:$I$100,2)+SUMIFS('15h'!$N$7:$N$100,'15h'!$H$7:$H$100,$A277,'15h'!$I$7:$I$100,2)+SUMIFS('15i'!$N$7:$N$100,'15i'!$H$7:$H$100,$A277,'15i'!$I$7:$I$100,2)+SUMIFS('15j'!$N$7:$N$100,'15j'!$H$7:$H$100,$A277,'15j'!$I$7:$I$100,2)+SUMIFS('15k'!$N$7:$N$100,'15k'!$H$7:$H$100,$A277,'15k'!$I$7:$I$100,2)+SUMIFS('15l'!$N$7:$N$100,'15l'!$H$7:$H$100,$A277,'15l'!$I$7:$I$100,2)+SUMIFS('15m'!$N$7:$N$100,'15m'!$H$7:$H$100,$A277,'15m'!$I$7:$I$100,2)+SUMIFS('15n'!$N$7:$N$100,'15n'!$H$7:$H$100,$A277,'15n'!$I$7:$I$100,2)+SUMIFS('16'!$N$7:$N$100,'16'!$H$7:$H$100,$A277,'16'!$I$7:$I$100,2)+SUMIFS('16a'!$N$7:$N$100,'16a'!$H$7:$H$100,$A277,'16a'!$I$7:$I$100,2)+SUMIFS('17'!$N$7:$N$100,'17'!$H$7:$H$100,$A277,'17'!$I$7:$I$100,2)+SUMIFS('17a'!$N$7:$N$100,'17a'!$H$7:$H$100,$A277,'17a'!$I$7:$I$100,2)+SUMIFS('18'!$N$7:$N$100,'18'!$H$7:$H$100,$A277,'18'!$I$7:$I$100,2)+SUMIFS('18a'!$N$7:$N$100,'18a'!$H$7:$H$100,$A277,'18a'!$I$7:$I$100,2)
+SUMIFS('19'!$N$7:$N$100,'19'!$H$7:$H$100,$A277,'19'!$I$7:$I$100,2)+SUMIFS('20'!$N$7:$N$100,'20'!$H$7:$H$100,$A277,'20'!$I$7:$I$100,2)+SUMIFS('20a'!$N$7:$N$100,'20a'!$H$7:$H$100,$A277,'20a'!$I$7:$I$100,2)+SUMIFS('21'!$N$7:$N$100,'21'!$H$7:$H$100,$A277,'21'!$I$7:$I$100,2)+SUMIFS('22'!$N$7:$N$100,'22'!$H$7:$H$100,$A277,'22'!$I$7:$I$100,2)+SUMIFS('22a'!$N$7:$N$100,'22a'!$H$7:$H$100,$A277,'22a'!$I$7:$I$100,2)+SUMIFS('22b'!$N$7:$N$100,'22b'!$H$7:$H$100,$A277,'22b'!$I$7:$I$100,2)+SUMIFS('23'!$N$7:$N$100,'23'!$H$7:$H$100,$A277,'23'!$I$7:$I$100,2)+SUMIFS('24'!$N$7:$N$100,'24'!$H$7:$H$100,$A277,'24'!$I$7:$I$100,2)+SUMIFS('24a'!$N$7:$N$100,'24a'!$H$7:$H$100,$A277,'24a'!$I$7:$I$100,2)+SUMIFS('24b'!$N$7:$N$100,'24b'!$H$7:$H$100,$A277,'24b'!$I$7:$I$100,2)+SUMIFS('24c'!$N$7:$N$100,'24c'!$H$7:$H$100,$A277,'24c'!$I$7:$I$100,2)+SUMIFS('24d'!$N$7:$N$100,'24d'!$H$7:$H$100,$A277,'24d'!$I$7:$I$100,2)+SUMIFS('24e'!$N$7:$N$100,'24e'!$H$7:$H$100,$A277,'24e'!$I$7:$I$100,2)+SUMIFS('24f'!$N$7:$N$100,'24f'!$H$7:$H$100,$A277,'24f'!$I$7:$I$100,2)+SUMIFS('24g'!$N$7:$N$100,'24g'!$H$7:$H$100,$A277,'24g'!$I$7:$I$100,2)+SUMIFS('24h'!$N$7:$N$100,'24h'!$H$7:$H$100,$A277,'24h'!$I$7:$I$100,2)+SUMIFS('24i'!$N$7:$N$100,'24i'!$H$7:$H$100,$A277,'24i'!$I$7:$I$100,2)+SUMIFS('25'!$N$7:$N$100,'25'!$H$7:$H$100,$A277,'25'!$I$7:$I$100,2)+SUMIFS('26'!$N$7:$N$100,'26'!$H$7:$H$100,$A277,'26'!$I$7:$I$100,2)+SUMIFS('26a'!$N$7:$N$100,'26a'!$H$7:$H$100,$A277,'26a'!$I$7:$I$100,2)+SUMIFS('27'!$N$7:$N$100,'27'!$H$7:$H$100,$A277,'27'!$I$7:$I$100,2)+SUMIFS('27a'!$N$7:$N$100,'27a'!$H$7:$H$100,$A277,'27a'!$I$7:$I$100,2)+SUMIFS('28'!$N$7:$N$100,'28'!$H$7:$H$100,$A277,'28'!$I$7:$I$100,2)+SUMIFS('29'!$N$7:$N$100,'29'!$H$7:$H$100,$A277,'29'!$I$7:$I$100,2)</f>
        <v>5813</v>
      </c>
      <c r="E277" s="1315">
        <f>SUMIFS('12'!$N$7:$N$100,'12'!$H$7:$H$100,$A277,'12'!$I$7:$I$100,"")+SUMIFS('13'!$N$7:$N$100,'13'!$H$7:$H$100,$A277,'13'!$I$7:$I$100,"")+SUMIFS('14'!$N$7:$N$100,'14'!$H$7:$H$100,$A277,'14'!$I$7:$I$100,"")+SUMIFS('15'!$N$7:$N$100,'15'!$H$7:$H$100,$A277,'15'!$I$7:$I$100,"")+SUMIFS('15a'!$N$7:$N$100,'15a'!$H$7:$H$100,$A277,'15a'!$I$7:$I$100,"")+SUMIFS('15b'!$N$7:$N$100,'15b'!$H$7:$H$100,$A277,'15b'!$I$7:$I$100,"")+SUMIFS('15c'!$N$7:$N$100,'15c'!$H$7:$H$100,$A277,'15c'!$I$7:$I$100,"")+SUMIFS('15d'!$N$7:$N$100,'15d'!$H$7:$H$100,$A277,'15d'!$I$7:$I$100,"")+SUMIFS('15e'!$N$7:$N$100,'15e'!$H$7:$H$100,$A277,'15e'!$I$7:$I$100,"")+SUMIFS('15f'!$N$7:$N$100,'15f'!$H$7:$H$100,$A277,'15f'!$I$7:$I$100,"")+SUMIFS('15g'!$N$7:$N$100,'15g'!$H$7:$H$100,$A277,'15g'!$I$7:$I$100,"")+SUMIFS('15h'!$N$7:$N$100,'15h'!$H$7:$H$100,$A277,'15h'!$I$7:$I$100,"")+SUMIFS('15i'!$N$7:$N$100,'15i'!$H$7:$H$100,$A277,'15i'!$I$7:$I$100,"")+SUMIFS('15j'!$N$7:$N$100,'15j'!$H$7:$H$100,$A277,'15j'!$I$7:$I$100,"")+SUMIFS('15k'!$N$7:$N$100,'15k'!$H$7:$H$100,$A277,'15k'!$I$7:$I$100,"")+SUMIFS('15l'!$N$7:$N$100,'15l'!$H$7:$H$100,$A277,'15l'!$I$7:$I$100,"")+SUMIFS('15m'!$N$7:$N$100,'15m'!$H$7:$H$100,$A277,'15m'!$I$7:$I$100,"")+SUMIFS('15n'!$N$7:$N$100,'15n'!$H$7:$H$100,$A277,'15n'!$I$7:$I$100,"")+SUMIFS('16'!$N$7:$N$100,'16'!$H$7:$H$100,$A277,'16'!$I$7:$I$100,"")+SUMIFS('16a'!$N$7:$N$100,'16a'!$H$7:$H$100,$A277,'16a'!$I$7:$I$100,"")+SUMIFS('17'!$N$7:$N$100,'17'!$H$7:$H$100,$A277,'17'!$I$7:$I$100,"")+SUMIFS('17a'!$N$7:$N$100,'17a'!$H$7:$H$100,$A277,'17a'!$I$7:$I$100,"")+SUMIFS('18'!$N$7:$N$100,'18'!$H$7:$H$100,$A277,'18'!$I$7:$I$100,"")+SUMIFS('18a'!$N$7:$N$100,'18a'!$H$7:$H$100,$A277,'18a'!$I$7:$I$100,"")
+SUMIFS('19'!$N$7:$N$100,'19'!$H$7:$H$100,$A277,'19'!$I$7:$I$100,"")+SUMIFS('20'!$N$7:$N$100,'20'!$H$7:$H$100,$A277,'20'!$I$7:$I$100,"")+SUMIFS('20a'!$N$7:$N$100,'20a'!$H$7:$H$100,$A277,'20a'!$I$7:$I$100,"")+SUMIFS('21'!$N$7:$N$100,'21'!$H$7:$H$100,$A277,'21'!$I$7:$I$100,"")+SUMIFS('22'!$N$7:$N$100,'22'!$H$7:$H$100,$A277,'22'!$I$7:$I$100,"")+SUMIFS('22a'!$N$7:$N$100,'22a'!$H$7:$H$100,$A277,'22a'!$I$7:$I$100,"")+SUMIFS('22b'!$N$7:$N$100,'22b'!$H$7:$H$100,$A277,'22b'!$I$7:$I$100,"")+SUMIFS('23'!$N$7:$N$100,'23'!$H$7:$H$100,$A277,'23'!$I$7:$I$100,"")+SUMIFS('24'!$N$7:$N$100,'24'!$H$7:$H$100,$A277,'24'!$I$7:$I$100,"")+SUMIFS('24a'!$N$7:$N$100,'24a'!$H$7:$H$100,$A277,'24a'!$I$7:$I$100,"")+SUMIFS('24b'!$N$7:$N$100,'24b'!$H$7:$H$100,$A277,'24b'!$I$7:$I$100,"")+SUMIFS('24c'!$N$7:$N$100,'24c'!$H$7:$H$100,$A277,'24c'!$I$7:$I$100,"")+SUMIFS('24d'!$N$7:$N$100,'24d'!$H$7:$H$100,$A277,'24d'!$I$7:$I$100,"")+SUMIFS('24e'!$N$7:$N$100,'24e'!$H$7:$H$100,$A277,'24e'!$I$7:$I$100,"")+SUMIFS('24f'!$N$7:$N$100,'24f'!$H$7:$H$100,$A277,'24f'!$I$7:$I$100,"")+SUMIFS('24g'!$N$7:$N$100,'24g'!$H$7:$H$100,$A277,'24g'!$I$7:$I$100,"")+SUMIFS('24h'!$N$7:$N$100,'24h'!$H$7:$H$100,$A277,'24h'!$I$7:$I$100,"")+SUMIFS('24i'!$N$7:$N$100,'24i'!$H$7:$H$100,$A277,'24i'!$I$7:$I$100,"")+SUMIFS('25'!$N$7:$N$100,'25'!$H$7:$H$100,$A277,'25'!$I$7:$I$100,"")+SUMIFS('26'!$N$7:$N$100,'26'!$H$7:$H$100,$A277,'26'!$I$7:$I$100,"")+SUMIFS('26a'!$N$7:$N$100,'26a'!$H$7:$H$100,$A277,'26a'!$I$7:$I$100,"")+SUMIFS('27'!$N$7:$N$100,'27'!$H$7:$H$100,$A277,'27'!$I$7:$I$100,"")+SUMIFS('27a'!$N$7:$N$100,'27a'!$H$7:$H$100,$A277,'27a'!$I$7:$I$100,"")+SUMIFS('28'!$N$7:$N$100,'28'!$H$7:$H$100,$A277,'28'!$I$7:$I$100,"")+SUMIFS('29'!$N$7:$N$100,'29'!$H$7:$H$100,$A277,'29'!$I$7:$I$100,"")</f>
        <v>0</v>
      </c>
      <c r="F277" s="1296">
        <f t="shared" si="28"/>
        <v>6313</v>
      </c>
      <c r="G277" s="1295">
        <f>SUMIFS('12'!$J$7:$J$100,'12'!$H$7:$H$100,$A277,'12'!$I$7:$I$100,1)+SUMIFS('13'!$J$7:$J$100,'13'!$H$7:$H$100,$A277,'13'!$I$7:$I$100,1)+SUMIFS('14'!$J$7:$J$100,'14'!$H$7:$H$100,$A277,'14'!$I$7:$I$100,1)+SUMIFS('15'!$J$7:$J$100,'15'!$H$7:$H$100,$A277,'15'!$I$7:$I$100,1)+SUMIFS('15a'!$J$7:$J$100,'15a'!$H$7:$H$100,$A277,'15a'!$I$7:$I$100,1)+SUMIFS('15b'!$J$7:$J$100,'15b'!$H$7:$H$100,$A277,'15b'!$I$7:$I$100,1)+SUMIFS('15c'!$J$7:$J$100,'15c'!$H$7:$H$100,$A277,'15c'!$I$7:$I$100,1)+SUMIFS('15d'!$J$7:$J$100,'15d'!$H$7:$H$100,$A277,'15d'!$I$7:$I$100,1)+SUMIFS('15e'!$J$7:$J$100,'15e'!$H$7:$H$100,$A277,'15e'!$I$7:$I$100,1)+SUMIFS('15f'!$J$7:$J$100,'15f'!$H$7:$H$100,$A277,'15f'!$I$7:$I$100,1)+SUMIFS('15g'!$J$7:$J$100,'15g'!$H$7:$H$100,$A277,'15g'!$I$7:$I$100,1)+SUMIFS('15h'!$J$7:$J$100,'15h'!$H$7:$H$100,$A277,'15h'!$I$7:$I$100,1)+SUMIFS('15i'!$J$7:$J$100,'15i'!$H$7:$H$100,$A277,'15i'!$I$7:$I$100,1)+SUMIFS('15j'!$J$7:$J$100,'15j'!$H$7:$H$100,$A277,'15j'!$I$7:$I$100,1)+SUMIFS('15k'!$J$7:$J$100,'15k'!$H$7:$H$100,$A277,'15k'!$I$7:$I$100,1)+SUMIFS('15l'!$J$7:$J$100,'15l'!$H$7:$H$100,$A277,'15l'!$I$7:$I$100,1)+SUMIFS('15m'!$J$7:$J$100,'15m'!$H$7:$H$100,$A277,'15m'!$I$7:$I$100,1)+SUMIFS('15n'!$J$7:$J$100,'15n'!$H$7:$H$100,$A277,'15n'!$I$7:$I$100,1)+SUMIFS('16'!$J$7:$J$100,'16'!$H$7:$H$100,$A277,'16'!$I$7:$I$100,1)+SUMIFS('16a'!$J$7:$J$100,'16a'!$H$7:$H$100,$A277,'16a'!$I$7:$I$100,1)+SUMIFS('17'!$J$7:$J$100,'17'!$H$7:$H$100,$A277,'17'!$I$7:$I$100,1)+SUMIFS('17a'!$J$7:$J$100,'17a'!$H$7:$H$100,$A277,'17a'!$I$7:$I$100,1)+SUMIFS('18'!$J$7:$J$100,'18'!$H$7:$H$100,$A277,'18'!$I$7:$I$100,1)+SUMIFS('18a'!$J$7:$J$100,'18a'!$H$7:$H$100,$A277,'18a'!$I$7:$I$100,1)
+SUMIFS('19'!$J$7:$J$100,'19'!$H$7:$H$100,$A277,'19'!$I$7:$I$100,1)+SUMIFS('20'!$J$7:$J$100,'20'!$H$7:$H$100,$A277,'20'!$I$7:$I$100,1)+SUMIFS('20a'!$J$7:$J$100,'20a'!$H$7:$H$100,$A277,'20a'!$I$7:$I$100,1)+SUMIFS('21'!$J$7:$J$100,'21'!$H$7:$H$100,$A277,'21'!$I$7:$I$100,1)+SUMIFS('22'!$J$7:$J$100,'22'!$H$7:$H$100,$A277,'22'!$I$7:$I$100,1)+SUMIFS('22a'!$J$7:$J$100,'22a'!$H$7:$H$100,$A277,'22a'!$I$7:$I$100,1)+SUMIFS('22b'!$J$7:$J$100,'22b'!$H$7:$H$100,$A277,'22b'!$I$7:$I$100,1)+SUMIFS('23'!$J$7:$J$100,'23'!$H$7:$H$100,$A277,'23'!$I$7:$I$100,1)+SUMIFS('24'!$J$7:$J$100,'24'!$H$7:$H$100,$A277,'24'!$I$7:$I$100,1)+SUMIFS('24a'!$J$7:$J$100,'24a'!$H$7:$H$100,$A277,'24a'!$I$7:$I$100,1)+SUMIFS('24b'!$J$7:$J$100,'24b'!$H$7:$H$100,$A277,'24b'!$I$7:$I$100,1)+SUMIFS('24c'!$J$7:$J$100,'24c'!$H$7:$H$100,$A277,'24c'!$I$7:$I$100,1)+SUMIFS('24d'!$J$7:$J$100,'24d'!$H$7:$H$100,$A277,'24d'!$I$7:$I$100,1)+SUMIFS('24e'!$J$7:$J$100,'24e'!$H$7:$H$100,$A277,'24e'!$I$7:$I$100,1)+SUMIFS('24f'!$J$7:$J$100,'24f'!$H$7:$H$100,$A277,'24f'!$I$7:$I$100,1)+SUMIFS('24g'!$J$7:$J$100,'24g'!$H$7:$H$100,$A277,'24g'!$I$7:$I$100,1)+SUMIFS('24h'!$J$7:$J$100,'24h'!$H$7:$H$100,$A277,'24h'!$I$7:$I$100,1)+SUMIFS('24i'!$J$7:$J$100,'24i'!$H$7:$H$100,$A277,'24i'!$I$7:$I$100,1)+SUMIFS('25'!$J$7:$J$100,'25'!$H$7:$H$100,$A277,'25'!$I$7:$I$100,1)+SUMIFS('26'!$J$7:$J$100,'26'!$H$7:$H$100,$A277,'26'!$I$7:$I$100,1)+SUMIFS('26a'!$J$7:$J$100,'26a'!$H$7:$H$100,$A277,'26a'!$I$7:$I$100,1)+SUMIFS('27'!$J$7:$J$100,'27'!$H$7:$H$100,$A277,'27'!$I$7:$I$100,1)+SUMIFS('27a'!$J$7:$J$100,'27a'!$H$7:$H$100,$A277,'27a'!$I$7:$I$100,1)+SUMIFS('28'!$J$7:$J$100,'28'!$H$7:$H$100,$A277,'28'!$I$7:$I$100,1)+SUMIFS('29'!$J$7:$J$100,'29'!$H$7:$H$100,$A277,'29'!$I$7:$I$100,1)</f>
        <v>530.6</v>
      </c>
      <c r="H277" s="1315">
        <f>SUMIFS('12'!$J$7:$J$100,'12'!$H$7:$H$100,$A277,'12'!$I$7:$I$100,2)+SUMIFS('13'!$J$7:$J$100,'13'!$H$7:$H$100,$A277,'13'!$I$7:$I$100,2)+SUMIFS('14'!$J$7:$J$100,'14'!$H$7:$H$100,$A277,'14'!$I$7:$I$100,2)+SUMIFS('15'!$J$7:$J$100,'15'!$H$7:$H$100,$A277,'15'!$I$7:$I$100,2)+SUMIFS('15a'!$J$7:$J$100,'15a'!$H$7:$H$100,$A277,'15a'!$I$7:$I$100,2)+SUMIFS('15b'!$J$7:$J$100,'15b'!$H$7:$H$100,$A277,'15b'!$I$7:$I$100,2)+SUMIFS('15c'!$J$7:$J$100,'15c'!$H$7:$H$100,$A277,'15c'!$I$7:$I$100,2)+SUMIFS('15d'!$J$7:$J$100,'15d'!$H$7:$H$100,$A277,'15d'!$I$7:$I$100,2)+SUMIFS('15e'!$J$7:$J$100,'15e'!$H$7:$H$100,$A277,'15e'!$I$7:$I$100,2)+SUMIFS('15f'!$J$7:$J$100,'15f'!$H$7:$H$100,$A277,'15f'!$I$7:$I$100,2)+SUMIFS('15g'!$J$7:$J$100,'15g'!$H$7:$H$100,$A277,'15g'!$I$7:$I$100,2)+SUMIFS('15h'!$J$7:$J$100,'15h'!$H$7:$H$100,$A277,'15h'!$I$7:$I$100,2)+SUMIFS('15i'!$J$7:$J$100,'15i'!$H$7:$H$100,$A277,'15i'!$I$7:$I$100,2)+SUMIFS('15j'!$J$7:$J$100,'15j'!$H$7:$H$100,$A277,'15j'!$I$7:$I$100,2)+SUMIFS('15k'!$J$7:$J$100,'15k'!$H$7:$H$100,$A277,'15k'!$I$7:$I$100,2)+SUMIFS('15l'!$J$7:$J$100,'15l'!$H$7:$H$100,$A277,'15l'!$I$7:$I$100,2)+SUMIFS('15m'!$J$7:$J$100,'15m'!$H$7:$H$100,$A277,'15m'!$I$7:$I$100,2)+SUMIFS('15n'!$J$7:$J$100,'15n'!$H$7:$H$100,$A277,'15n'!$I$7:$I$100,2)+SUMIFS('16'!$J$7:$J$100,'16'!$H$7:$H$100,$A277,'16'!$I$7:$I$100,2)+SUMIFS('16a'!$J$7:$J$100,'16a'!$H$7:$H$100,$A277,'16a'!$I$7:$I$100,2)+SUMIFS('17'!$J$7:$J$100,'17'!$H$7:$H$100,$A277,'17'!$I$7:$I$100,2)+SUMIFS('17a'!$J$7:$J$100,'17a'!$H$7:$H$100,$A277,'17a'!$I$7:$I$100,2)+SUMIFS('18'!$J$7:$J$100,'18'!$H$7:$H$100,$A277,'18'!$I$7:$I$100,2)+SUMIFS('18a'!$J$7:$J$100,'18a'!$H$7:$H$100,$A277,'18a'!$I$7:$I$100,2)
+SUMIFS('19'!$J$7:$J$100,'19'!$H$7:$H$100,$A277,'19'!$I$7:$I$100,2)+SUMIFS('20'!$J$7:$J$100,'20'!$H$7:$H$100,$A277,'20'!$I$7:$I$100,2)+SUMIFS('20a'!$J$7:$J$100,'20a'!$H$7:$H$100,$A277,'20a'!$I$7:$I$100,2)+SUMIFS('21'!$J$7:$J$100,'21'!$H$7:$H$100,$A277,'21'!$I$7:$I$100,2)+SUMIFS('22'!$J$7:$J$100,'22'!$H$7:$H$100,$A277,'22'!$I$7:$I$100,2)+SUMIFS('22a'!$J$7:$J$100,'22a'!$H$7:$H$100,$A277,'22a'!$I$7:$I$100,2)+SUMIFS('22b'!$J$7:$J$100,'22b'!$H$7:$H$100,$A277,'22b'!$I$7:$I$100,2)+SUMIFS('23'!$J$7:$J$100,'23'!$H$7:$H$100,$A277,'23'!$I$7:$I$100,2)+SUMIFS('24'!$J$7:$J$100,'24'!$H$7:$H$100,$A277,'24'!$I$7:$I$100,2)+SUMIFS('24a'!$J$7:$J$100,'24a'!$H$7:$H$100,$A277,'24a'!$I$7:$I$100,2)+SUMIFS('24b'!$J$7:$J$100,'24b'!$H$7:$H$100,$A277,'24b'!$I$7:$I$100,2)+SUMIFS('24c'!$J$7:$J$100,'24c'!$H$7:$H$100,$A277,'24c'!$I$7:$I$100,2)+SUMIFS('24d'!$J$7:$J$100,'24d'!$H$7:$H$100,$A277,'24d'!$I$7:$I$100,2)+SUMIFS('24e'!$J$7:$J$100,'24e'!$H$7:$H$100,$A277,'24e'!$I$7:$I$100,2)+SUMIFS('24f'!$J$7:$J$100,'24f'!$H$7:$H$100,$A277,'24f'!$I$7:$I$100,2)+SUMIFS('24g'!$J$7:$J$100,'24g'!$H$7:$H$100,$A277,'24g'!$I$7:$I$100,2)+SUMIFS('24h'!$J$7:$J$100,'24h'!$H$7:$H$100,$A277,'24h'!$I$7:$I$100,2)+SUMIFS('24i'!$J$7:$J$100,'24i'!$H$7:$H$100,$A277,'24i'!$I$7:$I$100,2)+SUMIFS('25'!$J$7:$J$100,'25'!$H$7:$H$100,$A277,'25'!$I$7:$I$100,2)+SUMIFS('26'!$J$7:$J$100,'26'!$H$7:$H$100,$A277,'26'!$I$7:$I$100,2)+SUMIFS('26a'!$J$7:$J$100,'26a'!$H$7:$H$100,$A277,'26a'!$I$7:$I$100,2)+SUMIFS('27'!$J$7:$J$100,'27'!$H$7:$H$100,$A277,'27'!$I$7:$I$100,2)+SUMIFS('27a'!$J$7:$J$100,'27a'!$H$7:$H$100,$A277,'27a'!$I$7:$I$100,2)+SUMIFS('28'!$J$7:$J$100,'28'!$H$7:$H$100,$A277,'28'!$I$7:$I$100,2)+SUMIFS('29'!$J$7:$J$100,'29'!$H$7:$H$100,$A277,'29'!$I$7:$I$100,2)</f>
        <v>6225</v>
      </c>
      <c r="I277" s="1315">
        <f>SUMIFS('12'!$J$7:$J$100,'12'!$H$7:$H$100,$A277,'12'!$I$7:$I$100,"")+SUMIFS('13'!$J$7:$J$100,'13'!$H$7:$H$100,$A277,'13'!$I$7:$I$100,"")+SUMIFS('14'!$J$7:$J$100,'14'!$H$7:$H$100,$A277,'14'!$I$7:$I$100,"")+SUMIFS('15'!$J$7:$J$100,'15'!$H$7:$H$100,$A277,'15'!$I$7:$I$100,"")+SUMIFS('15a'!$J$7:$J$100,'15a'!$H$7:$H$100,$A277,'15a'!$I$7:$I$100,"")+SUMIFS('15b'!$J$7:$J$100,'15b'!$H$7:$H$100,$A277,'15b'!$I$7:$I$100,"")+SUMIFS('15c'!$J$7:$J$100,'15c'!$H$7:$H$100,$A277,'15c'!$I$7:$I$100,"")+SUMIFS('15d'!$J$7:$J$100,'15d'!$H$7:$H$100,$A277,'15d'!$I$7:$I$100,"")+SUMIFS('15e'!$J$7:$J$100,'15e'!$H$7:$H$100,$A277,'15e'!$I$7:$I$100,"")+SUMIFS('15f'!$J$7:$J$100,'15f'!$H$7:$H$100,$A277,'15f'!$I$7:$I$100,"")+SUMIFS('15g'!$J$7:$J$100,'15g'!$H$7:$H$100,$A277,'15g'!$I$7:$I$100,"")+SUMIFS('15h'!$J$7:$J$100,'15h'!$H$7:$H$100,$A277,'15h'!$I$7:$I$100,"")+SUMIFS('15i'!$J$7:$J$100,'15i'!$H$7:$H$100,$A277,'15i'!$I$7:$I$100,"")+SUMIFS('15j'!$J$7:$J$100,'15j'!$H$7:$H$100,$A277,'15j'!$I$7:$I$100,"")+SUMIFS('15k'!$J$7:$J$100,'15k'!$H$7:$H$100,$A277,'15k'!$I$7:$I$100,"")+SUMIFS('15l'!$J$7:$J$100,'15l'!$H$7:$H$100,$A277,'15l'!$I$7:$I$100,"")+SUMIFS('15m'!$J$7:$J$100,'15m'!$H$7:$H$100,$A277,'15m'!$I$7:$I$100,"")+SUMIFS('15n'!$J$7:$J$100,'15n'!$H$7:$H$100,$A277,'15n'!$I$7:$I$100,"")+SUMIFS('16'!$J$7:$J$100,'16'!$H$7:$H$100,$A277,'16'!$I$7:$I$100,"")+SUMIFS('16a'!$J$7:$J$100,'16a'!$H$7:$H$100,$A277,'16a'!$I$7:$I$100,"")+SUMIFS('17'!$J$7:$J$100,'17'!$H$7:$H$100,$A277,'17'!$I$7:$I$100,"")+SUMIFS('17a'!$J$7:$J$100,'17a'!$H$7:$H$100,$A277,'17a'!$I$7:$I$100,"")+SUMIFS('18'!$J$7:$J$100,'18'!$H$7:$H$100,$A277,'18'!$I$7:$I$100,"")+SUMIFS('18a'!$J$7:$J$100,'18a'!$H$7:$H$100,$A277,'18a'!$I$7:$I$100,"")
+SUMIFS('19'!$J$7:$J$100,'19'!$H$7:$H$100,$A277,'19'!$I$7:$I$100,"")+SUMIFS('20'!$J$7:$J$100,'20'!$H$7:$H$100,$A277,'20'!$I$7:$I$100,"")+SUMIFS('20a'!$J$7:$J$100,'20a'!$H$7:$H$100,$A277,'20a'!$I$7:$I$100,"")+SUMIFS('21'!$J$7:$J$100,'21'!$H$7:$H$100,$A277,'21'!$I$7:$I$100,"")+SUMIFS('22'!$J$7:$J$100,'22'!$H$7:$H$100,$A277,'22'!$I$7:$I$100,"")+SUMIFS('22a'!$J$7:$J$100,'22a'!$H$7:$H$100,$A277,'22a'!$I$7:$I$100,"")+SUMIFS('22b'!$J$7:$J$100,'22b'!$H$7:$H$100,$A277,'22b'!$I$7:$I$100,"")+SUMIFS('23'!$J$7:$J$100,'23'!$H$7:$H$100,$A277,'23'!$I$7:$I$100,"")+SUMIFS('24'!$J$7:$J$100,'24'!$H$7:$H$100,$A277,'24'!$I$7:$I$100,"")+SUMIFS('24a'!$J$7:$J$100,'24a'!$H$7:$H$100,$A277,'24a'!$I$7:$I$100,"")+SUMIFS('24b'!$J$7:$J$100,'24b'!$H$7:$H$100,$A277,'24b'!$I$7:$I$100,"")+SUMIFS('24c'!$J$7:$J$100,'24c'!$H$7:$H$100,$A277,'24c'!$I$7:$I$100,"")+SUMIFS('24d'!$J$7:$J$100,'24d'!$H$7:$H$100,$A277,'24d'!$I$7:$I$100,"")+SUMIFS('24e'!$J$7:$J$100,'24e'!$H$7:$H$100,$A277,'24e'!$I$7:$I$100,"")+SUMIFS('24f'!$J$7:$J$100,'24f'!$H$7:$H$100,$A277,'24f'!$I$7:$I$100,"")+SUMIFS('24g'!$J$7:$J$100,'24g'!$H$7:$H$100,$A277,'24g'!$I$7:$I$100,"")+SUMIFS('24h'!$J$7:$J$100,'24h'!$H$7:$H$100,$A277,'24h'!$I$7:$I$100,"")+SUMIFS('24i'!$J$7:$J$100,'24i'!$H$7:$H$100,$A277,'24i'!$I$7:$I$100,"")+SUMIFS('25'!$J$7:$J$100,'25'!$H$7:$H$100,$A277,'25'!$I$7:$I$100,"")+SUMIFS('26'!$J$7:$J$100,'26'!$H$7:$H$100,$A277,'26'!$I$7:$I$100,"")+SUMIFS('26a'!$J$7:$J$100,'26a'!$H$7:$H$100,$A277,'26a'!$I$7:$I$100,"")+SUMIFS('27'!$J$7:$J$100,'27'!$H$7:$H$100,$A277,'27'!$I$7:$I$100,"")+SUMIFS('27a'!$J$7:$J$100,'27a'!$H$7:$H$100,$A277,'27a'!$I$7:$I$100,"")+SUMIFS('28'!$J$7:$J$100,'28'!$H$7:$H$100,$A277,'28'!$I$7:$I$100,"")+SUMIFS('29'!$J$7:$J$100,'29'!$H$7:$H$100,$A277,'29'!$I$7:$I$100,"")</f>
        <v>0</v>
      </c>
      <c r="J277" s="1296">
        <f t="shared" si="29"/>
        <v>6755.6</v>
      </c>
      <c r="K277"/>
      <c r="L277"/>
      <c r="M277"/>
      <c r="N277"/>
      <c r="O277"/>
      <c r="P277"/>
      <c r="Q277"/>
      <c r="R277"/>
      <c r="S277" s="1307">
        <f t="shared" si="14"/>
        <v>26137.199999999997</v>
      </c>
      <c r="T277"/>
    </row>
    <row r="278" spans="1:20" x14ac:dyDescent="0.2">
      <c r="A278" t="s">
        <v>5456</v>
      </c>
      <c r="B278" t="s">
        <v>5513</v>
      </c>
      <c r="C278" s="1295">
        <f>SUMIFS('12'!$N$7:$N$100,'12'!$H$7:$H$100,$A278,'12'!$I$7:$I$100,1)+SUMIFS('13'!$N$7:$N$100,'13'!$H$7:$H$100,$A278,'13'!$I$7:$I$100,1)+SUMIFS('14'!$N$7:$N$100,'14'!$H$7:$H$100,$A278,'14'!$I$7:$I$100,1)+SUMIFS('15'!$N$7:$N$100,'15'!$H$7:$H$100,$A278,'15'!$I$7:$I$100,1)+SUMIFS('15a'!$N$7:$N$100,'15a'!$H$7:$H$100,$A278,'15a'!$I$7:$I$100,1)+SUMIFS('15b'!$N$7:$N$100,'15b'!$H$7:$H$100,$A278,'15b'!$I$7:$I$100,1)+SUMIFS('15c'!$N$7:$N$100,'15c'!$H$7:$H$100,$A278,'15c'!$I$7:$I$100,1)+SUMIFS('15d'!$N$7:$N$100,'15d'!$H$7:$H$100,$A278,'15d'!$I$7:$I$100,1)+SUMIFS('15e'!$N$7:$N$100,'15e'!$H$7:$H$100,$A278,'15e'!$I$7:$I$100,1)+SUMIFS('15f'!$N$7:$N$100,'15f'!$H$7:$H$100,$A278,'15f'!$I$7:$I$100,1)+SUMIFS('15g'!$N$7:$N$100,'15g'!$H$7:$H$100,$A278,'15g'!$I$7:$I$100,1)+SUMIFS('15h'!$N$7:$N$100,'15h'!$H$7:$H$100,$A278,'15h'!$I$7:$I$100,1)+SUMIFS('15i'!$N$7:$N$100,'15i'!$H$7:$H$100,$A278,'15i'!$I$7:$I$100,1)+SUMIFS('15j'!$N$7:$N$100,'15j'!$H$7:$H$100,$A278,'15j'!$I$7:$I$100,1)+SUMIFS('15k'!$N$7:$N$100,'15k'!$H$7:$H$100,$A278,'15k'!$I$7:$I$100,1)+SUMIFS('15l'!$N$7:$N$100,'15l'!$H$7:$H$100,$A278,'15l'!$I$7:$I$100,1)+SUMIFS('15m'!$N$7:$N$100,'15m'!$H$7:$H$100,$A278,'15m'!$I$7:$I$100,1)+SUMIFS('15n'!$N$7:$N$100,'15n'!$H$7:$H$100,$A278,'15n'!$I$7:$I$100,1)+SUMIFS('16'!$N$7:$N$100,'16'!$H$7:$H$100,$A278,'16'!$I$7:$I$100,1)+SUMIFS('16a'!$N$7:$N$100,'16a'!$H$7:$H$100,$A278,'16a'!$I$7:$I$100,1)+SUMIFS('17'!$N$7:$N$100,'17'!$H$7:$H$100,$A278,'17'!$I$7:$I$100,1)+SUMIFS('17a'!$N$7:$N$100,'17a'!$H$7:$H$100,$A278,'17a'!$I$7:$I$100,1)+SUMIFS('18'!$N$7:$N$100,'18'!$H$7:$H$100,$A278,'18'!$I$7:$I$100,1)+SUMIFS('18a'!$N$7:$N$100,'18a'!$H$7:$H$100,$A278,'18a'!$I$7:$I$100,1)
+SUMIFS('19'!$N$7:$N$100,'19'!$H$7:$H$100,$A278,'19'!$I$7:$I$100,1)+SUMIFS('20'!$N$7:$N$100,'20'!$H$7:$H$100,$A278,'20'!$I$7:$I$100,1)+SUMIFS('20a'!$N$7:$N$100,'20a'!$H$7:$H$100,$A278,'20a'!$I$7:$I$100,1)+SUMIFS('21'!$N$7:$N$100,'21'!$H$7:$H$100,$A278,'21'!$I$7:$I$100,1)+SUMIFS('22'!$N$7:$N$100,'22'!$H$7:$H$100,$A278,'22'!$I$7:$I$100,1)+SUMIFS('22a'!$N$7:$N$100,'22a'!$H$7:$H$100,$A278,'22a'!$I$7:$I$100,1)+SUMIFS('22b'!$N$7:$N$100,'22b'!$H$7:$H$100,$A278,'22b'!$I$7:$I$100,1)+SUMIFS('23'!$N$7:$N$100,'23'!$H$7:$H$100,$A278,'23'!$I$7:$I$100,1)+SUMIFS('24'!$N$7:$N$100,'24'!$H$7:$H$100,$A278,'24'!$I$7:$I$100,1)+SUMIFS('24a'!$N$7:$N$100,'24a'!$H$7:$H$100,$A278,'24a'!$I$7:$I$100,1)+SUMIFS('24b'!$N$7:$N$100,'24b'!$H$7:$H$100,$A278,'24b'!$I$7:$I$100,1)+SUMIFS('24c'!$N$7:$N$100,'24c'!$H$7:$H$100,$A278,'24c'!$I$7:$I$100,1)+SUMIFS('24d'!$N$7:$N$100,'24d'!$H$7:$H$100,$A278,'24d'!$I$7:$I$100,1)+SUMIFS('24e'!$N$7:$N$100,'24e'!$H$7:$H$100,$A278,'24e'!$I$7:$I$100,1)+SUMIFS('24f'!$N$7:$N$100,'24f'!$H$7:$H$100,$A278,'24f'!$I$7:$I$100,1)+SUMIFS('24g'!$N$7:$N$100,'24g'!$H$7:$H$100,$A278,'24g'!$I$7:$I$100,1)+SUMIFS('24h'!$N$7:$N$100,'24h'!$H$7:$H$100,$A278,'24h'!$I$7:$I$100,1)+SUMIFS('24i'!$N$7:$N$100,'24i'!$H$7:$H$100,$A278,'24i'!$I$7:$I$100,1)+SUMIFS('25'!$N$7:$N$100,'25'!$H$7:$H$100,$A278,'25'!$I$7:$I$100,1)+SUMIFS('26'!$N$7:$N$100,'26'!$H$7:$H$100,$A278,'26'!$I$7:$I$100,1)+SUMIFS('26a'!$N$7:$N$100,'26a'!$H$7:$H$100,$A278,'26a'!$I$7:$I$100,1)+SUMIFS('27'!$N$7:$N$100,'27'!$H$7:$H$100,$A278,'27'!$I$7:$I$100,1)+SUMIFS('27a'!$N$7:$N$100,'27a'!$H$7:$H$100,$A278,'27a'!$I$7:$I$100,1)+SUMIFS('28'!$N$7:$N$100,'28'!$H$7:$H$100,$A278,'28'!$I$7:$I$100,1)+SUMIFS('29'!$N$7:$N$100,'29'!$H$7:$H$100,$A278,'29'!$I$7:$I$100,1)</f>
        <v>0</v>
      </c>
      <c r="D278" s="1315">
        <f>SUMIFS('12'!$N$7:$N$100,'12'!$H$7:$H$100,$A278,'12'!$I$7:$I$100,2)+SUMIFS('13'!$N$7:$N$100,'13'!$H$7:$H$100,$A278,'13'!$I$7:$I$100,2)+SUMIFS('14'!$N$7:$N$100,'14'!$H$7:$H$100,$A278,'14'!$I$7:$I$100,2)+SUMIFS('15'!$N$7:$N$100,'15'!$H$7:$H$100,$A278,'15'!$I$7:$I$100,2)+SUMIFS('15a'!$N$7:$N$100,'15a'!$H$7:$H$100,$A278,'15a'!$I$7:$I$100,2)+SUMIFS('15b'!$N$7:$N$100,'15b'!$H$7:$H$100,$A278,'15b'!$I$7:$I$100,2)+SUMIFS('15c'!$N$7:$N$100,'15c'!$H$7:$H$100,$A278,'15c'!$I$7:$I$100,2)+SUMIFS('15d'!$N$7:$N$100,'15d'!$H$7:$H$100,$A278,'15d'!$I$7:$I$100,2)+SUMIFS('15e'!$N$7:$N$100,'15e'!$H$7:$H$100,$A278,'15e'!$I$7:$I$100,2)+SUMIFS('15f'!$N$7:$N$100,'15f'!$H$7:$H$100,$A278,'15f'!$I$7:$I$100,2)+SUMIFS('15g'!$N$7:$N$100,'15g'!$H$7:$H$100,$A278,'15g'!$I$7:$I$100,2)+SUMIFS('15h'!$N$7:$N$100,'15h'!$H$7:$H$100,$A278,'15h'!$I$7:$I$100,2)+SUMIFS('15i'!$N$7:$N$100,'15i'!$H$7:$H$100,$A278,'15i'!$I$7:$I$100,2)+SUMIFS('15j'!$N$7:$N$100,'15j'!$H$7:$H$100,$A278,'15j'!$I$7:$I$100,2)+SUMIFS('15k'!$N$7:$N$100,'15k'!$H$7:$H$100,$A278,'15k'!$I$7:$I$100,2)+SUMIFS('15l'!$N$7:$N$100,'15l'!$H$7:$H$100,$A278,'15l'!$I$7:$I$100,2)+SUMIFS('15m'!$N$7:$N$100,'15m'!$H$7:$H$100,$A278,'15m'!$I$7:$I$100,2)+SUMIFS('15n'!$N$7:$N$100,'15n'!$H$7:$H$100,$A278,'15n'!$I$7:$I$100,2)+SUMIFS('16'!$N$7:$N$100,'16'!$H$7:$H$100,$A278,'16'!$I$7:$I$100,2)+SUMIFS('16a'!$N$7:$N$100,'16a'!$H$7:$H$100,$A278,'16a'!$I$7:$I$100,2)+SUMIFS('17'!$N$7:$N$100,'17'!$H$7:$H$100,$A278,'17'!$I$7:$I$100,2)+SUMIFS('17a'!$N$7:$N$100,'17a'!$H$7:$H$100,$A278,'17a'!$I$7:$I$100,2)+SUMIFS('18'!$N$7:$N$100,'18'!$H$7:$H$100,$A278,'18'!$I$7:$I$100,2)+SUMIFS('18a'!$N$7:$N$100,'18a'!$H$7:$H$100,$A278,'18a'!$I$7:$I$100,2)
+SUMIFS('19'!$N$7:$N$100,'19'!$H$7:$H$100,$A278,'19'!$I$7:$I$100,2)+SUMIFS('20'!$N$7:$N$100,'20'!$H$7:$H$100,$A278,'20'!$I$7:$I$100,2)+SUMIFS('20a'!$N$7:$N$100,'20a'!$H$7:$H$100,$A278,'20a'!$I$7:$I$100,2)+SUMIFS('21'!$N$7:$N$100,'21'!$H$7:$H$100,$A278,'21'!$I$7:$I$100,2)+SUMIFS('22'!$N$7:$N$100,'22'!$H$7:$H$100,$A278,'22'!$I$7:$I$100,2)+SUMIFS('22a'!$N$7:$N$100,'22a'!$H$7:$H$100,$A278,'22a'!$I$7:$I$100,2)+SUMIFS('22b'!$N$7:$N$100,'22b'!$H$7:$H$100,$A278,'22b'!$I$7:$I$100,2)+SUMIFS('23'!$N$7:$N$100,'23'!$H$7:$H$100,$A278,'23'!$I$7:$I$100,2)+SUMIFS('24'!$N$7:$N$100,'24'!$H$7:$H$100,$A278,'24'!$I$7:$I$100,2)+SUMIFS('24a'!$N$7:$N$100,'24a'!$H$7:$H$100,$A278,'24a'!$I$7:$I$100,2)+SUMIFS('24b'!$N$7:$N$100,'24b'!$H$7:$H$100,$A278,'24b'!$I$7:$I$100,2)+SUMIFS('24c'!$N$7:$N$100,'24c'!$H$7:$H$100,$A278,'24c'!$I$7:$I$100,2)+SUMIFS('24d'!$N$7:$N$100,'24d'!$H$7:$H$100,$A278,'24d'!$I$7:$I$100,2)+SUMIFS('24e'!$N$7:$N$100,'24e'!$H$7:$H$100,$A278,'24e'!$I$7:$I$100,2)+SUMIFS('24f'!$N$7:$N$100,'24f'!$H$7:$H$100,$A278,'24f'!$I$7:$I$100,2)+SUMIFS('24g'!$N$7:$N$100,'24g'!$H$7:$H$100,$A278,'24g'!$I$7:$I$100,2)+SUMIFS('24h'!$N$7:$N$100,'24h'!$H$7:$H$100,$A278,'24h'!$I$7:$I$100,2)+SUMIFS('24i'!$N$7:$N$100,'24i'!$H$7:$H$100,$A278,'24i'!$I$7:$I$100,2)+SUMIFS('25'!$N$7:$N$100,'25'!$H$7:$H$100,$A278,'25'!$I$7:$I$100,2)+SUMIFS('26'!$N$7:$N$100,'26'!$H$7:$H$100,$A278,'26'!$I$7:$I$100,2)+SUMIFS('26a'!$N$7:$N$100,'26a'!$H$7:$H$100,$A278,'26a'!$I$7:$I$100,2)+SUMIFS('27'!$N$7:$N$100,'27'!$H$7:$H$100,$A278,'27'!$I$7:$I$100,2)+SUMIFS('27a'!$N$7:$N$100,'27a'!$H$7:$H$100,$A278,'27a'!$I$7:$I$100,2)+SUMIFS('28'!$N$7:$N$100,'28'!$H$7:$H$100,$A278,'28'!$I$7:$I$100,2)+SUMIFS('29'!$N$7:$N$100,'29'!$H$7:$H$100,$A278,'29'!$I$7:$I$100,2)</f>
        <v>0</v>
      </c>
      <c r="E278" s="1315">
        <f>SUMIFS('12'!$N$7:$N$100,'12'!$H$7:$H$100,$A278,'12'!$I$7:$I$100,"")+SUMIFS('13'!$N$7:$N$100,'13'!$H$7:$H$100,$A278,'13'!$I$7:$I$100,"")+SUMIFS('14'!$N$7:$N$100,'14'!$H$7:$H$100,$A278,'14'!$I$7:$I$100,"")+SUMIFS('15'!$N$7:$N$100,'15'!$H$7:$H$100,$A278,'15'!$I$7:$I$100,"")+SUMIFS('15a'!$N$7:$N$100,'15a'!$H$7:$H$100,$A278,'15a'!$I$7:$I$100,"")+SUMIFS('15b'!$N$7:$N$100,'15b'!$H$7:$H$100,$A278,'15b'!$I$7:$I$100,"")+SUMIFS('15c'!$N$7:$N$100,'15c'!$H$7:$H$100,$A278,'15c'!$I$7:$I$100,"")+SUMIFS('15d'!$N$7:$N$100,'15d'!$H$7:$H$100,$A278,'15d'!$I$7:$I$100,"")+SUMIFS('15e'!$N$7:$N$100,'15e'!$H$7:$H$100,$A278,'15e'!$I$7:$I$100,"")+SUMIFS('15f'!$N$7:$N$100,'15f'!$H$7:$H$100,$A278,'15f'!$I$7:$I$100,"")+SUMIFS('15g'!$N$7:$N$100,'15g'!$H$7:$H$100,$A278,'15g'!$I$7:$I$100,"")+SUMIFS('15h'!$N$7:$N$100,'15h'!$H$7:$H$100,$A278,'15h'!$I$7:$I$100,"")+SUMIFS('15i'!$N$7:$N$100,'15i'!$H$7:$H$100,$A278,'15i'!$I$7:$I$100,"")+SUMIFS('15j'!$N$7:$N$100,'15j'!$H$7:$H$100,$A278,'15j'!$I$7:$I$100,"")+SUMIFS('15k'!$N$7:$N$100,'15k'!$H$7:$H$100,$A278,'15k'!$I$7:$I$100,"")+SUMIFS('15l'!$N$7:$N$100,'15l'!$H$7:$H$100,$A278,'15l'!$I$7:$I$100,"")+SUMIFS('15m'!$N$7:$N$100,'15m'!$H$7:$H$100,$A278,'15m'!$I$7:$I$100,"")+SUMIFS('15n'!$N$7:$N$100,'15n'!$H$7:$H$100,$A278,'15n'!$I$7:$I$100,"")+SUMIFS('16'!$N$7:$N$100,'16'!$H$7:$H$100,$A278,'16'!$I$7:$I$100,"")+SUMIFS('16a'!$N$7:$N$100,'16a'!$H$7:$H$100,$A278,'16a'!$I$7:$I$100,"")+SUMIFS('17'!$N$7:$N$100,'17'!$H$7:$H$100,$A278,'17'!$I$7:$I$100,"")+SUMIFS('17a'!$N$7:$N$100,'17a'!$H$7:$H$100,$A278,'17a'!$I$7:$I$100,"")+SUMIFS('18'!$N$7:$N$100,'18'!$H$7:$H$100,$A278,'18'!$I$7:$I$100,"")+SUMIFS('18a'!$N$7:$N$100,'18a'!$H$7:$H$100,$A278,'18a'!$I$7:$I$100,"")
+SUMIFS('19'!$N$7:$N$100,'19'!$H$7:$H$100,$A278,'19'!$I$7:$I$100,"")+SUMIFS('20'!$N$7:$N$100,'20'!$H$7:$H$100,$A278,'20'!$I$7:$I$100,"")+SUMIFS('20a'!$N$7:$N$100,'20a'!$H$7:$H$100,$A278,'20a'!$I$7:$I$100,"")+SUMIFS('21'!$N$7:$N$100,'21'!$H$7:$H$100,$A278,'21'!$I$7:$I$100,"")+SUMIFS('22'!$N$7:$N$100,'22'!$H$7:$H$100,$A278,'22'!$I$7:$I$100,"")+SUMIFS('22a'!$N$7:$N$100,'22a'!$H$7:$H$100,$A278,'22a'!$I$7:$I$100,"")+SUMIFS('22b'!$N$7:$N$100,'22b'!$H$7:$H$100,$A278,'22b'!$I$7:$I$100,"")+SUMIFS('23'!$N$7:$N$100,'23'!$H$7:$H$100,$A278,'23'!$I$7:$I$100,"")+SUMIFS('24'!$N$7:$N$100,'24'!$H$7:$H$100,$A278,'24'!$I$7:$I$100,"")+SUMIFS('24a'!$N$7:$N$100,'24a'!$H$7:$H$100,$A278,'24a'!$I$7:$I$100,"")+SUMIFS('24b'!$N$7:$N$100,'24b'!$H$7:$H$100,$A278,'24b'!$I$7:$I$100,"")+SUMIFS('24c'!$N$7:$N$100,'24c'!$H$7:$H$100,$A278,'24c'!$I$7:$I$100,"")+SUMIFS('24d'!$N$7:$N$100,'24d'!$H$7:$H$100,$A278,'24d'!$I$7:$I$100,"")+SUMIFS('24e'!$N$7:$N$100,'24e'!$H$7:$H$100,$A278,'24e'!$I$7:$I$100,"")+SUMIFS('24f'!$N$7:$N$100,'24f'!$H$7:$H$100,$A278,'24f'!$I$7:$I$100,"")+SUMIFS('24g'!$N$7:$N$100,'24g'!$H$7:$H$100,$A278,'24g'!$I$7:$I$100,"")+SUMIFS('24h'!$N$7:$N$100,'24h'!$H$7:$H$100,$A278,'24h'!$I$7:$I$100,"")+SUMIFS('24i'!$N$7:$N$100,'24i'!$H$7:$H$100,$A278,'24i'!$I$7:$I$100,"")+SUMIFS('25'!$N$7:$N$100,'25'!$H$7:$H$100,$A278,'25'!$I$7:$I$100,"")+SUMIFS('26'!$N$7:$N$100,'26'!$H$7:$H$100,$A278,'26'!$I$7:$I$100,"")+SUMIFS('26a'!$N$7:$N$100,'26a'!$H$7:$H$100,$A278,'26a'!$I$7:$I$100,"")+SUMIFS('27'!$N$7:$N$100,'27'!$H$7:$H$100,$A278,'27'!$I$7:$I$100,"")+SUMIFS('27a'!$N$7:$N$100,'27a'!$H$7:$H$100,$A278,'27a'!$I$7:$I$100,"")+SUMIFS('28'!$N$7:$N$100,'28'!$H$7:$H$100,$A278,'28'!$I$7:$I$100,"")+SUMIFS('29'!$N$7:$N$100,'29'!$H$7:$H$100,$A278,'29'!$I$7:$I$100,"")</f>
        <v>0</v>
      </c>
      <c r="F278" s="1296">
        <f t="shared" si="28"/>
        <v>0</v>
      </c>
      <c r="G278" s="1295">
        <f>SUMIFS('12'!$J$7:$J$100,'12'!$H$7:$H$100,$A278,'12'!$I$7:$I$100,1)+SUMIFS('13'!$J$7:$J$100,'13'!$H$7:$H$100,$A278,'13'!$I$7:$I$100,1)+SUMIFS('14'!$J$7:$J$100,'14'!$H$7:$H$100,$A278,'14'!$I$7:$I$100,1)+SUMIFS('15'!$J$7:$J$100,'15'!$H$7:$H$100,$A278,'15'!$I$7:$I$100,1)+SUMIFS('15a'!$J$7:$J$100,'15a'!$H$7:$H$100,$A278,'15a'!$I$7:$I$100,1)+SUMIFS('15b'!$J$7:$J$100,'15b'!$H$7:$H$100,$A278,'15b'!$I$7:$I$100,1)+SUMIFS('15c'!$J$7:$J$100,'15c'!$H$7:$H$100,$A278,'15c'!$I$7:$I$100,1)+SUMIFS('15d'!$J$7:$J$100,'15d'!$H$7:$H$100,$A278,'15d'!$I$7:$I$100,1)+SUMIFS('15e'!$J$7:$J$100,'15e'!$H$7:$H$100,$A278,'15e'!$I$7:$I$100,1)+SUMIFS('15f'!$J$7:$J$100,'15f'!$H$7:$H$100,$A278,'15f'!$I$7:$I$100,1)+SUMIFS('15g'!$J$7:$J$100,'15g'!$H$7:$H$100,$A278,'15g'!$I$7:$I$100,1)+SUMIFS('15h'!$J$7:$J$100,'15h'!$H$7:$H$100,$A278,'15h'!$I$7:$I$100,1)+SUMIFS('15i'!$J$7:$J$100,'15i'!$H$7:$H$100,$A278,'15i'!$I$7:$I$100,1)+SUMIFS('15j'!$J$7:$J$100,'15j'!$H$7:$H$100,$A278,'15j'!$I$7:$I$100,1)+SUMIFS('15k'!$J$7:$J$100,'15k'!$H$7:$H$100,$A278,'15k'!$I$7:$I$100,1)+SUMIFS('15l'!$J$7:$J$100,'15l'!$H$7:$H$100,$A278,'15l'!$I$7:$I$100,1)+SUMIFS('15m'!$J$7:$J$100,'15m'!$H$7:$H$100,$A278,'15m'!$I$7:$I$100,1)+SUMIFS('15n'!$J$7:$J$100,'15n'!$H$7:$H$100,$A278,'15n'!$I$7:$I$100,1)+SUMIFS('16'!$J$7:$J$100,'16'!$H$7:$H$100,$A278,'16'!$I$7:$I$100,1)+SUMIFS('16a'!$J$7:$J$100,'16a'!$H$7:$H$100,$A278,'16a'!$I$7:$I$100,1)+SUMIFS('17'!$J$7:$J$100,'17'!$H$7:$H$100,$A278,'17'!$I$7:$I$100,1)+SUMIFS('17a'!$J$7:$J$100,'17a'!$H$7:$H$100,$A278,'17a'!$I$7:$I$100,1)+SUMIFS('18'!$J$7:$J$100,'18'!$H$7:$H$100,$A278,'18'!$I$7:$I$100,1)+SUMIFS('18a'!$J$7:$J$100,'18a'!$H$7:$H$100,$A278,'18a'!$I$7:$I$100,1)
+SUMIFS('19'!$J$7:$J$100,'19'!$H$7:$H$100,$A278,'19'!$I$7:$I$100,1)+SUMIFS('20'!$J$7:$J$100,'20'!$H$7:$H$100,$A278,'20'!$I$7:$I$100,1)+SUMIFS('20a'!$J$7:$J$100,'20a'!$H$7:$H$100,$A278,'20a'!$I$7:$I$100,1)+SUMIFS('21'!$J$7:$J$100,'21'!$H$7:$H$100,$A278,'21'!$I$7:$I$100,1)+SUMIFS('22'!$J$7:$J$100,'22'!$H$7:$H$100,$A278,'22'!$I$7:$I$100,1)+SUMIFS('22a'!$J$7:$J$100,'22a'!$H$7:$H$100,$A278,'22a'!$I$7:$I$100,1)+SUMIFS('22b'!$J$7:$J$100,'22b'!$H$7:$H$100,$A278,'22b'!$I$7:$I$100,1)+SUMIFS('23'!$J$7:$J$100,'23'!$H$7:$H$100,$A278,'23'!$I$7:$I$100,1)+SUMIFS('24'!$J$7:$J$100,'24'!$H$7:$H$100,$A278,'24'!$I$7:$I$100,1)+SUMIFS('24a'!$J$7:$J$100,'24a'!$H$7:$H$100,$A278,'24a'!$I$7:$I$100,1)+SUMIFS('24b'!$J$7:$J$100,'24b'!$H$7:$H$100,$A278,'24b'!$I$7:$I$100,1)+SUMIFS('24c'!$J$7:$J$100,'24c'!$H$7:$H$100,$A278,'24c'!$I$7:$I$100,1)+SUMIFS('24d'!$J$7:$J$100,'24d'!$H$7:$H$100,$A278,'24d'!$I$7:$I$100,1)+SUMIFS('24e'!$J$7:$J$100,'24e'!$H$7:$H$100,$A278,'24e'!$I$7:$I$100,1)+SUMIFS('24f'!$J$7:$J$100,'24f'!$H$7:$H$100,$A278,'24f'!$I$7:$I$100,1)+SUMIFS('24g'!$J$7:$J$100,'24g'!$H$7:$H$100,$A278,'24g'!$I$7:$I$100,1)+SUMIFS('24h'!$J$7:$J$100,'24h'!$H$7:$H$100,$A278,'24h'!$I$7:$I$100,1)+SUMIFS('24i'!$J$7:$J$100,'24i'!$H$7:$H$100,$A278,'24i'!$I$7:$I$100,1)+SUMIFS('25'!$J$7:$J$100,'25'!$H$7:$H$100,$A278,'25'!$I$7:$I$100,1)+SUMIFS('26'!$J$7:$J$100,'26'!$H$7:$H$100,$A278,'26'!$I$7:$I$100,1)+SUMIFS('26a'!$J$7:$J$100,'26a'!$H$7:$H$100,$A278,'26a'!$I$7:$I$100,1)+SUMIFS('27'!$J$7:$J$100,'27'!$H$7:$H$100,$A278,'27'!$I$7:$I$100,1)+SUMIFS('27a'!$J$7:$J$100,'27a'!$H$7:$H$100,$A278,'27a'!$I$7:$I$100,1)+SUMIFS('28'!$J$7:$J$100,'28'!$H$7:$H$100,$A278,'28'!$I$7:$I$100,1)+SUMIFS('29'!$J$7:$J$100,'29'!$H$7:$H$100,$A278,'29'!$I$7:$I$100,1)</f>
        <v>0</v>
      </c>
      <c r="H278" s="1315">
        <f>SUMIFS('12'!$J$7:$J$100,'12'!$H$7:$H$100,$A278,'12'!$I$7:$I$100,2)+SUMIFS('13'!$J$7:$J$100,'13'!$H$7:$H$100,$A278,'13'!$I$7:$I$100,2)+SUMIFS('14'!$J$7:$J$100,'14'!$H$7:$H$100,$A278,'14'!$I$7:$I$100,2)+SUMIFS('15'!$J$7:$J$100,'15'!$H$7:$H$100,$A278,'15'!$I$7:$I$100,2)+SUMIFS('15a'!$J$7:$J$100,'15a'!$H$7:$H$100,$A278,'15a'!$I$7:$I$100,2)+SUMIFS('15b'!$J$7:$J$100,'15b'!$H$7:$H$100,$A278,'15b'!$I$7:$I$100,2)+SUMIFS('15c'!$J$7:$J$100,'15c'!$H$7:$H$100,$A278,'15c'!$I$7:$I$100,2)+SUMIFS('15d'!$J$7:$J$100,'15d'!$H$7:$H$100,$A278,'15d'!$I$7:$I$100,2)+SUMIFS('15e'!$J$7:$J$100,'15e'!$H$7:$H$100,$A278,'15e'!$I$7:$I$100,2)+SUMIFS('15f'!$J$7:$J$100,'15f'!$H$7:$H$100,$A278,'15f'!$I$7:$I$100,2)+SUMIFS('15g'!$J$7:$J$100,'15g'!$H$7:$H$100,$A278,'15g'!$I$7:$I$100,2)+SUMIFS('15h'!$J$7:$J$100,'15h'!$H$7:$H$100,$A278,'15h'!$I$7:$I$100,2)+SUMIFS('15i'!$J$7:$J$100,'15i'!$H$7:$H$100,$A278,'15i'!$I$7:$I$100,2)+SUMIFS('15j'!$J$7:$J$100,'15j'!$H$7:$H$100,$A278,'15j'!$I$7:$I$100,2)+SUMIFS('15k'!$J$7:$J$100,'15k'!$H$7:$H$100,$A278,'15k'!$I$7:$I$100,2)+SUMIFS('15l'!$J$7:$J$100,'15l'!$H$7:$H$100,$A278,'15l'!$I$7:$I$100,2)+SUMIFS('15m'!$J$7:$J$100,'15m'!$H$7:$H$100,$A278,'15m'!$I$7:$I$100,2)+SUMIFS('15n'!$J$7:$J$100,'15n'!$H$7:$H$100,$A278,'15n'!$I$7:$I$100,2)+SUMIFS('16'!$J$7:$J$100,'16'!$H$7:$H$100,$A278,'16'!$I$7:$I$100,2)+SUMIFS('16a'!$J$7:$J$100,'16a'!$H$7:$H$100,$A278,'16a'!$I$7:$I$100,2)+SUMIFS('17'!$J$7:$J$100,'17'!$H$7:$H$100,$A278,'17'!$I$7:$I$100,2)+SUMIFS('17a'!$J$7:$J$100,'17a'!$H$7:$H$100,$A278,'17a'!$I$7:$I$100,2)+SUMIFS('18'!$J$7:$J$100,'18'!$H$7:$H$100,$A278,'18'!$I$7:$I$100,2)+SUMIFS('18a'!$J$7:$J$100,'18a'!$H$7:$H$100,$A278,'18a'!$I$7:$I$100,2)
+SUMIFS('19'!$J$7:$J$100,'19'!$H$7:$H$100,$A278,'19'!$I$7:$I$100,2)+SUMIFS('20'!$J$7:$J$100,'20'!$H$7:$H$100,$A278,'20'!$I$7:$I$100,2)+SUMIFS('20a'!$J$7:$J$100,'20a'!$H$7:$H$100,$A278,'20a'!$I$7:$I$100,2)+SUMIFS('21'!$J$7:$J$100,'21'!$H$7:$H$100,$A278,'21'!$I$7:$I$100,2)+SUMIFS('22'!$J$7:$J$100,'22'!$H$7:$H$100,$A278,'22'!$I$7:$I$100,2)+SUMIFS('22a'!$J$7:$J$100,'22a'!$H$7:$H$100,$A278,'22a'!$I$7:$I$100,2)+SUMIFS('22b'!$J$7:$J$100,'22b'!$H$7:$H$100,$A278,'22b'!$I$7:$I$100,2)+SUMIFS('23'!$J$7:$J$100,'23'!$H$7:$H$100,$A278,'23'!$I$7:$I$100,2)+SUMIFS('24'!$J$7:$J$100,'24'!$H$7:$H$100,$A278,'24'!$I$7:$I$100,2)+SUMIFS('24a'!$J$7:$J$100,'24a'!$H$7:$H$100,$A278,'24a'!$I$7:$I$100,2)+SUMIFS('24b'!$J$7:$J$100,'24b'!$H$7:$H$100,$A278,'24b'!$I$7:$I$100,2)+SUMIFS('24c'!$J$7:$J$100,'24c'!$H$7:$H$100,$A278,'24c'!$I$7:$I$100,2)+SUMIFS('24d'!$J$7:$J$100,'24d'!$H$7:$H$100,$A278,'24d'!$I$7:$I$100,2)+SUMIFS('24e'!$J$7:$J$100,'24e'!$H$7:$H$100,$A278,'24e'!$I$7:$I$100,2)+SUMIFS('24f'!$J$7:$J$100,'24f'!$H$7:$H$100,$A278,'24f'!$I$7:$I$100,2)+SUMIFS('24g'!$J$7:$J$100,'24g'!$H$7:$H$100,$A278,'24g'!$I$7:$I$100,2)+SUMIFS('24h'!$J$7:$J$100,'24h'!$H$7:$H$100,$A278,'24h'!$I$7:$I$100,2)+SUMIFS('24i'!$J$7:$J$100,'24i'!$H$7:$H$100,$A278,'24i'!$I$7:$I$100,2)+SUMIFS('25'!$J$7:$J$100,'25'!$H$7:$H$100,$A278,'25'!$I$7:$I$100,2)+SUMIFS('26'!$J$7:$J$100,'26'!$H$7:$H$100,$A278,'26'!$I$7:$I$100,2)+SUMIFS('26a'!$J$7:$J$100,'26a'!$H$7:$H$100,$A278,'26a'!$I$7:$I$100,2)+SUMIFS('27'!$J$7:$J$100,'27'!$H$7:$H$100,$A278,'27'!$I$7:$I$100,2)+SUMIFS('27a'!$J$7:$J$100,'27a'!$H$7:$H$100,$A278,'27a'!$I$7:$I$100,2)+SUMIFS('28'!$J$7:$J$100,'28'!$H$7:$H$100,$A278,'28'!$I$7:$I$100,2)+SUMIFS('29'!$J$7:$J$100,'29'!$H$7:$H$100,$A278,'29'!$I$7:$I$100,2)</f>
        <v>0</v>
      </c>
      <c r="I278" s="1315">
        <f>SUMIFS('12'!$J$7:$J$100,'12'!$H$7:$H$100,$A278,'12'!$I$7:$I$100,"")+SUMIFS('13'!$J$7:$J$100,'13'!$H$7:$H$100,$A278,'13'!$I$7:$I$100,"")+SUMIFS('14'!$J$7:$J$100,'14'!$H$7:$H$100,$A278,'14'!$I$7:$I$100,"")+SUMIFS('15'!$J$7:$J$100,'15'!$H$7:$H$100,$A278,'15'!$I$7:$I$100,"")+SUMIFS('15a'!$J$7:$J$100,'15a'!$H$7:$H$100,$A278,'15a'!$I$7:$I$100,"")+SUMIFS('15b'!$J$7:$J$100,'15b'!$H$7:$H$100,$A278,'15b'!$I$7:$I$100,"")+SUMIFS('15c'!$J$7:$J$100,'15c'!$H$7:$H$100,$A278,'15c'!$I$7:$I$100,"")+SUMIFS('15d'!$J$7:$J$100,'15d'!$H$7:$H$100,$A278,'15d'!$I$7:$I$100,"")+SUMIFS('15e'!$J$7:$J$100,'15e'!$H$7:$H$100,$A278,'15e'!$I$7:$I$100,"")+SUMIFS('15f'!$J$7:$J$100,'15f'!$H$7:$H$100,$A278,'15f'!$I$7:$I$100,"")+SUMIFS('15g'!$J$7:$J$100,'15g'!$H$7:$H$100,$A278,'15g'!$I$7:$I$100,"")+SUMIFS('15h'!$J$7:$J$100,'15h'!$H$7:$H$100,$A278,'15h'!$I$7:$I$100,"")+SUMIFS('15i'!$J$7:$J$100,'15i'!$H$7:$H$100,$A278,'15i'!$I$7:$I$100,"")+SUMIFS('15j'!$J$7:$J$100,'15j'!$H$7:$H$100,$A278,'15j'!$I$7:$I$100,"")+SUMIFS('15k'!$J$7:$J$100,'15k'!$H$7:$H$100,$A278,'15k'!$I$7:$I$100,"")+SUMIFS('15l'!$J$7:$J$100,'15l'!$H$7:$H$100,$A278,'15l'!$I$7:$I$100,"")+SUMIFS('15m'!$J$7:$J$100,'15m'!$H$7:$H$100,$A278,'15m'!$I$7:$I$100,"")+SUMIFS('15n'!$J$7:$J$100,'15n'!$H$7:$H$100,$A278,'15n'!$I$7:$I$100,"")+SUMIFS('16'!$J$7:$J$100,'16'!$H$7:$H$100,$A278,'16'!$I$7:$I$100,"")+SUMIFS('16a'!$J$7:$J$100,'16a'!$H$7:$H$100,$A278,'16a'!$I$7:$I$100,"")+SUMIFS('17'!$J$7:$J$100,'17'!$H$7:$H$100,$A278,'17'!$I$7:$I$100,"")+SUMIFS('17a'!$J$7:$J$100,'17a'!$H$7:$H$100,$A278,'17a'!$I$7:$I$100,"")+SUMIFS('18'!$J$7:$J$100,'18'!$H$7:$H$100,$A278,'18'!$I$7:$I$100,"")+SUMIFS('18a'!$J$7:$J$100,'18a'!$H$7:$H$100,$A278,'18a'!$I$7:$I$100,"")
+SUMIFS('19'!$J$7:$J$100,'19'!$H$7:$H$100,$A278,'19'!$I$7:$I$100,"")+SUMIFS('20'!$J$7:$J$100,'20'!$H$7:$H$100,$A278,'20'!$I$7:$I$100,"")+SUMIFS('20a'!$J$7:$J$100,'20a'!$H$7:$H$100,$A278,'20a'!$I$7:$I$100,"")+SUMIFS('21'!$J$7:$J$100,'21'!$H$7:$H$100,$A278,'21'!$I$7:$I$100,"")+SUMIFS('22'!$J$7:$J$100,'22'!$H$7:$H$100,$A278,'22'!$I$7:$I$100,"")+SUMIFS('22a'!$J$7:$J$100,'22a'!$H$7:$H$100,$A278,'22a'!$I$7:$I$100,"")+SUMIFS('22b'!$J$7:$J$100,'22b'!$H$7:$H$100,$A278,'22b'!$I$7:$I$100,"")+SUMIFS('23'!$J$7:$J$100,'23'!$H$7:$H$100,$A278,'23'!$I$7:$I$100,"")+SUMIFS('24'!$J$7:$J$100,'24'!$H$7:$H$100,$A278,'24'!$I$7:$I$100,"")+SUMIFS('24a'!$J$7:$J$100,'24a'!$H$7:$H$100,$A278,'24a'!$I$7:$I$100,"")+SUMIFS('24b'!$J$7:$J$100,'24b'!$H$7:$H$100,$A278,'24b'!$I$7:$I$100,"")+SUMIFS('24c'!$J$7:$J$100,'24c'!$H$7:$H$100,$A278,'24c'!$I$7:$I$100,"")+SUMIFS('24d'!$J$7:$J$100,'24d'!$H$7:$H$100,$A278,'24d'!$I$7:$I$100,"")+SUMIFS('24e'!$J$7:$J$100,'24e'!$H$7:$H$100,$A278,'24e'!$I$7:$I$100,"")+SUMIFS('24f'!$J$7:$J$100,'24f'!$H$7:$H$100,$A278,'24f'!$I$7:$I$100,"")+SUMIFS('24g'!$J$7:$J$100,'24g'!$H$7:$H$100,$A278,'24g'!$I$7:$I$100,"")+SUMIFS('24h'!$J$7:$J$100,'24h'!$H$7:$H$100,$A278,'24h'!$I$7:$I$100,"")+SUMIFS('24i'!$J$7:$J$100,'24i'!$H$7:$H$100,$A278,'24i'!$I$7:$I$100,"")+SUMIFS('25'!$J$7:$J$100,'25'!$H$7:$H$100,$A278,'25'!$I$7:$I$100,"")+SUMIFS('26'!$J$7:$J$100,'26'!$H$7:$H$100,$A278,'26'!$I$7:$I$100,"")+SUMIFS('26a'!$J$7:$J$100,'26a'!$H$7:$H$100,$A278,'26a'!$I$7:$I$100,"")+SUMIFS('27'!$J$7:$J$100,'27'!$H$7:$H$100,$A278,'27'!$I$7:$I$100,"")+SUMIFS('27a'!$J$7:$J$100,'27a'!$H$7:$H$100,$A278,'27a'!$I$7:$I$100,"")+SUMIFS('28'!$J$7:$J$100,'28'!$H$7:$H$100,$A278,'28'!$I$7:$I$100,"")+SUMIFS('29'!$J$7:$J$100,'29'!$H$7:$H$100,$A278,'29'!$I$7:$I$100,"")</f>
        <v>0</v>
      </c>
      <c r="J278" s="1296">
        <f t="shared" si="29"/>
        <v>0</v>
      </c>
      <c r="K278"/>
      <c r="L278"/>
      <c r="M278"/>
      <c r="N278"/>
      <c r="O278"/>
      <c r="P278"/>
      <c r="Q278"/>
      <c r="R278"/>
      <c r="S278" s="1307">
        <f t="shared" si="14"/>
        <v>0</v>
      </c>
      <c r="T278"/>
    </row>
    <row r="279" spans="1:20" x14ac:dyDescent="0.2">
      <c r="A279" t="s">
        <v>5457</v>
      </c>
      <c r="B279" t="s">
        <v>5514</v>
      </c>
      <c r="C279" s="1295">
        <f>SUMIFS('12'!$N$7:$N$100,'12'!$H$7:$H$100,$A279,'12'!$I$7:$I$100,1)+SUMIFS('13'!$N$7:$N$100,'13'!$H$7:$H$100,$A279,'13'!$I$7:$I$100,1)+SUMIFS('14'!$N$7:$N$100,'14'!$H$7:$H$100,$A279,'14'!$I$7:$I$100,1)+SUMIFS('15'!$N$7:$N$100,'15'!$H$7:$H$100,$A279,'15'!$I$7:$I$100,1)+SUMIFS('15a'!$N$7:$N$100,'15a'!$H$7:$H$100,$A279,'15a'!$I$7:$I$100,1)+SUMIFS('15b'!$N$7:$N$100,'15b'!$H$7:$H$100,$A279,'15b'!$I$7:$I$100,1)+SUMIFS('15c'!$N$7:$N$100,'15c'!$H$7:$H$100,$A279,'15c'!$I$7:$I$100,1)+SUMIFS('15d'!$N$7:$N$100,'15d'!$H$7:$H$100,$A279,'15d'!$I$7:$I$100,1)+SUMIFS('15e'!$N$7:$N$100,'15e'!$H$7:$H$100,$A279,'15e'!$I$7:$I$100,1)+SUMIFS('15f'!$N$7:$N$100,'15f'!$H$7:$H$100,$A279,'15f'!$I$7:$I$100,1)+SUMIFS('15g'!$N$7:$N$100,'15g'!$H$7:$H$100,$A279,'15g'!$I$7:$I$100,1)+SUMIFS('15h'!$N$7:$N$100,'15h'!$H$7:$H$100,$A279,'15h'!$I$7:$I$100,1)+SUMIFS('15i'!$N$7:$N$100,'15i'!$H$7:$H$100,$A279,'15i'!$I$7:$I$100,1)+SUMIFS('15j'!$N$7:$N$100,'15j'!$H$7:$H$100,$A279,'15j'!$I$7:$I$100,1)+SUMIFS('15k'!$N$7:$N$100,'15k'!$H$7:$H$100,$A279,'15k'!$I$7:$I$100,1)+SUMIFS('15l'!$N$7:$N$100,'15l'!$H$7:$H$100,$A279,'15l'!$I$7:$I$100,1)+SUMIFS('15m'!$N$7:$N$100,'15m'!$H$7:$H$100,$A279,'15m'!$I$7:$I$100,1)+SUMIFS('15n'!$N$7:$N$100,'15n'!$H$7:$H$100,$A279,'15n'!$I$7:$I$100,1)+SUMIFS('16'!$N$7:$N$100,'16'!$H$7:$H$100,$A279,'16'!$I$7:$I$100,1)+SUMIFS('16a'!$N$7:$N$100,'16a'!$H$7:$H$100,$A279,'16a'!$I$7:$I$100,1)+SUMIFS('17'!$N$7:$N$100,'17'!$H$7:$H$100,$A279,'17'!$I$7:$I$100,1)+SUMIFS('17a'!$N$7:$N$100,'17a'!$H$7:$H$100,$A279,'17a'!$I$7:$I$100,1)+SUMIFS('18'!$N$7:$N$100,'18'!$H$7:$H$100,$A279,'18'!$I$7:$I$100,1)+SUMIFS('18a'!$N$7:$N$100,'18a'!$H$7:$H$100,$A279,'18a'!$I$7:$I$100,1)
+SUMIFS('19'!$N$7:$N$100,'19'!$H$7:$H$100,$A279,'19'!$I$7:$I$100,1)+SUMIFS('20'!$N$7:$N$100,'20'!$H$7:$H$100,$A279,'20'!$I$7:$I$100,1)+SUMIFS('20a'!$N$7:$N$100,'20a'!$H$7:$H$100,$A279,'20a'!$I$7:$I$100,1)+SUMIFS('21'!$N$7:$N$100,'21'!$H$7:$H$100,$A279,'21'!$I$7:$I$100,1)+SUMIFS('22'!$N$7:$N$100,'22'!$H$7:$H$100,$A279,'22'!$I$7:$I$100,1)+SUMIFS('22a'!$N$7:$N$100,'22a'!$H$7:$H$100,$A279,'22a'!$I$7:$I$100,1)+SUMIFS('22b'!$N$7:$N$100,'22b'!$H$7:$H$100,$A279,'22b'!$I$7:$I$100,1)+SUMIFS('23'!$N$7:$N$100,'23'!$H$7:$H$100,$A279,'23'!$I$7:$I$100,1)+SUMIFS('24'!$N$7:$N$100,'24'!$H$7:$H$100,$A279,'24'!$I$7:$I$100,1)+SUMIFS('24a'!$N$7:$N$100,'24a'!$H$7:$H$100,$A279,'24a'!$I$7:$I$100,1)+SUMIFS('24b'!$N$7:$N$100,'24b'!$H$7:$H$100,$A279,'24b'!$I$7:$I$100,1)+SUMIFS('24c'!$N$7:$N$100,'24c'!$H$7:$H$100,$A279,'24c'!$I$7:$I$100,1)+SUMIFS('24d'!$N$7:$N$100,'24d'!$H$7:$H$100,$A279,'24d'!$I$7:$I$100,1)+SUMIFS('24e'!$N$7:$N$100,'24e'!$H$7:$H$100,$A279,'24e'!$I$7:$I$100,1)+SUMIFS('24f'!$N$7:$N$100,'24f'!$H$7:$H$100,$A279,'24f'!$I$7:$I$100,1)+SUMIFS('24g'!$N$7:$N$100,'24g'!$H$7:$H$100,$A279,'24g'!$I$7:$I$100,1)+SUMIFS('24h'!$N$7:$N$100,'24h'!$H$7:$H$100,$A279,'24h'!$I$7:$I$100,1)+SUMIFS('24i'!$N$7:$N$100,'24i'!$H$7:$H$100,$A279,'24i'!$I$7:$I$100,1)+SUMIFS('25'!$N$7:$N$100,'25'!$H$7:$H$100,$A279,'25'!$I$7:$I$100,1)+SUMIFS('26'!$N$7:$N$100,'26'!$H$7:$H$100,$A279,'26'!$I$7:$I$100,1)+SUMIFS('26a'!$N$7:$N$100,'26a'!$H$7:$H$100,$A279,'26a'!$I$7:$I$100,1)+SUMIFS('27'!$N$7:$N$100,'27'!$H$7:$H$100,$A279,'27'!$I$7:$I$100,1)+SUMIFS('27a'!$N$7:$N$100,'27a'!$H$7:$H$100,$A279,'27a'!$I$7:$I$100,1)+SUMIFS('28'!$N$7:$N$100,'28'!$H$7:$H$100,$A279,'28'!$I$7:$I$100,1)+SUMIFS('29'!$N$7:$N$100,'29'!$H$7:$H$100,$A279,'29'!$I$7:$I$100,1)</f>
        <v>0</v>
      </c>
      <c r="D279" s="1315">
        <f>SUMIFS('12'!$N$7:$N$100,'12'!$H$7:$H$100,$A279,'12'!$I$7:$I$100,2)+SUMIFS('13'!$N$7:$N$100,'13'!$H$7:$H$100,$A279,'13'!$I$7:$I$100,2)+SUMIFS('14'!$N$7:$N$100,'14'!$H$7:$H$100,$A279,'14'!$I$7:$I$100,2)+SUMIFS('15'!$N$7:$N$100,'15'!$H$7:$H$100,$A279,'15'!$I$7:$I$100,2)+SUMIFS('15a'!$N$7:$N$100,'15a'!$H$7:$H$100,$A279,'15a'!$I$7:$I$100,2)+SUMIFS('15b'!$N$7:$N$100,'15b'!$H$7:$H$100,$A279,'15b'!$I$7:$I$100,2)+SUMIFS('15c'!$N$7:$N$100,'15c'!$H$7:$H$100,$A279,'15c'!$I$7:$I$100,2)+SUMIFS('15d'!$N$7:$N$100,'15d'!$H$7:$H$100,$A279,'15d'!$I$7:$I$100,2)+SUMIFS('15e'!$N$7:$N$100,'15e'!$H$7:$H$100,$A279,'15e'!$I$7:$I$100,2)+SUMIFS('15f'!$N$7:$N$100,'15f'!$H$7:$H$100,$A279,'15f'!$I$7:$I$100,2)+SUMIFS('15g'!$N$7:$N$100,'15g'!$H$7:$H$100,$A279,'15g'!$I$7:$I$100,2)+SUMIFS('15h'!$N$7:$N$100,'15h'!$H$7:$H$100,$A279,'15h'!$I$7:$I$100,2)+SUMIFS('15i'!$N$7:$N$100,'15i'!$H$7:$H$100,$A279,'15i'!$I$7:$I$100,2)+SUMIFS('15j'!$N$7:$N$100,'15j'!$H$7:$H$100,$A279,'15j'!$I$7:$I$100,2)+SUMIFS('15k'!$N$7:$N$100,'15k'!$H$7:$H$100,$A279,'15k'!$I$7:$I$100,2)+SUMIFS('15l'!$N$7:$N$100,'15l'!$H$7:$H$100,$A279,'15l'!$I$7:$I$100,2)+SUMIFS('15m'!$N$7:$N$100,'15m'!$H$7:$H$100,$A279,'15m'!$I$7:$I$100,2)+SUMIFS('15n'!$N$7:$N$100,'15n'!$H$7:$H$100,$A279,'15n'!$I$7:$I$100,2)+SUMIFS('16'!$N$7:$N$100,'16'!$H$7:$H$100,$A279,'16'!$I$7:$I$100,2)+SUMIFS('16a'!$N$7:$N$100,'16a'!$H$7:$H$100,$A279,'16a'!$I$7:$I$100,2)+SUMIFS('17'!$N$7:$N$100,'17'!$H$7:$H$100,$A279,'17'!$I$7:$I$100,2)+SUMIFS('17a'!$N$7:$N$100,'17a'!$H$7:$H$100,$A279,'17a'!$I$7:$I$100,2)+SUMIFS('18'!$N$7:$N$100,'18'!$H$7:$H$100,$A279,'18'!$I$7:$I$100,2)+SUMIFS('18a'!$N$7:$N$100,'18a'!$H$7:$H$100,$A279,'18a'!$I$7:$I$100,2)
+SUMIFS('19'!$N$7:$N$100,'19'!$H$7:$H$100,$A279,'19'!$I$7:$I$100,2)+SUMIFS('20'!$N$7:$N$100,'20'!$H$7:$H$100,$A279,'20'!$I$7:$I$100,2)+SUMIFS('20a'!$N$7:$N$100,'20a'!$H$7:$H$100,$A279,'20a'!$I$7:$I$100,2)+SUMIFS('21'!$N$7:$N$100,'21'!$H$7:$H$100,$A279,'21'!$I$7:$I$100,2)+SUMIFS('22'!$N$7:$N$100,'22'!$H$7:$H$100,$A279,'22'!$I$7:$I$100,2)+SUMIFS('22a'!$N$7:$N$100,'22a'!$H$7:$H$100,$A279,'22a'!$I$7:$I$100,2)+SUMIFS('22b'!$N$7:$N$100,'22b'!$H$7:$H$100,$A279,'22b'!$I$7:$I$100,2)+SUMIFS('23'!$N$7:$N$100,'23'!$H$7:$H$100,$A279,'23'!$I$7:$I$100,2)+SUMIFS('24'!$N$7:$N$100,'24'!$H$7:$H$100,$A279,'24'!$I$7:$I$100,2)+SUMIFS('24a'!$N$7:$N$100,'24a'!$H$7:$H$100,$A279,'24a'!$I$7:$I$100,2)+SUMIFS('24b'!$N$7:$N$100,'24b'!$H$7:$H$100,$A279,'24b'!$I$7:$I$100,2)+SUMIFS('24c'!$N$7:$N$100,'24c'!$H$7:$H$100,$A279,'24c'!$I$7:$I$100,2)+SUMIFS('24d'!$N$7:$N$100,'24d'!$H$7:$H$100,$A279,'24d'!$I$7:$I$100,2)+SUMIFS('24e'!$N$7:$N$100,'24e'!$H$7:$H$100,$A279,'24e'!$I$7:$I$100,2)+SUMIFS('24f'!$N$7:$N$100,'24f'!$H$7:$H$100,$A279,'24f'!$I$7:$I$100,2)+SUMIFS('24g'!$N$7:$N$100,'24g'!$H$7:$H$100,$A279,'24g'!$I$7:$I$100,2)+SUMIFS('24h'!$N$7:$N$100,'24h'!$H$7:$H$100,$A279,'24h'!$I$7:$I$100,2)+SUMIFS('24i'!$N$7:$N$100,'24i'!$H$7:$H$100,$A279,'24i'!$I$7:$I$100,2)+SUMIFS('25'!$N$7:$N$100,'25'!$H$7:$H$100,$A279,'25'!$I$7:$I$100,2)+SUMIFS('26'!$N$7:$N$100,'26'!$H$7:$H$100,$A279,'26'!$I$7:$I$100,2)+SUMIFS('26a'!$N$7:$N$100,'26a'!$H$7:$H$100,$A279,'26a'!$I$7:$I$100,2)+SUMIFS('27'!$N$7:$N$100,'27'!$H$7:$H$100,$A279,'27'!$I$7:$I$100,2)+SUMIFS('27a'!$N$7:$N$100,'27a'!$H$7:$H$100,$A279,'27a'!$I$7:$I$100,2)+SUMIFS('28'!$N$7:$N$100,'28'!$H$7:$H$100,$A279,'28'!$I$7:$I$100,2)+SUMIFS('29'!$N$7:$N$100,'29'!$H$7:$H$100,$A279,'29'!$I$7:$I$100,2)</f>
        <v>0</v>
      </c>
      <c r="E279" s="1315">
        <f>SUMIFS('12'!$N$7:$N$100,'12'!$H$7:$H$100,$A279,'12'!$I$7:$I$100,"")+SUMIFS('13'!$N$7:$N$100,'13'!$H$7:$H$100,$A279,'13'!$I$7:$I$100,"")+SUMIFS('14'!$N$7:$N$100,'14'!$H$7:$H$100,$A279,'14'!$I$7:$I$100,"")+SUMIFS('15'!$N$7:$N$100,'15'!$H$7:$H$100,$A279,'15'!$I$7:$I$100,"")+SUMIFS('15a'!$N$7:$N$100,'15a'!$H$7:$H$100,$A279,'15a'!$I$7:$I$100,"")+SUMIFS('15b'!$N$7:$N$100,'15b'!$H$7:$H$100,$A279,'15b'!$I$7:$I$100,"")+SUMIFS('15c'!$N$7:$N$100,'15c'!$H$7:$H$100,$A279,'15c'!$I$7:$I$100,"")+SUMIFS('15d'!$N$7:$N$100,'15d'!$H$7:$H$100,$A279,'15d'!$I$7:$I$100,"")+SUMIFS('15e'!$N$7:$N$100,'15e'!$H$7:$H$100,$A279,'15e'!$I$7:$I$100,"")+SUMIFS('15f'!$N$7:$N$100,'15f'!$H$7:$H$100,$A279,'15f'!$I$7:$I$100,"")+SUMIFS('15g'!$N$7:$N$100,'15g'!$H$7:$H$100,$A279,'15g'!$I$7:$I$100,"")+SUMIFS('15h'!$N$7:$N$100,'15h'!$H$7:$H$100,$A279,'15h'!$I$7:$I$100,"")+SUMIFS('15i'!$N$7:$N$100,'15i'!$H$7:$H$100,$A279,'15i'!$I$7:$I$100,"")+SUMIFS('15j'!$N$7:$N$100,'15j'!$H$7:$H$100,$A279,'15j'!$I$7:$I$100,"")+SUMIFS('15k'!$N$7:$N$100,'15k'!$H$7:$H$100,$A279,'15k'!$I$7:$I$100,"")+SUMIFS('15l'!$N$7:$N$100,'15l'!$H$7:$H$100,$A279,'15l'!$I$7:$I$100,"")+SUMIFS('15m'!$N$7:$N$100,'15m'!$H$7:$H$100,$A279,'15m'!$I$7:$I$100,"")+SUMIFS('15n'!$N$7:$N$100,'15n'!$H$7:$H$100,$A279,'15n'!$I$7:$I$100,"")+SUMIFS('16'!$N$7:$N$100,'16'!$H$7:$H$100,$A279,'16'!$I$7:$I$100,"")+SUMIFS('16a'!$N$7:$N$100,'16a'!$H$7:$H$100,$A279,'16a'!$I$7:$I$100,"")+SUMIFS('17'!$N$7:$N$100,'17'!$H$7:$H$100,$A279,'17'!$I$7:$I$100,"")+SUMIFS('17a'!$N$7:$N$100,'17a'!$H$7:$H$100,$A279,'17a'!$I$7:$I$100,"")+SUMIFS('18'!$N$7:$N$100,'18'!$H$7:$H$100,$A279,'18'!$I$7:$I$100,"")+SUMIFS('18a'!$N$7:$N$100,'18a'!$H$7:$H$100,$A279,'18a'!$I$7:$I$100,"")
+SUMIFS('19'!$N$7:$N$100,'19'!$H$7:$H$100,$A279,'19'!$I$7:$I$100,"")+SUMIFS('20'!$N$7:$N$100,'20'!$H$7:$H$100,$A279,'20'!$I$7:$I$100,"")+SUMIFS('20a'!$N$7:$N$100,'20a'!$H$7:$H$100,$A279,'20a'!$I$7:$I$100,"")+SUMIFS('21'!$N$7:$N$100,'21'!$H$7:$H$100,$A279,'21'!$I$7:$I$100,"")+SUMIFS('22'!$N$7:$N$100,'22'!$H$7:$H$100,$A279,'22'!$I$7:$I$100,"")+SUMIFS('22a'!$N$7:$N$100,'22a'!$H$7:$H$100,$A279,'22a'!$I$7:$I$100,"")+SUMIFS('22b'!$N$7:$N$100,'22b'!$H$7:$H$100,$A279,'22b'!$I$7:$I$100,"")+SUMIFS('23'!$N$7:$N$100,'23'!$H$7:$H$100,$A279,'23'!$I$7:$I$100,"")+SUMIFS('24'!$N$7:$N$100,'24'!$H$7:$H$100,$A279,'24'!$I$7:$I$100,"")+SUMIFS('24a'!$N$7:$N$100,'24a'!$H$7:$H$100,$A279,'24a'!$I$7:$I$100,"")+SUMIFS('24b'!$N$7:$N$100,'24b'!$H$7:$H$100,$A279,'24b'!$I$7:$I$100,"")+SUMIFS('24c'!$N$7:$N$100,'24c'!$H$7:$H$100,$A279,'24c'!$I$7:$I$100,"")+SUMIFS('24d'!$N$7:$N$100,'24d'!$H$7:$H$100,$A279,'24d'!$I$7:$I$100,"")+SUMIFS('24e'!$N$7:$N$100,'24e'!$H$7:$H$100,$A279,'24e'!$I$7:$I$100,"")+SUMIFS('24f'!$N$7:$N$100,'24f'!$H$7:$H$100,$A279,'24f'!$I$7:$I$100,"")+SUMIFS('24g'!$N$7:$N$100,'24g'!$H$7:$H$100,$A279,'24g'!$I$7:$I$100,"")+SUMIFS('24h'!$N$7:$N$100,'24h'!$H$7:$H$100,$A279,'24h'!$I$7:$I$100,"")+SUMIFS('24i'!$N$7:$N$100,'24i'!$H$7:$H$100,$A279,'24i'!$I$7:$I$100,"")+SUMIFS('25'!$N$7:$N$100,'25'!$H$7:$H$100,$A279,'25'!$I$7:$I$100,"")+SUMIFS('26'!$N$7:$N$100,'26'!$H$7:$H$100,$A279,'26'!$I$7:$I$100,"")+SUMIFS('26a'!$N$7:$N$100,'26a'!$H$7:$H$100,$A279,'26a'!$I$7:$I$100,"")+SUMIFS('27'!$N$7:$N$100,'27'!$H$7:$H$100,$A279,'27'!$I$7:$I$100,"")+SUMIFS('27a'!$N$7:$N$100,'27a'!$H$7:$H$100,$A279,'27a'!$I$7:$I$100,"")+SUMIFS('28'!$N$7:$N$100,'28'!$H$7:$H$100,$A279,'28'!$I$7:$I$100,"")+SUMIFS('29'!$N$7:$N$100,'29'!$H$7:$H$100,$A279,'29'!$I$7:$I$100,"")</f>
        <v>0</v>
      </c>
      <c r="F279" s="1296">
        <f t="shared" si="28"/>
        <v>0</v>
      </c>
      <c r="G279" s="1295">
        <f>SUMIFS('12'!$J$7:$J$100,'12'!$H$7:$H$100,$A279,'12'!$I$7:$I$100,1)+SUMIFS('13'!$J$7:$J$100,'13'!$H$7:$H$100,$A279,'13'!$I$7:$I$100,1)+SUMIFS('14'!$J$7:$J$100,'14'!$H$7:$H$100,$A279,'14'!$I$7:$I$100,1)+SUMIFS('15'!$J$7:$J$100,'15'!$H$7:$H$100,$A279,'15'!$I$7:$I$100,1)+SUMIFS('15a'!$J$7:$J$100,'15a'!$H$7:$H$100,$A279,'15a'!$I$7:$I$100,1)+SUMIFS('15b'!$J$7:$J$100,'15b'!$H$7:$H$100,$A279,'15b'!$I$7:$I$100,1)+SUMIFS('15c'!$J$7:$J$100,'15c'!$H$7:$H$100,$A279,'15c'!$I$7:$I$100,1)+SUMIFS('15d'!$J$7:$J$100,'15d'!$H$7:$H$100,$A279,'15d'!$I$7:$I$100,1)+SUMIFS('15e'!$J$7:$J$100,'15e'!$H$7:$H$100,$A279,'15e'!$I$7:$I$100,1)+SUMIFS('15f'!$J$7:$J$100,'15f'!$H$7:$H$100,$A279,'15f'!$I$7:$I$100,1)+SUMIFS('15g'!$J$7:$J$100,'15g'!$H$7:$H$100,$A279,'15g'!$I$7:$I$100,1)+SUMIFS('15h'!$J$7:$J$100,'15h'!$H$7:$H$100,$A279,'15h'!$I$7:$I$100,1)+SUMIFS('15i'!$J$7:$J$100,'15i'!$H$7:$H$100,$A279,'15i'!$I$7:$I$100,1)+SUMIFS('15j'!$J$7:$J$100,'15j'!$H$7:$H$100,$A279,'15j'!$I$7:$I$100,1)+SUMIFS('15k'!$J$7:$J$100,'15k'!$H$7:$H$100,$A279,'15k'!$I$7:$I$100,1)+SUMIFS('15l'!$J$7:$J$100,'15l'!$H$7:$H$100,$A279,'15l'!$I$7:$I$100,1)+SUMIFS('15m'!$J$7:$J$100,'15m'!$H$7:$H$100,$A279,'15m'!$I$7:$I$100,1)+SUMIFS('15n'!$J$7:$J$100,'15n'!$H$7:$H$100,$A279,'15n'!$I$7:$I$100,1)+SUMIFS('16'!$J$7:$J$100,'16'!$H$7:$H$100,$A279,'16'!$I$7:$I$100,1)+SUMIFS('16a'!$J$7:$J$100,'16a'!$H$7:$H$100,$A279,'16a'!$I$7:$I$100,1)+SUMIFS('17'!$J$7:$J$100,'17'!$H$7:$H$100,$A279,'17'!$I$7:$I$100,1)+SUMIFS('17a'!$J$7:$J$100,'17a'!$H$7:$H$100,$A279,'17a'!$I$7:$I$100,1)+SUMIFS('18'!$J$7:$J$100,'18'!$H$7:$H$100,$A279,'18'!$I$7:$I$100,1)+SUMIFS('18a'!$J$7:$J$100,'18a'!$H$7:$H$100,$A279,'18a'!$I$7:$I$100,1)
+SUMIFS('19'!$J$7:$J$100,'19'!$H$7:$H$100,$A279,'19'!$I$7:$I$100,1)+SUMIFS('20'!$J$7:$J$100,'20'!$H$7:$H$100,$A279,'20'!$I$7:$I$100,1)+SUMIFS('20a'!$J$7:$J$100,'20a'!$H$7:$H$100,$A279,'20a'!$I$7:$I$100,1)+SUMIFS('21'!$J$7:$J$100,'21'!$H$7:$H$100,$A279,'21'!$I$7:$I$100,1)+SUMIFS('22'!$J$7:$J$100,'22'!$H$7:$H$100,$A279,'22'!$I$7:$I$100,1)+SUMIFS('22a'!$J$7:$J$100,'22a'!$H$7:$H$100,$A279,'22a'!$I$7:$I$100,1)+SUMIFS('22b'!$J$7:$J$100,'22b'!$H$7:$H$100,$A279,'22b'!$I$7:$I$100,1)+SUMIFS('23'!$J$7:$J$100,'23'!$H$7:$H$100,$A279,'23'!$I$7:$I$100,1)+SUMIFS('24'!$J$7:$J$100,'24'!$H$7:$H$100,$A279,'24'!$I$7:$I$100,1)+SUMIFS('24a'!$J$7:$J$100,'24a'!$H$7:$H$100,$A279,'24a'!$I$7:$I$100,1)+SUMIFS('24b'!$J$7:$J$100,'24b'!$H$7:$H$100,$A279,'24b'!$I$7:$I$100,1)+SUMIFS('24c'!$J$7:$J$100,'24c'!$H$7:$H$100,$A279,'24c'!$I$7:$I$100,1)+SUMIFS('24d'!$J$7:$J$100,'24d'!$H$7:$H$100,$A279,'24d'!$I$7:$I$100,1)+SUMIFS('24e'!$J$7:$J$100,'24e'!$H$7:$H$100,$A279,'24e'!$I$7:$I$100,1)+SUMIFS('24f'!$J$7:$J$100,'24f'!$H$7:$H$100,$A279,'24f'!$I$7:$I$100,1)+SUMIFS('24g'!$J$7:$J$100,'24g'!$H$7:$H$100,$A279,'24g'!$I$7:$I$100,1)+SUMIFS('24h'!$J$7:$J$100,'24h'!$H$7:$H$100,$A279,'24h'!$I$7:$I$100,1)+SUMIFS('24i'!$J$7:$J$100,'24i'!$H$7:$H$100,$A279,'24i'!$I$7:$I$100,1)+SUMIFS('25'!$J$7:$J$100,'25'!$H$7:$H$100,$A279,'25'!$I$7:$I$100,1)+SUMIFS('26'!$J$7:$J$100,'26'!$H$7:$H$100,$A279,'26'!$I$7:$I$100,1)+SUMIFS('26a'!$J$7:$J$100,'26a'!$H$7:$H$100,$A279,'26a'!$I$7:$I$100,1)+SUMIFS('27'!$J$7:$J$100,'27'!$H$7:$H$100,$A279,'27'!$I$7:$I$100,1)+SUMIFS('27a'!$J$7:$J$100,'27a'!$H$7:$H$100,$A279,'27a'!$I$7:$I$100,1)+SUMIFS('28'!$J$7:$J$100,'28'!$H$7:$H$100,$A279,'28'!$I$7:$I$100,1)+SUMIFS('29'!$J$7:$J$100,'29'!$H$7:$H$100,$A279,'29'!$I$7:$I$100,1)</f>
        <v>0</v>
      </c>
      <c r="H279" s="1315">
        <f>SUMIFS('12'!$J$7:$J$100,'12'!$H$7:$H$100,$A279,'12'!$I$7:$I$100,2)+SUMIFS('13'!$J$7:$J$100,'13'!$H$7:$H$100,$A279,'13'!$I$7:$I$100,2)+SUMIFS('14'!$J$7:$J$100,'14'!$H$7:$H$100,$A279,'14'!$I$7:$I$100,2)+SUMIFS('15'!$J$7:$J$100,'15'!$H$7:$H$100,$A279,'15'!$I$7:$I$100,2)+SUMIFS('15a'!$J$7:$J$100,'15a'!$H$7:$H$100,$A279,'15a'!$I$7:$I$100,2)+SUMIFS('15b'!$J$7:$J$100,'15b'!$H$7:$H$100,$A279,'15b'!$I$7:$I$100,2)+SUMIFS('15c'!$J$7:$J$100,'15c'!$H$7:$H$100,$A279,'15c'!$I$7:$I$100,2)+SUMIFS('15d'!$J$7:$J$100,'15d'!$H$7:$H$100,$A279,'15d'!$I$7:$I$100,2)+SUMIFS('15e'!$J$7:$J$100,'15e'!$H$7:$H$100,$A279,'15e'!$I$7:$I$100,2)+SUMIFS('15f'!$J$7:$J$100,'15f'!$H$7:$H$100,$A279,'15f'!$I$7:$I$100,2)+SUMIFS('15g'!$J$7:$J$100,'15g'!$H$7:$H$100,$A279,'15g'!$I$7:$I$100,2)+SUMIFS('15h'!$J$7:$J$100,'15h'!$H$7:$H$100,$A279,'15h'!$I$7:$I$100,2)+SUMIFS('15i'!$J$7:$J$100,'15i'!$H$7:$H$100,$A279,'15i'!$I$7:$I$100,2)+SUMIFS('15j'!$J$7:$J$100,'15j'!$H$7:$H$100,$A279,'15j'!$I$7:$I$100,2)+SUMIFS('15k'!$J$7:$J$100,'15k'!$H$7:$H$100,$A279,'15k'!$I$7:$I$100,2)+SUMIFS('15l'!$J$7:$J$100,'15l'!$H$7:$H$100,$A279,'15l'!$I$7:$I$100,2)+SUMIFS('15m'!$J$7:$J$100,'15m'!$H$7:$H$100,$A279,'15m'!$I$7:$I$100,2)+SUMIFS('15n'!$J$7:$J$100,'15n'!$H$7:$H$100,$A279,'15n'!$I$7:$I$100,2)+SUMIFS('16'!$J$7:$J$100,'16'!$H$7:$H$100,$A279,'16'!$I$7:$I$100,2)+SUMIFS('16a'!$J$7:$J$100,'16a'!$H$7:$H$100,$A279,'16a'!$I$7:$I$100,2)+SUMIFS('17'!$J$7:$J$100,'17'!$H$7:$H$100,$A279,'17'!$I$7:$I$100,2)+SUMIFS('17a'!$J$7:$J$100,'17a'!$H$7:$H$100,$A279,'17a'!$I$7:$I$100,2)+SUMIFS('18'!$J$7:$J$100,'18'!$H$7:$H$100,$A279,'18'!$I$7:$I$100,2)+SUMIFS('18a'!$J$7:$J$100,'18a'!$H$7:$H$100,$A279,'18a'!$I$7:$I$100,2)
+SUMIFS('19'!$J$7:$J$100,'19'!$H$7:$H$100,$A279,'19'!$I$7:$I$100,2)+SUMIFS('20'!$J$7:$J$100,'20'!$H$7:$H$100,$A279,'20'!$I$7:$I$100,2)+SUMIFS('20a'!$J$7:$J$100,'20a'!$H$7:$H$100,$A279,'20a'!$I$7:$I$100,2)+SUMIFS('21'!$J$7:$J$100,'21'!$H$7:$H$100,$A279,'21'!$I$7:$I$100,2)+SUMIFS('22'!$J$7:$J$100,'22'!$H$7:$H$100,$A279,'22'!$I$7:$I$100,2)+SUMIFS('22a'!$J$7:$J$100,'22a'!$H$7:$H$100,$A279,'22a'!$I$7:$I$100,2)+SUMIFS('22b'!$J$7:$J$100,'22b'!$H$7:$H$100,$A279,'22b'!$I$7:$I$100,2)+SUMIFS('23'!$J$7:$J$100,'23'!$H$7:$H$100,$A279,'23'!$I$7:$I$100,2)+SUMIFS('24'!$J$7:$J$100,'24'!$H$7:$H$100,$A279,'24'!$I$7:$I$100,2)+SUMIFS('24a'!$J$7:$J$100,'24a'!$H$7:$H$100,$A279,'24a'!$I$7:$I$100,2)+SUMIFS('24b'!$J$7:$J$100,'24b'!$H$7:$H$100,$A279,'24b'!$I$7:$I$100,2)+SUMIFS('24c'!$J$7:$J$100,'24c'!$H$7:$H$100,$A279,'24c'!$I$7:$I$100,2)+SUMIFS('24d'!$J$7:$J$100,'24d'!$H$7:$H$100,$A279,'24d'!$I$7:$I$100,2)+SUMIFS('24e'!$J$7:$J$100,'24e'!$H$7:$H$100,$A279,'24e'!$I$7:$I$100,2)+SUMIFS('24f'!$J$7:$J$100,'24f'!$H$7:$H$100,$A279,'24f'!$I$7:$I$100,2)+SUMIFS('24g'!$J$7:$J$100,'24g'!$H$7:$H$100,$A279,'24g'!$I$7:$I$100,2)+SUMIFS('24h'!$J$7:$J$100,'24h'!$H$7:$H$100,$A279,'24h'!$I$7:$I$100,2)+SUMIFS('24i'!$J$7:$J$100,'24i'!$H$7:$H$100,$A279,'24i'!$I$7:$I$100,2)+SUMIFS('25'!$J$7:$J$100,'25'!$H$7:$H$100,$A279,'25'!$I$7:$I$100,2)+SUMIFS('26'!$J$7:$J$100,'26'!$H$7:$H$100,$A279,'26'!$I$7:$I$100,2)+SUMIFS('26a'!$J$7:$J$100,'26a'!$H$7:$H$100,$A279,'26a'!$I$7:$I$100,2)+SUMIFS('27'!$J$7:$J$100,'27'!$H$7:$H$100,$A279,'27'!$I$7:$I$100,2)+SUMIFS('27a'!$J$7:$J$100,'27a'!$H$7:$H$100,$A279,'27a'!$I$7:$I$100,2)+SUMIFS('28'!$J$7:$J$100,'28'!$H$7:$H$100,$A279,'28'!$I$7:$I$100,2)+SUMIFS('29'!$J$7:$J$100,'29'!$H$7:$H$100,$A279,'29'!$I$7:$I$100,2)</f>
        <v>0</v>
      </c>
      <c r="I279" s="1315">
        <f>SUMIFS('12'!$J$7:$J$100,'12'!$H$7:$H$100,$A279,'12'!$I$7:$I$100,"")+SUMIFS('13'!$J$7:$J$100,'13'!$H$7:$H$100,$A279,'13'!$I$7:$I$100,"")+SUMIFS('14'!$J$7:$J$100,'14'!$H$7:$H$100,$A279,'14'!$I$7:$I$100,"")+SUMIFS('15'!$J$7:$J$100,'15'!$H$7:$H$100,$A279,'15'!$I$7:$I$100,"")+SUMIFS('15a'!$J$7:$J$100,'15a'!$H$7:$H$100,$A279,'15a'!$I$7:$I$100,"")+SUMIFS('15b'!$J$7:$J$100,'15b'!$H$7:$H$100,$A279,'15b'!$I$7:$I$100,"")+SUMIFS('15c'!$J$7:$J$100,'15c'!$H$7:$H$100,$A279,'15c'!$I$7:$I$100,"")+SUMIFS('15d'!$J$7:$J$100,'15d'!$H$7:$H$100,$A279,'15d'!$I$7:$I$100,"")+SUMIFS('15e'!$J$7:$J$100,'15e'!$H$7:$H$100,$A279,'15e'!$I$7:$I$100,"")+SUMIFS('15f'!$J$7:$J$100,'15f'!$H$7:$H$100,$A279,'15f'!$I$7:$I$100,"")+SUMIFS('15g'!$J$7:$J$100,'15g'!$H$7:$H$100,$A279,'15g'!$I$7:$I$100,"")+SUMIFS('15h'!$J$7:$J$100,'15h'!$H$7:$H$100,$A279,'15h'!$I$7:$I$100,"")+SUMIFS('15i'!$J$7:$J$100,'15i'!$H$7:$H$100,$A279,'15i'!$I$7:$I$100,"")+SUMIFS('15j'!$J$7:$J$100,'15j'!$H$7:$H$100,$A279,'15j'!$I$7:$I$100,"")+SUMIFS('15k'!$J$7:$J$100,'15k'!$H$7:$H$100,$A279,'15k'!$I$7:$I$100,"")+SUMIFS('15l'!$J$7:$J$100,'15l'!$H$7:$H$100,$A279,'15l'!$I$7:$I$100,"")+SUMIFS('15m'!$J$7:$J$100,'15m'!$H$7:$H$100,$A279,'15m'!$I$7:$I$100,"")+SUMIFS('15n'!$J$7:$J$100,'15n'!$H$7:$H$100,$A279,'15n'!$I$7:$I$100,"")+SUMIFS('16'!$J$7:$J$100,'16'!$H$7:$H$100,$A279,'16'!$I$7:$I$100,"")+SUMIFS('16a'!$J$7:$J$100,'16a'!$H$7:$H$100,$A279,'16a'!$I$7:$I$100,"")+SUMIFS('17'!$J$7:$J$100,'17'!$H$7:$H$100,$A279,'17'!$I$7:$I$100,"")+SUMIFS('17a'!$J$7:$J$100,'17a'!$H$7:$H$100,$A279,'17a'!$I$7:$I$100,"")+SUMIFS('18'!$J$7:$J$100,'18'!$H$7:$H$100,$A279,'18'!$I$7:$I$100,"")+SUMIFS('18a'!$J$7:$J$100,'18a'!$H$7:$H$100,$A279,'18a'!$I$7:$I$100,"")
+SUMIFS('19'!$J$7:$J$100,'19'!$H$7:$H$100,$A279,'19'!$I$7:$I$100,"")+SUMIFS('20'!$J$7:$J$100,'20'!$H$7:$H$100,$A279,'20'!$I$7:$I$100,"")+SUMIFS('20a'!$J$7:$J$100,'20a'!$H$7:$H$100,$A279,'20a'!$I$7:$I$100,"")+SUMIFS('21'!$J$7:$J$100,'21'!$H$7:$H$100,$A279,'21'!$I$7:$I$100,"")+SUMIFS('22'!$J$7:$J$100,'22'!$H$7:$H$100,$A279,'22'!$I$7:$I$100,"")+SUMIFS('22a'!$J$7:$J$100,'22a'!$H$7:$H$100,$A279,'22a'!$I$7:$I$100,"")+SUMIFS('22b'!$J$7:$J$100,'22b'!$H$7:$H$100,$A279,'22b'!$I$7:$I$100,"")+SUMIFS('23'!$J$7:$J$100,'23'!$H$7:$H$100,$A279,'23'!$I$7:$I$100,"")+SUMIFS('24'!$J$7:$J$100,'24'!$H$7:$H$100,$A279,'24'!$I$7:$I$100,"")+SUMIFS('24a'!$J$7:$J$100,'24a'!$H$7:$H$100,$A279,'24a'!$I$7:$I$100,"")+SUMIFS('24b'!$J$7:$J$100,'24b'!$H$7:$H$100,$A279,'24b'!$I$7:$I$100,"")+SUMIFS('24c'!$J$7:$J$100,'24c'!$H$7:$H$100,$A279,'24c'!$I$7:$I$100,"")+SUMIFS('24d'!$J$7:$J$100,'24d'!$H$7:$H$100,$A279,'24d'!$I$7:$I$100,"")+SUMIFS('24e'!$J$7:$J$100,'24e'!$H$7:$H$100,$A279,'24e'!$I$7:$I$100,"")+SUMIFS('24f'!$J$7:$J$100,'24f'!$H$7:$H$100,$A279,'24f'!$I$7:$I$100,"")+SUMIFS('24g'!$J$7:$J$100,'24g'!$H$7:$H$100,$A279,'24g'!$I$7:$I$100,"")+SUMIFS('24h'!$J$7:$J$100,'24h'!$H$7:$H$100,$A279,'24h'!$I$7:$I$100,"")+SUMIFS('24i'!$J$7:$J$100,'24i'!$H$7:$H$100,$A279,'24i'!$I$7:$I$100,"")+SUMIFS('25'!$J$7:$J$100,'25'!$H$7:$H$100,$A279,'25'!$I$7:$I$100,"")+SUMIFS('26'!$J$7:$J$100,'26'!$H$7:$H$100,$A279,'26'!$I$7:$I$100,"")+SUMIFS('26a'!$J$7:$J$100,'26a'!$H$7:$H$100,$A279,'26a'!$I$7:$I$100,"")+SUMIFS('27'!$J$7:$J$100,'27'!$H$7:$H$100,$A279,'27'!$I$7:$I$100,"")+SUMIFS('27a'!$J$7:$J$100,'27a'!$H$7:$H$100,$A279,'27a'!$I$7:$I$100,"")+SUMIFS('28'!$J$7:$J$100,'28'!$H$7:$H$100,$A279,'28'!$I$7:$I$100,"")+SUMIFS('29'!$J$7:$J$100,'29'!$H$7:$H$100,$A279,'29'!$I$7:$I$100,"")</f>
        <v>0</v>
      </c>
      <c r="J279" s="1296">
        <f t="shared" si="29"/>
        <v>0</v>
      </c>
      <c r="K279"/>
      <c r="L279"/>
      <c r="M279"/>
      <c r="N279"/>
      <c r="O279"/>
      <c r="P279"/>
      <c r="Q279"/>
      <c r="R279"/>
      <c r="S279" s="1307">
        <f t="shared" si="14"/>
        <v>0</v>
      </c>
      <c r="T279"/>
    </row>
    <row r="280" spans="1:20" x14ac:dyDescent="0.2">
      <c r="A280" t="s">
        <v>5458</v>
      </c>
      <c r="B280" t="s">
        <v>5515</v>
      </c>
      <c r="C280" s="1295">
        <f>SUMIFS('12'!$N$7:$N$100,'12'!$H$7:$H$100,$A280,'12'!$I$7:$I$100,1)+SUMIFS('13'!$N$7:$N$100,'13'!$H$7:$H$100,$A280,'13'!$I$7:$I$100,1)+SUMIFS('14'!$N$7:$N$100,'14'!$H$7:$H$100,$A280,'14'!$I$7:$I$100,1)+SUMIFS('15'!$N$7:$N$100,'15'!$H$7:$H$100,$A280,'15'!$I$7:$I$100,1)+SUMIFS('15a'!$N$7:$N$100,'15a'!$H$7:$H$100,$A280,'15a'!$I$7:$I$100,1)+SUMIFS('15b'!$N$7:$N$100,'15b'!$H$7:$H$100,$A280,'15b'!$I$7:$I$100,1)+SUMIFS('15c'!$N$7:$N$100,'15c'!$H$7:$H$100,$A280,'15c'!$I$7:$I$100,1)+SUMIFS('15d'!$N$7:$N$100,'15d'!$H$7:$H$100,$A280,'15d'!$I$7:$I$100,1)+SUMIFS('15e'!$N$7:$N$100,'15e'!$H$7:$H$100,$A280,'15e'!$I$7:$I$100,1)+SUMIFS('15f'!$N$7:$N$100,'15f'!$H$7:$H$100,$A280,'15f'!$I$7:$I$100,1)+SUMIFS('15g'!$N$7:$N$100,'15g'!$H$7:$H$100,$A280,'15g'!$I$7:$I$100,1)+SUMIFS('15h'!$N$7:$N$100,'15h'!$H$7:$H$100,$A280,'15h'!$I$7:$I$100,1)+SUMIFS('15i'!$N$7:$N$100,'15i'!$H$7:$H$100,$A280,'15i'!$I$7:$I$100,1)+SUMIFS('15j'!$N$7:$N$100,'15j'!$H$7:$H$100,$A280,'15j'!$I$7:$I$100,1)+SUMIFS('15k'!$N$7:$N$100,'15k'!$H$7:$H$100,$A280,'15k'!$I$7:$I$100,1)+SUMIFS('15l'!$N$7:$N$100,'15l'!$H$7:$H$100,$A280,'15l'!$I$7:$I$100,1)+SUMIFS('15m'!$N$7:$N$100,'15m'!$H$7:$H$100,$A280,'15m'!$I$7:$I$100,1)+SUMIFS('15n'!$N$7:$N$100,'15n'!$H$7:$H$100,$A280,'15n'!$I$7:$I$100,1)+SUMIFS('16'!$N$7:$N$100,'16'!$H$7:$H$100,$A280,'16'!$I$7:$I$100,1)+SUMIFS('16a'!$N$7:$N$100,'16a'!$H$7:$H$100,$A280,'16a'!$I$7:$I$100,1)+SUMIFS('17'!$N$7:$N$100,'17'!$H$7:$H$100,$A280,'17'!$I$7:$I$100,1)+SUMIFS('17a'!$N$7:$N$100,'17a'!$H$7:$H$100,$A280,'17a'!$I$7:$I$100,1)+SUMIFS('18'!$N$7:$N$100,'18'!$H$7:$H$100,$A280,'18'!$I$7:$I$100,1)+SUMIFS('18a'!$N$7:$N$100,'18a'!$H$7:$H$100,$A280,'18a'!$I$7:$I$100,1)
+SUMIFS('19'!$N$7:$N$100,'19'!$H$7:$H$100,$A280,'19'!$I$7:$I$100,1)+SUMIFS('20'!$N$7:$N$100,'20'!$H$7:$H$100,$A280,'20'!$I$7:$I$100,1)+SUMIFS('20a'!$N$7:$N$100,'20a'!$H$7:$H$100,$A280,'20a'!$I$7:$I$100,1)+SUMIFS('21'!$N$7:$N$100,'21'!$H$7:$H$100,$A280,'21'!$I$7:$I$100,1)+SUMIFS('22'!$N$7:$N$100,'22'!$H$7:$H$100,$A280,'22'!$I$7:$I$100,1)+SUMIFS('22a'!$N$7:$N$100,'22a'!$H$7:$H$100,$A280,'22a'!$I$7:$I$100,1)+SUMIFS('22b'!$N$7:$N$100,'22b'!$H$7:$H$100,$A280,'22b'!$I$7:$I$100,1)+SUMIFS('23'!$N$7:$N$100,'23'!$H$7:$H$100,$A280,'23'!$I$7:$I$100,1)+SUMIFS('24'!$N$7:$N$100,'24'!$H$7:$H$100,$A280,'24'!$I$7:$I$100,1)+SUMIFS('24a'!$N$7:$N$100,'24a'!$H$7:$H$100,$A280,'24a'!$I$7:$I$100,1)+SUMIFS('24b'!$N$7:$N$100,'24b'!$H$7:$H$100,$A280,'24b'!$I$7:$I$100,1)+SUMIFS('24c'!$N$7:$N$100,'24c'!$H$7:$H$100,$A280,'24c'!$I$7:$I$100,1)+SUMIFS('24d'!$N$7:$N$100,'24d'!$H$7:$H$100,$A280,'24d'!$I$7:$I$100,1)+SUMIFS('24e'!$N$7:$N$100,'24e'!$H$7:$H$100,$A280,'24e'!$I$7:$I$100,1)+SUMIFS('24f'!$N$7:$N$100,'24f'!$H$7:$H$100,$A280,'24f'!$I$7:$I$100,1)+SUMIFS('24g'!$N$7:$N$100,'24g'!$H$7:$H$100,$A280,'24g'!$I$7:$I$100,1)+SUMIFS('24h'!$N$7:$N$100,'24h'!$H$7:$H$100,$A280,'24h'!$I$7:$I$100,1)+SUMIFS('24i'!$N$7:$N$100,'24i'!$H$7:$H$100,$A280,'24i'!$I$7:$I$100,1)+SUMIFS('25'!$N$7:$N$100,'25'!$H$7:$H$100,$A280,'25'!$I$7:$I$100,1)+SUMIFS('26'!$N$7:$N$100,'26'!$H$7:$H$100,$A280,'26'!$I$7:$I$100,1)+SUMIFS('26a'!$N$7:$N$100,'26a'!$H$7:$H$100,$A280,'26a'!$I$7:$I$100,1)+SUMIFS('27'!$N$7:$N$100,'27'!$H$7:$H$100,$A280,'27'!$I$7:$I$100,1)+SUMIFS('27a'!$N$7:$N$100,'27a'!$H$7:$H$100,$A280,'27a'!$I$7:$I$100,1)+SUMIFS('28'!$N$7:$N$100,'28'!$H$7:$H$100,$A280,'28'!$I$7:$I$100,1)+SUMIFS('29'!$N$7:$N$100,'29'!$H$7:$H$100,$A280,'29'!$I$7:$I$100,1)</f>
        <v>0</v>
      </c>
      <c r="D280" s="1315">
        <f>SUMIFS('12'!$N$7:$N$100,'12'!$H$7:$H$100,$A280,'12'!$I$7:$I$100,2)+SUMIFS('13'!$N$7:$N$100,'13'!$H$7:$H$100,$A280,'13'!$I$7:$I$100,2)+SUMIFS('14'!$N$7:$N$100,'14'!$H$7:$H$100,$A280,'14'!$I$7:$I$100,2)+SUMIFS('15'!$N$7:$N$100,'15'!$H$7:$H$100,$A280,'15'!$I$7:$I$100,2)+SUMIFS('15a'!$N$7:$N$100,'15a'!$H$7:$H$100,$A280,'15a'!$I$7:$I$100,2)+SUMIFS('15b'!$N$7:$N$100,'15b'!$H$7:$H$100,$A280,'15b'!$I$7:$I$100,2)+SUMIFS('15c'!$N$7:$N$100,'15c'!$H$7:$H$100,$A280,'15c'!$I$7:$I$100,2)+SUMIFS('15d'!$N$7:$N$100,'15d'!$H$7:$H$100,$A280,'15d'!$I$7:$I$100,2)+SUMIFS('15e'!$N$7:$N$100,'15e'!$H$7:$H$100,$A280,'15e'!$I$7:$I$100,2)+SUMIFS('15f'!$N$7:$N$100,'15f'!$H$7:$H$100,$A280,'15f'!$I$7:$I$100,2)+SUMIFS('15g'!$N$7:$N$100,'15g'!$H$7:$H$100,$A280,'15g'!$I$7:$I$100,2)+SUMIFS('15h'!$N$7:$N$100,'15h'!$H$7:$H$100,$A280,'15h'!$I$7:$I$100,2)+SUMIFS('15i'!$N$7:$N$100,'15i'!$H$7:$H$100,$A280,'15i'!$I$7:$I$100,2)+SUMIFS('15j'!$N$7:$N$100,'15j'!$H$7:$H$100,$A280,'15j'!$I$7:$I$100,2)+SUMIFS('15k'!$N$7:$N$100,'15k'!$H$7:$H$100,$A280,'15k'!$I$7:$I$100,2)+SUMIFS('15l'!$N$7:$N$100,'15l'!$H$7:$H$100,$A280,'15l'!$I$7:$I$100,2)+SUMIFS('15m'!$N$7:$N$100,'15m'!$H$7:$H$100,$A280,'15m'!$I$7:$I$100,2)+SUMIFS('15n'!$N$7:$N$100,'15n'!$H$7:$H$100,$A280,'15n'!$I$7:$I$100,2)+SUMIFS('16'!$N$7:$N$100,'16'!$H$7:$H$100,$A280,'16'!$I$7:$I$100,2)+SUMIFS('16a'!$N$7:$N$100,'16a'!$H$7:$H$100,$A280,'16a'!$I$7:$I$100,2)+SUMIFS('17'!$N$7:$N$100,'17'!$H$7:$H$100,$A280,'17'!$I$7:$I$100,2)+SUMIFS('17a'!$N$7:$N$100,'17a'!$H$7:$H$100,$A280,'17a'!$I$7:$I$100,2)+SUMIFS('18'!$N$7:$N$100,'18'!$H$7:$H$100,$A280,'18'!$I$7:$I$100,2)+SUMIFS('18a'!$N$7:$N$100,'18a'!$H$7:$H$100,$A280,'18a'!$I$7:$I$100,2)
+SUMIFS('19'!$N$7:$N$100,'19'!$H$7:$H$100,$A280,'19'!$I$7:$I$100,2)+SUMIFS('20'!$N$7:$N$100,'20'!$H$7:$H$100,$A280,'20'!$I$7:$I$100,2)+SUMIFS('20a'!$N$7:$N$100,'20a'!$H$7:$H$100,$A280,'20a'!$I$7:$I$100,2)+SUMIFS('21'!$N$7:$N$100,'21'!$H$7:$H$100,$A280,'21'!$I$7:$I$100,2)+SUMIFS('22'!$N$7:$N$100,'22'!$H$7:$H$100,$A280,'22'!$I$7:$I$100,2)+SUMIFS('22a'!$N$7:$N$100,'22a'!$H$7:$H$100,$A280,'22a'!$I$7:$I$100,2)+SUMIFS('22b'!$N$7:$N$100,'22b'!$H$7:$H$100,$A280,'22b'!$I$7:$I$100,2)+SUMIFS('23'!$N$7:$N$100,'23'!$H$7:$H$100,$A280,'23'!$I$7:$I$100,2)+SUMIFS('24'!$N$7:$N$100,'24'!$H$7:$H$100,$A280,'24'!$I$7:$I$100,2)+SUMIFS('24a'!$N$7:$N$100,'24a'!$H$7:$H$100,$A280,'24a'!$I$7:$I$100,2)+SUMIFS('24b'!$N$7:$N$100,'24b'!$H$7:$H$100,$A280,'24b'!$I$7:$I$100,2)+SUMIFS('24c'!$N$7:$N$100,'24c'!$H$7:$H$100,$A280,'24c'!$I$7:$I$100,2)+SUMIFS('24d'!$N$7:$N$100,'24d'!$H$7:$H$100,$A280,'24d'!$I$7:$I$100,2)+SUMIFS('24e'!$N$7:$N$100,'24e'!$H$7:$H$100,$A280,'24e'!$I$7:$I$100,2)+SUMIFS('24f'!$N$7:$N$100,'24f'!$H$7:$H$100,$A280,'24f'!$I$7:$I$100,2)+SUMIFS('24g'!$N$7:$N$100,'24g'!$H$7:$H$100,$A280,'24g'!$I$7:$I$100,2)+SUMIFS('24h'!$N$7:$N$100,'24h'!$H$7:$H$100,$A280,'24h'!$I$7:$I$100,2)+SUMIFS('24i'!$N$7:$N$100,'24i'!$H$7:$H$100,$A280,'24i'!$I$7:$I$100,2)+SUMIFS('25'!$N$7:$N$100,'25'!$H$7:$H$100,$A280,'25'!$I$7:$I$100,2)+SUMIFS('26'!$N$7:$N$100,'26'!$H$7:$H$100,$A280,'26'!$I$7:$I$100,2)+SUMIFS('26a'!$N$7:$N$100,'26a'!$H$7:$H$100,$A280,'26a'!$I$7:$I$100,2)+SUMIFS('27'!$N$7:$N$100,'27'!$H$7:$H$100,$A280,'27'!$I$7:$I$100,2)+SUMIFS('27a'!$N$7:$N$100,'27a'!$H$7:$H$100,$A280,'27a'!$I$7:$I$100,2)+SUMIFS('28'!$N$7:$N$100,'28'!$H$7:$H$100,$A280,'28'!$I$7:$I$100,2)+SUMIFS('29'!$N$7:$N$100,'29'!$H$7:$H$100,$A280,'29'!$I$7:$I$100,2)</f>
        <v>0</v>
      </c>
      <c r="E280" s="1315">
        <f>SUMIFS('12'!$N$7:$N$100,'12'!$H$7:$H$100,$A280,'12'!$I$7:$I$100,"")+SUMIFS('13'!$N$7:$N$100,'13'!$H$7:$H$100,$A280,'13'!$I$7:$I$100,"")+SUMIFS('14'!$N$7:$N$100,'14'!$H$7:$H$100,$A280,'14'!$I$7:$I$100,"")+SUMIFS('15'!$N$7:$N$100,'15'!$H$7:$H$100,$A280,'15'!$I$7:$I$100,"")+SUMIFS('15a'!$N$7:$N$100,'15a'!$H$7:$H$100,$A280,'15a'!$I$7:$I$100,"")+SUMIFS('15b'!$N$7:$N$100,'15b'!$H$7:$H$100,$A280,'15b'!$I$7:$I$100,"")+SUMIFS('15c'!$N$7:$N$100,'15c'!$H$7:$H$100,$A280,'15c'!$I$7:$I$100,"")+SUMIFS('15d'!$N$7:$N$100,'15d'!$H$7:$H$100,$A280,'15d'!$I$7:$I$100,"")+SUMIFS('15e'!$N$7:$N$100,'15e'!$H$7:$H$100,$A280,'15e'!$I$7:$I$100,"")+SUMIFS('15f'!$N$7:$N$100,'15f'!$H$7:$H$100,$A280,'15f'!$I$7:$I$100,"")+SUMIFS('15g'!$N$7:$N$100,'15g'!$H$7:$H$100,$A280,'15g'!$I$7:$I$100,"")+SUMIFS('15h'!$N$7:$N$100,'15h'!$H$7:$H$100,$A280,'15h'!$I$7:$I$100,"")+SUMIFS('15i'!$N$7:$N$100,'15i'!$H$7:$H$100,$A280,'15i'!$I$7:$I$100,"")+SUMIFS('15j'!$N$7:$N$100,'15j'!$H$7:$H$100,$A280,'15j'!$I$7:$I$100,"")+SUMIFS('15k'!$N$7:$N$100,'15k'!$H$7:$H$100,$A280,'15k'!$I$7:$I$100,"")+SUMIFS('15l'!$N$7:$N$100,'15l'!$H$7:$H$100,$A280,'15l'!$I$7:$I$100,"")+SUMIFS('15m'!$N$7:$N$100,'15m'!$H$7:$H$100,$A280,'15m'!$I$7:$I$100,"")+SUMIFS('15n'!$N$7:$N$100,'15n'!$H$7:$H$100,$A280,'15n'!$I$7:$I$100,"")+SUMIFS('16'!$N$7:$N$100,'16'!$H$7:$H$100,$A280,'16'!$I$7:$I$100,"")+SUMIFS('16a'!$N$7:$N$100,'16a'!$H$7:$H$100,$A280,'16a'!$I$7:$I$100,"")+SUMIFS('17'!$N$7:$N$100,'17'!$H$7:$H$100,$A280,'17'!$I$7:$I$100,"")+SUMIFS('17a'!$N$7:$N$100,'17a'!$H$7:$H$100,$A280,'17a'!$I$7:$I$100,"")+SUMIFS('18'!$N$7:$N$100,'18'!$H$7:$H$100,$A280,'18'!$I$7:$I$100,"")+SUMIFS('18a'!$N$7:$N$100,'18a'!$H$7:$H$100,$A280,'18a'!$I$7:$I$100,"")
+SUMIFS('19'!$N$7:$N$100,'19'!$H$7:$H$100,$A280,'19'!$I$7:$I$100,"")+SUMIFS('20'!$N$7:$N$100,'20'!$H$7:$H$100,$A280,'20'!$I$7:$I$100,"")+SUMIFS('20a'!$N$7:$N$100,'20a'!$H$7:$H$100,$A280,'20a'!$I$7:$I$100,"")+SUMIFS('21'!$N$7:$N$100,'21'!$H$7:$H$100,$A280,'21'!$I$7:$I$100,"")+SUMIFS('22'!$N$7:$N$100,'22'!$H$7:$H$100,$A280,'22'!$I$7:$I$100,"")+SUMIFS('22a'!$N$7:$N$100,'22a'!$H$7:$H$100,$A280,'22a'!$I$7:$I$100,"")+SUMIFS('22b'!$N$7:$N$100,'22b'!$H$7:$H$100,$A280,'22b'!$I$7:$I$100,"")+SUMIFS('23'!$N$7:$N$100,'23'!$H$7:$H$100,$A280,'23'!$I$7:$I$100,"")+SUMIFS('24'!$N$7:$N$100,'24'!$H$7:$H$100,$A280,'24'!$I$7:$I$100,"")+SUMIFS('24a'!$N$7:$N$100,'24a'!$H$7:$H$100,$A280,'24a'!$I$7:$I$100,"")+SUMIFS('24b'!$N$7:$N$100,'24b'!$H$7:$H$100,$A280,'24b'!$I$7:$I$100,"")+SUMIFS('24c'!$N$7:$N$100,'24c'!$H$7:$H$100,$A280,'24c'!$I$7:$I$100,"")+SUMIFS('24d'!$N$7:$N$100,'24d'!$H$7:$H$100,$A280,'24d'!$I$7:$I$100,"")+SUMIFS('24e'!$N$7:$N$100,'24e'!$H$7:$H$100,$A280,'24e'!$I$7:$I$100,"")+SUMIFS('24f'!$N$7:$N$100,'24f'!$H$7:$H$100,$A280,'24f'!$I$7:$I$100,"")+SUMIFS('24g'!$N$7:$N$100,'24g'!$H$7:$H$100,$A280,'24g'!$I$7:$I$100,"")+SUMIFS('24h'!$N$7:$N$100,'24h'!$H$7:$H$100,$A280,'24h'!$I$7:$I$100,"")+SUMIFS('24i'!$N$7:$N$100,'24i'!$H$7:$H$100,$A280,'24i'!$I$7:$I$100,"")+SUMIFS('25'!$N$7:$N$100,'25'!$H$7:$H$100,$A280,'25'!$I$7:$I$100,"")+SUMIFS('26'!$N$7:$N$100,'26'!$H$7:$H$100,$A280,'26'!$I$7:$I$100,"")+SUMIFS('26a'!$N$7:$N$100,'26a'!$H$7:$H$100,$A280,'26a'!$I$7:$I$100,"")+SUMIFS('27'!$N$7:$N$100,'27'!$H$7:$H$100,$A280,'27'!$I$7:$I$100,"")+SUMIFS('27a'!$N$7:$N$100,'27a'!$H$7:$H$100,$A280,'27a'!$I$7:$I$100,"")+SUMIFS('28'!$N$7:$N$100,'28'!$H$7:$H$100,$A280,'28'!$I$7:$I$100,"")+SUMIFS('29'!$N$7:$N$100,'29'!$H$7:$H$100,$A280,'29'!$I$7:$I$100,"")</f>
        <v>0</v>
      </c>
      <c r="F280" s="1296">
        <f t="shared" si="28"/>
        <v>0</v>
      </c>
      <c r="G280" s="1295">
        <f>SUMIFS('12'!$J$7:$J$100,'12'!$H$7:$H$100,$A280,'12'!$I$7:$I$100,1)+SUMIFS('13'!$J$7:$J$100,'13'!$H$7:$H$100,$A280,'13'!$I$7:$I$100,1)+SUMIFS('14'!$J$7:$J$100,'14'!$H$7:$H$100,$A280,'14'!$I$7:$I$100,1)+SUMIFS('15'!$J$7:$J$100,'15'!$H$7:$H$100,$A280,'15'!$I$7:$I$100,1)+SUMIFS('15a'!$J$7:$J$100,'15a'!$H$7:$H$100,$A280,'15a'!$I$7:$I$100,1)+SUMIFS('15b'!$J$7:$J$100,'15b'!$H$7:$H$100,$A280,'15b'!$I$7:$I$100,1)+SUMIFS('15c'!$J$7:$J$100,'15c'!$H$7:$H$100,$A280,'15c'!$I$7:$I$100,1)+SUMIFS('15d'!$J$7:$J$100,'15d'!$H$7:$H$100,$A280,'15d'!$I$7:$I$100,1)+SUMIFS('15e'!$J$7:$J$100,'15e'!$H$7:$H$100,$A280,'15e'!$I$7:$I$100,1)+SUMIFS('15f'!$J$7:$J$100,'15f'!$H$7:$H$100,$A280,'15f'!$I$7:$I$100,1)+SUMIFS('15g'!$J$7:$J$100,'15g'!$H$7:$H$100,$A280,'15g'!$I$7:$I$100,1)+SUMIFS('15h'!$J$7:$J$100,'15h'!$H$7:$H$100,$A280,'15h'!$I$7:$I$100,1)+SUMIFS('15i'!$J$7:$J$100,'15i'!$H$7:$H$100,$A280,'15i'!$I$7:$I$100,1)+SUMIFS('15j'!$J$7:$J$100,'15j'!$H$7:$H$100,$A280,'15j'!$I$7:$I$100,1)+SUMIFS('15k'!$J$7:$J$100,'15k'!$H$7:$H$100,$A280,'15k'!$I$7:$I$100,1)+SUMIFS('15l'!$J$7:$J$100,'15l'!$H$7:$H$100,$A280,'15l'!$I$7:$I$100,1)+SUMIFS('15m'!$J$7:$J$100,'15m'!$H$7:$H$100,$A280,'15m'!$I$7:$I$100,1)+SUMIFS('15n'!$J$7:$J$100,'15n'!$H$7:$H$100,$A280,'15n'!$I$7:$I$100,1)+SUMIFS('16'!$J$7:$J$100,'16'!$H$7:$H$100,$A280,'16'!$I$7:$I$100,1)+SUMIFS('16a'!$J$7:$J$100,'16a'!$H$7:$H$100,$A280,'16a'!$I$7:$I$100,1)+SUMIFS('17'!$J$7:$J$100,'17'!$H$7:$H$100,$A280,'17'!$I$7:$I$100,1)+SUMIFS('17a'!$J$7:$J$100,'17a'!$H$7:$H$100,$A280,'17a'!$I$7:$I$100,1)+SUMIFS('18'!$J$7:$J$100,'18'!$H$7:$H$100,$A280,'18'!$I$7:$I$100,1)+SUMIFS('18a'!$J$7:$J$100,'18a'!$H$7:$H$100,$A280,'18a'!$I$7:$I$100,1)
+SUMIFS('19'!$J$7:$J$100,'19'!$H$7:$H$100,$A280,'19'!$I$7:$I$100,1)+SUMIFS('20'!$J$7:$J$100,'20'!$H$7:$H$100,$A280,'20'!$I$7:$I$100,1)+SUMIFS('20a'!$J$7:$J$100,'20a'!$H$7:$H$100,$A280,'20a'!$I$7:$I$100,1)+SUMIFS('21'!$J$7:$J$100,'21'!$H$7:$H$100,$A280,'21'!$I$7:$I$100,1)+SUMIFS('22'!$J$7:$J$100,'22'!$H$7:$H$100,$A280,'22'!$I$7:$I$100,1)+SUMIFS('22a'!$J$7:$J$100,'22a'!$H$7:$H$100,$A280,'22a'!$I$7:$I$100,1)+SUMIFS('22b'!$J$7:$J$100,'22b'!$H$7:$H$100,$A280,'22b'!$I$7:$I$100,1)+SUMIFS('23'!$J$7:$J$100,'23'!$H$7:$H$100,$A280,'23'!$I$7:$I$100,1)+SUMIFS('24'!$J$7:$J$100,'24'!$H$7:$H$100,$A280,'24'!$I$7:$I$100,1)+SUMIFS('24a'!$J$7:$J$100,'24a'!$H$7:$H$100,$A280,'24a'!$I$7:$I$100,1)+SUMIFS('24b'!$J$7:$J$100,'24b'!$H$7:$H$100,$A280,'24b'!$I$7:$I$100,1)+SUMIFS('24c'!$J$7:$J$100,'24c'!$H$7:$H$100,$A280,'24c'!$I$7:$I$100,1)+SUMIFS('24d'!$J$7:$J$100,'24d'!$H$7:$H$100,$A280,'24d'!$I$7:$I$100,1)+SUMIFS('24e'!$J$7:$J$100,'24e'!$H$7:$H$100,$A280,'24e'!$I$7:$I$100,1)+SUMIFS('24f'!$J$7:$J$100,'24f'!$H$7:$H$100,$A280,'24f'!$I$7:$I$100,1)+SUMIFS('24g'!$J$7:$J$100,'24g'!$H$7:$H$100,$A280,'24g'!$I$7:$I$100,1)+SUMIFS('24h'!$J$7:$J$100,'24h'!$H$7:$H$100,$A280,'24h'!$I$7:$I$100,1)+SUMIFS('24i'!$J$7:$J$100,'24i'!$H$7:$H$100,$A280,'24i'!$I$7:$I$100,1)+SUMIFS('25'!$J$7:$J$100,'25'!$H$7:$H$100,$A280,'25'!$I$7:$I$100,1)+SUMIFS('26'!$J$7:$J$100,'26'!$H$7:$H$100,$A280,'26'!$I$7:$I$100,1)+SUMIFS('26a'!$J$7:$J$100,'26a'!$H$7:$H$100,$A280,'26a'!$I$7:$I$100,1)+SUMIFS('27'!$J$7:$J$100,'27'!$H$7:$H$100,$A280,'27'!$I$7:$I$100,1)+SUMIFS('27a'!$J$7:$J$100,'27a'!$H$7:$H$100,$A280,'27a'!$I$7:$I$100,1)+SUMIFS('28'!$J$7:$J$100,'28'!$H$7:$H$100,$A280,'28'!$I$7:$I$100,1)+SUMIFS('29'!$J$7:$J$100,'29'!$H$7:$H$100,$A280,'29'!$I$7:$I$100,1)</f>
        <v>0</v>
      </c>
      <c r="H280" s="1315">
        <f>SUMIFS('12'!$J$7:$J$100,'12'!$H$7:$H$100,$A280,'12'!$I$7:$I$100,2)+SUMIFS('13'!$J$7:$J$100,'13'!$H$7:$H$100,$A280,'13'!$I$7:$I$100,2)+SUMIFS('14'!$J$7:$J$100,'14'!$H$7:$H$100,$A280,'14'!$I$7:$I$100,2)+SUMIFS('15'!$J$7:$J$100,'15'!$H$7:$H$100,$A280,'15'!$I$7:$I$100,2)+SUMIFS('15a'!$J$7:$J$100,'15a'!$H$7:$H$100,$A280,'15a'!$I$7:$I$100,2)+SUMIFS('15b'!$J$7:$J$100,'15b'!$H$7:$H$100,$A280,'15b'!$I$7:$I$100,2)+SUMIFS('15c'!$J$7:$J$100,'15c'!$H$7:$H$100,$A280,'15c'!$I$7:$I$100,2)+SUMIFS('15d'!$J$7:$J$100,'15d'!$H$7:$H$100,$A280,'15d'!$I$7:$I$100,2)+SUMIFS('15e'!$J$7:$J$100,'15e'!$H$7:$H$100,$A280,'15e'!$I$7:$I$100,2)+SUMIFS('15f'!$J$7:$J$100,'15f'!$H$7:$H$100,$A280,'15f'!$I$7:$I$100,2)+SUMIFS('15g'!$J$7:$J$100,'15g'!$H$7:$H$100,$A280,'15g'!$I$7:$I$100,2)+SUMIFS('15h'!$J$7:$J$100,'15h'!$H$7:$H$100,$A280,'15h'!$I$7:$I$100,2)+SUMIFS('15i'!$J$7:$J$100,'15i'!$H$7:$H$100,$A280,'15i'!$I$7:$I$100,2)+SUMIFS('15j'!$J$7:$J$100,'15j'!$H$7:$H$100,$A280,'15j'!$I$7:$I$100,2)+SUMIFS('15k'!$J$7:$J$100,'15k'!$H$7:$H$100,$A280,'15k'!$I$7:$I$100,2)+SUMIFS('15l'!$J$7:$J$100,'15l'!$H$7:$H$100,$A280,'15l'!$I$7:$I$100,2)+SUMIFS('15m'!$J$7:$J$100,'15m'!$H$7:$H$100,$A280,'15m'!$I$7:$I$100,2)+SUMIFS('15n'!$J$7:$J$100,'15n'!$H$7:$H$100,$A280,'15n'!$I$7:$I$100,2)+SUMIFS('16'!$J$7:$J$100,'16'!$H$7:$H$100,$A280,'16'!$I$7:$I$100,2)+SUMIFS('16a'!$J$7:$J$100,'16a'!$H$7:$H$100,$A280,'16a'!$I$7:$I$100,2)+SUMIFS('17'!$J$7:$J$100,'17'!$H$7:$H$100,$A280,'17'!$I$7:$I$100,2)+SUMIFS('17a'!$J$7:$J$100,'17a'!$H$7:$H$100,$A280,'17a'!$I$7:$I$100,2)+SUMIFS('18'!$J$7:$J$100,'18'!$H$7:$H$100,$A280,'18'!$I$7:$I$100,2)+SUMIFS('18a'!$J$7:$J$100,'18a'!$H$7:$H$100,$A280,'18a'!$I$7:$I$100,2)
+SUMIFS('19'!$J$7:$J$100,'19'!$H$7:$H$100,$A280,'19'!$I$7:$I$100,2)+SUMIFS('20'!$J$7:$J$100,'20'!$H$7:$H$100,$A280,'20'!$I$7:$I$100,2)+SUMIFS('20a'!$J$7:$J$100,'20a'!$H$7:$H$100,$A280,'20a'!$I$7:$I$100,2)+SUMIFS('21'!$J$7:$J$100,'21'!$H$7:$H$100,$A280,'21'!$I$7:$I$100,2)+SUMIFS('22'!$J$7:$J$100,'22'!$H$7:$H$100,$A280,'22'!$I$7:$I$100,2)+SUMIFS('22a'!$J$7:$J$100,'22a'!$H$7:$H$100,$A280,'22a'!$I$7:$I$100,2)+SUMIFS('22b'!$J$7:$J$100,'22b'!$H$7:$H$100,$A280,'22b'!$I$7:$I$100,2)+SUMIFS('23'!$J$7:$J$100,'23'!$H$7:$H$100,$A280,'23'!$I$7:$I$100,2)+SUMIFS('24'!$J$7:$J$100,'24'!$H$7:$H$100,$A280,'24'!$I$7:$I$100,2)+SUMIFS('24a'!$J$7:$J$100,'24a'!$H$7:$H$100,$A280,'24a'!$I$7:$I$100,2)+SUMIFS('24b'!$J$7:$J$100,'24b'!$H$7:$H$100,$A280,'24b'!$I$7:$I$100,2)+SUMIFS('24c'!$J$7:$J$100,'24c'!$H$7:$H$100,$A280,'24c'!$I$7:$I$100,2)+SUMIFS('24d'!$J$7:$J$100,'24d'!$H$7:$H$100,$A280,'24d'!$I$7:$I$100,2)+SUMIFS('24e'!$J$7:$J$100,'24e'!$H$7:$H$100,$A280,'24e'!$I$7:$I$100,2)+SUMIFS('24f'!$J$7:$J$100,'24f'!$H$7:$H$100,$A280,'24f'!$I$7:$I$100,2)+SUMIFS('24g'!$J$7:$J$100,'24g'!$H$7:$H$100,$A280,'24g'!$I$7:$I$100,2)+SUMIFS('24h'!$J$7:$J$100,'24h'!$H$7:$H$100,$A280,'24h'!$I$7:$I$100,2)+SUMIFS('24i'!$J$7:$J$100,'24i'!$H$7:$H$100,$A280,'24i'!$I$7:$I$100,2)+SUMIFS('25'!$J$7:$J$100,'25'!$H$7:$H$100,$A280,'25'!$I$7:$I$100,2)+SUMIFS('26'!$J$7:$J$100,'26'!$H$7:$H$100,$A280,'26'!$I$7:$I$100,2)+SUMIFS('26a'!$J$7:$J$100,'26a'!$H$7:$H$100,$A280,'26a'!$I$7:$I$100,2)+SUMIFS('27'!$J$7:$J$100,'27'!$H$7:$H$100,$A280,'27'!$I$7:$I$100,2)+SUMIFS('27a'!$J$7:$J$100,'27a'!$H$7:$H$100,$A280,'27a'!$I$7:$I$100,2)+SUMIFS('28'!$J$7:$J$100,'28'!$H$7:$H$100,$A280,'28'!$I$7:$I$100,2)+SUMIFS('29'!$J$7:$J$100,'29'!$H$7:$H$100,$A280,'29'!$I$7:$I$100,2)</f>
        <v>0</v>
      </c>
      <c r="I280" s="1315">
        <f>SUMIFS('12'!$J$7:$J$100,'12'!$H$7:$H$100,$A280,'12'!$I$7:$I$100,"")+SUMIFS('13'!$J$7:$J$100,'13'!$H$7:$H$100,$A280,'13'!$I$7:$I$100,"")+SUMIFS('14'!$J$7:$J$100,'14'!$H$7:$H$100,$A280,'14'!$I$7:$I$100,"")+SUMIFS('15'!$J$7:$J$100,'15'!$H$7:$H$100,$A280,'15'!$I$7:$I$100,"")+SUMIFS('15a'!$J$7:$J$100,'15a'!$H$7:$H$100,$A280,'15a'!$I$7:$I$100,"")+SUMIFS('15b'!$J$7:$J$100,'15b'!$H$7:$H$100,$A280,'15b'!$I$7:$I$100,"")+SUMIFS('15c'!$J$7:$J$100,'15c'!$H$7:$H$100,$A280,'15c'!$I$7:$I$100,"")+SUMIFS('15d'!$J$7:$J$100,'15d'!$H$7:$H$100,$A280,'15d'!$I$7:$I$100,"")+SUMIFS('15e'!$J$7:$J$100,'15e'!$H$7:$H$100,$A280,'15e'!$I$7:$I$100,"")+SUMIFS('15f'!$J$7:$J$100,'15f'!$H$7:$H$100,$A280,'15f'!$I$7:$I$100,"")+SUMIFS('15g'!$J$7:$J$100,'15g'!$H$7:$H$100,$A280,'15g'!$I$7:$I$100,"")+SUMIFS('15h'!$J$7:$J$100,'15h'!$H$7:$H$100,$A280,'15h'!$I$7:$I$100,"")+SUMIFS('15i'!$J$7:$J$100,'15i'!$H$7:$H$100,$A280,'15i'!$I$7:$I$100,"")+SUMIFS('15j'!$J$7:$J$100,'15j'!$H$7:$H$100,$A280,'15j'!$I$7:$I$100,"")+SUMIFS('15k'!$J$7:$J$100,'15k'!$H$7:$H$100,$A280,'15k'!$I$7:$I$100,"")+SUMIFS('15l'!$J$7:$J$100,'15l'!$H$7:$H$100,$A280,'15l'!$I$7:$I$100,"")+SUMIFS('15m'!$J$7:$J$100,'15m'!$H$7:$H$100,$A280,'15m'!$I$7:$I$100,"")+SUMIFS('15n'!$J$7:$J$100,'15n'!$H$7:$H$100,$A280,'15n'!$I$7:$I$100,"")+SUMIFS('16'!$J$7:$J$100,'16'!$H$7:$H$100,$A280,'16'!$I$7:$I$100,"")+SUMIFS('16a'!$J$7:$J$100,'16a'!$H$7:$H$100,$A280,'16a'!$I$7:$I$100,"")+SUMIFS('17'!$J$7:$J$100,'17'!$H$7:$H$100,$A280,'17'!$I$7:$I$100,"")+SUMIFS('17a'!$J$7:$J$100,'17a'!$H$7:$H$100,$A280,'17a'!$I$7:$I$100,"")+SUMIFS('18'!$J$7:$J$100,'18'!$H$7:$H$100,$A280,'18'!$I$7:$I$100,"")+SUMIFS('18a'!$J$7:$J$100,'18a'!$H$7:$H$100,$A280,'18a'!$I$7:$I$100,"")
+SUMIFS('19'!$J$7:$J$100,'19'!$H$7:$H$100,$A280,'19'!$I$7:$I$100,"")+SUMIFS('20'!$J$7:$J$100,'20'!$H$7:$H$100,$A280,'20'!$I$7:$I$100,"")+SUMIFS('20a'!$J$7:$J$100,'20a'!$H$7:$H$100,$A280,'20a'!$I$7:$I$100,"")+SUMIFS('21'!$J$7:$J$100,'21'!$H$7:$H$100,$A280,'21'!$I$7:$I$100,"")+SUMIFS('22'!$J$7:$J$100,'22'!$H$7:$H$100,$A280,'22'!$I$7:$I$100,"")+SUMIFS('22a'!$J$7:$J$100,'22a'!$H$7:$H$100,$A280,'22a'!$I$7:$I$100,"")+SUMIFS('22b'!$J$7:$J$100,'22b'!$H$7:$H$100,$A280,'22b'!$I$7:$I$100,"")+SUMIFS('23'!$J$7:$J$100,'23'!$H$7:$H$100,$A280,'23'!$I$7:$I$100,"")+SUMIFS('24'!$J$7:$J$100,'24'!$H$7:$H$100,$A280,'24'!$I$7:$I$100,"")+SUMIFS('24a'!$J$7:$J$100,'24a'!$H$7:$H$100,$A280,'24a'!$I$7:$I$100,"")+SUMIFS('24b'!$J$7:$J$100,'24b'!$H$7:$H$100,$A280,'24b'!$I$7:$I$100,"")+SUMIFS('24c'!$J$7:$J$100,'24c'!$H$7:$H$100,$A280,'24c'!$I$7:$I$100,"")+SUMIFS('24d'!$J$7:$J$100,'24d'!$H$7:$H$100,$A280,'24d'!$I$7:$I$100,"")+SUMIFS('24e'!$J$7:$J$100,'24e'!$H$7:$H$100,$A280,'24e'!$I$7:$I$100,"")+SUMIFS('24f'!$J$7:$J$100,'24f'!$H$7:$H$100,$A280,'24f'!$I$7:$I$100,"")+SUMIFS('24g'!$J$7:$J$100,'24g'!$H$7:$H$100,$A280,'24g'!$I$7:$I$100,"")+SUMIFS('24h'!$J$7:$J$100,'24h'!$H$7:$H$100,$A280,'24h'!$I$7:$I$100,"")+SUMIFS('24i'!$J$7:$J$100,'24i'!$H$7:$H$100,$A280,'24i'!$I$7:$I$100,"")+SUMIFS('25'!$J$7:$J$100,'25'!$H$7:$H$100,$A280,'25'!$I$7:$I$100,"")+SUMIFS('26'!$J$7:$J$100,'26'!$H$7:$H$100,$A280,'26'!$I$7:$I$100,"")+SUMIFS('26a'!$J$7:$J$100,'26a'!$H$7:$H$100,$A280,'26a'!$I$7:$I$100,"")+SUMIFS('27'!$J$7:$J$100,'27'!$H$7:$H$100,$A280,'27'!$I$7:$I$100,"")+SUMIFS('27a'!$J$7:$J$100,'27a'!$H$7:$H$100,$A280,'27a'!$I$7:$I$100,"")+SUMIFS('28'!$J$7:$J$100,'28'!$H$7:$H$100,$A280,'28'!$I$7:$I$100,"")+SUMIFS('29'!$J$7:$J$100,'29'!$H$7:$H$100,$A280,'29'!$I$7:$I$100,"")</f>
        <v>0</v>
      </c>
      <c r="J280" s="1296">
        <f t="shared" si="29"/>
        <v>0</v>
      </c>
      <c r="K280"/>
      <c r="L280"/>
      <c r="M280"/>
      <c r="N280"/>
      <c r="O280"/>
      <c r="P280"/>
      <c r="Q280"/>
      <c r="R280"/>
      <c r="S280" s="1307">
        <f t="shared" ref="S280:S342" si="30">SUM(C280:J280)</f>
        <v>0</v>
      </c>
      <c r="T280"/>
    </row>
    <row r="281" spans="1:20" x14ac:dyDescent="0.2">
      <c r="A281" t="s">
        <v>5188</v>
      </c>
      <c r="B281" t="s">
        <v>5516</v>
      </c>
      <c r="C281" s="1295">
        <f>SUMIFS('12'!$N$7:$N$100,'12'!$H$7:$H$100,$A281,'12'!$I$7:$I$100,1)+SUMIFS('13'!$N$7:$N$100,'13'!$H$7:$H$100,$A281,'13'!$I$7:$I$100,1)+SUMIFS('14'!$N$7:$N$100,'14'!$H$7:$H$100,$A281,'14'!$I$7:$I$100,1)+SUMIFS('15'!$N$7:$N$100,'15'!$H$7:$H$100,$A281,'15'!$I$7:$I$100,1)+SUMIFS('15a'!$N$7:$N$100,'15a'!$H$7:$H$100,$A281,'15a'!$I$7:$I$100,1)+SUMIFS('15b'!$N$7:$N$100,'15b'!$H$7:$H$100,$A281,'15b'!$I$7:$I$100,1)+SUMIFS('15c'!$N$7:$N$100,'15c'!$H$7:$H$100,$A281,'15c'!$I$7:$I$100,1)+SUMIFS('15d'!$N$7:$N$100,'15d'!$H$7:$H$100,$A281,'15d'!$I$7:$I$100,1)+SUMIFS('15e'!$N$7:$N$100,'15e'!$H$7:$H$100,$A281,'15e'!$I$7:$I$100,1)+SUMIFS('15f'!$N$7:$N$100,'15f'!$H$7:$H$100,$A281,'15f'!$I$7:$I$100,1)+SUMIFS('15g'!$N$7:$N$100,'15g'!$H$7:$H$100,$A281,'15g'!$I$7:$I$100,1)+SUMIFS('15h'!$N$7:$N$100,'15h'!$H$7:$H$100,$A281,'15h'!$I$7:$I$100,1)+SUMIFS('15i'!$N$7:$N$100,'15i'!$H$7:$H$100,$A281,'15i'!$I$7:$I$100,1)+SUMIFS('15j'!$N$7:$N$100,'15j'!$H$7:$H$100,$A281,'15j'!$I$7:$I$100,1)+SUMIFS('15k'!$N$7:$N$100,'15k'!$H$7:$H$100,$A281,'15k'!$I$7:$I$100,1)+SUMIFS('15l'!$N$7:$N$100,'15l'!$H$7:$H$100,$A281,'15l'!$I$7:$I$100,1)+SUMIFS('15m'!$N$7:$N$100,'15m'!$H$7:$H$100,$A281,'15m'!$I$7:$I$100,1)+SUMIFS('15n'!$N$7:$N$100,'15n'!$H$7:$H$100,$A281,'15n'!$I$7:$I$100,1)+SUMIFS('16'!$N$7:$N$100,'16'!$H$7:$H$100,$A281,'16'!$I$7:$I$100,1)+SUMIFS('16a'!$N$7:$N$100,'16a'!$H$7:$H$100,$A281,'16a'!$I$7:$I$100,1)+SUMIFS('17'!$N$7:$N$100,'17'!$H$7:$H$100,$A281,'17'!$I$7:$I$100,1)+SUMIFS('17a'!$N$7:$N$100,'17a'!$H$7:$H$100,$A281,'17a'!$I$7:$I$100,1)+SUMIFS('18'!$N$7:$N$100,'18'!$H$7:$H$100,$A281,'18'!$I$7:$I$100,1)+SUMIFS('18a'!$N$7:$N$100,'18a'!$H$7:$H$100,$A281,'18a'!$I$7:$I$100,1)
+SUMIFS('19'!$N$7:$N$100,'19'!$H$7:$H$100,$A281,'19'!$I$7:$I$100,1)+SUMIFS('20'!$N$7:$N$100,'20'!$H$7:$H$100,$A281,'20'!$I$7:$I$100,1)+SUMIFS('20a'!$N$7:$N$100,'20a'!$H$7:$H$100,$A281,'20a'!$I$7:$I$100,1)+SUMIFS('21'!$N$7:$N$100,'21'!$H$7:$H$100,$A281,'21'!$I$7:$I$100,1)+SUMIFS('22'!$N$7:$N$100,'22'!$H$7:$H$100,$A281,'22'!$I$7:$I$100,1)+SUMIFS('22a'!$N$7:$N$100,'22a'!$H$7:$H$100,$A281,'22a'!$I$7:$I$100,1)+SUMIFS('22b'!$N$7:$N$100,'22b'!$H$7:$H$100,$A281,'22b'!$I$7:$I$100,1)+SUMIFS('23'!$N$7:$N$100,'23'!$H$7:$H$100,$A281,'23'!$I$7:$I$100,1)+SUMIFS('24'!$N$7:$N$100,'24'!$H$7:$H$100,$A281,'24'!$I$7:$I$100,1)+SUMIFS('24a'!$N$7:$N$100,'24a'!$H$7:$H$100,$A281,'24a'!$I$7:$I$100,1)+SUMIFS('24b'!$N$7:$N$100,'24b'!$H$7:$H$100,$A281,'24b'!$I$7:$I$100,1)+SUMIFS('24c'!$N$7:$N$100,'24c'!$H$7:$H$100,$A281,'24c'!$I$7:$I$100,1)+SUMIFS('24d'!$N$7:$N$100,'24d'!$H$7:$H$100,$A281,'24d'!$I$7:$I$100,1)+SUMIFS('24e'!$N$7:$N$100,'24e'!$H$7:$H$100,$A281,'24e'!$I$7:$I$100,1)+SUMIFS('24f'!$N$7:$N$100,'24f'!$H$7:$H$100,$A281,'24f'!$I$7:$I$100,1)+SUMIFS('24g'!$N$7:$N$100,'24g'!$H$7:$H$100,$A281,'24g'!$I$7:$I$100,1)+SUMIFS('24h'!$N$7:$N$100,'24h'!$H$7:$H$100,$A281,'24h'!$I$7:$I$100,1)+SUMIFS('24i'!$N$7:$N$100,'24i'!$H$7:$H$100,$A281,'24i'!$I$7:$I$100,1)+SUMIFS('25'!$N$7:$N$100,'25'!$H$7:$H$100,$A281,'25'!$I$7:$I$100,1)+SUMIFS('26'!$N$7:$N$100,'26'!$H$7:$H$100,$A281,'26'!$I$7:$I$100,1)+SUMIFS('26a'!$N$7:$N$100,'26a'!$H$7:$H$100,$A281,'26a'!$I$7:$I$100,1)+SUMIFS('27'!$N$7:$N$100,'27'!$H$7:$H$100,$A281,'27'!$I$7:$I$100,1)+SUMIFS('27a'!$N$7:$N$100,'27a'!$H$7:$H$100,$A281,'27a'!$I$7:$I$100,1)+SUMIFS('28'!$N$7:$N$100,'28'!$H$7:$H$100,$A281,'28'!$I$7:$I$100,1)+SUMIFS('29'!$N$7:$N$100,'29'!$H$7:$H$100,$A281,'29'!$I$7:$I$100,1)</f>
        <v>0</v>
      </c>
      <c r="D281" s="1315">
        <f>SUMIFS('12'!$N$7:$N$100,'12'!$H$7:$H$100,$A281,'12'!$I$7:$I$100,2)+SUMIFS('13'!$N$7:$N$100,'13'!$H$7:$H$100,$A281,'13'!$I$7:$I$100,2)+SUMIFS('14'!$N$7:$N$100,'14'!$H$7:$H$100,$A281,'14'!$I$7:$I$100,2)+SUMIFS('15'!$N$7:$N$100,'15'!$H$7:$H$100,$A281,'15'!$I$7:$I$100,2)+SUMIFS('15a'!$N$7:$N$100,'15a'!$H$7:$H$100,$A281,'15a'!$I$7:$I$100,2)+SUMIFS('15b'!$N$7:$N$100,'15b'!$H$7:$H$100,$A281,'15b'!$I$7:$I$100,2)+SUMIFS('15c'!$N$7:$N$100,'15c'!$H$7:$H$100,$A281,'15c'!$I$7:$I$100,2)+SUMIFS('15d'!$N$7:$N$100,'15d'!$H$7:$H$100,$A281,'15d'!$I$7:$I$100,2)+SUMIFS('15e'!$N$7:$N$100,'15e'!$H$7:$H$100,$A281,'15e'!$I$7:$I$100,2)+SUMIFS('15f'!$N$7:$N$100,'15f'!$H$7:$H$100,$A281,'15f'!$I$7:$I$100,2)+SUMIFS('15g'!$N$7:$N$100,'15g'!$H$7:$H$100,$A281,'15g'!$I$7:$I$100,2)+SUMIFS('15h'!$N$7:$N$100,'15h'!$H$7:$H$100,$A281,'15h'!$I$7:$I$100,2)+SUMIFS('15i'!$N$7:$N$100,'15i'!$H$7:$H$100,$A281,'15i'!$I$7:$I$100,2)+SUMIFS('15j'!$N$7:$N$100,'15j'!$H$7:$H$100,$A281,'15j'!$I$7:$I$100,2)+SUMIFS('15k'!$N$7:$N$100,'15k'!$H$7:$H$100,$A281,'15k'!$I$7:$I$100,2)+SUMIFS('15l'!$N$7:$N$100,'15l'!$H$7:$H$100,$A281,'15l'!$I$7:$I$100,2)+SUMIFS('15m'!$N$7:$N$100,'15m'!$H$7:$H$100,$A281,'15m'!$I$7:$I$100,2)+SUMIFS('15n'!$N$7:$N$100,'15n'!$H$7:$H$100,$A281,'15n'!$I$7:$I$100,2)+SUMIFS('16'!$N$7:$N$100,'16'!$H$7:$H$100,$A281,'16'!$I$7:$I$100,2)+SUMIFS('16a'!$N$7:$N$100,'16a'!$H$7:$H$100,$A281,'16a'!$I$7:$I$100,2)+SUMIFS('17'!$N$7:$N$100,'17'!$H$7:$H$100,$A281,'17'!$I$7:$I$100,2)+SUMIFS('17a'!$N$7:$N$100,'17a'!$H$7:$H$100,$A281,'17a'!$I$7:$I$100,2)+SUMIFS('18'!$N$7:$N$100,'18'!$H$7:$H$100,$A281,'18'!$I$7:$I$100,2)+SUMIFS('18a'!$N$7:$N$100,'18a'!$H$7:$H$100,$A281,'18a'!$I$7:$I$100,2)
+SUMIFS('19'!$N$7:$N$100,'19'!$H$7:$H$100,$A281,'19'!$I$7:$I$100,2)+SUMIFS('20'!$N$7:$N$100,'20'!$H$7:$H$100,$A281,'20'!$I$7:$I$100,2)+SUMIFS('20a'!$N$7:$N$100,'20a'!$H$7:$H$100,$A281,'20a'!$I$7:$I$100,2)+SUMIFS('21'!$N$7:$N$100,'21'!$H$7:$H$100,$A281,'21'!$I$7:$I$100,2)+SUMIFS('22'!$N$7:$N$100,'22'!$H$7:$H$100,$A281,'22'!$I$7:$I$100,2)+SUMIFS('22a'!$N$7:$N$100,'22a'!$H$7:$H$100,$A281,'22a'!$I$7:$I$100,2)+SUMIFS('22b'!$N$7:$N$100,'22b'!$H$7:$H$100,$A281,'22b'!$I$7:$I$100,2)+SUMIFS('23'!$N$7:$N$100,'23'!$H$7:$H$100,$A281,'23'!$I$7:$I$100,2)+SUMIFS('24'!$N$7:$N$100,'24'!$H$7:$H$100,$A281,'24'!$I$7:$I$100,2)+SUMIFS('24a'!$N$7:$N$100,'24a'!$H$7:$H$100,$A281,'24a'!$I$7:$I$100,2)+SUMIFS('24b'!$N$7:$N$100,'24b'!$H$7:$H$100,$A281,'24b'!$I$7:$I$100,2)+SUMIFS('24c'!$N$7:$N$100,'24c'!$H$7:$H$100,$A281,'24c'!$I$7:$I$100,2)+SUMIFS('24d'!$N$7:$N$100,'24d'!$H$7:$H$100,$A281,'24d'!$I$7:$I$100,2)+SUMIFS('24e'!$N$7:$N$100,'24e'!$H$7:$H$100,$A281,'24e'!$I$7:$I$100,2)+SUMIFS('24f'!$N$7:$N$100,'24f'!$H$7:$H$100,$A281,'24f'!$I$7:$I$100,2)+SUMIFS('24g'!$N$7:$N$100,'24g'!$H$7:$H$100,$A281,'24g'!$I$7:$I$100,2)+SUMIFS('24h'!$N$7:$N$100,'24h'!$H$7:$H$100,$A281,'24h'!$I$7:$I$100,2)+SUMIFS('24i'!$N$7:$N$100,'24i'!$H$7:$H$100,$A281,'24i'!$I$7:$I$100,2)+SUMIFS('25'!$N$7:$N$100,'25'!$H$7:$H$100,$A281,'25'!$I$7:$I$100,2)+SUMIFS('26'!$N$7:$N$100,'26'!$H$7:$H$100,$A281,'26'!$I$7:$I$100,2)+SUMIFS('26a'!$N$7:$N$100,'26a'!$H$7:$H$100,$A281,'26a'!$I$7:$I$100,2)+SUMIFS('27'!$N$7:$N$100,'27'!$H$7:$H$100,$A281,'27'!$I$7:$I$100,2)+SUMIFS('27a'!$N$7:$N$100,'27a'!$H$7:$H$100,$A281,'27a'!$I$7:$I$100,2)+SUMIFS('28'!$N$7:$N$100,'28'!$H$7:$H$100,$A281,'28'!$I$7:$I$100,2)+SUMIFS('29'!$N$7:$N$100,'29'!$H$7:$H$100,$A281,'29'!$I$7:$I$100,2)</f>
        <v>0</v>
      </c>
      <c r="E281" s="1315">
        <f>SUMIFS('12'!$N$7:$N$100,'12'!$H$7:$H$100,$A281,'12'!$I$7:$I$100,"")+SUMIFS('13'!$N$7:$N$100,'13'!$H$7:$H$100,$A281,'13'!$I$7:$I$100,"")+SUMIFS('14'!$N$7:$N$100,'14'!$H$7:$H$100,$A281,'14'!$I$7:$I$100,"")+SUMIFS('15'!$N$7:$N$100,'15'!$H$7:$H$100,$A281,'15'!$I$7:$I$100,"")+SUMIFS('15a'!$N$7:$N$100,'15a'!$H$7:$H$100,$A281,'15a'!$I$7:$I$100,"")+SUMIFS('15b'!$N$7:$N$100,'15b'!$H$7:$H$100,$A281,'15b'!$I$7:$I$100,"")+SUMIFS('15c'!$N$7:$N$100,'15c'!$H$7:$H$100,$A281,'15c'!$I$7:$I$100,"")+SUMIFS('15d'!$N$7:$N$100,'15d'!$H$7:$H$100,$A281,'15d'!$I$7:$I$100,"")+SUMIFS('15e'!$N$7:$N$100,'15e'!$H$7:$H$100,$A281,'15e'!$I$7:$I$100,"")+SUMIFS('15f'!$N$7:$N$100,'15f'!$H$7:$H$100,$A281,'15f'!$I$7:$I$100,"")+SUMIFS('15g'!$N$7:$N$100,'15g'!$H$7:$H$100,$A281,'15g'!$I$7:$I$100,"")+SUMIFS('15h'!$N$7:$N$100,'15h'!$H$7:$H$100,$A281,'15h'!$I$7:$I$100,"")+SUMIFS('15i'!$N$7:$N$100,'15i'!$H$7:$H$100,$A281,'15i'!$I$7:$I$100,"")+SUMIFS('15j'!$N$7:$N$100,'15j'!$H$7:$H$100,$A281,'15j'!$I$7:$I$100,"")+SUMIFS('15k'!$N$7:$N$100,'15k'!$H$7:$H$100,$A281,'15k'!$I$7:$I$100,"")+SUMIFS('15l'!$N$7:$N$100,'15l'!$H$7:$H$100,$A281,'15l'!$I$7:$I$100,"")+SUMIFS('15m'!$N$7:$N$100,'15m'!$H$7:$H$100,$A281,'15m'!$I$7:$I$100,"")+SUMIFS('15n'!$N$7:$N$100,'15n'!$H$7:$H$100,$A281,'15n'!$I$7:$I$100,"")+SUMIFS('16'!$N$7:$N$100,'16'!$H$7:$H$100,$A281,'16'!$I$7:$I$100,"")+SUMIFS('16a'!$N$7:$N$100,'16a'!$H$7:$H$100,$A281,'16a'!$I$7:$I$100,"")+SUMIFS('17'!$N$7:$N$100,'17'!$H$7:$H$100,$A281,'17'!$I$7:$I$100,"")+SUMIFS('17a'!$N$7:$N$100,'17a'!$H$7:$H$100,$A281,'17a'!$I$7:$I$100,"")+SUMIFS('18'!$N$7:$N$100,'18'!$H$7:$H$100,$A281,'18'!$I$7:$I$100,"")+SUMIFS('18a'!$N$7:$N$100,'18a'!$H$7:$H$100,$A281,'18a'!$I$7:$I$100,"")
+SUMIFS('19'!$N$7:$N$100,'19'!$H$7:$H$100,$A281,'19'!$I$7:$I$100,"")+SUMIFS('20'!$N$7:$N$100,'20'!$H$7:$H$100,$A281,'20'!$I$7:$I$100,"")+SUMIFS('20a'!$N$7:$N$100,'20a'!$H$7:$H$100,$A281,'20a'!$I$7:$I$100,"")+SUMIFS('21'!$N$7:$N$100,'21'!$H$7:$H$100,$A281,'21'!$I$7:$I$100,"")+SUMIFS('22'!$N$7:$N$100,'22'!$H$7:$H$100,$A281,'22'!$I$7:$I$100,"")+SUMIFS('22a'!$N$7:$N$100,'22a'!$H$7:$H$100,$A281,'22a'!$I$7:$I$100,"")+SUMIFS('22b'!$N$7:$N$100,'22b'!$H$7:$H$100,$A281,'22b'!$I$7:$I$100,"")+SUMIFS('23'!$N$7:$N$100,'23'!$H$7:$H$100,$A281,'23'!$I$7:$I$100,"")+SUMIFS('24'!$N$7:$N$100,'24'!$H$7:$H$100,$A281,'24'!$I$7:$I$100,"")+SUMIFS('24a'!$N$7:$N$100,'24a'!$H$7:$H$100,$A281,'24a'!$I$7:$I$100,"")+SUMIFS('24b'!$N$7:$N$100,'24b'!$H$7:$H$100,$A281,'24b'!$I$7:$I$100,"")+SUMIFS('24c'!$N$7:$N$100,'24c'!$H$7:$H$100,$A281,'24c'!$I$7:$I$100,"")+SUMIFS('24d'!$N$7:$N$100,'24d'!$H$7:$H$100,$A281,'24d'!$I$7:$I$100,"")+SUMIFS('24e'!$N$7:$N$100,'24e'!$H$7:$H$100,$A281,'24e'!$I$7:$I$100,"")+SUMIFS('24f'!$N$7:$N$100,'24f'!$H$7:$H$100,$A281,'24f'!$I$7:$I$100,"")+SUMIFS('24g'!$N$7:$N$100,'24g'!$H$7:$H$100,$A281,'24g'!$I$7:$I$100,"")+SUMIFS('24h'!$N$7:$N$100,'24h'!$H$7:$H$100,$A281,'24h'!$I$7:$I$100,"")+SUMIFS('24i'!$N$7:$N$100,'24i'!$H$7:$H$100,$A281,'24i'!$I$7:$I$100,"")+SUMIFS('25'!$N$7:$N$100,'25'!$H$7:$H$100,$A281,'25'!$I$7:$I$100,"")+SUMIFS('26'!$N$7:$N$100,'26'!$H$7:$H$100,$A281,'26'!$I$7:$I$100,"")+SUMIFS('26a'!$N$7:$N$100,'26a'!$H$7:$H$100,$A281,'26a'!$I$7:$I$100,"")+SUMIFS('27'!$N$7:$N$100,'27'!$H$7:$H$100,$A281,'27'!$I$7:$I$100,"")+SUMIFS('27a'!$N$7:$N$100,'27a'!$H$7:$H$100,$A281,'27a'!$I$7:$I$100,"")+SUMIFS('28'!$N$7:$N$100,'28'!$H$7:$H$100,$A281,'28'!$I$7:$I$100,"")+SUMIFS('29'!$N$7:$N$100,'29'!$H$7:$H$100,$A281,'29'!$I$7:$I$100,"")</f>
        <v>0</v>
      </c>
      <c r="F281" s="1296">
        <f t="shared" si="28"/>
        <v>0</v>
      </c>
      <c r="G281" s="1295">
        <f>SUMIFS('12'!$J$7:$J$100,'12'!$H$7:$H$100,$A281,'12'!$I$7:$I$100,1)+SUMIFS('13'!$J$7:$J$100,'13'!$H$7:$H$100,$A281,'13'!$I$7:$I$100,1)+SUMIFS('14'!$J$7:$J$100,'14'!$H$7:$H$100,$A281,'14'!$I$7:$I$100,1)+SUMIFS('15'!$J$7:$J$100,'15'!$H$7:$H$100,$A281,'15'!$I$7:$I$100,1)+SUMIFS('15a'!$J$7:$J$100,'15a'!$H$7:$H$100,$A281,'15a'!$I$7:$I$100,1)+SUMIFS('15b'!$J$7:$J$100,'15b'!$H$7:$H$100,$A281,'15b'!$I$7:$I$100,1)+SUMIFS('15c'!$J$7:$J$100,'15c'!$H$7:$H$100,$A281,'15c'!$I$7:$I$100,1)+SUMIFS('15d'!$J$7:$J$100,'15d'!$H$7:$H$100,$A281,'15d'!$I$7:$I$100,1)+SUMIFS('15e'!$J$7:$J$100,'15e'!$H$7:$H$100,$A281,'15e'!$I$7:$I$100,1)+SUMIFS('15f'!$J$7:$J$100,'15f'!$H$7:$H$100,$A281,'15f'!$I$7:$I$100,1)+SUMIFS('15g'!$J$7:$J$100,'15g'!$H$7:$H$100,$A281,'15g'!$I$7:$I$100,1)+SUMIFS('15h'!$J$7:$J$100,'15h'!$H$7:$H$100,$A281,'15h'!$I$7:$I$100,1)+SUMIFS('15i'!$J$7:$J$100,'15i'!$H$7:$H$100,$A281,'15i'!$I$7:$I$100,1)+SUMIFS('15j'!$J$7:$J$100,'15j'!$H$7:$H$100,$A281,'15j'!$I$7:$I$100,1)+SUMIFS('15k'!$J$7:$J$100,'15k'!$H$7:$H$100,$A281,'15k'!$I$7:$I$100,1)+SUMIFS('15l'!$J$7:$J$100,'15l'!$H$7:$H$100,$A281,'15l'!$I$7:$I$100,1)+SUMIFS('15m'!$J$7:$J$100,'15m'!$H$7:$H$100,$A281,'15m'!$I$7:$I$100,1)+SUMIFS('15n'!$J$7:$J$100,'15n'!$H$7:$H$100,$A281,'15n'!$I$7:$I$100,1)+SUMIFS('16'!$J$7:$J$100,'16'!$H$7:$H$100,$A281,'16'!$I$7:$I$100,1)+SUMIFS('16a'!$J$7:$J$100,'16a'!$H$7:$H$100,$A281,'16a'!$I$7:$I$100,1)+SUMIFS('17'!$J$7:$J$100,'17'!$H$7:$H$100,$A281,'17'!$I$7:$I$100,1)+SUMIFS('17a'!$J$7:$J$100,'17a'!$H$7:$H$100,$A281,'17a'!$I$7:$I$100,1)+SUMIFS('18'!$J$7:$J$100,'18'!$H$7:$H$100,$A281,'18'!$I$7:$I$100,1)+SUMIFS('18a'!$J$7:$J$100,'18a'!$H$7:$H$100,$A281,'18a'!$I$7:$I$100,1)
+SUMIFS('19'!$J$7:$J$100,'19'!$H$7:$H$100,$A281,'19'!$I$7:$I$100,1)+SUMIFS('20'!$J$7:$J$100,'20'!$H$7:$H$100,$A281,'20'!$I$7:$I$100,1)+SUMIFS('20a'!$J$7:$J$100,'20a'!$H$7:$H$100,$A281,'20a'!$I$7:$I$100,1)+SUMIFS('21'!$J$7:$J$100,'21'!$H$7:$H$100,$A281,'21'!$I$7:$I$100,1)+SUMIFS('22'!$J$7:$J$100,'22'!$H$7:$H$100,$A281,'22'!$I$7:$I$100,1)+SUMIFS('22a'!$J$7:$J$100,'22a'!$H$7:$H$100,$A281,'22a'!$I$7:$I$100,1)+SUMIFS('22b'!$J$7:$J$100,'22b'!$H$7:$H$100,$A281,'22b'!$I$7:$I$100,1)+SUMIFS('23'!$J$7:$J$100,'23'!$H$7:$H$100,$A281,'23'!$I$7:$I$100,1)+SUMIFS('24'!$J$7:$J$100,'24'!$H$7:$H$100,$A281,'24'!$I$7:$I$100,1)+SUMIFS('24a'!$J$7:$J$100,'24a'!$H$7:$H$100,$A281,'24a'!$I$7:$I$100,1)+SUMIFS('24b'!$J$7:$J$100,'24b'!$H$7:$H$100,$A281,'24b'!$I$7:$I$100,1)+SUMIFS('24c'!$J$7:$J$100,'24c'!$H$7:$H$100,$A281,'24c'!$I$7:$I$100,1)+SUMIFS('24d'!$J$7:$J$100,'24d'!$H$7:$H$100,$A281,'24d'!$I$7:$I$100,1)+SUMIFS('24e'!$J$7:$J$100,'24e'!$H$7:$H$100,$A281,'24e'!$I$7:$I$100,1)+SUMIFS('24f'!$J$7:$J$100,'24f'!$H$7:$H$100,$A281,'24f'!$I$7:$I$100,1)+SUMIFS('24g'!$J$7:$J$100,'24g'!$H$7:$H$100,$A281,'24g'!$I$7:$I$100,1)+SUMIFS('24h'!$J$7:$J$100,'24h'!$H$7:$H$100,$A281,'24h'!$I$7:$I$100,1)+SUMIFS('24i'!$J$7:$J$100,'24i'!$H$7:$H$100,$A281,'24i'!$I$7:$I$100,1)+SUMIFS('25'!$J$7:$J$100,'25'!$H$7:$H$100,$A281,'25'!$I$7:$I$100,1)+SUMIFS('26'!$J$7:$J$100,'26'!$H$7:$H$100,$A281,'26'!$I$7:$I$100,1)+SUMIFS('26a'!$J$7:$J$100,'26a'!$H$7:$H$100,$A281,'26a'!$I$7:$I$100,1)+SUMIFS('27'!$J$7:$J$100,'27'!$H$7:$H$100,$A281,'27'!$I$7:$I$100,1)+SUMIFS('27a'!$J$7:$J$100,'27a'!$H$7:$H$100,$A281,'27a'!$I$7:$I$100,1)+SUMIFS('28'!$J$7:$J$100,'28'!$H$7:$H$100,$A281,'28'!$I$7:$I$100,1)+SUMIFS('29'!$J$7:$J$100,'29'!$H$7:$H$100,$A281,'29'!$I$7:$I$100,1)</f>
        <v>0</v>
      </c>
      <c r="H281" s="1315">
        <f>SUMIFS('12'!$J$7:$J$100,'12'!$H$7:$H$100,$A281,'12'!$I$7:$I$100,2)+SUMIFS('13'!$J$7:$J$100,'13'!$H$7:$H$100,$A281,'13'!$I$7:$I$100,2)+SUMIFS('14'!$J$7:$J$100,'14'!$H$7:$H$100,$A281,'14'!$I$7:$I$100,2)+SUMIFS('15'!$J$7:$J$100,'15'!$H$7:$H$100,$A281,'15'!$I$7:$I$100,2)+SUMIFS('15a'!$J$7:$J$100,'15a'!$H$7:$H$100,$A281,'15a'!$I$7:$I$100,2)+SUMIFS('15b'!$J$7:$J$100,'15b'!$H$7:$H$100,$A281,'15b'!$I$7:$I$100,2)+SUMIFS('15c'!$J$7:$J$100,'15c'!$H$7:$H$100,$A281,'15c'!$I$7:$I$100,2)+SUMIFS('15d'!$J$7:$J$100,'15d'!$H$7:$H$100,$A281,'15d'!$I$7:$I$100,2)+SUMIFS('15e'!$J$7:$J$100,'15e'!$H$7:$H$100,$A281,'15e'!$I$7:$I$100,2)+SUMIFS('15f'!$J$7:$J$100,'15f'!$H$7:$H$100,$A281,'15f'!$I$7:$I$100,2)+SUMIFS('15g'!$J$7:$J$100,'15g'!$H$7:$H$100,$A281,'15g'!$I$7:$I$100,2)+SUMIFS('15h'!$J$7:$J$100,'15h'!$H$7:$H$100,$A281,'15h'!$I$7:$I$100,2)+SUMIFS('15i'!$J$7:$J$100,'15i'!$H$7:$H$100,$A281,'15i'!$I$7:$I$100,2)+SUMIFS('15j'!$J$7:$J$100,'15j'!$H$7:$H$100,$A281,'15j'!$I$7:$I$100,2)+SUMIFS('15k'!$J$7:$J$100,'15k'!$H$7:$H$100,$A281,'15k'!$I$7:$I$100,2)+SUMIFS('15l'!$J$7:$J$100,'15l'!$H$7:$H$100,$A281,'15l'!$I$7:$I$100,2)+SUMIFS('15m'!$J$7:$J$100,'15m'!$H$7:$H$100,$A281,'15m'!$I$7:$I$100,2)+SUMIFS('15n'!$J$7:$J$100,'15n'!$H$7:$H$100,$A281,'15n'!$I$7:$I$100,2)+SUMIFS('16'!$J$7:$J$100,'16'!$H$7:$H$100,$A281,'16'!$I$7:$I$100,2)+SUMIFS('16a'!$J$7:$J$100,'16a'!$H$7:$H$100,$A281,'16a'!$I$7:$I$100,2)+SUMIFS('17'!$J$7:$J$100,'17'!$H$7:$H$100,$A281,'17'!$I$7:$I$100,2)+SUMIFS('17a'!$J$7:$J$100,'17a'!$H$7:$H$100,$A281,'17a'!$I$7:$I$100,2)+SUMIFS('18'!$J$7:$J$100,'18'!$H$7:$H$100,$A281,'18'!$I$7:$I$100,2)+SUMIFS('18a'!$J$7:$J$100,'18a'!$H$7:$H$100,$A281,'18a'!$I$7:$I$100,2)
+SUMIFS('19'!$J$7:$J$100,'19'!$H$7:$H$100,$A281,'19'!$I$7:$I$100,2)+SUMIFS('20'!$J$7:$J$100,'20'!$H$7:$H$100,$A281,'20'!$I$7:$I$100,2)+SUMIFS('20a'!$J$7:$J$100,'20a'!$H$7:$H$100,$A281,'20a'!$I$7:$I$100,2)+SUMIFS('21'!$J$7:$J$100,'21'!$H$7:$H$100,$A281,'21'!$I$7:$I$100,2)+SUMIFS('22'!$J$7:$J$100,'22'!$H$7:$H$100,$A281,'22'!$I$7:$I$100,2)+SUMIFS('22a'!$J$7:$J$100,'22a'!$H$7:$H$100,$A281,'22a'!$I$7:$I$100,2)+SUMIFS('22b'!$J$7:$J$100,'22b'!$H$7:$H$100,$A281,'22b'!$I$7:$I$100,2)+SUMIFS('23'!$J$7:$J$100,'23'!$H$7:$H$100,$A281,'23'!$I$7:$I$100,2)+SUMIFS('24'!$J$7:$J$100,'24'!$H$7:$H$100,$A281,'24'!$I$7:$I$100,2)+SUMIFS('24a'!$J$7:$J$100,'24a'!$H$7:$H$100,$A281,'24a'!$I$7:$I$100,2)+SUMIFS('24b'!$J$7:$J$100,'24b'!$H$7:$H$100,$A281,'24b'!$I$7:$I$100,2)+SUMIFS('24c'!$J$7:$J$100,'24c'!$H$7:$H$100,$A281,'24c'!$I$7:$I$100,2)+SUMIFS('24d'!$J$7:$J$100,'24d'!$H$7:$H$100,$A281,'24d'!$I$7:$I$100,2)+SUMIFS('24e'!$J$7:$J$100,'24e'!$H$7:$H$100,$A281,'24e'!$I$7:$I$100,2)+SUMIFS('24f'!$J$7:$J$100,'24f'!$H$7:$H$100,$A281,'24f'!$I$7:$I$100,2)+SUMIFS('24g'!$J$7:$J$100,'24g'!$H$7:$H$100,$A281,'24g'!$I$7:$I$100,2)+SUMIFS('24h'!$J$7:$J$100,'24h'!$H$7:$H$100,$A281,'24h'!$I$7:$I$100,2)+SUMIFS('24i'!$J$7:$J$100,'24i'!$H$7:$H$100,$A281,'24i'!$I$7:$I$100,2)+SUMIFS('25'!$J$7:$J$100,'25'!$H$7:$H$100,$A281,'25'!$I$7:$I$100,2)+SUMIFS('26'!$J$7:$J$100,'26'!$H$7:$H$100,$A281,'26'!$I$7:$I$100,2)+SUMIFS('26a'!$J$7:$J$100,'26a'!$H$7:$H$100,$A281,'26a'!$I$7:$I$100,2)+SUMIFS('27'!$J$7:$J$100,'27'!$H$7:$H$100,$A281,'27'!$I$7:$I$100,2)+SUMIFS('27a'!$J$7:$J$100,'27a'!$H$7:$H$100,$A281,'27a'!$I$7:$I$100,2)+SUMIFS('28'!$J$7:$J$100,'28'!$H$7:$H$100,$A281,'28'!$I$7:$I$100,2)+SUMIFS('29'!$J$7:$J$100,'29'!$H$7:$H$100,$A281,'29'!$I$7:$I$100,2)</f>
        <v>0</v>
      </c>
      <c r="I281" s="1315">
        <f>SUMIFS('12'!$J$7:$J$100,'12'!$H$7:$H$100,$A281,'12'!$I$7:$I$100,"")+SUMIFS('13'!$J$7:$J$100,'13'!$H$7:$H$100,$A281,'13'!$I$7:$I$100,"")+SUMIFS('14'!$J$7:$J$100,'14'!$H$7:$H$100,$A281,'14'!$I$7:$I$100,"")+SUMIFS('15'!$J$7:$J$100,'15'!$H$7:$H$100,$A281,'15'!$I$7:$I$100,"")+SUMIFS('15a'!$J$7:$J$100,'15a'!$H$7:$H$100,$A281,'15a'!$I$7:$I$100,"")+SUMIFS('15b'!$J$7:$J$100,'15b'!$H$7:$H$100,$A281,'15b'!$I$7:$I$100,"")+SUMIFS('15c'!$J$7:$J$100,'15c'!$H$7:$H$100,$A281,'15c'!$I$7:$I$100,"")+SUMIFS('15d'!$J$7:$J$100,'15d'!$H$7:$H$100,$A281,'15d'!$I$7:$I$100,"")+SUMIFS('15e'!$J$7:$J$100,'15e'!$H$7:$H$100,$A281,'15e'!$I$7:$I$100,"")+SUMIFS('15f'!$J$7:$J$100,'15f'!$H$7:$H$100,$A281,'15f'!$I$7:$I$100,"")+SUMIFS('15g'!$J$7:$J$100,'15g'!$H$7:$H$100,$A281,'15g'!$I$7:$I$100,"")+SUMIFS('15h'!$J$7:$J$100,'15h'!$H$7:$H$100,$A281,'15h'!$I$7:$I$100,"")+SUMIFS('15i'!$J$7:$J$100,'15i'!$H$7:$H$100,$A281,'15i'!$I$7:$I$100,"")+SUMIFS('15j'!$J$7:$J$100,'15j'!$H$7:$H$100,$A281,'15j'!$I$7:$I$100,"")+SUMIFS('15k'!$J$7:$J$100,'15k'!$H$7:$H$100,$A281,'15k'!$I$7:$I$100,"")+SUMIFS('15l'!$J$7:$J$100,'15l'!$H$7:$H$100,$A281,'15l'!$I$7:$I$100,"")+SUMIFS('15m'!$J$7:$J$100,'15m'!$H$7:$H$100,$A281,'15m'!$I$7:$I$100,"")+SUMIFS('15n'!$J$7:$J$100,'15n'!$H$7:$H$100,$A281,'15n'!$I$7:$I$100,"")+SUMIFS('16'!$J$7:$J$100,'16'!$H$7:$H$100,$A281,'16'!$I$7:$I$100,"")+SUMIFS('16a'!$J$7:$J$100,'16a'!$H$7:$H$100,$A281,'16a'!$I$7:$I$100,"")+SUMIFS('17'!$J$7:$J$100,'17'!$H$7:$H$100,$A281,'17'!$I$7:$I$100,"")+SUMIFS('17a'!$J$7:$J$100,'17a'!$H$7:$H$100,$A281,'17a'!$I$7:$I$100,"")+SUMIFS('18'!$J$7:$J$100,'18'!$H$7:$H$100,$A281,'18'!$I$7:$I$100,"")+SUMIFS('18a'!$J$7:$J$100,'18a'!$H$7:$H$100,$A281,'18a'!$I$7:$I$100,"")
+SUMIFS('19'!$J$7:$J$100,'19'!$H$7:$H$100,$A281,'19'!$I$7:$I$100,"")+SUMIFS('20'!$J$7:$J$100,'20'!$H$7:$H$100,$A281,'20'!$I$7:$I$100,"")+SUMIFS('20a'!$J$7:$J$100,'20a'!$H$7:$H$100,$A281,'20a'!$I$7:$I$100,"")+SUMIFS('21'!$J$7:$J$100,'21'!$H$7:$H$100,$A281,'21'!$I$7:$I$100,"")+SUMIFS('22'!$J$7:$J$100,'22'!$H$7:$H$100,$A281,'22'!$I$7:$I$100,"")+SUMIFS('22a'!$J$7:$J$100,'22a'!$H$7:$H$100,$A281,'22a'!$I$7:$I$100,"")+SUMIFS('22b'!$J$7:$J$100,'22b'!$H$7:$H$100,$A281,'22b'!$I$7:$I$100,"")+SUMIFS('23'!$J$7:$J$100,'23'!$H$7:$H$100,$A281,'23'!$I$7:$I$100,"")+SUMIFS('24'!$J$7:$J$100,'24'!$H$7:$H$100,$A281,'24'!$I$7:$I$100,"")+SUMIFS('24a'!$J$7:$J$100,'24a'!$H$7:$H$100,$A281,'24a'!$I$7:$I$100,"")+SUMIFS('24b'!$J$7:$J$100,'24b'!$H$7:$H$100,$A281,'24b'!$I$7:$I$100,"")+SUMIFS('24c'!$J$7:$J$100,'24c'!$H$7:$H$100,$A281,'24c'!$I$7:$I$100,"")+SUMIFS('24d'!$J$7:$J$100,'24d'!$H$7:$H$100,$A281,'24d'!$I$7:$I$100,"")+SUMIFS('24e'!$J$7:$J$100,'24e'!$H$7:$H$100,$A281,'24e'!$I$7:$I$100,"")+SUMIFS('24f'!$J$7:$J$100,'24f'!$H$7:$H$100,$A281,'24f'!$I$7:$I$100,"")+SUMIFS('24g'!$J$7:$J$100,'24g'!$H$7:$H$100,$A281,'24g'!$I$7:$I$100,"")+SUMIFS('24h'!$J$7:$J$100,'24h'!$H$7:$H$100,$A281,'24h'!$I$7:$I$100,"")+SUMIFS('24i'!$J$7:$J$100,'24i'!$H$7:$H$100,$A281,'24i'!$I$7:$I$100,"")+SUMIFS('25'!$J$7:$J$100,'25'!$H$7:$H$100,$A281,'25'!$I$7:$I$100,"")+SUMIFS('26'!$J$7:$J$100,'26'!$H$7:$H$100,$A281,'26'!$I$7:$I$100,"")+SUMIFS('26a'!$J$7:$J$100,'26a'!$H$7:$H$100,$A281,'26a'!$I$7:$I$100,"")+SUMIFS('27'!$J$7:$J$100,'27'!$H$7:$H$100,$A281,'27'!$I$7:$I$100,"")+SUMIFS('27a'!$J$7:$J$100,'27a'!$H$7:$H$100,$A281,'27a'!$I$7:$I$100,"")+SUMIFS('28'!$J$7:$J$100,'28'!$H$7:$H$100,$A281,'28'!$I$7:$I$100,"")+SUMIFS('29'!$J$7:$J$100,'29'!$H$7:$H$100,$A281,'29'!$I$7:$I$100,"")</f>
        <v>0</v>
      </c>
      <c r="J281" s="1296">
        <f t="shared" si="29"/>
        <v>0</v>
      </c>
      <c r="K281"/>
      <c r="L281"/>
      <c r="M281"/>
      <c r="N281"/>
      <c r="O281"/>
      <c r="P281"/>
      <c r="Q281"/>
      <c r="R281"/>
      <c r="S281" s="1307">
        <f t="shared" si="30"/>
        <v>0</v>
      </c>
      <c r="T281"/>
    </row>
    <row r="282" spans="1:20" x14ac:dyDescent="0.2">
      <c r="A282"/>
      <c r="B282" s="1289" t="str">
        <f>"Total- "&amp;A269</f>
        <v>Total- Health and Human Services</v>
      </c>
      <c r="C282" s="1297">
        <f>SUM(C270:C271,C276:C281)</f>
        <v>500</v>
      </c>
      <c r="D282" s="1290">
        <f>SUM(D270:D271,D276:D281)</f>
        <v>5813</v>
      </c>
      <c r="E282" s="1290">
        <f t="shared" ref="E282:J282" si="31">SUM(E270:E271,E276:E281)</f>
        <v>0</v>
      </c>
      <c r="F282" s="1298">
        <f t="shared" si="31"/>
        <v>6313</v>
      </c>
      <c r="G282" s="1297">
        <f t="shared" si="31"/>
        <v>530.6</v>
      </c>
      <c r="H282" s="1290">
        <f t="shared" si="31"/>
        <v>6525</v>
      </c>
      <c r="I282" s="1290">
        <f t="shared" si="31"/>
        <v>0</v>
      </c>
      <c r="J282" s="1298">
        <f t="shared" si="31"/>
        <v>7055.6</v>
      </c>
      <c r="K282"/>
      <c r="L282"/>
      <c r="M282"/>
      <c r="N282"/>
      <c r="O282"/>
      <c r="P282"/>
      <c r="Q282"/>
      <c r="R282"/>
      <c r="S282" s="1307"/>
      <c r="T282"/>
    </row>
    <row r="283" spans="1:20" x14ac:dyDescent="0.2">
      <c r="A283"/>
      <c r="B283"/>
      <c r="C283" s="292"/>
      <c r="D283"/>
      <c r="E283"/>
      <c r="F283" s="345"/>
      <c r="G283" s="292"/>
      <c r="H283"/>
      <c r="I283"/>
      <c r="J283" s="345"/>
      <c r="K283"/>
      <c r="L283"/>
      <c r="M283"/>
      <c r="N283"/>
      <c r="O283"/>
      <c r="P283"/>
      <c r="Q283"/>
      <c r="R283"/>
      <c r="S283" s="1307"/>
      <c r="T283"/>
    </row>
    <row r="284" spans="1:20" x14ac:dyDescent="0.2">
      <c r="A284" s="106" t="s">
        <v>5445</v>
      </c>
      <c r="B284" s="5"/>
      <c r="C284" s="1299"/>
      <c r="D284" s="523"/>
      <c r="E284" s="5"/>
      <c r="F284" s="1322"/>
      <c r="G284" s="1299"/>
      <c r="H284" s="523"/>
      <c r="I284" s="5"/>
      <c r="J284" s="1322"/>
      <c r="K284"/>
      <c r="L284"/>
      <c r="M284"/>
      <c r="N284"/>
      <c r="O284"/>
      <c r="P284"/>
      <c r="Q284"/>
      <c r="R284"/>
      <c r="S284" s="1307"/>
      <c r="T284"/>
    </row>
    <row r="285" spans="1:20" ht="12.75" customHeight="1" x14ac:dyDescent="0.2">
      <c r="A285" t="s">
        <v>5189</v>
      </c>
      <c r="B285" t="s">
        <v>5517</v>
      </c>
      <c r="C285" s="1295">
        <f>SUMIFS('12'!$N$7:$N$100,'12'!$H$7:$H$100,$A285,'12'!$I$7:$I$100,1)+SUMIFS('13'!$N$7:$N$100,'13'!$H$7:$H$100,$A285,'13'!$I$7:$I$100,1)+SUMIFS('14'!$N$7:$N$100,'14'!$H$7:$H$100,$A285,'14'!$I$7:$I$100,1)+SUMIFS('15'!$N$7:$N$100,'15'!$H$7:$H$100,$A285,'15'!$I$7:$I$100,1)+SUMIFS('15a'!$N$7:$N$100,'15a'!$H$7:$H$100,$A285,'15a'!$I$7:$I$100,1)+SUMIFS('15b'!$N$7:$N$100,'15b'!$H$7:$H$100,$A285,'15b'!$I$7:$I$100,1)+SUMIFS('15c'!$N$7:$N$100,'15c'!$H$7:$H$100,$A285,'15c'!$I$7:$I$100,1)+SUMIFS('15d'!$N$7:$N$100,'15d'!$H$7:$H$100,$A285,'15d'!$I$7:$I$100,1)+SUMIFS('15e'!$N$7:$N$100,'15e'!$H$7:$H$100,$A285,'15e'!$I$7:$I$100,1)+SUMIFS('15f'!$N$7:$N$100,'15f'!$H$7:$H$100,$A285,'15f'!$I$7:$I$100,1)+SUMIFS('15g'!$N$7:$N$100,'15g'!$H$7:$H$100,$A285,'15g'!$I$7:$I$100,1)+SUMIFS('15h'!$N$7:$N$100,'15h'!$H$7:$H$100,$A285,'15h'!$I$7:$I$100,1)+SUMIFS('15i'!$N$7:$N$100,'15i'!$H$7:$H$100,$A285,'15i'!$I$7:$I$100,1)+SUMIFS('15j'!$N$7:$N$100,'15j'!$H$7:$H$100,$A285,'15j'!$I$7:$I$100,1)+SUMIFS('15k'!$N$7:$N$100,'15k'!$H$7:$H$100,$A285,'15k'!$I$7:$I$100,1)+SUMIFS('15l'!$N$7:$N$100,'15l'!$H$7:$H$100,$A285,'15l'!$I$7:$I$100,1)+SUMIFS('15m'!$N$7:$N$100,'15m'!$H$7:$H$100,$A285,'15m'!$I$7:$I$100,1)+SUMIFS('15n'!$N$7:$N$100,'15n'!$H$7:$H$100,$A285,'15n'!$I$7:$I$100,1)+SUMIFS('16'!$N$7:$N$100,'16'!$H$7:$H$100,$A285,'16'!$I$7:$I$100,1)+SUMIFS('16a'!$N$7:$N$100,'16a'!$H$7:$H$100,$A285,'16a'!$I$7:$I$100,1)+SUMIFS('17'!$N$7:$N$100,'17'!$H$7:$H$100,$A285,'17'!$I$7:$I$100,1)+SUMIFS('17a'!$N$7:$N$100,'17a'!$H$7:$H$100,$A285,'17a'!$I$7:$I$100,1)+SUMIFS('18'!$N$7:$N$100,'18'!$H$7:$H$100,$A285,'18'!$I$7:$I$100,1)+SUMIFS('18a'!$N$7:$N$100,'18a'!$H$7:$H$100,$A285,'18a'!$I$7:$I$100,1)
+SUMIFS('19'!$N$7:$N$100,'19'!$H$7:$H$100,$A285,'19'!$I$7:$I$100,1)+SUMIFS('20'!$N$7:$N$100,'20'!$H$7:$H$100,$A285,'20'!$I$7:$I$100,1)+SUMIFS('20a'!$N$7:$N$100,'20a'!$H$7:$H$100,$A285,'20a'!$I$7:$I$100,1)+SUMIFS('21'!$N$7:$N$100,'21'!$H$7:$H$100,$A285,'21'!$I$7:$I$100,1)+SUMIFS('22'!$N$7:$N$100,'22'!$H$7:$H$100,$A285,'22'!$I$7:$I$100,1)+SUMIFS('22a'!$N$7:$N$100,'22a'!$H$7:$H$100,$A285,'22a'!$I$7:$I$100,1)+SUMIFS('22b'!$N$7:$N$100,'22b'!$H$7:$H$100,$A285,'22b'!$I$7:$I$100,1)+SUMIFS('23'!$N$7:$N$100,'23'!$H$7:$H$100,$A285,'23'!$I$7:$I$100,1)+SUMIFS('24'!$N$7:$N$100,'24'!$H$7:$H$100,$A285,'24'!$I$7:$I$100,1)+SUMIFS('24a'!$N$7:$N$100,'24a'!$H$7:$H$100,$A285,'24a'!$I$7:$I$100,1)+SUMIFS('24b'!$N$7:$N$100,'24b'!$H$7:$H$100,$A285,'24b'!$I$7:$I$100,1)+SUMIFS('24c'!$N$7:$N$100,'24c'!$H$7:$H$100,$A285,'24c'!$I$7:$I$100,1)+SUMIFS('24d'!$N$7:$N$100,'24d'!$H$7:$H$100,$A285,'24d'!$I$7:$I$100,1)+SUMIFS('24e'!$N$7:$N$100,'24e'!$H$7:$H$100,$A285,'24e'!$I$7:$I$100,1)+SUMIFS('24f'!$N$7:$N$100,'24f'!$H$7:$H$100,$A285,'24f'!$I$7:$I$100,1)+SUMIFS('24g'!$N$7:$N$100,'24g'!$H$7:$H$100,$A285,'24g'!$I$7:$I$100,1)+SUMIFS('24h'!$N$7:$N$100,'24h'!$H$7:$H$100,$A285,'24h'!$I$7:$I$100,1)+SUMIFS('24i'!$N$7:$N$100,'24i'!$H$7:$H$100,$A285,'24i'!$I$7:$I$100,1)+SUMIFS('25'!$N$7:$N$100,'25'!$H$7:$H$100,$A285,'25'!$I$7:$I$100,1)+SUMIFS('26'!$N$7:$N$100,'26'!$H$7:$H$100,$A285,'26'!$I$7:$I$100,1)+SUMIFS('26a'!$N$7:$N$100,'26a'!$H$7:$H$100,$A285,'26a'!$I$7:$I$100,1)+SUMIFS('27'!$N$7:$N$100,'27'!$H$7:$H$100,$A285,'27'!$I$7:$I$100,1)+SUMIFS('27a'!$N$7:$N$100,'27a'!$H$7:$H$100,$A285,'27a'!$I$7:$I$100,1)+SUMIFS('28'!$N$7:$N$100,'28'!$H$7:$H$100,$A285,'28'!$I$7:$I$100,1)+SUMIFS('29'!$N$7:$N$100,'29'!$H$7:$H$100,$A285,'29'!$I$7:$I$100,1)</f>
        <v>0</v>
      </c>
      <c r="D285" s="1315">
        <f>SUMIFS('12'!$N$7:$N$100,'12'!$H$7:$H$100,$A285,'12'!$I$7:$I$100,2)+SUMIFS('13'!$N$7:$N$100,'13'!$H$7:$H$100,$A285,'13'!$I$7:$I$100,2)+SUMIFS('14'!$N$7:$N$100,'14'!$H$7:$H$100,$A285,'14'!$I$7:$I$100,2)+SUMIFS('15'!$N$7:$N$100,'15'!$H$7:$H$100,$A285,'15'!$I$7:$I$100,2)+SUMIFS('15a'!$N$7:$N$100,'15a'!$H$7:$H$100,$A285,'15a'!$I$7:$I$100,2)+SUMIFS('15b'!$N$7:$N$100,'15b'!$H$7:$H$100,$A285,'15b'!$I$7:$I$100,2)+SUMIFS('15c'!$N$7:$N$100,'15c'!$H$7:$H$100,$A285,'15c'!$I$7:$I$100,2)+SUMIFS('15d'!$N$7:$N$100,'15d'!$H$7:$H$100,$A285,'15d'!$I$7:$I$100,2)+SUMIFS('15e'!$N$7:$N$100,'15e'!$H$7:$H$100,$A285,'15e'!$I$7:$I$100,2)+SUMIFS('15f'!$N$7:$N$100,'15f'!$H$7:$H$100,$A285,'15f'!$I$7:$I$100,2)+SUMIFS('15g'!$N$7:$N$100,'15g'!$H$7:$H$100,$A285,'15g'!$I$7:$I$100,2)+SUMIFS('15h'!$N$7:$N$100,'15h'!$H$7:$H$100,$A285,'15h'!$I$7:$I$100,2)+SUMIFS('15i'!$N$7:$N$100,'15i'!$H$7:$H$100,$A285,'15i'!$I$7:$I$100,2)+SUMIFS('15j'!$N$7:$N$100,'15j'!$H$7:$H$100,$A285,'15j'!$I$7:$I$100,2)+SUMIFS('15k'!$N$7:$N$100,'15k'!$H$7:$H$100,$A285,'15k'!$I$7:$I$100,2)+SUMIFS('15l'!$N$7:$N$100,'15l'!$H$7:$H$100,$A285,'15l'!$I$7:$I$100,2)+SUMIFS('15m'!$N$7:$N$100,'15m'!$H$7:$H$100,$A285,'15m'!$I$7:$I$100,2)+SUMIFS('15n'!$N$7:$N$100,'15n'!$H$7:$H$100,$A285,'15n'!$I$7:$I$100,2)+SUMIFS('16'!$N$7:$N$100,'16'!$H$7:$H$100,$A285,'16'!$I$7:$I$100,2)+SUMIFS('16a'!$N$7:$N$100,'16a'!$H$7:$H$100,$A285,'16a'!$I$7:$I$100,2)+SUMIFS('17'!$N$7:$N$100,'17'!$H$7:$H$100,$A285,'17'!$I$7:$I$100,2)+SUMIFS('17a'!$N$7:$N$100,'17a'!$H$7:$H$100,$A285,'17a'!$I$7:$I$100,2)+SUMIFS('18'!$N$7:$N$100,'18'!$H$7:$H$100,$A285,'18'!$I$7:$I$100,2)+SUMIFS('18a'!$N$7:$N$100,'18a'!$H$7:$H$100,$A285,'18a'!$I$7:$I$100,2)
+SUMIFS('19'!$N$7:$N$100,'19'!$H$7:$H$100,$A285,'19'!$I$7:$I$100,2)+SUMIFS('20'!$N$7:$N$100,'20'!$H$7:$H$100,$A285,'20'!$I$7:$I$100,2)+SUMIFS('20a'!$N$7:$N$100,'20a'!$H$7:$H$100,$A285,'20a'!$I$7:$I$100,2)+SUMIFS('21'!$N$7:$N$100,'21'!$H$7:$H$100,$A285,'21'!$I$7:$I$100,2)+SUMIFS('22'!$N$7:$N$100,'22'!$H$7:$H$100,$A285,'22'!$I$7:$I$100,2)+SUMIFS('22a'!$N$7:$N$100,'22a'!$H$7:$H$100,$A285,'22a'!$I$7:$I$100,2)+SUMIFS('22b'!$N$7:$N$100,'22b'!$H$7:$H$100,$A285,'22b'!$I$7:$I$100,2)+SUMIFS('23'!$N$7:$N$100,'23'!$H$7:$H$100,$A285,'23'!$I$7:$I$100,2)+SUMIFS('24'!$N$7:$N$100,'24'!$H$7:$H$100,$A285,'24'!$I$7:$I$100,2)+SUMIFS('24a'!$N$7:$N$100,'24a'!$H$7:$H$100,$A285,'24a'!$I$7:$I$100,2)+SUMIFS('24b'!$N$7:$N$100,'24b'!$H$7:$H$100,$A285,'24b'!$I$7:$I$100,2)+SUMIFS('24c'!$N$7:$N$100,'24c'!$H$7:$H$100,$A285,'24c'!$I$7:$I$100,2)+SUMIFS('24d'!$N$7:$N$100,'24d'!$H$7:$H$100,$A285,'24d'!$I$7:$I$100,2)+SUMIFS('24e'!$N$7:$N$100,'24e'!$H$7:$H$100,$A285,'24e'!$I$7:$I$100,2)+SUMIFS('24f'!$N$7:$N$100,'24f'!$H$7:$H$100,$A285,'24f'!$I$7:$I$100,2)+SUMIFS('24g'!$N$7:$N$100,'24g'!$H$7:$H$100,$A285,'24g'!$I$7:$I$100,2)+SUMIFS('24h'!$N$7:$N$100,'24h'!$H$7:$H$100,$A285,'24h'!$I$7:$I$100,2)+SUMIFS('24i'!$N$7:$N$100,'24i'!$H$7:$H$100,$A285,'24i'!$I$7:$I$100,2)+SUMIFS('25'!$N$7:$N$100,'25'!$H$7:$H$100,$A285,'25'!$I$7:$I$100,2)+SUMIFS('26'!$N$7:$N$100,'26'!$H$7:$H$100,$A285,'26'!$I$7:$I$100,2)+SUMIFS('26a'!$N$7:$N$100,'26a'!$H$7:$H$100,$A285,'26a'!$I$7:$I$100,2)+SUMIFS('27'!$N$7:$N$100,'27'!$H$7:$H$100,$A285,'27'!$I$7:$I$100,2)+SUMIFS('27a'!$N$7:$N$100,'27a'!$H$7:$H$100,$A285,'27a'!$I$7:$I$100,2)+SUMIFS('28'!$N$7:$N$100,'28'!$H$7:$H$100,$A285,'28'!$I$7:$I$100,2)+SUMIFS('29'!$N$7:$N$100,'29'!$H$7:$H$100,$A285,'29'!$I$7:$I$100,2)</f>
        <v>0</v>
      </c>
      <c r="E285" s="1315">
        <f>SUMIFS('12'!$N$7:$N$100,'12'!$H$7:$H$100,$A285,'12'!$I$7:$I$100,"")+SUMIFS('13'!$N$7:$N$100,'13'!$H$7:$H$100,$A285,'13'!$I$7:$I$100,"")+SUMIFS('14'!$N$7:$N$100,'14'!$H$7:$H$100,$A285,'14'!$I$7:$I$100,"")+SUMIFS('15'!$N$7:$N$100,'15'!$H$7:$H$100,$A285,'15'!$I$7:$I$100,"")+SUMIFS('15a'!$N$7:$N$100,'15a'!$H$7:$H$100,$A285,'15a'!$I$7:$I$100,"")+SUMIFS('15b'!$N$7:$N$100,'15b'!$H$7:$H$100,$A285,'15b'!$I$7:$I$100,"")+SUMIFS('15c'!$N$7:$N$100,'15c'!$H$7:$H$100,$A285,'15c'!$I$7:$I$100,"")+SUMIFS('15d'!$N$7:$N$100,'15d'!$H$7:$H$100,$A285,'15d'!$I$7:$I$100,"")+SUMIFS('15e'!$N$7:$N$100,'15e'!$H$7:$H$100,$A285,'15e'!$I$7:$I$100,"")+SUMIFS('15f'!$N$7:$N$100,'15f'!$H$7:$H$100,$A285,'15f'!$I$7:$I$100,"")+SUMIFS('15g'!$N$7:$N$100,'15g'!$H$7:$H$100,$A285,'15g'!$I$7:$I$100,"")+SUMIFS('15h'!$N$7:$N$100,'15h'!$H$7:$H$100,$A285,'15h'!$I$7:$I$100,"")+SUMIFS('15i'!$N$7:$N$100,'15i'!$H$7:$H$100,$A285,'15i'!$I$7:$I$100,"")+SUMIFS('15j'!$N$7:$N$100,'15j'!$H$7:$H$100,$A285,'15j'!$I$7:$I$100,"")+SUMIFS('15k'!$N$7:$N$100,'15k'!$H$7:$H$100,$A285,'15k'!$I$7:$I$100,"")+SUMIFS('15l'!$N$7:$N$100,'15l'!$H$7:$H$100,$A285,'15l'!$I$7:$I$100,"")+SUMIFS('15m'!$N$7:$N$100,'15m'!$H$7:$H$100,$A285,'15m'!$I$7:$I$100,"")+SUMIFS('15n'!$N$7:$N$100,'15n'!$H$7:$H$100,$A285,'15n'!$I$7:$I$100,"")+SUMIFS('16'!$N$7:$N$100,'16'!$H$7:$H$100,$A285,'16'!$I$7:$I$100,"")+SUMIFS('16a'!$N$7:$N$100,'16a'!$H$7:$H$100,$A285,'16a'!$I$7:$I$100,"")+SUMIFS('17'!$N$7:$N$100,'17'!$H$7:$H$100,$A285,'17'!$I$7:$I$100,"")+SUMIFS('17a'!$N$7:$N$100,'17a'!$H$7:$H$100,$A285,'17a'!$I$7:$I$100,"")+SUMIFS('18'!$N$7:$N$100,'18'!$H$7:$H$100,$A285,'18'!$I$7:$I$100,"")+SUMIFS('18a'!$N$7:$N$100,'18a'!$H$7:$H$100,$A285,'18a'!$I$7:$I$100,"")
+SUMIFS('19'!$N$7:$N$100,'19'!$H$7:$H$100,$A285,'19'!$I$7:$I$100,"")+SUMIFS('20'!$N$7:$N$100,'20'!$H$7:$H$100,$A285,'20'!$I$7:$I$100,"")+SUMIFS('20a'!$N$7:$N$100,'20a'!$H$7:$H$100,$A285,'20a'!$I$7:$I$100,"")+SUMIFS('21'!$N$7:$N$100,'21'!$H$7:$H$100,$A285,'21'!$I$7:$I$100,"")+SUMIFS('22'!$N$7:$N$100,'22'!$H$7:$H$100,$A285,'22'!$I$7:$I$100,"")+SUMIFS('22a'!$N$7:$N$100,'22a'!$H$7:$H$100,$A285,'22a'!$I$7:$I$100,"")+SUMIFS('22b'!$N$7:$N$100,'22b'!$H$7:$H$100,$A285,'22b'!$I$7:$I$100,"")+SUMIFS('23'!$N$7:$N$100,'23'!$H$7:$H$100,$A285,'23'!$I$7:$I$100,"")+SUMIFS('24'!$N$7:$N$100,'24'!$H$7:$H$100,$A285,'24'!$I$7:$I$100,"")+SUMIFS('24a'!$N$7:$N$100,'24a'!$H$7:$H$100,$A285,'24a'!$I$7:$I$100,"")+SUMIFS('24b'!$N$7:$N$100,'24b'!$H$7:$H$100,$A285,'24b'!$I$7:$I$100,"")+SUMIFS('24c'!$N$7:$N$100,'24c'!$H$7:$H$100,$A285,'24c'!$I$7:$I$100,"")+SUMIFS('24d'!$N$7:$N$100,'24d'!$H$7:$H$100,$A285,'24d'!$I$7:$I$100,"")+SUMIFS('24e'!$N$7:$N$100,'24e'!$H$7:$H$100,$A285,'24e'!$I$7:$I$100,"")+SUMIFS('24f'!$N$7:$N$100,'24f'!$H$7:$H$100,$A285,'24f'!$I$7:$I$100,"")+SUMIFS('24g'!$N$7:$N$100,'24g'!$H$7:$H$100,$A285,'24g'!$I$7:$I$100,"")+SUMIFS('24h'!$N$7:$N$100,'24h'!$H$7:$H$100,$A285,'24h'!$I$7:$I$100,"")+SUMIFS('24i'!$N$7:$N$100,'24i'!$H$7:$H$100,$A285,'24i'!$I$7:$I$100,"")+SUMIFS('25'!$N$7:$N$100,'25'!$H$7:$H$100,$A285,'25'!$I$7:$I$100,"")+SUMIFS('26'!$N$7:$N$100,'26'!$H$7:$H$100,$A285,'26'!$I$7:$I$100,"")+SUMIFS('26a'!$N$7:$N$100,'26a'!$H$7:$H$100,$A285,'26a'!$I$7:$I$100,"")+SUMIFS('27'!$N$7:$N$100,'27'!$H$7:$H$100,$A285,'27'!$I$7:$I$100,"")+SUMIFS('27a'!$N$7:$N$100,'27a'!$H$7:$H$100,$A285,'27a'!$I$7:$I$100,"")+SUMIFS('28'!$N$7:$N$100,'28'!$H$7:$H$100,$A285,'28'!$I$7:$I$100,"")+SUMIFS('29'!$N$7:$N$100,'29'!$H$7:$H$100,$A285,'29'!$I$7:$I$100,"")</f>
        <v>0</v>
      </c>
      <c r="F285" s="1296">
        <f>SUM(C285:E285)</f>
        <v>0</v>
      </c>
      <c r="G285" s="1295">
        <f>SUMIFS('12'!$J$7:$J$100,'12'!$H$7:$H$100,$A285,'12'!$I$7:$I$100,1)+SUMIFS('13'!$J$7:$J$100,'13'!$H$7:$H$100,$A285,'13'!$I$7:$I$100,1)+SUMIFS('14'!$J$7:$J$100,'14'!$H$7:$H$100,$A285,'14'!$I$7:$I$100,1)+SUMIFS('15'!$J$7:$J$100,'15'!$H$7:$H$100,$A285,'15'!$I$7:$I$100,1)+SUMIFS('15a'!$J$7:$J$100,'15a'!$H$7:$H$100,$A285,'15a'!$I$7:$I$100,1)+SUMIFS('15b'!$J$7:$J$100,'15b'!$H$7:$H$100,$A285,'15b'!$I$7:$I$100,1)+SUMIFS('15c'!$J$7:$J$100,'15c'!$H$7:$H$100,$A285,'15c'!$I$7:$I$100,1)+SUMIFS('15d'!$J$7:$J$100,'15d'!$H$7:$H$100,$A285,'15d'!$I$7:$I$100,1)+SUMIFS('15e'!$J$7:$J$100,'15e'!$H$7:$H$100,$A285,'15e'!$I$7:$I$100,1)+SUMIFS('15f'!$J$7:$J$100,'15f'!$H$7:$H$100,$A285,'15f'!$I$7:$I$100,1)+SUMIFS('15g'!$J$7:$J$100,'15g'!$H$7:$H$100,$A285,'15g'!$I$7:$I$100,1)+SUMIFS('15h'!$J$7:$J$100,'15h'!$H$7:$H$100,$A285,'15h'!$I$7:$I$100,1)+SUMIFS('15i'!$J$7:$J$100,'15i'!$H$7:$H$100,$A285,'15i'!$I$7:$I$100,1)+SUMIFS('15j'!$J$7:$J$100,'15j'!$H$7:$H$100,$A285,'15j'!$I$7:$I$100,1)+SUMIFS('15k'!$J$7:$J$100,'15k'!$H$7:$H$100,$A285,'15k'!$I$7:$I$100,1)+SUMIFS('15l'!$J$7:$J$100,'15l'!$H$7:$H$100,$A285,'15l'!$I$7:$I$100,1)+SUMIFS('15m'!$J$7:$J$100,'15m'!$H$7:$H$100,$A285,'15m'!$I$7:$I$100,1)+SUMIFS('15n'!$J$7:$J$100,'15n'!$H$7:$H$100,$A285,'15n'!$I$7:$I$100,1)+SUMIFS('16'!$J$7:$J$100,'16'!$H$7:$H$100,$A285,'16'!$I$7:$I$100,1)+SUMIFS('16a'!$J$7:$J$100,'16a'!$H$7:$H$100,$A285,'16a'!$I$7:$I$100,1)+SUMIFS('17'!$J$7:$J$100,'17'!$H$7:$H$100,$A285,'17'!$I$7:$I$100,1)+SUMIFS('17a'!$J$7:$J$100,'17a'!$H$7:$H$100,$A285,'17a'!$I$7:$I$100,1)+SUMIFS('18'!$J$7:$J$100,'18'!$H$7:$H$100,$A285,'18'!$I$7:$I$100,1)+SUMIFS('18a'!$J$7:$J$100,'18a'!$H$7:$H$100,$A285,'18a'!$I$7:$I$100,1)
+SUMIFS('19'!$J$7:$J$100,'19'!$H$7:$H$100,$A285,'19'!$I$7:$I$100,1)+SUMIFS('20'!$J$7:$J$100,'20'!$H$7:$H$100,$A285,'20'!$I$7:$I$100,1)+SUMIFS('20a'!$J$7:$J$100,'20a'!$H$7:$H$100,$A285,'20a'!$I$7:$I$100,1)+SUMIFS('21'!$J$7:$J$100,'21'!$H$7:$H$100,$A285,'21'!$I$7:$I$100,1)+SUMIFS('22'!$J$7:$J$100,'22'!$H$7:$H$100,$A285,'22'!$I$7:$I$100,1)+SUMIFS('22a'!$J$7:$J$100,'22a'!$H$7:$H$100,$A285,'22a'!$I$7:$I$100,1)+SUMIFS('22b'!$J$7:$J$100,'22b'!$H$7:$H$100,$A285,'22b'!$I$7:$I$100,1)+SUMIFS('23'!$J$7:$J$100,'23'!$H$7:$H$100,$A285,'23'!$I$7:$I$100,1)+SUMIFS('24'!$J$7:$J$100,'24'!$H$7:$H$100,$A285,'24'!$I$7:$I$100,1)+SUMIFS('24a'!$J$7:$J$100,'24a'!$H$7:$H$100,$A285,'24a'!$I$7:$I$100,1)+SUMIFS('24b'!$J$7:$J$100,'24b'!$H$7:$H$100,$A285,'24b'!$I$7:$I$100,1)+SUMIFS('24c'!$J$7:$J$100,'24c'!$H$7:$H$100,$A285,'24c'!$I$7:$I$100,1)+SUMIFS('24d'!$J$7:$J$100,'24d'!$H$7:$H$100,$A285,'24d'!$I$7:$I$100,1)+SUMIFS('24e'!$J$7:$J$100,'24e'!$H$7:$H$100,$A285,'24e'!$I$7:$I$100,1)+SUMIFS('24f'!$J$7:$J$100,'24f'!$H$7:$H$100,$A285,'24f'!$I$7:$I$100,1)+SUMIFS('24g'!$J$7:$J$100,'24g'!$H$7:$H$100,$A285,'24g'!$I$7:$I$100,1)+SUMIFS('24h'!$J$7:$J$100,'24h'!$H$7:$H$100,$A285,'24h'!$I$7:$I$100,1)+SUMIFS('24i'!$J$7:$J$100,'24i'!$H$7:$H$100,$A285,'24i'!$I$7:$I$100,1)+SUMIFS('25'!$J$7:$J$100,'25'!$H$7:$H$100,$A285,'25'!$I$7:$I$100,1)+SUMIFS('26'!$J$7:$J$100,'26'!$H$7:$H$100,$A285,'26'!$I$7:$I$100,1)+SUMIFS('26a'!$J$7:$J$100,'26a'!$H$7:$H$100,$A285,'26a'!$I$7:$I$100,1)+SUMIFS('27'!$J$7:$J$100,'27'!$H$7:$H$100,$A285,'27'!$I$7:$I$100,1)+SUMIFS('27a'!$J$7:$J$100,'27a'!$H$7:$H$100,$A285,'27a'!$I$7:$I$100,1)+SUMIFS('28'!$J$7:$J$100,'28'!$H$7:$H$100,$A285,'28'!$I$7:$I$100,1)+SUMIFS('29'!$J$7:$J$100,'29'!$H$7:$H$100,$A285,'29'!$I$7:$I$100,1)</f>
        <v>0</v>
      </c>
      <c r="H285" s="1315">
        <f>SUMIFS('12'!$J$7:$J$100,'12'!$H$7:$H$100,$A285,'12'!$I$7:$I$100,2)+SUMIFS('13'!$J$7:$J$100,'13'!$H$7:$H$100,$A285,'13'!$I$7:$I$100,2)+SUMIFS('14'!$J$7:$J$100,'14'!$H$7:$H$100,$A285,'14'!$I$7:$I$100,2)+SUMIFS('15'!$J$7:$J$100,'15'!$H$7:$H$100,$A285,'15'!$I$7:$I$100,2)+SUMIFS('15a'!$J$7:$J$100,'15a'!$H$7:$H$100,$A285,'15a'!$I$7:$I$100,2)+SUMIFS('15b'!$J$7:$J$100,'15b'!$H$7:$H$100,$A285,'15b'!$I$7:$I$100,2)+SUMIFS('15c'!$J$7:$J$100,'15c'!$H$7:$H$100,$A285,'15c'!$I$7:$I$100,2)+SUMIFS('15d'!$J$7:$J$100,'15d'!$H$7:$H$100,$A285,'15d'!$I$7:$I$100,2)+SUMIFS('15e'!$J$7:$J$100,'15e'!$H$7:$H$100,$A285,'15e'!$I$7:$I$100,2)+SUMIFS('15f'!$J$7:$J$100,'15f'!$H$7:$H$100,$A285,'15f'!$I$7:$I$100,2)+SUMIFS('15g'!$J$7:$J$100,'15g'!$H$7:$H$100,$A285,'15g'!$I$7:$I$100,2)+SUMIFS('15h'!$J$7:$J$100,'15h'!$H$7:$H$100,$A285,'15h'!$I$7:$I$100,2)+SUMIFS('15i'!$J$7:$J$100,'15i'!$H$7:$H$100,$A285,'15i'!$I$7:$I$100,2)+SUMIFS('15j'!$J$7:$J$100,'15j'!$H$7:$H$100,$A285,'15j'!$I$7:$I$100,2)+SUMIFS('15k'!$J$7:$J$100,'15k'!$H$7:$H$100,$A285,'15k'!$I$7:$I$100,2)+SUMIFS('15l'!$J$7:$J$100,'15l'!$H$7:$H$100,$A285,'15l'!$I$7:$I$100,2)+SUMIFS('15m'!$J$7:$J$100,'15m'!$H$7:$H$100,$A285,'15m'!$I$7:$I$100,2)+SUMIFS('15n'!$J$7:$J$100,'15n'!$H$7:$H$100,$A285,'15n'!$I$7:$I$100,2)+SUMIFS('16'!$J$7:$J$100,'16'!$H$7:$H$100,$A285,'16'!$I$7:$I$100,2)+SUMIFS('16a'!$J$7:$J$100,'16a'!$H$7:$H$100,$A285,'16a'!$I$7:$I$100,2)+SUMIFS('17'!$J$7:$J$100,'17'!$H$7:$H$100,$A285,'17'!$I$7:$I$100,2)+SUMIFS('17a'!$J$7:$J$100,'17a'!$H$7:$H$100,$A285,'17a'!$I$7:$I$100,2)+SUMIFS('18'!$J$7:$J$100,'18'!$H$7:$H$100,$A285,'18'!$I$7:$I$100,2)+SUMIFS('18a'!$J$7:$J$100,'18a'!$H$7:$H$100,$A285,'18a'!$I$7:$I$100,2)
+SUMIFS('19'!$J$7:$J$100,'19'!$H$7:$H$100,$A285,'19'!$I$7:$I$100,2)+SUMIFS('20'!$J$7:$J$100,'20'!$H$7:$H$100,$A285,'20'!$I$7:$I$100,2)+SUMIFS('20a'!$J$7:$J$100,'20a'!$H$7:$H$100,$A285,'20a'!$I$7:$I$100,2)+SUMIFS('21'!$J$7:$J$100,'21'!$H$7:$H$100,$A285,'21'!$I$7:$I$100,2)+SUMIFS('22'!$J$7:$J$100,'22'!$H$7:$H$100,$A285,'22'!$I$7:$I$100,2)+SUMIFS('22a'!$J$7:$J$100,'22a'!$H$7:$H$100,$A285,'22a'!$I$7:$I$100,2)+SUMIFS('22b'!$J$7:$J$100,'22b'!$H$7:$H$100,$A285,'22b'!$I$7:$I$100,2)+SUMIFS('23'!$J$7:$J$100,'23'!$H$7:$H$100,$A285,'23'!$I$7:$I$100,2)+SUMIFS('24'!$J$7:$J$100,'24'!$H$7:$H$100,$A285,'24'!$I$7:$I$100,2)+SUMIFS('24a'!$J$7:$J$100,'24a'!$H$7:$H$100,$A285,'24a'!$I$7:$I$100,2)+SUMIFS('24b'!$J$7:$J$100,'24b'!$H$7:$H$100,$A285,'24b'!$I$7:$I$100,2)+SUMIFS('24c'!$J$7:$J$100,'24c'!$H$7:$H$100,$A285,'24c'!$I$7:$I$100,2)+SUMIFS('24d'!$J$7:$J$100,'24d'!$H$7:$H$100,$A285,'24d'!$I$7:$I$100,2)+SUMIFS('24e'!$J$7:$J$100,'24e'!$H$7:$H$100,$A285,'24e'!$I$7:$I$100,2)+SUMIFS('24f'!$J$7:$J$100,'24f'!$H$7:$H$100,$A285,'24f'!$I$7:$I$100,2)+SUMIFS('24g'!$J$7:$J$100,'24g'!$H$7:$H$100,$A285,'24g'!$I$7:$I$100,2)+SUMIFS('24h'!$J$7:$J$100,'24h'!$H$7:$H$100,$A285,'24h'!$I$7:$I$100,2)+SUMIFS('24i'!$J$7:$J$100,'24i'!$H$7:$H$100,$A285,'24i'!$I$7:$I$100,2)+SUMIFS('25'!$J$7:$J$100,'25'!$H$7:$H$100,$A285,'25'!$I$7:$I$100,2)+SUMIFS('26'!$J$7:$J$100,'26'!$H$7:$H$100,$A285,'26'!$I$7:$I$100,2)+SUMIFS('26a'!$J$7:$J$100,'26a'!$H$7:$H$100,$A285,'26a'!$I$7:$I$100,2)+SUMIFS('27'!$J$7:$J$100,'27'!$H$7:$H$100,$A285,'27'!$I$7:$I$100,2)+SUMIFS('27a'!$J$7:$J$100,'27a'!$H$7:$H$100,$A285,'27a'!$I$7:$I$100,2)+SUMIFS('28'!$J$7:$J$100,'28'!$H$7:$H$100,$A285,'28'!$I$7:$I$100,2)+SUMIFS('29'!$J$7:$J$100,'29'!$H$7:$H$100,$A285,'29'!$I$7:$I$100,2)</f>
        <v>100</v>
      </c>
      <c r="I285" s="1315">
        <f>SUMIFS('12'!$J$7:$J$100,'12'!$H$7:$H$100,$A285,'12'!$I$7:$I$100,"")+SUMIFS('13'!$J$7:$J$100,'13'!$H$7:$H$100,$A285,'13'!$I$7:$I$100,"")+SUMIFS('14'!$J$7:$J$100,'14'!$H$7:$H$100,$A285,'14'!$I$7:$I$100,"")+SUMIFS('15'!$J$7:$J$100,'15'!$H$7:$H$100,$A285,'15'!$I$7:$I$100,"")+SUMIFS('15a'!$J$7:$J$100,'15a'!$H$7:$H$100,$A285,'15a'!$I$7:$I$100,"")+SUMIFS('15b'!$J$7:$J$100,'15b'!$H$7:$H$100,$A285,'15b'!$I$7:$I$100,"")+SUMIFS('15c'!$J$7:$J$100,'15c'!$H$7:$H$100,$A285,'15c'!$I$7:$I$100,"")+SUMIFS('15d'!$J$7:$J$100,'15d'!$H$7:$H$100,$A285,'15d'!$I$7:$I$100,"")+SUMIFS('15e'!$J$7:$J$100,'15e'!$H$7:$H$100,$A285,'15e'!$I$7:$I$100,"")+SUMIFS('15f'!$J$7:$J$100,'15f'!$H$7:$H$100,$A285,'15f'!$I$7:$I$100,"")+SUMIFS('15g'!$J$7:$J$100,'15g'!$H$7:$H$100,$A285,'15g'!$I$7:$I$100,"")+SUMIFS('15h'!$J$7:$J$100,'15h'!$H$7:$H$100,$A285,'15h'!$I$7:$I$100,"")+SUMIFS('15i'!$J$7:$J$100,'15i'!$H$7:$H$100,$A285,'15i'!$I$7:$I$100,"")+SUMIFS('15j'!$J$7:$J$100,'15j'!$H$7:$H$100,$A285,'15j'!$I$7:$I$100,"")+SUMIFS('15k'!$J$7:$J$100,'15k'!$H$7:$H$100,$A285,'15k'!$I$7:$I$100,"")+SUMIFS('15l'!$J$7:$J$100,'15l'!$H$7:$H$100,$A285,'15l'!$I$7:$I$100,"")+SUMIFS('15m'!$J$7:$J$100,'15m'!$H$7:$H$100,$A285,'15m'!$I$7:$I$100,"")+SUMIFS('15n'!$J$7:$J$100,'15n'!$H$7:$H$100,$A285,'15n'!$I$7:$I$100,"")+SUMIFS('16'!$J$7:$J$100,'16'!$H$7:$H$100,$A285,'16'!$I$7:$I$100,"")+SUMIFS('16a'!$J$7:$J$100,'16a'!$H$7:$H$100,$A285,'16a'!$I$7:$I$100,"")+SUMIFS('17'!$J$7:$J$100,'17'!$H$7:$H$100,$A285,'17'!$I$7:$I$100,"")+SUMIFS('17a'!$J$7:$J$100,'17a'!$H$7:$H$100,$A285,'17a'!$I$7:$I$100,"")+SUMIFS('18'!$J$7:$J$100,'18'!$H$7:$H$100,$A285,'18'!$I$7:$I$100,"")+SUMIFS('18a'!$J$7:$J$100,'18a'!$H$7:$H$100,$A285,'18a'!$I$7:$I$100,"")
+SUMIFS('19'!$J$7:$J$100,'19'!$H$7:$H$100,$A285,'19'!$I$7:$I$100,"")+SUMIFS('20'!$J$7:$J$100,'20'!$H$7:$H$100,$A285,'20'!$I$7:$I$100,"")+SUMIFS('20a'!$J$7:$J$100,'20a'!$H$7:$H$100,$A285,'20a'!$I$7:$I$100,"")+SUMIFS('21'!$J$7:$J$100,'21'!$H$7:$H$100,$A285,'21'!$I$7:$I$100,"")+SUMIFS('22'!$J$7:$J$100,'22'!$H$7:$H$100,$A285,'22'!$I$7:$I$100,"")+SUMIFS('22a'!$J$7:$J$100,'22a'!$H$7:$H$100,$A285,'22a'!$I$7:$I$100,"")+SUMIFS('22b'!$J$7:$J$100,'22b'!$H$7:$H$100,$A285,'22b'!$I$7:$I$100,"")+SUMIFS('23'!$J$7:$J$100,'23'!$H$7:$H$100,$A285,'23'!$I$7:$I$100,"")+SUMIFS('24'!$J$7:$J$100,'24'!$H$7:$H$100,$A285,'24'!$I$7:$I$100,"")+SUMIFS('24a'!$J$7:$J$100,'24a'!$H$7:$H$100,$A285,'24a'!$I$7:$I$100,"")+SUMIFS('24b'!$J$7:$J$100,'24b'!$H$7:$H$100,$A285,'24b'!$I$7:$I$100,"")+SUMIFS('24c'!$J$7:$J$100,'24c'!$H$7:$H$100,$A285,'24c'!$I$7:$I$100,"")+SUMIFS('24d'!$J$7:$J$100,'24d'!$H$7:$H$100,$A285,'24d'!$I$7:$I$100,"")+SUMIFS('24e'!$J$7:$J$100,'24e'!$H$7:$H$100,$A285,'24e'!$I$7:$I$100,"")+SUMIFS('24f'!$J$7:$J$100,'24f'!$H$7:$H$100,$A285,'24f'!$I$7:$I$100,"")+SUMIFS('24g'!$J$7:$J$100,'24g'!$H$7:$H$100,$A285,'24g'!$I$7:$I$100,"")+SUMIFS('24h'!$J$7:$J$100,'24h'!$H$7:$H$100,$A285,'24h'!$I$7:$I$100,"")+SUMIFS('24i'!$J$7:$J$100,'24i'!$H$7:$H$100,$A285,'24i'!$I$7:$I$100,"")+SUMIFS('25'!$J$7:$J$100,'25'!$H$7:$H$100,$A285,'25'!$I$7:$I$100,"")+SUMIFS('26'!$J$7:$J$100,'26'!$H$7:$H$100,$A285,'26'!$I$7:$I$100,"")+SUMIFS('26a'!$J$7:$J$100,'26a'!$H$7:$H$100,$A285,'26a'!$I$7:$I$100,"")+SUMIFS('27'!$J$7:$J$100,'27'!$H$7:$H$100,$A285,'27'!$I$7:$I$100,"")+SUMIFS('27a'!$J$7:$J$100,'27a'!$H$7:$H$100,$A285,'27a'!$I$7:$I$100,"")+SUMIFS('28'!$J$7:$J$100,'28'!$H$7:$H$100,$A285,'28'!$I$7:$I$100,"")+SUMIFS('29'!$J$7:$J$100,'29'!$H$7:$H$100,$A285,'29'!$I$7:$I$100,"")</f>
        <v>0</v>
      </c>
      <c r="J285" s="1296">
        <f>SUM(G285:I285)</f>
        <v>100</v>
      </c>
      <c r="K285"/>
      <c r="L285"/>
      <c r="M285"/>
      <c r="N285"/>
      <c r="O285"/>
      <c r="P285"/>
      <c r="Q285"/>
      <c r="R285"/>
      <c r="S285" s="1307">
        <f t="shared" si="30"/>
        <v>200</v>
      </c>
      <c r="T285"/>
    </row>
    <row r="286" spans="1:20" ht="12.75" customHeight="1" x14ac:dyDescent="0.2">
      <c r="A286"/>
      <c r="B286" t="s">
        <v>5575</v>
      </c>
      <c r="C286" s="1295">
        <f>SUM(C287:C290)</f>
        <v>0</v>
      </c>
      <c r="D286" s="1315">
        <f t="shared" ref="D286:J286" si="32">SUM(D287:D290)</f>
        <v>0</v>
      </c>
      <c r="E286" s="1315">
        <f t="shared" si="32"/>
        <v>0</v>
      </c>
      <c r="F286" s="1296">
        <f t="shared" si="32"/>
        <v>0</v>
      </c>
      <c r="G286" s="1295">
        <f t="shared" si="32"/>
        <v>0</v>
      </c>
      <c r="H286" s="1315">
        <f t="shared" si="32"/>
        <v>0</v>
      </c>
      <c r="I286" s="1315">
        <f t="shared" si="32"/>
        <v>0</v>
      </c>
      <c r="J286" s="1296">
        <f t="shared" si="32"/>
        <v>0</v>
      </c>
      <c r="K286"/>
      <c r="L286"/>
      <c r="M286"/>
      <c r="N286"/>
      <c r="O286"/>
      <c r="P286"/>
      <c r="Q286"/>
      <c r="R286"/>
      <c r="S286" s="1307">
        <f t="shared" si="30"/>
        <v>0</v>
      </c>
      <c r="T286"/>
    </row>
    <row r="287" spans="1:20" ht="12.75" customHeight="1" outlineLevel="1" x14ac:dyDescent="0.2">
      <c r="A287" t="s">
        <v>5190</v>
      </c>
      <c r="B287" t="s">
        <v>5518</v>
      </c>
      <c r="C287" s="1295">
        <f>SUMIFS('12'!$N$7:$N$100,'12'!$H$7:$H$100,$A287,'12'!$I$7:$I$100,1)+SUMIFS('13'!$N$7:$N$100,'13'!$H$7:$H$100,$A287,'13'!$I$7:$I$100,1)+SUMIFS('14'!$N$7:$N$100,'14'!$H$7:$H$100,$A287,'14'!$I$7:$I$100,1)+SUMIFS('15'!$N$7:$N$100,'15'!$H$7:$H$100,$A287,'15'!$I$7:$I$100,1)+SUMIFS('15a'!$N$7:$N$100,'15a'!$H$7:$H$100,$A287,'15a'!$I$7:$I$100,1)+SUMIFS('15b'!$N$7:$N$100,'15b'!$H$7:$H$100,$A287,'15b'!$I$7:$I$100,1)+SUMIFS('15c'!$N$7:$N$100,'15c'!$H$7:$H$100,$A287,'15c'!$I$7:$I$100,1)+SUMIFS('15d'!$N$7:$N$100,'15d'!$H$7:$H$100,$A287,'15d'!$I$7:$I$100,1)+SUMIFS('15e'!$N$7:$N$100,'15e'!$H$7:$H$100,$A287,'15e'!$I$7:$I$100,1)+SUMIFS('15f'!$N$7:$N$100,'15f'!$H$7:$H$100,$A287,'15f'!$I$7:$I$100,1)+SUMIFS('15g'!$N$7:$N$100,'15g'!$H$7:$H$100,$A287,'15g'!$I$7:$I$100,1)+SUMIFS('15h'!$N$7:$N$100,'15h'!$H$7:$H$100,$A287,'15h'!$I$7:$I$100,1)+SUMIFS('15i'!$N$7:$N$100,'15i'!$H$7:$H$100,$A287,'15i'!$I$7:$I$100,1)+SUMIFS('15j'!$N$7:$N$100,'15j'!$H$7:$H$100,$A287,'15j'!$I$7:$I$100,1)+SUMIFS('15k'!$N$7:$N$100,'15k'!$H$7:$H$100,$A287,'15k'!$I$7:$I$100,1)+SUMIFS('15l'!$N$7:$N$100,'15l'!$H$7:$H$100,$A287,'15l'!$I$7:$I$100,1)+SUMIFS('15m'!$N$7:$N$100,'15m'!$H$7:$H$100,$A287,'15m'!$I$7:$I$100,1)+SUMIFS('15n'!$N$7:$N$100,'15n'!$H$7:$H$100,$A287,'15n'!$I$7:$I$100,1)+SUMIFS('16'!$N$7:$N$100,'16'!$H$7:$H$100,$A287,'16'!$I$7:$I$100,1)+SUMIFS('16a'!$N$7:$N$100,'16a'!$H$7:$H$100,$A287,'16a'!$I$7:$I$100,1)+SUMIFS('17'!$N$7:$N$100,'17'!$H$7:$H$100,$A287,'17'!$I$7:$I$100,1)+SUMIFS('17a'!$N$7:$N$100,'17a'!$H$7:$H$100,$A287,'17a'!$I$7:$I$100,1)+SUMIFS('18'!$N$7:$N$100,'18'!$H$7:$H$100,$A287,'18'!$I$7:$I$100,1)+SUMIFS('18a'!$N$7:$N$100,'18a'!$H$7:$H$100,$A287,'18a'!$I$7:$I$100,1)
+SUMIFS('19'!$N$7:$N$100,'19'!$H$7:$H$100,$A287,'19'!$I$7:$I$100,1)+SUMIFS('20'!$N$7:$N$100,'20'!$H$7:$H$100,$A287,'20'!$I$7:$I$100,1)+SUMIFS('20a'!$N$7:$N$100,'20a'!$H$7:$H$100,$A287,'20a'!$I$7:$I$100,1)+SUMIFS('21'!$N$7:$N$100,'21'!$H$7:$H$100,$A287,'21'!$I$7:$I$100,1)+SUMIFS('22'!$N$7:$N$100,'22'!$H$7:$H$100,$A287,'22'!$I$7:$I$100,1)+SUMIFS('22a'!$N$7:$N$100,'22a'!$H$7:$H$100,$A287,'22a'!$I$7:$I$100,1)+SUMIFS('22b'!$N$7:$N$100,'22b'!$H$7:$H$100,$A287,'22b'!$I$7:$I$100,1)+SUMIFS('23'!$N$7:$N$100,'23'!$H$7:$H$100,$A287,'23'!$I$7:$I$100,1)+SUMIFS('24'!$N$7:$N$100,'24'!$H$7:$H$100,$A287,'24'!$I$7:$I$100,1)+SUMIFS('24a'!$N$7:$N$100,'24a'!$H$7:$H$100,$A287,'24a'!$I$7:$I$100,1)+SUMIFS('24b'!$N$7:$N$100,'24b'!$H$7:$H$100,$A287,'24b'!$I$7:$I$100,1)+SUMIFS('24c'!$N$7:$N$100,'24c'!$H$7:$H$100,$A287,'24c'!$I$7:$I$100,1)+SUMIFS('24d'!$N$7:$N$100,'24d'!$H$7:$H$100,$A287,'24d'!$I$7:$I$100,1)+SUMIFS('24e'!$N$7:$N$100,'24e'!$H$7:$H$100,$A287,'24e'!$I$7:$I$100,1)+SUMIFS('24f'!$N$7:$N$100,'24f'!$H$7:$H$100,$A287,'24f'!$I$7:$I$100,1)+SUMIFS('24g'!$N$7:$N$100,'24g'!$H$7:$H$100,$A287,'24g'!$I$7:$I$100,1)+SUMIFS('24h'!$N$7:$N$100,'24h'!$H$7:$H$100,$A287,'24h'!$I$7:$I$100,1)+SUMIFS('24i'!$N$7:$N$100,'24i'!$H$7:$H$100,$A287,'24i'!$I$7:$I$100,1)+SUMIFS('25'!$N$7:$N$100,'25'!$H$7:$H$100,$A287,'25'!$I$7:$I$100,1)+SUMIFS('26'!$N$7:$N$100,'26'!$H$7:$H$100,$A287,'26'!$I$7:$I$100,1)+SUMIFS('26a'!$N$7:$N$100,'26a'!$H$7:$H$100,$A287,'26a'!$I$7:$I$100,1)+SUMIFS('27'!$N$7:$N$100,'27'!$H$7:$H$100,$A287,'27'!$I$7:$I$100,1)+SUMIFS('27a'!$N$7:$N$100,'27a'!$H$7:$H$100,$A287,'27a'!$I$7:$I$100,1)+SUMIFS('28'!$N$7:$N$100,'28'!$H$7:$H$100,$A287,'28'!$I$7:$I$100,1)+SUMIFS('29'!$N$7:$N$100,'29'!$H$7:$H$100,$A287,'29'!$I$7:$I$100,1)</f>
        <v>0</v>
      </c>
      <c r="D287" s="1315">
        <f>SUMIFS('12'!$N$7:$N$100,'12'!$H$7:$H$100,$A287,'12'!$I$7:$I$100,2)+SUMIFS('13'!$N$7:$N$100,'13'!$H$7:$H$100,$A287,'13'!$I$7:$I$100,2)+SUMIFS('14'!$N$7:$N$100,'14'!$H$7:$H$100,$A287,'14'!$I$7:$I$100,2)+SUMIFS('15'!$N$7:$N$100,'15'!$H$7:$H$100,$A287,'15'!$I$7:$I$100,2)+SUMIFS('15a'!$N$7:$N$100,'15a'!$H$7:$H$100,$A287,'15a'!$I$7:$I$100,2)+SUMIFS('15b'!$N$7:$N$100,'15b'!$H$7:$H$100,$A287,'15b'!$I$7:$I$100,2)+SUMIFS('15c'!$N$7:$N$100,'15c'!$H$7:$H$100,$A287,'15c'!$I$7:$I$100,2)+SUMIFS('15d'!$N$7:$N$100,'15d'!$H$7:$H$100,$A287,'15d'!$I$7:$I$100,2)+SUMIFS('15e'!$N$7:$N$100,'15e'!$H$7:$H$100,$A287,'15e'!$I$7:$I$100,2)+SUMIFS('15f'!$N$7:$N$100,'15f'!$H$7:$H$100,$A287,'15f'!$I$7:$I$100,2)+SUMIFS('15g'!$N$7:$N$100,'15g'!$H$7:$H$100,$A287,'15g'!$I$7:$I$100,2)+SUMIFS('15h'!$N$7:$N$100,'15h'!$H$7:$H$100,$A287,'15h'!$I$7:$I$100,2)+SUMIFS('15i'!$N$7:$N$100,'15i'!$H$7:$H$100,$A287,'15i'!$I$7:$I$100,2)+SUMIFS('15j'!$N$7:$N$100,'15j'!$H$7:$H$100,$A287,'15j'!$I$7:$I$100,2)+SUMIFS('15k'!$N$7:$N$100,'15k'!$H$7:$H$100,$A287,'15k'!$I$7:$I$100,2)+SUMIFS('15l'!$N$7:$N$100,'15l'!$H$7:$H$100,$A287,'15l'!$I$7:$I$100,2)+SUMIFS('15m'!$N$7:$N$100,'15m'!$H$7:$H$100,$A287,'15m'!$I$7:$I$100,2)+SUMIFS('15n'!$N$7:$N$100,'15n'!$H$7:$H$100,$A287,'15n'!$I$7:$I$100,2)+SUMIFS('16'!$N$7:$N$100,'16'!$H$7:$H$100,$A287,'16'!$I$7:$I$100,2)+SUMIFS('16a'!$N$7:$N$100,'16a'!$H$7:$H$100,$A287,'16a'!$I$7:$I$100,2)+SUMIFS('17'!$N$7:$N$100,'17'!$H$7:$H$100,$A287,'17'!$I$7:$I$100,2)+SUMIFS('17a'!$N$7:$N$100,'17a'!$H$7:$H$100,$A287,'17a'!$I$7:$I$100,2)+SUMIFS('18'!$N$7:$N$100,'18'!$H$7:$H$100,$A287,'18'!$I$7:$I$100,2)+SUMIFS('18a'!$N$7:$N$100,'18a'!$H$7:$H$100,$A287,'18a'!$I$7:$I$100,2)
+SUMIFS('19'!$N$7:$N$100,'19'!$H$7:$H$100,$A287,'19'!$I$7:$I$100,2)+SUMIFS('20'!$N$7:$N$100,'20'!$H$7:$H$100,$A287,'20'!$I$7:$I$100,2)+SUMIFS('20a'!$N$7:$N$100,'20a'!$H$7:$H$100,$A287,'20a'!$I$7:$I$100,2)+SUMIFS('21'!$N$7:$N$100,'21'!$H$7:$H$100,$A287,'21'!$I$7:$I$100,2)+SUMIFS('22'!$N$7:$N$100,'22'!$H$7:$H$100,$A287,'22'!$I$7:$I$100,2)+SUMIFS('22a'!$N$7:$N$100,'22a'!$H$7:$H$100,$A287,'22a'!$I$7:$I$100,2)+SUMIFS('22b'!$N$7:$N$100,'22b'!$H$7:$H$100,$A287,'22b'!$I$7:$I$100,2)+SUMIFS('23'!$N$7:$N$100,'23'!$H$7:$H$100,$A287,'23'!$I$7:$I$100,2)+SUMIFS('24'!$N$7:$N$100,'24'!$H$7:$H$100,$A287,'24'!$I$7:$I$100,2)+SUMIFS('24a'!$N$7:$N$100,'24a'!$H$7:$H$100,$A287,'24a'!$I$7:$I$100,2)+SUMIFS('24b'!$N$7:$N$100,'24b'!$H$7:$H$100,$A287,'24b'!$I$7:$I$100,2)+SUMIFS('24c'!$N$7:$N$100,'24c'!$H$7:$H$100,$A287,'24c'!$I$7:$I$100,2)+SUMIFS('24d'!$N$7:$N$100,'24d'!$H$7:$H$100,$A287,'24d'!$I$7:$I$100,2)+SUMIFS('24e'!$N$7:$N$100,'24e'!$H$7:$H$100,$A287,'24e'!$I$7:$I$100,2)+SUMIFS('24f'!$N$7:$N$100,'24f'!$H$7:$H$100,$A287,'24f'!$I$7:$I$100,2)+SUMIFS('24g'!$N$7:$N$100,'24g'!$H$7:$H$100,$A287,'24g'!$I$7:$I$100,2)+SUMIFS('24h'!$N$7:$N$100,'24h'!$H$7:$H$100,$A287,'24h'!$I$7:$I$100,2)+SUMIFS('24i'!$N$7:$N$100,'24i'!$H$7:$H$100,$A287,'24i'!$I$7:$I$100,2)+SUMIFS('25'!$N$7:$N$100,'25'!$H$7:$H$100,$A287,'25'!$I$7:$I$100,2)+SUMIFS('26'!$N$7:$N$100,'26'!$H$7:$H$100,$A287,'26'!$I$7:$I$100,2)+SUMIFS('26a'!$N$7:$N$100,'26a'!$H$7:$H$100,$A287,'26a'!$I$7:$I$100,2)+SUMIFS('27'!$N$7:$N$100,'27'!$H$7:$H$100,$A287,'27'!$I$7:$I$100,2)+SUMIFS('27a'!$N$7:$N$100,'27a'!$H$7:$H$100,$A287,'27a'!$I$7:$I$100,2)+SUMIFS('28'!$N$7:$N$100,'28'!$H$7:$H$100,$A287,'28'!$I$7:$I$100,2)+SUMIFS('29'!$N$7:$N$100,'29'!$H$7:$H$100,$A287,'29'!$I$7:$I$100,2)</f>
        <v>0</v>
      </c>
      <c r="E287" s="1315">
        <f>SUMIFS('12'!$N$7:$N$100,'12'!$H$7:$H$100,$A287,'12'!$I$7:$I$100,"")+SUMIFS('13'!$N$7:$N$100,'13'!$H$7:$H$100,$A287,'13'!$I$7:$I$100,"")+SUMIFS('14'!$N$7:$N$100,'14'!$H$7:$H$100,$A287,'14'!$I$7:$I$100,"")+SUMIFS('15'!$N$7:$N$100,'15'!$H$7:$H$100,$A287,'15'!$I$7:$I$100,"")+SUMIFS('15a'!$N$7:$N$100,'15a'!$H$7:$H$100,$A287,'15a'!$I$7:$I$100,"")+SUMIFS('15b'!$N$7:$N$100,'15b'!$H$7:$H$100,$A287,'15b'!$I$7:$I$100,"")+SUMIFS('15c'!$N$7:$N$100,'15c'!$H$7:$H$100,$A287,'15c'!$I$7:$I$100,"")+SUMIFS('15d'!$N$7:$N$100,'15d'!$H$7:$H$100,$A287,'15d'!$I$7:$I$100,"")+SUMIFS('15e'!$N$7:$N$100,'15e'!$H$7:$H$100,$A287,'15e'!$I$7:$I$100,"")+SUMIFS('15f'!$N$7:$N$100,'15f'!$H$7:$H$100,$A287,'15f'!$I$7:$I$100,"")+SUMIFS('15g'!$N$7:$N$100,'15g'!$H$7:$H$100,$A287,'15g'!$I$7:$I$100,"")+SUMIFS('15h'!$N$7:$N$100,'15h'!$H$7:$H$100,$A287,'15h'!$I$7:$I$100,"")+SUMIFS('15i'!$N$7:$N$100,'15i'!$H$7:$H$100,$A287,'15i'!$I$7:$I$100,"")+SUMIFS('15j'!$N$7:$N$100,'15j'!$H$7:$H$100,$A287,'15j'!$I$7:$I$100,"")+SUMIFS('15k'!$N$7:$N$100,'15k'!$H$7:$H$100,$A287,'15k'!$I$7:$I$100,"")+SUMIFS('15l'!$N$7:$N$100,'15l'!$H$7:$H$100,$A287,'15l'!$I$7:$I$100,"")+SUMIFS('15m'!$N$7:$N$100,'15m'!$H$7:$H$100,$A287,'15m'!$I$7:$I$100,"")+SUMIFS('15n'!$N$7:$N$100,'15n'!$H$7:$H$100,$A287,'15n'!$I$7:$I$100,"")+SUMIFS('16'!$N$7:$N$100,'16'!$H$7:$H$100,$A287,'16'!$I$7:$I$100,"")+SUMIFS('16a'!$N$7:$N$100,'16a'!$H$7:$H$100,$A287,'16a'!$I$7:$I$100,"")+SUMIFS('17'!$N$7:$N$100,'17'!$H$7:$H$100,$A287,'17'!$I$7:$I$100,"")+SUMIFS('17a'!$N$7:$N$100,'17a'!$H$7:$H$100,$A287,'17a'!$I$7:$I$100,"")+SUMIFS('18'!$N$7:$N$100,'18'!$H$7:$H$100,$A287,'18'!$I$7:$I$100,"")+SUMIFS('18a'!$N$7:$N$100,'18a'!$H$7:$H$100,$A287,'18a'!$I$7:$I$100,"")
+SUMIFS('19'!$N$7:$N$100,'19'!$H$7:$H$100,$A287,'19'!$I$7:$I$100,"")+SUMIFS('20'!$N$7:$N$100,'20'!$H$7:$H$100,$A287,'20'!$I$7:$I$100,"")+SUMIFS('20a'!$N$7:$N$100,'20a'!$H$7:$H$100,$A287,'20a'!$I$7:$I$100,"")+SUMIFS('21'!$N$7:$N$100,'21'!$H$7:$H$100,$A287,'21'!$I$7:$I$100,"")+SUMIFS('22'!$N$7:$N$100,'22'!$H$7:$H$100,$A287,'22'!$I$7:$I$100,"")+SUMIFS('22a'!$N$7:$N$100,'22a'!$H$7:$H$100,$A287,'22a'!$I$7:$I$100,"")+SUMIFS('22b'!$N$7:$N$100,'22b'!$H$7:$H$100,$A287,'22b'!$I$7:$I$100,"")+SUMIFS('23'!$N$7:$N$100,'23'!$H$7:$H$100,$A287,'23'!$I$7:$I$100,"")+SUMIFS('24'!$N$7:$N$100,'24'!$H$7:$H$100,$A287,'24'!$I$7:$I$100,"")+SUMIFS('24a'!$N$7:$N$100,'24a'!$H$7:$H$100,$A287,'24a'!$I$7:$I$100,"")+SUMIFS('24b'!$N$7:$N$100,'24b'!$H$7:$H$100,$A287,'24b'!$I$7:$I$100,"")+SUMIFS('24c'!$N$7:$N$100,'24c'!$H$7:$H$100,$A287,'24c'!$I$7:$I$100,"")+SUMIFS('24d'!$N$7:$N$100,'24d'!$H$7:$H$100,$A287,'24d'!$I$7:$I$100,"")+SUMIFS('24e'!$N$7:$N$100,'24e'!$H$7:$H$100,$A287,'24e'!$I$7:$I$100,"")+SUMIFS('24f'!$N$7:$N$100,'24f'!$H$7:$H$100,$A287,'24f'!$I$7:$I$100,"")+SUMIFS('24g'!$N$7:$N$100,'24g'!$H$7:$H$100,$A287,'24g'!$I$7:$I$100,"")+SUMIFS('24h'!$N$7:$N$100,'24h'!$H$7:$H$100,$A287,'24h'!$I$7:$I$100,"")+SUMIFS('24i'!$N$7:$N$100,'24i'!$H$7:$H$100,$A287,'24i'!$I$7:$I$100,"")+SUMIFS('25'!$N$7:$N$100,'25'!$H$7:$H$100,$A287,'25'!$I$7:$I$100,"")+SUMIFS('26'!$N$7:$N$100,'26'!$H$7:$H$100,$A287,'26'!$I$7:$I$100,"")+SUMIFS('26a'!$N$7:$N$100,'26a'!$H$7:$H$100,$A287,'26a'!$I$7:$I$100,"")+SUMIFS('27'!$N$7:$N$100,'27'!$H$7:$H$100,$A287,'27'!$I$7:$I$100,"")+SUMIFS('27a'!$N$7:$N$100,'27a'!$H$7:$H$100,$A287,'27a'!$I$7:$I$100,"")+SUMIFS('28'!$N$7:$N$100,'28'!$H$7:$H$100,$A287,'28'!$I$7:$I$100,"")+SUMIFS('29'!$N$7:$N$100,'29'!$H$7:$H$100,$A287,'29'!$I$7:$I$100,"")</f>
        <v>0</v>
      </c>
      <c r="F287" s="1296">
        <f t="shared" ref="F287:F292" si="33">SUM(C287:E287)</f>
        <v>0</v>
      </c>
      <c r="G287" s="1295">
        <f>SUMIFS('12'!$J$7:$J$100,'12'!$H$7:$H$100,$A287,'12'!$I$7:$I$100,1)+SUMIFS('13'!$J$7:$J$100,'13'!$H$7:$H$100,$A287,'13'!$I$7:$I$100,1)+SUMIFS('14'!$J$7:$J$100,'14'!$H$7:$H$100,$A287,'14'!$I$7:$I$100,1)+SUMIFS('15'!$J$7:$J$100,'15'!$H$7:$H$100,$A287,'15'!$I$7:$I$100,1)+SUMIFS('15a'!$J$7:$J$100,'15a'!$H$7:$H$100,$A287,'15a'!$I$7:$I$100,1)+SUMIFS('15b'!$J$7:$J$100,'15b'!$H$7:$H$100,$A287,'15b'!$I$7:$I$100,1)+SUMIFS('15c'!$J$7:$J$100,'15c'!$H$7:$H$100,$A287,'15c'!$I$7:$I$100,1)+SUMIFS('15d'!$J$7:$J$100,'15d'!$H$7:$H$100,$A287,'15d'!$I$7:$I$100,1)+SUMIFS('15e'!$J$7:$J$100,'15e'!$H$7:$H$100,$A287,'15e'!$I$7:$I$100,1)+SUMIFS('15f'!$J$7:$J$100,'15f'!$H$7:$H$100,$A287,'15f'!$I$7:$I$100,1)+SUMIFS('15g'!$J$7:$J$100,'15g'!$H$7:$H$100,$A287,'15g'!$I$7:$I$100,1)+SUMIFS('15h'!$J$7:$J$100,'15h'!$H$7:$H$100,$A287,'15h'!$I$7:$I$100,1)+SUMIFS('15i'!$J$7:$J$100,'15i'!$H$7:$H$100,$A287,'15i'!$I$7:$I$100,1)+SUMIFS('15j'!$J$7:$J$100,'15j'!$H$7:$H$100,$A287,'15j'!$I$7:$I$100,1)+SUMIFS('15k'!$J$7:$J$100,'15k'!$H$7:$H$100,$A287,'15k'!$I$7:$I$100,1)+SUMIFS('15l'!$J$7:$J$100,'15l'!$H$7:$H$100,$A287,'15l'!$I$7:$I$100,1)+SUMIFS('15m'!$J$7:$J$100,'15m'!$H$7:$H$100,$A287,'15m'!$I$7:$I$100,1)+SUMIFS('15n'!$J$7:$J$100,'15n'!$H$7:$H$100,$A287,'15n'!$I$7:$I$100,1)+SUMIFS('16'!$J$7:$J$100,'16'!$H$7:$H$100,$A287,'16'!$I$7:$I$100,1)+SUMIFS('16a'!$J$7:$J$100,'16a'!$H$7:$H$100,$A287,'16a'!$I$7:$I$100,1)+SUMIFS('17'!$J$7:$J$100,'17'!$H$7:$H$100,$A287,'17'!$I$7:$I$100,1)+SUMIFS('17a'!$J$7:$J$100,'17a'!$H$7:$H$100,$A287,'17a'!$I$7:$I$100,1)+SUMIFS('18'!$J$7:$J$100,'18'!$H$7:$H$100,$A287,'18'!$I$7:$I$100,1)+SUMIFS('18a'!$J$7:$J$100,'18a'!$H$7:$H$100,$A287,'18a'!$I$7:$I$100,1)
+SUMIFS('19'!$J$7:$J$100,'19'!$H$7:$H$100,$A287,'19'!$I$7:$I$100,1)+SUMIFS('20'!$J$7:$J$100,'20'!$H$7:$H$100,$A287,'20'!$I$7:$I$100,1)+SUMIFS('20a'!$J$7:$J$100,'20a'!$H$7:$H$100,$A287,'20a'!$I$7:$I$100,1)+SUMIFS('21'!$J$7:$J$100,'21'!$H$7:$H$100,$A287,'21'!$I$7:$I$100,1)+SUMIFS('22'!$J$7:$J$100,'22'!$H$7:$H$100,$A287,'22'!$I$7:$I$100,1)+SUMIFS('22a'!$J$7:$J$100,'22a'!$H$7:$H$100,$A287,'22a'!$I$7:$I$100,1)+SUMIFS('22b'!$J$7:$J$100,'22b'!$H$7:$H$100,$A287,'22b'!$I$7:$I$100,1)+SUMIFS('23'!$J$7:$J$100,'23'!$H$7:$H$100,$A287,'23'!$I$7:$I$100,1)+SUMIFS('24'!$J$7:$J$100,'24'!$H$7:$H$100,$A287,'24'!$I$7:$I$100,1)+SUMIFS('24a'!$J$7:$J$100,'24a'!$H$7:$H$100,$A287,'24a'!$I$7:$I$100,1)+SUMIFS('24b'!$J$7:$J$100,'24b'!$H$7:$H$100,$A287,'24b'!$I$7:$I$100,1)+SUMIFS('24c'!$J$7:$J$100,'24c'!$H$7:$H$100,$A287,'24c'!$I$7:$I$100,1)+SUMIFS('24d'!$J$7:$J$100,'24d'!$H$7:$H$100,$A287,'24d'!$I$7:$I$100,1)+SUMIFS('24e'!$J$7:$J$100,'24e'!$H$7:$H$100,$A287,'24e'!$I$7:$I$100,1)+SUMIFS('24f'!$J$7:$J$100,'24f'!$H$7:$H$100,$A287,'24f'!$I$7:$I$100,1)+SUMIFS('24g'!$J$7:$J$100,'24g'!$H$7:$H$100,$A287,'24g'!$I$7:$I$100,1)+SUMIFS('24h'!$J$7:$J$100,'24h'!$H$7:$H$100,$A287,'24h'!$I$7:$I$100,1)+SUMIFS('24i'!$J$7:$J$100,'24i'!$H$7:$H$100,$A287,'24i'!$I$7:$I$100,1)+SUMIFS('25'!$J$7:$J$100,'25'!$H$7:$H$100,$A287,'25'!$I$7:$I$100,1)+SUMIFS('26'!$J$7:$J$100,'26'!$H$7:$H$100,$A287,'26'!$I$7:$I$100,1)+SUMIFS('26a'!$J$7:$J$100,'26a'!$H$7:$H$100,$A287,'26a'!$I$7:$I$100,1)+SUMIFS('27'!$J$7:$J$100,'27'!$H$7:$H$100,$A287,'27'!$I$7:$I$100,1)+SUMIFS('27a'!$J$7:$J$100,'27a'!$H$7:$H$100,$A287,'27a'!$I$7:$I$100,1)+SUMIFS('28'!$J$7:$J$100,'28'!$H$7:$H$100,$A287,'28'!$I$7:$I$100,1)+SUMIFS('29'!$J$7:$J$100,'29'!$H$7:$H$100,$A287,'29'!$I$7:$I$100,1)</f>
        <v>0</v>
      </c>
      <c r="H287" s="1315">
        <f>SUMIFS('12'!$J$7:$J$100,'12'!$H$7:$H$100,$A287,'12'!$I$7:$I$100,2)+SUMIFS('13'!$J$7:$J$100,'13'!$H$7:$H$100,$A287,'13'!$I$7:$I$100,2)+SUMIFS('14'!$J$7:$J$100,'14'!$H$7:$H$100,$A287,'14'!$I$7:$I$100,2)+SUMIFS('15'!$J$7:$J$100,'15'!$H$7:$H$100,$A287,'15'!$I$7:$I$100,2)+SUMIFS('15a'!$J$7:$J$100,'15a'!$H$7:$H$100,$A287,'15a'!$I$7:$I$100,2)+SUMIFS('15b'!$J$7:$J$100,'15b'!$H$7:$H$100,$A287,'15b'!$I$7:$I$100,2)+SUMIFS('15c'!$J$7:$J$100,'15c'!$H$7:$H$100,$A287,'15c'!$I$7:$I$100,2)+SUMIFS('15d'!$J$7:$J$100,'15d'!$H$7:$H$100,$A287,'15d'!$I$7:$I$100,2)+SUMIFS('15e'!$J$7:$J$100,'15e'!$H$7:$H$100,$A287,'15e'!$I$7:$I$100,2)+SUMIFS('15f'!$J$7:$J$100,'15f'!$H$7:$H$100,$A287,'15f'!$I$7:$I$100,2)+SUMIFS('15g'!$J$7:$J$100,'15g'!$H$7:$H$100,$A287,'15g'!$I$7:$I$100,2)+SUMIFS('15h'!$J$7:$J$100,'15h'!$H$7:$H$100,$A287,'15h'!$I$7:$I$100,2)+SUMIFS('15i'!$J$7:$J$100,'15i'!$H$7:$H$100,$A287,'15i'!$I$7:$I$100,2)+SUMIFS('15j'!$J$7:$J$100,'15j'!$H$7:$H$100,$A287,'15j'!$I$7:$I$100,2)+SUMIFS('15k'!$J$7:$J$100,'15k'!$H$7:$H$100,$A287,'15k'!$I$7:$I$100,2)+SUMIFS('15l'!$J$7:$J$100,'15l'!$H$7:$H$100,$A287,'15l'!$I$7:$I$100,2)+SUMIFS('15m'!$J$7:$J$100,'15m'!$H$7:$H$100,$A287,'15m'!$I$7:$I$100,2)+SUMIFS('15n'!$J$7:$J$100,'15n'!$H$7:$H$100,$A287,'15n'!$I$7:$I$100,2)+SUMIFS('16'!$J$7:$J$100,'16'!$H$7:$H$100,$A287,'16'!$I$7:$I$100,2)+SUMIFS('16a'!$J$7:$J$100,'16a'!$H$7:$H$100,$A287,'16a'!$I$7:$I$100,2)+SUMIFS('17'!$J$7:$J$100,'17'!$H$7:$H$100,$A287,'17'!$I$7:$I$100,2)+SUMIFS('17a'!$J$7:$J$100,'17a'!$H$7:$H$100,$A287,'17a'!$I$7:$I$100,2)+SUMIFS('18'!$J$7:$J$100,'18'!$H$7:$H$100,$A287,'18'!$I$7:$I$100,2)+SUMIFS('18a'!$J$7:$J$100,'18a'!$H$7:$H$100,$A287,'18a'!$I$7:$I$100,2)
+SUMIFS('19'!$J$7:$J$100,'19'!$H$7:$H$100,$A287,'19'!$I$7:$I$100,2)+SUMIFS('20'!$J$7:$J$100,'20'!$H$7:$H$100,$A287,'20'!$I$7:$I$100,2)+SUMIFS('20a'!$J$7:$J$100,'20a'!$H$7:$H$100,$A287,'20a'!$I$7:$I$100,2)+SUMIFS('21'!$J$7:$J$100,'21'!$H$7:$H$100,$A287,'21'!$I$7:$I$100,2)+SUMIFS('22'!$J$7:$J$100,'22'!$H$7:$H$100,$A287,'22'!$I$7:$I$100,2)+SUMIFS('22a'!$J$7:$J$100,'22a'!$H$7:$H$100,$A287,'22a'!$I$7:$I$100,2)+SUMIFS('22b'!$J$7:$J$100,'22b'!$H$7:$H$100,$A287,'22b'!$I$7:$I$100,2)+SUMIFS('23'!$J$7:$J$100,'23'!$H$7:$H$100,$A287,'23'!$I$7:$I$100,2)+SUMIFS('24'!$J$7:$J$100,'24'!$H$7:$H$100,$A287,'24'!$I$7:$I$100,2)+SUMIFS('24a'!$J$7:$J$100,'24a'!$H$7:$H$100,$A287,'24a'!$I$7:$I$100,2)+SUMIFS('24b'!$J$7:$J$100,'24b'!$H$7:$H$100,$A287,'24b'!$I$7:$I$100,2)+SUMIFS('24c'!$J$7:$J$100,'24c'!$H$7:$H$100,$A287,'24c'!$I$7:$I$100,2)+SUMIFS('24d'!$J$7:$J$100,'24d'!$H$7:$H$100,$A287,'24d'!$I$7:$I$100,2)+SUMIFS('24e'!$J$7:$J$100,'24e'!$H$7:$H$100,$A287,'24e'!$I$7:$I$100,2)+SUMIFS('24f'!$J$7:$J$100,'24f'!$H$7:$H$100,$A287,'24f'!$I$7:$I$100,2)+SUMIFS('24g'!$J$7:$J$100,'24g'!$H$7:$H$100,$A287,'24g'!$I$7:$I$100,2)+SUMIFS('24h'!$J$7:$J$100,'24h'!$H$7:$H$100,$A287,'24h'!$I$7:$I$100,2)+SUMIFS('24i'!$J$7:$J$100,'24i'!$H$7:$H$100,$A287,'24i'!$I$7:$I$100,2)+SUMIFS('25'!$J$7:$J$100,'25'!$H$7:$H$100,$A287,'25'!$I$7:$I$100,2)+SUMIFS('26'!$J$7:$J$100,'26'!$H$7:$H$100,$A287,'26'!$I$7:$I$100,2)+SUMIFS('26a'!$J$7:$J$100,'26a'!$H$7:$H$100,$A287,'26a'!$I$7:$I$100,2)+SUMIFS('27'!$J$7:$J$100,'27'!$H$7:$H$100,$A287,'27'!$I$7:$I$100,2)+SUMIFS('27a'!$J$7:$J$100,'27a'!$H$7:$H$100,$A287,'27a'!$I$7:$I$100,2)+SUMIFS('28'!$J$7:$J$100,'28'!$H$7:$H$100,$A287,'28'!$I$7:$I$100,2)+SUMIFS('29'!$J$7:$J$100,'29'!$H$7:$H$100,$A287,'29'!$I$7:$I$100,2)</f>
        <v>0</v>
      </c>
      <c r="I287" s="1315">
        <f>SUMIFS('12'!$J$7:$J$100,'12'!$H$7:$H$100,$A287,'12'!$I$7:$I$100,"")+SUMIFS('13'!$J$7:$J$100,'13'!$H$7:$H$100,$A287,'13'!$I$7:$I$100,"")+SUMIFS('14'!$J$7:$J$100,'14'!$H$7:$H$100,$A287,'14'!$I$7:$I$100,"")+SUMIFS('15'!$J$7:$J$100,'15'!$H$7:$H$100,$A287,'15'!$I$7:$I$100,"")+SUMIFS('15a'!$J$7:$J$100,'15a'!$H$7:$H$100,$A287,'15a'!$I$7:$I$100,"")+SUMIFS('15b'!$J$7:$J$100,'15b'!$H$7:$H$100,$A287,'15b'!$I$7:$I$100,"")+SUMIFS('15c'!$J$7:$J$100,'15c'!$H$7:$H$100,$A287,'15c'!$I$7:$I$100,"")+SUMIFS('15d'!$J$7:$J$100,'15d'!$H$7:$H$100,$A287,'15d'!$I$7:$I$100,"")+SUMIFS('15e'!$J$7:$J$100,'15e'!$H$7:$H$100,$A287,'15e'!$I$7:$I$100,"")+SUMIFS('15f'!$J$7:$J$100,'15f'!$H$7:$H$100,$A287,'15f'!$I$7:$I$100,"")+SUMIFS('15g'!$J$7:$J$100,'15g'!$H$7:$H$100,$A287,'15g'!$I$7:$I$100,"")+SUMIFS('15h'!$J$7:$J$100,'15h'!$H$7:$H$100,$A287,'15h'!$I$7:$I$100,"")+SUMIFS('15i'!$J$7:$J$100,'15i'!$H$7:$H$100,$A287,'15i'!$I$7:$I$100,"")+SUMIFS('15j'!$J$7:$J$100,'15j'!$H$7:$H$100,$A287,'15j'!$I$7:$I$100,"")+SUMIFS('15k'!$J$7:$J$100,'15k'!$H$7:$H$100,$A287,'15k'!$I$7:$I$100,"")+SUMIFS('15l'!$J$7:$J$100,'15l'!$H$7:$H$100,$A287,'15l'!$I$7:$I$100,"")+SUMIFS('15m'!$J$7:$J$100,'15m'!$H$7:$H$100,$A287,'15m'!$I$7:$I$100,"")+SUMIFS('15n'!$J$7:$J$100,'15n'!$H$7:$H$100,$A287,'15n'!$I$7:$I$100,"")+SUMIFS('16'!$J$7:$J$100,'16'!$H$7:$H$100,$A287,'16'!$I$7:$I$100,"")+SUMIFS('16a'!$J$7:$J$100,'16a'!$H$7:$H$100,$A287,'16a'!$I$7:$I$100,"")+SUMIFS('17'!$J$7:$J$100,'17'!$H$7:$H$100,$A287,'17'!$I$7:$I$100,"")+SUMIFS('17a'!$J$7:$J$100,'17a'!$H$7:$H$100,$A287,'17a'!$I$7:$I$100,"")+SUMIFS('18'!$J$7:$J$100,'18'!$H$7:$H$100,$A287,'18'!$I$7:$I$100,"")+SUMIFS('18a'!$J$7:$J$100,'18a'!$H$7:$H$100,$A287,'18a'!$I$7:$I$100,"")
+SUMIFS('19'!$J$7:$J$100,'19'!$H$7:$H$100,$A287,'19'!$I$7:$I$100,"")+SUMIFS('20'!$J$7:$J$100,'20'!$H$7:$H$100,$A287,'20'!$I$7:$I$100,"")+SUMIFS('20a'!$J$7:$J$100,'20a'!$H$7:$H$100,$A287,'20a'!$I$7:$I$100,"")+SUMIFS('21'!$J$7:$J$100,'21'!$H$7:$H$100,$A287,'21'!$I$7:$I$100,"")+SUMIFS('22'!$J$7:$J$100,'22'!$H$7:$H$100,$A287,'22'!$I$7:$I$100,"")+SUMIFS('22a'!$J$7:$J$100,'22a'!$H$7:$H$100,$A287,'22a'!$I$7:$I$100,"")+SUMIFS('22b'!$J$7:$J$100,'22b'!$H$7:$H$100,$A287,'22b'!$I$7:$I$100,"")+SUMIFS('23'!$J$7:$J$100,'23'!$H$7:$H$100,$A287,'23'!$I$7:$I$100,"")+SUMIFS('24'!$J$7:$J$100,'24'!$H$7:$H$100,$A287,'24'!$I$7:$I$100,"")+SUMIFS('24a'!$J$7:$J$100,'24a'!$H$7:$H$100,$A287,'24a'!$I$7:$I$100,"")+SUMIFS('24b'!$J$7:$J$100,'24b'!$H$7:$H$100,$A287,'24b'!$I$7:$I$100,"")+SUMIFS('24c'!$J$7:$J$100,'24c'!$H$7:$H$100,$A287,'24c'!$I$7:$I$100,"")+SUMIFS('24d'!$J$7:$J$100,'24d'!$H$7:$H$100,$A287,'24d'!$I$7:$I$100,"")+SUMIFS('24e'!$J$7:$J$100,'24e'!$H$7:$H$100,$A287,'24e'!$I$7:$I$100,"")+SUMIFS('24f'!$J$7:$J$100,'24f'!$H$7:$H$100,$A287,'24f'!$I$7:$I$100,"")+SUMIFS('24g'!$J$7:$J$100,'24g'!$H$7:$H$100,$A287,'24g'!$I$7:$I$100,"")+SUMIFS('24h'!$J$7:$J$100,'24h'!$H$7:$H$100,$A287,'24h'!$I$7:$I$100,"")+SUMIFS('24i'!$J$7:$J$100,'24i'!$H$7:$H$100,$A287,'24i'!$I$7:$I$100,"")+SUMIFS('25'!$J$7:$J$100,'25'!$H$7:$H$100,$A287,'25'!$I$7:$I$100,"")+SUMIFS('26'!$J$7:$J$100,'26'!$H$7:$H$100,$A287,'26'!$I$7:$I$100,"")+SUMIFS('26a'!$J$7:$J$100,'26a'!$H$7:$H$100,$A287,'26a'!$I$7:$I$100,"")+SUMIFS('27'!$J$7:$J$100,'27'!$H$7:$H$100,$A287,'27'!$I$7:$I$100,"")+SUMIFS('27a'!$J$7:$J$100,'27a'!$H$7:$H$100,$A287,'27a'!$I$7:$I$100,"")+SUMIFS('28'!$J$7:$J$100,'28'!$H$7:$H$100,$A287,'28'!$I$7:$I$100,"")+SUMIFS('29'!$J$7:$J$100,'29'!$H$7:$H$100,$A287,'29'!$I$7:$I$100,"")</f>
        <v>0</v>
      </c>
      <c r="J287" s="1296">
        <f t="shared" ref="J287:J292" si="34">SUM(G287:I287)</f>
        <v>0</v>
      </c>
      <c r="K287"/>
      <c r="L287"/>
      <c r="M287"/>
      <c r="N287"/>
      <c r="O287"/>
      <c r="P287"/>
      <c r="Q287"/>
      <c r="R287"/>
      <c r="S287" s="1307">
        <f t="shared" si="30"/>
        <v>0</v>
      </c>
      <c r="T287"/>
    </row>
    <row r="288" spans="1:20" ht="12.75" customHeight="1" outlineLevel="1" x14ac:dyDescent="0.2">
      <c r="A288" t="s">
        <v>5191</v>
      </c>
      <c r="B288" t="s">
        <v>5518</v>
      </c>
      <c r="C288" s="1295">
        <f>SUMIFS('12'!$N$7:$N$100,'12'!$H$7:$H$100,$A288,'12'!$I$7:$I$100,1)+SUMIFS('13'!$N$7:$N$100,'13'!$H$7:$H$100,$A288,'13'!$I$7:$I$100,1)+SUMIFS('14'!$N$7:$N$100,'14'!$H$7:$H$100,$A288,'14'!$I$7:$I$100,1)+SUMIFS('15'!$N$7:$N$100,'15'!$H$7:$H$100,$A288,'15'!$I$7:$I$100,1)+SUMIFS('15a'!$N$7:$N$100,'15a'!$H$7:$H$100,$A288,'15a'!$I$7:$I$100,1)+SUMIFS('15b'!$N$7:$N$100,'15b'!$H$7:$H$100,$A288,'15b'!$I$7:$I$100,1)+SUMIFS('15c'!$N$7:$N$100,'15c'!$H$7:$H$100,$A288,'15c'!$I$7:$I$100,1)+SUMIFS('15d'!$N$7:$N$100,'15d'!$H$7:$H$100,$A288,'15d'!$I$7:$I$100,1)+SUMIFS('15e'!$N$7:$N$100,'15e'!$H$7:$H$100,$A288,'15e'!$I$7:$I$100,1)+SUMIFS('15f'!$N$7:$N$100,'15f'!$H$7:$H$100,$A288,'15f'!$I$7:$I$100,1)+SUMIFS('15g'!$N$7:$N$100,'15g'!$H$7:$H$100,$A288,'15g'!$I$7:$I$100,1)+SUMIFS('15h'!$N$7:$N$100,'15h'!$H$7:$H$100,$A288,'15h'!$I$7:$I$100,1)+SUMIFS('15i'!$N$7:$N$100,'15i'!$H$7:$H$100,$A288,'15i'!$I$7:$I$100,1)+SUMIFS('15j'!$N$7:$N$100,'15j'!$H$7:$H$100,$A288,'15j'!$I$7:$I$100,1)+SUMIFS('15k'!$N$7:$N$100,'15k'!$H$7:$H$100,$A288,'15k'!$I$7:$I$100,1)+SUMIFS('15l'!$N$7:$N$100,'15l'!$H$7:$H$100,$A288,'15l'!$I$7:$I$100,1)+SUMIFS('15m'!$N$7:$N$100,'15m'!$H$7:$H$100,$A288,'15m'!$I$7:$I$100,1)+SUMIFS('15n'!$N$7:$N$100,'15n'!$H$7:$H$100,$A288,'15n'!$I$7:$I$100,1)+SUMIFS('16'!$N$7:$N$100,'16'!$H$7:$H$100,$A288,'16'!$I$7:$I$100,1)+SUMIFS('16a'!$N$7:$N$100,'16a'!$H$7:$H$100,$A288,'16a'!$I$7:$I$100,1)+SUMIFS('17'!$N$7:$N$100,'17'!$H$7:$H$100,$A288,'17'!$I$7:$I$100,1)+SUMIFS('17a'!$N$7:$N$100,'17a'!$H$7:$H$100,$A288,'17a'!$I$7:$I$100,1)+SUMIFS('18'!$N$7:$N$100,'18'!$H$7:$H$100,$A288,'18'!$I$7:$I$100,1)+SUMIFS('18a'!$N$7:$N$100,'18a'!$H$7:$H$100,$A288,'18a'!$I$7:$I$100,1)
+SUMIFS('19'!$N$7:$N$100,'19'!$H$7:$H$100,$A288,'19'!$I$7:$I$100,1)+SUMIFS('20'!$N$7:$N$100,'20'!$H$7:$H$100,$A288,'20'!$I$7:$I$100,1)+SUMIFS('20a'!$N$7:$N$100,'20a'!$H$7:$H$100,$A288,'20a'!$I$7:$I$100,1)+SUMIFS('21'!$N$7:$N$100,'21'!$H$7:$H$100,$A288,'21'!$I$7:$I$100,1)+SUMIFS('22'!$N$7:$N$100,'22'!$H$7:$H$100,$A288,'22'!$I$7:$I$100,1)+SUMIFS('22a'!$N$7:$N$100,'22a'!$H$7:$H$100,$A288,'22a'!$I$7:$I$100,1)+SUMIFS('22b'!$N$7:$N$100,'22b'!$H$7:$H$100,$A288,'22b'!$I$7:$I$100,1)+SUMIFS('23'!$N$7:$N$100,'23'!$H$7:$H$100,$A288,'23'!$I$7:$I$100,1)+SUMIFS('24'!$N$7:$N$100,'24'!$H$7:$H$100,$A288,'24'!$I$7:$I$100,1)+SUMIFS('24a'!$N$7:$N$100,'24a'!$H$7:$H$100,$A288,'24a'!$I$7:$I$100,1)+SUMIFS('24b'!$N$7:$N$100,'24b'!$H$7:$H$100,$A288,'24b'!$I$7:$I$100,1)+SUMIFS('24c'!$N$7:$N$100,'24c'!$H$7:$H$100,$A288,'24c'!$I$7:$I$100,1)+SUMIFS('24d'!$N$7:$N$100,'24d'!$H$7:$H$100,$A288,'24d'!$I$7:$I$100,1)+SUMIFS('24e'!$N$7:$N$100,'24e'!$H$7:$H$100,$A288,'24e'!$I$7:$I$100,1)+SUMIFS('24f'!$N$7:$N$100,'24f'!$H$7:$H$100,$A288,'24f'!$I$7:$I$100,1)+SUMIFS('24g'!$N$7:$N$100,'24g'!$H$7:$H$100,$A288,'24g'!$I$7:$I$100,1)+SUMIFS('24h'!$N$7:$N$100,'24h'!$H$7:$H$100,$A288,'24h'!$I$7:$I$100,1)+SUMIFS('24i'!$N$7:$N$100,'24i'!$H$7:$H$100,$A288,'24i'!$I$7:$I$100,1)+SUMIFS('25'!$N$7:$N$100,'25'!$H$7:$H$100,$A288,'25'!$I$7:$I$100,1)+SUMIFS('26'!$N$7:$N$100,'26'!$H$7:$H$100,$A288,'26'!$I$7:$I$100,1)+SUMIFS('26a'!$N$7:$N$100,'26a'!$H$7:$H$100,$A288,'26a'!$I$7:$I$100,1)+SUMIFS('27'!$N$7:$N$100,'27'!$H$7:$H$100,$A288,'27'!$I$7:$I$100,1)+SUMIFS('27a'!$N$7:$N$100,'27a'!$H$7:$H$100,$A288,'27a'!$I$7:$I$100,1)+SUMIFS('28'!$N$7:$N$100,'28'!$H$7:$H$100,$A288,'28'!$I$7:$I$100,1)+SUMIFS('29'!$N$7:$N$100,'29'!$H$7:$H$100,$A288,'29'!$I$7:$I$100,1)</f>
        <v>0</v>
      </c>
      <c r="D288" s="1315">
        <f>SUMIFS('12'!$N$7:$N$100,'12'!$H$7:$H$100,$A288,'12'!$I$7:$I$100,2)+SUMIFS('13'!$N$7:$N$100,'13'!$H$7:$H$100,$A288,'13'!$I$7:$I$100,2)+SUMIFS('14'!$N$7:$N$100,'14'!$H$7:$H$100,$A288,'14'!$I$7:$I$100,2)+SUMIFS('15'!$N$7:$N$100,'15'!$H$7:$H$100,$A288,'15'!$I$7:$I$100,2)+SUMIFS('15a'!$N$7:$N$100,'15a'!$H$7:$H$100,$A288,'15a'!$I$7:$I$100,2)+SUMIFS('15b'!$N$7:$N$100,'15b'!$H$7:$H$100,$A288,'15b'!$I$7:$I$100,2)+SUMIFS('15c'!$N$7:$N$100,'15c'!$H$7:$H$100,$A288,'15c'!$I$7:$I$100,2)+SUMIFS('15d'!$N$7:$N$100,'15d'!$H$7:$H$100,$A288,'15d'!$I$7:$I$100,2)+SUMIFS('15e'!$N$7:$N$100,'15e'!$H$7:$H$100,$A288,'15e'!$I$7:$I$100,2)+SUMIFS('15f'!$N$7:$N$100,'15f'!$H$7:$H$100,$A288,'15f'!$I$7:$I$100,2)+SUMIFS('15g'!$N$7:$N$100,'15g'!$H$7:$H$100,$A288,'15g'!$I$7:$I$100,2)+SUMIFS('15h'!$N$7:$N$100,'15h'!$H$7:$H$100,$A288,'15h'!$I$7:$I$100,2)+SUMIFS('15i'!$N$7:$N$100,'15i'!$H$7:$H$100,$A288,'15i'!$I$7:$I$100,2)+SUMIFS('15j'!$N$7:$N$100,'15j'!$H$7:$H$100,$A288,'15j'!$I$7:$I$100,2)+SUMIFS('15k'!$N$7:$N$100,'15k'!$H$7:$H$100,$A288,'15k'!$I$7:$I$100,2)+SUMIFS('15l'!$N$7:$N$100,'15l'!$H$7:$H$100,$A288,'15l'!$I$7:$I$100,2)+SUMIFS('15m'!$N$7:$N$100,'15m'!$H$7:$H$100,$A288,'15m'!$I$7:$I$100,2)+SUMIFS('15n'!$N$7:$N$100,'15n'!$H$7:$H$100,$A288,'15n'!$I$7:$I$100,2)+SUMIFS('16'!$N$7:$N$100,'16'!$H$7:$H$100,$A288,'16'!$I$7:$I$100,2)+SUMIFS('16a'!$N$7:$N$100,'16a'!$H$7:$H$100,$A288,'16a'!$I$7:$I$100,2)+SUMIFS('17'!$N$7:$N$100,'17'!$H$7:$H$100,$A288,'17'!$I$7:$I$100,2)+SUMIFS('17a'!$N$7:$N$100,'17a'!$H$7:$H$100,$A288,'17a'!$I$7:$I$100,2)+SUMIFS('18'!$N$7:$N$100,'18'!$H$7:$H$100,$A288,'18'!$I$7:$I$100,2)+SUMIFS('18a'!$N$7:$N$100,'18a'!$H$7:$H$100,$A288,'18a'!$I$7:$I$100,2)
+SUMIFS('19'!$N$7:$N$100,'19'!$H$7:$H$100,$A288,'19'!$I$7:$I$100,2)+SUMIFS('20'!$N$7:$N$100,'20'!$H$7:$H$100,$A288,'20'!$I$7:$I$100,2)+SUMIFS('20a'!$N$7:$N$100,'20a'!$H$7:$H$100,$A288,'20a'!$I$7:$I$100,2)+SUMIFS('21'!$N$7:$N$100,'21'!$H$7:$H$100,$A288,'21'!$I$7:$I$100,2)+SUMIFS('22'!$N$7:$N$100,'22'!$H$7:$H$100,$A288,'22'!$I$7:$I$100,2)+SUMIFS('22a'!$N$7:$N$100,'22a'!$H$7:$H$100,$A288,'22a'!$I$7:$I$100,2)+SUMIFS('22b'!$N$7:$N$100,'22b'!$H$7:$H$100,$A288,'22b'!$I$7:$I$100,2)+SUMIFS('23'!$N$7:$N$100,'23'!$H$7:$H$100,$A288,'23'!$I$7:$I$100,2)+SUMIFS('24'!$N$7:$N$100,'24'!$H$7:$H$100,$A288,'24'!$I$7:$I$100,2)+SUMIFS('24a'!$N$7:$N$100,'24a'!$H$7:$H$100,$A288,'24a'!$I$7:$I$100,2)+SUMIFS('24b'!$N$7:$N$100,'24b'!$H$7:$H$100,$A288,'24b'!$I$7:$I$100,2)+SUMIFS('24c'!$N$7:$N$100,'24c'!$H$7:$H$100,$A288,'24c'!$I$7:$I$100,2)+SUMIFS('24d'!$N$7:$N$100,'24d'!$H$7:$H$100,$A288,'24d'!$I$7:$I$100,2)+SUMIFS('24e'!$N$7:$N$100,'24e'!$H$7:$H$100,$A288,'24e'!$I$7:$I$100,2)+SUMIFS('24f'!$N$7:$N$100,'24f'!$H$7:$H$100,$A288,'24f'!$I$7:$I$100,2)+SUMIFS('24g'!$N$7:$N$100,'24g'!$H$7:$H$100,$A288,'24g'!$I$7:$I$100,2)+SUMIFS('24h'!$N$7:$N$100,'24h'!$H$7:$H$100,$A288,'24h'!$I$7:$I$100,2)+SUMIFS('24i'!$N$7:$N$100,'24i'!$H$7:$H$100,$A288,'24i'!$I$7:$I$100,2)+SUMIFS('25'!$N$7:$N$100,'25'!$H$7:$H$100,$A288,'25'!$I$7:$I$100,2)+SUMIFS('26'!$N$7:$N$100,'26'!$H$7:$H$100,$A288,'26'!$I$7:$I$100,2)+SUMIFS('26a'!$N$7:$N$100,'26a'!$H$7:$H$100,$A288,'26a'!$I$7:$I$100,2)+SUMIFS('27'!$N$7:$N$100,'27'!$H$7:$H$100,$A288,'27'!$I$7:$I$100,2)+SUMIFS('27a'!$N$7:$N$100,'27a'!$H$7:$H$100,$A288,'27a'!$I$7:$I$100,2)+SUMIFS('28'!$N$7:$N$100,'28'!$H$7:$H$100,$A288,'28'!$I$7:$I$100,2)+SUMIFS('29'!$N$7:$N$100,'29'!$H$7:$H$100,$A288,'29'!$I$7:$I$100,2)</f>
        <v>0</v>
      </c>
      <c r="E288" s="1315">
        <f>SUMIFS('12'!$N$7:$N$100,'12'!$H$7:$H$100,$A288,'12'!$I$7:$I$100,"")+SUMIFS('13'!$N$7:$N$100,'13'!$H$7:$H$100,$A288,'13'!$I$7:$I$100,"")+SUMIFS('14'!$N$7:$N$100,'14'!$H$7:$H$100,$A288,'14'!$I$7:$I$100,"")+SUMIFS('15'!$N$7:$N$100,'15'!$H$7:$H$100,$A288,'15'!$I$7:$I$100,"")+SUMIFS('15a'!$N$7:$N$100,'15a'!$H$7:$H$100,$A288,'15a'!$I$7:$I$100,"")+SUMIFS('15b'!$N$7:$N$100,'15b'!$H$7:$H$100,$A288,'15b'!$I$7:$I$100,"")+SUMIFS('15c'!$N$7:$N$100,'15c'!$H$7:$H$100,$A288,'15c'!$I$7:$I$100,"")+SUMIFS('15d'!$N$7:$N$100,'15d'!$H$7:$H$100,$A288,'15d'!$I$7:$I$100,"")+SUMIFS('15e'!$N$7:$N$100,'15e'!$H$7:$H$100,$A288,'15e'!$I$7:$I$100,"")+SUMIFS('15f'!$N$7:$N$100,'15f'!$H$7:$H$100,$A288,'15f'!$I$7:$I$100,"")+SUMIFS('15g'!$N$7:$N$100,'15g'!$H$7:$H$100,$A288,'15g'!$I$7:$I$100,"")+SUMIFS('15h'!$N$7:$N$100,'15h'!$H$7:$H$100,$A288,'15h'!$I$7:$I$100,"")+SUMIFS('15i'!$N$7:$N$100,'15i'!$H$7:$H$100,$A288,'15i'!$I$7:$I$100,"")+SUMIFS('15j'!$N$7:$N$100,'15j'!$H$7:$H$100,$A288,'15j'!$I$7:$I$100,"")+SUMIFS('15k'!$N$7:$N$100,'15k'!$H$7:$H$100,$A288,'15k'!$I$7:$I$100,"")+SUMIFS('15l'!$N$7:$N$100,'15l'!$H$7:$H$100,$A288,'15l'!$I$7:$I$100,"")+SUMIFS('15m'!$N$7:$N$100,'15m'!$H$7:$H$100,$A288,'15m'!$I$7:$I$100,"")+SUMIFS('15n'!$N$7:$N$100,'15n'!$H$7:$H$100,$A288,'15n'!$I$7:$I$100,"")+SUMIFS('16'!$N$7:$N$100,'16'!$H$7:$H$100,$A288,'16'!$I$7:$I$100,"")+SUMIFS('16a'!$N$7:$N$100,'16a'!$H$7:$H$100,$A288,'16a'!$I$7:$I$100,"")+SUMIFS('17'!$N$7:$N$100,'17'!$H$7:$H$100,$A288,'17'!$I$7:$I$100,"")+SUMIFS('17a'!$N$7:$N$100,'17a'!$H$7:$H$100,$A288,'17a'!$I$7:$I$100,"")+SUMIFS('18'!$N$7:$N$100,'18'!$H$7:$H$100,$A288,'18'!$I$7:$I$100,"")+SUMIFS('18a'!$N$7:$N$100,'18a'!$H$7:$H$100,$A288,'18a'!$I$7:$I$100,"")
+SUMIFS('19'!$N$7:$N$100,'19'!$H$7:$H$100,$A288,'19'!$I$7:$I$100,"")+SUMIFS('20'!$N$7:$N$100,'20'!$H$7:$H$100,$A288,'20'!$I$7:$I$100,"")+SUMIFS('20a'!$N$7:$N$100,'20a'!$H$7:$H$100,$A288,'20a'!$I$7:$I$100,"")+SUMIFS('21'!$N$7:$N$100,'21'!$H$7:$H$100,$A288,'21'!$I$7:$I$100,"")+SUMIFS('22'!$N$7:$N$100,'22'!$H$7:$H$100,$A288,'22'!$I$7:$I$100,"")+SUMIFS('22a'!$N$7:$N$100,'22a'!$H$7:$H$100,$A288,'22a'!$I$7:$I$100,"")+SUMIFS('22b'!$N$7:$N$100,'22b'!$H$7:$H$100,$A288,'22b'!$I$7:$I$100,"")+SUMIFS('23'!$N$7:$N$100,'23'!$H$7:$H$100,$A288,'23'!$I$7:$I$100,"")+SUMIFS('24'!$N$7:$N$100,'24'!$H$7:$H$100,$A288,'24'!$I$7:$I$100,"")+SUMIFS('24a'!$N$7:$N$100,'24a'!$H$7:$H$100,$A288,'24a'!$I$7:$I$100,"")+SUMIFS('24b'!$N$7:$N$100,'24b'!$H$7:$H$100,$A288,'24b'!$I$7:$I$100,"")+SUMIFS('24c'!$N$7:$N$100,'24c'!$H$7:$H$100,$A288,'24c'!$I$7:$I$100,"")+SUMIFS('24d'!$N$7:$N$100,'24d'!$H$7:$H$100,$A288,'24d'!$I$7:$I$100,"")+SUMIFS('24e'!$N$7:$N$100,'24e'!$H$7:$H$100,$A288,'24e'!$I$7:$I$100,"")+SUMIFS('24f'!$N$7:$N$100,'24f'!$H$7:$H$100,$A288,'24f'!$I$7:$I$100,"")+SUMIFS('24g'!$N$7:$N$100,'24g'!$H$7:$H$100,$A288,'24g'!$I$7:$I$100,"")+SUMIFS('24h'!$N$7:$N$100,'24h'!$H$7:$H$100,$A288,'24h'!$I$7:$I$100,"")+SUMIFS('24i'!$N$7:$N$100,'24i'!$H$7:$H$100,$A288,'24i'!$I$7:$I$100,"")+SUMIFS('25'!$N$7:$N$100,'25'!$H$7:$H$100,$A288,'25'!$I$7:$I$100,"")+SUMIFS('26'!$N$7:$N$100,'26'!$H$7:$H$100,$A288,'26'!$I$7:$I$100,"")+SUMIFS('26a'!$N$7:$N$100,'26a'!$H$7:$H$100,$A288,'26a'!$I$7:$I$100,"")+SUMIFS('27'!$N$7:$N$100,'27'!$H$7:$H$100,$A288,'27'!$I$7:$I$100,"")+SUMIFS('27a'!$N$7:$N$100,'27a'!$H$7:$H$100,$A288,'27a'!$I$7:$I$100,"")+SUMIFS('28'!$N$7:$N$100,'28'!$H$7:$H$100,$A288,'28'!$I$7:$I$100,"")+SUMIFS('29'!$N$7:$N$100,'29'!$H$7:$H$100,$A288,'29'!$I$7:$I$100,"")</f>
        <v>0</v>
      </c>
      <c r="F288" s="1296">
        <f t="shared" si="33"/>
        <v>0</v>
      </c>
      <c r="G288" s="1295">
        <f>SUMIFS('12'!$J$7:$J$100,'12'!$H$7:$H$100,$A288,'12'!$I$7:$I$100,1)+SUMIFS('13'!$J$7:$J$100,'13'!$H$7:$H$100,$A288,'13'!$I$7:$I$100,1)+SUMIFS('14'!$J$7:$J$100,'14'!$H$7:$H$100,$A288,'14'!$I$7:$I$100,1)+SUMIFS('15'!$J$7:$J$100,'15'!$H$7:$H$100,$A288,'15'!$I$7:$I$100,1)+SUMIFS('15a'!$J$7:$J$100,'15a'!$H$7:$H$100,$A288,'15a'!$I$7:$I$100,1)+SUMIFS('15b'!$J$7:$J$100,'15b'!$H$7:$H$100,$A288,'15b'!$I$7:$I$100,1)+SUMIFS('15c'!$J$7:$J$100,'15c'!$H$7:$H$100,$A288,'15c'!$I$7:$I$100,1)+SUMIFS('15d'!$J$7:$J$100,'15d'!$H$7:$H$100,$A288,'15d'!$I$7:$I$100,1)+SUMIFS('15e'!$J$7:$J$100,'15e'!$H$7:$H$100,$A288,'15e'!$I$7:$I$100,1)+SUMIFS('15f'!$J$7:$J$100,'15f'!$H$7:$H$100,$A288,'15f'!$I$7:$I$100,1)+SUMIFS('15g'!$J$7:$J$100,'15g'!$H$7:$H$100,$A288,'15g'!$I$7:$I$100,1)+SUMIFS('15h'!$J$7:$J$100,'15h'!$H$7:$H$100,$A288,'15h'!$I$7:$I$100,1)+SUMIFS('15i'!$J$7:$J$100,'15i'!$H$7:$H$100,$A288,'15i'!$I$7:$I$100,1)+SUMIFS('15j'!$J$7:$J$100,'15j'!$H$7:$H$100,$A288,'15j'!$I$7:$I$100,1)+SUMIFS('15k'!$J$7:$J$100,'15k'!$H$7:$H$100,$A288,'15k'!$I$7:$I$100,1)+SUMIFS('15l'!$J$7:$J$100,'15l'!$H$7:$H$100,$A288,'15l'!$I$7:$I$100,1)+SUMIFS('15m'!$J$7:$J$100,'15m'!$H$7:$H$100,$A288,'15m'!$I$7:$I$100,1)+SUMIFS('15n'!$J$7:$J$100,'15n'!$H$7:$H$100,$A288,'15n'!$I$7:$I$100,1)+SUMIFS('16'!$J$7:$J$100,'16'!$H$7:$H$100,$A288,'16'!$I$7:$I$100,1)+SUMIFS('16a'!$J$7:$J$100,'16a'!$H$7:$H$100,$A288,'16a'!$I$7:$I$100,1)+SUMIFS('17'!$J$7:$J$100,'17'!$H$7:$H$100,$A288,'17'!$I$7:$I$100,1)+SUMIFS('17a'!$J$7:$J$100,'17a'!$H$7:$H$100,$A288,'17a'!$I$7:$I$100,1)+SUMIFS('18'!$J$7:$J$100,'18'!$H$7:$H$100,$A288,'18'!$I$7:$I$100,1)+SUMIFS('18a'!$J$7:$J$100,'18a'!$H$7:$H$100,$A288,'18a'!$I$7:$I$100,1)
+SUMIFS('19'!$J$7:$J$100,'19'!$H$7:$H$100,$A288,'19'!$I$7:$I$100,1)+SUMIFS('20'!$J$7:$J$100,'20'!$H$7:$H$100,$A288,'20'!$I$7:$I$100,1)+SUMIFS('20a'!$J$7:$J$100,'20a'!$H$7:$H$100,$A288,'20a'!$I$7:$I$100,1)+SUMIFS('21'!$J$7:$J$100,'21'!$H$7:$H$100,$A288,'21'!$I$7:$I$100,1)+SUMIFS('22'!$J$7:$J$100,'22'!$H$7:$H$100,$A288,'22'!$I$7:$I$100,1)+SUMIFS('22a'!$J$7:$J$100,'22a'!$H$7:$H$100,$A288,'22a'!$I$7:$I$100,1)+SUMIFS('22b'!$J$7:$J$100,'22b'!$H$7:$H$100,$A288,'22b'!$I$7:$I$100,1)+SUMIFS('23'!$J$7:$J$100,'23'!$H$7:$H$100,$A288,'23'!$I$7:$I$100,1)+SUMIFS('24'!$J$7:$J$100,'24'!$H$7:$H$100,$A288,'24'!$I$7:$I$100,1)+SUMIFS('24a'!$J$7:$J$100,'24a'!$H$7:$H$100,$A288,'24a'!$I$7:$I$100,1)+SUMIFS('24b'!$J$7:$J$100,'24b'!$H$7:$H$100,$A288,'24b'!$I$7:$I$100,1)+SUMIFS('24c'!$J$7:$J$100,'24c'!$H$7:$H$100,$A288,'24c'!$I$7:$I$100,1)+SUMIFS('24d'!$J$7:$J$100,'24d'!$H$7:$H$100,$A288,'24d'!$I$7:$I$100,1)+SUMIFS('24e'!$J$7:$J$100,'24e'!$H$7:$H$100,$A288,'24e'!$I$7:$I$100,1)+SUMIFS('24f'!$J$7:$J$100,'24f'!$H$7:$H$100,$A288,'24f'!$I$7:$I$100,1)+SUMIFS('24g'!$J$7:$J$100,'24g'!$H$7:$H$100,$A288,'24g'!$I$7:$I$100,1)+SUMIFS('24h'!$J$7:$J$100,'24h'!$H$7:$H$100,$A288,'24h'!$I$7:$I$100,1)+SUMIFS('24i'!$J$7:$J$100,'24i'!$H$7:$H$100,$A288,'24i'!$I$7:$I$100,1)+SUMIFS('25'!$J$7:$J$100,'25'!$H$7:$H$100,$A288,'25'!$I$7:$I$100,1)+SUMIFS('26'!$J$7:$J$100,'26'!$H$7:$H$100,$A288,'26'!$I$7:$I$100,1)+SUMIFS('26a'!$J$7:$J$100,'26a'!$H$7:$H$100,$A288,'26a'!$I$7:$I$100,1)+SUMIFS('27'!$J$7:$J$100,'27'!$H$7:$H$100,$A288,'27'!$I$7:$I$100,1)+SUMIFS('27a'!$J$7:$J$100,'27a'!$H$7:$H$100,$A288,'27a'!$I$7:$I$100,1)+SUMIFS('28'!$J$7:$J$100,'28'!$H$7:$H$100,$A288,'28'!$I$7:$I$100,1)+SUMIFS('29'!$J$7:$J$100,'29'!$H$7:$H$100,$A288,'29'!$I$7:$I$100,1)</f>
        <v>0</v>
      </c>
      <c r="H288" s="1315">
        <f>SUMIFS('12'!$J$7:$J$100,'12'!$H$7:$H$100,$A288,'12'!$I$7:$I$100,2)+SUMIFS('13'!$J$7:$J$100,'13'!$H$7:$H$100,$A288,'13'!$I$7:$I$100,2)+SUMIFS('14'!$J$7:$J$100,'14'!$H$7:$H$100,$A288,'14'!$I$7:$I$100,2)+SUMIFS('15'!$J$7:$J$100,'15'!$H$7:$H$100,$A288,'15'!$I$7:$I$100,2)+SUMIFS('15a'!$J$7:$J$100,'15a'!$H$7:$H$100,$A288,'15a'!$I$7:$I$100,2)+SUMIFS('15b'!$J$7:$J$100,'15b'!$H$7:$H$100,$A288,'15b'!$I$7:$I$100,2)+SUMIFS('15c'!$J$7:$J$100,'15c'!$H$7:$H$100,$A288,'15c'!$I$7:$I$100,2)+SUMIFS('15d'!$J$7:$J$100,'15d'!$H$7:$H$100,$A288,'15d'!$I$7:$I$100,2)+SUMIFS('15e'!$J$7:$J$100,'15e'!$H$7:$H$100,$A288,'15e'!$I$7:$I$100,2)+SUMIFS('15f'!$J$7:$J$100,'15f'!$H$7:$H$100,$A288,'15f'!$I$7:$I$100,2)+SUMIFS('15g'!$J$7:$J$100,'15g'!$H$7:$H$100,$A288,'15g'!$I$7:$I$100,2)+SUMIFS('15h'!$J$7:$J$100,'15h'!$H$7:$H$100,$A288,'15h'!$I$7:$I$100,2)+SUMIFS('15i'!$J$7:$J$100,'15i'!$H$7:$H$100,$A288,'15i'!$I$7:$I$100,2)+SUMIFS('15j'!$J$7:$J$100,'15j'!$H$7:$H$100,$A288,'15j'!$I$7:$I$100,2)+SUMIFS('15k'!$J$7:$J$100,'15k'!$H$7:$H$100,$A288,'15k'!$I$7:$I$100,2)+SUMIFS('15l'!$J$7:$J$100,'15l'!$H$7:$H$100,$A288,'15l'!$I$7:$I$100,2)+SUMIFS('15m'!$J$7:$J$100,'15m'!$H$7:$H$100,$A288,'15m'!$I$7:$I$100,2)+SUMIFS('15n'!$J$7:$J$100,'15n'!$H$7:$H$100,$A288,'15n'!$I$7:$I$100,2)+SUMIFS('16'!$J$7:$J$100,'16'!$H$7:$H$100,$A288,'16'!$I$7:$I$100,2)+SUMIFS('16a'!$J$7:$J$100,'16a'!$H$7:$H$100,$A288,'16a'!$I$7:$I$100,2)+SUMIFS('17'!$J$7:$J$100,'17'!$H$7:$H$100,$A288,'17'!$I$7:$I$100,2)+SUMIFS('17a'!$J$7:$J$100,'17a'!$H$7:$H$100,$A288,'17a'!$I$7:$I$100,2)+SUMIFS('18'!$J$7:$J$100,'18'!$H$7:$H$100,$A288,'18'!$I$7:$I$100,2)+SUMIFS('18a'!$J$7:$J$100,'18a'!$H$7:$H$100,$A288,'18a'!$I$7:$I$100,2)
+SUMIFS('19'!$J$7:$J$100,'19'!$H$7:$H$100,$A288,'19'!$I$7:$I$100,2)+SUMIFS('20'!$J$7:$J$100,'20'!$H$7:$H$100,$A288,'20'!$I$7:$I$100,2)+SUMIFS('20a'!$J$7:$J$100,'20a'!$H$7:$H$100,$A288,'20a'!$I$7:$I$100,2)+SUMIFS('21'!$J$7:$J$100,'21'!$H$7:$H$100,$A288,'21'!$I$7:$I$100,2)+SUMIFS('22'!$J$7:$J$100,'22'!$H$7:$H$100,$A288,'22'!$I$7:$I$100,2)+SUMIFS('22a'!$J$7:$J$100,'22a'!$H$7:$H$100,$A288,'22a'!$I$7:$I$100,2)+SUMIFS('22b'!$J$7:$J$100,'22b'!$H$7:$H$100,$A288,'22b'!$I$7:$I$100,2)+SUMIFS('23'!$J$7:$J$100,'23'!$H$7:$H$100,$A288,'23'!$I$7:$I$100,2)+SUMIFS('24'!$J$7:$J$100,'24'!$H$7:$H$100,$A288,'24'!$I$7:$I$100,2)+SUMIFS('24a'!$J$7:$J$100,'24a'!$H$7:$H$100,$A288,'24a'!$I$7:$I$100,2)+SUMIFS('24b'!$J$7:$J$100,'24b'!$H$7:$H$100,$A288,'24b'!$I$7:$I$100,2)+SUMIFS('24c'!$J$7:$J$100,'24c'!$H$7:$H$100,$A288,'24c'!$I$7:$I$100,2)+SUMIFS('24d'!$J$7:$J$100,'24d'!$H$7:$H$100,$A288,'24d'!$I$7:$I$100,2)+SUMIFS('24e'!$J$7:$J$100,'24e'!$H$7:$H$100,$A288,'24e'!$I$7:$I$100,2)+SUMIFS('24f'!$J$7:$J$100,'24f'!$H$7:$H$100,$A288,'24f'!$I$7:$I$100,2)+SUMIFS('24g'!$J$7:$J$100,'24g'!$H$7:$H$100,$A288,'24g'!$I$7:$I$100,2)+SUMIFS('24h'!$J$7:$J$100,'24h'!$H$7:$H$100,$A288,'24h'!$I$7:$I$100,2)+SUMIFS('24i'!$J$7:$J$100,'24i'!$H$7:$H$100,$A288,'24i'!$I$7:$I$100,2)+SUMIFS('25'!$J$7:$J$100,'25'!$H$7:$H$100,$A288,'25'!$I$7:$I$100,2)+SUMIFS('26'!$J$7:$J$100,'26'!$H$7:$H$100,$A288,'26'!$I$7:$I$100,2)+SUMIFS('26a'!$J$7:$J$100,'26a'!$H$7:$H$100,$A288,'26a'!$I$7:$I$100,2)+SUMIFS('27'!$J$7:$J$100,'27'!$H$7:$H$100,$A288,'27'!$I$7:$I$100,2)+SUMIFS('27a'!$J$7:$J$100,'27a'!$H$7:$H$100,$A288,'27a'!$I$7:$I$100,2)+SUMIFS('28'!$J$7:$J$100,'28'!$H$7:$H$100,$A288,'28'!$I$7:$I$100,2)+SUMIFS('29'!$J$7:$J$100,'29'!$H$7:$H$100,$A288,'29'!$I$7:$I$100,2)</f>
        <v>0</v>
      </c>
      <c r="I288" s="1315">
        <f>SUMIFS('12'!$J$7:$J$100,'12'!$H$7:$H$100,$A288,'12'!$I$7:$I$100,"")+SUMIFS('13'!$J$7:$J$100,'13'!$H$7:$H$100,$A288,'13'!$I$7:$I$100,"")+SUMIFS('14'!$J$7:$J$100,'14'!$H$7:$H$100,$A288,'14'!$I$7:$I$100,"")+SUMIFS('15'!$J$7:$J$100,'15'!$H$7:$H$100,$A288,'15'!$I$7:$I$100,"")+SUMIFS('15a'!$J$7:$J$100,'15a'!$H$7:$H$100,$A288,'15a'!$I$7:$I$100,"")+SUMIFS('15b'!$J$7:$J$100,'15b'!$H$7:$H$100,$A288,'15b'!$I$7:$I$100,"")+SUMIFS('15c'!$J$7:$J$100,'15c'!$H$7:$H$100,$A288,'15c'!$I$7:$I$100,"")+SUMIFS('15d'!$J$7:$J$100,'15d'!$H$7:$H$100,$A288,'15d'!$I$7:$I$100,"")+SUMIFS('15e'!$J$7:$J$100,'15e'!$H$7:$H$100,$A288,'15e'!$I$7:$I$100,"")+SUMIFS('15f'!$J$7:$J$100,'15f'!$H$7:$H$100,$A288,'15f'!$I$7:$I$100,"")+SUMIFS('15g'!$J$7:$J$100,'15g'!$H$7:$H$100,$A288,'15g'!$I$7:$I$100,"")+SUMIFS('15h'!$J$7:$J$100,'15h'!$H$7:$H$100,$A288,'15h'!$I$7:$I$100,"")+SUMIFS('15i'!$J$7:$J$100,'15i'!$H$7:$H$100,$A288,'15i'!$I$7:$I$100,"")+SUMIFS('15j'!$J$7:$J$100,'15j'!$H$7:$H$100,$A288,'15j'!$I$7:$I$100,"")+SUMIFS('15k'!$J$7:$J$100,'15k'!$H$7:$H$100,$A288,'15k'!$I$7:$I$100,"")+SUMIFS('15l'!$J$7:$J$100,'15l'!$H$7:$H$100,$A288,'15l'!$I$7:$I$100,"")+SUMIFS('15m'!$J$7:$J$100,'15m'!$H$7:$H$100,$A288,'15m'!$I$7:$I$100,"")+SUMIFS('15n'!$J$7:$J$100,'15n'!$H$7:$H$100,$A288,'15n'!$I$7:$I$100,"")+SUMIFS('16'!$J$7:$J$100,'16'!$H$7:$H$100,$A288,'16'!$I$7:$I$100,"")+SUMIFS('16a'!$J$7:$J$100,'16a'!$H$7:$H$100,$A288,'16a'!$I$7:$I$100,"")+SUMIFS('17'!$J$7:$J$100,'17'!$H$7:$H$100,$A288,'17'!$I$7:$I$100,"")+SUMIFS('17a'!$J$7:$J$100,'17a'!$H$7:$H$100,$A288,'17a'!$I$7:$I$100,"")+SUMIFS('18'!$J$7:$J$100,'18'!$H$7:$H$100,$A288,'18'!$I$7:$I$100,"")+SUMIFS('18a'!$J$7:$J$100,'18a'!$H$7:$H$100,$A288,'18a'!$I$7:$I$100,"")
+SUMIFS('19'!$J$7:$J$100,'19'!$H$7:$H$100,$A288,'19'!$I$7:$I$100,"")+SUMIFS('20'!$J$7:$J$100,'20'!$H$7:$H$100,$A288,'20'!$I$7:$I$100,"")+SUMIFS('20a'!$J$7:$J$100,'20a'!$H$7:$H$100,$A288,'20a'!$I$7:$I$100,"")+SUMIFS('21'!$J$7:$J$100,'21'!$H$7:$H$100,$A288,'21'!$I$7:$I$100,"")+SUMIFS('22'!$J$7:$J$100,'22'!$H$7:$H$100,$A288,'22'!$I$7:$I$100,"")+SUMIFS('22a'!$J$7:$J$100,'22a'!$H$7:$H$100,$A288,'22a'!$I$7:$I$100,"")+SUMIFS('22b'!$J$7:$J$100,'22b'!$H$7:$H$100,$A288,'22b'!$I$7:$I$100,"")+SUMIFS('23'!$J$7:$J$100,'23'!$H$7:$H$100,$A288,'23'!$I$7:$I$100,"")+SUMIFS('24'!$J$7:$J$100,'24'!$H$7:$H$100,$A288,'24'!$I$7:$I$100,"")+SUMIFS('24a'!$J$7:$J$100,'24a'!$H$7:$H$100,$A288,'24a'!$I$7:$I$100,"")+SUMIFS('24b'!$J$7:$J$100,'24b'!$H$7:$H$100,$A288,'24b'!$I$7:$I$100,"")+SUMIFS('24c'!$J$7:$J$100,'24c'!$H$7:$H$100,$A288,'24c'!$I$7:$I$100,"")+SUMIFS('24d'!$J$7:$J$100,'24d'!$H$7:$H$100,$A288,'24d'!$I$7:$I$100,"")+SUMIFS('24e'!$J$7:$J$100,'24e'!$H$7:$H$100,$A288,'24e'!$I$7:$I$100,"")+SUMIFS('24f'!$J$7:$J$100,'24f'!$H$7:$H$100,$A288,'24f'!$I$7:$I$100,"")+SUMIFS('24g'!$J$7:$J$100,'24g'!$H$7:$H$100,$A288,'24g'!$I$7:$I$100,"")+SUMIFS('24h'!$J$7:$J$100,'24h'!$H$7:$H$100,$A288,'24h'!$I$7:$I$100,"")+SUMIFS('24i'!$J$7:$J$100,'24i'!$H$7:$H$100,$A288,'24i'!$I$7:$I$100,"")+SUMIFS('25'!$J$7:$J$100,'25'!$H$7:$H$100,$A288,'25'!$I$7:$I$100,"")+SUMIFS('26'!$J$7:$J$100,'26'!$H$7:$H$100,$A288,'26'!$I$7:$I$100,"")+SUMIFS('26a'!$J$7:$J$100,'26a'!$H$7:$H$100,$A288,'26a'!$I$7:$I$100,"")+SUMIFS('27'!$J$7:$J$100,'27'!$H$7:$H$100,$A288,'27'!$I$7:$I$100,"")+SUMIFS('27a'!$J$7:$J$100,'27a'!$H$7:$H$100,$A288,'27a'!$I$7:$I$100,"")+SUMIFS('28'!$J$7:$J$100,'28'!$H$7:$H$100,$A288,'28'!$I$7:$I$100,"")+SUMIFS('29'!$J$7:$J$100,'29'!$H$7:$H$100,$A288,'29'!$I$7:$I$100,"")</f>
        <v>0</v>
      </c>
      <c r="J288" s="1296">
        <f t="shared" si="34"/>
        <v>0</v>
      </c>
      <c r="K288"/>
      <c r="L288"/>
      <c r="M288"/>
      <c r="N288"/>
      <c r="O288"/>
      <c r="P288"/>
      <c r="Q288"/>
      <c r="R288"/>
      <c r="S288" s="1307">
        <f t="shared" si="30"/>
        <v>0</v>
      </c>
      <c r="T288"/>
    </row>
    <row r="289" spans="1:20" outlineLevel="1" x14ac:dyDescent="0.2">
      <c r="A289" t="s">
        <v>5192</v>
      </c>
      <c r="B289" t="s">
        <v>5518</v>
      </c>
      <c r="C289" s="1295">
        <f>SUMIFS('12'!$N$7:$N$100,'12'!$H$7:$H$100,$A289,'12'!$I$7:$I$100,1)+SUMIFS('13'!$N$7:$N$100,'13'!$H$7:$H$100,$A289,'13'!$I$7:$I$100,1)+SUMIFS('14'!$N$7:$N$100,'14'!$H$7:$H$100,$A289,'14'!$I$7:$I$100,1)+SUMIFS('15'!$N$7:$N$100,'15'!$H$7:$H$100,$A289,'15'!$I$7:$I$100,1)+SUMIFS('15a'!$N$7:$N$100,'15a'!$H$7:$H$100,$A289,'15a'!$I$7:$I$100,1)+SUMIFS('15b'!$N$7:$N$100,'15b'!$H$7:$H$100,$A289,'15b'!$I$7:$I$100,1)+SUMIFS('15c'!$N$7:$N$100,'15c'!$H$7:$H$100,$A289,'15c'!$I$7:$I$100,1)+SUMIFS('15d'!$N$7:$N$100,'15d'!$H$7:$H$100,$A289,'15d'!$I$7:$I$100,1)+SUMIFS('15e'!$N$7:$N$100,'15e'!$H$7:$H$100,$A289,'15e'!$I$7:$I$100,1)+SUMIFS('15f'!$N$7:$N$100,'15f'!$H$7:$H$100,$A289,'15f'!$I$7:$I$100,1)+SUMIFS('15g'!$N$7:$N$100,'15g'!$H$7:$H$100,$A289,'15g'!$I$7:$I$100,1)+SUMIFS('15h'!$N$7:$N$100,'15h'!$H$7:$H$100,$A289,'15h'!$I$7:$I$100,1)+SUMIFS('15i'!$N$7:$N$100,'15i'!$H$7:$H$100,$A289,'15i'!$I$7:$I$100,1)+SUMIFS('15j'!$N$7:$N$100,'15j'!$H$7:$H$100,$A289,'15j'!$I$7:$I$100,1)+SUMIFS('15k'!$N$7:$N$100,'15k'!$H$7:$H$100,$A289,'15k'!$I$7:$I$100,1)+SUMIFS('15l'!$N$7:$N$100,'15l'!$H$7:$H$100,$A289,'15l'!$I$7:$I$100,1)+SUMIFS('15m'!$N$7:$N$100,'15m'!$H$7:$H$100,$A289,'15m'!$I$7:$I$100,1)+SUMIFS('15n'!$N$7:$N$100,'15n'!$H$7:$H$100,$A289,'15n'!$I$7:$I$100,1)+SUMIFS('16'!$N$7:$N$100,'16'!$H$7:$H$100,$A289,'16'!$I$7:$I$100,1)+SUMIFS('16a'!$N$7:$N$100,'16a'!$H$7:$H$100,$A289,'16a'!$I$7:$I$100,1)+SUMIFS('17'!$N$7:$N$100,'17'!$H$7:$H$100,$A289,'17'!$I$7:$I$100,1)+SUMIFS('17a'!$N$7:$N$100,'17a'!$H$7:$H$100,$A289,'17a'!$I$7:$I$100,1)+SUMIFS('18'!$N$7:$N$100,'18'!$H$7:$H$100,$A289,'18'!$I$7:$I$100,1)+SUMIFS('18a'!$N$7:$N$100,'18a'!$H$7:$H$100,$A289,'18a'!$I$7:$I$100,1)
+SUMIFS('19'!$N$7:$N$100,'19'!$H$7:$H$100,$A289,'19'!$I$7:$I$100,1)+SUMIFS('20'!$N$7:$N$100,'20'!$H$7:$H$100,$A289,'20'!$I$7:$I$100,1)+SUMIFS('20a'!$N$7:$N$100,'20a'!$H$7:$H$100,$A289,'20a'!$I$7:$I$100,1)+SUMIFS('21'!$N$7:$N$100,'21'!$H$7:$H$100,$A289,'21'!$I$7:$I$100,1)+SUMIFS('22'!$N$7:$N$100,'22'!$H$7:$H$100,$A289,'22'!$I$7:$I$100,1)+SUMIFS('22a'!$N$7:$N$100,'22a'!$H$7:$H$100,$A289,'22a'!$I$7:$I$100,1)+SUMIFS('22b'!$N$7:$N$100,'22b'!$H$7:$H$100,$A289,'22b'!$I$7:$I$100,1)+SUMIFS('23'!$N$7:$N$100,'23'!$H$7:$H$100,$A289,'23'!$I$7:$I$100,1)+SUMIFS('24'!$N$7:$N$100,'24'!$H$7:$H$100,$A289,'24'!$I$7:$I$100,1)+SUMIFS('24a'!$N$7:$N$100,'24a'!$H$7:$H$100,$A289,'24a'!$I$7:$I$100,1)+SUMIFS('24b'!$N$7:$N$100,'24b'!$H$7:$H$100,$A289,'24b'!$I$7:$I$100,1)+SUMIFS('24c'!$N$7:$N$100,'24c'!$H$7:$H$100,$A289,'24c'!$I$7:$I$100,1)+SUMIFS('24d'!$N$7:$N$100,'24d'!$H$7:$H$100,$A289,'24d'!$I$7:$I$100,1)+SUMIFS('24e'!$N$7:$N$100,'24e'!$H$7:$H$100,$A289,'24e'!$I$7:$I$100,1)+SUMIFS('24f'!$N$7:$N$100,'24f'!$H$7:$H$100,$A289,'24f'!$I$7:$I$100,1)+SUMIFS('24g'!$N$7:$N$100,'24g'!$H$7:$H$100,$A289,'24g'!$I$7:$I$100,1)+SUMIFS('24h'!$N$7:$N$100,'24h'!$H$7:$H$100,$A289,'24h'!$I$7:$I$100,1)+SUMIFS('24i'!$N$7:$N$100,'24i'!$H$7:$H$100,$A289,'24i'!$I$7:$I$100,1)+SUMIFS('25'!$N$7:$N$100,'25'!$H$7:$H$100,$A289,'25'!$I$7:$I$100,1)+SUMIFS('26'!$N$7:$N$100,'26'!$H$7:$H$100,$A289,'26'!$I$7:$I$100,1)+SUMIFS('26a'!$N$7:$N$100,'26a'!$H$7:$H$100,$A289,'26a'!$I$7:$I$100,1)+SUMIFS('27'!$N$7:$N$100,'27'!$H$7:$H$100,$A289,'27'!$I$7:$I$100,1)+SUMIFS('27a'!$N$7:$N$100,'27a'!$H$7:$H$100,$A289,'27a'!$I$7:$I$100,1)+SUMIFS('28'!$N$7:$N$100,'28'!$H$7:$H$100,$A289,'28'!$I$7:$I$100,1)+SUMIFS('29'!$N$7:$N$100,'29'!$H$7:$H$100,$A289,'29'!$I$7:$I$100,1)</f>
        <v>0</v>
      </c>
      <c r="D289" s="1315">
        <f>SUMIFS('12'!$N$7:$N$100,'12'!$H$7:$H$100,$A289,'12'!$I$7:$I$100,2)+SUMIFS('13'!$N$7:$N$100,'13'!$H$7:$H$100,$A289,'13'!$I$7:$I$100,2)+SUMIFS('14'!$N$7:$N$100,'14'!$H$7:$H$100,$A289,'14'!$I$7:$I$100,2)+SUMIFS('15'!$N$7:$N$100,'15'!$H$7:$H$100,$A289,'15'!$I$7:$I$100,2)+SUMIFS('15a'!$N$7:$N$100,'15a'!$H$7:$H$100,$A289,'15a'!$I$7:$I$100,2)+SUMIFS('15b'!$N$7:$N$100,'15b'!$H$7:$H$100,$A289,'15b'!$I$7:$I$100,2)+SUMIFS('15c'!$N$7:$N$100,'15c'!$H$7:$H$100,$A289,'15c'!$I$7:$I$100,2)+SUMIFS('15d'!$N$7:$N$100,'15d'!$H$7:$H$100,$A289,'15d'!$I$7:$I$100,2)+SUMIFS('15e'!$N$7:$N$100,'15e'!$H$7:$H$100,$A289,'15e'!$I$7:$I$100,2)+SUMIFS('15f'!$N$7:$N$100,'15f'!$H$7:$H$100,$A289,'15f'!$I$7:$I$100,2)+SUMIFS('15g'!$N$7:$N$100,'15g'!$H$7:$H$100,$A289,'15g'!$I$7:$I$100,2)+SUMIFS('15h'!$N$7:$N$100,'15h'!$H$7:$H$100,$A289,'15h'!$I$7:$I$100,2)+SUMIFS('15i'!$N$7:$N$100,'15i'!$H$7:$H$100,$A289,'15i'!$I$7:$I$100,2)+SUMIFS('15j'!$N$7:$N$100,'15j'!$H$7:$H$100,$A289,'15j'!$I$7:$I$100,2)+SUMIFS('15k'!$N$7:$N$100,'15k'!$H$7:$H$100,$A289,'15k'!$I$7:$I$100,2)+SUMIFS('15l'!$N$7:$N$100,'15l'!$H$7:$H$100,$A289,'15l'!$I$7:$I$100,2)+SUMIFS('15m'!$N$7:$N$100,'15m'!$H$7:$H$100,$A289,'15m'!$I$7:$I$100,2)+SUMIFS('15n'!$N$7:$N$100,'15n'!$H$7:$H$100,$A289,'15n'!$I$7:$I$100,2)+SUMIFS('16'!$N$7:$N$100,'16'!$H$7:$H$100,$A289,'16'!$I$7:$I$100,2)+SUMIFS('16a'!$N$7:$N$100,'16a'!$H$7:$H$100,$A289,'16a'!$I$7:$I$100,2)+SUMIFS('17'!$N$7:$N$100,'17'!$H$7:$H$100,$A289,'17'!$I$7:$I$100,2)+SUMIFS('17a'!$N$7:$N$100,'17a'!$H$7:$H$100,$A289,'17a'!$I$7:$I$100,2)+SUMIFS('18'!$N$7:$N$100,'18'!$H$7:$H$100,$A289,'18'!$I$7:$I$100,2)+SUMIFS('18a'!$N$7:$N$100,'18a'!$H$7:$H$100,$A289,'18a'!$I$7:$I$100,2)
+SUMIFS('19'!$N$7:$N$100,'19'!$H$7:$H$100,$A289,'19'!$I$7:$I$100,2)+SUMIFS('20'!$N$7:$N$100,'20'!$H$7:$H$100,$A289,'20'!$I$7:$I$100,2)+SUMIFS('20a'!$N$7:$N$100,'20a'!$H$7:$H$100,$A289,'20a'!$I$7:$I$100,2)+SUMIFS('21'!$N$7:$N$100,'21'!$H$7:$H$100,$A289,'21'!$I$7:$I$100,2)+SUMIFS('22'!$N$7:$N$100,'22'!$H$7:$H$100,$A289,'22'!$I$7:$I$100,2)+SUMIFS('22a'!$N$7:$N$100,'22a'!$H$7:$H$100,$A289,'22a'!$I$7:$I$100,2)+SUMIFS('22b'!$N$7:$N$100,'22b'!$H$7:$H$100,$A289,'22b'!$I$7:$I$100,2)+SUMIFS('23'!$N$7:$N$100,'23'!$H$7:$H$100,$A289,'23'!$I$7:$I$100,2)+SUMIFS('24'!$N$7:$N$100,'24'!$H$7:$H$100,$A289,'24'!$I$7:$I$100,2)+SUMIFS('24a'!$N$7:$N$100,'24a'!$H$7:$H$100,$A289,'24a'!$I$7:$I$100,2)+SUMIFS('24b'!$N$7:$N$100,'24b'!$H$7:$H$100,$A289,'24b'!$I$7:$I$100,2)+SUMIFS('24c'!$N$7:$N$100,'24c'!$H$7:$H$100,$A289,'24c'!$I$7:$I$100,2)+SUMIFS('24d'!$N$7:$N$100,'24d'!$H$7:$H$100,$A289,'24d'!$I$7:$I$100,2)+SUMIFS('24e'!$N$7:$N$100,'24e'!$H$7:$H$100,$A289,'24e'!$I$7:$I$100,2)+SUMIFS('24f'!$N$7:$N$100,'24f'!$H$7:$H$100,$A289,'24f'!$I$7:$I$100,2)+SUMIFS('24g'!$N$7:$N$100,'24g'!$H$7:$H$100,$A289,'24g'!$I$7:$I$100,2)+SUMIFS('24h'!$N$7:$N$100,'24h'!$H$7:$H$100,$A289,'24h'!$I$7:$I$100,2)+SUMIFS('24i'!$N$7:$N$100,'24i'!$H$7:$H$100,$A289,'24i'!$I$7:$I$100,2)+SUMIFS('25'!$N$7:$N$100,'25'!$H$7:$H$100,$A289,'25'!$I$7:$I$100,2)+SUMIFS('26'!$N$7:$N$100,'26'!$H$7:$H$100,$A289,'26'!$I$7:$I$100,2)+SUMIFS('26a'!$N$7:$N$100,'26a'!$H$7:$H$100,$A289,'26a'!$I$7:$I$100,2)+SUMIFS('27'!$N$7:$N$100,'27'!$H$7:$H$100,$A289,'27'!$I$7:$I$100,2)+SUMIFS('27a'!$N$7:$N$100,'27a'!$H$7:$H$100,$A289,'27a'!$I$7:$I$100,2)+SUMIFS('28'!$N$7:$N$100,'28'!$H$7:$H$100,$A289,'28'!$I$7:$I$100,2)+SUMIFS('29'!$N$7:$N$100,'29'!$H$7:$H$100,$A289,'29'!$I$7:$I$100,2)</f>
        <v>0</v>
      </c>
      <c r="E289" s="1315">
        <f>SUMIFS('12'!$N$7:$N$100,'12'!$H$7:$H$100,$A289,'12'!$I$7:$I$100,"")+SUMIFS('13'!$N$7:$N$100,'13'!$H$7:$H$100,$A289,'13'!$I$7:$I$100,"")+SUMIFS('14'!$N$7:$N$100,'14'!$H$7:$H$100,$A289,'14'!$I$7:$I$100,"")+SUMIFS('15'!$N$7:$N$100,'15'!$H$7:$H$100,$A289,'15'!$I$7:$I$100,"")+SUMIFS('15a'!$N$7:$N$100,'15a'!$H$7:$H$100,$A289,'15a'!$I$7:$I$100,"")+SUMIFS('15b'!$N$7:$N$100,'15b'!$H$7:$H$100,$A289,'15b'!$I$7:$I$100,"")+SUMIFS('15c'!$N$7:$N$100,'15c'!$H$7:$H$100,$A289,'15c'!$I$7:$I$100,"")+SUMIFS('15d'!$N$7:$N$100,'15d'!$H$7:$H$100,$A289,'15d'!$I$7:$I$100,"")+SUMIFS('15e'!$N$7:$N$100,'15e'!$H$7:$H$100,$A289,'15e'!$I$7:$I$100,"")+SUMIFS('15f'!$N$7:$N$100,'15f'!$H$7:$H$100,$A289,'15f'!$I$7:$I$100,"")+SUMIFS('15g'!$N$7:$N$100,'15g'!$H$7:$H$100,$A289,'15g'!$I$7:$I$100,"")+SUMIFS('15h'!$N$7:$N$100,'15h'!$H$7:$H$100,$A289,'15h'!$I$7:$I$100,"")+SUMIFS('15i'!$N$7:$N$100,'15i'!$H$7:$H$100,$A289,'15i'!$I$7:$I$100,"")+SUMIFS('15j'!$N$7:$N$100,'15j'!$H$7:$H$100,$A289,'15j'!$I$7:$I$100,"")+SUMIFS('15k'!$N$7:$N$100,'15k'!$H$7:$H$100,$A289,'15k'!$I$7:$I$100,"")+SUMIFS('15l'!$N$7:$N$100,'15l'!$H$7:$H$100,$A289,'15l'!$I$7:$I$100,"")+SUMIFS('15m'!$N$7:$N$100,'15m'!$H$7:$H$100,$A289,'15m'!$I$7:$I$100,"")+SUMIFS('15n'!$N$7:$N$100,'15n'!$H$7:$H$100,$A289,'15n'!$I$7:$I$100,"")+SUMIFS('16'!$N$7:$N$100,'16'!$H$7:$H$100,$A289,'16'!$I$7:$I$100,"")+SUMIFS('16a'!$N$7:$N$100,'16a'!$H$7:$H$100,$A289,'16a'!$I$7:$I$100,"")+SUMIFS('17'!$N$7:$N$100,'17'!$H$7:$H$100,$A289,'17'!$I$7:$I$100,"")+SUMIFS('17a'!$N$7:$N$100,'17a'!$H$7:$H$100,$A289,'17a'!$I$7:$I$100,"")+SUMIFS('18'!$N$7:$N$100,'18'!$H$7:$H$100,$A289,'18'!$I$7:$I$100,"")+SUMIFS('18a'!$N$7:$N$100,'18a'!$H$7:$H$100,$A289,'18a'!$I$7:$I$100,"")
+SUMIFS('19'!$N$7:$N$100,'19'!$H$7:$H$100,$A289,'19'!$I$7:$I$100,"")+SUMIFS('20'!$N$7:$N$100,'20'!$H$7:$H$100,$A289,'20'!$I$7:$I$100,"")+SUMIFS('20a'!$N$7:$N$100,'20a'!$H$7:$H$100,$A289,'20a'!$I$7:$I$100,"")+SUMIFS('21'!$N$7:$N$100,'21'!$H$7:$H$100,$A289,'21'!$I$7:$I$100,"")+SUMIFS('22'!$N$7:$N$100,'22'!$H$7:$H$100,$A289,'22'!$I$7:$I$100,"")+SUMIFS('22a'!$N$7:$N$100,'22a'!$H$7:$H$100,$A289,'22a'!$I$7:$I$100,"")+SUMIFS('22b'!$N$7:$N$100,'22b'!$H$7:$H$100,$A289,'22b'!$I$7:$I$100,"")+SUMIFS('23'!$N$7:$N$100,'23'!$H$7:$H$100,$A289,'23'!$I$7:$I$100,"")+SUMIFS('24'!$N$7:$N$100,'24'!$H$7:$H$100,$A289,'24'!$I$7:$I$100,"")+SUMIFS('24a'!$N$7:$N$100,'24a'!$H$7:$H$100,$A289,'24a'!$I$7:$I$100,"")+SUMIFS('24b'!$N$7:$N$100,'24b'!$H$7:$H$100,$A289,'24b'!$I$7:$I$100,"")+SUMIFS('24c'!$N$7:$N$100,'24c'!$H$7:$H$100,$A289,'24c'!$I$7:$I$100,"")+SUMIFS('24d'!$N$7:$N$100,'24d'!$H$7:$H$100,$A289,'24d'!$I$7:$I$100,"")+SUMIFS('24e'!$N$7:$N$100,'24e'!$H$7:$H$100,$A289,'24e'!$I$7:$I$100,"")+SUMIFS('24f'!$N$7:$N$100,'24f'!$H$7:$H$100,$A289,'24f'!$I$7:$I$100,"")+SUMIFS('24g'!$N$7:$N$100,'24g'!$H$7:$H$100,$A289,'24g'!$I$7:$I$100,"")+SUMIFS('24h'!$N$7:$N$100,'24h'!$H$7:$H$100,$A289,'24h'!$I$7:$I$100,"")+SUMIFS('24i'!$N$7:$N$100,'24i'!$H$7:$H$100,$A289,'24i'!$I$7:$I$100,"")+SUMIFS('25'!$N$7:$N$100,'25'!$H$7:$H$100,$A289,'25'!$I$7:$I$100,"")+SUMIFS('26'!$N$7:$N$100,'26'!$H$7:$H$100,$A289,'26'!$I$7:$I$100,"")+SUMIFS('26a'!$N$7:$N$100,'26a'!$H$7:$H$100,$A289,'26a'!$I$7:$I$100,"")+SUMIFS('27'!$N$7:$N$100,'27'!$H$7:$H$100,$A289,'27'!$I$7:$I$100,"")+SUMIFS('27a'!$N$7:$N$100,'27a'!$H$7:$H$100,$A289,'27a'!$I$7:$I$100,"")+SUMIFS('28'!$N$7:$N$100,'28'!$H$7:$H$100,$A289,'28'!$I$7:$I$100,"")+SUMIFS('29'!$N$7:$N$100,'29'!$H$7:$H$100,$A289,'29'!$I$7:$I$100,"")</f>
        <v>0</v>
      </c>
      <c r="F289" s="1296">
        <f t="shared" si="33"/>
        <v>0</v>
      </c>
      <c r="G289" s="1295">
        <f>SUMIFS('12'!$J$7:$J$100,'12'!$H$7:$H$100,$A289,'12'!$I$7:$I$100,1)+SUMIFS('13'!$J$7:$J$100,'13'!$H$7:$H$100,$A289,'13'!$I$7:$I$100,1)+SUMIFS('14'!$J$7:$J$100,'14'!$H$7:$H$100,$A289,'14'!$I$7:$I$100,1)+SUMIFS('15'!$J$7:$J$100,'15'!$H$7:$H$100,$A289,'15'!$I$7:$I$100,1)+SUMIFS('15a'!$J$7:$J$100,'15a'!$H$7:$H$100,$A289,'15a'!$I$7:$I$100,1)+SUMIFS('15b'!$J$7:$J$100,'15b'!$H$7:$H$100,$A289,'15b'!$I$7:$I$100,1)+SUMIFS('15c'!$J$7:$J$100,'15c'!$H$7:$H$100,$A289,'15c'!$I$7:$I$100,1)+SUMIFS('15d'!$J$7:$J$100,'15d'!$H$7:$H$100,$A289,'15d'!$I$7:$I$100,1)+SUMIFS('15e'!$J$7:$J$100,'15e'!$H$7:$H$100,$A289,'15e'!$I$7:$I$100,1)+SUMIFS('15f'!$J$7:$J$100,'15f'!$H$7:$H$100,$A289,'15f'!$I$7:$I$100,1)+SUMIFS('15g'!$J$7:$J$100,'15g'!$H$7:$H$100,$A289,'15g'!$I$7:$I$100,1)+SUMIFS('15h'!$J$7:$J$100,'15h'!$H$7:$H$100,$A289,'15h'!$I$7:$I$100,1)+SUMIFS('15i'!$J$7:$J$100,'15i'!$H$7:$H$100,$A289,'15i'!$I$7:$I$100,1)+SUMIFS('15j'!$J$7:$J$100,'15j'!$H$7:$H$100,$A289,'15j'!$I$7:$I$100,1)+SUMIFS('15k'!$J$7:$J$100,'15k'!$H$7:$H$100,$A289,'15k'!$I$7:$I$100,1)+SUMIFS('15l'!$J$7:$J$100,'15l'!$H$7:$H$100,$A289,'15l'!$I$7:$I$100,1)+SUMIFS('15m'!$J$7:$J$100,'15m'!$H$7:$H$100,$A289,'15m'!$I$7:$I$100,1)+SUMIFS('15n'!$J$7:$J$100,'15n'!$H$7:$H$100,$A289,'15n'!$I$7:$I$100,1)+SUMIFS('16'!$J$7:$J$100,'16'!$H$7:$H$100,$A289,'16'!$I$7:$I$100,1)+SUMIFS('16a'!$J$7:$J$100,'16a'!$H$7:$H$100,$A289,'16a'!$I$7:$I$100,1)+SUMIFS('17'!$J$7:$J$100,'17'!$H$7:$H$100,$A289,'17'!$I$7:$I$100,1)+SUMIFS('17a'!$J$7:$J$100,'17a'!$H$7:$H$100,$A289,'17a'!$I$7:$I$100,1)+SUMIFS('18'!$J$7:$J$100,'18'!$H$7:$H$100,$A289,'18'!$I$7:$I$100,1)+SUMIFS('18a'!$J$7:$J$100,'18a'!$H$7:$H$100,$A289,'18a'!$I$7:$I$100,1)
+SUMIFS('19'!$J$7:$J$100,'19'!$H$7:$H$100,$A289,'19'!$I$7:$I$100,1)+SUMIFS('20'!$J$7:$J$100,'20'!$H$7:$H$100,$A289,'20'!$I$7:$I$100,1)+SUMIFS('20a'!$J$7:$J$100,'20a'!$H$7:$H$100,$A289,'20a'!$I$7:$I$100,1)+SUMIFS('21'!$J$7:$J$100,'21'!$H$7:$H$100,$A289,'21'!$I$7:$I$100,1)+SUMIFS('22'!$J$7:$J$100,'22'!$H$7:$H$100,$A289,'22'!$I$7:$I$100,1)+SUMIFS('22a'!$J$7:$J$100,'22a'!$H$7:$H$100,$A289,'22a'!$I$7:$I$100,1)+SUMIFS('22b'!$J$7:$J$100,'22b'!$H$7:$H$100,$A289,'22b'!$I$7:$I$100,1)+SUMIFS('23'!$J$7:$J$100,'23'!$H$7:$H$100,$A289,'23'!$I$7:$I$100,1)+SUMIFS('24'!$J$7:$J$100,'24'!$H$7:$H$100,$A289,'24'!$I$7:$I$100,1)+SUMIFS('24a'!$J$7:$J$100,'24a'!$H$7:$H$100,$A289,'24a'!$I$7:$I$100,1)+SUMIFS('24b'!$J$7:$J$100,'24b'!$H$7:$H$100,$A289,'24b'!$I$7:$I$100,1)+SUMIFS('24c'!$J$7:$J$100,'24c'!$H$7:$H$100,$A289,'24c'!$I$7:$I$100,1)+SUMIFS('24d'!$J$7:$J$100,'24d'!$H$7:$H$100,$A289,'24d'!$I$7:$I$100,1)+SUMIFS('24e'!$J$7:$J$100,'24e'!$H$7:$H$100,$A289,'24e'!$I$7:$I$100,1)+SUMIFS('24f'!$J$7:$J$100,'24f'!$H$7:$H$100,$A289,'24f'!$I$7:$I$100,1)+SUMIFS('24g'!$J$7:$J$100,'24g'!$H$7:$H$100,$A289,'24g'!$I$7:$I$100,1)+SUMIFS('24h'!$J$7:$J$100,'24h'!$H$7:$H$100,$A289,'24h'!$I$7:$I$100,1)+SUMIFS('24i'!$J$7:$J$100,'24i'!$H$7:$H$100,$A289,'24i'!$I$7:$I$100,1)+SUMIFS('25'!$J$7:$J$100,'25'!$H$7:$H$100,$A289,'25'!$I$7:$I$100,1)+SUMIFS('26'!$J$7:$J$100,'26'!$H$7:$H$100,$A289,'26'!$I$7:$I$100,1)+SUMIFS('26a'!$J$7:$J$100,'26a'!$H$7:$H$100,$A289,'26a'!$I$7:$I$100,1)+SUMIFS('27'!$J$7:$J$100,'27'!$H$7:$H$100,$A289,'27'!$I$7:$I$100,1)+SUMIFS('27a'!$J$7:$J$100,'27a'!$H$7:$H$100,$A289,'27a'!$I$7:$I$100,1)+SUMIFS('28'!$J$7:$J$100,'28'!$H$7:$H$100,$A289,'28'!$I$7:$I$100,1)+SUMIFS('29'!$J$7:$J$100,'29'!$H$7:$H$100,$A289,'29'!$I$7:$I$100,1)</f>
        <v>0</v>
      </c>
      <c r="H289" s="1315">
        <f>SUMIFS('12'!$J$7:$J$100,'12'!$H$7:$H$100,$A289,'12'!$I$7:$I$100,2)+SUMIFS('13'!$J$7:$J$100,'13'!$H$7:$H$100,$A289,'13'!$I$7:$I$100,2)+SUMIFS('14'!$J$7:$J$100,'14'!$H$7:$H$100,$A289,'14'!$I$7:$I$100,2)+SUMIFS('15'!$J$7:$J$100,'15'!$H$7:$H$100,$A289,'15'!$I$7:$I$100,2)+SUMIFS('15a'!$J$7:$J$100,'15a'!$H$7:$H$100,$A289,'15a'!$I$7:$I$100,2)+SUMIFS('15b'!$J$7:$J$100,'15b'!$H$7:$H$100,$A289,'15b'!$I$7:$I$100,2)+SUMIFS('15c'!$J$7:$J$100,'15c'!$H$7:$H$100,$A289,'15c'!$I$7:$I$100,2)+SUMIFS('15d'!$J$7:$J$100,'15d'!$H$7:$H$100,$A289,'15d'!$I$7:$I$100,2)+SUMIFS('15e'!$J$7:$J$100,'15e'!$H$7:$H$100,$A289,'15e'!$I$7:$I$100,2)+SUMIFS('15f'!$J$7:$J$100,'15f'!$H$7:$H$100,$A289,'15f'!$I$7:$I$100,2)+SUMIFS('15g'!$J$7:$J$100,'15g'!$H$7:$H$100,$A289,'15g'!$I$7:$I$100,2)+SUMIFS('15h'!$J$7:$J$100,'15h'!$H$7:$H$100,$A289,'15h'!$I$7:$I$100,2)+SUMIFS('15i'!$J$7:$J$100,'15i'!$H$7:$H$100,$A289,'15i'!$I$7:$I$100,2)+SUMIFS('15j'!$J$7:$J$100,'15j'!$H$7:$H$100,$A289,'15j'!$I$7:$I$100,2)+SUMIFS('15k'!$J$7:$J$100,'15k'!$H$7:$H$100,$A289,'15k'!$I$7:$I$100,2)+SUMIFS('15l'!$J$7:$J$100,'15l'!$H$7:$H$100,$A289,'15l'!$I$7:$I$100,2)+SUMIFS('15m'!$J$7:$J$100,'15m'!$H$7:$H$100,$A289,'15m'!$I$7:$I$100,2)+SUMIFS('15n'!$J$7:$J$100,'15n'!$H$7:$H$100,$A289,'15n'!$I$7:$I$100,2)+SUMIFS('16'!$J$7:$J$100,'16'!$H$7:$H$100,$A289,'16'!$I$7:$I$100,2)+SUMIFS('16a'!$J$7:$J$100,'16a'!$H$7:$H$100,$A289,'16a'!$I$7:$I$100,2)+SUMIFS('17'!$J$7:$J$100,'17'!$H$7:$H$100,$A289,'17'!$I$7:$I$100,2)+SUMIFS('17a'!$J$7:$J$100,'17a'!$H$7:$H$100,$A289,'17a'!$I$7:$I$100,2)+SUMIFS('18'!$J$7:$J$100,'18'!$H$7:$H$100,$A289,'18'!$I$7:$I$100,2)+SUMIFS('18a'!$J$7:$J$100,'18a'!$H$7:$H$100,$A289,'18a'!$I$7:$I$100,2)
+SUMIFS('19'!$J$7:$J$100,'19'!$H$7:$H$100,$A289,'19'!$I$7:$I$100,2)+SUMIFS('20'!$J$7:$J$100,'20'!$H$7:$H$100,$A289,'20'!$I$7:$I$100,2)+SUMIFS('20a'!$J$7:$J$100,'20a'!$H$7:$H$100,$A289,'20a'!$I$7:$I$100,2)+SUMIFS('21'!$J$7:$J$100,'21'!$H$7:$H$100,$A289,'21'!$I$7:$I$100,2)+SUMIFS('22'!$J$7:$J$100,'22'!$H$7:$H$100,$A289,'22'!$I$7:$I$100,2)+SUMIFS('22a'!$J$7:$J$100,'22a'!$H$7:$H$100,$A289,'22a'!$I$7:$I$100,2)+SUMIFS('22b'!$J$7:$J$100,'22b'!$H$7:$H$100,$A289,'22b'!$I$7:$I$100,2)+SUMIFS('23'!$J$7:$J$100,'23'!$H$7:$H$100,$A289,'23'!$I$7:$I$100,2)+SUMIFS('24'!$J$7:$J$100,'24'!$H$7:$H$100,$A289,'24'!$I$7:$I$100,2)+SUMIFS('24a'!$J$7:$J$100,'24a'!$H$7:$H$100,$A289,'24a'!$I$7:$I$100,2)+SUMIFS('24b'!$J$7:$J$100,'24b'!$H$7:$H$100,$A289,'24b'!$I$7:$I$100,2)+SUMIFS('24c'!$J$7:$J$100,'24c'!$H$7:$H$100,$A289,'24c'!$I$7:$I$100,2)+SUMIFS('24d'!$J$7:$J$100,'24d'!$H$7:$H$100,$A289,'24d'!$I$7:$I$100,2)+SUMIFS('24e'!$J$7:$J$100,'24e'!$H$7:$H$100,$A289,'24e'!$I$7:$I$100,2)+SUMIFS('24f'!$J$7:$J$100,'24f'!$H$7:$H$100,$A289,'24f'!$I$7:$I$100,2)+SUMIFS('24g'!$J$7:$J$100,'24g'!$H$7:$H$100,$A289,'24g'!$I$7:$I$100,2)+SUMIFS('24h'!$J$7:$J$100,'24h'!$H$7:$H$100,$A289,'24h'!$I$7:$I$100,2)+SUMIFS('24i'!$J$7:$J$100,'24i'!$H$7:$H$100,$A289,'24i'!$I$7:$I$100,2)+SUMIFS('25'!$J$7:$J$100,'25'!$H$7:$H$100,$A289,'25'!$I$7:$I$100,2)+SUMIFS('26'!$J$7:$J$100,'26'!$H$7:$H$100,$A289,'26'!$I$7:$I$100,2)+SUMIFS('26a'!$J$7:$J$100,'26a'!$H$7:$H$100,$A289,'26a'!$I$7:$I$100,2)+SUMIFS('27'!$J$7:$J$100,'27'!$H$7:$H$100,$A289,'27'!$I$7:$I$100,2)+SUMIFS('27a'!$J$7:$J$100,'27a'!$H$7:$H$100,$A289,'27a'!$I$7:$I$100,2)+SUMIFS('28'!$J$7:$J$100,'28'!$H$7:$H$100,$A289,'28'!$I$7:$I$100,2)+SUMIFS('29'!$J$7:$J$100,'29'!$H$7:$H$100,$A289,'29'!$I$7:$I$100,2)</f>
        <v>0</v>
      </c>
      <c r="I289" s="1315">
        <f>SUMIFS('12'!$J$7:$J$100,'12'!$H$7:$H$100,$A289,'12'!$I$7:$I$100,"")+SUMIFS('13'!$J$7:$J$100,'13'!$H$7:$H$100,$A289,'13'!$I$7:$I$100,"")+SUMIFS('14'!$J$7:$J$100,'14'!$H$7:$H$100,$A289,'14'!$I$7:$I$100,"")+SUMIFS('15'!$J$7:$J$100,'15'!$H$7:$H$100,$A289,'15'!$I$7:$I$100,"")+SUMIFS('15a'!$J$7:$J$100,'15a'!$H$7:$H$100,$A289,'15a'!$I$7:$I$100,"")+SUMIFS('15b'!$J$7:$J$100,'15b'!$H$7:$H$100,$A289,'15b'!$I$7:$I$100,"")+SUMIFS('15c'!$J$7:$J$100,'15c'!$H$7:$H$100,$A289,'15c'!$I$7:$I$100,"")+SUMIFS('15d'!$J$7:$J$100,'15d'!$H$7:$H$100,$A289,'15d'!$I$7:$I$100,"")+SUMIFS('15e'!$J$7:$J$100,'15e'!$H$7:$H$100,$A289,'15e'!$I$7:$I$100,"")+SUMIFS('15f'!$J$7:$J$100,'15f'!$H$7:$H$100,$A289,'15f'!$I$7:$I$100,"")+SUMIFS('15g'!$J$7:$J$100,'15g'!$H$7:$H$100,$A289,'15g'!$I$7:$I$100,"")+SUMIFS('15h'!$J$7:$J$100,'15h'!$H$7:$H$100,$A289,'15h'!$I$7:$I$100,"")+SUMIFS('15i'!$J$7:$J$100,'15i'!$H$7:$H$100,$A289,'15i'!$I$7:$I$100,"")+SUMIFS('15j'!$J$7:$J$100,'15j'!$H$7:$H$100,$A289,'15j'!$I$7:$I$100,"")+SUMIFS('15k'!$J$7:$J$100,'15k'!$H$7:$H$100,$A289,'15k'!$I$7:$I$100,"")+SUMIFS('15l'!$J$7:$J$100,'15l'!$H$7:$H$100,$A289,'15l'!$I$7:$I$100,"")+SUMIFS('15m'!$J$7:$J$100,'15m'!$H$7:$H$100,$A289,'15m'!$I$7:$I$100,"")+SUMIFS('15n'!$J$7:$J$100,'15n'!$H$7:$H$100,$A289,'15n'!$I$7:$I$100,"")+SUMIFS('16'!$J$7:$J$100,'16'!$H$7:$H$100,$A289,'16'!$I$7:$I$100,"")+SUMIFS('16a'!$J$7:$J$100,'16a'!$H$7:$H$100,$A289,'16a'!$I$7:$I$100,"")+SUMIFS('17'!$J$7:$J$100,'17'!$H$7:$H$100,$A289,'17'!$I$7:$I$100,"")+SUMIFS('17a'!$J$7:$J$100,'17a'!$H$7:$H$100,$A289,'17a'!$I$7:$I$100,"")+SUMIFS('18'!$J$7:$J$100,'18'!$H$7:$H$100,$A289,'18'!$I$7:$I$100,"")+SUMIFS('18a'!$J$7:$J$100,'18a'!$H$7:$H$100,$A289,'18a'!$I$7:$I$100,"")
+SUMIFS('19'!$J$7:$J$100,'19'!$H$7:$H$100,$A289,'19'!$I$7:$I$100,"")+SUMIFS('20'!$J$7:$J$100,'20'!$H$7:$H$100,$A289,'20'!$I$7:$I$100,"")+SUMIFS('20a'!$J$7:$J$100,'20a'!$H$7:$H$100,$A289,'20a'!$I$7:$I$100,"")+SUMIFS('21'!$J$7:$J$100,'21'!$H$7:$H$100,$A289,'21'!$I$7:$I$100,"")+SUMIFS('22'!$J$7:$J$100,'22'!$H$7:$H$100,$A289,'22'!$I$7:$I$100,"")+SUMIFS('22a'!$J$7:$J$100,'22a'!$H$7:$H$100,$A289,'22a'!$I$7:$I$100,"")+SUMIFS('22b'!$J$7:$J$100,'22b'!$H$7:$H$100,$A289,'22b'!$I$7:$I$100,"")+SUMIFS('23'!$J$7:$J$100,'23'!$H$7:$H$100,$A289,'23'!$I$7:$I$100,"")+SUMIFS('24'!$J$7:$J$100,'24'!$H$7:$H$100,$A289,'24'!$I$7:$I$100,"")+SUMIFS('24a'!$J$7:$J$100,'24a'!$H$7:$H$100,$A289,'24a'!$I$7:$I$100,"")+SUMIFS('24b'!$J$7:$J$100,'24b'!$H$7:$H$100,$A289,'24b'!$I$7:$I$100,"")+SUMIFS('24c'!$J$7:$J$100,'24c'!$H$7:$H$100,$A289,'24c'!$I$7:$I$100,"")+SUMIFS('24d'!$J$7:$J$100,'24d'!$H$7:$H$100,$A289,'24d'!$I$7:$I$100,"")+SUMIFS('24e'!$J$7:$J$100,'24e'!$H$7:$H$100,$A289,'24e'!$I$7:$I$100,"")+SUMIFS('24f'!$J$7:$J$100,'24f'!$H$7:$H$100,$A289,'24f'!$I$7:$I$100,"")+SUMIFS('24g'!$J$7:$J$100,'24g'!$H$7:$H$100,$A289,'24g'!$I$7:$I$100,"")+SUMIFS('24h'!$J$7:$J$100,'24h'!$H$7:$H$100,$A289,'24h'!$I$7:$I$100,"")+SUMIFS('24i'!$J$7:$J$100,'24i'!$H$7:$H$100,$A289,'24i'!$I$7:$I$100,"")+SUMIFS('25'!$J$7:$J$100,'25'!$H$7:$H$100,$A289,'25'!$I$7:$I$100,"")+SUMIFS('26'!$J$7:$J$100,'26'!$H$7:$H$100,$A289,'26'!$I$7:$I$100,"")+SUMIFS('26a'!$J$7:$J$100,'26a'!$H$7:$H$100,$A289,'26a'!$I$7:$I$100,"")+SUMIFS('27'!$J$7:$J$100,'27'!$H$7:$H$100,$A289,'27'!$I$7:$I$100,"")+SUMIFS('27a'!$J$7:$J$100,'27a'!$H$7:$H$100,$A289,'27a'!$I$7:$I$100,"")+SUMIFS('28'!$J$7:$J$100,'28'!$H$7:$H$100,$A289,'28'!$I$7:$I$100,"")+SUMIFS('29'!$J$7:$J$100,'29'!$H$7:$H$100,$A289,'29'!$I$7:$I$100,"")</f>
        <v>0</v>
      </c>
      <c r="J289" s="1296">
        <f t="shared" si="34"/>
        <v>0</v>
      </c>
      <c r="K289"/>
      <c r="L289"/>
      <c r="M289"/>
      <c r="N289"/>
      <c r="O289"/>
      <c r="P289"/>
      <c r="Q289"/>
      <c r="R289"/>
      <c r="S289" s="1307">
        <f t="shared" si="30"/>
        <v>0</v>
      </c>
      <c r="T289"/>
    </row>
    <row r="290" spans="1:20" outlineLevel="1" x14ac:dyDescent="0.2">
      <c r="A290" t="s">
        <v>5193</v>
      </c>
      <c r="B290" t="s">
        <v>5518</v>
      </c>
      <c r="C290" s="1295">
        <f>SUMIFS('12'!$N$7:$N$100,'12'!$H$7:$H$100,$A290,'12'!$I$7:$I$100,1)+SUMIFS('13'!$N$7:$N$100,'13'!$H$7:$H$100,$A290,'13'!$I$7:$I$100,1)+SUMIFS('14'!$N$7:$N$100,'14'!$H$7:$H$100,$A290,'14'!$I$7:$I$100,1)+SUMIFS('15'!$N$7:$N$100,'15'!$H$7:$H$100,$A290,'15'!$I$7:$I$100,1)+SUMIFS('15a'!$N$7:$N$100,'15a'!$H$7:$H$100,$A290,'15a'!$I$7:$I$100,1)+SUMIFS('15b'!$N$7:$N$100,'15b'!$H$7:$H$100,$A290,'15b'!$I$7:$I$100,1)+SUMIFS('15c'!$N$7:$N$100,'15c'!$H$7:$H$100,$A290,'15c'!$I$7:$I$100,1)+SUMIFS('15d'!$N$7:$N$100,'15d'!$H$7:$H$100,$A290,'15d'!$I$7:$I$100,1)+SUMIFS('15e'!$N$7:$N$100,'15e'!$H$7:$H$100,$A290,'15e'!$I$7:$I$100,1)+SUMIFS('15f'!$N$7:$N$100,'15f'!$H$7:$H$100,$A290,'15f'!$I$7:$I$100,1)+SUMIFS('15g'!$N$7:$N$100,'15g'!$H$7:$H$100,$A290,'15g'!$I$7:$I$100,1)+SUMIFS('15h'!$N$7:$N$100,'15h'!$H$7:$H$100,$A290,'15h'!$I$7:$I$100,1)+SUMIFS('15i'!$N$7:$N$100,'15i'!$H$7:$H$100,$A290,'15i'!$I$7:$I$100,1)+SUMIFS('15j'!$N$7:$N$100,'15j'!$H$7:$H$100,$A290,'15j'!$I$7:$I$100,1)+SUMIFS('15k'!$N$7:$N$100,'15k'!$H$7:$H$100,$A290,'15k'!$I$7:$I$100,1)+SUMIFS('15l'!$N$7:$N$100,'15l'!$H$7:$H$100,$A290,'15l'!$I$7:$I$100,1)+SUMIFS('15m'!$N$7:$N$100,'15m'!$H$7:$H$100,$A290,'15m'!$I$7:$I$100,1)+SUMIFS('15n'!$N$7:$N$100,'15n'!$H$7:$H$100,$A290,'15n'!$I$7:$I$100,1)+SUMIFS('16'!$N$7:$N$100,'16'!$H$7:$H$100,$A290,'16'!$I$7:$I$100,1)+SUMIFS('16a'!$N$7:$N$100,'16a'!$H$7:$H$100,$A290,'16a'!$I$7:$I$100,1)+SUMIFS('17'!$N$7:$N$100,'17'!$H$7:$H$100,$A290,'17'!$I$7:$I$100,1)+SUMIFS('17a'!$N$7:$N$100,'17a'!$H$7:$H$100,$A290,'17a'!$I$7:$I$100,1)+SUMIFS('18'!$N$7:$N$100,'18'!$H$7:$H$100,$A290,'18'!$I$7:$I$100,1)+SUMIFS('18a'!$N$7:$N$100,'18a'!$H$7:$H$100,$A290,'18a'!$I$7:$I$100,1)
+SUMIFS('19'!$N$7:$N$100,'19'!$H$7:$H$100,$A290,'19'!$I$7:$I$100,1)+SUMIFS('20'!$N$7:$N$100,'20'!$H$7:$H$100,$A290,'20'!$I$7:$I$100,1)+SUMIFS('20a'!$N$7:$N$100,'20a'!$H$7:$H$100,$A290,'20a'!$I$7:$I$100,1)+SUMIFS('21'!$N$7:$N$100,'21'!$H$7:$H$100,$A290,'21'!$I$7:$I$100,1)+SUMIFS('22'!$N$7:$N$100,'22'!$H$7:$H$100,$A290,'22'!$I$7:$I$100,1)+SUMIFS('22a'!$N$7:$N$100,'22a'!$H$7:$H$100,$A290,'22a'!$I$7:$I$100,1)+SUMIFS('22b'!$N$7:$N$100,'22b'!$H$7:$H$100,$A290,'22b'!$I$7:$I$100,1)+SUMIFS('23'!$N$7:$N$100,'23'!$H$7:$H$100,$A290,'23'!$I$7:$I$100,1)+SUMIFS('24'!$N$7:$N$100,'24'!$H$7:$H$100,$A290,'24'!$I$7:$I$100,1)+SUMIFS('24a'!$N$7:$N$100,'24a'!$H$7:$H$100,$A290,'24a'!$I$7:$I$100,1)+SUMIFS('24b'!$N$7:$N$100,'24b'!$H$7:$H$100,$A290,'24b'!$I$7:$I$100,1)+SUMIFS('24c'!$N$7:$N$100,'24c'!$H$7:$H$100,$A290,'24c'!$I$7:$I$100,1)+SUMIFS('24d'!$N$7:$N$100,'24d'!$H$7:$H$100,$A290,'24d'!$I$7:$I$100,1)+SUMIFS('24e'!$N$7:$N$100,'24e'!$H$7:$H$100,$A290,'24e'!$I$7:$I$100,1)+SUMIFS('24f'!$N$7:$N$100,'24f'!$H$7:$H$100,$A290,'24f'!$I$7:$I$100,1)+SUMIFS('24g'!$N$7:$N$100,'24g'!$H$7:$H$100,$A290,'24g'!$I$7:$I$100,1)+SUMIFS('24h'!$N$7:$N$100,'24h'!$H$7:$H$100,$A290,'24h'!$I$7:$I$100,1)+SUMIFS('24i'!$N$7:$N$100,'24i'!$H$7:$H$100,$A290,'24i'!$I$7:$I$100,1)+SUMIFS('25'!$N$7:$N$100,'25'!$H$7:$H$100,$A290,'25'!$I$7:$I$100,1)+SUMIFS('26'!$N$7:$N$100,'26'!$H$7:$H$100,$A290,'26'!$I$7:$I$100,1)+SUMIFS('26a'!$N$7:$N$100,'26a'!$H$7:$H$100,$A290,'26a'!$I$7:$I$100,1)+SUMIFS('27'!$N$7:$N$100,'27'!$H$7:$H$100,$A290,'27'!$I$7:$I$100,1)+SUMIFS('27a'!$N$7:$N$100,'27a'!$H$7:$H$100,$A290,'27a'!$I$7:$I$100,1)+SUMIFS('28'!$N$7:$N$100,'28'!$H$7:$H$100,$A290,'28'!$I$7:$I$100,1)+SUMIFS('29'!$N$7:$N$100,'29'!$H$7:$H$100,$A290,'29'!$I$7:$I$100,1)</f>
        <v>0</v>
      </c>
      <c r="D290" s="1315">
        <f>SUMIFS('12'!$N$7:$N$100,'12'!$H$7:$H$100,$A290,'12'!$I$7:$I$100,2)+SUMIFS('13'!$N$7:$N$100,'13'!$H$7:$H$100,$A290,'13'!$I$7:$I$100,2)+SUMIFS('14'!$N$7:$N$100,'14'!$H$7:$H$100,$A290,'14'!$I$7:$I$100,2)+SUMIFS('15'!$N$7:$N$100,'15'!$H$7:$H$100,$A290,'15'!$I$7:$I$100,2)+SUMIFS('15a'!$N$7:$N$100,'15a'!$H$7:$H$100,$A290,'15a'!$I$7:$I$100,2)+SUMIFS('15b'!$N$7:$N$100,'15b'!$H$7:$H$100,$A290,'15b'!$I$7:$I$100,2)+SUMIFS('15c'!$N$7:$N$100,'15c'!$H$7:$H$100,$A290,'15c'!$I$7:$I$100,2)+SUMIFS('15d'!$N$7:$N$100,'15d'!$H$7:$H$100,$A290,'15d'!$I$7:$I$100,2)+SUMIFS('15e'!$N$7:$N$100,'15e'!$H$7:$H$100,$A290,'15e'!$I$7:$I$100,2)+SUMIFS('15f'!$N$7:$N$100,'15f'!$H$7:$H$100,$A290,'15f'!$I$7:$I$100,2)+SUMIFS('15g'!$N$7:$N$100,'15g'!$H$7:$H$100,$A290,'15g'!$I$7:$I$100,2)+SUMIFS('15h'!$N$7:$N$100,'15h'!$H$7:$H$100,$A290,'15h'!$I$7:$I$100,2)+SUMIFS('15i'!$N$7:$N$100,'15i'!$H$7:$H$100,$A290,'15i'!$I$7:$I$100,2)+SUMIFS('15j'!$N$7:$N$100,'15j'!$H$7:$H$100,$A290,'15j'!$I$7:$I$100,2)+SUMIFS('15k'!$N$7:$N$100,'15k'!$H$7:$H$100,$A290,'15k'!$I$7:$I$100,2)+SUMIFS('15l'!$N$7:$N$100,'15l'!$H$7:$H$100,$A290,'15l'!$I$7:$I$100,2)+SUMIFS('15m'!$N$7:$N$100,'15m'!$H$7:$H$100,$A290,'15m'!$I$7:$I$100,2)+SUMIFS('15n'!$N$7:$N$100,'15n'!$H$7:$H$100,$A290,'15n'!$I$7:$I$100,2)+SUMIFS('16'!$N$7:$N$100,'16'!$H$7:$H$100,$A290,'16'!$I$7:$I$100,2)+SUMIFS('16a'!$N$7:$N$100,'16a'!$H$7:$H$100,$A290,'16a'!$I$7:$I$100,2)+SUMIFS('17'!$N$7:$N$100,'17'!$H$7:$H$100,$A290,'17'!$I$7:$I$100,2)+SUMIFS('17a'!$N$7:$N$100,'17a'!$H$7:$H$100,$A290,'17a'!$I$7:$I$100,2)+SUMIFS('18'!$N$7:$N$100,'18'!$H$7:$H$100,$A290,'18'!$I$7:$I$100,2)+SUMIFS('18a'!$N$7:$N$100,'18a'!$H$7:$H$100,$A290,'18a'!$I$7:$I$100,2)
+SUMIFS('19'!$N$7:$N$100,'19'!$H$7:$H$100,$A290,'19'!$I$7:$I$100,2)+SUMIFS('20'!$N$7:$N$100,'20'!$H$7:$H$100,$A290,'20'!$I$7:$I$100,2)+SUMIFS('20a'!$N$7:$N$100,'20a'!$H$7:$H$100,$A290,'20a'!$I$7:$I$100,2)+SUMIFS('21'!$N$7:$N$100,'21'!$H$7:$H$100,$A290,'21'!$I$7:$I$100,2)+SUMIFS('22'!$N$7:$N$100,'22'!$H$7:$H$100,$A290,'22'!$I$7:$I$100,2)+SUMIFS('22a'!$N$7:$N$100,'22a'!$H$7:$H$100,$A290,'22a'!$I$7:$I$100,2)+SUMIFS('22b'!$N$7:$N$100,'22b'!$H$7:$H$100,$A290,'22b'!$I$7:$I$100,2)+SUMIFS('23'!$N$7:$N$100,'23'!$H$7:$H$100,$A290,'23'!$I$7:$I$100,2)+SUMIFS('24'!$N$7:$N$100,'24'!$H$7:$H$100,$A290,'24'!$I$7:$I$100,2)+SUMIFS('24a'!$N$7:$N$100,'24a'!$H$7:$H$100,$A290,'24a'!$I$7:$I$100,2)+SUMIFS('24b'!$N$7:$N$100,'24b'!$H$7:$H$100,$A290,'24b'!$I$7:$I$100,2)+SUMIFS('24c'!$N$7:$N$100,'24c'!$H$7:$H$100,$A290,'24c'!$I$7:$I$100,2)+SUMIFS('24d'!$N$7:$N$100,'24d'!$H$7:$H$100,$A290,'24d'!$I$7:$I$100,2)+SUMIFS('24e'!$N$7:$N$100,'24e'!$H$7:$H$100,$A290,'24e'!$I$7:$I$100,2)+SUMIFS('24f'!$N$7:$N$100,'24f'!$H$7:$H$100,$A290,'24f'!$I$7:$I$100,2)+SUMIFS('24g'!$N$7:$N$100,'24g'!$H$7:$H$100,$A290,'24g'!$I$7:$I$100,2)+SUMIFS('24h'!$N$7:$N$100,'24h'!$H$7:$H$100,$A290,'24h'!$I$7:$I$100,2)+SUMIFS('24i'!$N$7:$N$100,'24i'!$H$7:$H$100,$A290,'24i'!$I$7:$I$100,2)+SUMIFS('25'!$N$7:$N$100,'25'!$H$7:$H$100,$A290,'25'!$I$7:$I$100,2)+SUMIFS('26'!$N$7:$N$100,'26'!$H$7:$H$100,$A290,'26'!$I$7:$I$100,2)+SUMIFS('26a'!$N$7:$N$100,'26a'!$H$7:$H$100,$A290,'26a'!$I$7:$I$100,2)+SUMIFS('27'!$N$7:$N$100,'27'!$H$7:$H$100,$A290,'27'!$I$7:$I$100,2)+SUMIFS('27a'!$N$7:$N$100,'27a'!$H$7:$H$100,$A290,'27a'!$I$7:$I$100,2)+SUMIFS('28'!$N$7:$N$100,'28'!$H$7:$H$100,$A290,'28'!$I$7:$I$100,2)+SUMIFS('29'!$N$7:$N$100,'29'!$H$7:$H$100,$A290,'29'!$I$7:$I$100,2)</f>
        <v>0</v>
      </c>
      <c r="E290" s="1315">
        <f>SUMIFS('12'!$N$7:$N$100,'12'!$H$7:$H$100,$A290,'12'!$I$7:$I$100,"")+SUMIFS('13'!$N$7:$N$100,'13'!$H$7:$H$100,$A290,'13'!$I$7:$I$100,"")+SUMIFS('14'!$N$7:$N$100,'14'!$H$7:$H$100,$A290,'14'!$I$7:$I$100,"")+SUMIFS('15'!$N$7:$N$100,'15'!$H$7:$H$100,$A290,'15'!$I$7:$I$100,"")+SUMIFS('15a'!$N$7:$N$100,'15a'!$H$7:$H$100,$A290,'15a'!$I$7:$I$100,"")+SUMIFS('15b'!$N$7:$N$100,'15b'!$H$7:$H$100,$A290,'15b'!$I$7:$I$100,"")+SUMIFS('15c'!$N$7:$N$100,'15c'!$H$7:$H$100,$A290,'15c'!$I$7:$I$100,"")+SUMIFS('15d'!$N$7:$N$100,'15d'!$H$7:$H$100,$A290,'15d'!$I$7:$I$100,"")+SUMIFS('15e'!$N$7:$N$100,'15e'!$H$7:$H$100,$A290,'15e'!$I$7:$I$100,"")+SUMIFS('15f'!$N$7:$N$100,'15f'!$H$7:$H$100,$A290,'15f'!$I$7:$I$100,"")+SUMIFS('15g'!$N$7:$N$100,'15g'!$H$7:$H$100,$A290,'15g'!$I$7:$I$100,"")+SUMIFS('15h'!$N$7:$N$100,'15h'!$H$7:$H$100,$A290,'15h'!$I$7:$I$100,"")+SUMIFS('15i'!$N$7:$N$100,'15i'!$H$7:$H$100,$A290,'15i'!$I$7:$I$100,"")+SUMIFS('15j'!$N$7:$N$100,'15j'!$H$7:$H$100,$A290,'15j'!$I$7:$I$100,"")+SUMIFS('15k'!$N$7:$N$100,'15k'!$H$7:$H$100,$A290,'15k'!$I$7:$I$100,"")+SUMIFS('15l'!$N$7:$N$100,'15l'!$H$7:$H$100,$A290,'15l'!$I$7:$I$100,"")+SUMIFS('15m'!$N$7:$N$100,'15m'!$H$7:$H$100,$A290,'15m'!$I$7:$I$100,"")+SUMIFS('15n'!$N$7:$N$100,'15n'!$H$7:$H$100,$A290,'15n'!$I$7:$I$100,"")+SUMIFS('16'!$N$7:$N$100,'16'!$H$7:$H$100,$A290,'16'!$I$7:$I$100,"")+SUMIFS('16a'!$N$7:$N$100,'16a'!$H$7:$H$100,$A290,'16a'!$I$7:$I$100,"")+SUMIFS('17'!$N$7:$N$100,'17'!$H$7:$H$100,$A290,'17'!$I$7:$I$100,"")+SUMIFS('17a'!$N$7:$N$100,'17a'!$H$7:$H$100,$A290,'17a'!$I$7:$I$100,"")+SUMIFS('18'!$N$7:$N$100,'18'!$H$7:$H$100,$A290,'18'!$I$7:$I$100,"")+SUMIFS('18a'!$N$7:$N$100,'18a'!$H$7:$H$100,$A290,'18a'!$I$7:$I$100,"")
+SUMIFS('19'!$N$7:$N$100,'19'!$H$7:$H$100,$A290,'19'!$I$7:$I$100,"")+SUMIFS('20'!$N$7:$N$100,'20'!$H$7:$H$100,$A290,'20'!$I$7:$I$100,"")+SUMIFS('20a'!$N$7:$N$100,'20a'!$H$7:$H$100,$A290,'20a'!$I$7:$I$100,"")+SUMIFS('21'!$N$7:$N$100,'21'!$H$7:$H$100,$A290,'21'!$I$7:$I$100,"")+SUMIFS('22'!$N$7:$N$100,'22'!$H$7:$H$100,$A290,'22'!$I$7:$I$100,"")+SUMIFS('22a'!$N$7:$N$100,'22a'!$H$7:$H$100,$A290,'22a'!$I$7:$I$100,"")+SUMIFS('22b'!$N$7:$N$100,'22b'!$H$7:$H$100,$A290,'22b'!$I$7:$I$100,"")+SUMIFS('23'!$N$7:$N$100,'23'!$H$7:$H$100,$A290,'23'!$I$7:$I$100,"")+SUMIFS('24'!$N$7:$N$100,'24'!$H$7:$H$100,$A290,'24'!$I$7:$I$100,"")+SUMIFS('24a'!$N$7:$N$100,'24a'!$H$7:$H$100,$A290,'24a'!$I$7:$I$100,"")+SUMIFS('24b'!$N$7:$N$100,'24b'!$H$7:$H$100,$A290,'24b'!$I$7:$I$100,"")+SUMIFS('24c'!$N$7:$N$100,'24c'!$H$7:$H$100,$A290,'24c'!$I$7:$I$100,"")+SUMIFS('24d'!$N$7:$N$100,'24d'!$H$7:$H$100,$A290,'24d'!$I$7:$I$100,"")+SUMIFS('24e'!$N$7:$N$100,'24e'!$H$7:$H$100,$A290,'24e'!$I$7:$I$100,"")+SUMIFS('24f'!$N$7:$N$100,'24f'!$H$7:$H$100,$A290,'24f'!$I$7:$I$100,"")+SUMIFS('24g'!$N$7:$N$100,'24g'!$H$7:$H$100,$A290,'24g'!$I$7:$I$100,"")+SUMIFS('24h'!$N$7:$N$100,'24h'!$H$7:$H$100,$A290,'24h'!$I$7:$I$100,"")+SUMIFS('24i'!$N$7:$N$100,'24i'!$H$7:$H$100,$A290,'24i'!$I$7:$I$100,"")+SUMIFS('25'!$N$7:$N$100,'25'!$H$7:$H$100,$A290,'25'!$I$7:$I$100,"")+SUMIFS('26'!$N$7:$N$100,'26'!$H$7:$H$100,$A290,'26'!$I$7:$I$100,"")+SUMIFS('26a'!$N$7:$N$100,'26a'!$H$7:$H$100,$A290,'26a'!$I$7:$I$100,"")+SUMIFS('27'!$N$7:$N$100,'27'!$H$7:$H$100,$A290,'27'!$I$7:$I$100,"")+SUMIFS('27a'!$N$7:$N$100,'27a'!$H$7:$H$100,$A290,'27a'!$I$7:$I$100,"")+SUMIFS('28'!$N$7:$N$100,'28'!$H$7:$H$100,$A290,'28'!$I$7:$I$100,"")+SUMIFS('29'!$N$7:$N$100,'29'!$H$7:$H$100,$A290,'29'!$I$7:$I$100,"")</f>
        <v>0</v>
      </c>
      <c r="F290" s="1296">
        <f t="shared" si="33"/>
        <v>0</v>
      </c>
      <c r="G290" s="1295">
        <f>SUMIFS('12'!$J$7:$J$100,'12'!$H$7:$H$100,$A290,'12'!$I$7:$I$100,1)+SUMIFS('13'!$J$7:$J$100,'13'!$H$7:$H$100,$A290,'13'!$I$7:$I$100,1)+SUMIFS('14'!$J$7:$J$100,'14'!$H$7:$H$100,$A290,'14'!$I$7:$I$100,1)+SUMIFS('15'!$J$7:$J$100,'15'!$H$7:$H$100,$A290,'15'!$I$7:$I$100,1)+SUMIFS('15a'!$J$7:$J$100,'15a'!$H$7:$H$100,$A290,'15a'!$I$7:$I$100,1)+SUMIFS('15b'!$J$7:$J$100,'15b'!$H$7:$H$100,$A290,'15b'!$I$7:$I$100,1)+SUMIFS('15c'!$J$7:$J$100,'15c'!$H$7:$H$100,$A290,'15c'!$I$7:$I$100,1)+SUMIFS('15d'!$J$7:$J$100,'15d'!$H$7:$H$100,$A290,'15d'!$I$7:$I$100,1)+SUMIFS('15e'!$J$7:$J$100,'15e'!$H$7:$H$100,$A290,'15e'!$I$7:$I$100,1)+SUMIFS('15f'!$J$7:$J$100,'15f'!$H$7:$H$100,$A290,'15f'!$I$7:$I$100,1)+SUMIFS('15g'!$J$7:$J$100,'15g'!$H$7:$H$100,$A290,'15g'!$I$7:$I$100,1)+SUMIFS('15h'!$J$7:$J$100,'15h'!$H$7:$H$100,$A290,'15h'!$I$7:$I$100,1)+SUMIFS('15i'!$J$7:$J$100,'15i'!$H$7:$H$100,$A290,'15i'!$I$7:$I$100,1)+SUMIFS('15j'!$J$7:$J$100,'15j'!$H$7:$H$100,$A290,'15j'!$I$7:$I$100,1)+SUMIFS('15k'!$J$7:$J$100,'15k'!$H$7:$H$100,$A290,'15k'!$I$7:$I$100,1)+SUMIFS('15l'!$J$7:$J$100,'15l'!$H$7:$H$100,$A290,'15l'!$I$7:$I$100,1)+SUMIFS('15m'!$J$7:$J$100,'15m'!$H$7:$H$100,$A290,'15m'!$I$7:$I$100,1)+SUMIFS('15n'!$J$7:$J$100,'15n'!$H$7:$H$100,$A290,'15n'!$I$7:$I$100,1)+SUMIFS('16'!$J$7:$J$100,'16'!$H$7:$H$100,$A290,'16'!$I$7:$I$100,1)+SUMIFS('16a'!$J$7:$J$100,'16a'!$H$7:$H$100,$A290,'16a'!$I$7:$I$100,1)+SUMIFS('17'!$J$7:$J$100,'17'!$H$7:$H$100,$A290,'17'!$I$7:$I$100,1)+SUMIFS('17a'!$J$7:$J$100,'17a'!$H$7:$H$100,$A290,'17a'!$I$7:$I$100,1)+SUMIFS('18'!$J$7:$J$100,'18'!$H$7:$H$100,$A290,'18'!$I$7:$I$100,1)+SUMIFS('18a'!$J$7:$J$100,'18a'!$H$7:$H$100,$A290,'18a'!$I$7:$I$100,1)
+SUMIFS('19'!$J$7:$J$100,'19'!$H$7:$H$100,$A290,'19'!$I$7:$I$100,1)+SUMIFS('20'!$J$7:$J$100,'20'!$H$7:$H$100,$A290,'20'!$I$7:$I$100,1)+SUMIFS('20a'!$J$7:$J$100,'20a'!$H$7:$H$100,$A290,'20a'!$I$7:$I$100,1)+SUMIFS('21'!$J$7:$J$100,'21'!$H$7:$H$100,$A290,'21'!$I$7:$I$100,1)+SUMIFS('22'!$J$7:$J$100,'22'!$H$7:$H$100,$A290,'22'!$I$7:$I$100,1)+SUMIFS('22a'!$J$7:$J$100,'22a'!$H$7:$H$100,$A290,'22a'!$I$7:$I$100,1)+SUMIFS('22b'!$J$7:$J$100,'22b'!$H$7:$H$100,$A290,'22b'!$I$7:$I$100,1)+SUMIFS('23'!$J$7:$J$100,'23'!$H$7:$H$100,$A290,'23'!$I$7:$I$100,1)+SUMIFS('24'!$J$7:$J$100,'24'!$H$7:$H$100,$A290,'24'!$I$7:$I$100,1)+SUMIFS('24a'!$J$7:$J$100,'24a'!$H$7:$H$100,$A290,'24a'!$I$7:$I$100,1)+SUMIFS('24b'!$J$7:$J$100,'24b'!$H$7:$H$100,$A290,'24b'!$I$7:$I$100,1)+SUMIFS('24c'!$J$7:$J$100,'24c'!$H$7:$H$100,$A290,'24c'!$I$7:$I$100,1)+SUMIFS('24d'!$J$7:$J$100,'24d'!$H$7:$H$100,$A290,'24d'!$I$7:$I$100,1)+SUMIFS('24e'!$J$7:$J$100,'24e'!$H$7:$H$100,$A290,'24e'!$I$7:$I$100,1)+SUMIFS('24f'!$J$7:$J$100,'24f'!$H$7:$H$100,$A290,'24f'!$I$7:$I$100,1)+SUMIFS('24g'!$J$7:$J$100,'24g'!$H$7:$H$100,$A290,'24g'!$I$7:$I$100,1)+SUMIFS('24h'!$J$7:$J$100,'24h'!$H$7:$H$100,$A290,'24h'!$I$7:$I$100,1)+SUMIFS('24i'!$J$7:$J$100,'24i'!$H$7:$H$100,$A290,'24i'!$I$7:$I$100,1)+SUMIFS('25'!$J$7:$J$100,'25'!$H$7:$H$100,$A290,'25'!$I$7:$I$100,1)+SUMIFS('26'!$J$7:$J$100,'26'!$H$7:$H$100,$A290,'26'!$I$7:$I$100,1)+SUMIFS('26a'!$J$7:$J$100,'26a'!$H$7:$H$100,$A290,'26a'!$I$7:$I$100,1)+SUMIFS('27'!$J$7:$J$100,'27'!$H$7:$H$100,$A290,'27'!$I$7:$I$100,1)+SUMIFS('27a'!$J$7:$J$100,'27a'!$H$7:$H$100,$A290,'27a'!$I$7:$I$100,1)+SUMIFS('28'!$J$7:$J$100,'28'!$H$7:$H$100,$A290,'28'!$I$7:$I$100,1)+SUMIFS('29'!$J$7:$J$100,'29'!$H$7:$H$100,$A290,'29'!$I$7:$I$100,1)</f>
        <v>0</v>
      </c>
      <c r="H290" s="1315">
        <f>SUMIFS('12'!$J$7:$J$100,'12'!$H$7:$H$100,$A290,'12'!$I$7:$I$100,2)+SUMIFS('13'!$J$7:$J$100,'13'!$H$7:$H$100,$A290,'13'!$I$7:$I$100,2)+SUMIFS('14'!$J$7:$J$100,'14'!$H$7:$H$100,$A290,'14'!$I$7:$I$100,2)+SUMIFS('15'!$J$7:$J$100,'15'!$H$7:$H$100,$A290,'15'!$I$7:$I$100,2)+SUMIFS('15a'!$J$7:$J$100,'15a'!$H$7:$H$100,$A290,'15a'!$I$7:$I$100,2)+SUMIFS('15b'!$J$7:$J$100,'15b'!$H$7:$H$100,$A290,'15b'!$I$7:$I$100,2)+SUMIFS('15c'!$J$7:$J$100,'15c'!$H$7:$H$100,$A290,'15c'!$I$7:$I$100,2)+SUMIFS('15d'!$J$7:$J$100,'15d'!$H$7:$H$100,$A290,'15d'!$I$7:$I$100,2)+SUMIFS('15e'!$J$7:$J$100,'15e'!$H$7:$H$100,$A290,'15e'!$I$7:$I$100,2)+SUMIFS('15f'!$J$7:$J$100,'15f'!$H$7:$H$100,$A290,'15f'!$I$7:$I$100,2)+SUMIFS('15g'!$J$7:$J$100,'15g'!$H$7:$H$100,$A290,'15g'!$I$7:$I$100,2)+SUMIFS('15h'!$J$7:$J$100,'15h'!$H$7:$H$100,$A290,'15h'!$I$7:$I$100,2)+SUMIFS('15i'!$J$7:$J$100,'15i'!$H$7:$H$100,$A290,'15i'!$I$7:$I$100,2)+SUMIFS('15j'!$J$7:$J$100,'15j'!$H$7:$H$100,$A290,'15j'!$I$7:$I$100,2)+SUMIFS('15k'!$J$7:$J$100,'15k'!$H$7:$H$100,$A290,'15k'!$I$7:$I$100,2)+SUMIFS('15l'!$J$7:$J$100,'15l'!$H$7:$H$100,$A290,'15l'!$I$7:$I$100,2)+SUMIFS('15m'!$J$7:$J$100,'15m'!$H$7:$H$100,$A290,'15m'!$I$7:$I$100,2)+SUMIFS('15n'!$J$7:$J$100,'15n'!$H$7:$H$100,$A290,'15n'!$I$7:$I$100,2)+SUMIFS('16'!$J$7:$J$100,'16'!$H$7:$H$100,$A290,'16'!$I$7:$I$100,2)+SUMIFS('16a'!$J$7:$J$100,'16a'!$H$7:$H$100,$A290,'16a'!$I$7:$I$100,2)+SUMIFS('17'!$J$7:$J$100,'17'!$H$7:$H$100,$A290,'17'!$I$7:$I$100,2)+SUMIFS('17a'!$J$7:$J$100,'17a'!$H$7:$H$100,$A290,'17a'!$I$7:$I$100,2)+SUMIFS('18'!$J$7:$J$100,'18'!$H$7:$H$100,$A290,'18'!$I$7:$I$100,2)+SUMIFS('18a'!$J$7:$J$100,'18a'!$H$7:$H$100,$A290,'18a'!$I$7:$I$100,2)
+SUMIFS('19'!$J$7:$J$100,'19'!$H$7:$H$100,$A290,'19'!$I$7:$I$100,2)+SUMIFS('20'!$J$7:$J$100,'20'!$H$7:$H$100,$A290,'20'!$I$7:$I$100,2)+SUMIFS('20a'!$J$7:$J$100,'20a'!$H$7:$H$100,$A290,'20a'!$I$7:$I$100,2)+SUMIFS('21'!$J$7:$J$100,'21'!$H$7:$H$100,$A290,'21'!$I$7:$I$100,2)+SUMIFS('22'!$J$7:$J$100,'22'!$H$7:$H$100,$A290,'22'!$I$7:$I$100,2)+SUMIFS('22a'!$J$7:$J$100,'22a'!$H$7:$H$100,$A290,'22a'!$I$7:$I$100,2)+SUMIFS('22b'!$J$7:$J$100,'22b'!$H$7:$H$100,$A290,'22b'!$I$7:$I$100,2)+SUMIFS('23'!$J$7:$J$100,'23'!$H$7:$H$100,$A290,'23'!$I$7:$I$100,2)+SUMIFS('24'!$J$7:$J$100,'24'!$H$7:$H$100,$A290,'24'!$I$7:$I$100,2)+SUMIFS('24a'!$J$7:$J$100,'24a'!$H$7:$H$100,$A290,'24a'!$I$7:$I$100,2)+SUMIFS('24b'!$J$7:$J$100,'24b'!$H$7:$H$100,$A290,'24b'!$I$7:$I$100,2)+SUMIFS('24c'!$J$7:$J$100,'24c'!$H$7:$H$100,$A290,'24c'!$I$7:$I$100,2)+SUMIFS('24d'!$J$7:$J$100,'24d'!$H$7:$H$100,$A290,'24d'!$I$7:$I$100,2)+SUMIFS('24e'!$J$7:$J$100,'24e'!$H$7:$H$100,$A290,'24e'!$I$7:$I$100,2)+SUMIFS('24f'!$J$7:$J$100,'24f'!$H$7:$H$100,$A290,'24f'!$I$7:$I$100,2)+SUMIFS('24g'!$J$7:$J$100,'24g'!$H$7:$H$100,$A290,'24g'!$I$7:$I$100,2)+SUMIFS('24h'!$J$7:$J$100,'24h'!$H$7:$H$100,$A290,'24h'!$I$7:$I$100,2)+SUMIFS('24i'!$J$7:$J$100,'24i'!$H$7:$H$100,$A290,'24i'!$I$7:$I$100,2)+SUMIFS('25'!$J$7:$J$100,'25'!$H$7:$H$100,$A290,'25'!$I$7:$I$100,2)+SUMIFS('26'!$J$7:$J$100,'26'!$H$7:$H$100,$A290,'26'!$I$7:$I$100,2)+SUMIFS('26a'!$J$7:$J$100,'26a'!$H$7:$H$100,$A290,'26a'!$I$7:$I$100,2)+SUMIFS('27'!$J$7:$J$100,'27'!$H$7:$H$100,$A290,'27'!$I$7:$I$100,2)+SUMIFS('27a'!$J$7:$J$100,'27a'!$H$7:$H$100,$A290,'27a'!$I$7:$I$100,2)+SUMIFS('28'!$J$7:$J$100,'28'!$H$7:$H$100,$A290,'28'!$I$7:$I$100,2)+SUMIFS('29'!$J$7:$J$100,'29'!$H$7:$H$100,$A290,'29'!$I$7:$I$100,2)</f>
        <v>0</v>
      </c>
      <c r="I290" s="1315">
        <f>SUMIFS('12'!$J$7:$J$100,'12'!$H$7:$H$100,$A290,'12'!$I$7:$I$100,"")+SUMIFS('13'!$J$7:$J$100,'13'!$H$7:$H$100,$A290,'13'!$I$7:$I$100,"")+SUMIFS('14'!$J$7:$J$100,'14'!$H$7:$H$100,$A290,'14'!$I$7:$I$100,"")+SUMIFS('15'!$J$7:$J$100,'15'!$H$7:$H$100,$A290,'15'!$I$7:$I$100,"")+SUMIFS('15a'!$J$7:$J$100,'15a'!$H$7:$H$100,$A290,'15a'!$I$7:$I$100,"")+SUMIFS('15b'!$J$7:$J$100,'15b'!$H$7:$H$100,$A290,'15b'!$I$7:$I$100,"")+SUMIFS('15c'!$J$7:$J$100,'15c'!$H$7:$H$100,$A290,'15c'!$I$7:$I$100,"")+SUMIFS('15d'!$J$7:$J$100,'15d'!$H$7:$H$100,$A290,'15d'!$I$7:$I$100,"")+SUMIFS('15e'!$J$7:$J$100,'15e'!$H$7:$H$100,$A290,'15e'!$I$7:$I$100,"")+SUMIFS('15f'!$J$7:$J$100,'15f'!$H$7:$H$100,$A290,'15f'!$I$7:$I$100,"")+SUMIFS('15g'!$J$7:$J$100,'15g'!$H$7:$H$100,$A290,'15g'!$I$7:$I$100,"")+SUMIFS('15h'!$J$7:$J$100,'15h'!$H$7:$H$100,$A290,'15h'!$I$7:$I$100,"")+SUMIFS('15i'!$J$7:$J$100,'15i'!$H$7:$H$100,$A290,'15i'!$I$7:$I$100,"")+SUMIFS('15j'!$J$7:$J$100,'15j'!$H$7:$H$100,$A290,'15j'!$I$7:$I$100,"")+SUMIFS('15k'!$J$7:$J$100,'15k'!$H$7:$H$100,$A290,'15k'!$I$7:$I$100,"")+SUMIFS('15l'!$J$7:$J$100,'15l'!$H$7:$H$100,$A290,'15l'!$I$7:$I$100,"")+SUMIFS('15m'!$J$7:$J$100,'15m'!$H$7:$H$100,$A290,'15m'!$I$7:$I$100,"")+SUMIFS('15n'!$J$7:$J$100,'15n'!$H$7:$H$100,$A290,'15n'!$I$7:$I$100,"")+SUMIFS('16'!$J$7:$J$100,'16'!$H$7:$H$100,$A290,'16'!$I$7:$I$100,"")+SUMIFS('16a'!$J$7:$J$100,'16a'!$H$7:$H$100,$A290,'16a'!$I$7:$I$100,"")+SUMIFS('17'!$J$7:$J$100,'17'!$H$7:$H$100,$A290,'17'!$I$7:$I$100,"")+SUMIFS('17a'!$J$7:$J$100,'17a'!$H$7:$H$100,$A290,'17a'!$I$7:$I$100,"")+SUMIFS('18'!$J$7:$J$100,'18'!$H$7:$H$100,$A290,'18'!$I$7:$I$100,"")+SUMIFS('18a'!$J$7:$J$100,'18a'!$H$7:$H$100,$A290,'18a'!$I$7:$I$100,"")
+SUMIFS('19'!$J$7:$J$100,'19'!$H$7:$H$100,$A290,'19'!$I$7:$I$100,"")+SUMIFS('20'!$J$7:$J$100,'20'!$H$7:$H$100,$A290,'20'!$I$7:$I$100,"")+SUMIFS('20a'!$J$7:$J$100,'20a'!$H$7:$H$100,$A290,'20a'!$I$7:$I$100,"")+SUMIFS('21'!$J$7:$J$100,'21'!$H$7:$H$100,$A290,'21'!$I$7:$I$100,"")+SUMIFS('22'!$J$7:$J$100,'22'!$H$7:$H$100,$A290,'22'!$I$7:$I$100,"")+SUMIFS('22a'!$J$7:$J$100,'22a'!$H$7:$H$100,$A290,'22a'!$I$7:$I$100,"")+SUMIFS('22b'!$J$7:$J$100,'22b'!$H$7:$H$100,$A290,'22b'!$I$7:$I$100,"")+SUMIFS('23'!$J$7:$J$100,'23'!$H$7:$H$100,$A290,'23'!$I$7:$I$100,"")+SUMIFS('24'!$J$7:$J$100,'24'!$H$7:$H$100,$A290,'24'!$I$7:$I$100,"")+SUMIFS('24a'!$J$7:$J$100,'24a'!$H$7:$H$100,$A290,'24a'!$I$7:$I$100,"")+SUMIFS('24b'!$J$7:$J$100,'24b'!$H$7:$H$100,$A290,'24b'!$I$7:$I$100,"")+SUMIFS('24c'!$J$7:$J$100,'24c'!$H$7:$H$100,$A290,'24c'!$I$7:$I$100,"")+SUMIFS('24d'!$J$7:$J$100,'24d'!$H$7:$H$100,$A290,'24d'!$I$7:$I$100,"")+SUMIFS('24e'!$J$7:$J$100,'24e'!$H$7:$H$100,$A290,'24e'!$I$7:$I$100,"")+SUMIFS('24f'!$J$7:$J$100,'24f'!$H$7:$H$100,$A290,'24f'!$I$7:$I$100,"")+SUMIFS('24g'!$J$7:$J$100,'24g'!$H$7:$H$100,$A290,'24g'!$I$7:$I$100,"")+SUMIFS('24h'!$J$7:$J$100,'24h'!$H$7:$H$100,$A290,'24h'!$I$7:$I$100,"")+SUMIFS('24i'!$J$7:$J$100,'24i'!$H$7:$H$100,$A290,'24i'!$I$7:$I$100,"")+SUMIFS('25'!$J$7:$J$100,'25'!$H$7:$H$100,$A290,'25'!$I$7:$I$100,"")+SUMIFS('26'!$J$7:$J$100,'26'!$H$7:$H$100,$A290,'26'!$I$7:$I$100,"")+SUMIFS('26a'!$J$7:$J$100,'26a'!$H$7:$H$100,$A290,'26a'!$I$7:$I$100,"")+SUMIFS('27'!$J$7:$J$100,'27'!$H$7:$H$100,$A290,'27'!$I$7:$I$100,"")+SUMIFS('27a'!$J$7:$J$100,'27a'!$H$7:$H$100,$A290,'27a'!$I$7:$I$100,"")+SUMIFS('28'!$J$7:$J$100,'28'!$H$7:$H$100,$A290,'28'!$I$7:$I$100,"")+SUMIFS('29'!$J$7:$J$100,'29'!$H$7:$H$100,$A290,'29'!$I$7:$I$100,"")</f>
        <v>0</v>
      </c>
      <c r="J290" s="1296">
        <f t="shared" si="34"/>
        <v>0</v>
      </c>
      <c r="K290"/>
      <c r="L290"/>
      <c r="M290"/>
      <c r="N290"/>
      <c r="O290"/>
      <c r="P290"/>
      <c r="Q290"/>
      <c r="R290"/>
      <c r="S290" s="1307">
        <f t="shared" si="30"/>
        <v>0</v>
      </c>
      <c r="T290"/>
    </row>
    <row r="291" spans="1:20" x14ac:dyDescent="0.2">
      <c r="A291" t="s">
        <v>5194</v>
      </c>
      <c r="B291" t="s">
        <v>5519</v>
      </c>
      <c r="C291" s="1295">
        <f>SUMIFS('12'!$N$7:$N$100,'12'!$H$7:$H$100,$A291,'12'!$I$7:$I$100,1)+SUMIFS('13'!$N$7:$N$100,'13'!$H$7:$H$100,$A291,'13'!$I$7:$I$100,1)+SUMIFS('14'!$N$7:$N$100,'14'!$H$7:$H$100,$A291,'14'!$I$7:$I$100,1)+SUMIFS('15'!$N$7:$N$100,'15'!$H$7:$H$100,$A291,'15'!$I$7:$I$100,1)+SUMIFS('15a'!$N$7:$N$100,'15a'!$H$7:$H$100,$A291,'15a'!$I$7:$I$100,1)+SUMIFS('15b'!$N$7:$N$100,'15b'!$H$7:$H$100,$A291,'15b'!$I$7:$I$100,1)+SUMIFS('15c'!$N$7:$N$100,'15c'!$H$7:$H$100,$A291,'15c'!$I$7:$I$100,1)+SUMIFS('15d'!$N$7:$N$100,'15d'!$H$7:$H$100,$A291,'15d'!$I$7:$I$100,1)+SUMIFS('15e'!$N$7:$N$100,'15e'!$H$7:$H$100,$A291,'15e'!$I$7:$I$100,1)+SUMIFS('15f'!$N$7:$N$100,'15f'!$H$7:$H$100,$A291,'15f'!$I$7:$I$100,1)+SUMIFS('15g'!$N$7:$N$100,'15g'!$H$7:$H$100,$A291,'15g'!$I$7:$I$100,1)+SUMIFS('15h'!$N$7:$N$100,'15h'!$H$7:$H$100,$A291,'15h'!$I$7:$I$100,1)+SUMIFS('15i'!$N$7:$N$100,'15i'!$H$7:$H$100,$A291,'15i'!$I$7:$I$100,1)+SUMIFS('15j'!$N$7:$N$100,'15j'!$H$7:$H$100,$A291,'15j'!$I$7:$I$100,1)+SUMIFS('15k'!$N$7:$N$100,'15k'!$H$7:$H$100,$A291,'15k'!$I$7:$I$100,1)+SUMIFS('15l'!$N$7:$N$100,'15l'!$H$7:$H$100,$A291,'15l'!$I$7:$I$100,1)+SUMIFS('15m'!$N$7:$N$100,'15m'!$H$7:$H$100,$A291,'15m'!$I$7:$I$100,1)+SUMIFS('15n'!$N$7:$N$100,'15n'!$H$7:$H$100,$A291,'15n'!$I$7:$I$100,1)+SUMIFS('16'!$N$7:$N$100,'16'!$H$7:$H$100,$A291,'16'!$I$7:$I$100,1)+SUMIFS('16a'!$N$7:$N$100,'16a'!$H$7:$H$100,$A291,'16a'!$I$7:$I$100,1)+SUMIFS('17'!$N$7:$N$100,'17'!$H$7:$H$100,$A291,'17'!$I$7:$I$100,1)+SUMIFS('17a'!$N$7:$N$100,'17a'!$H$7:$H$100,$A291,'17a'!$I$7:$I$100,1)+SUMIFS('18'!$N$7:$N$100,'18'!$H$7:$H$100,$A291,'18'!$I$7:$I$100,1)+SUMIFS('18a'!$N$7:$N$100,'18a'!$H$7:$H$100,$A291,'18a'!$I$7:$I$100,1)
+SUMIFS('19'!$N$7:$N$100,'19'!$H$7:$H$100,$A291,'19'!$I$7:$I$100,1)+SUMIFS('20'!$N$7:$N$100,'20'!$H$7:$H$100,$A291,'20'!$I$7:$I$100,1)+SUMIFS('20a'!$N$7:$N$100,'20a'!$H$7:$H$100,$A291,'20a'!$I$7:$I$100,1)+SUMIFS('21'!$N$7:$N$100,'21'!$H$7:$H$100,$A291,'21'!$I$7:$I$100,1)+SUMIFS('22'!$N$7:$N$100,'22'!$H$7:$H$100,$A291,'22'!$I$7:$I$100,1)+SUMIFS('22a'!$N$7:$N$100,'22a'!$H$7:$H$100,$A291,'22a'!$I$7:$I$100,1)+SUMIFS('22b'!$N$7:$N$100,'22b'!$H$7:$H$100,$A291,'22b'!$I$7:$I$100,1)+SUMIFS('23'!$N$7:$N$100,'23'!$H$7:$H$100,$A291,'23'!$I$7:$I$100,1)+SUMIFS('24'!$N$7:$N$100,'24'!$H$7:$H$100,$A291,'24'!$I$7:$I$100,1)+SUMIFS('24a'!$N$7:$N$100,'24a'!$H$7:$H$100,$A291,'24a'!$I$7:$I$100,1)+SUMIFS('24b'!$N$7:$N$100,'24b'!$H$7:$H$100,$A291,'24b'!$I$7:$I$100,1)+SUMIFS('24c'!$N$7:$N$100,'24c'!$H$7:$H$100,$A291,'24c'!$I$7:$I$100,1)+SUMIFS('24d'!$N$7:$N$100,'24d'!$H$7:$H$100,$A291,'24d'!$I$7:$I$100,1)+SUMIFS('24e'!$N$7:$N$100,'24e'!$H$7:$H$100,$A291,'24e'!$I$7:$I$100,1)+SUMIFS('24f'!$N$7:$N$100,'24f'!$H$7:$H$100,$A291,'24f'!$I$7:$I$100,1)+SUMIFS('24g'!$N$7:$N$100,'24g'!$H$7:$H$100,$A291,'24g'!$I$7:$I$100,1)+SUMIFS('24h'!$N$7:$N$100,'24h'!$H$7:$H$100,$A291,'24h'!$I$7:$I$100,1)+SUMIFS('24i'!$N$7:$N$100,'24i'!$H$7:$H$100,$A291,'24i'!$I$7:$I$100,1)+SUMIFS('25'!$N$7:$N$100,'25'!$H$7:$H$100,$A291,'25'!$I$7:$I$100,1)+SUMIFS('26'!$N$7:$N$100,'26'!$H$7:$H$100,$A291,'26'!$I$7:$I$100,1)+SUMIFS('26a'!$N$7:$N$100,'26a'!$H$7:$H$100,$A291,'26a'!$I$7:$I$100,1)+SUMIFS('27'!$N$7:$N$100,'27'!$H$7:$H$100,$A291,'27'!$I$7:$I$100,1)+SUMIFS('27a'!$N$7:$N$100,'27a'!$H$7:$H$100,$A291,'27a'!$I$7:$I$100,1)+SUMIFS('28'!$N$7:$N$100,'28'!$H$7:$H$100,$A291,'28'!$I$7:$I$100,1)+SUMIFS('29'!$N$7:$N$100,'29'!$H$7:$H$100,$A291,'29'!$I$7:$I$100,1)</f>
        <v>0</v>
      </c>
      <c r="D291" s="1315">
        <f>SUMIFS('12'!$N$7:$N$100,'12'!$H$7:$H$100,$A291,'12'!$I$7:$I$100,2)+SUMIFS('13'!$N$7:$N$100,'13'!$H$7:$H$100,$A291,'13'!$I$7:$I$100,2)+SUMIFS('14'!$N$7:$N$100,'14'!$H$7:$H$100,$A291,'14'!$I$7:$I$100,2)+SUMIFS('15'!$N$7:$N$100,'15'!$H$7:$H$100,$A291,'15'!$I$7:$I$100,2)+SUMIFS('15a'!$N$7:$N$100,'15a'!$H$7:$H$100,$A291,'15a'!$I$7:$I$100,2)+SUMIFS('15b'!$N$7:$N$100,'15b'!$H$7:$H$100,$A291,'15b'!$I$7:$I$100,2)+SUMIFS('15c'!$N$7:$N$100,'15c'!$H$7:$H$100,$A291,'15c'!$I$7:$I$100,2)+SUMIFS('15d'!$N$7:$N$100,'15d'!$H$7:$H$100,$A291,'15d'!$I$7:$I$100,2)+SUMIFS('15e'!$N$7:$N$100,'15e'!$H$7:$H$100,$A291,'15e'!$I$7:$I$100,2)+SUMIFS('15f'!$N$7:$N$100,'15f'!$H$7:$H$100,$A291,'15f'!$I$7:$I$100,2)+SUMIFS('15g'!$N$7:$N$100,'15g'!$H$7:$H$100,$A291,'15g'!$I$7:$I$100,2)+SUMIFS('15h'!$N$7:$N$100,'15h'!$H$7:$H$100,$A291,'15h'!$I$7:$I$100,2)+SUMIFS('15i'!$N$7:$N$100,'15i'!$H$7:$H$100,$A291,'15i'!$I$7:$I$100,2)+SUMIFS('15j'!$N$7:$N$100,'15j'!$H$7:$H$100,$A291,'15j'!$I$7:$I$100,2)+SUMIFS('15k'!$N$7:$N$100,'15k'!$H$7:$H$100,$A291,'15k'!$I$7:$I$100,2)+SUMIFS('15l'!$N$7:$N$100,'15l'!$H$7:$H$100,$A291,'15l'!$I$7:$I$100,2)+SUMIFS('15m'!$N$7:$N$100,'15m'!$H$7:$H$100,$A291,'15m'!$I$7:$I$100,2)+SUMIFS('15n'!$N$7:$N$100,'15n'!$H$7:$H$100,$A291,'15n'!$I$7:$I$100,2)+SUMIFS('16'!$N$7:$N$100,'16'!$H$7:$H$100,$A291,'16'!$I$7:$I$100,2)+SUMIFS('16a'!$N$7:$N$100,'16a'!$H$7:$H$100,$A291,'16a'!$I$7:$I$100,2)+SUMIFS('17'!$N$7:$N$100,'17'!$H$7:$H$100,$A291,'17'!$I$7:$I$100,2)+SUMIFS('17a'!$N$7:$N$100,'17a'!$H$7:$H$100,$A291,'17a'!$I$7:$I$100,2)+SUMIFS('18'!$N$7:$N$100,'18'!$H$7:$H$100,$A291,'18'!$I$7:$I$100,2)+SUMIFS('18a'!$N$7:$N$100,'18a'!$H$7:$H$100,$A291,'18a'!$I$7:$I$100,2)
+SUMIFS('19'!$N$7:$N$100,'19'!$H$7:$H$100,$A291,'19'!$I$7:$I$100,2)+SUMIFS('20'!$N$7:$N$100,'20'!$H$7:$H$100,$A291,'20'!$I$7:$I$100,2)+SUMIFS('20a'!$N$7:$N$100,'20a'!$H$7:$H$100,$A291,'20a'!$I$7:$I$100,2)+SUMIFS('21'!$N$7:$N$100,'21'!$H$7:$H$100,$A291,'21'!$I$7:$I$100,2)+SUMIFS('22'!$N$7:$N$100,'22'!$H$7:$H$100,$A291,'22'!$I$7:$I$100,2)+SUMIFS('22a'!$N$7:$N$100,'22a'!$H$7:$H$100,$A291,'22a'!$I$7:$I$100,2)+SUMIFS('22b'!$N$7:$N$100,'22b'!$H$7:$H$100,$A291,'22b'!$I$7:$I$100,2)+SUMIFS('23'!$N$7:$N$100,'23'!$H$7:$H$100,$A291,'23'!$I$7:$I$100,2)+SUMIFS('24'!$N$7:$N$100,'24'!$H$7:$H$100,$A291,'24'!$I$7:$I$100,2)+SUMIFS('24a'!$N$7:$N$100,'24a'!$H$7:$H$100,$A291,'24a'!$I$7:$I$100,2)+SUMIFS('24b'!$N$7:$N$100,'24b'!$H$7:$H$100,$A291,'24b'!$I$7:$I$100,2)+SUMIFS('24c'!$N$7:$N$100,'24c'!$H$7:$H$100,$A291,'24c'!$I$7:$I$100,2)+SUMIFS('24d'!$N$7:$N$100,'24d'!$H$7:$H$100,$A291,'24d'!$I$7:$I$100,2)+SUMIFS('24e'!$N$7:$N$100,'24e'!$H$7:$H$100,$A291,'24e'!$I$7:$I$100,2)+SUMIFS('24f'!$N$7:$N$100,'24f'!$H$7:$H$100,$A291,'24f'!$I$7:$I$100,2)+SUMIFS('24g'!$N$7:$N$100,'24g'!$H$7:$H$100,$A291,'24g'!$I$7:$I$100,2)+SUMIFS('24h'!$N$7:$N$100,'24h'!$H$7:$H$100,$A291,'24h'!$I$7:$I$100,2)+SUMIFS('24i'!$N$7:$N$100,'24i'!$H$7:$H$100,$A291,'24i'!$I$7:$I$100,2)+SUMIFS('25'!$N$7:$N$100,'25'!$H$7:$H$100,$A291,'25'!$I$7:$I$100,2)+SUMIFS('26'!$N$7:$N$100,'26'!$H$7:$H$100,$A291,'26'!$I$7:$I$100,2)+SUMIFS('26a'!$N$7:$N$100,'26a'!$H$7:$H$100,$A291,'26a'!$I$7:$I$100,2)+SUMIFS('27'!$N$7:$N$100,'27'!$H$7:$H$100,$A291,'27'!$I$7:$I$100,2)+SUMIFS('27a'!$N$7:$N$100,'27a'!$H$7:$H$100,$A291,'27a'!$I$7:$I$100,2)+SUMIFS('28'!$N$7:$N$100,'28'!$H$7:$H$100,$A291,'28'!$I$7:$I$100,2)+SUMIFS('29'!$N$7:$N$100,'29'!$H$7:$H$100,$A291,'29'!$I$7:$I$100,2)</f>
        <v>0</v>
      </c>
      <c r="E291" s="1315">
        <f>SUMIFS('12'!$N$7:$N$100,'12'!$H$7:$H$100,$A291,'12'!$I$7:$I$100,"")+SUMIFS('13'!$N$7:$N$100,'13'!$H$7:$H$100,$A291,'13'!$I$7:$I$100,"")+SUMIFS('14'!$N$7:$N$100,'14'!$H$7:$H$100,$A291,'14'!$I$7:$I$100,"")+SUMIFS('15'!$N$7:$N$100,'15'!$H$7:$H$100,$A291,'15'!$I$7:$I$100,"")+SUMIFS('15a'!$N$7:$N$100,'15a'!$H$7:$H$100,$A291,'15a'!$I$7:$I$100,"")+SUMIFS('15b'!$N$7:$N$100,'15b'!$H$7:$H$100,$A291,'15b'!$I$7:$I$100,"")+SUMIFS('15c'!$N$7:$N$100,'15c'!$H$7:$H$100,$A291,'15c'!$I$7:$I$100,"")+SUMIFS('15d'!$N$7:$N$100,'15d'!$H$7:$H$100,$A291,'15d'!$I$7:$I$100,"")+SUMIFS('15e'!$N$7:$N$100,'15e'!$H$7:$H$100,$A291,'15e'!$I$7:$I$100,"")+SUMIFS('15f'!$N$7:$N$100,'15f'!$H$7:$H$100,$A291,'15f'!$I$7:$I$100,"")+SUMIFS('15g'!$N$7:$N$100,'15g'!$H$7:$H$100,$A291,'15g'!$I$7:$I$100,"")+SUMIFS('15h'!$N$7:$N$100,'15h'!$H$7:$H$100,$A291,'15h'!$I$7:$I$100,"")+SUMIFS('15i'!$N$7:$N$100,'15i'!$H$7:$H$100,$A291,'15i'!$I$7:$I$100,"")+SUMIFS('15j'!$N$7:$N$100,'15j'!$H$7:$H$100,$A291,'15j'!$I$7:$I$100,"")+SUMIFS('15k'!$N$7:$N$100,'15k'!$H$7:$H$100,$A291,'15k'!$I$7:$I$100,"")+SUMIFS('15l'!$N$7:$N$100,'15l'!$H$7:$H$100,$A291,'15l'!$I$7:$I$100,"")+SUMIFS('15m'!$N$7:$N$100,'15m'!$H$7:$H$100,$A291,'15m'!$I$7:$I$100,"")+SUMIFS('15n'!$N$7:$N$100,'15n'!$H$7:$H$100,$A291,'15n'!$I$7:$I$100,"")+SUMIFS('16'!$N$7:$N$100,'16'!$H$7:$H$100,$A291,'16'!$I$7:$I$100,"")+SUMIFS('16a'!$N$7:$N$100,'16a'!$H$7:$H$100,$A291,'16a'!$I$7:$I$100,"")+SUMIFS('17'!$N$7:$N$100,'17'!$H$7:$H$100,$A291,'17'!$I$7:$I$100,"")+SUMIFS('17a'!$N$7:$N$100,'17a'!$H$7:$H$100,$A291,'17a'!$I$7:$I$100,"")+SUMIFS('18'!$N$7:$N$100,'18'!$H$7:$H$100,$A291,'18'!$I$7:$I$100,"")+SUMIFS('18a'!$N$7:$N$100,'18a'!$H$7:$H$100,$A291,'18a'!$I$7:$I$100,"")
+SUMIFS('19'!$N$7:$N$100,'19'!$H$7:$H$100,$A291,'19'!$I$7:$I$100,"")+SUMIFS('20'!$N$7:$N$100,'20'!$H$7:$H$100,$A291,'20'!$I$7:$I$100,"")+SUMIFS('20a'!$N$7:$N$100,'20a'!$H$7:$H$100,$A291,'20a'!$I$7:$I$100,"")+SUMIFS('21'!$N$7:$N$100,'21'!$H$7:$H$100,$A291,'21'!$I$7:$I$100,"")+SUMIFS('22'!$N$7:$N$100,'22'!$H$7:$H$100,$A291,'22'!$I$7:$I$100,"")+SUMIFS('22a'!$N$7:$N$100,'22a'!$H$7:$H$100,$A291,'22a'!$I$7:$I$100,"")+SUMIFS('22b'!$N$7:$N$100,'22b'!$H$7:$H$100,$A291,'22b'!$I$7:$I$100,"")+SUMIFS('23'!$N$7:$N$100,'23'!$H$7:$H$100,$A291,'23'!$I$7:$I$100,"")+SUMIFS('24'!$N$7:$N$100,'24'!$H$7:$H$100,$A291,'24'!$I$7:$I$100,"")+SUMIFS('24a'!$N$7:$N$100,'24a'!$H$7:$H$100,$A291,'24a'!$I$7:$I$100,"")+SUMIFS('24b'!$N$7:$N$100,'24b'!$H$7:$H$100,$A291,'24b'!$I$7:$I$100,"")+SUMIFS('24c'!$N$7:$N$100,'24c'!$H$7:$H$100,$A291,'24c'!$I$7:$I$100,"")+SUMIFS('24d'!$N$7:$N$100,'24d'!$H$7:$H$100,$A291,'24d'!$I$7:$I$100,"")+SUMIFS('24e'!$N$7:$N$100,'24e'!$H$7:$H$100,$A291,'24e'!$I$7:$I$100,"")+SUMIFS('24f'!$N$7:$N$100,'24f'!$H$7:$H$100,$A291,'24f'!$I$7:$I$100,"")+SUMIFS('24g'!$N$7:$N$100,'24g'!$H$7:$H$100,$A291,'24g'!$I$7:$I$100,"")+SUMIFS('24h'!$N$7:$N$100,'24h'!$H$7:$H$100,$A291,'24h'!$I$7:$I$100,"")+SUMIFS('24i'!$N$7:$N$100,'24i'!$H$7:$H$100,$A291,'24i'!$I$7:$I$100,"")+SUMIFS('25'!$N$7:$N$100,'25'!$H$7:$H$100,$A291,'25'!$I$7:$I$100,"")+SUMIFS('26'!$N$7:$N$100,'26'!$H$7:$H$100,$A291,'26'!$I$7:$I$100,"")+SUMIFS('26a'!$N$7:$N$100,'26a'!$H$7:$H$100,$A291,'26a'!$I$7:$I$100,"")+SUMIFS('27'!$N$7:$N$100,'27'!$H$7:$H$100,$A291,'27'!$I$7:$I$100,"")+SUMIFS('27a'!$N$7:$N$100,'27a'!$H$7:$H$100,$A291,'27a'!$I$7:$I$100,"")+SUMIFS('28'!$N$7:$N$100,'28'!$H$7:$H$100,$A291,'28'!$I$7:$I$100,"")+SUMIFS('29'!$N$7:$N$100,'29'!$H$7:$H$100,$A291,'29'!$I$7:$I$100,"")</f>
        <v>0</v>
      </c>
      <c r="F291" s="1296">
        <f t="shared" si="33"/>
        <v>0</v>
      </c>
      <c r="G291" s="1295">
        <f>SUMIFS('12'!$J$7:$J$100,'12'!$H$7:$H$100,$A291,'12'!$I$7:$I$100,1)+SUMIFS('13'!$J$7:$J$100,'13'!$H$7:$H$100,$A291,'13'!$I$7:$I$100,1)+SUMIFS('14'!$J$7:$J$100,'14'!$H$7:$H$100,$A291,'14'!$I$7:$I$100,1)+SUMIFS('15'!$J$7:$J$100,'15'!$H$7:$H$100,$A291,'15'!$I$7:$I$100,1)+SUMIFS('15a'!$J$7:$J$100,'15a'!$H$7:$H$100,$A291,'15a'!$I$7:$I$100,1)+SUMIFS('15b'!$J$7:$J$100,'15b'!$H$7:$H$100,$A291,'15b'!$I$7:$I$100,1)+SUMIFS('15c'!$J$7:$J$100,'15c'!$H$7:$H$100,$A291,'15c'!$I$7:$I$100,1)+SUMIFS('15d'!$J$7:$J$100,'15d'!$H$7:$H$100,$A291,'15d'!$I$7:$I$100,1)+SUMIFS('15e'!$J$7:$J$100,'15e'!$H$7:$H$100,$A291,'15e'!$I$7:$I$100,1)+SUMIFS('15f'!$J$7:$J$100,'15f'!$H$7:$H$100,$A291,'15f'!$I$7:$I$100,1)+SUMIFS('15g'!$J$7:$J$100,'15g'!$H$7:$H$100,$A291,'15g'!$I$7:$I$100,1)+SUMIFS('15h'!$J$7:$J$100,'15h'!$H$7:$H$100,$A291,'15h'!$I$7:$I$100,1)+SUMIFS('15i'!$J$7:$J$100,'15i'!$H$7:$H$100,$A291,'15i'!$I$7:$I$100,1)+SUMIFS('15j'!$J$7:$J$100,'15j'!$H$7:$H$100,$A291,'15j'!$I$7:$I$100,1)+SUMIFS('15k'!$J$7:$J$100,'15k'!$H$7:$H$100,$A291,'15k'!$I$7:$I$100,1)+SUMIFS('15l'!$J$7:$J$100,'15l'!$H$7:$H$100,$A291,'15l'!$I$7:$I$100,1)+SUMIFS('15m'!$J$7:$J$100,'15m'!$H$7:$H$100,$A291,'15m'!$I$7:$I$100,1)+SUMIFS('15n'!$J$7:$J$100,'15n'!$H$7:$H$100,$A291,'15n'!$I$7:$I$100,1)+SUMIFS('16'!$J$7:$J$100,'16'!$H$7:$H$100,$A291,'16'!$I$7:$I$100,1)+SUMIFS('16a'!$J$7:$J$100,'16a'!$H$7:$H$100,$A291,'16a'!$I$7:$I$100,1)+SUMIFS('17'!$J$7:$J$100,'17'!$H$7:$H$100,$A291,'17'!$I$7:$I$100,1)+SUMIFS('17a'!$J$7:$J$100,'17a'!$H$7:$H$100,$A291,'17a'!$I$7:$I$100,1)+SUMIFS('18'!$J$7:$J$100,'18'!$H$7:$H$100,$A291,'18'!$I$7:$I$100,1)+SUMIFS('18a'!$J$7:$J$100,'18a'!$H$7:$H$100,$A291,'18a'!$I$7:$I$100,1)
+SUMIFS('19'!$J$7:$J$100,'19'!$H$7:$H$100,$A291,'19'!$I$7:$I$100,1)+SUMIFS('20'!$J$7:$J$100,'20'!$H$7:$H$100,$A291,'20'!$I$7:$I$100,1)+SUMIFS('20a'!$J$7:$J$100,'20a'!$H$7:$H$100,$A291,'20a'!$I$7:$I$100,1)+SUMIFS('21'!$J$7:$J$100,'21'!$H$7:$H$100,$A291,'21'!$I$7:$I$100,1)+SUMIFS('22'!$J$7:$J$100,'22'!$H$7:$H$100,$A291,'22'!$I$7:$I$100,1)+SUMIFS('22a'!$J$7:$J$100,'22a'!$H$7:$H$100,$A291,'22a'!$I$7:$I$100,1)+SUMIFS('22b'!$J$7:$J$100,'22b'!$H$7:$H$100,$A291,'22b'!$I$7:$I$100,1)+SUMIFS('23'!$J$7:$J$100,'23'!$H$7:$H$100,$A291,'23'!$I$7:$I$100,1)+SUMIFS('24'!$J$7:$J$100,'24'!$H$7:$H$100,$A291,'24'!$I$7:$I$100,1)+SUMIFS('24a'!$J$7:$J$100,'24a'!$H$7:$H$100,$A291,'24a'!$I$7:$I$100,1)+SUMIFS('24b'!$J$7:$J$100,'24b'!$H$7:$H$100,$A291,'24b'!$I$7:$I$100,1)+SUMIFS('24c'!$J$7:$J$100,'24c'!$H$7:$H$100,$A291,'24c'!$I$7:$I$100,1)+SUMIFS('24d'!$J$7:$J$100,'24d'!$H$7:$H$100,$A291,'24d'!$I$7:$I$100,1)+SUMIFS('24e'!$J$7:$J$100,'24e'!$H$7:$H$100,$A291,'24e'!$I$7:$I$100,1)+SUMIFS('24f'!$J$7:$J$100,'24f'!$H$7:$H$100,$A291,'24f'!$I$7:$I$100,1)+SUMIFS('24g'!$J$7:$J$100,'24g'!$H$7:$H$100,$A291,'24g'!$I$7:$I$100,1)+SUMIFS('24h'!$J$7:$J$100,'24h'!$H$7:$H$100,$A291,'24h'!$I$7:$I$100,1)+SUMIFS('24i'!$J$7:$J$100,'24i'!$H$7:$H$100,$A291,'24i'!$I$7:$I$100,1)+SUMIFS('25'!$J$7:$J$100,'25'!$H$7:$H$100,$A291,'25'!$I$7:$I$100,1)+SUMIFS('26'!$J$7:$J$100,'26'!$H$7:$H$100,$A291,'26'!$I$7:$I$100,1)+SUMIFS('26a'!$J$7:$J$100,'26a'!$H$7:$H$100,$A291,'26a'!$I$7:$I$100,1)+SUMIFS('27'!$J$7:$J$100,'27'!$H$7:$H$100,$A291,'27'!$I$7:$I$100,1)+SUMIFS('27a'!$J$7:$J$100,'27a'!$H$7:$H$100,$A291,'27a'!$I$7:$I$100,1)+SUMIFS('28'!$J$7:$J$100,'28'!$H$7:$H$100,$A291,'28'!$I$7:$I$100,1)+SUMIFS('29'!$J$7:$J$100,'29'!$H$7:$H$100,$A291,'29'!$I$7:$I$100,1)</f>
        <v>0</v>
      </c>
      <c r="H291" s="1315">
        <f>SUMIFS('12'!$J$7:$J$100,'12'!$H$7:$H$100,$A291,'12'!$I$7:$I$100,2)+SUMIFS('13'!$J$7:$J$100,'13'!$H$7:$H$100,$A291,'13'!$I$7:$I$100,2)+SUMIFS('14'!$J$7:$J$100,'14'!$H$7:$H$100,$A291,'14'!$I$7:$I$100,2)+SUMIFS('15'!$J$7:$J$100,'15'!$H$7:$H$100,$A291,'15'!$I$7:$I$100,2)+SUMIFS('15a'!$J$7:$J$100,'15a'!$H$7:$H$100,$A291,'15a'!$I$7:$I$100,2)+SUMIFS('15b'!$J$7:$J$100,'15b'!$H$7:$H$100,$A291,'15b'!$I$7:$I$100,2)+SUMIFS('15c'!$J$7:$J$100,'15c'!$H$7:$H$100,$A291,'15c'!$I$7:$I$100,2)+SUMIFS('15d'!$J$7:$J$100,'15d'!$H$7:$H$100,$A291,'15d'!$I$7:$I$100,2)+SUMIFS('15e'!$J$7:$J$100,'15e'!$H$7:$H$100,$A291,'15e'!$I$7:$I$100,2)+SUMIFS('15f'!$J$7:$J$100,'15f'!$H$7:$H$100,$A291,'15f'!$I$7:$I$100,2)+SUMIFS('15g'!$J$7:$J$100,'15g'!$H$7:$H$100,$A291,'15g'!$I$7:$I$100,2)+SUMIFS('15h'!$J$7:$J$100,'15h'!$H$7:$H$100,$A291,'15h'!$I$7:$I$100,2)+SUMIFS('15i'!$J$7:$J$100,'15i'!$H$7:$H$100,$A291,'15i'!$I$7:$I$100,2)+SUMIFS('15j'!$J$7:$J$100,'15j'!$H$7:$H$100,$A291,'15j'!$I$7:$I$100,2)+SUMIFS('15k'!$J$7:$J$100,'15k'!$H$7:$H$100,$A291,'15k'!$I$7:$I$100,2)+SUMIFS('15l'!$J$7:$J$100,'15l'!$H$7:$H$100,$A291,'15l'!$I$7:$I$100,2)+SUMIFS('15m'!$J$7:$J$100,'15m'!$H$7:$H$100,$A291,'15m'!$I$7:$I$100,2)+SUMIFS('15n'!$J$7:$J$100,'15n'!$H$7:$H$100,$A291,'15n'!$I$7:$I$100,2)+SUMIFS('16'!$J$7:$J$100,'16'!$H$7:$H$100,$A291,'16'!$I$7:$I$100,2)+SUMIFS('16a'!$J$7:$J$100,'16a'!$H$7:$H$100,$A291,'16a'!$I$7:$I$100,2)+SUMIFS('17'!$J$7:$J$100,'17'!$H$7:$H$100,$A291,'17'!$I$7:$I$100,2)+SUMIFS('17a'!$J$7:$J$100,'17a'!$H$7:$H$100,$A291,'17a'!$I$7:$I$100,2)+SUMIFS('18'!$J$7:$J$100,'18'!$H$7:$H$100,$A291,'18'!$I$7:$I$100,2)+SUMIFS('18a'!$J$7:$J$100,'18a'!$H$7:$H$100,$A291,'18a'!$I$7:$I$100,2)
+SUMIFS('19'!$J$7:$J$100,'19'!$H$7:$H$100,$A291,'19'!$I$7:$I$100,2)+SUMIFS('20'!$J$7:$J$100,'20'!$H$7:$H$100,$A291,'20'!$I$7:$I$100,2)+SUMIFS('20a'!$J$7:$J$100,'20a'!$H$7:$H$100,$A291,'20a'!$I$7:$I$100,2)+SUMIFS('21'!$J$7:$J$100,'21'!$H$7:$H$100,$A291,'21'!$I$7:$I$100,2)+SUMIFS('22'!$J$7:$J$100,'22'!$H$7:$H$100,$A291,'22'!$I$7:$I$100,2)+SUMIFS('22a'!$J$7:$J$100,'22a'!$H$7:$H$100,$A291,'22a'!$I$7:$I$100,2)+SUMIFS('22b'!$J$7:$J$100,'22b'!$H$7:$H$100,$A291,'22b'!$I$7:$I$100,2)+SUMIFS('23'!$J$7:$J$100,'23'!$H$7:$H$100,$A291,'23'!$I$7:$I$100,2)+SUMIFS('24'!$J$7:$J$100,'24'!$H$7:$H$100,$A291,'24'!$I$7:$I$100,2)+SUMIFS('24a'!$J$7:$J$100,'24a'!$H$7:$H$100,$A291,'24a'!$I$7:$I$100,2)+SUMIFS('24b'!$J$7:$J$100,'24b'!$H$7:$H$100,$A291,'24b'!$I$7:$I$100,2)+SUMIFS('24c'!$J$7:$J$100,'24c'!$H$7:$H$100,$A291,'24c'!$I$7:$I$100,2)+SUMIFS('24d'!$J$7:$J$100,'24d'!$H$7:$H$100,$A291,'24d'!$I$7:$I$100,2)+SUMIFS('24e'!$J$7:$J$100,'24e'!$H$7:$H$100,$A291,'24e'!$I$7:$I$100,2)+SUMIFS('24f'!$J$7:$J$100,'24f'!$H$7:$H$100,$A291,'24f'!$I$7:$I$100,2)+SUMIFS('24g'!$J$7:$J$100,'24g'!$H$7:$H$100,$A291,'24g'!$I$7:$I$100,2)+SUMIFS('24h'!$J$7:$J$100,'24h'!$H$7:$H$100,$A291,'24h'!$I$7:$I$100,2)+SUMIFS('24i'!$J$7:$J$100,'24i'!$H$7:$H$100,$A291,'24i'!$I$7:$I$100,2)+SUMIFS('25'!$J$7:$J$100,'25'!$H$7:$H$100,$A291,'25'!$I$7:$I$100,2)+SUMIFS('26'!$J$7:$J$100,'26'!$H$7:$H$100,$A291,'26'!$I$7:$I$100,2)+SUMIFS('26a'!$J$7:$J$100,'26a'!$H$7:$H$100,$A291,'26a'!$I$7:$I$100,2)+SUMIFS('27'!$J$7:$J$100,'27'!$H$7:$H$100,$A291,'27'!$I$7:$I$100,2)+SUMIFS('27a'!$J$7:$J$100,'27a'!$H$7:$H$100,$A291,'27a'!$I$7:$I$100,2)+SUMIFS('28'!$J$7:$J$100,'28'!$H$7:$H$100,$A291,'28'!$I$7:$I$100,2)+SUMIFS('29'!$J$7:$J$100,'29'!$H$7:$H$100,$A291,'29'!$I$7:$I$100,2)</f>
        <v>0</v>
      </c>
      <c r="I291" s="1315">
        <f>SUMIFS('12'!$J$7:$J$100,'12'!$H$7:$H$100,$A291,'12'!$I$7:$I$100,"")+SUMIFS('13'!$J$7:$J$100,'13'!$H$7:$H$100,$A291,'13'!$I$7:$I$100,"")+SUMIFS('14'!$J$7:$J$100,'14'!$H$7:$H$100,$A291,'14'!$I$7:$I$100,"")+SUMIFS('15'!$J$7:$J$100,'15'!$H$7:$H$100,$A291,'15'!$I$7:$I$100,"")+SUMIFS('15a'!$J$7:$J$100,'15a'!$H$7:$H$100,$A291,'15a'!$I$7:$I$100,"")+SUMIFS('15b'!$J$7:$J$100,'15b'!$H$7:$H$100,$A291,'15b'!$I$7:$I$100,"")+SUMIFS('15c'!$J$7:$J$100,'15c'!$H$7:$H$100,$A291,'15c'!$I$7:$I$100,"")+SUMIFS('15d'!$J$7:$J$100,'15d'!$H$7:$H$100,$A291,'15d'!$I$7:$I$100,"")+SUMIFS('15e'!$J$7:$J$100,'15e'!$H$7:$H$100,$A291,'15e'!$I$7:$I$100,"")+SUMIFS('15f'!$J$7:$J$100,'15f'!$H$7:$H$100,$A291,'15f'!$I$7:$I$100,"")+SUMIFS('15g'!$J$7:$J$100,'15g'!$H$7:$H$100,$A291,'15g'!$I$7:$I$100,"")+SUMIFS('15h'!$J$7:$J$100,'15h'!$H$7:$H$100,$A291,'15h'!$I$7:$I$100,"")+SUMIFS('15i'!$J$7:$J$100,'15i'!$H$7:$H$100,$A291,'15i'!$I$7:$I$100,"")+SUMIFS('15j'!$J$7:$J$100,'15j'!$H$7:$H$100,$A291,'15j'!$I$7:$I$100,"")+SUMIFS('15k'!$J$7:$J$100,'15k'!$H$7:$H$100,$A291,'15k'!$I$7:$I$100,"")+SUMIFS('15l'!$J$7:$J$100,'15l'!$H$7:$H$100,$A291,'15l'!$I$7:$I$100,"")+SUMIFS('15m'!$J$7:$J$100,'15m'!$H$7:$H$100,$A291,'15m'!$I$7:$I$100,"")+SUMIFS('15n'!$J$7:$J$100,'15n'!$H$7:$H$100,$A291,'15n'!$I$7:$I$100,"")+SUMIFS('16'!$J$7:$J$100,'16'!$H$7:$H$100,$A291,'16'!$I$7:$I$100,"")+SUMIFS('16a'!$J$7:$J$100,'16a'!$H$7:$H$100,$A291,'16a'!$I$7:$I$100,"")+SUMIFS('17'!$J$7:$J$100,'17'!$H$7:$H$100,$A291,'17'!$I$7:$I$100,"")+SUMIFS('17a'!$J$7:$J$100,'17a'!$H$7:$H$100,$A291,'17a'!$I$7:$I$100,"")+SUMIFS('18'!$J$7:$J$100,'18'!$H$7:$H$100,$A291,'18'!$I$7:$I$100,"")+SUMIFS('18a'!$J$7:$J$100,'18a'!$H$7:$H$100,$A291,'18a'!$I$7:$I$100,"")
+SUMIFS('19'!$J$7:$J$100,'19'!$H$7:$H$100,$A291,'19'!$I$7:$I$100,"")+SUMIFS('20'!$J$7:$J$100,'20'!$H$7:$H$100,$A291,'20'!$I$7:$I$100,"")+SUMIFS('20a'!$J$7:$J$100,'20a'!$H$7:$H$100,$A291,'20a'!$I$7:$I$100,"")+SUMIFS('21'!$J$7:$J$100,'21'!$H$7:$H$100,$A291,'21'!$I$7:$I$100,"")+SUMIFS('22'!$J$7:$J$100,'22'!$H$7:$H$100,$A291,'22'!$I$7:$I$100,"")+SUMIFS('22a'!$J$7:$J$100,'22a'!$H$7:$H$100,$A291,'22a'!$I$7:$I$100,"")+SUMIFS('22b'!$J$7:$J$100,'22b'!$H$7:$H$100,$A291,'22b'!$I$7:$I$100,"")+SUMIFS('23'!$J$7:$J$100,'23'!$H$7:$H$100,$A291,'23'!$I$7:$I$100,"")+SUMIFS('24'!$J$7:$J$100,'24'!$H$7:$H$100,$A291,'24'!$I$7:$I$100,"")+SUMIFS('24a'!$J$7:$J$100,'24a'!$H$7:$H$100,$A291,'24a'!$I$7:$I$100,"")+SUMIFS('24b'!$J$7:$J$100,'24b'!$H$7:$H$100,$A291,'24b'!$I$7:$I$100,"")+SUMIFS('24c'!$J$7:$J$100,'24c'!$H$7:$H$100,$A291,'24c'!$I$7:$I$100,"")+SUMIFS('24d'!$J$7:$J$100,'24d'!$H$7:$H$100,$A291,'24d'!$I$7:$I$100,"")+SUMIFS('24e'!$J$7:$J$100,'24e'!$H$7:$H$100,$A291,'24e'!$I$7:$I$100,"")+SUMIFS('24f'!$J$7:$J$100,'24f'!$H$7:$H$100,$A291,'24f'!$I$7:$I$100,"")+SUMIFS('24g'!$J$7:$J$100,'24g'!$H$7:$H$100,$A291,'24g'!$I$7:$I$100,"")+SUMIFS('24h'!$J$7:$J$100,'24h'!$H$7:$H$100,$A291,'24h'!$I$7:$I$100,"")+SUMIFS('24i'!$J$7:$J$100,'24i'!$H$7:$H$100,$A291,'24i'!$I$7:$I$100,"")+SUMIFS('25'!$J$7:$J$100,'25'!$H$7:$H$100,$A291,'25'!$I$7:$I$100,"")+SUMIFS('26'!$J$7:$J$100,'26'!$H$7:$H$100,$A291,'26'!$I$7:$I$100,"")+SUMIFS('26a'!$J$7:$J$100,'26a'!$H$7:$H$100,$A291,'26a'!$I$7:$I$100,"")+SUMIFS('27'!$J$7:$J$100,'27'!$H$7:$H$100,$A291,'27'!$I$7:$I$100,"")+SUMIFS('27a'!$J$7:$J$100,'27a'!$H$7:$H$100,$A291,'27a'!$I$7:$I$100,"")+SUMIFS('28'!$J$7:$J$100,'28'!$H$7:$H$100,$A291,'28'!$I$7:$I$100,"")+SUMIFS('29'!$J$7:$J$100,'29'!$H$7:$H$100,$A291,'29'!$I$7:$I$100,"")</f>
        <v>0</v>
      </c>
      <c r="J291" s="1296">
        <f t="shared" si="34"/>
        <v>0</v>
      </c>
      <c r="K291"/>
      <c r="L291"/>
      <c r="M291"/>
      <c r="N291"/>
      <c r="O291"/>
      <c r="P291"/>
      <c r="Q291"/>
      <c r="R291"/>
      <c r="S291" s="1307">
        <f t="shared" si="30"/>
        <v>0</v>
      </c>
      <c r="T291"/>
    </row>
    <row r="292" spans="1:20" x14ac:dyDescent="0.2">
      <c r="A292" t="s">
        <v>5195</v>
      </c>
      <c r="B292" t="s">
        <v>5520</v>
      </c>
      <c r="C292" s="1295">
        <f>SUMIFS('12'!$N$7:$N$100,'12'!$H$7:$H$100,$A292,'12'!$I$7:$I$100,1)+SUMIFS('13'!$N$7:$N$100,'13'!$H$7:$H$100,$A292,'13'!$I$7:$I$100,1)+SUMIFS('14'!$N$7:$N$100,'14'!$H$7:$H$100,$A292,'14'!$I$7:$I$100,1)+SUMIFS('15'!$N$7:$N$100,'15'!$H$7:$H$100,$A292,'15'!$I$7:$I$100,1)+SUMIFS('15a'!$N$7:$N$100,'15a'!$H$7:$H$100,$A292,'15a'!$I$7:$I$100,1)+SUMIFS('15b'!$N$7:$N$100,'15b'!$H$7:$H$100,$A292,'15b'!$I$7:$I$100,1)+SUMIFS('15c'!$N$7:$N$100,'15c'!$H$7:$H$100,$A292,'15c'!$I$7:$I$100,1)+SUMIFS('15d'!$N$7:$N$100,'15d'!$H$7:$H$100,$A292,'15d'!$I$7:$I$100,1)+SUMIFS('15e'!$N$7:$N$100,'15e'!$H$7:$H$100,$A292,'15e'!$I$7:$I$100,1)+SUMIFS('15f'!$N$7:$N$100,'15f'!$H$7:$H$100,$A292,'15f'!$I$7:$I$100,1)+SUMIFS('15g'!$N$7:$N$100,'15g'!$H$7:$H$100,$A292,'15g'!$I$7:$I$100,1)+SUMIFS('15h'!$N$7:$N$100,'15h'!$H$7:$H$100,$A292,'15h'!$I$7:$I$100,1)+SUMIFS('15i'!$N$7:$N$100,'15i'!$H$7:$H$100,$A292,'15i'!$I$7:$I$100,1)+SUMIFS('15j'!$N$7:$N$100,'15j'!$H$7:$H$100,$A292,'15j'!$I$7:$I$100,1)+SUMIFS('15k'!$N$7:$N$100,'15k'!$H$7:$H$100,$A292,'15k'!$I$7:$I$100,1)+SUMIFS('15l'!$N$7:$N$100,'15l'!$H$7:$H$100,$A292,'15l'!$I$7:$I$100,1)+SUMIFS('15m'!$N$7:$N$100,'15m'!$H$7:$H$100,$A292,'15m'!$I$7:$I$100,1)+SUMIFS('15n'!$N$7:$N$100,'15n'!$H$7:$H$100,$A292,'15n'!$I$7:$I$100,1)+SUMIFS('16'!$N$7:$N$100,'16'!$H$7:$H$100,$A292,'16'!$I$7:$I$100,1)+SUMIFS('16a'!$N$7:$N$100,'16a'!$H$7:$H$100,$A292,'16a'!$I$7:$I$100,1)+SUMIFS('17'!$N$7:$N$100,'17'!$H$7:$H$100,$A292,'17'!$I$7:$I$100,1)+SUMIFS('17a'!$N$7:$N$100,'17a'!$H$7:$H$100,$A292,'17a'!$I$7:$I$100,1)+SUMIFS('18'!$N$7:$N$100,'18'!$H$7:$H$100,$A292,'18'!$I$7:$I$100,1)+SUMIFS('18a'!$N$7:$N$100,'18a'!$H$7:$H$100,$A292,'18a'!$I$7:$I$100,1)
+SUMIFS('19'!$N$7:$N$100,'19'!$H$7:$H$100,$A292,'19'!$I$7:$I$100,1)+SUMIFS('20'!$N$7:$N$100,'20'!$H$7:$H$100,$A292,'20'!$I$7:$I$100,1)+SUMIFS('20a'!$N$7:$N$100,'20a'!$H$7:$H$100,$A292,'20a'!$I$7:$I$100,1)+SUMIFS('21'!$N$7:$N$100,'21'!$H$7:$H$100,$A292,'21'!$I$7:$I$100,1)+SUMIFS('22'!$N$7:$N$100,'22'!$H$7:$H$100,$A292,'22'!$I$7:$I$100,1)+SUMIFS('22a'!$N$7:$N$100,'22a'!$H$7:$H$100,$A292,'22a'!$I$7:$I$100,1)+SUMIFS('22b'!$N$7:$N$100,'22b'!$H$7:$H$100,$A292,'22b'!$I$7:$I$100,1)+SUMIFS('23'!$N$7:$N$100,'23'!$H$7:$H$100,$A292,'23'!$I$7:$I$100,1)+SUMIFS('24'!$N$7:$N$100,'24'!$H$7:$H$100,$A292,'24'!$I$7:$I$100,1)+SUMIFS('24a'!$N$7:$N$100,'24a'!$H$7:$H$100,$A292,'24a'!$I$7:$I$100,1)+SUMIFS('24b'!$N$7:$N$100,'24b'!$H$7:$H$100,$A292,'24b'!$I$7:$I$100,1)+SUMIFS('24c'!$N$7:$N$100,'24c'!$H$7:$H$100,$A292,'24c'!$I$7:$I$100,1)+SUMIFS('24d'!$N$7:$N$100,'24d'!$H$7:$H$100,$A292,'24d'!$I$7:$I$100,1)+SUMIFS('24e'!$N$7:$N$100,'24e'!$H$7:$H$100,$A292,'24e'!$I$7:$I$100,1)+SUMIFS('24f'!$N$7:$N$100,'24f'!$H$7:$H$100,$A292,'24f'!$I$7:$I$100,1)+SUMIFS('24g'!$N$7:$N$100,'24g'!$H$7:$H$100,$A292,'24g'!$I$7:$I$100,1)+SUMIFS('24h'!$N$7:$N$100,'24h'!$H$7:$H$100,$A292,'24h'!$I$7:$I$100,1)+SUMIFS('24i'!$N$7:$N$100,'24i'!$H$7:$H$100,$A292,'24i'!$I$7:$I$100,1)+SUMIFS('25'!$N$7:$N$100,'25'!$H$7:$H$100,$A292,'25'!$I$7:$I$100,1)+SUMIFS('26'!$N$7:$N$100,'26'!$H$7:$H$100,$A292,'26'!$I$7:$I$100,1)+SUMIFS('26a'!$N$7:$N$100,'26a'!$H$7:$H$100,$A292,'26a'!$I$7:$I$100,1)+SUMIFS('27'!$N$7:$N$100,'27'!$H$7:$H$100,$A292,'27'!$I$7:$I$100,1)+SUMIFS('27a'!$N$7:$N$100,'27a'!$H$7:$H$100,$A292,'27a'!$I$7:$I$100,1)+SUMIFS('28'!$N$7:$N$100,'28'!$H$7:$H$100,$A292,'28'!$I$7:$I$100,1)+SUMIFS('29'!$N$7:$N$100,'29'!$H$7:$H$100,$A292,'29'!$I$7:$I$100,1)</f>
        <v>0</v>
      </c>
      <c r="D292" s="1315">
        <f>SUMIFS('12'!$N$7:$N$100,'12'!$H$7:$H$100,$A292,'12'!$I$7:$I$100,2)+SUMIFS('13'!$N$7:$N$100,'13'!$H$7:$H$100,$A292,'13'!$I$7:$I$100,2)+SUMIFS('14'!$N$7:$N$100,'14'!$H$7:$H$100,$A292,'14'!$I$7:$I$100,2)+SUMIFS('15'!$N$7:$N$100,'15'!$H$7:$H$100,$A292,'15'!$I$7:$I$100,2)+SUMIFS('15a'!$N$7:$N$100,'15a'!$H$7:$H$100,$A292,'15a'!$I$7:$I$100,2)+SUMIFS('15b'!$N$7:$N$100,'15b'!$H$7:$H$100,$A292,'15b'!$I$7:$I$100,2)+SUMIFS('15c'!$N$7:$N$100,'15c'!$H$7:$H$100,$A292,'15c'!$I$7:$I$100,2)+SUMIFS('15d'!$N$7:$N$100,'15d'!$H$7:$H$100,$A292,'15d'!$I$7:$I$100,2)+SUMIFS('15e'!$N$7:$N$100,'15e'!$H$7:$H$100,$A292,'15e'!$I$7:$I$100,2)+SUMIFS('15f'!$N$7:$N$100,'15f'!$H$7:$H$100,$A292,'15f'!$I$7:$I$100,2)+SUMIFS('15g'!$N$7:$N$100,'15g'!$H$7:$H$100,$A292,'15g'!$I$7:$I$100,2)+SUMIFS('15h'!$N$7:$N$100,'15h'!$H$7:$H$100,$A292,'15h'!$I$7:$I$100,2)+SUMIFS('15i'!$N$7:$N$100,'15i'!$H$7:$H$100,$A292,'15i'!$I$7:$I$100,2)+SUMIFS('15j'!$N$7:$N$100,'15j'!$H$7:$H$100,$A292,'15j'!$I$7:$I$100,2)+SUMIFS('15k'!$N$7:$N$100,'15k'!$H$7:$H$100,$A292,'15k'!$I$7:$I$100,2)+SUMIFS('15l'!$N$7:$N$100,'15l'!$H$7:$H$100,$A292,'15l'!$I$7:$I$100,2)+SUMIFS('15m'!$N$7:$N$100,'15m'!$H$7:$H$100,$A292,'15m'!$I$7:$I$100,2)+SUMIFS('15n'!$N$7:$N$100,'15n'!$H$7:$H$100,$A292,'15n'!$I$7:$I$100,2)+SUMIFS('16'!$N$7:$N$100,'16'!$H$7:$H$100,$A292,'16'!$I$7:$I$100,2)+SUMIFS('16a'!$N$7:$N$100,'16a'!$H$7:$H$100,$A292,'16a'!$I$7:$I$100,2)+SUMIFS('17'!$N$7:$N$100,'17'!$H$7:$H$100,$A292,'17'!$I$7:$I$100,2)+SUMIFS('17a'!$N$7:$N$100,'17a'!$H$7:$H$100,$A292,'17a'!$I$7:$I$100,2)+SUMIFS('18'!$N$7:$N$100,'18'!$H$7:$H$100,$A292,'18'!$I$7:$I$100,2)+SUMIFS('18a'!$N$7:$N$100,'18a'!$H$7:$H$100,$A292,'18a'!$I$7:$I$100,2)
+SUMIFS('19'!$N$7:$N$100,'19'!$H$7:$H$100,$A292,'19'!$I$7:$I$100,2)+SUMIFS('20'!$N$7:$N$100,'20'!$H$7:$H$100,$A292,'20'!$I$7:$I$100,2)+SUMIFS('20a'!$N$7:$N$100,'20a'!$H$7:$H$100,$A292,'20a'!$I$7:$I$100,2)+SUMIFS('21'!$N$7:$N$100,'21'!$H$7:$H$100,$A292,'21'!$I$7:$I$100,2)+SUMIFS('22'!$N$7:$N$100,'22'!$H$7:$H$100,$A292,'22'!$I$7:$I$100,2)+SUMIFS('22a'!$N$7:$N$100,'22a'!$H$7:$H$100,$A292,'22a'!$I$7:$I$100,2)+SUMIFS('22b'!$N$7:$N$100,'22b'!$H$7:$H$100,$A292,'22b'!$I$7:$I$100,2)+SUMIFS('23'!$N$7:$N$100,'23'!$H$7:$H$100,$A292,'23'!$I$7:$I$100,2)+SUMIFS('24'!$N$7:$N$100,'24'!$H$7:$H$100,$A292,'24'!$I$7:$I$100,2)+SUMIFS('24a'!$N$7:$N$100,'24a'!$H$7:$H$100,$A292,'24a'!$I$7:$I$100,2)+SUMIFS('24b'!$N$7:$N$100,'24b'!$H$7:$H$100,$A292,'24b'!$I$7:$I$100,2)+SUMIFS('24c'!$N$7:$N$100,'24c'!$H$7:$H$100,$A292,'24c'!$I$7:$I$100,2)+SUMIFS('24d'!$N$7:$N$100,'24d'!$H$7:$H$100,$A292,'24d'!$I$7:$I$100,2)+SUMIFS('24e'!$N$7:$N$100,'24e'!$H$7:$H$100,$A292,'24e'!$I$7:$I$100,2)+SUMIFS('24f'!$N$7:$N$100,'24f'!$H$7:$H$100,$A292,'24f'!$I$7:$I$100,2)+SUMIFS('24g'!$N$7:$N$100,'24g'!$H$7:$H$100,$A292,'24g'!$I$7:$I$100,2)+SUMIFS('24h'!$N$7:$N$100,'24h'!$H$7:$H$100,$A292,'24h'!$I$7:$I$100,2)+SUMIFS('24i'!$N$7:$N$100,'24i'!$H$7:$H$100,$A292,'24i'!$I$7:$I$100,2)+SUMIFS('25'!$N$7:$N$100,'25'!$H$7:$H$100,$A292,'25'!$I$7:$I$100,2)+SUMIFS('26'!$N$7:$N$100,'26'!$H$7:$H$100,$A292,'26'!$I$7:$I$100,2)+SUMIFS('26a'!$N$7:$N$100,'26a'!$H$7:$H$100,$A292,'26a'!$I$7:$I$100,2)+SUMIFS('27'!$N$7:$N$100,'27'!$H$7:$H$100,$A292,'27'!$I$7:$I$100,2)+SUMIFS('27a'!$N$7:$N$100,'27a'!$H$7:$H$100,$A292,'27a'!$I$7:$I$100,2)+SUMIFS('28'!$N$7:$N$100,'28'!$H$7:$H$100,$A292,'28'!$I$7:$I$100,2)+SUMIFS('29'!$N$7:$N$100,'29'!$H$7:$H$100,$A292,'29'!$I$7:$I$100,2)</f>
        <v>0</v>
      </c>
      <c r="E292" s="1315">
        <f>SUMIFS('12'!$N$7:$N$100,'12'!$H$7:$H$100,$A292,'12'!$I$7:$I$100,"")+SUMIFS('13'!$N$7:$N$100,'13'!$H$7:$H$100,$A292,'13'!$I$7:$I$100,"")+SUMIFS('14'!$N$7:$N$100,'14'!$H$7:$H$100,$A292,'14'!$I$7:$I$100,"")+SUMIFS('15'!$N$7:$N$100,'15'!$H$7:$H$100,$A292,'15'!$I$7:$I$100,"")+SUMIFS('15a'!$N$7:$N$100,'15a'!$H$7:$H$100,$A292,'15a'!$I$7:$I$100,"")+SUMIFS('15b'!$N$7:$N$100,'15b'!$H$7:$H$100,$A292,'15b'!$I$7:$I$100,"")+SUMIFS('15c'!$N$7:$N$100,'15c'!$H$7:$H$100,$A292,'15c'!$I$7:$I$100,"")+SUMIFS('15d'!$N$7:$N$100,'15d'!$H$7:$H$100,$A292,'15d'!$I$7:$I$100,"")+SUMIFS('15e'!$N$7:$N$100,'15e'!$H$7:$H$100,$A292,'15e'!$I$7:$I$100,"")+SUMIFS('15f'!$N$7:$N$100,'15f'!$H$7:$H$100,$A292,'15f'!$I$7:$I$100,"")+SUMIFS('15g'!$N$7:$N$100,'15g'!$H$7:$H$100,$A292,'15g'!$I$7:$I$100,"")+SUMIFS('15h'!$N$7:$N$100,'15h'!$H$7:$H$100,$A292,'15h'!$I$7:$I$100,"")+SUMIFS('15i'!$N$7:$N$100,'15i'!$H$7:$H$100,$A292,'15i'!$I$7:$I$100,"")+SUMIFS('15j'!$N$7:$N$100,'15j'!$H$7:$H$100,$A292,'15j'!$I$7:$I$100,"")+SUMIFS('15k'!$N$7:$N$100,'15k'!$H$7:$H$100,$A292,'15k'!$I$7:$I$100,"")+SUMIFS('15l'!$N$7:$N$100,'15l'!$H$7:$H$100,$A292,'15l'!$I$7:$I$100,"")+SUMIFS('15m'!$N$7:$N$100,'15m'!$H$7:$H$100,$A292,'15m'!$I$7:$I$100,"")+SUMIFS('15n'!$N$7:$N$100,'15n'!$H$7:$H$100,$A292,'15n'!$I$7:$I$100,"")+SUMIFS('16'!$N$7:$N$100,'16'!$H$7:$H$100,$A292,'16'!$I$7:$I$100,"")+SUMIFS('16a'!$N$7:$N$100,'16a'!$H$7:$H$100,$A292,'16a'!$I$7:$I$100,"")+SUMIFS('17'!$N$7:$N$100,'17'!$H$7:$H$100,$A292,'17'!$I$7:$I$100,"")+SUMIFS('17a'!$N$7:$N$100,'17a'!$H$7:$H$100,$A292,'17a'!$I$7:$I$100,"")+SUMIFS('18'!$N$7:$N$100,'18'!$H$7:$H$100,$A292,'18'!$I$7:$I$100,"")+SUMIFS('18a'!$N$7:$N$100,'18a'!$H$7:$H$100,$A292,'18a'!$I$7:$I$100,"")
+SUMIFS('19'!$N$7:$N$100,'19'!$H$7:$H$100,$A292,'19'!$I$7:$I$100,"")+SUMIFS('20'!$N$7:$N$100,'20'!$H$7:$H$100,$A292,'20'!$I$7:$I$100,"")+SUMIFS('20a'!$N$7:$N$100,'20a'!$H$7:$H$100,$A292,'20a'!$I$7:$I$100,"")+SUMIFS('21'!$N$7:$N$100,'21'!$H$7:$H$100,$A292,'21'!$I$7:$I$100,"")+SUMIFS('22'!$N$7:$N$100,'22'!$H$7:$H$100,$A292,'22'!$I$7:$I$100,"")+SUMIFS('22a'!$N$7:$N$100,'22a'!$H$7:$H$100,$A292,'22a'!$I$7:$I$100,"")+SUMIFS('22b'!$N$7:$N$100,'22b'!$H$7:$H$100,$A292,'22b'!$I$7:$I$100,"")+SUMIFS('23'!$N$7:$N$100,'23'!$H$7:$H$100,$A292,'23'!$I$7:$I$100,"")+SUMIFS('24'!$N$7:$N$100,'24'!$H$7:$H$100,$A292,'24'!$I$7:$I$100,"")+SUMIFS('24a'!$N$7:$N$100,'24a'!$H$7:$H$100,$A292,'24a'!$I$7:$I$100,"")+SUMIFS('24b'!$N$7:$N$100,'24b'!$H$7:$H$100,$A292,'24b'!$I$7:$I$100,"")+SUMIFS('24c'!$N$7:$N$100,'24c'!$H$7:$H$100,$A292,'24c'!$I$7:$I$100,"")+SUMIFS('24d'!$N$7:$N$100,'24d'!$H$7:$H$100,$A292,'24d'!$I$7:$I$100,"")+SUMIFS('24e'!$N$7:$N$100,'24e'!$H$7:$H$100,$A292,'24e'!$I$7:$I$100,"")+SUMIFS('24f'!$N$7:$N$100,'24f'!$H$7:$H$100,$A292,'24f'!$I$7:$I$100,"")+SUMIFS('24g'!$N$7:$N$100,'24g'!$H$7:$H$100,$A292,'24g'!$I$7:$I$100,"")+SUMIFS('24h'!$N$7:$N$100,'24h'!$H$7:$H$100,$A292,'24h'!$I$7:$I$100,"")+SUMIFS('24i'!$N$7:$N$100,'24i'!$H$7:$H$100,$A292,'24i'!$I$7:$I$100,"")+SUMIFS('25'!$N$7:$N$100,'25'!$H$7:$H$100,$A292,'25'!$I$7:$I$100,"")+SUMIFS('26'!$N$7:$N$100,'26'!$H$7:$H$100,$A292,'26'!$I$7:$I$100,"")+SUMIFS('26a'!$N$7:$N$100,'26a'!$H$7:$H$100,$A292,'26a'!$I$7:$I$100,"")+SUMIFS('27'!$N$7:$N$100,'27'!$H$7:$H$100,$A292,'27'!$I$7:$I$100,"")+SUMIFS('27a'!$N$7:$N$100,'27a'!$H$7:$H$100,$A292,'27a'!$I$7:$I$100,"")+SUMIFS('28'!$N$7:$N$100,'28'!$H$7:$H$100,$A292,'28'!$I$7:$I$100,"")+SUMIFS('29'!$N$7:$N$100,'29'!$H$7:$H$100,$A292,'29'!$I$7:$I$100,"")</f>
        <v>0</v>
      </c>
      <c r="F292" s="1296">
        <f t="shared" si="33"/>
        <v>0</v>
      </c>
      <c r="G292" s="1295">
        <f>SUMIFS('12'!$J$7:$J$100,'12'!$H$7:$H$100,$A292,'12'!$I$7:$I$100,1)+SUMIFS('13'!$J$7:$J$100,'13'!$H$7:$H$100,$A292,'13'!$I$7:$I$100,1)+SUMIFS('14'!$J$7:$J$100,'14'!$H$7:$H$100,$A292,'14'!$I$7:$I$100,1)+SUMIFS('15'!$J$7:$J$100,'15'!$H$7:$H$100,$A292,'15'!$I$7:$I$100,1)+SUMIFS('15a'!$J$7:$J$100,'15a'!$H$7:$H$100,$A292,'15a'!$I$7:$I$100,1)+SUMIFS('15b'!$J$7:$J$100,'15b'!$H$7:$H$100,$A292,'15b'!$I$7:$I$100,1)+SUMIFS('15c'!$J$7:$J$100,'15c'!$H$7:$H$100,$A292,'15c'!$I$7:$I$100,1)+SUMIFS('15d'!$J$7:$J$100,'15d'!$H$7:$H$100,$A292,'15d'!$I$7:$I$100,1)+SUMIFS('15e'!$J$7:$J$100,'15e'!$H$7:$H$100,$A292,'15e'!$I$7:$I$100,1)+SUMIFS('15f'!$J$7:$J$100,'15f'!$H$7:$H$100,$A292,'15f'!$I$7:$I$100,1)+SUMIFS('15g'!$J$7:$J$100,'15g'!$H$7:$H$100,$A292,'15g'!$I$7:$I$100,1)+SUMIFS('15h'!$J$7:$J$100,'15h'!$H$7:$H$100,$A292,'15h'!$I$7:$I$100,1)+SUMIFS('15i'!$J$7:$J$100,'15i'!$H$7:$H$100,$A292,'15i'!$I$7:$I$100,1)+SUMIFS('15j'!$J$7:$J$100,'15j'!$H$7:$H$100,$A292,'15j'!$I$7:$I$100,1)+SUMIFS('15k'!$J$7:$J$100,'15k'!$H$7:$H$100,$A292,'15k'!$I$7:$I$100,1)+SUMIFS('15l'!$J$7:$J$100,'15l'!$H$7:$H$100,$A292,'15l'!$I$7:$I$100,1)+SUMIFS('15m'!$J$7:$J$100,'15m'!$H$7:$H$100,$A292,'15m'!$I$7:$I$100,1)+SUMIFS('15n'!$J$7:$J$100,'15n'!$H$7:$H$100,$A292,'15n'!$I$7:$I$100,1)+SUMIFS('16'!$J$7:$J$100,'16'!$H$7:$H$100,$A292,'16'!$I$7:$I$100,1)+SUMIFS('16a'!$J$7:$J$100,'16a'!$H$7:$H$100,$A292,'16a'!$I$7:$I$100,1)+SUMIFS('17'!$J$7:$J$100,'17'!$H$7:$H$100,$A292,'17'!$I$7:$I$100,1)+SUMIFS('17a'!$J$7:$J$100,'17a'!$H$7:$H$100,$A292,'17a'!$I$7:$I$100,1)+SUMIFS('18'!$J$7:$J$100,'18'!$H$7:$H$100,$A292,'18'!$I$7:$I$100,1)+SUMIFS('18a'!$J$7:$J$100,'18a'!$H$7:$H$100,$A292,'18a'!$I$7:$I$100,1)
+SUMIFS('19'!$J$7:$J$100,'19'!$H$7:$H$100,$A292,'19'!$I$7:$I$100,1)+SUMIFS('20'!$J$7:$J$100,'20'!$H$7:$H$100,$A292,'20'!$I$7:$I$100,1)+SUMIFS('20a'!$J$7:$J$100,'20a'!$H$7:$H$100,$A292,'20a'!$I$7:$I$100,1)+SUMIFS('21'!$J$7:$J$100,'21'!$H$7:$H$100,$A292,'21'!$I$7:$I$100,1)+SUMIFS('22'!$J$7:$J$100,'22'!$H$7:$H$100,$A292,'22'!$I$7:$I$100,1)+SUMIFS('22a'!$J$7:$J$100,'22a'!$H$7:$H$100,$A292,'22a'!$I$7:$I$100,1)+SUMIFS('22b'!$J$7:$J$100,'22b'!$H$7:$H$100,$A292,'22b'!$I$7:$I$100,1)+SUMIFS('23'!$J$7:$J$100,'23'!$H$7:$H$100,$A292,'23'!$I$7:$I$100,1)+SUMIFS('24'!$J$7:$J$100,'24'!$H$7:$H$100,$A292,'24'!$I$7:$I$100,1)+SUMIFS('24a'!$J$7:$J$100,'24a'!$H$7:$H$100,$A292,'24a'!$I$7:$I$100,1)+SUMIFS('24b'!$J$7:$J$100,'24b'!$H$7:$H$100,$A292,'24b'!$I$7:$I$100,1)+SUMIFS('24c'!$J$7:$J$100,'24c'!$H$7:$H$100,$A292,'24c'!$I$7:$I$100,1)+SUMIFS('24d'!$J$7:$J$100,'24d'!$H$7:$H$100,$A292,'24d'!$I$7:$I$100,1)+SUMIFS('24e'!$J$7:$J$100,'24e'!$H$7:$H$100,$A292,'24e'!$I$7:$I$100,1)+SUMIFS('24f'!$J$7:$J$100,'24f'!$H$7:$H$100,$A292,'24f'!$I$7:$I$100,1)+SUMIFS('24g'!$J$7:$J$100,'24g'!$H$7:$H$100,$A292,'24g'!$I$7:$I$100,1)+SUMIFS('24h'!$J$7:$J$100,'24h'!$H$7:$H$100,$A292,'24h'!$I$7:$I$100,1)+SUMIFS('24i'!$J$7:$J$100,'24i'!$H$7:$H$100,$A292,'24i'!$I$7:$I$100,1)+SUMIFS('25'!$J$7:$J$100,'25'!$H$7:$H$100,$A292,'25'!$I$7:$I$100,1)+SUMIFS('26'!$J$7:$J$100,'26'!$H$7:$H$100,$A292,'26'!$I$7:$I$100,1)+SUMIFS('26a'!$J$7:$J$100,'26a'!$H$7:$H$100,$A292,'26a'!$I$7:$I$100,1)+SUMIFS('27'!$J$7:$J$100,'27'!$H$7:$H$100,$A292,'27'!$I$7:$I$100,1)+SUMIFS('27a'!$J$7:$J$100,'27a'!$H$7:$H$100,$A292,'27a'!$I$7:$I$100,1)+SUMIFS('28'!$J$7:$J$100,'28'!$H$7:$H$100,$A292,'28'!$I$7:$I$100,1)+SUMIFS('29'!$J$7:$J$100,'29'!$H$7:$H$100,$A292,'29'!$I$7:$I$100,1)</f>
        <v>0</v>
      </c>
      <c r="H292" s="1315">
        <f>SUMIFS('12'!$J$7:$J$100,'12'!$H$7:$H$100,$A292,'12'!$I$7:$I$100,2)+SUMIFS('13'!$J$7:$J$100,'13'!$H$7:$H$100,$A292,'13'!$I$7:$I$100,2)+SUMIFS('14'!$J$7:$J$100,'14'!$H$7:$H$100,$A292,'14'!$I$7:$I$100,2)+SUMIFS('15'!$J$7:$J$100,'15'!$H$7:$H$100,$A292,'15'!$I$7:$I$100,2)+SUMIFS('15a'!$J$7:$J$100,'15a'!$H$7:$H$100,$A292,'15a'!$I$7:$I$100,2)+SUMIFS('15b'!$J$7:$J$100,'15b'!$H$7:$H$100,$A292,'15b'!$I$7:$I$100,2)+SUMIFS('15c'!$J$7:$J$100,'15c'!$H$7:$H$100,$A292,'15c'!$I$7:$I$100,2)+SUMIFS('15d'!$J$7:$J$100,'15d'!$H$7:$H$100,$A292,'15d'!$I$7:$I$100,2)+SUMIFS('15e'!$J$7:$J$100,'15e'!$H$7:$H$100,$A292,'15e'!$I$7:$I$100,2)+SUMIFS('15f'!$J$7:$J$100,'15f'!$H$7:$H$100,$A292,'15f'!$I$7:$I$100,2)+SUMIFS('15g'!$J$7:$J$100,'15g'!$H$7:$H$100,$A292,'15g'!$I$7:$I$100,2)+SUMIFS('15h'!$J$7:$J$100,'15h'!$H$7:$H$100,$A292,'15h'!$I$7:$I$100,2)+SUMIFS('15i'!$J$7:$J$100,'15i'!$H$7:$H$100,$A292,'15i'!$I$7:$I$100,2)+SUMIFS('15j'!$J$7:$J$100,'15j'!$H$7:$H$100,$A292,'15j'!$I$7:$I$100,2)+SUMIFS('15k'!$J$7:$J$100,'15k'!$H$7:$H$100,$A292,'15k'!$I$7:$I$100,2)+SUMIFS('15l'!$J$7:$J$100,'15l'!$H$7:$H$100,$A292,'15l'!$I$7:$I$100,2)+SUMIFS('15m'!$J$7:$J$100,'15m'!$H$7:$H$100,$A292,'15m'!$I$7:$I$100,2)+SUMIFS('15n'!$J$7:$J$100,'15n'!$H$7:$H$100,$A292,'15n'!$I$7:$I$100,2)+SUMIFS('16'!$J$7:$J$100,'16'!$H$7:$H$100,$A292,'16'!$I$7:$I$100,2)+SUMIFS('16a'!$J$7:$J$100,'16a'!$H$7:$H$100,$A292,'16a'!$I$7:$I$100,2)+SUMIFS('17'!$J$7:$J$100,'17'!$H$7:$H$100,$A292,'17'!$I$7:$I$100,2)+SUMIFS('17a'!$J$7:$J$100,'17a'!$H$7:$H$100,$A292,'17a'!$I$7:$I$100,2)+SUMIFS('18'!$J$7:$J$100,'18'!$H$7:$H$100,$A292,'18'!$I$7:$I$100,2)+SUMIFS('18a'!$J$7:$J$100,'18a'!$H$7:$H$100,$A292,'18a'!$I$7:$I$100,2)
+SUMIFS('19'!$J$7:$J$100,'19'!$H$7:$H$100,$A292,'19'!$I$7:$I$100,2)+SUMIFS('20'!$J$7:$J$100,'20'!$H$7:$H$100,$A292,'20'!$I$7:$I$100,2)+SUMIFS('20a'!$J$7:$J$100,'20a'!$H$7:$H$100,$A292,'20a'!$I$7:$I$100,2)+SUMIFS('21'!$J$7:$J$100,'21'!$H$7:$H$100,$A292,'21'!$I$7:$I$100,2)+SUMIFS('22'!$J$7:$J$100,'22'!$H$7:$H$100,$A292,'22'!$I$7:$I$100,2)+SUMIFS('22a'!$J$7:$J$100,'22a'!$H$7:$H$100,$A292,'22a'!$I$7:$I$100,2)+SUMIFS('22b'!$J$7:$J$100,'22b'!$H$7:$H$100,$A292,'22b'!$I$7:$I$100,2)+SUMIFS('23'!$J$7:$J$100,'23'!$H$7:$H$100,$A292,'23'!$I$7:$I$100,2)+SUMIFS('24'!$J$7:$J$100,'24'!$H$7:$H$100,$A292,'24'!$I$7:$I$100,2)+SUMIFS('24a'!$J$7:$J$100,'24a'!$H$7:$H$100,$A292,'24a'!$I$7:$I$100,2)+SUMIFS('24b'!$J$7:$J$100,'24b'!$H$7:$H$100,$A292,'24b'!$I$7:$I$100,2)+SUMIFS('24c'!$J$7:$J$100,'24c'!$H$7:$H$100,$A292,'24c'!$I$7:$I$100,2)+SUMIFS('24d'!$J$7:$J$100,'24d'!$H$7:$H$100,$A292,'24d'!$I$7:$I$100,2)+SUMIFS('24e'!$J$7:$J$100,'24e'!$H$7:$H$100,$A292,'24e'!$I$7:$I$100,2)+SUMIFS('24f'!$J$7:$J$100,'24f'!$H$7:$H$100,$A292,'24f'!$I$7:$I$100,2)+SUMIFS('24g'!$J$7:$J$100,'24g'!$H$7:$H$100,$A292,'24g'!$I$7:$I$100,2)+SUMIFS('24h'!$J$7:$J$100,'24h'!$H$7:$H$100,$A292,'24h'!$I$7:$I$100,2)+SUMIFS('24i'!$J$7:$J$100,'24i'!$H$7:$H$100,$A292,'24i'!$I$7:$I$100,2)+SUMIFS('25'!$J$7:$J$100,'25'!$H$7:$H$100,$A292,'25'!$I$7:$I$100,2)+SUMIFS('26'!$J$7:$J$100,'26'!$H$7:$H$100,$A292,'26'!$I$7:$I$100,2)+SUMIFS('26a'!$J$7:$J$100,'26a'!$H$7:$H$100,$A292,'26a'!$I$7:$I$100,2)+SUMIFS('27'!$J$7:$J$100,'27'!$H$7:$H$100,$A292,'27'!$I$7:$I$100,2)+SUMIFS('27a'!$J$7:$J$100,'27a'!$H$7:$H$100,$A292,'27a'!$I$7:$I$100,2)+SUMIFS('28'!$J$7:$J$100,'28'!$H$7:$H$100,$A292,'28'!$I$7:$I$100,2)+SUMIFS('29'!$J$7:$J$100,'29'!$H$7:$H$100,$A292,'29'!$I$7:$I$100,2)</f>
        <v>0</v>
      </c>
      <c r="I292" s="1315">
        <f>SUMIFS('12'!$J$7:$J$100,'12'!$H$7:$H$100,$A292,'12'!$I$7:$I$100,"")+SUMIFS('13'!$J$7:$J$100,'13'!$H$7:$H$100,$A292,'13'!$I$7:$I$100,"")+SUMIFS('14'!$J$7:$J$100,'14'!$H$7:$H$100,$A292,'14'!$I$7:$I$100,"")+SUMIFS('15'!$J$7:$J$100,'15'!$H$7:$H$100,$A292,'15'!$I$7:$I$100,"")+SUMIFS('15a'!$J$7:$J$100,'15a'!$H$7:$H$100,$A292,'15a'!$I$7:$I$100,"")+SUMIFS('15b'!$J$7:$J$100,'15b'!$H$7:$H$100,$A292,'15b'!$I$7:$I$100,"")+SUMIFS('15c'!$J$7:$J$100,'15c'!$H$7:$H$100,$A292,'15c'!$I$7:$I$100,"")+SUMIFS('15d'!$J$7:$J$100,'15d'!$H$7:$H$100,$A292,'15d'!$I$7:$I$100,"")+SUMIFS('15e'!$J$7:$J$100,'15e'!$H$7:$H$100,$A292,'15e'!$I$7:$I$100,"")+SUMIFS('15f'!$J$7:$J$100,'15f'!$H$7:$H$100,$A292,'15f'!$I$7:$I$100,"")+SUMIFS('15g'!$J$7:$J$100,'15g'!$H$7:$H$100,$A292,'15g'!$I$7:$I$100,"")+SUMIFS('15h'!$J$7:$J$100,'15h'!$H$7:$H$100,$A292,'15h'!$I$7:$I$100,"")+SUMIFS('15i'!$J$7:$J$100,'15i'!$H$7:$H$100,$A292,'15i'!$I$7:$I$100,"")+SUMIFS('15j'!$J$7:$J$100,'15j'!$H$7:$H$100,$A292,'15j'!$I$7:$I$100,"")+SUMIFS('15k'!$J$7:$J$100,'15k'!$H$7:$H$100,$A292,'15k'!$I$7:$I$100,"")+SUMIFS('15l'!$J$7:$J$100,'15l'!$H$7:$H$100,$A292,'15l'!$I$7:$I$100,"")+SUMIFS('15m'!$J$7:$J$100,'15m'!$H$7:$H$100,$A292,'15m'!$I$7:$I$100,"")+SUMIFS('15n'!$J$7:$J$100,'15n'!$H$7:$H$100,$A292,'15n'!$I$7:$I$100,"")+SUMIFS('16'!$J$7:$J$100,'16'!$H$7:$H$100,$A292,'16'!$I$7:$I$100,"")+SUMIFS('16a'!$J$7:$J$100,'16a'!$H$7:$H$100,$A292,'16a'!$I$7:$I$100,"")+SUMIFS('17'!$J$7:$J$100,'17'!$H$7:$H$100,$A292,'17'!$I$7:$I$100,"")+SUMIFS('17a'!$J$7:$J$100,'17a'!$H$7:$H$100,$A292,'17a'!$I$7:$I$100,"")+SUMIFS('18'!$J$7:$J$100,'18'!$H$7:$H$100,$A292,'18'!$I$7:$I$100,"")+SUMIFS('18a'!$J$7:$J$100,'18a'!$H$7:$H$100,$A292,'18a'!$I$7:$I$100,"")
+SUMIFS('19'!$J$7:$J$100,'19'!$H$7:$H$100,$A292,'19'!$I$7:$I$100,"")+SUMIFS('20'!$J$7:$J$100,'20'!$H$7:$H$100,$A292,'20'!$I$7:$I$100,"")+SUMIFS('20a'!$J$7:$J$100,'20a'!$H$7:$H$100,$A292,'20a'!$I$7:$I$100,"")+SUMIFS('21'!$J$7:$J$100,'21'!$H$7:$H$100,$A292,'21'!$I$7:$I$100,"")+SUMIFS('22'!$J$7:$J$100,'22'!$H$7:$H$100,$A292,'22'!$I$7:$I$100,"")+SUMIFS('22a'!$J$7:$J$100,'22a'!$H$7:$H$100,$A292,'22a'!$I$7:$I$100,"")+SUMIFS('22b'!$J$7:$J$100,'22b'!$H$7:$H$100,$A292,'22b'!$I$7:$I$100,"")+SUMIFS('23'!$J$7:$J$100,'23'!$H$7:$H$100,$A292,'23'!$I$7:$I$100,"")+SUMIFS('24'!$J$7:$J$100,'24'!$H$7:$H$100,$A292,'24'!$I$7:$I$100,"")+SUMIFS('24a'!$J$7:$J$100,'24a'!$H$7:$H$100,$A292,'24a'!$I$7:$I$100,"")+SUMIFS('24b'!$J$7:$J$100,'24b'!$H$7:$H$100,$A292,'24b'!$I$7:$I$100,"")+SUMIFS('24c'!$J$7:$J$100,'24c'!$H$7:$H$100,$A292,'24c'!$I$7:$I$100,"")+SUMIFS('24d'!$J$7:$J$100,'24d'!$H$7:$H$100,$A292,'24d'!$I$7:$I$100,"")+SUMIFS('24e'!$J$7:$J$100,'24e'!$H$7:$H$100,$A292,'24e'!$I$7:$I$100,"")+SUMIFS('24f'!$J$7:$J$100,'24f'!$H$7:$H$100,$A292,'24f'!$I$7:$I$100,"")+SUMIFS('24g'!$J$7:$J$100,'24g'!$H$7:$H$100,$A292,'24g'!$I$7:$I$100,"")+SUMIFS('24h'!$J$7:$J$100,'24h'!$H$7:$H$100,$A292,'24h'!$I$7:$I$100,"")+SUMIFS('24i'!$J$7:$J$100,'24i'!$H$7:$H$100,$A292,'24i'!$I$7:$I$100,"")+SUMIFS('25'!$J$7:$J$100,'25'!$H$7:$H$100,$A292,'25'!$I$7:$I$100,"")+SUMIFS('26'!$J$7:$J$100,'26'!$H$7:$H$100,$A292,'26'!$I$7:$I$100,"")+SUMIFS('26a'!$J$7:$J$100,'26a'!$H$7:$H$100,$A292,'26a'!$I$7:$I$100,"")+SUMIFS('27'!$J$7:$J$100,'27'!$H$7:$H$100,$A292,'27'!$I$7:$I$100,"")+SUMIFS('27a'!$J$7:$J$100,'27a'!$H$7:$H$100,$A292,'27a'!$I$7:$I$100,"")+SUMIFS('28'!$J$7:$J$100,'28'!$H$7:$H$100,$A292,'28'!$I$7:$I$100,"")+SUMIFS('29'!$J$7:$J$100,'29'!$H$7:$H$100,$A292,'29'!$I$7:$I$100,"")</f>
        <v>0</v>
      </c>
      <c r="J292" s="1296">
        <f t="shared" si="34"/>
        <v>0</v>
      </c>
      <c r="K292"/>
      <c r="L292"/>
      <c r="M292"/>
      <c r="N292"/>
      <c r="O292"/>
      <c r="P292"/>
      <c r="Q292"/>
      <c r="R292"/>
      <c r="S292" s="1307">
        <f t="shared" si="30"/>
        <v>0</v>
      </c>
      <c r="T292"/>
    </row>
    <row r="293" spans="1:20" x14ac:dyDescent="0.2">
      <c r="A293"/>
      <c r="B293" s="1289" t="str">
        <f>"Total- "&amp;A284</f>
        <v>Total- Recreation</v>
      </c>
      <c r="C293" s="1297">
        <f>SUM(C285:C286,C291:C292)</f>
        <v>0</v>
      </c>
      <c r="D293" s="1290">
        <f>SUM(D285:D286,D291:D292)</f>
        <v>0</v>
      </c>
      <c r="E293" s="1290">
        <f t="shared" ref="E293:J293" si="35">SUM(E285:E286,E291:E292)</f>
        <v>0</v>
      </c>
      <c r="F293" s="1298">
        <f t="shared" si="35"/>
        <v>0</v>
      </c>
      <c r="G293" s="1297">
        <f t="shared" si="35"/>
        <v>0</v>
      </c>
      <c r="H293" s="1290">
        <f t="shared" si="35"/>
        <v>100</v>
      </c>
      <c r="I293" s="1290">
        <f t="shared" si="35"/>
        <v>0</v>
      </c>
      <c r="J293" s="1298">
        <f t="shared" si="35"/>
        <v>100</v>
      </c>
      <c r="K293"/>
      <c r="L293"/>
      <c r="M293"/>
      <c r="N293"/>
      <c r="O293"/>
      <c r="P293"/>
      <c r="Q293"/>
      <c r="R293"/>
      <c r="S293" s="1307"/>
      <c r="T293"/>
    </row>
    <row r="294" spans="1:20" x14ac:dyDescent="0.2">
      <c r="A294"/>
      <c r="B294"/>
      <c r="C294" s="292"/>
      <c r="D294"/>
      <c r="E294"/>
      <c r="F294" s="345"/>
      <c r="G294" s="292"/>
      <c r="H294"/>
      <c r="I294"/>
      <c r="J294" s="345"/>
      <c r="K294"/>
      <c r="L294"/>
      <c r="M294"/>
      <c r="N294"/>
      <c r="O294"/>
      <c r="P294"/>
      <c r="Q294"/>
      <c r="R294"/>
      <c r="S294" s="1307"/>
      <c r="T294"/>
    </row>
    <row r="295" spans="1:20" x14ac:dyDescent="0.2">
      <c r="A295" s="106" t="s">
        <v>5446</v>
      </c>
      <c r="B295" s="5"/>
      <c r="C295" s="1299"/>
      <c r="D295" s="523"/>
      <c r="E295" s="5"/>
      <c r="F295" s="1322"/>
      <c r="G295" s="1299"/>
      <c r="H295" s="523"/>
      <c r="I295" s="5"/>
      <c r="J295" s="1322"/>
      <c r="K295"/>
      <c r="L295"/>
      <c r="M295"/>
      <c r="N295"/>
      <c r="O295"/>
      <c r="P295"/>
      <c r="Q295"/>
      <c r="R295"/>
      <c r="S295" s="1307"/>
      <c r="T295"/>
    </row>
    <row r="296" spans="1:20" x14ac:dyDescent="0.2">
      <c r="A296" t="s">
        <v>5106</v>
      </c>
      <c r="B296" t="s">
        <v>5521</v>
      </c>
      <c r="C296" s="1295">
        <f>SUMIFS('12'!$N$7:$N$100,'12'!$H$7:$H$100,$A296,'12'!$I$7:$I$100,1)+SUMIFS('13'!$N$7:$N$100,'13'!$H$7:$H$100,$A296,'13'!$I$7:$I$100,1)+SUMIFS('14'!$N$7:$N$100,'14'!$H$7:$H$100,$A296,'14'!$I$7:$I$100,1)+SUMIFS('15'!$N$7:$N$100,'15'!$H$7:$H$100,$A296,'15'!$I$7:$I$100,1)+SUMIFS('15a'!$N$7:$N$100,'15a'!$H$7:$H$100,$A296,'15a'!$I$7:$I$100,1)+SUMIFS('15b'!$N$7:$N$100,'15b'!$H$7:$H$100,$A296,'15b'!$I$7:$I$100,1)+SUMIFS('15c'!$N$7:$N$100,'15c'!$H$7:$H$100,$A296,'15c'!$I$7:$I$100,1)+SUMIFS('15d'!$N$7:$N$100,'15d'!$H$7:$H$100,$A296,'15d'!$I$7:$I$100,1)+SUMIFS('15e'!$N$7:$N$100,'15e'!$H$7:$H$100,$A296,'15e'!$I$7:$I$100,1)+SUMIFS('15f'!$N$7:$N$100,'15f'!$H$7:$H$100,$A296,'15f'!$I$7:$I$100,1)+SUMIFS('15g'!$N$7:$N$100,'15g'!$H$7:$H$100,$A296,'15g'!$I$7:$I$100,1)+SUMIFS('15h'!$N$7:$N$100,'15h'!$H$7:$H$100,$A296,'15h'!$I$7:$I$100,1)+SUMIFS('15i'!$N$7:$N$100,'15i'!$H$7:$H$100,$A296,'15i'!$I$7:$I$100,1)+SUMIFS('15j'!$N$7:$N$100,'15j'!$H$7:$H$100,$A296,'15j'!$I$7:$I$100,1)+SUMIFS('15k'!$N$7:$N$100,'15k'!$H$7:$H$100,$A296,'15k'!$I$7:$I$100,1)+SUMIFS('15l'!$N$7:$N$100,'15l'!$H$7:$H$100,$A296,'15l'!$I$7:$I$100,1)+SUMIFS('15m'!$N$7:$N$100,'15m'!$H$7:$H$100,$A296,'15m'!$I$7:$I$100,1)+SUMIFS('15n'!$N$7:$N$100,'15n'!$H$7:$H$100,$A296,'15n'!$I$7:$I$100,1)+SUMIFS('16'!$N$7:$N$100,'16'!$H$7:$H$100,$A296,'16'!$I$7:$I$100,1)+SUMIFS('16a'!$N$7:$N$100,'16a'!$H$7:$H$100,$A296,'16a'!$I$7:$I$100,1)+SUMIFS('17'!$N$7:$N$100,'17'!$H$7:$H$100,$A296,'17'!$I$7:$I$100,1)+SUMIFS('17a'!$N$7:$N$100,'17a'!$H$7:$H$100,$A296,'17a'!$I$7:$I$100,1)+SUMIFS('18'!$N$7:$N$100,'18'!$H$7:$H$100,$A296,'18'!$I$7:$I$100,1)+SUMIFS('18a'!$N$7:$N$100,'18a'!$H$7:$H$100,$A296,'18a'!$I$7:$I$100,1)
+SUMIFS('19'!$N$7:$N$100,'19'!$H$7:$H$100,$A296,'19'!$I$7:$I$100,1)+SUMIFS('20'!$N$7:$N$100,'20'!$H$7:$H$100,$A296,'20'!$I$7:$I$100,1)+SUMIFS('20a'!$N$7:$N$100,'20a'!$H$7:$H$100,$A296,'20a'!$I$7:$I$100,1)+SUMIFS('21'!$N$7:$N$100,'21'!$H$7:$H$100,$A296,'21'!$I$7:$I$100,1)+SUMIFS('22'!$N$7:$N$100,'22'!$H$7:$H$100,$A296,'22'!$I$7:$I$100,1)+SUMIFS('22a'!$N$7:$N$100,'22a'!$H$7:$H$100,$A296,'22a'!$I$7:$I$100,1)+SUMIFS('22b'!$N$7:$N$100,'22b'!$H$7:$H$100,$A296,'22b'!$I$7:$I$100,1)+SUMIFS('23'!$N$7:$N$100,'23'!$H$7:$H$100,$A296,'23'!$I$7:$I$100,1)+SUMIFS('24'!$N$7:$N$100,'24'!$H$7:$H$100,$A296,'24'!$I$7:$I$100,1)+SUMIFS('24a'!$N$7:$N$100,'24a'!$H$7:$H$100,$A296,'24a'!$I$7:$I$100,1)+SUMIFS('24b'!$N$7:$N$100,'24b'!$H$7:$H$100,$A296,'24b'!$I$7:$I$100,1)+SUMIFS('24c'!$N$7:$N$100,'24c'!$H$7:$H$100,$A296,'24c'!$I$7:$I$100,1)+SUMIFS('24d'!$N$7:$N$100,'24d'!$H$7:$H$100,$A296,'24d'!$I$7:$I$100,1)+SUMIFS('24e'!$N$7:$N$100,'24e'!$H$7:$H$100,$A296,'24e'!$I$7:$I$100,1)+SUMIFS('24f'!$N$7:$N$100,'24f'!$H$7:$H$100,$A296,'24f'!$I$7:$I$100,1)+SUMIFS('24g'!$N$7:$N$100,'24g'!$H$7:$H$100,$A296,'24g'!$I$7:$I$100,1)+SUMIFS('24h'!$N$7:$N$100,'24h'!$H$7:$H$100,$A296,'24h'!$I$7:$I$100,1)+SUMIFS('24i'!$N$7:$N$100,'24i'!$H$7:$H$100,$A296,'24i'!$I$7:$I$100,1)+SUMIFS('25'!$N$7:$N$100,'25'!$H$7:$H$100,$A296,'25'!$I$7:$I$100,1)+SUMIFS('26'!$N$7:$N$100,'26'!$H$7:$H$100,$A296,'26'!$I$7:$I$100,1)+SUMIFS('26a'!$N$7:$N$100,'26a'!$H$7:$H$100,$A296,'26a'!$I$7:$I$100,1)+SUMIFS('27'!$N$7:$N$100,'27'!$H$7:$H$100,$A296,'27'!$I$7:$I$100,1)+SUMIFS('27a'!$N$7:$N$100,'27a'!$H$7:$H$100,$A296,'27a'!$I$7:$I$100,1)+SUMIFS('28'!$N$7:$N$100,'28'!$H$7:$H$100,$A296,'28'!$I$7:$I$100,1)+SUMIFS('29'!$N$7:$N$100,'29'!$H$7:$H$100,$A296,'29'!$I$7:$I$100,1)</f>
        <v>0</v>
      </c>
      <c r="D296" s="1315">
        <f>SUMIFS('12'!$N$7:$N$100,'12'!$H$7:$H$100,$A296,'12'!$I$7:$I$100,2)+SUMIFS('13'!$N$7:$N$100,'13'!$H$7:$H$100,$A296,'13'!$I$7:$I$100,2)+SUMIFS('14'!$N$7:$N$100,'14'!$H$7:$H$100,$A296,'14'!$I$7:$I$100,2)+SUMIFS('15'!$N$7:$N$100,'15'!$H$7:$H$100,$A296,'15'!$I$7:$I$100,2)+SUMIFS('15a'!$N$7:$N$100,'15a'!$H$7:$H$100,$A296,'15a'!$I$7:$I$100,2)+SUMIFS('15b'!$N$7:$N$100,'15b'!$H$7:$H$100,$A296,'15b'!$I$7:$I$100,2)+SUMIFS('15c'!$N$7:$N$100,'15c'!$H$7:$H$100,$A296,'15c'!$I$7:$I$100,2)+SUMIFS('15d'!$N$7:$N$100,'15d'!$H$7:$H$100,$A296,'15d'!$I$7:$I$100,2)+SUMIFS('15e'!$N$7:$N$100,'15e'!$H$7:$H$100,$A296,'15e'!$I$7:$I$100,2)+SUMIFS('15f'!$N$7:$N$100,'15f'!$H$7:$H$100,$A296,'15f'!$I$7:$I$100,2)+SUMIFS('15g'!$N$7:$N$100,'15g'!$H$7:$H$100,$A296,'15g'!$I$7:$I$100,2)+SUMIFS('15h'!$N$7:$N$100,'15h'!$H$7:$H$100,$A296,'15h'!$I$7:$I$100,2)+SUMIFS('15i'!$N$7:$N$100,'15i'!$H$7:$H$100,$A296,'15i'!$I$7:$I$100,2)+SUMIFS('15j'!$N$7:$N$100,'15j'!$H$7:$H$100,$A296,'15j'!$I$7:$I$100,2)+SUMIFS('15k'!$N$7:$N$100,'15k'!$H$7:$H$100,$A296,'15k'!$I$7:$I$100,2)+SUMIFS('15l'!$N$7:$N$100,'15l'!$H$7:$H$100,$A296,'15l'!$I$7:$I$100,2)+SUMIFS('15m'!$N$7:$N$100,'15m'!$H$7:$H$100,$A296,'15m'!$I$7:$I$100,2)+SUMIFS('15n'!$N$7:$N$100,'15n'!$H$7:$H$100,$A296,'15n'!$I$7:$I$100,2)+SUMIFS('16'!$N$7:$N$100,'16'!$H$7:$H$100,$A296,'16'!$I$7:$I$100,2)+SUMIFS('16a'!$N$7:$N$100,'16a'!$H$7:$H$100,$A296,'16a'!$I$7:$I$100,2)+SUMIFS('17'!$N$7:$N$100,'17'!$H$7:$H$100,$A296,'17'!$I$7:$I$100,2)+SUMIFS('17a'!$N$7:$N$100,'17a'!$H$7:$H$100,$A296,'17a'!$I$7:$I$100,2)+SUMIFS('18'!$N$7:$N$100,'18'!$H$7:$H$100,$A296,'18'!$I$7:$I$100,2)+SUMIFS('18a'!$N$7:$N$100,'18a'!$H$7:$H$100,$A296,'18a'!$I$7:$I$100,2)
+SUMIFS('19'!$N$7:$N$100,'19'!$H$7:$H$100,$A296,'19'!$I$7:$I$100,2)+SUMIFS('20'!$N$7:$N$100,'20'!$H$7:$H$100,$A296,'20'!$I$7:$I$100,2)+SUMIFS('20a'!$N$7:$N$100,'20a'!$H$7:$H$100,$A296,'20a'!$I$7:$I$100,2)+SUMIFS('21'!$N$7:$N$100,'21'!$H$7:$H$100,$A296,'21'!$I$7:$I$100,2)+SUMIFS('22'!$N$7:$N$100,'22'!$H$7:$H$100,$A296,'22'!$I$7:$I$100,2)+SUMIFS('22a'!$N$7:$N$100,'22a'!$H$7:$H$100,$A296,'22a'!$I$7:$I$100,2)+SUMIFS('22b'!$N$7:$N$100,'22b'!$H$7:$H$100,$A296,'22b'!$I$7:$I$100,2)+SUMIFS('23'!$N$7:$N$100,'23'!$H$7:$H$100,$A296,'23'!$I$7:$I$100,2)+SUMIFS('24'!$N$7:$N$100,'24'!$H$7:$H$100,$A296,'24'!$I$7:$I$100,2)+SUMIFS('24a'!$N$7:$N$100,'24a'!$H$7:$H$100,$A296,'24a'!$I$7:$I$100,2)+SUMIFS('24b'!$N$7:$N$100,'24b'!$H$7:$H$100,$A296,'24b'!$I$7:$I$100,2)+SUMIFS('24c'!$N$7:$N$100,'24c'!$H$7:$H$100,$A296,'24c'!$I$7:$I$100,2)+SUMIFS('24d'!$N$7:$N$100,'24d'!$H$7:$H$100,$A296,'24d'!$I$7:$I$100,2)+SUMIFS('24e'!$N$7:$N$100,'24e'!$H$7:$H$100,$A296,'24e'!$I$7:$I$100,2)+SUMIFS('24f'!$N$7:$N$100,'24f'!$H$7:$H$100,$A296,'24f'!$I$7:$I$100,2)+SUMIFS('24g'!$N$7:$N$100,'24g'!$H$7:$H$100,$A296,'24g'!$I$7:$I$100,2)+SUMIFS('24h'!$N$7:$N$100,'24h'!$H$7:$H$100,$A296,'24h'!$I$7:$I$100,2)+SUMIFS('24i'!$N$7:$N$100,'24i'!$H$7:$H$100,$A296,'24i'!$I$7:$I$100,2)+SUMIFS('25'!$N$7:$N$100,'25'!$H$7:$H$100,$A296,'25'!$I$7:$I$100,2)+SUMIFS('26'!$N$7:$N$100,'26'!$H$7:$H$100,$A296,'26'!$I$7:$I$100,2)+SUMIFS('26a'!$N$7:$N$100,'26a'!$H$7:$H$100,$A296,'26a'!$I$7:$I$100,2)+SUMIFS('27'!$N$7:$N$100,'27'!$H$7:$H$100,$A296,'27'!$I$7:$I$100,2)+SUMIFS('27a'!$N$7:$N$100,'27a'!$H$7:$H$100,$A296,'27a'!$I$7:$I$100,2)+SUMIFS('28'!$N$7:$N$100,'28'!$H$7:$H$100,$A296,'28'!$I$7:$I$100,2)+SUMIFS('29'!$N$7:$N$100,'29'!$H$7:$H$100,$A296,'29'!$I$7:$I$100,2)</f>
        <v>0</v>
      </c>
      <c r="E296" s="1315">
        <f>SUMIFS('12'!$N$7:$N$100,'12'!$H$7:$H$100,$A296,'12'!$I$7:$I$100,"")+SUMIFS('13'!$N$7:$N$100,'13'!$H$7:$H$100,$A296,'13'!$I$7:$I$100,"")+SUMIFS('14'!$N$7:$N$100,'14'!$H$7:$H$100,$A296,'14'!$I$7:$I$100,"")+SUMIFS('15'!$N$7:$N$100,'15'!$H$7:$H$100,$A296,'15'!$I$7:$I$100,"")+SUMIFS('15a'!$N$7:$N$100,'15a'!$H$7:$H$100,$A296,'15a'!$I$7:$I$100,"")+SUMIFS('15b'!$N$7:$N$100,'15b'!$H$7:$H$100,$A296,'15b'!$I$7:$I$100,"")+SUMIFS('15c'!$N$7:$N$100,'15c'!$H$7:$H$100,$A296,'15c'!$I$7:$I$100,"")+SUMIFS('15d'!$N$7:$N$100,'15d'!$H$7:$H$100,$A296,'15d'!$I$7:$I$100,"")+SUMIFS('15e'!$N$7:$N$100,'15e'!$H$7:$H$100,$A296,'15e'!$I$7:$I$100,"")+SUMIFS('15f'!$N$7:$N$100,'15f'!$H$7:$H$100,$A296,'15f'!$I$7:$I$100,"")+SUMIFS('15g'!$N$7:$N$100,'15g'!$H$7:$H$100,$A296,'15g'!$I$7:$I$100,"")+SUMIFS('15h'!$N$7:$N$100,'15h'!$H$7:$H$100,$A296,'15h'!$I$7:$I$100,"")+SUMIFS('15i'!$N$7:$N$100,'15i'!$H$7:$H$100,$A296,'15i'!$I$7:$I$100,"")+SUMIFS('15j'!$N$7:$N$100,'15j'!$H$7:$H$100,$A296,'15j'!$I$7:$I$100,"")+SUMIFS('15k'!$N$7:$N$100,'15k'!$H$7:$H$100,$A296,'15k'!$I$7:$I$100,"")+SUMIFS('15l'!$N$7:$N$100,'15l'!$H$7:$H$100,$A296,'15l'!$I$7:$I$100,"")+SUMIFS('15m'!$N$7:$N$100,'15m'!$H$7:$H$100,$A296,'15m'!$I$7:$I$100,"")+SUMIFS('15n'!$N$7:$N$100,'15n'!$H$7:$H$100,$A296,'15n'!$I$7:$I$100,"")+SUMIFS('16'!$N$7:$N$100,'16'!$H$7:$H$100,$A296,'16'!$I$7:$I$100,"")+SUMIFS('16a'!$N$7:$N$100,'16a'!$H$7:$H$100,$A296,'16a'!$I$7:$I$100,"")+SUMIFS('17'!$N$7:$N$100,'17'!$H$7:$H$100,$A296,'17'!$I$7:$I$100,"")+SUMIFS('17a'!$N$7:$N$100,'17a'!$H$7:$H$100,$A296,'17a'!$I$7:$I$100,"")+SUMIFS('18'!$N$7:$N$100,'18'!$H$7:$H$100,$A296,'18'!$I$7:$I$100,"")+SUMIFS('18a'!$N$7:$N$100,'18a'!$H$7:$H$100,$A296,'18a'!$I$7:$I$100,"")
+SUMIFS('19'!$N$7:$N$100,'19'!$H$7:$H$100,$A296,'19'!$I$7:$I$100,"")+SUMIFS('20'!$N$7:$N$100,'20'!$H$7:$H$100,$A296,'20'!$I$7:$I$100,"")+SUMIFS('20a'!$N$7:$N$100,'20a'!$H$7:$H$100,$A296,'20a'!$I$7:$I$100,"")+SUMIFS('21'!$N$7:$N$100,'21'!$H$7:$H$100,$A296,'21'!$I$7:$I$100,"")+SUMIFS('22'!$N$7:$N$100,'22'!$H$7:$H$100,$A296,'22'!$I$7:$I$100,"")+SUMIFS('22a'!$N$7:$N$100,'22a'!$H$7:$H$100,$A296,'22a'!$I$7:$I$100,"")+SUMIFS('22b'!$N$7:$N$100,'22b'!$H$7:$H$100,$A296,'22b'!$I$7:$I$100,"")+SUMIFS('23'!$N$7:$N$100,'23'!$H$7:$H$100,$A296,'23'!$I$7:$I$100,"")+SUMIFS('24'!$N$7:$N$100,'24'!$H$7:$H$100,$A296,'24'!$I$7:$I$100,"")+SUMIFS('24a'!$N$7:$N$100,'24a'!$H$7:$H$100,$A296,'24a'!$I$7:$I$100,"")+SUMIFS('24b'!$N$7:$N$100,'24b'!$H$7:$H$100,$A296,'24b'!$I$7:$I$100,"")+SUMIFS('24c'!$N$7:$N$100,'24c'!$H$7:$H$100,$A296,'24c'!$I$7:$I$100,"")+SUMIFS('24d'!$N$7:$N$100,'24d'!$H$7:$H$100,$A296,'24d'!$I$7:$I$100,"")+SUMIFS('24e'!$N$7:$N$100,'24e'!$H$7:$H$100,$A296,'24e'!$I$7:$I$100,"")+SUMIFS('24f'!$N$7:$N$100,'24f'!$H$7:$H$100,$A296,'24f'!$I$7:$I$100,"")+SUMIFS('24g'!$N$7:$N$100,'24g'!$H$7:$H$100,$A296,'24g'!$I$7:$I$100,"")+SUMIFS('24h'!$N$7:$N$100,'24h'!$H$7:$H$100,$A296,'24h'!$I$7:$I$100,"")+SUMIFS('24i'!$N$7:$N$100,'24i'!$H$7:$H$100,$A296,'24i'!$I$7:$I$100,"")+SUMIFS('25'!$N$7:$N$100,'25'!$H$7:$H$100,$A296,'25'!$I$7:$I$100,"")+SUMIFS('26'!$N$7:$N$100,'26'!$H$7:$H$100,$A296,'26'!$I$7:$I$100,"")+SUMIFS('26a'!$N$7:$N$100,'26a'!$H$7:$H$100,$A296,'26a'!$I$7:$I$100,"")+SUMIFS('27'!$N$7:$N$100,'27'!$H$7:$H$100,$A296,'27'!$I$7:$I$100,"")+SUMIFS('27a'!$N$7:$N$100,'27a'!$H$7:$H$100,$A296,'27a'!$I$7:$I$100,"")+SUMIFS('28'!$N$7:$N$100,'28'!$H$7:$H$100,$A296,'28'!$I$7:$I$100,"")+SUMIFS('29'!$N$7:$N$100,'29'!$H$7:$H$100,$A296,'29'!$I$7:$I$100,"")</f>
        <v>0</v>
      </c>
      <c r="F296" s="1296">
        <f t="shared" ref="F296:F304" si="36">SUM(C296:E296)</f>
        <v>0</v>
      </c>
      <c r="G296" s="1295">
        <f>SUMIFS('12'!$J$7:$J$100,'12'!$H$7:$H$100,$A296,'12'!$I$7:$I$100,1)+SUMIFS('13'!$J$7:$J$100,'13'!$H$7:$H$100,$A296,'13'!$I$7:$I$100,1)+SUMIFS('14'!$J$7:$J$100,'14'!$H$7:$H$100,$A296,'14'!$I$7:$I$100,1)+SUMIFS('15'!$J$7:$J$100,'15'!$H$7:$H$100,$A296,'15'!$I$7:$I$100,1)+SUMIFS('15a'!$J$7:$J$100,'15a'!$H$7:$H$100,$A296,'15a'!$I$7:$I$100,1)+SUMIFS('15b'!$J$7:$J$100,'15b'!$H$7:$H$100,$A296,'15b'!$I$7:$I$100,1)+SUMIFS('15c'!$J$7:$J$100,'15c'!$H$7:$H$100,$A296,'15c'!$I$7:$I$100,1)+SUMIFS('15d'!$J$7:$J$100,'15d'!$H$7:$H$100,$A296,'15d'!$I$7:$I$100,1)+SUMIFS('15e'!$J$7:$J$100,'15e'!$H$7:$H$100,$A296,'15e'!$I$7:$I$100,1)+SUMIFS('15f'!$J$7:$J$100,'15f'!$H$7:$H$100,$A296,'15f'!$I$7:$I$100,1)+SUMIFS('15g'!$J$7:$J$100,'15g'!$H$7:$H$100,$A296,'15g'!$I$7:$I$100,1)+SUMIFS('15h'!$J$7:$J$100,'15h'!$H$7:$H$100,$A296,'15h'!$I$7:$I$100,1)+SUMIFS('15i'!$J$7:$J$100,'15i'!$H$7:$H$100,$A296,'15i'!$I$7:$I$100,1)+SUMIFS('15j'!$J$7:$J$100,'15j'!$H$7:$H$100,$A296,'15j'!$I$7:$I$100,1)+SUMIFS('15k'!$J$7:$J$100,'15k'!$H$7:$H$100,$A296,'15k'!$I$7:$I$100,1)+SUMIFS('15l'!$J$7:$J$100,'15l'!$H$7:$H$100,$A296,'15l'!$I$7:$I$100,1)+SUMIFS('15m'!$J$7:$J$100,'15m'!$H$7:$H$100,$A296,'15m'!$I$7:$I$100,1)+SUMIFS('15n'!$J$7:$J$100,'15n'!$H$7:$H$100,$A296,'15n'!$I$7:$I$100,1)+SUMIFS('16'!$J$7:$J$100,'16'!$H$7:$H$100,$A296,'16'!$I$7:$I$100,1)+SUMIFS('16a'!$J$7:$J$100,'16a'!$H$7:$H$100,$A296,'16a'!$I$7:$I$100,1)+SUMIFS('17'!$J$7:$J$100,'17'!$H$7:$H$100,$A296,'17'!$I$7:$I$100,1)+SUMIFS('17a'!$J$7:$J$100,'17a'!$H$7:$H$100,$A296,'17a'!$I$7:$I$100,1)+SUMIFS('18'!$J$7:$J$100,'18'!$H$7:$H$100,$A296,'18'!$I$7:$I$100,1)+SUMIFS('18a'!$J$7:$J$100,'18a'!$H$7:$H$100,$A296,'18a'!$I$7:$I$100,1)
+SUMIFS('19'!$J$7:$J$100,'19'!$H$7:$H$100,$A296,'19'!$I$7:$I$100,1)+SUMIFS('20'!$J$7:$J$100,'20'!$H$7:$H$100,$A296,'20'!$I$7:$I$100,1)+SUMIFS('20a'!$J$7:$J$100,'20a'!$H$7:$H$100,$A296,'20a'!$I$7:$I$100,1)+SUMIFS('21'!$J$7:$J$100,'21'!$H$7:$H$100,$A296,'21'!$I$7:$I$100,1)+SUMIFS('22'!$J$7:$J$100,'22'!$H$7:$H$100,$A296,'22'!$I$7:$I$100,1)+SUMIFS('22a'!$J$7:$J$100,'22a'!$H$7:$H$100,$A296,'22a'!$I$7:$I$100,1)+SUMIFS('22b'!$J$7:$J$100,'22b'!$H$7:$H$100,$A296,'22b'!$I$7:$I$100,1)+SUMIFS('23'!$J$7:$J$100,'23'!$H$7:$H$100,$A296,'23'!$I$7:$I$100,1)+SUMIFS('24'!$J$7:$J$100,'24'!$H$7:$H$100,$A296,'24'!$I$7:$I$100,1)+SUMIFS('24a'!$J$7:$J$100,'24a'!$H$7:$H$100,$A296,'24a'!$I$7:$I$100,1)+SUMIFS('24b'!$J$7:$J$100,'24b'!$H$7:$H$100,$A296,'24b'!$I$7:$I$100,1)+SUMIFS('24c'!$J$7:$J$100,'24c'!$H$7:$H$100,$A296,'24c'!$I$7:$I$100,1)+SUMIFS('24d'!$J$7:$J$100,'24d'!$H$7:$H$100,$A296,'24d'!$I$7:$I$100,1)+SUMIFS('24e'!$J$7:$J$100,'24e'!$H$7:$H$100,$A296,'24e'!$I$7:$I$100,1)+SUMIFS('24f'!$J$7:$J$100,'24f'!$H$7:$H$100,$A296,'24f'!$I$7:$I$100,1)+SUMIFS('24g'!$J$7:$J$100,'24g'!$H$7:$H$100,$A296,'24g'!$I$7:$I$100,1)+SUMIFS('24h'!$J$7:$J$100,'24h'!$H$7:$H$100,$A296,'24h'!$I$7:$I$100,1)+SUMIFS('24i'!$J$7:$J$100,'24i'!$H$7:$H$100,$A296,'24i'!$I$7:$I$100,1)+SUMIFS('25'!$J$7:$J$100,'25'!$H$7:$H$100,$A296,'25'!$I$7:$I$100,1)+SUMIFS('26'!$J$7:$J$100,'26'!$H$7:$H$100,$A296,'26'!$I$7:$I$100,1)+SUMIFS('26a'!$J$7:$J$100,'26a'!$H$7:$H$100,$A296,'26a'!$I$7:$I$100,1)+SUMIFS('27'!$J$7:$J$100,'27'!$H$7:$H$100,$A296,'27'!$I$7:$I$100,1)+SUMIFS('27a'!$J$7:$J$100,'27a'!$H$7:$H$100,$A296,'27a'!$I$7:$I$100,1)+SUMIFS('28'!$J$7:$J$100,'28'!$H$7:$H$100,$A296,'28'!$I$7:$I$100,1)+SUMIFS('29'!$J$7:$J$100,'29'!$H$7:$H$100,$A296,'29'!$I$7:$I$100,1)</f>
        <v>0</v>
      </c>
      <c r="H296" s="1315">
        <f>SUMIFS('12'!$J$7:$J$100,'12'!$H$7:$H$100,$A296,'12'!$I$7:$I$100,2)+SUMIFS('13'!$J$7:$J$100,'13'!$H$7:$H$100,$A296,'13'!$I$7:$I$100,2)+SUMIFS('14'!$J$7:$J$100,'14'!$H$7:$H$100,$A296,'14'!$I$7:$I$100,2)+SUMIFS('15'!$J$7:$J$100,'15'!$H$7:$H$100,$A296,'15'!$I$7:$I$100,2)+SUMIFS('15a'!$J$7:$J$100,'15a'!$H$7:$H$100,$A296,'15a'!$I$7:$I$100,2)+SUMIFS('15b'!$J$7:$J$100,'15b'!$H$7:$H$100,$A296,'15b'!$I$7:$I$100,2)+SUMIFS('15c'!$J$7:$J$100,'15c'!$H$7:$H$100,$A296,'15c'!$I$7:$I$100,2)+SUMIFS('15d'!$J$7:$J$100,'15d'!$H$7:$H$100,$A296,'15d'!$I$7:$I$100,2)+SUMIFS('15e'!$J$7:$J$100,'15e'!$H$7:$H$100,$A296,'15e'!$I$7:$I$100,2)+SUMIFS('15f'!$J$7:$J$100,'15f'!$H$7:$H$100,$A296,'15f'!$I$7:$I$100,2)+SUMIFS('15g'!$J$7:$J$100,'15g'!$H$7:$H$100,$A296,'15g'!$I$7:$I$100,2)+SUMIFS('15h'!$J$7:$J$100,'15h'!$H$7:$H$100,$A296,'15h'!$I$7:$I$100,2)+SUMIFS('15i'!$J$7:$J$100,'15i'!$H$7:$H$100,$A296,'15i'!$I$7:$I$100,2)+SUMIFS('15j'!$J$7:$J$100,'15j'!$H$7:$H$100,$A296,'15j'!$I$7:$I$100,2)+SUMIFS('15k'!$J$7:$J$100,'15k'!$H$7:$H$100,$A296,'15k'!$I$7:$I$100,2)+SUMIFS('15l'!$J$7:$J$100,'15l'!$H$7:$H$100,$A296,'15l'!$I$7:$I$100,2)+SUMIFS('15m'!$J$7:$J$100,'15m'!$H$7:$H$100,$A296,'15m'!$I$7:$I$100,2)+SUMIFS('15n'!$J$7:$J$100,'15n'!$H$7:$H$100,$A296,'15n'!$I$7:$I$100,2)+SUMIFS('16'!$J$7:$J$100,'16'!$H$7:$H$100,$A296,'16'!$I$7:$I$100,2)+SUMIFS('16a'!$J$7:$J$100,'16a'!$H$7:$H$100,$A296,'16a'!$I$7:$I$100,2)+SUMIFS('17'!$J$7:$J$100,'17'!$H$7:$H$100,$A296,'17'!$I$7:$I$100,2)+SUMIFS('17a'!$J$7:$J$100,'17a'!$H$7:$H$100,$A296,'17a'!$I$7:$I$100,2)+SUMIFS('18'!$J$7:$J$100,'18'!$H$7:$H$100,$A296,'18'!$I$7:$I$100,2)+SUMIFS('18a'!$J$7:$J$100,'18a'!$H$7:$H$100,$A296,'18a'!$I$7:$I$100,2)
+SUMIFS('19'!$J$7:$J$100,'19'!$H$7:$H$100,$A296,'19'!$I$7:$I$100,2)+SUMIFS('20'!$J$7:$J$100,'20'!$H$7:$H$100,$A296,'20'!$I$7:$I$100,2)+SUMIFS('20a'!$J$7:$J$100,'20a'!$H$7:$H$100,$A296,'20a'!$I$7:$I$100,2)+SUMIFS('21'!$J$7:$J$100,'21'!$H$7:$H$100,$A296,'21'!$I$7:$I$100,2)+SUMIFS('22'!$J$7:$J$100,'22'!$H$7:$H$100,$A296,'22'!$I$7:$I$100,2)+SUMIFS('22a'!$J$7:$J$100,'22a'!$H$7:$H$100,$A296,'22a'!$I$7:$I$100,2)+SUMIFS('22b'!$J$7:$J$100,'22b'!$H$7:$H$100,$A296,'22b'!$I$7:$I$100,2)+SUMIFS('23'!$J$7:$J$100,'23'!$H$7:$H$100,$A296,'23'!$I$7:$I$100,2)+SUMIFS('24'!$J$7:$J$100,'24'!$H$7:$H$100,$A296,'24'!$I$7:$I$100,2)+SUMIFS('24a'!$J$7:$J$100,'24a'!$H$7:$H$100,$A296,'24a'!$I$7:$I$100,2)+SUMIFS('24b'!$J$7:$J$100,'24b'!$H$7:$H$100,$A296,'24b'!$I$7:$I$100,2)+SUMIFS('24c'!$J$7:$J$100,'24c'!$H$7:$H$100,$A296,'24c'!$I$7:$I$100,2)+SUMIFS('24d'!$J$7:$J$100,'24d'!$H$7:$H$100,$A296,'24d'!$I$7:$I$100,2)+SUMIFS('24e'!$J$7:$J$100,'24e'!$H$7:$H$100,$A296,'24e'!$I$7:$I$100,2)+SUMIFS('24f'!$J$7:$J$100,'24f'!$H$7:$H$100,$A296,'24f'!$I$7:$I$100,2)+SUMIFS('24g'!$J$7:$J$100,'24g'!$H$7:$H$100,$A296,'24g'!$I$7:$I$100,2)+SUMIFS('24h'!$J$7:$J$100,'24h'!$H$7:$H$100,$A296,'24h'!$I$7:$I$100,2)+SUMIFS('24i'!$J$7:$J$100,'24i'!$H$7:$H$100,$A296,'24i'!$I$7:$I$100,2)+SUMIFS('25'!$J$7:$J$100,'25'!$H$7:$H$100,$A296,'25'!$I$7:$I$100,2)+SUMIFS('26'!$J$7:$J$100,'26'!$H$7:$H$100,$A296,'26'!$I$7:$I$100,2)+SUMIFS('26a'!$J$7:$J$100,'26a'!$H$7:$H$100,$A296,'26a'!$I$7:$I$100,2)+SUMIFS('27'!$J$7:$J$100,'27'!$H$7:$H$100,$A296,'27'!$I$7:$I$100,2)+SUMIFS('27a'!$J$7:$J$100,'27a'!$H$7:$H$100,$A296,'27a'!$I$7:$I$100,2)+SUMIFS('28'!$J$7:$J$100,'28'!$H$7:$H$100,$A296,'28'!$I$7:$I$100,2)+SUMIFS('29'!$J$7:$J$100,'29'!$H$7:$H$100,$A296,'29'!$I$7:$I$100,2)</f>
        <v>0</v>
      </c>
      <c r="I296" s="1315">
        <f>SUMIFS('12'!$J$7:$J$100,'12'!$H$7:$H$100,$A296,'12'!$I$7:$I$100,"")+SUMIFS('13'!$J$7:$J$100,'13'!$H$7:$H$100,$A296,'13'!$I$7:$I$100,"")+SUMIFS('14'!$J$7:$J$100,'14'!$H$7:$H$100,$A296,'14'!$I$7:$I$100,"")+SUMIFS('15'!$J$7:$J$100,'15'!$H$7:$H$100,$A296,'15'!$I$7:$I$100,"")+SUMIFS('15a'!$J$7:$J$100,'15a'!$H$7:$H$100,$A296,'15a'!$I$7:$I$100,"")+SUMIFS('15b'!$J$7:$J$100,'15b'!$H$7:$H$100,$A296,'15b'!$I$7:$I$100,"")+SUMIFS('15c'!$J$7:$J$100,'15c'!$H$7:$H$100,$A296,'15c'!$I$7:$I$100,"")+SUMIFS('15d'!$J$7:$J$100,'15d'!$H$7:$H$100,$A296,'15d'!$I$7:$I$100,"")+SUMIFS('15e'!$J$7:$J$100,'15e'!$H$7:$H$100,$A296,'15e'!$I$7:$I$100,"")+SUMIFS('15f'!$J$7:$J$100,'15f'!$H$7:$H$100,$A296,'15f'!$I$7:$I$100,"")+SUMIFS('15g'!$J$7:$J$100,'15g'!$H$7:$H$100,$A296,'15g'!$I$7:$I$100,"")+SUMIFS('15h'!$J$7:$J$100,'15h'!$H$7:$H$100,$A296,'15h'!$I$7:$I$100,"")+SUMIFS('15i'!$J$7:$J$100,'15i'!$H$7:$H$100,$A296,'15i'!$I$7:$I$100,"")+SUMIFS('15j'!$J$7:$J$100,'15j'!$H$7:$H$100,$A296,'15j'!$I$7:$I$100,"")+SUMIFS('15k'!$J$7:$J$100,'15k'!$H$7:$H$100,$A296,'15k'!$I$7:$I$100,"")+SUMIFS('15l'!$J$7:$J$100,'15l'!$H$7:$H$100,$A296,'15l'!$I$7:$I$100,"")+SUMIFS('15m'!$J$7:$J$100,'15m'!$H$7:$H$100,$A296,'15m'!$I$7:$I$100,"")+SUMIFS('15n'!$J$7:$J$100,'15n'!$H$7:$H$100,$A296,'15n'!$I$7:$I$100,"")+SUMIFS('16'!$J$7:$J$100,'16'!$H$7:$H$100,$A296,'16'!$I$7:$I$100,"")+SUMIFS('16a'!$J$7:$J$100,'16a'!$H$7:$H$100,$A296,'16a'!$I$7:$I$100,"")+SUMIFS('17'!$J$7:$J$100,'17'!$H$7:$H$100,$A296,'17'!$I$7:$I$100,"")+SUMIFS('17a'!$J$7:$J$100,'17a'!$H$7:$H$100,$A296,'17a'!$I$7:$I$100,"")+SUMIFS('18'!$J$7:$J$100,'18'!$H$7:$H$100,$A296,'18'!$I$7:$I$100,"")+SUMIFS('18a'!$J$7:$J$100,'18a'!$H$7:$H$100,$A296,'18a'!$I$7:$I$100,"")
+SUMIFS('19'!$J$7:$J$100,'19'!$H$7:$H$100,$A296,'19'!$I$7:$I$100,"")+SUMIFS('20'!$J$7:$J$100,'20'!$H$7:$H$100,$A296,'20'!$I$7:$I$100,"")+SUMIFS('20a'!$J$7:$J$100,'20a'!$H$7:$H$100,$A296,'20a'!$I$7:$I$100,"")+SUMIFS('21'!$J$7:$J$100,'21'!$H$7:$H$100,$A296,'21'!$I$7:$I$100,"")+SUMIFS('22'!$J$7:$J$100,'22'!$H$7:$H$100,$A296,'22'!$I$7:$I$100,"")+SUMIFS('22a'!$J$7:$J$100,'22a'!$H$7:$H$100,$A296,'22a'!$I$7:$I$100,"")+SUMIFS('22b'!$J$7:$J$100,'22b'!$H$7:$H$100,$A296,'22b'!$I$7:$I$100,"")+SUMIFS('23'!$J$7:$J$100,'23'!$H$7:$H$100,$A296,'23'!$I$7:$I$100,"")+SUMIFS('24'!$J$7:$J$100,'24'!$H$7:$H$100,$A296,'24'!$I$7:$I$100,"")+SUMIFS('24a'!$J$7:$J$100,'24a'!$H$7:$H$100,$A296,'24a'!$I$7:$I$100,"")+SUMIFS('24b'!$J$7:$J$100,'24b'!$H$7:$H$100,$A296,'24b'!$I$7:$I$100,"")+SUMIFS('24c'!$J$7:$J$100,'24c'!$H$7:$H$100,$A296,'24c'!$I$7:$I$100,"")+SUMIFS('24d'!$J$7:$J$100,'24d'!$H$7:$H$100,$A296,'24d'!$I$7:$I$100,"")+SUMIFS('24e'!$J$7:$J$100,'24e'!$H$7:$H$100,$A296,'24e'!$I$7:$I$100,"")+SUMIFS('24f'!$J$7:$J$100,'24f'!$H$7:$H$100,$A296,'24f'!$I$7:$I$100,"")+SUMIFS('24g'!$J$7:$J$100,'24g'!$H$7:$H$100,$A296,'24g'!$I$7:$I$100,"")+SUMIFS('24h'!$J$7:$J$100,'24h'!$H$7:$H$100,$A296,'24h'!$I$7:$I$100,"")+SUMIFS('24i'!$J$7:$J$100,'24i'!$H$7:$H$100,$A296,'24i'!$I$7:$I$100,"")+SUMIFS('25'!$J$7:$J$100,'25'!$H$7:$H$100,$A296,'25'!$I$7:$I$100,"")+SUMIFS('26'!$J$7:$J$100,'26'!$H$7:$H$100,$A296,'26'!$I$7:$I$100,"")+SUMIFS('26a'!$J$7:$J$100,'26a'!$H$7:$H$100,$A296,'26a'!$I$7:$I$100,"")+SUMIFS('27'!$J$7:$J$100,'27'!$H$7:$H$100,$A296,'27'!$I$7:$I$100,"")+SUMIFS('27a'!$J$7:$J$100,'27a'!$H$7:$H$100,$A296,'27a'!$I$7:$I$100,"")+SUMIFS('28'!$J$7:$J$100,'28'!$H$7:$H$100,$A296,'28'!$I$7:$I$100,"")+SUMIFS('29'!$J$7:$J$100,'29'!$H$7:$H$100,$A296,'29'!$I$7:$I$100,"")</f>
        <v>0</v>
      </c>
      <c r="J296" s="1296">
        <f t="shared" ref="J296:J304" si="37">SUM(G296:I296)</f>
        <v>0</v>
      </c>
      <c r="K296"/>
      <c r="L296"/>
      <c r="M296"/>
      <c r="N296"/>
      <c r="O296"/>
      <c r="P296"/>
      <c r="Q296"/>
      <c r="R296"/>
      <c r="S296" s="1307">
        <f t="shared" si="30"/>
        <v>0</v>
      </c>
      <c r="T296"/>
    </row>
    <row r="297" spans="1:20" x14ac:dyDescent="0.2">
      <c r="A297" t="s">
        <v>5196</v>
      </c>
      <c r="B297" t="s">
        <v>5522</v>
      </c>
      <c r="C297" s="1295">
        <f>SUMIFS('12'!$N$7:$N$100,'12'!$H$7:$H$100,$A297,'12'!$I$7:$I$100,1)+SUMIFS('13'!$N$7:$N$100,'13'!$H$7:$H$100,$A297,'13'!$I$7:$I$100,1)+SUMIFS('14'!$N$7:$N$100,'14'!$H$7:$H$100,$A297,'14'!$I$7:$I$100,1)+SUMIFS('15'!$N$7:$N$100,'15'!$H$7:$H$100,$A297,'15'!$I$7:$I$100,1)+SUMIFS('15a'!$N$7:$N$100,'15a'!$H$7:$H$100,$A297,'15a'!$I$7:$I$100,1)+SUMIFS('15b'!$N$7:$N$100,'15b'!$H$7:$H$100,$A297,'15b'!$I$7:$I$100,1)+SUMIFS('15c'!$N$7:$N$100,'15c'!$H$7:$H$100,$A297,'15c'!$I$7:$I$100,1)+SUMIFS('15d'!$N$7:$N$100,'15d'!$H$7:$H$100,$A297,'15d'!$I$7:$I$100,1)+SUMIFS('15e'!$N$7:$N$100,'15e'!$H$7:$H$100,$A297,'15e'!$I$7:$I$100,1)+SUMIFS('15f'!$N$7:$N$100,'15f'!$H$7:$H$100,$A297,'15f'!$I$7:$I$100,1)+SUMIFS('15g'!$N$7:$N$100,'15g'!$H$7:$H$100,$A297,'15g'!$I$7:$I$100,1)+SUMIFS('15h'!$N$7:$N$100,'15h'!$H$7:$H$100,$A297,'15h'!$I$7:$I$100,1)+SUMIFS('15i'!$N$7:$N$100,'15i'!$H$7:$H$100,$A297,'15i'!$I$7:$I$100,1)+SUMIFS('15j'!$N$7:$N$100,'15j'!$H$7:$H$100,$A297,'15j'!$I$7:$I$100,1)+SUMIFS('15k'!$N$7:$N$100,'15k'!$H$7:$H$100,$A297,'15k'!$I$7:$I$100,1)+SUMIFS('15l'!$N$7:$N$100,'15l'!$H$7:$H$100,$A297,'15l'!$I$7:$I$100,1)+SUMIFS('15m'!$N$7:$N$100,'15m'!$H$7:$H$100,$A297,'15m'!$I$7:$I$100,1)+SUMIFS('15n'!$N$7:$N$100,'15n'!$H$7:$H$100,$A297,'15n'!$I$7:$I$100,1)+SUMIFS('16'!$N$7:$N$100,'16'!$H$7:$H$100,$A297,'16'!$I$7:$I$100,1)+SUMIFS('16a'!$N$7:$N$100,'16a'!$H$7:$H$100,$A297,'16a'!$I$7:$I$100,1)+SUMIFS('17'!$N$7:$N$100,'17'!$H$7:$H$100,$A297,'17'!$I$7:$I$100,1)+SUMIFS('17a'!$N$7:$N$100,'17a'!$H$7:$H$100,$A297,'17a'!$I$7:$I$100,1)+SUMIFS('18'!$N$7:$N$100,'18'!$H$7:$H$100,$A297,'18'!$I$7:$I$100,1)+SUMIFS('18a'!$N$7:$N$100,'18a'!$H$7:$H$100,$A297,'18a'!$I$7:$I$100,1)
+SUMIFS('19'!$N$7:$N$100,'19'!$H$7:$H$100,$A297,'19'!$I$7:$I$100,1)+SUMIFS('20'!$N$7:$N$100,'20'!$H$7:$H$100,$A297,'20'!$I$7:$I$100,1)+SUMIFS('20a'!$N$7:$N$100,'20a'!$H$7:$H$100,$A297,'20a'!$I$7:$I$100,1)+SUMIFS('21'!$N$7:$N$100,'21'!$H$7:$H$100,$A297,'21'!$I$7:$I$100,1)+SUMIFS('22'!$N$7:$N$100,'22'!$H$7:$H$100,$A297,'22'!$I$7:$I$100,1)+SUMIFS('22a'!$N$7:$N$100,'22a'!$H$7:$H$100,$A297,'22a'!$I$7:$I$100,1)+SUMIFS('22b'!$N$7:$N$100,'22b'!$H$7:$H$100,$A297,'22b'!$I$7:$I$100,1)+SUMIFS('23'!$N$7:$N$100,'23'!$H$7:$H$100,$A297,'23'!$I$7:$I$100,1)+SUMIFS('24'!$N$7:$N$100,'24'!$H$7:$H$100,$A297,'24'!$I$7:$I$100,1)+SUMIFS('24a'!$N$7:$N$100,'24a'!$H$7:$H$100,$A297,'24a'!$I$7:$I$100,1)+SUMIFS('24b'!$N$7:$N$100,'24b'!$H$7:$H$100,$A297,'24b'!$I$7:$I$100,1)+SUMIFS('24c'!$N$7:$N$100,'24c'!$H$7:$H$100,$A297,'24c'!$I$7:$I$100,1)+SUMIFS('24d'!$N$7:$N$100,'24d'!$H$7:$H$100,$A297,'24d'!$I$7:$I$100,1)+SUMIFS('24e'!$N$7:$N$100,'24e'!$H$7:$H$100,$A297,'24e'!$I$7:$I$100,1)+SUMIFS('24f'!$N$7:$N$100,'24f'!$H$7:$H$100,$A297,'24f'!$I$7:$I$100,1)+SUMIFS('24g'!$N$7:$N$100,'24g'!$H$7:$H$100,$A297,'24g'!$I$7:$I$100,1)+SUMIFS('24h'!$N$7:$N$100,'24h'!$H$7:$H$100,$A297,'24h'!$I$7:$I$100,1)+SUMIFS('24i'!$N$7:$N$100,'24i'!$H$7:$H$100,$A297,'24i'!$I$7:$I$100,1)+SUMIFS('25'!$N$7:$N$100,'25'!$H$7:$H$100,$A297,'25'!$I$7:$I$100,1)+SUMIFS('26'!$N$7:$N$100,'26'!$H$7:$H$100,$A297,'26'!$I$7:$I$100,1)+SUMIFS('26a'!$N$7:$N$100,'26a'!$H$7:$H$100,$A297,'26a'!$I$7:$I$100,1)+SUMIFS('27'!$N$7:$N$100,'27'!$H$7:$H$100,$A297,'27'!$I$7:$I$100,1)+SUMIFS('27a'!$N$7:$N$100,'27a'!$H$7:$H$100,$A297,'27a'!$I$7:$I$100,1)+SUMIFS('28'!$N$7:$N$100,'28'!$H$7:$H$100,$A297,'28'!$I$7:$I$100,1)+SUMIFS('29'!$N$7:$N$100,'29'!$H$7:$H$100,$A297,'29'!$I$7:$I$100,1)</f>
        <v>0</v>
      </c>
      <c r="D297" s="1315">
        <f>SUMIFS('12'!$N$7:$N$100,'12'!$H$7:$H$100,$A297,'12'!$I$7:$I$100,2)+SUMIFS('13'!$N$7:$N$100,'13'!$H$7:$H$100,$A297,'13'!$I$7:$I$100,2)+SUMIFS('14'!$N$7:$N$100,'14'!$H$7:$H$100,$A297,'14'!$I$7:$I$100,2)+SUMIFS('15'!$N$7:$N$100,'15'!$H$7:$H$100,$A297,'15'!$I$7:$I$100,2)+SUMIFS('15a'!$N$7:$N$100,'15a'!$H$7:$H$100,$A297,'15a'!$I$7:$I$100,2)+SUMIFS('15b'!$N$7:$N$100,'15b'!$H$7:$H$100,$A297,'15b'!$I$7:$I$100,2)+SUMIFS('15c'!$N$7:$N$100,'15c'!$H$7:$H$100,$A297,'15c'!$I$7:$I$100,2)+SUMIFS('15d'!$N$7:$N$100,'15d'!$H$7:$H$100,$A297,'15d'!$I$7:$I$100,2)+SUMIFS('15e'!$N$7:$N$100,'15e'!$H$7:$H$100,$A297,'15e'!$I$7:$I$100,2)+SUMIFS('15f'!$N$7:$N$100,'15f'!$H$7:$H$100,$A297,'15f'!$I$7:$I$100,2)+SUMIFS('15g'!$N$7:$N$100,'15g'!$H$7:$H$100,$A297,'15g'!$I$7:$I$100,2)+SUMIFS('15h'!$N$7:$N$100,'15h'!$H$7:$H$100,$A297,'15h'!$I$7:$I$100,2)+SUMIFS('15i'!$N$7:$N$100,'15i'!$H$7:$H$100,$A297,'15i'!$I$7:$I$100,2)+SUMIFS('15j'!$N$7:$N$100,'15j'!$H$7:$H$100,$A297,'15j'!$I$7:$I$100,2)+SUMIFS('15k'!$N$7:$N$100,'15k'!$H$7:$H$100,$A297,'15k'!$I$7:$I$100,2)+SUMIFS('15l'!$N$7:$N$100,'15l'!$H$7:$H$100,$A297,'15l'!$I$7:$I$100,2)+SUMIFS('15m'!$N$7:$N$100,'15m'!$H$7:$H$100,$A297,'15m'!$I$7:$I$100,2)+SUMIFS('15n'!$N$7:$N$100,'15n'!$H$7:$H$100,$A297,'15n'!$I$7:$I$100,2)+SUMIFS('16'!$N$7:$N$100,'16'!$H$7:$H$100,$A297,'16'!$I$7:$I$100,2)+SUMIFS('16a'!$N$7:$N$100,'16a'!$H$7:$H$100,$A297,'16a'!$I$7:$I$100,2)+SUMIFS('17'!$N$7:$N$100,'17'!$H$7:$H$100,$A297,'17'!$I$7:$I$100,2)+SUMIFS('17a'!$N$7:$N$100,'17a'!$H$7:$H$100,$A297,'17a'!$I$7:$I$100,2)+SUMIFS('18'!$N$7:$N$100,'18'!$H$7:$H$100,$A297,'18'!$I$7:$I$100,2)+SUMIFS('18a'!$N$7:$N$100,'18a'!$H$7:$H$100,$A297,'18a'!$I$7:$I$100,2)
+SUMIFS('19'!$N$7:$N$100,'19'!$H$7:$H$100,$A297,'19'!$I$7:$I$100,2)+SUMIFS('20'!$N$7:$N$100,'20'!$H$7:$H$100,$A297,'20'!$I$7:$I$100,2)+SUMIFS('20a'!$N$7:$N$100,'20a'!$H$7:$H$100,$A297,'20a'!$I$7:$I$100,2)+SUMIFS('21'!$N$7:$N$100,'21'!$H$7:$H$100,$A297,'21'!$I$7:$I$100,2)+SUMIFS('22'!$N$7:$N$100,'22'!$H$7:$H$100,$A297,'22'!$I$7:$I$100,2)+SUMIFS('22a'!$N$7:$N$100,'22a'!$H$7:$H$100,$A297,'22a'!$I$7:$I$100,2)+SUMIFS('22b'!$N$7:$N$100,'22b'!$H$7:$H$100,$A297,'22b'!$I$7:$I$100,2)+SUMIFS('23'!$N$7:$N$100,'23'!$H$7:$H$100,$A297,'23'!$I$7:$I$100,2)+SUMIFS('24'!$N$7:$N$100,'24'!$H$7:$H$100,$A297,'24'!$I$7:$I$100,2)+SUMIFS('24a'!$N$7:$N$100,'24a'!$H$7:$H$100,$A297,'24a'!$I$7:$I$100,2)+SUMIFS('24b'!$N$7:$N$100,'24b'!$H$7:$H$100,$A297,'24b'!$I$7:$I$100,2)+SUMIFS('24c'!$N$7:$N$100,'24c'!$H$7:$H$100,$A297,'24c'!$I$7:$I$100,2)+SUMIFS('24d'!$N$7:$N$100,'24d'!$H$7:$H$100,$A297,'24d'!$I$7:$I$100,2)+SUMIFS('24e'!$N$7:$N$100,'24e'!$H$7:$H$100,$A297,'24e'!$I$7:$I$100,2)+SUMIFS('24f'!$N$7:$N$100,'24f'!$H$7:$H$100,$A297,'24f'!$I$7:$I$100,2)+SUMIFS('24g'!$N$7:$N$100,'24g'!$H$7:$H$100,$A297,'24g'!$I$7:$I$100,2)+SUMIFS('24h'!$N$7:$N$100,'24h'!$H$7:$H$100,$A297,'24h'!$I$7:$I$100,2)+SUMIFS('24i'!$N$7:$N$100,'24i'!$H$7:$H$100,$A297,'24i'!$I$7:$I$100,2)+SUMIFS('25'!$N$7:$N$100,'25'!$H$7:$H$100,$A297,'25'!$I$7:$I$100,2)+SUMIFS('26'!$N$7:$N$100,'26'!$H$7:$H$100,$A297,'26'!$I$7:$I$100,2)+SUMIFS('26a'!$N$7:$N$100,'26a'!$H$7:$H$100,$A297,'26a'!$I$7:$I$100,2)+SUMIFS('27'!$N$7:$N$100,'27'!$H$7:$H$100,$A297,'27'!$I$7:$I$100,2)+SUMIFS('27a'!$N$7:$N$100,'27a'!$H$7:$H$100,$A297,'27a'!$I$7:$I$100,2)+SUMIFS('28'!$N$7:$N$100,'28'!$H$7:$H$100,$A297,'28'!$I$7:$I$100,2)+SUMIFS('29'!$N$7:$N$100,'29'!$H$7:$H$100,$A297,'29'!$I$7:$I$100,2)</f>
        <v>0</v>
      </c>
      <c r="E297" s="1315">
        <f>SUMIFS('12'!$N$7:$N$100,'12'!$H$7:$H$100,$A297,'12'!$I$7:$I$100,"")+SUMIFS('13'!$N$7:$N$100,'13'!$H$7:$H$100,$A297,'13'!$I$7:$I$100,"")+SUMIFS('14'!$N$7:$N$100,'14'!$H$7:$H$100,$A297,'14'!$I$7:$I$100,"")+SUMIFS('15'!$N$7:$N$100,'15'!$H$7:$H$100,$A297,'15'!$I$7:$I$100,"")+SUMIFS('15a'!$N$7:$N$100,'15a'!$H$7:$H$100,$A297,'15a'!$I$7:$I$100,"")+SUMIFS('15b'!$N$7:$N$100,'15b'!$H$7:$H$100,$A297,'15b'!$I$7:$I$100,"")+SUMIFS('15c'!$N$7:$N$100,'15c'!$H$7:$H$100,$A297,'15c'!$I$7:$I$100,"")+SUMIFS('15d'!$N$7:$N$100,'15d'!$H$7:$H$100,$A297,'15d'!$I$7:$I$100,"")+SUMIFS('15e'!$N$7:$N$100,'15e'!$H$7:$H$100,$A297,'15e'!$I$7:$I$100,"")+SUMIFS('15f'!$N$7:$N$100,'15f'!$H$7:$H$100,$A297,'15f'!$I$7:$I$100,"")+SUMIFS('15g'!$N$7:$N$100,'15g'!$H$7:$H$100,$A297,'15g'!$I$7:$I$100,"")+SUMIFS('15h'!$N$7:$N$100,'15h'!$H$7:$H$100,$A297,'15h'!$I$7:$I$100,"")+SUMIFS('15i'!$N$7:$N$100,'15i'!$H$7:$H$100,$A297,'15i'!$I$7:$I$100,"")+SUMIFS('15j'!$N$7:$N$100,'15j'!$H$7:$H$100,$A297,'15j'!$I$7:$I$100,"")+SUMIFS('15k'!$N$7:$N$100,'15k'!$H$7:$H$100,$A297,'15k'!$I$7:$I$100,"")+SUMIFS('15l'!$N$7:$N$100,'15l'!$H$7:$H$100,$A297,'15l'!$I$7:$I$100,"")+SUMIFS('15m'!$N$7:$N$100,'15m'!$H$7:$H$100,$A297,'15m'!$I$7:$I$100,"")+SUMIFS('15n'!$N$7:$N$100,'15n'!$H$7:$H$100,$A297,'15n'!$I$7:$I$100,"")+SUMIFS('16'!$N$7:$N$100,'16'!$H$7:$H$100,$A297,'16'!$I$7:$I$100,"")+SUMIFS('16a'!$N$7:$N$100,'16a'!$H$7:$H$100,$A297,'16a'!$I$7:$I$100,"")+SUMIFS('17'!$N$7:$N$100,'17'!$H$7:$H$100,$A297,'17'!$I$7:$I$100,"")+SUMIFS('17a'!$N$7:$N$100,'17a'!$H$7:$H$100,$A297,'17a'!$I$7:$I$100,"")+SUMIFS('18'!$N$7:$N$100,'18'!$H$7:$H$100,$A297,'18'!$I$7:$I$100,"")+SUMIFS('18a'!$N$7:$N$100,'18a'!$H$7:$H$100,$A297,'18a'!$I$7:$I$100,"")
+SUMIFS('19'!$N$7:$N$100,'19'!$H$7:$H$100,$A297,'19'!$I$7:$I$100,"")+SUMIFS('20'!$N$7:$N$100,'20'!$H$7:$H$100,$A297,'20'!$I$7:$I$100,"")+SUMIFS('20a'!$N$7:$N$100,'20a'!$H$7:$H$100,$A297,'20a'!$I$7:$I$100,"")+SUMIFS('21'!$N$7:$N$100,'21'!$H$7:$H$100,$A297,'21'!$I$7:$I$100,"")+SUMIFS('22'!$N$7:$N$100,'22'!$H$7:$H$100,$A297,'22'!$I$7:$I$100,"")+SUMIFS('22a'!$N$7:$N$100,'22a'!$H$7:$H$100,$A297,'22a'!$I$7:$I$100,"")+SUMIFS('22b'!$N$7:$N$100,'22b'!$H$7:$H$100,$A297,'22b'!$I$7:$I$100,"")+SUMIFS('23'!$N$7:$N$100,'23'!$H$7:$H$100,$A297,'23'!$I$7:$I$100,"")+SUMIFS('24'!$N$7:$N$100,'24'!$H$7:$H$100,$A297,'24'!$I$7:$I$100,"")+SUMIFS('24a'!$N$7:$N$100,'24a'!$H$7:$H$100,$A297,'24a'!$I$7:$I$100,"")+SUMIFS('24b'!$N$7:$N$100,'24b'!$H$7:$H$100,$A297,'24b'!$I$7:$I$100,"")+SUMIFS('24c'!$N$7:$N$100,'24c'!$H$7:$H$100,$A297,'24c'!$I$7:$I$100,"")+SUMIFS('24d'!$N$7:$N$100,'24d'!$H$7:$H$100,$A297,'24d'!$I$7:$I$100,"")+SUMIFS('24e'!$N$7:$N$100,'24e'!$H$7:$H$100,$A297,'24e'!$I$7:$I$100,"")+SUMIFS('24f'!$N$7:$N$100,'24f'!$H$7:$H$100,$A297,'24f'!$I$7:$I$100,"")+SUMIFS('24g'!$N$7:$N$100,'24g'!$H$7:$H$100,$A297,'24g'!$I$7:$I$100,"")+SUMIFS('24h'!$N$7:$N$100,'24h'!$H$7:$H$100,$A297,'24h'!$I$7:$I$100,"")+SUMIFS('24i'!$N$7:$N$100,'24i'!$H$7:$H$100,$A297,'24i'!$I$7:$I$100,"")+SUMIFS('25'!$N$7:$N$100,'25'!$H$7:$H$100,$A297,'25'!$I$7:$I$100,"")+SUMIFS('26'!$N$7:$N$100,'26'!$H$7:$H$100,$A297,'26'!$I$7:$I$100,"")+SUMIFS('26a'!$N$7:$N$100,'26a'!$H$7:$H$100,$A297,'26a'!$I$7:$I$100,"")+SUMIFS('27'!$N$7:$N$100,'27'!$H$7:$H$100,$A297,'27'!$I$7:$I$100,"")+SUMIFS('27a'!$N$7:$N$100,'27a'!$H$7:$H$100,$A297,'27a'!$I$7:$I$100,"")+SUMIFS('28'!$N$7:$N$100,'28'!$H$7:$H$100,$A297,'28'!$I$7:$I$100,"")+SUMIFS('29'!$N$7:$N$100,'29'!$H$7:$H$100,$A297,'29'!$I$7:$I$100,"")</f>
        <v>0</v>
      </c>
      <c r="F297" s="1296">
        <f t="shared" si="36"/>
        <v>0</v>
      </c>
      <c r="G297" s="1295">
        <f>SUMIFS('12'!$J$7:$J$100,'12'!$H$7:$H$100,$A297,'12'!$I$7:$I$100,1)+SUMIFS('13'!$J$7:$J$100,'13'!$H$7:$H$100,$A297,'13'!$I$7:$I$100,1)+SUMIFS('14'!$J$7:$J$100,'14'!$H$7:$H$100,$A297,'14'!$I$7:$I$100,1)+SUMIFS('15'!$J$7:$J$100,'15'!$H$7:$H$100,$A297,'15'!$I$7:$I$100,1)+SUMIFS('15a'!$J$7:$J$100,'15a'!$H$7:$H$100,$A297,'15a'!$I$7:$I$100,1)+SUMIFS('15b'!$J$7:$J$100,'15b'!$H$7:$H$100,$A297,'15b'!$I$7:$I$100,1)+SUMIFS('15c'!$J$7:$J$100,'15c'!$H$7:$H$100,$A297,'15c'!$I$7:$I$100,1)+SUMIFS('15d'!$J$7:$J$100,'15d'!$H$7:$H$100,$A297,'15d'!$I$7:$I$100,1)+SUMIFS('15e'!$J$7:$J$100,'15e'!$H$7:$H$100,$A297,'15e'!$I$7:$I$100,1)+SUMIFS('15f'!$J$7:$J$100,'15f'!$H$7:$H$100,$A297,'15f'!$I$7:$I$100,1)+SUMIFS('15g'!$J$7:$J$100,'15g'!$H$7:$H$100,$A297,'15g'!$I$7:$I$100,1)+SUMIFS('15h'!$J$7:$J$100,'15h'!$H$7:$H$100,$A297,'15h'!$I$7:$I$100,1)+SUMIFS('15i'!$J$7:$J$100,'15i'!$H$7:$H$100,$A297,'15i'!$I$7:$I$100,1)+SUMIFS('15j'!$J$7:$J$100,'15j'!$H$7:$H$100,$A297,'15j'!$I$7:$I$100,1)+SUMIFS('15k'!$J$7:$J$100,'15k'!$H$7:$H$100,$A297,'15k'!$I$7:$I$100,1)+SUMIFS('15l'!$J$7:$J$100,'15l'!$H$7:$H$100,$A297,'15l'!$I$7:$I$100,1)+SUMIFS('15m'!$J$7:$J$100,'15m'!$H$7:$H$100,$A297,'15m'!$I$7:$I$100,1)+SUMIFS('15n'!$J$7:$J$100,'15n'!$H$7:$H$100,$A297,'15n'!$I$7:$I$100,1)+SUMIFS('16'!$J$7:$J$100,'16'!$H$7:$H$100,$A297,'16'!$I$7:$I$100,1)+SUMIFS('16a'!$J$7:$J$100,'16a'!$H$7:$H$100,$A297,'16a'!$I$7:$I$100,1)+SUMIFS('17'!$J$7:$J$100,'17'!$H$7:$H$100,$A297,'17'!$I$7:$I$100,1)+SUMIFS('17a'!$J$7:$J$100,'17a'!$H$7:$H$100,$A297,'17a'!$I$7:$I$100,1)+SUMIFS('18'!$J$7:$J$100,'18'!$H$7:$H$100,$A297,'18'!$I$7:$I$100,1)+SUMIFS('18a'!$J$7:$J$100,'18a'!$H$7:$H$100,$A297,'18a'!$I$7:$I$100,1)
+SUMIFS('19'!$J$7:$J$100,'19'!$H$7:$H$100,$A297,'19'!$I$7:$I$100,1)+SUMIFS('20'!$J$7:$J$100,'20'!$H$7:$H$100,$A297,'20'!$I$7:$I$100,1)+SUMIFS('20a'!$J$7:$J$100,'20a'!$H$7:$H$100,$A297,'20a'!$I$7:$I$100,1)+SUMIFS('21'!$J$7:$J$100,'21'!$H$7:$H$100,$A297,'21'!$I$7:$I$100,1)+SUMIFS('22'!$J$7:$J$100,'22'!$H$7:$H$100,$A297,'22'!$I$7:$I$100,1)+SUMIFS('22a'!$J$7:$J$100,'22a'!$H$7:$H$100,$A297,'22a'!$I$7:$I$100,1)+SUMIFS('22b'!$J$7:$J$100,'22b'!$H$7:$H$100,$A297,'22b'!$I$7:$I$100,1)+SUMIFS('23'!$J$7:$J$100,'23'!$H$7:$H$100,$A297,'23'!$I$7:$I$100,1)+SUMIFS('24'!$J$7:$J$100,'24'!$H$7:$H$100,$A297,'24'!$I$7:$I$100,1)+SUMIFS('24a'!$J$7:$J$100,'24a'!$H$7:$H$100,$A297,'24a'!$I$7:$I$100,1)+SUMIFS('24b'!$J$7:$J$100,'24b'!$H$7:$H$100,$A297,'24b'!$I$7:$I$100,1)+SUMIFS('24c'!$J$7:$J$100,'24c'!$H$7:$H$100,$A297,'24c'!$I$7:$I$100,1)+SUMIFS('24d'!$J$7:$J$100,'24d'!$H$7:$H$100,$A297,'24d'!$I$7:$I$100,1)+SUMIFS('24e'!$J$7:$J$100,'24e'!$H$7:$H$100,$A297,'24e'!$I$7:$I$100,1)+SUMIFS('24f'!$J$7:$J$100,'24f'!$H$7:$H$100,$A297,'24f'!$I$7:$I$100,1)+SUMIFS('24g'!$J$7:$J$100,'24g'!$H$7:$H$100,$A297,'24g'!$I$7:$I$100,1)+SUMIFS('24h'!$J$7:$J$100,'24h'!$H$7:$H$100,$A297,'24h'!$I$7:$I$100,1)+SUMIFS('24i'!$J$7:$J$100,'24i'!$H$7:$H$100,$A297,'24i'!$I$7:$I$100,1)+SUMIFS('25'!$J$7:$J$100,'25'!$H$7:$H$100,$A297,'25'!$I$7:$I$100,1)+SUMIFS('26'!$J$7:$J$100,'26'!$H$7:$H$100,$A297,'26'!$I$7:$I$100,1)+SUMIFS('26a'!$J$7:$J$100,'26a'!$H$7:$H$100,$A297,'26a'!$I$7:$I$100,1)+SUMIFS('27'!$J$7:$J$100,'27'!$H$7:$H$100,$A297,'27'!$I$7:$I$100,1)+SUMIFS('27a'!$J$7:$J$100,'27a'!$H$7:$H$100,$A297,'27a'!$I$7:$I$100,1)+SUMIFS('28'!$J$7:$J$100,'28'!$H$7:$H$100,$A297,'28'!$I$7:$I$100,1)+SUMIFS('29'!$J$7:$J$100,'29'!$H$7:$H$100,$A297,'29'!$I$7:$I$100,1)</f>
        <v>0</v>
      </c>
      <c r="H297" s="1315">
        <f>SUMIFS('12'!$J$7:$J$100,'12'!$H$7:$H$100,$A297,'12'!$I$7:$I$100,2)+SUMIFS('13'!$J$7:$J$100,'13'!$H$7:$H$100,$A297,'13'!$I$7:$I$100,2)+SUMIFS('14'!$J$7:$J$100,'14'!$H$7:$H$100,$A297,'14'!$I$7:$I$100,2)+SUMIFS('15'!$J$7:$J$100,'15'!$H$7:$H$100,$A297,'15'!$I$7:$I$100,2)+SUMIFS('15a'!$J$7:$J$100,'15a'!$H$7:$H$100,$A297,'15a'!$I$7:$I$100,2)+SUMIFS('15b'!$J$7:$J$100,'15b'!$H$7:$H$100,$A297,'15b'!$I$7:$I$100,2)+SUMIFS('15c'!$J$7:$J$100,'15c'!$H$7:$H$100,$A297,'15c'!$I$7:$I$100,2)+SUMIFS('15d'!$J$7:$J$100,'15d'!$H$7:$H$100,$A297,'15d'!$I$7:$I$100,2)+SUMIFS('15e'!$J$7:$J$100,'15e'!$H$7:$H$100,$A297,'15e'!$I$7:$I$100,2)+SUMIFS('15f'!$J$7:$J$100,'15f'!$H$7:$H$100,$A297,'15f'!$I$7:$I$100,2)+SUMIFS('15g'!$J$7:$J$100,'15g'!$H$7:$H$100,$A297,'15g'!$I$7:$I$100,2)+SUMIFS('15h'!$J$7:$J$100,'15h'!$H$7:$H$100,$A297,'15h'!$I$7:$I$100,2)+SUMIFS('15i'!$J$7:$J$100,'15i'!$H$7:$H$100,$A297,'15i'!$I$7:$I$100,2)+SUMIFS('15j'!$J$7:$J$100,'15j'!$H$7:$H$100,$A297,'15j'!$I$7:$I$100,2)+SUMIFS('15k'!$J$7:$J$100,'15k'!$H$7:$H$100,$A297,'15k'!$I$7:$I$100,2)+SUMIFS('15l'!$J$7:$J$100,'15l'!$H$7:$H$100,$A297,'15l'!$I$7:$I$100,2)+SUMIFS('15m'!$J$7:$J$100,'15m'!$H$7:$H$100,$A297,'15m'!$I$7:$I$100,2)+SUMIFS('15n'!$J$7:$J$100,'15n'!$H$7:$H$100,$A297,'15n'!$I$7:$I$100,2)+SUMIFS('16'!$J$7:$J$100,'16'!$H$7:$H$100,$A297,'16'!$I$7:$I$100,2)+SUMIFS('16a'!$J$7:$J$100,'16a'!$H$7:$H$100,$A297,'16a'!$I$7:$I$100,2)+SUMIFS('17'!$J$7:$J$100,'17'!$H$7:$H$100,$A297,'17'!$I$7:$I$100,2)+SUMIFS('17a'!$J$7:$J$100,'17a'!$H$7:$H$100,$A297,'17a'!$I$7:$I$100,2)+SUMIFS('18'!$J$7:$J$100,'18'!$H$7:$H$100,$A297,'18'!$I$7:$I$100,2)+SUMIFS('18a'!$J$7:$J$100,'18a'!$H$7:$H$100,$A297,'18a'!$I$7:$I$100,2)
+SUMIFS('19'!$J$7:$J$100,'19'!$H$7:$H$100,$A297,'19'!$I$7:$I$100,2)+SUMIFS('20'!$J$7:$J$100,'20'!$H$7:$H$100,$A297,'20'!$I$7:$I$100,2)+SUMIFS('20a'!$J$7:$J$100,'20a'!$H$7:$H$100,$A297,'20a'!$I$7:$I$100,2)+SUMIFS('21'!$J$7:$J$100,'21'!$H$7:$H$100,$A297,'21'!$I$7:$I$100,2)+SUMIFS('22'!$J$7:$J$100,'22'!$H$7:$H$100,$A297,'22'!$I$7:$I$100,2)+SUMIFS('22a'!$J$7:$J$100,'22a'!$H$7:$H$100,$A297,'22a'!$I$7:$I$100,2)+SUMIFS('22b'!$J$7:$J$100,'22b'!$H$7:$H$100,$A297,'22b'!$I$7:$I$100,2)+SUMIFS('23'!$J$7:$J$100,'23'!$H$7:$H$100,$A297,'23'!$I$7:$I$100,2)+SUMIFS('24'!$J$7:$J$100,'24'!$H$7:$H$100,$A297,'24'!$I$7:$I$100,2)+SUMIFS('24a'!$J$7:$J$100,'24a'!$H$7:$H$100,$A297,'24a'!$I$7:$I$100,2)+SUMIFS('24b'!$J$7:$J$100,'24b'!$H$7:$H$100,$A297,'24b'!$I$7:$I$100,2)+SUMIFS('24c'!$J$7:$J$100,'24c'!$H$7:$H$100,$A297,'24c'!$I$7:$I$100,2)+SUMIFS('24d'!$J$7:$J$100,'24d'!$H$7:$H$100,$A297,'24d'!$I$7:$I$100,2)+SUMIFS('24e'!$J$7:$J$100,'24e'!$H$7:$H$100,$A297,'24e'!$I$7:$I$100,2)+SUMIFS('24f'!$J$7:$J$100,'24f'!$H$7:$H$100,$A297,'24f'!$I$7:$I$100,2)+SUMIFS('24g'!$J$7:$J$100,'24g'!$H$7:$H$100,$A297,'24g'!$I$7:$I$100,2)+SUMIFS('24h'!$J$7:$J$100,'24h'!$H$7:$H$100,$A297,'24h'!$I$7:$I$100,2)+SUMIFS('24i'!$J$7:$J$100,'24i'!$H$7:$H$100,$A297,'24i'!$I$7:$I$100,2)+SUMIFS('25'!$J$7:$J$100,'25'!$H$7:$H$100,$A297,'25'!$I$7:$I$100,2)+SUMIFS('26'!$J$7:$J$100,'26'!$H$7:$H$100,$A297,'26'!$I$7:$I$100,2)+SUMIFS('26a'!$J$7:$J$100,'26a'!$H$7:$H$100,$A297,'26a'!$I$7:$I$100,2)+SUMIFS('27'!$J$7:$J$100,'27'!$H$7:$H$100,$A297,'27'!$I$7:$I$100,2)+SUMIFS('27a'!$J$7:$J$100,'27a'!$H$7:$H$100,$A297,'27a'!$I$7:$I$100,2)+SUMIFS('28'!$J$7:$J$100,'28'!$H$7:$H$100,$A297,'28'!$I$7:$I$100,2)+SUMIFS('29'!$J$7:$J$100,'29'!$H$7:$H$100,$A297,'29'!$I$7:$I$100,2)</f>
        <v>0</v>
      </c>
      <c r="I297" s="1315">
        <f>SUMIFS('12'!$J$7:$J$100,'12'!$H$7:$H$100,$A297,'12'!$I$7:$I$100,"")+SUMIFS('13'!$J$7:$J$100,'13'!$H$7:$H$100,$A297,'13'!$I$7:$I$100,"")+SUMIFS('14'!$J$7:$J$100,'14'!$H$7:$H$100,$A297,'14'!$I$7:$I$100,"")+SUMIFS('15'!$J$7:$J$100,'15'!$H$7:$H$100,$A297,'15'!$I$7:$I$100,"")+SUMIFS('15a'!$J$7:$J$100,'15a'!$H$7:$H$100,$A297,'15a'!$I$7:$I$100,"")+SUMIFS('15b'!$J$7:$J$100,'15b'!$H$7:$H$100,$A297,'15b'!$I$7:$I$100,"")+SUMIFS('15c'!$J$7:$J$100,'15c'!$H$7:$H$100,$A297,'15c'!$I$7:$I$100,"")+SUMIFS('15d'!$J$7:$J$100,'15d'!$H$7:$H$100,$A297,'15d'!$I$7:$I$100,"")+SUMIFS('15e'!$J$7:$J$100,'15e'!$H$7:$H$100,$A297,'15e'!$I$7:$I$100,"")+SUMIFS('15f'!$J$7:$J$100,'15f'!$H$7:$H$100,$A297,'15f'!$I$7:$I$100,"")+SUMIFS('15g'!$J$7:$J$100,'15g'!$H$7:$H$100,$A297,'15g'!$I$7:$I$100,"")+SUMIFS('15h'!$J$7:$J$100,'15h'!$H$7:$H$100,$A297,'15h'!$I$7:$I$100,"")+SUMIFS('15i'!$J$7:$J$100,'15i'!$H$7:$H$100,$A297,'15i'!$I$7:$I$100,"")+SUMIFS('15j'!$J$7:$J$100,'15j'!$H$7:$H$100,$A297,'15j'!$I$7:$I$100,"")+SUMIFS('15k'!$J$7:$J$100,'15k'!$H$7:$H$100,$A297,'15k'!$I$7:$I$100,"")+SUMIFS('15l'!$J$7:$J$100,'15l'!$H$7:$H$100,$A297,'15l'!$I$7:$I$100,"")+SUMIFS('15m'!$J$7:$J$100,'15m'!$H$7:$H$100,$A297,'15m'!$I$7:$I$100,"")+SUMIFS('15n'!$J$7:$J$100,'15n'!$H$7:$H$100,$A297,'15n'!$I$7:$I$100,"")+SUMIFS('16'!$J$7:$J$100,'16'!$H$7:$H$100,$A297,'16'!$I$7:$I$100,"")+SUMIFS('16a'!$J$7:$J$100,'16a'!$H$7:$H$100,$A297,'16a'!$I$7:$I$100,"")+SUMIFS('17'!$J$7:$J$100,'17'!$H$7:$H$100,$A297,'17'!$I$7:$I$100,"")+SUMIFS('17a'!$J$7:$J$100,'17a'!$H$7:$H$100,$A297,'17a'!$I$7:$I$100,"")+SUMIFS('18'!$J$7:$J$100,'18'!$H$7:$H$100,$A297,'18'!$I$7:$I$100,"")+SUMIFS('18a'!$J$7:$J$100,'18a'!$H$7:$H$100,$A297,'18a'!$I$7:$I$100,"")
+SUMIFS('19'!$J$7:$J$100,'19'!$H$7:$H$100,$A297,'19'!$I$7:$I$100,"")+SUMIFS('20'!$J$7:$J$100,'20'!$H$7:$H$100,$A297,'20'!$I$7:$I$100,"")+SUMIFS('20a'!$J$7:$J$100,'20a'!$H$7:$H$100,$A297,'20a'!$I$7:$I$100,"")+SUMIFS('21'!$J$7:$J$100,'21'!$H$7:$H$100,$A297,'21'!$I$7:$I$100,"")+SUMIFS('22'!$J$7:$J$100,'22'!$H$7:$H$100,$A297,'22'!$I$7:$I$100,"")+SUMIFS('22a'!$J$7:$J$100,'22a'!$H$7:$H$100,$A297,'22a'!$I$7:$I$100,"")+SUMIFS('22b'!$J$7:$J$100,'22b'!$H$7:$H$100,$A297,'22b'!$I$7:$I$100,"")+SUMIFS('23'!$J$7:$J$100,'23'!$H$7:$H$100,$A297,'23'!$I$7:$I$100,"")+SUMIFS('24'!$J$7:$J$100,'24'!$H$7:$H$100,$A297,'24'!$I$7:$I$100,"")+SUMIFS('24a'!$J$7:$J$100,'24a'!$H$7:$H$100,$A297,'24a'!$I$7:$I$100,"")+SUMIFS('24b'!$J$7:$J$100,'24b'!$H$7:$H$100,$A297,'24b'!$I$7:$I$100,"")+SUMIFS('24c'!$J$7:$J$100,'24c'!$H$7:$H$100,$A297,'24c'!$I$7:$I$100,"")+SUMIFS('24d'!$J$7:$J$100,'24d'!$H$7:$H$100,$A297,'24d'!$I$7:$I$100,"")+SUMIFS('24e'!$J$7:$J$100,'24e'!$H$7:$H$100,$A297,'24e'!$I$7:$I$100,"")+SUMIFS('24f'!$J$7:$J$100,'24f'!$H$7:$H$100,$A297,'24f'!$I$7:$I$100,"")+SUMIFS('24g'!$J$7:$J$100,'24g'!$H$7:$H$100,$A297,'24g'!$I$7:$I$100,"")+SUMIFS('24h'!$J$7:$J$100,'24h'!$H$7:$H$100,$A297,'24h'!$I$7:$I$100,"")+SUMIFS('24i'!$J$7:$J$100,'24i'!$H$7:$H$100,$A297,'24i'!$I$7:$I$100,"")+SUMIFS('25'!$J$7:$J$100,'25'!$H$7:$H$100,$A297,'25'!$I$7:$I$100,"")+SUMIFS('26'!$J$7:$J$100,'26'!$H$7:$H$100,$A297,'26'!$I$7:$I$100,"")+SUMIFS('26a'!$J$7:$J$100,'26a'!$H$7:$H$100,$A297,'26a'!$I$7:$I$100,"")+SUMIFS('27'!$J$7:$J$100,'27'!$H$7:$H$100,$A297,'27'!$I$7:$I$100,"")+SUMIFS('27a'!$J$7:$J$100,'27a'!$H$7:$H$100,$A297,'27a'!$I$7:$I$100,"")+SUMIFS('28'!$J$7:$J$100,'28'!$H$7:$H$100,$A297,'28'!$I$7:$I$100,"")+SUMIFS('29'!$J$7:$J$100,'29'!$H$7:$H$100,$A297,'29'!$I$7:$I$100,"")</f>
        <v>0</v>
      </c>
      <c r="J297" s="1296">
        <f t="shared" si="37"/>
        <v>0</v>
      </c>
      <c r="K297"/>
      <c r="L297"/>
      <c r="M297"/>
      <c r="N297"/>
      <c r="O297"/>
      <c r="P297"/>
      <c r="Q297"/>
      <c r="R297"/>
      <c r="S297" s="1307">
        <f t="shared" si="30"/>
        <v>0</v>
      </c>
      <c r="T297"/>
    </row>
    <row r="298" spans="1:20" x14ac:dyDescent="0.2">
      <c r="A298" t="s">
        <v>5197</v>
      </c>
      <c r="B298" t="s">
        <v>5523</v>
      </c>
      <c r="C298" s="1295">
        <f>SUMIFS('12'!$N$7:$N$100,'12'!$H$7:$H$100,$A298,'12'!$I$7:$I$100,1)+SUMIFS('13'!$N$7:$N$100,'13'!$H$7:$H$100,$A298,'13'!$I$7:$I$100,1)+SUMIFS('14'!$N$7:$N$100,'14'!$H$7:$H$100,$A298,'14'!$I$7:$I$100,1)+SUMIFS('15'!$N$7:$N$100,'15'!$H$7:$H$100,$A298,'15'!$I$7:$I$100,1)+SUMIFS('15a'!$N$7:$N$100,'15a'!$H$7:$H$100,$A298,'15a'!$I$7:$I$100,1)+SUMIFS('15b'!$N$7:$N$100,'15b'!$H$7:$H$100,$A298,'15b'!$I$7:$I$100,1)+SUMIFS('15c'!$N$7:$N$100,'15c'!$H$7:$H$100,$A298,'15c'!$I$7:$I$100,1)+SUMIFS('15d'!$N$7:$N$100,'15d'!$H$7:$H$100,$A298,'15d'!$I$7:$I$100,1)+SUMIFS('15e'!$N$7:$N$100,'15e'!$H$7:$H$100,$A298,'15e'!$I$7:$I$100,1)+SUMIFS('15f'!$N$7:$N$100,'15f'!$H$7:$H$100,$A298,'15f'!$I$7:$I$100,1)+SUMIFS('15g'!$N$7:$N$100,'15g'!$H$7:$H$100,$A298,'15g'!$I$7:$I$100,1)+SUMIFS('15h'!$N$7:$N$100,'15h'!$H$7:$H$100,$A298,'15h'!$I$7:$I$100,1)+SUMIFS('15i'!$N$7:$N$100,'15i'!$H$7:$H$100,$A298,'15i'!$I$7:$I$100,1)+SUMIFS('15j'!$N$7:$N$100,'15j'!$H$7:$H$100,$A298,'15j'!$I$7:$I$100,1)+SUMIFS('15k'!$N$7:$N$100,'15k'!$H$7:$H$100,$A298,'15k'!$I$7:$I$100,1)+SUMIFS('15l'!$N$7:$N$100,'15l'!$H$7:$H$100,$A298,'15l'!$I$7:$I$100,1)+SUMIFS('15m'!$N$7:$N$100,'15m'!$H$7:$H$100,$A298,'15m'!$I$7:$I$100,1)+SUMIFS('15n'!$N$7:$N$100,'15n'!$H$7:$H$100,$A298,'15n'!$I$7:$I$100,1)+SUMIFS('16'!$N$7:$N$100,'16'!$H$7:$H$100,$A298,'16'!$I$7:$I$100,1)+SUMIFS('16a'!$N$7:$N$100,'16a'!$H$7:$H$100,$A298,'16a'!$I$7:$I$100,1)+SUMIFS('17'!$N$7:$N$100,'17'!$H$7:$H$100,$A298,'17'!$I$7:$I$100,1)+SUMIFS('17a'!$N$7:$N$100,'17a'!$H$7:$H$100,$A298,'17a'!$I$7:$I$100,1)+SUMIFS('18'!$N$7:$N$100,'18'!$H$7:$H$100,$A298,'18'!$I$7:$I$100,1)+SUMIFS('18a'!$N$7:$N$100,'18a'!$H$7:$H$100,$A298,'18a'!$I$7:$I$100,1)
+SUMIFS('19'!$N$7:$N$100,'19'!$H$7:$H$100,$A298,'19'!$I$7:$I$100,1)+SUMIFS('20'!$N$7:$N$100,'20'!$H$7:$H$100,$A298,'20'!$I$7:$I$100,1)+SUMIFS('20a'!$N$7:$N$100,'20a'!$H$7:$H$100,$A298,'20a'!$I$7:$I$100,1)+SUMIFS('21'!$N$7:$N$100,'21'!$H$7:$H$100,$A298,'21'!$I$7:$I$100,1)+SUMIFS('22'!$N$7:$N$100,'22'!$H$7:$H$100,$A298,'22'!$I$7:$I$100,1)+SUMIFS('22a'!$N$7:$N$100,'22a'!$H$7:$H$100,$A298,'22a'!$I$7:$I$100,1)+SUMIFS('22b'!$N$7:$N$100,'22b'!$H$7:$H$100,$A298,'22b'!$I$7:$I$100,1)+SUMIFS('23'!$N$7:$N$100,'23'!$H$7:$H$100,$A298,'23'!$I$7:$I$100,1)+SUMIFS('24'!$N$7:$N$100,'24'!$H$7:$H$100,$A298,'24'!$I$7:$I$100,1)+SUMIFS('24a'!$N$7:$N$100,'24a'!$H$7:$H$100,$A298,'24a'!$I$7:$I$100,1)+SUMIFS('24b'!$N$7:$N$100,'24b'!$H$7:$H$100,$A298,'24b'!$I$7:$I$100,1)+SUMIFS('24c'!$N$7:$N$100,'24c'!$H$7:$H$100,$A298,'24c'!$I$7:$I$100,1)+SUMIFS('24d'!$N$7:$N$100,'24d'!$H$7:$H$100,$A298,'24d'!$I$7:$I$100,1)+SUMIFS('24e'!$N$7:$N$100,'24e'!$H$7:$H$100,$A298,'24e'!$I$7:$I$100,1)+SUMIFS('24f'!$N$7:$N$100,'24f'!$H$7:$H$100,$A298,'24f'!$I$7:$I$100,1)+SUMIFS('24g'!$N$7:$N$100,'24g'!$H$7:$H$100,$A298,'24g'!$I$7:$I$100,1)+SUMIFS('24h'!$N$7:$N$100,'24h'!$H$7:$H$100,$A298,'24h'!$I$7:$I$100,1)+SUMIFS('24i'!$N$7:$N$100,'24i'!$H$7:$H$100,$A298,'24i'!$I$7:$I$100,1)+SUMIFS('25'!$N$7:$N$100,'25'!$H$7:$H$100,$A298,'25'!$I$7:$I$100,1)+SUMIFS('26'!$N$7:$N$100,'26'!$H$7:$H$100,$A298,'26'!$I$7:$I$100,1)+SUMIFS('26a'!$N$7:$N$100,'26a'!$H$7:$H$100,$A298,'26a'!$I$7:$I$100,1)+SUMIFS('27'!$N$7:$N$100,'27'!$H$7:$H$100,$A298,'27'!$I$7:$I$100,1)+SUMIFS('27a'!$N$7:$N$100,'27a'!$H$7:$H$100,$A298,'27a'!$I$7:$I$100,1)+SUMIFS('28'!$N$7:$N$100,'28'!$H$7:$H$100,$A298,'28'!$I$7:$I$100,1)+SUMIFS('29'!$N$7:$N$100,'29'!$H$7:$H$100,$A298,'29'!$I$7:$I$100,1)</f>
        <v>0</v>
      </c>
      <c r="D298" s="1315">
        <f>SUMIFS('12'!$N$7:$N$100,'12'!$H$7:$H$100,$A298,'12'!$I$7:$I$100,2)+SUMIFS('13'!$N$7:$N$100,'13'!$H$7:$H$100,$A298,'13'!$I$7:$I$100,2)+SUMIFS('14'!$N$7:$N$100,'14'!$H$7:$H$100,$A298,'14'!$I$7:$I$100,2)+SUMIFS('15'!$N$7:$N$100,'15'!$H$7:$H$100,$A298,'15'!$I$7:$I$100,2)+SUMIFS('15a'!$N$7:$N$100,'15a'!$H$7:$H$100,$A298,'15a'!$I$7:$I$100,2)+SUMIFS('15b'!$N$7:$N$100,'15b'!$H$7:$H$100,$A298,'15b'!$I$7:$I$100,2)+SUMIFS('15c'!$N$7:$N$100,'15c'!$H$7:$H$100,$A298,'15c'!$I$7:$I$100,2)+SUMIFS('15d'!$N$7:$N$100,'15d'!$H$7:$H$100,$A298,'15d'!$I$7:$I$100,2)+SUMIFS('15e'!$N$7:$N$100,'15e'!$H$7:$H$100,$A298,'15e'!$I$7:$I$100,2)+SUMIFS('15f'!$N$7:$N$100,'15f'!$H$7:$H$100,$A298,'15f'!$I$7:$I$100,2)+SUMIFS('15g'!$N$7:$N$100,'15g'!$H$7:$H$100,$A298,'15g'!$I$7:$I$100,2)+SUMIFS('15h'!$N$7:$N$100,'15h'!$H$7:$H$100,$A298,'15h'!$I$7:$I$100,2)+SUMIFS('15i'!$N$7:$N$100,'15i'!$H$7:$H$100,$A298,'15i'!$I$7:$I$100,2)+SUMIFS('15j'!$N$7:$N$100,'15j'!$H$7:$H$100,$A298,'15j'!$I$7:$I$100,2)+SUMIFS('15k'!$N$7:$N$100,'15k'!$H$7:$H$100,$A298,'15k'!$I$7:$I$100,2)+SUMIFS('15l'!$N$7:$N$100,'15l'!$H$7:$H$100,$A298,'15l'!$I$7:$I$100,2)+SUMIFS('15m'!$N$7:$N$100,'15m'!$H$7:$H$100,$A298,'15m'!$I$7:$I$100,2)+SUMIFS('15n'!$N$7:$N$100,'15n'!$H$7:$H$100,$A298,'15n'!$I$7:$I$100,2)+SUMIFS('16'!$N$7:$N$100,'16'!$H$7:$H$100,$A298,'16'!$I$7:$I$100,2)+SUMIFS('16a'!$N$7:$N$100,'16a'!$H$7:$H$100,$A298,'16a'!$I$7:$I$100,2)+SUMIFS('17'!$N$7:$N$100,'17'!$H$7:$H$100,$A298,'17'!$I$7:$I$100,2)+SUMIFS('17a'!$N$7:$N$100,'17a'!$H$7:$H$100,$A298,'17a'!$I$7:$I$100,2)+SUMIFS('18'!$N$7:$N$100,'18'!$H$7:$H$100,$A298,'18'!$I$7:$I$100,2)+SUMIFS('18a'!$N$7:$N$100,'18a'!$H$7:$H$100,$A298,'18a'!$I$7:$I$100,2)
+SUMIFS('19'!$N$7:$N$100,'19'!$H$7:$H$100,$A298,'19'!$I$7:$I$100,2)+SUMIFS('20'!$N$7:$N$100,'20'!$H$7:$H$100,$A298,'20'!$I$7:$I$100,2)+SUMIFS('20a'!$N$7:$N$100,'20a'!$H$7:$H$100,$A298,'20a'!$I$7:$I$100,2)+SUMIFS('21'!$N$7:$N$100,'21'!$H$7:$H$100,$A298,'21'!$I$7:$I$100,2)+SUMIFS('22'!$N$7:$N$100,'22'!$H$7:$H$100,$A298,'22'!$I$7:$I$100,2)+SUMIFS('22a'!$N$7:$N$100,'22a'!$H$7:$H$100,$A298,'22a'!$I$7:$I$100,2)+SUMIFS('22b'!$N$7:$N$100,'22b'!$H$7:$H$100,$A298,'22b'!$I$7:$I$100,2)+SUMIFS('23'!$N$7:$N$100,'23'!$H$7:$H$100,$A298,'23'!$I$7:$I$100,2)+SUMIFS('24'!$N$7:$N$100,'24'!$H$7:$H$100,$A298,'24'!$I$7:$I$100,2)+SUMIFS('24a'!$N$7:$N$100,'24a'!$H$7:$H$100,$A298,'24a'!$I$7:$I$100,2)+SUMIFS('24b'!$N$7:$N$100,'24b'!$H$7:$H$100,$A298,'24b'!$I$7:$I$100,2)+SUMIFS('24c'!$N$7:$N$100,'24c'!$H$7:$H$100,$A298,'24c'!$I$7:$I$100,2)+SUMIFS('24d'!$N$7:$N$100,'24d'!$H$7:$H$100,$A298,'24d'!$I$7:$I$100,2)+SUMIFS('24e'!$N$7:$N$100,'24e'!$H$7:$H$100,$A298,'24e'!$I$7:$I$100,2)+SUMIFS('24f'!$N$7:$N$100,'24f'!$H$7:$H$100,$A298,'24f'!$I$7:$I$100,2)+SUMIFS('24g'!$N$7:$N$100,'24g'!$H$7:$H$100,$A298,'24g'!$I$7:$I$100,2)+SUMIFS('24h'!$N$7:$N$100,'24h'!$H$7:$H$100,$A298,'24h'!$I$7:$I$100,2)+SUMIFS('24i'!$N$7:$N$100,'24i'!$H$7:$H$100,$A298,'24i'!$I$7:$I$100,2)+SUMIFS('25'!$N$7:$N$100,'25'!$H$7:$H$100,$A298,'25'!$I$7:$I$100,2)+SUMIFS('26'!$N$7:$N$100,'26'!$H$7:$H$100,$A298,'26'!$I$7:$I$100,2)+SUMIFS('26a'!$N$7:$N$100,'26a'!$H$7:$H$100,$A298,'26a'!$I$7:$I$100,2)+SUMIFS('27'!$N$7:$N$100,'27'!$H$7:$H$100,$A298,'27'!$I$7:$I$100,2)+SUMIFS('27a'!$N$7:$N$100,'27a'!$H$7:$H$100,$A298,'27a'!$I$7:$I$100,2)+SUMIFS('28'!$N$7:$N$100,'28'!$H$7:$H$100,$A298,'28'!$I$7:$I$100,2)+SUMIFS('29'!$N$7:$N$100,'29'!$H$7:$H$100,$A298,'29'!$I$7:$I$100,2)</f>
        <v>0</v>
      </c>
      <c r="E298" s="1315">
        <f>SUMIFS('12'!$N$7:$N$100,'12'!$H$7:$H$100,$A298,'12'!$I$7:$I$100,"")+SUMIFS('13'!$N$7:$N$100,'13'!$H$7:$H$100,$A298,'13'!$I$7:$I$100,"")+SUMIFS('14'!$N$7:$N$100,'14'!$H$7:$H$100,$A298,'14'!$I$7:$I$100,"")+SUMIFS('15'!$N$7:$N$100,'15'!$H$7:$H$100,$A298,'15'!$I$7:$I$100,"")+SUMIFS('15a'!$N$7:$N$100,'15a'!$H$7:$H$100,$A298,'15a'!$I$7:$I$100,"")+SUMIFS('15b'!$N$7:$N$100,'15b'!$H$7:$H$100,$A298,'15b'!$I$7:$I$100,"")+SUMIFS('15c'!$N$7:$N$100,'15c'!$H$7:$H$100,$A298,'15c'!$I$7:$I$100,"")+SUMIFS('15d'!$N$7:$N$100,'15d'!$H$7:$H$100,$A298,'15d'!$I$7:$I$100,"")+SUMIFS('15e'!$N$7:$N$100,'15e'!$H$7:$H$100,$A298,'15e'!$I$7:$I$100,"")+SUMIFS('15f'!$N$7:$N$100,'15f'!$H$7:$H$100,$A298,'15f'!$I$7:$I$100,"")+SUMIFS('15g'!$N$7:$N$100,'15g'!$H$7:$H$100,$A298,'15g'!$I$7:$I$100,"")+SUMIFS('15h'!$N$7:$N$100,'15h'!$H$7:$H$100,$A298,'15h'!$I$7:$I$100,"")+SUMIFS('15i'!$N$7:$N$100,'15i'!$H$7:$H$100,$A298,'15i'!$I$7:$I$100,"")+SUMIFS('15j'!$N$7:$N$100,'15j'!$H$7:$H$100,$A298,'15j'!$I$7:$I$100,"")+SUMIFS('15k'!$N$7:$N$100,'15k'!$H$7:$H$100,$A298,'15k'!$I$7:$I$100,"")+SUMIFS('15l'!$N$7:$N$100,'15l'!$H$7:$H$100,$A298,'15l'!$I$7:$I$100,"")+SUMIFS('15m'!$N$7:$N$100,'15m'!$H$7:$H$100,$A298,'15m'!$I$7:$I$100,"")+SUMIFS('15n'!$N$7:$N$100,'15n'!$H$7:$H$100,$A298,'15n'!$I$7:$I$100,"")+SUMIFS('16'!$N$7:$N$100,'16'!$H$7:$H$100,$A298,'16'!$I$7:$I$100,"")+SUMIFS('16a'!$N$7:$N$100,'16a'!$H$7:$H$100,$A298,'16a'!$I$7:$I$100,"")+SUMIFS('17'!$N$7:$N$100,'17'!$H$7:$H$100,$A298,'17'!$I$7:$I$100,"")+SUMIFS('17a'!$N$7:$N$100,'17a'!$H$7:$H$100,$A298,'17a'!$I$7:$I$100,"")+SUMIFS('18'!$N$7:$N$100,'18'!$H$7:$H$100,$A298,'18'!$I$7:$I$100,"")+SUMIFS('18a'!$N$7:$N$100,'18a'!$H$7:$H$100,$A298,'18a'!$I$7:$I$100,"")
+SUMIFS('19'!$N$7:$N$100,'19'!$H$7:$H$100,$A298,'19'!$I$7:$I$100,"")+SUMIFS('20'!$N$7:$N$100,'20'!$H$7:$H$100,$A298,'20'!$I$7:$I$100,"")+SUMIFS('20a'!$N$7:$N$100,'20a'!$H$7:$H$100,$A298,'20a'!$I$7:$I$100,"")+SUMIFS('21'!$N$7:$N$100,'21'!$H$7:$H$100,$A298,'21'!$I$7:$I$100,"")+SUMIFS('22'!$N$7:$N$100,'22'!$H$7:$H$100,$A298,'22'!$I$7:$I$100,"")+SUMIFS('22a'!$N$7:$N$100,'22a'!$H$7:$H$100,$A298,'22a'!$I$7:$I$100,"")+SUMIFS('22b'!$N$7:$N$100,'22b'!$H$7:$H$100,$A298,'22b'!$I$7:$I$100,"")+SUMIFS('23'!$N$7:$N$100,'23'!$H$7:$H$100,$A298,'23'!$I$7:$I$100,"")+SUMIFS('24'!$N$7:$N$100,'24'!$H$7:$H$100,$A298,'24'!$I$7:$I$100,"")+SUMIFS('24a'!$N$7:$N$100,'24a'!$H$7:$H$100,$A298,'24a'!$I$7:$I$100,"")+SUMIFS('24b'!$N$7:$N$100,'24b'!$H$7:$H$100,$A298,'24b'!$I$7:$I$100,"")+SUMIFS('24c'!$N$7:$N$100,'24c'!$H$7:$H$100,$A298,'24c'!$I$7:$I$100,"")+SUMIFS('24d'!$N$7:$N$100,'24d'!$H$7:$H$100,$A298,'24d'!$I$7:$I$100,"")+SUMIFS('24e'!$N$7:$N$100,'24e'!$H$7:$H$100,$A298,'24e'!$I$7:$I$100,"")+SUMIFS('24f'!$N$7:$N$100,'24f'!$H$7:$H$100,$A298,'24f'!$I$7:$I$100,"")+SUMIFS('24g'!$N$7:$N$100,'24g'!$H$7:$H$100,$A298,'24g'!$I$7:$I$100,"")+SUMIFS('24h'!$N$7:$N$100,'24h'!$H$7:$H$100,$A298,'24h'!$I$7:$I$100,"")+SUMIFS('24i'!$N$7:$N$100,'24i'!$H$7:$H$100,$A298,'24i'!$I$7:$I$100,"")+SUMIFS('25'!$N$7:$N$100,'25'!$H$7:$H$100,$A298,'25'!$I$7:$I$100,"")+SUMIFS('26'!$N$7:$N$100,'26'!$H$7:$H$100,$A298,'26'!$I$7:$I$100,"")+SUMIFS('26a'!$N$7:$N$100,'26a'!$H$7:$H$100,$A298,'26a'!$I$7:$I$100,"")+SUMIFS('27'!$N$7:$N$100,'27'!$H$7:$H$100,$A298,'27'!$I$7:$I$100,"")+SUMIFS('27a'!$N$7:$N$100,'27a'!$H$7:$H$100,$A298,'27a'!$I$7:$I$100,"")+SUMIFS('28'!$N$7:$N$100,'28'!$H$7:$H$100,$A298,'28'!$I$7:$I$100,"")+SUMIFS('29'!$N$7:$N$100,'29'!$H$7:$H$100,$A298,'29'!$I$7:$I$100,"")</f>
        <v>0</v>
      </c>
      <c r="F298" s="1296">
        <f t="shared" si="36"/>
        <v>0</v>
      </c>
      <c r="G298" s="1295">
        <f>SUMIFS('12'!$J$7:$J$100,'12'!$H$7:$H$100,$A298,'12'!$I$7:$I$100,1)+SUMIFS('13'!$J$7:$J$100,'13'!$H$7:$H$100,$A298,'13'!$I$7:$I$100,1)+SUMIFS('14'!$J$7:$J$100,'14'!$H$7:$H$100,$A298,'14'!$I$7:$I$100,1)+SUMIFS('15'!$J$7:$J$100,'15'!$H$7:$H$100,$A298,'15'!$I$7:$I$100,1)+SUMIFS('15a'!$J$7:$J$100,'15a'!$H$7:$H$100,$A298,'15a'!$I$7:$I$100,1)+SUMIFS('15b'!$J$7:$J$100,'15b'!$H$7:$H$100,$A298,'15b'!$I$7:$I$100,1)+SUMIFS('15c'!$J$7:$J$100,'15c'!$H$7:$H$100,$A298,'15c'!$I$7:$I$100,1)+SUMIFS('15d'!$J$7:$J$100,'15d'!$H$7:$H$100,$A298,'15d'!$I$7:$I$100,1)+SUMIFS('15e'!$J$7:$J$100,'15e'!$H$7:$H$100,$A298,'15e'!$I$7:$I$100,1)+SUMIFS('15f'!$J$7:$J$100,'15f'!$H$7:$H$100,$A298,'15f'!$I$7:$I$100,1)+SUMIFS('15g'!$J$7:$J$100,'15g'!$H$7:$H$100,$A298,'15g'!$I$7:$I$100,1)+SUMIFS('15h'!$J$7:$J$100,'15h'!$H$7:$H$100,$A298,'15h'!$I$7:$I$100,1)+SUMIFS('15i'!$J$7:$J$100,'15i'!$H$7:$H$100,$A298,'15i'!$I$7:$I$100,1)+SUMIFS('15j'!$J$7:$J$100,'15j'!$H$7:$H$100,$A298,'15j'!$I$7:$I$100,1)+SUMIFS('15k'!$J$7:$J$100,'15k'!$H$7:$H$100,$A298,'15k'!$I$7:$I$100,1)+SUMIFS('15l'!$J$7:$J$100,'15l'!$H$7:$H$100,$A298,'15l'!$I$7:$I$100,1)+SUMIFS('15m'!$J$7:$J$100,'15m'!$H$7:$H$100,$A298,'15m'!$I$7:$I$100,1)+SUMIFS('15n'!$J$7:$J$100,'15n'!$H$7:$H$100,$A298,'15n'!$I$7:$I$100,1)+SUMIFS('16'!$J$7:$J$100,'16'!$H$7:$H$100,$A298,'16'!$I$7:$I$100,1)+SUMIFS('16a'!$J$7:$J$100,'16a'!$H$7:$H$100,$A298,'16a'!$I$7:$I$100,1)+SUMIFS('17'!$J$7:$J$100,'17'!$H$7:$H$100,$A298,'17'!$I$7:$I$100,1)+SUMIFS('17a'!$J$7:$J$100,'17a'!$H$7:$H$100,$A298,'17a'!$I$7:$I$100,1)+SUMIFS('18'!$J$7:$J$100,'18'!$H$7:$H$100,$A298,'18'!$I$7:$I$100,1)+SUMIFS('18a'!$J$7:$J$100,'18a'!$H$7:$H$100,$A298,'18a'!$I$7:$I$100,1)
+SUMIFS('19'!$J$7:$J$100,'19'!$H$7:$H$100,$A298,'19'!$I$7:$I$100,1)+SUMIFS('20'!$J$7:$J$100,'20'!$H$7:$H$100,$A298,'20'!$I$7:$I$100,1)+SUMIFS('20a'!$J$7:$J$100,'20a'!$H$7:$H$100,$A298,'20a'!$I$7:$I$100,1)+SUMIFS('21'!$J$7:$J$100,'21'!$H$7:$H$100,$A298,'21'!$I$7:$I$100,1)+SUMIFS('22'!$J$7:$J$100,'22'!$H$7:$H$100,$A298,'22'!$I$7:$I$100,1)+SUMIFS('22a'!$J$7:$J$100,'22a'!$H$7:$H$100,$A298,'22a'!$I$7:$I$100,1)+SUMIFS('22b'!$J$7:$J$100,'22b'!$H$7:$H$100,$A298,'22b'!$I$7:$I$100,1)+SUMIFS('23'!$J$7:$J$100,'23'!$H$7:$H$100,$A298,'23'!$I$7:$I$100,1)+SUMIFS('24'!$J$7:$J$100,'24'!$H$7:$H$100,$A298,'24'!$I$7:$I$100,1)+SUMIFS('24a'!$J$7:$J$100,'24a'!$H$7:$H$100,$A298,'24a'!$I$7:$I$100,1)+SUMIFS('24b'!$J$7:$J$100,'24b'!$H$7:$H$100,$A298,'24b'!$I$7:$I$100,1)+SUMIFS('24c'!$J$7:$J$100,'24c'!$H$7:$H$100,$A298,'24c'!$I$7:$I$100,1)+SUMIFS('24d'!$J$7:$J$100,'24d'!$H$7:$H$100,$A298,'24d'!$I$7:$I$100,1)+SUMIFS('24e'!$J$7:$J$100,'24e'!$H$7:$H$100,$A298,'24e'!$I$7:$I$100,1)+SUMIFS('24f'!$J$7:$J$100,'24f'!$H$7:$H$100,$A298,'24f'!$I$7:$I$100,1)+SUMIFS('24g'!$J$7:$J$100,'24g'!$H$7:$H$100,$A298,'24g'!$I$7:$I$100,1)+SUMIFS('24h'!$J$7:$J$100,'24h'!$H$7:$H$100,$A298,'24h'!$I$7:$I$100,1)+SUMIFS('24i'!$J$7:$J$100,'24i'!$H$7:$H$100,$A298,'24i'!$I$7:$I$100,1)+SUMIFS('25'!$J$7:$J$100,'25'!$H$7:$H$100,$A298,'25'!$I$7:$I$100,1)+SUMIFS('26'!$J$7:$J$100,'26'!$H$7:$H$100,$A298,'26'!$I$7:$I$100,1)+SUMIFS('26a'!$J$7:$J$100,'26a'!$H$7:$H$100,$A298,'26a'!$I$7:$I$100,1)+SUMIFS('27'!$J$7:$J$100,'27'!$H$7:$H$100,$A298,'27'!$I$7:$I$100,1)+SUMIFS('27a'!$J$7:$J$100,'27a'!$H$7:$H$100,$A298,'27a'!$I$7:$I$100,1)+SUMIFS('28'!$J$7:$J$100,'28'!$H$7:$H$100,$A298,'28'!$I$7:$I$100,1)+SUMIFS('29'!$J$7:$J$100,'29'!$H$7:$H$100,$A298,'29'!$I$7:$I$100,1)</f>
        <v>0</v>
      </c>
      <c r="H298" s="1315">
        <f>SUMIFS('12'!$J$7:$J$100,'12'!$H$7:$H$100,$A298,'12'!$I$7:$I$100,2)+SUMIFS('13'!$J$7:$J$100,'13'!$H$7:$H$100,$A298,'13'!$I$7:$I$100,2)+SUMIFS('14'!$J$7:$J$100,'14'!$H$7:$H$100,$A298,'14'!$I$7:$I$100,2)+SUMIFS('15'!$J$7:$J$100,'15'!$H$7:$H$100,$A298,'15'!$I$7:$I$100,2)+SUMIFS('15a'!$J$7:$J$100,'15a'!$H$7:$H$100,$A298,'15a'!$I$7:$I$100,2)+SUMIFS('15b'!$J$7:$J$100,'15b'!$H$7:$H$100,$A298,'15b'!$I$7:$I$100,2)+SUMIFS('15c'!$J$7:$J$100,'15c'!$H$7:$H$100,$A298,'15c'!$I$7:$I$100,2)+SUMIFS('15d'!$J$7:$J$100,'15d'!$H$7:$H$100,$A298,'15d'!$I$7:$I$100,2)+SUMIFS('15e'!$J$7:$J$100,'15e'!$H$7:$H$100,$A298,'15e'!$I$7:$I$100,2)+SUMIFS('15f'!$J$7:$J$100,'15f'!$H$7:$H$100,$A298,'15f'!$I$7:$I$100,2)+SUMIFS('15g'!$J$7:$J$100,'15g'!$H$7:$H$100,$A298,'15g'!$I$7:$I$100,2)+SUMIFS('15h'!$J$7:$J$100,'15h'!$H$7:$H$100,$A298,'15h'!$I$7:$I$100,2)+SUMIFS('15i'!$J$7:$J$100,'15i'!$H$7:$H$100,$A298,'15i'!$I$7:$I$100,2)+SUMIFS('15j'!$J$7:$J$100,'15j'!$H$7:$H$100,$A298,'15j'!$I$7:$I$100,2)+SUMIFS('15k'!$J$7:$J$100,'15k'!$H$7:$H$100,$A298,'15k'!$I$7:$I$100,2)+SUMIFS('15l'!$J$7:$J$100,'15l'!$H$7:$H$100,$A298,'15l'!$I$7:$I$100,2)+SUMIFS('15m'!$J$7:$J$100,'15m'!$H$7:$H$100,$A298,'15m'!$I$7:$I$100,2)+SUMIFS('15n'!$J$7:$J$100,'15n'!$H$7:$H$100,$A298,'15n'!$I$7:$I$100,2)+SUMIFS('16'!$J$7:$J$100,'16'!$H$7:$H$100,$A298,'16'!$I$7:$I$100,2)+SUMIFS('16a'!$J$7:$J$100,'16a'!$H$7:$H$100,$A298,'16a'!$I$7:$I$100,2)+SUMIFS('17'!$J$7:$J$100,'17'!$H$7:$H$100,$A298,'17'!$I$7:$I$100,2)+SUMIFS('17a'!$J$7:$J$100,'17a'!$H$7:$H$100,$A298,'17a'!$I$7:$I$100,2)+SUMIFS('18'!$J$7:$J$100,'18'!$H$7:$H$100,$A298,'18'!$I$7:$I$100,2)+SUMIFS('18a'!$J$7:$J$100,'18a'!$H$7:$H$100,$A298,'18a'!$I$7:$I$100,2)
+SUMIFS('19'!$J$7:$J$100,'19'!$H$7:$H$100,$A298,'19'!$I$7:$I$100,2)+SUMIFS('20'!$J$7:$J$100,'20'!$H$7:$H$100,$A298,'20'!$I$7:$I$100,2)+SUMIFS('20a'!$J$7:$J$100,'20a'!$H$7:$H$100,$A298,'20a'!$I$7:$I$100,2)+SUMIFS('21'!$J$7:$J$100,'21'!$H$7:$H$100,$A298,'21'!$I$7:$I$100,2)+SUMIFS('22'!$J$7:$J$100,'22'!$H$7:$H$100,$A298,'22'!$I$7:$I$100,2)+SUMIFS('22a'!$J$7:$J$100,'22a'!$H$7:$H$100,$A298,'22a'!$I$7:$I$100,2)+SUMIFS('22b'!$J$7:$J$100,'22b'!$H$7:$H$100,$A298,'22b'!$I$7:$I$100,2)+SUMIFS('23'!$J$7:$J$100,'23'!$H$7:$H$100,$A298,'23'!$I$7:$I$100,2)+SUMIFS('24'!$J$7:$J$100,'24'!$H$7:$H$100,$A298,'24'!$I$7:$I$100,2)+SUMIFS('24a'!$J$7:$J$100,'24a'!$H$7:$H$100,$A298,'24a'!$I$7:$I$100,2)+SUMIFS('24b'!$J$7:$J$100,'24b'!$H$7:$H$100,$A298,'24b'!$I$7:$I$100,2)+SUMIFS('24c'!$J$7:$J$100,'24c'!$H$7:$H$100,$A298,'24c'!$I$7:$I$100,2)+SUMIFS('24d'!$J$7:$J$100,'24d'!$H$7:$H$100,$A298,'24d'!$I$7:$I$100,2)+SUMIFS('24e'!$J$7:$J$100,'24e'!$H$7:$H$100,$A298,'24e'!$I$7:$I$100,2)+SUMIFS('24f'!$J$7:$J$100,'24f'!$H$7:$H$100,$A298,'24f'!$I$7:$I$100,2)+SUMIFS('24g'!$J$7:$J$100,'24g'!$H$7:$H$100,$A298,'24g'!$I$7:$I$100,2)+SUMIFS('24h'!$J$7:$J$100,'24h'!$H$7:$H$100,$A298,'24h'!$I$7:$I$100,2)+SUMIFS('24i'!$J$7:$J$100,'24i'!$H$7:$H$100,$A298,'24i'!$I$7:$I$100,2)+SUMIFS('25'!$J$7:$J$100,'25'!$H$7:$H$100,$A298,'25'!$I$7:$I$100,2)+SUMIFS('26'!$J$7:$J$100,'26'!$H$7:$H$100,$A298,'26'!$I$7:$I$100,2)+SUMIFS('26a'!$J$7:$J$100,'26a'!$H$7:$H$100,$A298,'26a'!$I$7:$I$100,2)+SUMIFS('27'!$J$7:$J$100,'27'!$H$7:$H$100,$A298,'27'!$I$7:$I$100,2)+SUMIFS('27a'!$J$7:$J$100,'27a'!$H$7:$H$100,$A298,'27a'!$I$7:$I$100,2)+SUMIFS('28'!$J$7:$J$100,'28'!$H$7:$H$100,$A298,'28'!$I$7:$I$100,2)+SUMIFS('29'!$J$7:$J$100,'29'!$H$7:$H$100,$A298,'29'!$I$7:$I$100,2)</f>
        <v>0</v>
      </c>
      <c r="I298" s="1315">
        <f>SUMIFS('12'!$J$7:$J$100,'12'!$H$7:$H$100,$A298,'12'!$I$7:$I$100,"")+SUMIFS('13'!$J$7:$J$100,'13'!$H$7:$H$100,$A298,'13'!$I$7:$I$100,"")+SUMIFS('14'!$J$7:$J$100,'14'!$H$7:$H$100,$A298,'14'!$I$7:$I$100,"")+SUMIFS('15'!$J$7:$J$100,'15'!$H$7:$H$100,$A298,'15'!$I$7:$I$100,"")+SUMIFS('15a'!$J$7:$J$100,'15a'!$H$7:$H$100,$A298,'15a'!$I$7:$I$100,"")+SUMIFS('15b'!$J$7:$J$100,'15b'!$H$7:$H$100,$A298,'15b'!$I$7:$I$100,"")+SUMIFS('15c'!$J$7:$J$100,'15c'!$H$7:$H$100,$A298,'15c'!$I$7:$I$100,"")+SUMIFS('15d'!$J$7:$J$100,'15d'!$H$7:$H$100,$A298,'15d'!$I$7:$I$100,"")+SUMIFS('15e'!$J$7:$J$100,'15e'!$H$7:$H$100,$A298,'15e'!$I$7:$I$100,"")+SUMIFS('15f'!$J$7:$J$100,'15f'!$H$7:$H$100,$A298,'15f'!$I$7:$I$100,"")+SUMIFS('15g'!$J$7:$J$100,'15g'!$H$7:$H$100,$A298,'15g'!$I$7:$I$100,"")+SUMIFS('15h'!$J$7:$J$100,'15h'!$H$7:$H$100,$A298,'15h'!$I$7:$I$100,"")+SUMIFS('15i'!$J$7:$J$100,'15i'!$H$7:$H$100,$A298,'15i'!$I$7:$I$100,"")+SUMIFS('15j'!$J$7:$J$100,'15j'!$H$7:$H$100,$A298,'15j'!$I$7:$I$100,"")+SUMIFS('15k'!$J$7:$J$100,'15k'!$H$7:$H$100,$A298,'15k'!$I$7:$I$100,"")+SUMIFS('15l'!$J$7:$J$100,'15l'!$H$7:$H$100,$A298,'15l'!$I$7:$I$100,"")+SUMIFS('15m'!$J$7:$J$100,'15m'!$H$7:$H$100,$A298,'15m'!$I$7:$I$100,"")+SUMIFS('15n'!$J$7:$J$100,'15n'!$H$7:$H$100,$A298,'15n'!$I$7:$I$100,"")+SUMIFS('16'!$J$7:$J$100,'16'!$H$7:$H$100,$A298,'16'!$I$7:$I$100,"")+SUMIFS('16a'!$J$7:$J$100,'16a'!$H$7:$H$100,$A298,'16a'!$I$7:$I$100,"")+SUMIFS('17'!$J$7:$J$100,'17'!$H$7:$H$100,$A298,'17'!$I$7:$I$100,"")+SUMIFS('17a'!$J$7:$J$100,'17a'!$H$7:$H$100,$A298,'17a'!$I$7:$I$100,"")+SUMIFS('18'!$J$7:$J$100,'18'!$H$7:$H$100,$A298,'18'!$I$7:$I$100,"")+SUMIFS('18a'!$J$7:$J$100,'18a'!$H$7:$H$100,$A298,'18a'!$I$7:$I$100,"")
+SUMIFS('19'!$J$7:$J$100,'19'!$H$7:$H$100,$A298,'19'!$I$7:$I$100,"")+SUMIFS('20'!$J$7:$J$100,'20'!$H$7:$H$100,$A298,'20'!$I$7:$I$100,"")+SUMIFS('20a'!$J$7:$J$100,'20a'!$H$7:$H$100,$A298,'20a'!$I$7:$I$100,"")+SUMIFS('21'!$J$7:$J$100,'21'!$H$7:$H$100,$A298,'21'!$I$7:$I$100,"")+SUMIFS('22'!$J$7:$J$100,'22'!$H$7:$H$100,$A298,'22'!$I$7:$I$100,"")+SUMIFS('22a'!$J$7:$J$100,'22a'!$H$7:$H$100,$A298,'22a'!$I$7:$I$100,"")+SUMIFS('22b'!$J$7:$J$100,'22b'!$H$7:$H$100,$A298,'22b'!$I$7:$I$100,"")+SUMIFS('23'!$J$7:$J$100,'23'!$H$7:$H$100,$A298,'23'!$I$7:$I$100,"")+SUMIFS('24'!$J$7:$J$100,'24'!$H$7:$H$100,$A298,'24'!$I$7:$I$100,"")+SUMIFS('24a'!$J$7:$J$100,'24a'!$H$7:$H$100,$A298,'24a'!$I$7:$I$100,"")+SUMIFS('24b'!$J$7:$J$100,'24b'!$H$7:$H$100,$A298,'24b'!$I$7:$I$100,"")+SUMIFS('24c'!$J$7:$J$100,'24c'!$H$7:$H$100,$A298,'24c'!$I$7:$I$100,"")+SUMIFS('24d'!$J$7:$J$100,'24d'!$H$7:$H$100,$A298,'24d'!$I$7:$I$100,"")+SUMIFS('24e'!$J$7:$J$100,'24e'!$H$7:$H$100,$A298,'24e'!$I$7:$I$100,"")+SUMIFS('24f'!$J$7:$J$100,'24f'!$H$7:$H$100,$A298,'24f'!$I$7:$I$100,"")+SUMIFS('24g'!$J$7:$J$100,'24g'!$H$7:$H$100,$A298,'24g'!$I$7:$I$100,"")+SUMIFS('24h'!$J$7:$J$100,'24h'!$H$7:$H$100,$A298,'24h'!$I$7:$I$100,"")+SUMIFS('24i'!$J$7:$J$100,'24i'!$H$7:$H$100,$A298,'24i'!$I$7:$I$100,"")+SUMIFS('25'!$J$7:$J$100,'25'!$H$7:$H$100,$A298,'25'!$I$7:$I$100,"")+SUMIFS('26'!$J$7:$J$100,'26'!$H$7:$H$100,$A298,'26'!$I$7:$I$100,"")+SUMIFS('26a'!$J$7:$J$100,'26a'!$H$7:$H$100,$A298,'26a'!$I$7:$I$100,"")+SUMIFS('27'!$J$7:$J$100,'27'!$H$7:$H$100,$A298,'27'!$I$7:$I$100,"")+SUMIFS('27a'!$J$7:$J$100,'27a'!$H$7:$H$100,$A298,'27a'!$I$7:$I$100,"")+SUMIFS('28'!$J$7:$J$100,'28'!$H$7:$H$100,$A298,'28'!$I$7:$I$100,"")+SUMIFS('29'!$J$7:$J$100,'29'!$H$7:$H$100,$A298,'29'!$I$7:$I$100,"")</f>
        <v>0</v>
      </c>
      <c r="J298" s="1296">
        <f t="shared" si="37"/>
        <v>0</v>
      </c>
      <c r="K298"/>
      <c r="L298"/>
      <c r="M298"/>
      <c r="N298"/>
      <c r="O298"/>
      <c r="P298"/>
      <c r="Q298"/>
      <c r="R298"/>
      <c r="S298" s="1307">
        <f t="shared" si="30"/>
        <v>0</v>
      </c>
      <c r="T298"/>
    </row>
    <row r="299" spans="1:20" x14ac:dyDescent="0.2">
      <c r="A299" s="784" t="s">
        <v>5284</v>
      </c>
      <c r="B299" t="s">
        <v>5524</v>
      </c>
      <c r="C299" s="1295">
        <f>SUMIFS('12'!$N$7:$N$100,'12'!$H$7:$H$100,$A299,'12'!$I$7:$I$100,1)+SUMIFS('13'!$N$7:$N$100,'13'!$H$7:$H$100,$A299,'13'!$I$7:$I$100,1)+SUMIFS('14'!$N$7:$N$100,'14'!$H$7:$H$100,$A299,'14'!$I$7:$I$100,1)+SUMIFS('15'!$N$7:$N$100,'15'!$H$7:$H$100,$A299,'15'!$I$7:$I$100,1)+SUMIFS('15a'!$N$7:$N$100,'15a'!$H$7:$H$100,$A299,'15a'!$I$7:$I$100,1)+SUMIFS('15b'!$N$7:$N$100,'15b'!$H$7:$H$100,$A299,'15b'!$I$7:$I$100,1)+SUMIFS('15c'!$N$7:$N$100,'15c'!$H$7:$H$100,$A299,'15c'!$I$7:$I$100,1)+SUMIFS('15d'!$N$7:$N$100,'15d'!$H$7:$H$100,$A299,'15d'!$I$7:$I$100,1)+SUMIFS('15e'!$N$7:$N$100,'15e'!$H$7:$H$100,$A299,'15e'!$I$7:$I$100,1)+SUMIFS('15f'!$N$7:$N$100,'15f'!$H$7:$H$100,$A299,'15f'!$I$7:$I$100,1)+SUMIFS('15g'!$N$7:$N$100,'15g'!$H$7:$H$100,$A299,'15g'!$I$7:$I$100,1)+SUMIFS('15h'!$N$7:$N$100,'15h'!$H$7:$H$100,$A299,'15h'!$I$7:$I$100,1)+SUMIFS('15i'!$N$7:$N$100,'15i'!$H$7:$H$100,$A299,'15i'!$I$7:$I$100,1)+SUMIFS('15j'!$N$7:$N$100,'15j'!$H$7:$H$100,$A299,'15j'!$I$7:$I$100,1)+SUMIFS('15k'!$N$7:$N$100,'15k'!$H$7:$H$100,$A299,'15k'!$I$7:$I$100,1)+SUMIFS('15l'!$N$7:$N$100,'15l'!$H$7:$H$100,$A299,'15l'!$I$7:$I$100,1)+SUMIFS('15m'!$N$7:$N$100,'15m'!$H$7:$H$100,$A299,'15m'!$I$7:$I$100,1)+SUMIFS('15n'!$N$7:$N$100,'15n'!$H$7:$H$100,$A299,'15n'!$I$7:$I$100,1)+SUMIFS('16'!$N$7:$N$100,'16'!$H$7:$H$100,$A299,'16'!$I$7:$I$100,1)+SUMIFS('16a'!$N$7:$N$100,'16a'!$H$7:$H$100,$A299,'16a'!$I$7:$I$100,1)+SUMIFS('17'!$N$7:$N$100,'17'!$H$7:$H$100,$A299,'17'!$I$7:$I$100,1)+SUMIFS('17a'!$N$7:$N$100,'17a'!$H$7:$H$100,$A299,'17a'!$I$7:$I$100,1)+SUMIFS('18'!$N$7:$N$100,'18'!$H$7:$H$100,$A299,'18'!$I$7:$I$100,1)+SUMIFS('18a'!$N$7:$N$100,'18a'!$H$7:$H$100,$A299,'18a'!$I$7:$I$100,1)
+SUMIFS('19'!$N$7:$N$100,'19'!$H$7:$H$100,$A299,'19'!$I$7:$I$100,1)+SUMIFS('20'!$N$7:$N$100,'20'!$H$7:$H$100,$A299,'20'!$I$7:$I$100,1)+SUMIFS('20a'!$N$7:$N$100,'20a'!$H$7:$H$100,$A299,'20a'!$I$7:$I$100,1)+SUMIFS('21'!$N$7:$N$100,'21'!$H$7:$H$100,$A299,'21'!$I$7:$I$100,1)+SUMIFS('22'!$N$7:$N$100,'22'!$H$7:$H$100,$A299,'22'!$I$7:$I$100,1)+SUMIFS('22a'!$N$7:$N$100,'22a'!$H$7:$H$100,$A299,'22a'!$I$7:$I$100,1)+SUMIFS('22b'!$N$7:$N$100,'22b'!$H$7:$H$100,$A299,'22b'!$I$7:$I$100,1)+SUMIFS('23'!$N$7:$N$100,'23'!$H$7:$H$100,$A299,'23'!$I$7:$I$100,1)+SUMIFS('24'!$N$7:$N$100,'24'!$H$7:$H$100,$A299,'24'!$I$7:$I$100,1)+SUMIFS('24a'!$N$7:$N$100,'24a'!$H$7:$H$100,$A299,'24a'!$I$7:$I$100,1)+SUMIFS('24b'!$N$7:$N$100,'24b'!$H$7:$H$100,$A299,'24b'!$I$7:$I$100,1)+SUMIFS('24c'!$N$7:$N$100,'24c'!$H$7:$H$100,$A299,'24c'!$I$7:$I$100,1)+SUMIFS('24d'!$N$7:$N$100,'24d'!$H$7:$H$100,$A299,'24d'!$I$7:$I$100,1)+SUMIFS('24e'!$N$7:$N$100,'24e'!$H$7:$H$100,$A299,'24e'!$I$7:$I$100,1)+SUMIFS('24f'!$N$7:$N$100,'24f'!$H$7:$H$100,$A299,'24f'!$I$7:$I$100,1)+SUMIFS('24g'!$N$7:$N$100,'24g'!$H$7:$H$100,$A299,'24g'!$I$7:$I$100,1)+SUMIFS('24h'!$N$7:$N$100,'24h'!$H$7:$H$100,$A299,'24h'!$I$7:$I$100,1)+SUMIFS('24i'!$N$7:$N$100,'24i'!$H$7:$H$100,$A299,'24i'!$I$7:$I$100,1)+SUMIFS('25'!$N$7:$N$100,'25'!$H$7:$H$100,$A299,'25'!$I$7:$I$100,1)+SUMIFS('26'!$N$7:$N$100,'26'!$H$7:$H$100,$A299,'26'!$I$7:$I$100,1)+SUMIFS('26a'!$N$7:$N$100,'26a'!$H$7:$H$100,$A299,'26a'!$I$7:$I$100,1)+SUMIFS('27'!$N$7:$N$100,'27'!$H$7:$H$100,$A299,'27'!$I$7:$I$100,1)+SUMIFS('27a'!$N$7:$N$100,'27a'!$H$7:$H$100,$A299,'27a'!$I$7:$I$100,1)+SUMIFS('28'!$N$7:$N$100,'28'!$H$7:$H$100,$A299,'28'!$I$7:$I$100,1)+SUMIFS('29'!$N$7:$N$100,'29'!$H$7:$H$100,$A299,'29'!$I$7:$I$100,1)</f>
        <v>0</v>
      </c>
      <c r="D299" s="1315">
        <f>SUMIFS('12'!$N$7:$N$100,'12'!$H$7:$H$100,$A299,'12'!$I$7:$I$100,2)+SUMIFS('13'!$N$7:$N$100,'13'!$H$7:$H$100,$A299,'13'!$I$7:$I$100,2)+SUMIFS('14'!$N$7:$N$100,'14'!$H$7:$H$100,$A299,'14'!$I$7:$I$100,2)+SUMIFS('15'!$N$7:$N$100,'15'!$H$7:$H$100,$A299,'15'!$I$7:$I$100,2)+SUMIFS('15a'!$N$7:$N$100,'15a'!$H$7:$H$100,$A299,'15a'!$I$7:$I$100,2)+SUMIFS('15b'!$N$7:$N$100,'15b'!$H$7:$H$100,$A299,'15b'!$I$7:$I$100,2)+SUMIFS('15c'!$N$7:$N$100,'15c'!$H$7:$H$100,$A299,'15c'!$I$7:$I$100,2)+SUMIFS('15d'!$N$7:$N$100,'15d'!$H$7:$H$100,$A299,'15d'!$I$7:$I$100,2)+SUMIFS('15e'!$N$7:$N$100,'15e'!$H$7:$H$100,$A299,'15e'!$I$7:$I$100,2)+SUMIFS('15f'!$N$7:$N$100,'15f'!$H$7:$H$100,$A299,'15f'!$I$7:$I$100,2)+SUMIFS('15g'!$N$7:$N$100,'15g'!$H$7:$H$100,$A299,'15g'!$I$7:$I$100,2)+SUMIFS('15h'!$N$7:$N$100,'15h'!$H$7:$H$100,$A299,'15h'!$I$7:$I$100,2)+SUMIFS('15i'!$N$7:$N$100,'15i'!$H$7:$H$100,$A299,'15i'!$I$7:$I$100,2)+SUMIFS('15j'!$N$7:$N$100,'15j'!$H$7:$H$100,$A299,'15j'!$I$7:$I$100,2)+SUMIFS('15k'!$N$7:$N$100,'15k'!$H$7:$H$100,$A299,'15k'!$I$7:$I$100,2)+SUMIFS('15l'!$N$7:$N$100,'15l'!$H$7:$H$100,$A299,'15l'!$I$7:$I$100,2)+SUMIFS('15m'!$N$7:$N$100,'15m'!$H$7:$H$100,$A299,'15m'!$I$7:$I$100,2)+SUMIFS('15n'!$N$7:$N$100,'15n'!$H$7:$H$100,$A299,'15n'!$I$7:$I$100,2)+SUMIFS('16'!$N$7:$N$100,'16'!$H$7:$H$100,$A299,'16'!$I$7:$I$100,2)+SUMIFS('16a'!$N$7:$N$100,'16a'!$H$7:$H$100,$A299,'16a'!$I$7:$I$100,2)+SUMIFS('17'!$N$7:$N$100,'17'!$H$7:$H$100,$A299,'17'!$I$7:$I$100,2)+SUMIFS('17a'!$N$7:$N$100,'17a'!$H$7:$H$100,$A299,'17a'!$I$7:$I$100,2)+SUMIFS('18'!$N$7:$N$100,'18'!$H$7:$H$100,$A299,'18'!$I$7:$I$100,2)+SUMIFS('18a'!$N$7:$N$100,'18a'!$H$7:$H$100,$A299,'18a'!$I$7:$I$100,2)
+SUMIFS('19'!$N$7:$N$100,'19'!$H$7:$H$100,$A299,'19'!$I$7:$I$100,2)+SUMIFS('20'!$N$7:$N$100,'20'!$H$7:$H$100,$A299,'20'!$I$7:$I$100,2)+SUMIFS('20a'!$N$7:$N$100,'20a'!$H$7:$H$100,$A299,'20a'!$I$7:$I$100,2)+SUMIFS('21'!$N$7:$N$100,'21'!$H$7:$H$100,$A299,'21'!$I$7:$I$100,2)+SUMIFS('22'!$N$7:$N$100,'22'!$H$7:$H$100,$A299,'22'!$I$7:$I$100,2)+SUMIFS('22a'!$N$7:$N$100,'22a'!$H$7:$H$100,$A299,'22a'!$I$7:$I$100,2)+SUMIFS('22b'!$N$7:$N$100,'22b'!$H$7:$H$100,$A299,'22b'!$I$7:$I$100,2)+SUMIFS('23'!$N$7:$N$100,'23'!$H$7:$H$100,$A299,'23'!$I$7:$I$100,2)+SUMIFS('24'!$N$7:$N$100,'24'!$H$7:$H$100,$A299,'24'!$I$7:$I$100,2)+SUMIFS('24a'!$N$7:$N$100,'24a'!$H$7:$H$100,$A299,'24a'!$I$7:$I$100,2)+SUMIFS('24b'!$N$7:$N$100,'24b'!$H$7:$H$100,$A299,'24b'!$I$7:$I$100,2)+SUMIFS('24c'!$N$7:$N$100,'24c'!$H$7:$H$100,$A299,'24c'!$I$7:$I$100,2)+SUMIFS('24d'!$N$7:$N$100,'24d'!$H$7:$H$100,$A299,'24d'!$I$7:$I$100,2)+SUMIFS('24e'!$N$7:$N$100,'24e'!$H$7:$H$100,$A299,'24e'!$I$7:$I$100,2)+SUMIFS('24f'!$N$7:$N$100,'24f'!$H$7:$H$100,$A299,'24f'!$I$7:$I$100,2)+SUMIFS('24g'!$N$7:$N$100,'24g'!$H$7:$H$100,$A299,'24g'!$I$7:$I$100,2)+SUMIFS('24h'!$N$7:$N$100,'24h'!$H$7:$H$100,$A299,'24h'!$I$7:$I$100,2)+SUMIFS('24i'!$N$7:$N$100,'24i'!$H$7:$H$100,$A299,'24i'!$I$7:$I$100,2)+SUMIFS('25'!$N$7:$N$100,'25'!$H$7:$H$100,$A299,'25'!$I$7:$I$100,2)+SUMIFS('26'!$N$7:$N$100,'26'!$H$7:$H$100,$A299,'26'!$I$7:$I$100,2)+SUMIFS('26a'!$N$7:$N$100,'26a'!$H$7:$H$100,$A299,'26a'!$I$7:$I$100,2)+SUMIFS('27'!$N$7:$N$100,'27'!$H$7:$H$100,$A299,'27'!$I$7:$I$100,2)+SUMIFS('27a'!$N$7:$N$100,'27a'!$H$7:$H$100,$A299,'27a'!$I$7:$I$100,2)+SUMIFS('28'!$N$7:$N$100,'28'!$H$7:$H$100,$A299,'28'!$I$7:$I$100,2)+SUMIFS('29'!$N$7:$N$100,'29'!$H$7:$H$100,$A299,'29'!$I$7:$I$100,2)</f>
        <v>0</v>
      </c>
      <c r="E299" s="1315">
        <f>SUMIFS('12'!$N$7:$N$100,'12'!$H$7:$H$100,$A299,'12'!$I$7:$I$100,"")+SUMIFS('13'!$N$7:$N$100,'13'!$H$7:$H$100,$A299,'13'!$I$7:$I$100,"")+SUMIFS('14'!$N$7:$N$100,'14'!$H$7:$H$100,$A299,'14'!$I$7:$I$100,"")+SUMIFS('15'!$N$7:$N$100,'15'!$H$7:$H$100,$A299,'15'!$I$7:$I$100,"")+SUMIFS('15a'!$N$7:$N$100,'15a'!$H$7:$H$100,$A299,'15a'!$I$7:$I$100,"")+SUMIFS('15b'!$N$7:$N$100,'15b'!$H$7:$H$100,$A299,'15b'!$I$7:$I$100,"")+SUMIFS('15c'!$N$7:$N$100,'15c'!$H$7:$H$100,$A299,'15c'!$I$7:$I$100,"")+SUMIFS('15d'!$N$7:$N$100,'15d'!$H$7:$H$100,$A299,'15d'!$I$7:$I$100,"")+SUMIFS('15e'!$N$7:$N$100,'15e'!$H$7:$H$100,$A299,'15e'!$I$7:$I$100,"")+SUMIFS('15f'!$N$7:$N$100,'15f'!$H$7:$H$100,$A299,'15f'!$I$7:$I$100,"")+SUMIFS('15g'!$N$7:$N$100,'15g'!$H$7:$H$100,$A299,'15g'!$I$7:$I$100,"")+SUMIFS('15h'!$N$7:$N$100,'15h'!$H$7:$H$100,$A299,'15h'!$I$7:$I$100,"")+SUMIFS('15i'!$N$7:$N$100,'15i'!$H$7:$H$100,$A299,'15i'!$I$7:$I$100,"")+SUMIFS('15j'!$N$7:$N$100,'15j'!$H$7:$H$100,$A299,'15j'!$I$7:$I$100,"")+SUMIFS('15k'!$N$7:$N$100,'15k'!$H$7:$H$100,$A299,'15k'!$I$7:$I$100,"")+SUMIFS('15l'!$N$7:$N$100,'15l'!$H$7:$H$100,$A299,'15l'!$I$7:$I$100,"")+SUMIFS('15m'!$N$7:$N$100,'15m'!$H$7:$H$100,$A299,'15m'!$I$7:$I$100,"")+SUMIFS('15n'!$N$7:$N$100,'15n'!$H$7:$H$100,$A299,'15n'!$I$7:$I$100,"")+SUMIFS('16'!$N$7:$N$100,'16'!$H$7:$H$100,$A299,'16'!$I$7:$I$100,"")+SUMIFS('16a'!$N$7:$N$100,'16a'!$H$7:$H$100,$A299,'16a'!$I$7:$I$100,"")+SUMIFS('17'!$N$7:$N$100,'17'!$H$7:$H$100,$A299,'17'!$I$7:$I$100,"")+SUMIFS('17a'!$N$7:$N$100,'17a'!$H$7:$H$100,$A299,'17a'!$I$7:$I$100,"")+SUMIFS('18'!$N$7:$N$100,'18'!$H$7:$H$100,$A299,'18'!$I$7:$I$100,"")+SUMIFS('18a'!$N$7:$N$100,'18a'!$H$7:$H$100,$A299,'18a'!$I$7:$I$100,"")
+SUMIFS('19'!$N$7:$N$100,'19'!$H$7:$H$100,$A299,'19'!$I$7:$I$100,"")+SUMIFS('20'!$N$7:$N$100,'20'!$H$7:$H$100,$A299,'20'!$I$7:$I$100,"")+SUMIFS('20a'!$N$7:$N$100,'20a'!$H$7:$H$100,$A299,'20a'!$I$7:$I$100,"")+SUMIFS('21'!$N$7:$N$100,'21'!$H$7:$H$100,$A299,'21'!$I$7:$I$100,"")+SUMIFS('22'!$N$7:$N$100,'22'!$H$7:$H$100,$A299,'22'!$I$7:$I$100,"")+SUMIFS('22a'!$N$7:$N$100,'22a'!$H$7:$H$100,$A299,'22a'!$I$7:$I$100,"")+SUMIFS('22b'!$N$7:$N$100,'22b'!$H$7:$H$100,$A299,'22b'!$I$7:$I$100,"")+SUMIFS('23'!$N$7:$N$100,'23'!$H$7:$H$100,$A299,'23'!$I$7:$I$100,"")+SUMIFS('24'!$N$7:$N$100,'24'!$H$7:$H$100,$A299,'24'!$I$7:$I$100,"")+SUMIFS('24a'!$N$7:$N$100,'24a'!$H$7:$H$100,$A299,'24a'!$I$7:$I$100,"")+SUMIFS('24b'!$N$7:$N$100,'24b'!$H$7:$H$100,$A299,'24b'!$I$7:$I$100,"")+SUMIFS('24c'!$N$7:$N$100,'24c'!$H$7:$H$100,$A299,'24c'!$I$7:$I$100,"")+SUMIFS('24d'!$N$7:$N$100,'24d'!$H$7:$H$100,$A299,'24d'!$I$7:$I$100,"")+SUMIFS('24e'!$N$7:$N$100,'24e'!$H$7:$H$100,$A299,'24e'!$I$7:$I$100,"")+SUMIFS('24f'!$N$7:$N$100,'24f'!$H$7:$H$100,$A299,'24f'!$I$7:$I$100,"")+SUMIFS('24g'!$N$7:$N$100,'24g'!$H$7:$H$100,$A299,'24g'!$I$7:$I$100,"")+SUMIFS('24h'!$N$7:$N$100,'24h'!$H$7:$H$100,$A299,'24h'!$I$7:$I$100,"")+SUMIFS('24i'!$N$7:$N$100,'24i'!$H$7:$H$100,$A299,'24i'!$I$7:$I$100,"")+SUMIFS('25'!$N$7:$N$100,'25'!$H$7:$H$100,$A299,'25'!$I$7:$I$100,"")+SUMIFS('26'!$N$7:$N$100,'26'!$H$7:$H$100,$A299,'26'!$I$7:$I$100,"")+SUMIFS('26a'!$N$7:$N$100,'26a'!$H$7:$H$100,$A299,'26a'!$I$7:$I$100,"")+SUMIFS('27'!$N$7:$N$100,'27'!$H$7:$H$100,$A299,'27'!$I$7:$I$100,"")+SUMIFS('27a'!$N$7:$N$100,'27a'!$H$7:$H$100,$A299,'27a'!$I$7:$I$100,"")+SUMIFS('28'!$N$7:$N$100,'28'!$H$7:$H$100,$A299,'28'!$I$7:$I$100,"")+SUMIFS('29'!$N$7:$N$100,'29'!$H$7:$H$100,$A299,'29'!$I$7:$I$100,"")</f>
        <v>0</v>
      </c>
      <c r="F299" s="1296">
        <f t="shared" si="36"/>
        <v>0</v>
      </c>
      <c r="G299" s="1295">
        <f>SUMIFS('12'!$J$7:$J$100,'12'!$H$7:$H$100,$A299,'12'!$I$7:$I$100,1)+SUMIFS('13'!$J$7:$J$100,'13'!$H$7:$H$100,$A299,'13'!$I$7:$I$100,1)+SUMIFS('14'!$J$7:$J$100,'14'!$H$7:$H$100,$A299,'14'!$I$7:$I$100,1)+SUMIFS('15'!$J$7:$J$100,'15'!$H$7:$H$100,$A299,'15'!$I$7:$I$100,1)+SUMIFS('15a'!$J$7:$J$100,'15a'!$H$7:$H$100,$A299,'15a'!$I$7:$I$100,1)+SUMIFS('15b'!$J$7:$J$100,'15b'!$H$7:$H$100,$A299,'15b'!$I$7:$I$100,1)+SUMIFS('15c'!$J$7:$J$100,'15c'!$H$7:$H$100,$A299,'15c'!$I$7:$I$100,1)+SUMIFS('15d'!$J$7:$J$100,'15d'!$H$7:$H$100,$A299,'15d'!$I$7:$I$100,1)+SUMIFS('15e'!$J$7:$J$100,'15e'!$H$7:$H$100,$A299,'15e'!$I$7:$I$100,1)+SUMIFS('15f'!$J$7:$J$100,'15f'!$H$7:$H$100,$A299,'15f'!$I$7:$I$100,1)+SUMIFS('15g'!$J$7:$J$100,'15g'!$H$7:$H$100,$A299,'15g'!$I$7:$I$100,1)+SUMIFS('15h'!$J$7:$J$100,'15h'!$H$7:$H$100,$A299,'15h'!$I$7:$I$100,1)+SUMIFS('15i'!$J$7:$J$100,'15i'!$H$7:$H$100,$A299,'15i'!$I$7:$I$100,1)+SUMIFS('15j'!$J$7:$J$100,'15j'!$H$7:$H$100,$A299,'15j'!$I$7:$I$100,1)+SUMIFS('15k'!$J$7:$J$100,'15k'!$H$7:$H$100,$A299,'15k'!$I$7:$I$100,1)+SUMIFS('15l'!$J$7:$J$100,'15l'!$H$7:$H$100,$A299,'15l'!$I$7:$I$100,1)+SUMIFS('15m'!$J$7:$J$100,'15m'!$H$7:$H$100,$A299,'15m'!$I$7:$I$100,1)+SUMIFS('15n'!$J$7:$J$100,'15n'!$H$7:$H$100,$A299,'15n'!$I$7:$I$100,1)+SUMIFS('16'!$J$7:$J$100,'16'!$H$7:$H$100,$A299,'16'!$I$7:$I$100,1)+SUMIFS('16a'!$J$7:$J$100,'16a'!$H$7:$H$100,$A299,'16a'!$I$7:$I$100,1)+SUMIFS('17'!$J$7:$J$100,'17'!$H$7:$H$100,$A299,'17'!$I$7:$I$100,1)+SUMIFS('17a'!$J$7:$J$100,'17a'!$H$7:$H$100,$A299,'17a'!$I$7:$I$100,1)+SUMIFS('18'!$J$7:$J$100,'18'!$H$7:$H$100,$A299,'18'!$I$7:$I$100,1)+SUMIFS('18a'!$J$7:$J$100,'18a'!$H$7:$H$100,$A299,'18a'!$I$7:$I$100,1)
+SUMIFS('19'!$J$7:$J$100,'19'!$H$7:$H$100,$A299,'19'!$I$7:$I$100,1)+SUMIFS('20'!$J$7:$J$100,'20'!$H$7:$H$100,$A299,'20'!$I$7:$I$100,1)+SUMIFS('20a'!$J$7:$J$100,'20a'!$H$7:$H$100,$A299,'20a'!$I$7:$I$100,1)+SUMIFS('21'!$J$7:$J$100,'21'!$H$7:$H$100,$A299,'21'!$I$7:$I$100,1)+SUMIFS('22'!$J$7:$J$100,'22'!$H$7:$H$100,$A299,'22'!$I$7:$I$100,1)+SUMIFS('22a'!$J$7:$J$100,'22a'!$H$7:$H$100,$A299,'22a'!$I$7:$I$100,1)+SUMIFS('22b'!$J$7:$J$100,'22b'!$H$7:$H$100,$A299,'22b'!$I$7:$I$100,1)+SUMIFS('23'!$J$7:$J$100,'23'!$H$7:$H$100,$A299,'23'!$I$7:$I$100,1)+SUMIFS('24'!$J$7:$J$100,'24'!$H$7:$H$100,$A299,'24'!$I$7:$I$100,1)+SUMIFS('24a'!$J$7:$J$100,'24a'!$H$7:$H$100,$A299,'24a'!$I$7:$I$100,1)+SUMIFS('24b'!$J$7:$J$100,'24b'!$H$7:$H$100,$A299,'24b'!$I$7:$I$100,1)+SUMIFS('24c'!$J$7:$J$100,'24c'!$H$7:$H$100,$A299,'24c'!$I$7:$I$100,1)+SUMIFS('24d'!$J$7:$J$100,'24d'!$H$7:$H$100,$A299,'24d'!$I$7:$I$100,1)+SUMIFS('24e'!$J$7:$J$100,'24e'!$H$7:$H$100,$A299,'24e'!$I$7:$I$100,1)+SUMIFS('24f'!$J$7:$J$100,'24f'!$H$7:$H$100,$A299,'24f'!$I$7:$I$100,1)+SUMIFS('24g'!$J$7:$J$100,'24g'!$H$7:$H$100,$A299,'24g'!$I$7:$I$100,1)+SUMIFS('24h'!$J$7:$J$100,'24h'!$H$7:$H$100,$A299,'24h'!$I$7:$I$100,1)+SUMIFS('24i'!$J$7:$J$100,'24i'!$H$7:$H$100,$A299,'24i'!$I$7:$I$100,1)+SUMIFS('25'!$J$7:$J$100,'25'!$H$7:$H$100,$A299,'25'!$I$7:$I$100,1)+SUMIFS('26'!$J$7:$J$100,'26'!$H$7:$H$100,$A299,'26'!$I$7:$I$100,1)+SUMIFS('26a'!$J$7:$J$100,'26a'!$H$7:$H$100,$A299,'26a'!$I$7:$I$100,1)+SUMIFS('27'!$J$7:$J$100,'27'!$H$7:$H$100,$A299,'27'!$I$7:$I$100,1)+SUMIFS('27a'!$J$7:$J$100,'27a'!$H$7:$H$100,$A299,'27a'!$I$7:$I$100,1)+SUMIFS('28'!$J$7:$J$100,'28'!$H$7:$H$100,$A299,'28'!$I$7:$I$100,1)+SUMIFS('29'!$J$7:$J$100,'29'!$H$7:$H$100,$A299,'29'!$I$7:$I$100,1)</f>
        <v>0</v>
      </c>
      <c r="H299" s="1315">
        <f>SUMIFS('12'!$J$7:$J$100,'12'!$H$7:$H$100,$A299,'12'!$I$7:$I$100,2)+SUMIFS('13'!$J$7:$J$100,'13'!$H$7:$H$100,$A299,'13'!$I$7:$I$100,2)+SUMIFS('14'!$J$7:$J$100,'14'!$H$7:$H$100,$A299,'14'!$I$7:$I$100,2)+SUMIFS('15'!$J$7:$J$100,'15'!$H$7:$H$100,$A299,'15'!$I$7:$I$100,2)+SUMIFS('15a'!$J$7:$J$100,'15a'!$H$7:$H$100,$A299,'15a'!$I$7:$I$100,2)+SUMIFS('15b'!$J$7:$J$100,'15b'!$H$7:$H$100,$A299,'15b'!$I$7:$I$100,2)+SUMIFS('15c'!$J$7:$J$100,'15c'!$H$7:$H$100,$A299,'15c'!$I$7:$I$100,2)+SUMIFS('15d'!$J$7:$J$100,'15d'!$H$7:$H$100,$A299,'15d'!$I$7:$I$100,2)+SUMIFS('15e'!$J$7:$J$100,'15e'!$H$7:$H$100,$A299,'15e'!$I$7:$I$100,2)+SUMIFS('15f'!$J$7:$J$100,'15f'!$H$7:$H$100,$A299,'15f'!$I$7:$I$100,2)+SUMIFS('15g'!$J$7:$J$100,'15g'!$H$7:$H$100,$A299,'15g'!$I$7:$I$100,2)+SUMIFS('15h'!$J$7:$J$100,'15h'!$H$7:$H$100,$A299,'15h'!$I$7:$I$100,2)+SUMIFS('15i'!$J$7:$J$100,'15i'!$H$7:$H$100,$A299,'15i'!$I$7:$I$100,2)+SUMIFS('15j'!$J$7:$J$100,'15j'!$H$7:$H$100,$A299,'15j'!$I$7:$I$100,2)+SUMIFS('15k'!$J$7:$J$100,'15k'!$H$7:$H$100,$A299,'15k'!$I$7:$I$100,2)+SUMIFS('15l'!$J$7:$J$100,'15l'!$H$7:$H$100,$A299,'15l'!$I$7:$I$100,2)+SUMIFS('15m'!$J$7:$J$100,'15m'!$H$7:$H$100,$A299,'15m'!$I$7:$I$100,2)+SUMIFS('15n'!$J$7:$J$100,'15n'!$H$7:$H$100,$A299,'15n'!$I$7:$I$100,2)+SUMIFS('16'!$J$7:$J$100,'16'!$H$7:$H$100,$A299,'16'!$I$7:$I$100,2)+SUMIFS('16a'!$J$7:$J$100,'16a'!$H$7:$H$100,$A299,'16a'!$I$7:$I$100,2)+SUMIFS('17'!$J$7:$J$100,'17'!$H$7:$H$100,$A299,'17'!$I$7:$I$100,2)+SUMIFS('17a'!$J$7:$J$100,'17a'!$H$7:$H$100,$A299,'17a'!$I$7:$I$100,2)+SUMIFS('18'!$J$7:$J$100,'18'!$H$7:$H$100,$A299,'18'!$I$7:$I$100,2)+SUMIFS('18a'!$J$7:$J$100,'18a'!$H$7:$H$100,$A299,'18a'!$I$7:$I$100,2)
+SUMIFS('19'!$J$7:$J$100,'19'!$H$7:$H$100,$A299,'19'!$I$7:$I$100,2)+SUMIFS('20'!$J$7:$J$100,'20'!$H$7:$H$100,$A299,'20'!$I$7:$I$100,2)+SUMIFS('20a'!$J$7:$J$100,'20a'!$H$7:$H$100,$A299,'20a'!$I$7:$I$100,2)+SUMIFS('21'!$J$7:$J$100,'21'!$H$7:$H$100,$A299,'21'!$I$7:$I$100,2)+SUMIFS('22'!$J$7:$J$100,'22'!$H$7:$H$100,$A299,'22'!$I$7:$I$100,2)+SUMIFS('22a'!$J$7:$J$100,'22a'!$H$7:$H$100,$A299,'22a'!$I$7:$I$100,2)+SUMIFS('22b'!$J$7:$J$100,'22b'!$H$7:$H$100,$A299,'22b'!$I$7:$I$100,2)+SUMIFS('23'!$J$7:$J$100,'23'!$H$7:$H$100,$A299,'23'!$I$7:$I$100,2)+SUMIFS('24'!$J$7:$J$100,'24'!$H$7:$H$100,$A299,'24'!$I$7:$I$100,2)+SUMIFS('24a'!$J$7:$J$100,'24a'!$H$7:$H$100,$A299,'24a'!$I$7:$I$100,2)+SUMIFS('24b'!$J$7:$J$100,'24b'!$H$7:$H$100,$A299,'24b'!$I$7:$I$100,2)+SUMIFS('24c'!$J$7:$J$100,'24c'!$H$7:$H$100,$A299,'24c'!$I$7:$I$100,2)+SUMIFS('24d'!$J$7:$J$100,'24d'!$H$7:$H$100,$A299,'24d'!$I$7:$I$100,2)+SUMIFS('24e'!$J$7:$J$100,'24e'!$H$7:$H$100,$A299,'24e'!$I$7:$I$100,2)+SUMIFS('24f'!$J$7:$J$100,'24f'!$H$7:$H$100,$A299,'24f'!$I$7:$I$100,2)+SUMIFS('24g'!$J$7:$J$100,'24g'!$H$7:$H$100,$A299,'24g'!$I$7:$I$100,2)+SUMIFS('24h'!$J$7:$J$100,'24h'!$H$7:$H$100,$A299,'24h'!$I$7:$I$100,2)+SUMIFS('24i'!$J$7:$J$100,'24i'!$H$7:$H$100,$A299,'24i'!$I$7:$I$100,2)+SUMIFS('25'!$J$7:$J$100,'25'!$H$7:$H$100,$A299,'25'!$I$7:$I$100,2)+SUMIFS('26'!$J$7:$J$100,'26'!$H$7:$H$100,$A299,'26'!$I$7:$I$100,2)+SUMIFS('26a'!$J$7:$J$100,'26a'!$H$7:$H$100,$A299,'26a'!$I$7:$I$100,2)+SUMIFS('27'!$J$7:$J$100,'27'!$H$7:$H$100,$A299,'27'!$I$7:$I$100,2)+SUMIFS('27a'!$J$7:$J$100,'27a'!$H$7:$H$100,$A299,'27a'!$I$7:$I$100,2)+SUMIFS('28'!$J$7:$J$100,'28'!$H$7:$H$100,$A299,'28'!$I$7:$I$100,2)+SUMIFS('29'!$J$7:$J$100,'29'!$H$7:$H$100,$A299,'29'!$I$7:$I$100,2)</f>
        <v>0</v>
      </c>
      <c r="I299" s="1315">
        <f>SUMIFS('12'!$J$7:$J$100,'12'!$H$7:$H$100,$A299,'12'!$I$7:$I$100,"")+SUMIFS('13'!$J$7:$J$100,'13'!$H$7:$H$100,$A299,'13'!$I$7:$I$100,"")+SUMIFS('14'!$J$7:$J$100,'14'!$H$7:$H$100,$A299,'14'!$I$7:$I$100,"")+SUMIFS('15'!$J$7:$J$100,'15'!$H$7:$H$100,$A299,'15'!$I$7:$I$100,"")+SUMIFS('15a'!$J$7:$J$100,'15a'!$H$7:$H$100,$A299,'15a'!$I$7:$I$100,"")+SUMIFS('15b'!$J$7:$J$100,'15b'!$H$7:$H$100,$A299,'15b'!$I$7:$I$100,"")+SUMIFS('15c'!$J$7:$J$100,'15c'!$H$7:$H$100,$A299,'15c'!$I$7:$I$100,"")+SUMIFS('15d'!$J$7:$J$100,'15d'!$H$7:$H$100,$A299,'15d'!$I$7:$I$100,"")+SUMIFS('15e'!$J$7:$J$100,'15e'!$H$7:$H$100,$A299,'15e'!$I$7:$I$100,"")+SUMIFS('15f'!$J$7:$J$100,'15f'!$H$7:$H$100,$A299,'15f'!$I$7:$I$100,"")+SUMIFS('15g'!$J$7:$J$100,'15g'!$H$7:$H$100,$A299,'15g'!$I$7:$I$100,"")+SUMIFS('15h'!$J$7:$J$100,'15h'!$H$7:$H$100,$A299,'15h'!$I$7:$I$100,"")+SUMIFS('15i'!$J$7:$J$100,'15i'!$H$7:$H$100,$A299,'15i'!$I$7:$I$100,"")+SUMIFS('15j'!$J$7:$J$100,'15j'!$H$7:$H$100,$A299,'15j'!$I$7:$I$100,"")+SUMIFS('15k'!$J$7:$J$100,'15k'!$H$7:$H$100,$A299,'15k'!$I$7:$I$100,"")+SUMIFS('15l'!$J$7:$J$100,'15l'!$H$7:$H$100,$A299,'15l'!$I$7:$I$100,"")+SUMIFS('15m'!$J$7:$J$100,'15m'!$H$7:$H$100,$A299,'15m'!$I$7:$I$100,"")+SUMIFS('15n'!$J$7:$J$100,'15n'!$H$7:$H$100,$A299,'15n'!$I$7:$I$100,"")+SUMIFS('16'!$J$7:$J$100,'16'!$H$7:$H$100,$A299,'16'!$I$7:$I$100,"")+SUMIFS('16a'!$J$7:$J$100,'16a'!$H$7:$H$100,$A299,'16a'!$I$7:$I$100,"")+SUMIFS('17'!$J$7:$J$100,'17'!$H$7:$H$100,$A299,'17'!$I$7:$I$100,"")+SUMIFS('17a'!$J$7:$J$100,'17a'!$H$7:$H$100,$A299,'17a'!$I$7:$I$100,"")+SUMIFS('18'!$J$7:$J$100,'18'!$H$7:$H$100,$A299,'18'!$I$7:$I$100,"")+SUMIFS('18a'!$J$7:$J$100,'18a'!$H$7:$H$100,$A299,'18a'!$I$7:$I$100,"")
+SUMIFS('19'!$J$7:$J$100,'19'!$H$7:$H$100,$A299,'19'!$I$7:$I$100,"")+SUMIFS('20'!$J$7:$J$100,'20'!$H$7:$H$100,$A299,'20'!$I$7:$I$100,"")+SUMIFS('20a'!$J$7:$J$100,'20a'!$H$7:$H$100,$A299,'20a'!$I$7:$I$100,"")+SUMIFS('21'!$J$7:$J$100,'21'!$H$7:$H$100,$A299,'21'!$I$7:$I$100,"")+SUMIFS('22'!$J$7:$J$100,'22'!$H$7:$H$100,$A299,'22'!$I$7:$I$100,"")+SUMIFS('22a'!$J$7:$J$100,'22a'!$H$7:$H$100,$A299,'22a'!$I$7:$I$100,"")+SUMIFS('22b'!$J$7:$J$100,'22b'!$H$7:$H$100,$A299,'22b'!$I$7:$I$100,"")+SUMIFS('23'!$J$7:$J$100,'23'!$H$7:$H$100,$A299,'23'!$I$7:$I$100,"")+SUMIFS('24'!$J$7:$J$100,'24'!$H$7:$H$100,$A299,'24'!$I$7:$I$100,"")+SUMIFS('24a'!$J$7:$J$100,'24a'!$H$7:$H$100,$A299,'24a'!$I$7:$I$100,"")+SUMIFS('24b'!$J$7:$J$100,'24b'!$H$7:$H$100,$A299,'24b'!$I$7:$I$100,"")+SUMIFS('24c'!$J$7:$J$100,'24c'!$H$7:$H$100,$A299,'24c'!$I$7:$I$100,"")+SUMIFS('24d'!$J$7:$J$100,'24d'!$H$7:$H$100,$A299,'24d'!$I$7:$I$100,"")+SUMIFS('24e'!$J$7:$J$100,'24e'!$H$7:$H$100,$A299,'24e'!$I$7:$I$100,"")+SUMIFS('24f'!$J$7:$J$100,'24f'!$H$7:$H$100,$A299,'24f'!$I$7:$I$100,"")+SUMIFS('24g'!$J$7:$J$100,'24g'!$H$7:$H$100,$A299,'24g'!$I$7:$I$100,"")+SUMIFS('24h'!$J$7:$J$100,'24h'!$H$7:$H$100,$A299,'24h'!$I$7:$I$100,"")+SUMIFS('24i'!$J$7:$J$100,'24i'!$H$7:$H$100,$A299,'24i'!$I$7:$I$100,"")+SUMIFS('25'!$J$7:$J$100,'25'!$H$7:$H$100,$A299,'25'!$I$7:$I$100,"")+SUMIFS('26'!$J$7:$J$100,'26'!$H$7:$H$100,$A299,'26'!$I$7:$I$100,"")+SUMIFS('26a'!$J$7:$J$100,'26a'!$H$7:$H$100,$A299,'26a'!$I$7:$I$100,"")+SUMIFS('27'!$J$7:$J$100,'27'!$H$7:$H$100,$A299,'27'!$I$7:$I$100,"")+SUMIFS('27a'!$J$7:$J$100,'27a'!$H$7:$H$100,$A299,'27a'!$I$7:$I$100,"")+SUMIFS('28'!$J$7:$J$100,'28'!$H$7:$H$100,$A299,'28'!$I$7:$I$100,"")+SUMIFS('29'!$J$7:$J$100,'29'!$H$7:$H$100,$A299,'29'!$I$7:$I$100,"")</f>
        <v>0</v>
      </c>
      <c r="J299" s="1296">
        <f t="shared" si="37"/>
        <v>0</v>
      </c>
      <c r="K299"/>
      <c r="L299"/>
      <c r="M299"/>
      <c r="N299"/>
      <c r="O299"/>
      <c r="P299"/>
      <c r="Q299"/>
      <c r="R299"/>
      <c r="S299" s="1307">
        <f t="shared" si="30"/>
        <v>0</v>
      </c>
      <c r="T299"/>
    </row>
    <row r="300" spans="1:20" x14ac:dyDescent="0.2">
      <c r="A300" t="s">
        <v>5459</v>
      </c>
      <c r="B300" t="s">
        <v>5525</v>
      </c>
      <c r="C300" s="1295">
        <f>SUMIFS('12'!$N$7:$N$100,'12'!$H$7:$H$100,$A300,'12'!$I$7:$I$100,1)+SUMIFS('13'!$N$7:$N$100,'13'!$H$7:$H$100,$A300,'13'!$I$7:$I$100,1)+SUMIFS('14'!$N$7:$N$100,'14'!$H$7:$H$100,$A300,'14'!$I$7:$I$100,1)+SUMIFS('15'!$N$7:$N$100,'15'!$H$7:$H$100,$A300,'15'!$I$7:$I$100,1)+SUMIFS('15a'!$N$7:$N$100,'15a'!$H$7:$H$100,$A300,'15a'!$I$7:$I$100,1)+SUMIFS('15b'!$N$7:$N$100,'15b'!$H$7:$H$100,$A300,'15b'!$I$7:$I$100,1)+SUMIFS('15c'!$N$7:$N$100,'15c'!$H$7:$H$100,$A300,'15c'!$I$7:$I$100,1)+SUMIFS('15d'!$N$7:$N$100,'15d'!$H$7:$H$100,$A300,'15d'!$I$7:$I$100,1)+SUMIFS('15e'!$N$7:$N$100,'15e'!$H$7:$H$100,$A300,'15e'!$I$7:$I$100,1)+SUMIFS('15f'!$N$7:$N$100,'15f'!$H$7:$H$100,$A300,'15f'!$I$7:$I$100,1)+SUMIFS('15g'!$N$7:$N$100,'15g'!$H$7:$H$100,$A300,'15g'!$I$7:$I$100,1)+SUMIFS('15h'!$N$7:$N$100,'15h'!$H$7:$H$100,$A300,'15h'!$I$7:$I$100,1)+SUMIFS('15i'!$N$7:$N$100,'15i'!$H$7:$H$100,$A300,'15i'!$I$7:$I$100,1)+SUMIFS('15j'!$N$7:$N$100,'15j'!$H$7:$H$100,$A300,'15j'!$I$7:$I$100,1)+SUMIFS('15k'!$N$7:$N$100,'15k'!$H$7:$H$100,$A300,'15k'!$I$7:$I$100,1)+SUMIFS('15l'!$N$7:$N$100,'15l'!$H$7:$H$100,$A300,'15l'!$I$7:$I$100,1)+SUMIFS('15m'!$N$7:$N$100,'15m'!$H$7:$H$100,$A300,'15m'!$I$7:$I$100,1)+SUMIFS('15n'!$N$7:$N$100,'15n'!$H$7:$H$100,$A300,'15n'!$I$7:$I$100,1)+SUMIFS('16'!$N$7:$N$100,'16'!$H$7:$H$100,$A300,'16'!$I$7:$I$100,1)+SUMIFS('16a'!$N$7:$N$100,'16a'!$H$7:$H$100,$A300,'16a'!$I$7:$I$100,1)+SUMIFS('17'!$N$7:$N$100,'17'!$H$7:$H$100,$A300,'17'!$I$7:$I$100,1)+SUMIFS('17a'!$N$7:$N$100,'17a'!$H$7:$H$100,$A300,'17a'!$I$7:$I$100,1)+SUMIFS('18'!$N$7:$N$100,'18'!$H$7:$H$100,$A300,'18'!$I$7:$I$100,1)+SUMIFS('18a'!$N$7:$N$100,'18a'!$H$7:$H$100,$A300,'18a'!$I$7:$I$100,1)
+SUMIFS('19'!$N$7:$N$100,'19'!$H$7:$H$100,$A300,'19'!$I$7:$I$100,1)+SUMIFS('20'!$N$7:$N$100,'20'!$H$7:$H$100,$A300,'20'!$I$7:$I$100,1)+SUMIFS('20a'!$N$7:$N$100,'20a'!$H$7:$H$100,$A300,'20a'!$I$7:$I$100,1)+SUMIFS('21'!$N$7:$N$100,'21'!$H$7:$H$100,$A300,'21'!$I$7:$I$100,1)+SUMIFS('22'!$N$7:$N$100,'22'!$H$7:$H$100,$A300,'22'!$I$7:$I$100,1)+SUMIFS('22a'!$N$7:$N$100,'22a'!$H$7:$H$100,$A300,'22a'!$I$7:$I$100,1)+SUMIFS('22b'!$N$7:$N$100,'22b'!$H$7:$H$100,$A300,'22b'!$I$7:$I$100,1)+SUMIFS('23'!$N$7:$N$100,'23'!$H$7:$H$100,$A300,'23'!$I$7:$I$100,1)+SUMIFS('24'!$N$7:$N$100,'24'!$H$7:$H$100,$A300,'24'!$I$7:$I$100,1)+SUMIFS('24a'!$N$7:$N$100,'24a'!$H$7:$H$100,$A300,'24a'!$I$7:$I$100,1)+SUMIFS('24b'!$N$7:$N$100,'24b'!$H$7:$H$100,$A300,'24b'!$I$7:$I$100,1)+SUMIFS('24c'!$N$7:$N$100,'24c'!$H$7:$H$100,$A300,'24c'!$I$7:$I$100,1)+SUMIFS('24d'!$N$7:$N$100,'24d'!$H$7:$H$100,$A300,'24d'!$I$7:$I$100,1)+SUMIFS('24e'!$N$7:$N$100,'24e'!$H$7:$H$100,$A300,'24e'!$I$7:$I$100,1)+SUMIFS('24f'!$N$7:$N$100,'24f'!$H$7:$H$100,$A300,'24f'!$I$7:$I$100,1)+SUMIFS('24g'!$N$7:$N$100,'24g'!$H$7:$H$100,$A300,'24g'!$I$7:$I$100,1)+SUMIFS('24h'!$N$7:$N$100,'24h'!$H$7:$H$100,$A300,'24h'!$I$7:$I$100,1)+SUMIFS('24i'!$N$7:$N$100,'24i'!$H$7:$H$100,$A300,'24i'!$I$7:$I$100,1)+SUMIFS('25'!$N$7:$N$100,'25'!$H$7:$H$100,$A300,'25'!$I$7:$I$100,1)+SUMIFS('26'!$N$7:$N$100,'26'!$H$7:$H$100,$A300,'26'!$I$7:$I$100,1)+SUMIFS('26a'!$N$7:$N$100,'26a'!$H$7:$H$100,$A300,'26a'!$I$7:$I$100,1)+SUMIFS('27'!$N$7:$N$100,'27'!$H$7:$H$100,$A300,'27'!$I$7:$I$100,1)+SUMIFS('27a'!$N$7:$N$100,'27a'!$H$7:$H$100,$A300,'27a'!$I$7:$I$100,1)+SUMIFS('28'!$N$7:$N$100,'28'!$H$7:$H$100,$A300,'28'!$I$7:$I$100,1)+SUMIFS('29'!$N$7:$N$100,'29'!$H$7:$H$100,$A300,'29'!$I$7:$I$100,1)</f>
        <v>0</v>
      </c>
      <c r="D300" s="1315">
        <f>SUMIFS('12'!$N$7:$N$100,'12'!$H$7:$H$100,$A300,'12'!$I$7:$I$100,2)+SUMIFS('13'!$N$7:$N$100,'13'!$H$7:$H$100,$A300,'13'!$I$7:$I$100,2)+SUMIFS('14'!$N$7:$N$100,'14'!$H$7:$H$100,$A300,'14'!$I$7:$I$100,2)+SUMIFS('15'!$N$7:$N$100,'15'!$H$7:$H$100,$A300,'15'!$I$7:$I$100,2)+SUMIFS('15a'!$N$7:$N$100,'15a'!$H$7:$H$100,$A300,'15a'!$I$7:$I$100,2)+SUMIFS('15b'!$N$7:$N$100,'15b'!$H$7:$H$100,$A300,'15b'!$I$7:$I$100,2)+SUMIFS('15c'!$N$7:$N$100,'15c'!$H$7:$H$100,$A300,'15c'!$I$7:$I$100,2)+SUMIFS('15d'!$N$7:$N$100,'15d'!$H$7:$H$100,$A300,'15d'!$I$7:$I$100,2)+SUMIFS('15e'!$N$7:$N$100,'15e'!$H$7:$H$100,$A300,'15e'!$I$7:$I$100,2)+SUMIFS('15f'!$N$7:$N$100,'15f'!$H$7:$H$100,$A300,'15f'!$I$7:$I$100,2)+SUMIFS('15g'!$N$7:$N$100,'15g'!$H$7:$H$100,$A300,'15g'!$I$7:$I$100,2)+SUMIFS('15h'!$N$7:$N$100,'15h'!$H$7:$H$100,$A300,'15h'!$I$7:$I$100,2)+SUMIFS('15i'!$N$7:$N$100,'15i'!$H$7:$H$100,$A300,'15i'!$I$7:$I$100,2)+SUMIFS('15j'!$N$7:$N$100,'15j'!$H$7:$H$100,$A300,'15j'!$I$7:$I$100,2)+SUMIFS('15k'!$N$7:$N$100,'15k'!$H$7:$H$100,$A300,'15k'!$I$7:$I$100,2)+SUMIFS('15l'!$N$7:$N$100,'15l'!$H$7:$H$100,$A300,'15l'!$I$7:$I$100,2)+SUMIFS('15m'!$N$7:$N$100,'15m'!$H$7:$H$100,$A300,'15m'!$I$7:$I$100,2)+SUMIFS('15n'!$N$7:$N$100,'15n'!$H$7:$H$100,$A300,'15n'!$I$7:$I$100,2)+SUMIFS('16'!$N$7:$N$100,'16'!$H$7:$H$100,$A300,'16'!$I$7:$I$100,2)+SUMIFS('16a'!$N$7:$N$100,'16a'!$H$7:$H$100,$A300,'16a'!$I$7:$I$100,2)+SUMIFS('17'!$N$7:$N$100,'17'!$H$7:$H$100,$A300,'17'!$I$7:$I$100,2)+SUMIFS('17a'!$N$7:$N$100,'17a'!$H$7:$H$100,$A300,'17a'!$I$7:$I$100,2)+SUMIFS('18'!$N$7:$N$100,'18'!$H$7:$H$100,$A300,'18'!$I$7:$I$100,2)+SUMIFS('18a'!$N$7:$N$100,'18a'!$H$7:$H$100,$A300,'18a'!$I$7:$I$100,2)
+SUMIFS('19'!$N$7:$N$100,'19'!$H$7:$H$100,$A300,'19'!$I$7:$I$100,2)+SUMIFS('20'!$N$7:$N$100,'20'!$H$7:$H$100,$A300,'20'!$I$7:$I$100,2)+SUMIFS('20a'!$N$7:$N$100,'20a'!$H$7:$H$100,$A300,'20a'!$I$7:$I$100,2)+SUMIFS('21'!$N$7:$N$100,'21'!$H$7:$H$100,$A300,'21'!$I$7:$I$100,2)+SUMIFS('22'!$N$7:$N$100,'22'!$H$7:$H$100,$A300,'22'!$I$7:$I$100,2)+SUMIFS('22a'!$N$7:$N$100,'22a'!$H$7:$H$100,$A300,'22a'!$I$7:$I$100,2)+SUMIFS('22b'!$N$7:$N$100,'22b'!$H$7:$H$100,$A300,'22b'!$I$7:$I$100,2)+SUMIFS('23'!$N$7:$N$100,'23'!$H$7:$H$100,$A300,'23'!$I$7:$I$100,2)+SUMIFS('24'!$N$7:$N$100,'24'!$H$7:$H$100,$A300,'24'!$I$7:$I$100,2)+SUMIFS('24a'!$N$7:$N$100,'24a'!$H$7:$H$100,$A300,'24a'!$I$7:$I$100,2)+SUMIFS('24b'!$N$7:$N$100,'24b'!$H$7:$H$100,$A300,'24b'!$I$7:$I$100,2)+SUMIFS('24c'!$N$7:$N$100,'24c'!$H$7:$H$100,$A300,'24c'!$I$7:$I$100,2)+SUMIFS('24d'!$N$7:$N$100,'24d'!$H$7:$H$100,$A300,'24d'!$I$7:$I$100,2)+SUMIFS('24e'!$N$7:$N$100,'24e'!$H$7:$H$100,$A300,'24e'!$I$7:$I$100,2)+SUMIFS('24f'!$N$7:$N$100,'24f'!$H$7:$H$100,$A300,'24f'!$I$7:$I$100,2)+SUMIFS('24g'!$N$7:$N$100,'24g'!$H$7:$H$100,$A300,'24g'!$I$7:$I$100,2)+SUMIFS('24h'!$N$7:$N$100,'24h'!$H$7:$H$100,$A300,'24h'!$I$7:$I$100,2)+SUMIFS('24i'!$N$7:$N$100,'24i'!$H$7:$H$100,$A300,'24i'!$I$7:$I$100,2)+SUMIFS('25'!$N$7:$N$100,'25'!$H$7:$H$100,$A300,'25'!$I$7:$I$100,2)+SUMIFS('26'!$N$7:$N$100,'26'!$H$7:$H$100,$A300,'26'!$I$7:$I$100,2)+SUMIFS('26a'!$N$7:$N$100,'26a'!$H$7:$H$100,$A300,'26a'!$I$7:$I$100,2)+SUMIFS('27'!$N$7:$N$100,'27'!$H$7:$H$100,$A300,'27'!$I$7:$I$100,2)+SUMIFS('27a'!$N$7:$N$100,'27a'!$H$7:$H$100,$A300,'27a'!$I$7:$I$100,2)+SUMIFS('28'!$N$7:$N$100,'28'!$H$7:$H$100,$A300,'28'!$I$7:$I$100,2)+SUMIFS('29'!$N$7:$N$100,'29'!$H$7:$H$100,$A300,'29'!$I$7:$I$100,2)</f>
        <v>0</v>
      </c>
      <c r="E300" s="1315">
        <f>SUMIFS('12'!$N$7:$N$100,'12'!$H$7:$H$100,$A300,'12'!$I$7:$I$100,"")+SUMIFS('13'!$N$7:$N$100,'13'!$H$7:$H$100,$A300,'13'!$I$7:$I$100,"")+SUMIFS('14'!$N$7:$N$100,'14'!$H$7:$H$100,$A300,'14'!$I$7:$I$100,"")+SUMIFS('15'!$N$7:$N$100,'15'!$H$7:$H$100,$A300,'15'!$I$7:$I$100,"")+SUMIFS('15a'!$N$7:$N$100,'15a'!$H$7:$H$100,$A300,'15a'!$I$7:$I$100,"")+SUMIFS('15b'!$N$7:$N$100,'15b'!$H$7:$H$100,$A300,'15b'!$I$7:$I$100,"")+SUMIFS('15c'!$N$7:$N$100,'15c'!$H$7:$H$100,$A300,'15c'!$I$7:$I$100,"")+SUMIFS('15d'!$N$7:$N$100,'15d'!$H$7:$H$100,$A300,'15d'!$I$7:$I$100,"")+SUMIFS('15e'!$N$7:$N$100,'15e'!$H$7:$H$100,$A300,'15e'!$I$7:$I$100,"")+SUMIFS('15f'!$N$7:$N$100,'15f'!$H$7:$H$100,$A300,'15f'!$I$7:$I$100,"")+SUMIFS('15g'!$N$7:$N$100,'15g'!$H$7:$H$100,$A300,'15g'!$I$7:$I$100,"")+SUMIFS('15h'!$N$7:$N$100,'15h'!$H$7:$H$100,$A300,'15h'!$I$7:$I$100,"")+SUMIFS('15i'!$N$7:$N$100,'15i'!$H$7:$H$100,$A300,'15i'!$I$7:$I$100,"")+SUMIFS('15j'!$N$7:$N$100,'15j'!$H$7:$H$100,$A300,'15j'!$I$7:$I$100,"")+SUMIFS('15k'!$N$7:$N$100,'15k'!$H$7:$H$100,$A300,'15k'!$I$7:$I$100,"")+SUMIFS('15l'!$N$7:$N$100,'15l'!$H$7:$H$100,$A300,'15l'!$I$7:$I$100,"")+SUMIFS('15m'!$N$7:$N$100,'15m'!$H$7:$H$100,$A300,'15m'!$I$7:$I$100,"")+SUMIFS('15n'!$N$7:$N$100,'15n'!$H$7:$H$100,$A300,'15n'!$I$7:$I$100,"")+SUMIFS('16'!$N$7:$N$100,'16'!$H$7:$H$100,$A300,'16'!$I$7:$I$100,"")+SUMIFS('16a'!$N$7:$N$100,'16a'!$H$7:$H$100,$A300,'16a'!$I$7:$I$100,"")+SUMIFS('17'!$N$7:$N$100,'17'!$H$7:$H$100,$A300,'17'!$I$7:$I$100,"")+SUMIFS('17a'!$N$7:$N$100,'17a'!$H$7:$H$100,$A300,'17a'!$I$7:$I$100,"")+SUMIFS('18'!$N$7:$N$100,'18'!$H$7:$H$100,$A300,'18'!$I$7:$I$100,"")+SUMIFS('18a'!$N$7:$N$100,'18a'!$H$7:$H$100,$A300,'18a'!$I$7:$I$100,"")
+SUMIFS('19'!$N$7:$N$100,'19'!$H$7:$H$100,$A300,'19'!$I$7:$I$100,"")+SUMIFS('20'!$N$7:$N$100,'20'!$H$7:$H$100,$A300,'20'!$I$7:$I$100,"")+SUMIFS('20a'!$N$7:$N$100,'20a'!$H$7:$H$100,$A300,'20a'!$I$7:$I$100,"")+SUMIFS('21'!$N$7:$N$100,'21'!$H$7:$H$100,$A300,'21'!$I$7:$I$100,"")+SUMIFS('22'!$N$7:$N$100,'22'!$H$7:$H$100,$A300,'22'!$I$7:$I$100,"")+SUMIFS('22a'!$N$7:$N$100,'22a'!$H$7:$H$100,$A300,'22a'!$I$7:$I$100,"")+SUMIFS('22b'!$N$7:$N$100,'22b'!$H$7:$H$100,$A300,'22b'!$I$7:$I$100,"")+SUMIFS('23'!$N$7:$N$100,'23'!$H$7:$H$100,$A300,'23'!$I$7:$I$100,"")+SUMIFS('24'!$N$7:$N$100,'24'!$H$7:$H$100,$A300,'24'!$I$7:$I$100,"")+SUMIFS('24a'!$N$7:$N$100,'24a'!$H$7:$H$100,$A300,'24a'!$I$7:$I$100,"")+SUMIFS('24b'!$N$7:$N$100,'24b'!$H$7:$H$100,$A300,'24b'!$I$7:$I$100,"")+SUMIFS('24c'!$N$7:$N$100,'24c'!$H$7:$H$100,$A300,'24c'!$I$7:$I$100,"")+SUMIFS('24d'!$N$7:$N$100,'24d'!$H$7:$H$100,$A300,'24d'!$I$7:$I$100,"")+SUMIFS('24e'!$N$7:$N$100,'24e'!$H$7:$H$100,$A300,'24e'!$I$7:$I$100,"")+SUMIFS('24f'!$N$7:$N$100,'24f'!$H$7:$H$100,$A300,'24f'!$I$7:$I$100,"")+SUMIFS('24g'!$N$7:$N$100,'24g'!$H$7:$H$100,$A300,'24g'!$I$7:$I$100,"")+SUMIFS('24h'!$N$7:$N$100,'24h'!$H$7:$H$100,$A300,'24h'!$I$7:$I$100,"")+SUMIFS('24i'!$N$7:$N$100,'24i'!$H$7:$H$100,$A300,'24i'!$I$7:$I$100,"")+SUMIFS('25'!$N$7:$N$100,'25'!$H$7:$H$100,$A300,'25'!$I$7:$I$100,"")+SUMIFS('26'!$N$7:$N$100,'26'!$H$7:$H$100,$A300,'26'!$I$7:$I$100,"")+SUMIFS('26a'!$N$7:$N$100,'26a'!$H$7:$H$100,$A300,'26a'!$I$7:$I$100,"")+SUMIFS('27'!$N$7:$N$100,'27'!$H$7:$H$100,$A300,'27'!$I$7:$I$100,"")+SUMIFS('27a'!$N$7:$N$100,'27a'!$H$7:$H$100,$A300,'27a'!$I$7:$I$100,"")+SUMIFS('28'!$N$7:$N$100,'28'!$H$7:$H$100,$A300,'28'!$I$7:$I$100,"")+SUMIFS('29'!$N$7:$N$100,'29'!$H$7:$H$100,$A300,'29'!$I$7:$I$100,"")</f>
        <v>0</v>
      </c>
      <c r="F300" s="1296">
        <f t="shared" si="36"/>
        <v>0</v>
      </c>
      <c r="G300" s="1295">
        <f>SUMIFS('12'!$J$7:$J$100,'12'!$H$7:$H$100,$A300,'12'!$I$7:$I$100,1)+SUMIFS('13'!$J$7:$J$100,'13'!$H$7:$H$100,$A300,'13'!$I$7:$I$100,1)+SUMIFS('14'!$J$7:$J$100,'14'!$H$7:$H$100,$A300,'14'!$I$7:$I$100,1)+SUMIFS('15'!$J$7:$J$100,'15'!$H$7:$H$100,$A300,'15'!$I$7:$I$100,1)+SUMIFS('15a'!$J$7:$J$100,'15a'!$H$7:$H$100,$A300,'15a'!$I$7:$I$100,1)+SUMIFS('15b'!$J$7:$J$100,'15b'!$H$7:$H$100,$A300,'15b'!$I$7:$I$100,1)+SUMIFS('15c'!$J$7:$J$100,'15c'!$H$7:$H$100,$A300,'15c'!$I$7:$I$100,1)+SUMIFS('15d'!$J$7:$J$100,'15d'!$H$7:$H$100,$A300,'15d'!$I$7:$I$100,1)+SUMIFS('15e'!$J$7:$J$100,'15e'!$H$7:$H$100,$A300,'15e'!$I$7:$I$100,1)+SUMIFS('15f'!$J$7:$J$100,'15f'!$H$7:$H$100,$A300,'15f'!$I$7:$I$100,1)+SUMIFS('15g'!$J$7:$J$100,'15g'!$H$7:$H$100,$A300,'15g'!$I$7:$I$100,1)+SUMIFS('15h'!$J$7:$J$100,'15h'!$H$7:$H$100,$A300,'15h'!$I$7:$I$100,1)+SUMIFS('15i'!$J$7:$J$100,'15i'!$H$7:$H$100,$A300,'15i'!$I$7:$I$100,1)+SUMIFS('15j'!$J$7:$J$100,'15j'!$H$7:$H$100,$A300,'15j'!$I$7:$I$100,1)+SUMIFS('15k'!$J$7:$J$100,'15k'!$H$7:$H$100,$A300,'15k'!$I$7:$I$100,1)+SUMIFS('15l'!$J$7:$J$100,'15l'!$H$7:$H$100,$A300,'15l'!$I$7:$I$100,1)+SUMIFS('15m'!$J$7:$J$100,'15m'!$H$7:$H$100,$A300,'15m'!$I$7:$I$100,1)+SUMIFS('15n'!$J$7:$J$100,'15n'!$H$7:$H$100,$A300,'15n'!$I$7:$I$100,1)+SUMIFS('16'!$J$7:$J$100,'16'!$H$7:$H$100,$A300,'16'!$I$7:$I$100,1)+SUMIFS('16a'!$J$7:$J$100,'16a'!$H$7:$H$100,$A300,'16a'!$I$7:$I$100,1)+SUMIFS('17'!$J$7:$J$100,'17'!$H$7:$H$100,$A300,'17'!$I$7:$I$100,1)+SUMIFS('17a'!$J$7:$J$100,'17a'!$H$7:$H$100,$A300,'17a'!$I$7:$I$100,1)+SUMIFS('18'!$J$7:$J$100,'18'!$H$7:$H$100,$A300,'18'!$I$7:$I$100,1)+SUMIFS('18a'!$J$7:$J$100,'18a'!$H$7:$H$100,$A300,'18a'!$I$7:$I$100,1)
+SUMIFS('19'!$J$7:$J$100,'19'!$H$7:$H$100,$A300,'19'!$I$7:$I$100,1)+SUMIFS('20'!$J$7:$J$100,'20'!$H$7:$H$100,$A300,'20'!$I$7:$I$100,1)+SUMIFS('20a'!$J$7:$J$100,'20a'!$H$7:$H$100,$A300,'20a'!$I$7:$I$100,1)+SUMIFS('21'!$J$7:$J$100,'21'!$H$7:$H$100,$A300,'21'!$I$7:$I$100,1)+SUMIFS('22'!$J$7:$J$100,'22'!$H$7:$H$100,$A300,'22'!$I$7:$I$100,1)+SUMIFS('22a'!$J$7:$J$100,'22a'!$H$7:$H$100,$A300,'22a'!$I$7:$I$100,1)+SUMIFS('22b'!$J$7:$J$100,'22b'!$H$7:$H$100,$A300,'22b'!$I$7:$I$100,1)+SUMIFS('23'!$J$7:$J$100,'23'!$H$7:$H$100,$A300,'23'!$I$7:$I$100,1)+SUMIFS('24'!$J$7:$J$100,'24'!$H$7:$H$100,$A300,'24'!$I$7:$I$100,1)+SUMIFS('24a'!$J$7:$J$100,'24a'!$H$7:$H$100,$A300,'24a'!$I$7:$I$100,1)+SUMIFS('24b'!$J$7:$J$100,'24b'!$H$7:$H$100,$A300,'24b'!$I$7:$I$100,1)+SUMIFS('24c'!$J$7:$J$100,'24c'!$H$7:$H$100,$A300,'24c'!$I$7:$I$100,1)+SUMIFS('24d'!$J$7:$J$100,'24d'!$H$7:$H$100,$A300,'24d'!$I$7:$I$100,1)+SUMIFS('24e'!$J$7:$J$100,'24e'!$H$7:$H$100,$A300,'24e'!$I$7:$I$100,1)+SUMIFS('24f'!$J$7:$J$100,'24f'!$H$7:$H$100,$A300,'24f'!$I$7:$I$100,1)+SUMIFS('24g'!$J$7:$J$100,'24g'!$H$7:$H$100,$A300,'24g'!$I$7:$I$100,1)+SUMIFS('24h'!$J$7:$J$100,'24h'!$H$7:$H$100,$A300,'24h'!$I$7:$I$100,1)+SUMIFS('24i'!$J$7:$J$100,'24i'!$H$7:$H$100,$A300,'24i'!$I$7:$I$100,1)+SUMIFS('25'!$J$7:$J$100,'25'!$H$7:$H$100,$A300,'25'!$I$7:$I$100,1)+SUMIFS('26'!$J$7:$J$100,'26'!$H$7:$H$100,$A300,'26'!$I$7:$I$100,1)+SUMIFS('26a'!$J$7:$J$100,'26a'!$H$7:$H$100,$A300,'26a'!$I$7:$I$100,1)+SUMIFS('27'!$J$7:$J$100,'27'!$H$7:$H$100,$A300,'27'!$I$7:$I$100,1)+SUMIFS('27a'!$J$7:$J$100,'27a'!$H$7:$H$100,$A300,'27a'!$I$7:$I$100,1)+SUMIFS('28'!$J$7:$J$100,'28'!$H$7:$H$100,$A300,'28'!$I$7:$I$100,1)+SUMIFS('29'!$J$7:$J$100,'29'!$H$7:$H$100,$A300,'29'!$I$7:$I$100,1)</f>
        <v>0</v>
      </c>
      <c r="H300" s="1315">
        <f>SUMIFS('12'!$J$7:$J$100,'12'!$H$7:$H$100,$A300,'12'!$I$7:$I$100,2)+SUMIFS('13'!$J$7:$J$100,'13'!$H$7:$H$100,$A300,'13'!$I$7:$I$100,2)+SUMIFS('14'!$J$7:$J$100,'14'!$H$7:$H$100,$A300,'14'!$I$7:$I$100,2)+SUMIFS('15'!$J$7:$J$100,'15'!$H$7:$H$100,$A300,'15'!$I$7:$I$100,2)+SUMIFS('15a'!$J$7:$J$100,'15a'!$H$7:$H$100,$A300,'15a'!$I$7:$I$100,2)+SUMIFS('15b'!$J$7:$J$100,'15b'!$H$7:$H$100,$A300,'15b'!$I$7:$I$100,2)+SUMIFS('15c'!$J$7:$J$100,'15c'!$H$7:$H$100,$A300,'15c'!$I$7:$I$100,2)+SUMIFS('15d'!$J$7:$J$100,'15d'!$H$7:$H$100,$A300,'15d'!$I$7:$I$100,2)+SUMIFS('15e'!$J$7:$J$100,'15e'!$H$7:$H$100,$A300,'15e'!$I$7:$I$100,2)+SUMIFS('15f'!$J$7:$J$100,'15f'!$H$7:$H$100,$A300,'15f'!$I$7:$I$100,2)+SUMIFS('15g'!$J$7:$J$100,'15g'!$H$7:$H$100,$A300,'15g'!$I$7:$I$100,2)+SUMIFS('15h'!$J$7:$J$100,'15h'!$H$7:$H$100,$A300,'15h'!$I$7:$I$100,2)+SUMIFS('15i'!$J$7:$J$100,'15i'!$H$7:$H$100,$A300,'15i'!$I$7:$I$100,2)+SUMIFS('15j'!$J$7:$J$100,'15j'!$H$7:$H$100,$A300,'15j'!$I$7:$I$100,2)+SUMIFS('15k'!$J$7:$J$100,'15k'!$H$7:$H$100,$A300,'15k'!$I$7:$I$100,2)+SUMIFS('15l'!$J$7:$J$100,'15l'!$H$7:$H$100,$A300,'15l'!$I$7:$I$100,2)+SUMIFS('15m'!$J$7:$J$100,'15m'!$H$7:$H$100,$A300,'15m'!$I$7:$I$100,2)+SUMIFS('15n'!$J$7:$J$100,'15n'!$H$7:$H$100,$A300,'15n'!$I$7:$I$100,2)+SUMIFS('16'!$J$7:$J$100,'16'!$H$7:$H$100,$A300,'16'!$I$7:$I$100,2)+SUMIFS('16a'!$J$7:$J$100,'16a'!$H$7:$H$100,$A300,'16a'!$I$7:$I$100,2)+SUMIFS('17'!$J$7:$J$100,'17'!$H$7:$H$100,$A300,'17'!$I$7:$I$100,2)+SUMIFS('17a'!$J$7:$J$100,'17a'!$H$7:$H$100,$A300,'17a'!$I$7:$I$100,2)+SUMIFS('18'!$J$7:$J$100,'18'!$H$7:$H$100,$A300,'18'!$I$7:$I$100,2)+SUMIFS('18a'!$J$7:$J$100,'18a'!$H$7:$H$100,$A300,'18a'!$I$7:$I$100,2)
+SUMIFS('19'!$J$7:$J$100,'19'!$H$7:$H$100,$A300,'19'!$I$7:$I$100,2)+SUMIFS('20'!$J$7:$J$100,'20'!$H$7:$H$100,$A300,'20'!$I$7:$I$100,2)+SUMIFS('20a'!$J$7:$J$100,'20a'!$H$7:$H$100,$A300,'20a'!$I$7:$I$100,2)+SUMIFS('21'!$J$7:$J$100,'21'!$H$7:$H$100,$A300,'21'!$I$7:$I$100,2)+SUMIFS('22'!$J$7:$J$100,'22'!$H$7:$H$100,$A300,'22'!$I$7:$I$100,2)+SUMIFS('22a'!$J$7:$J$100,'22a'!$H$7:$H$100,$A300,'22a'!$I$7:$I$100,2)+SUMIFS('22b'!$J$7:$J$100,'22b'!$H$7:$H$100,$A300,'22b'!$I$7:$I$100,2)+SUMIFS('23'!$J$7:$J$100,'23'!$H$7:$H$100,$A300,'23'!$I$7:$I$100,2)+SUMIFS('24'!$J$7:$J$100,'24'!$H$7:$H$100,$A300,'24'!$I$7:$I$100,2)+SUMIFS('24a'!$J$7:$J$100,'24a'!$H$7:$H$100,$A300,'24a'!$I$7:$I$100,2)+SUMIFS('24b'!$J$7:$J$100,'24b'!$H$7:$H$100,$A300,'24b'!$I$7:$I$100,2)+SUMIFS('24c'!$J$7:$J$100,'24c'!$H$7:$H$100,$A300,'24c'!$I$7:$I$100,2)+SUMIFS('24d'!$J$7:$J$100,'24d'!$H$7:$H$100,$A300,'24d'!$I$7:$I$100,2)+SUMIFS('24e'!$J$7:$J$100,'24e'!$H$7:$H$100,$A300,'24e'!$I$7:$I$100,2)+SUMIFS('24f'!$J$7:$J$100,'24f'!$H$7:$H$100,$A300,'24f'!$I$7:$I$100,2)+SUMIFS('24g'!$J$7:$J$100,'24g'!$H$7:$H$100,$A300,'24g'!$I$7:$I$100,2)+SUMIFS('24h'!$J$7:$J$100,'24h'!$H$7:$H$100,$A300,'24h'!$I$7:$I$100,2)+SUMIFS('24i'!$J$7:$J$100,'24i'!$H$7:$H$100,$A300,'24i'!$I$7:$I$100,2)+SUMIFS('25'!$J$7:$J$100,'25'!$H$7:$H$100,$A300,'25'!$I$7:$I$100,2)+SUMIFS('26'!$J$7:$J$100,'26'!$H$7:$H$100,$A300,'26'!$I$7:$I$100,2)+SUMIFS('26a'!$J$7:$J$100,'26a'!$H$7:$H$100,$A300,'26a'!$I$7:$I$100,2)+SUMIFS('27'!$J$7:$J$100,'27'!$H$7:$H$100,$A300,'27'!$I$7:$I$100,2)+SUMIFS('27a'!$J$7:$J$100,'27a'!$H$7:$H$100,$A300,'27a'!$I$7:$I$100,2)+SUMIFS('28'!$J$7:$J$100,'28'!$H$7:$H$100,$A300,'28'!$I$7:$I$100,2)+SUMIFS('29'!$J$7:$J$100,'29'!$H$7:$H$100,$A300,'29'!$I$7:$I$100,2)</f>
        <v>0</v>
      </c>
      <c r="I300" s="1315">
        <f>SUMIFS('12'!$J$7:$J$100,'12'!$H$7:$H$100,$A300,'12'!$I$7:$I$100,"")+SUMIFS('13'!$J$7:$J$100,'13'!$H$7:$H$100,$A300,'13'!$I$7:$I$100,"")+SUMIFS('14'!$J$7:$J$100,'14'!$H$7:$H$100,$A300,'14'!$I$7:$I$100,"")+SUMIFS('15'!$J$7:$J$100,'15'!$H$7:$H$100,$A300,'15'!$I$7:$I$100,"")+SUMIFS('15a'!$J$7:$J$100,'15a'!$H$7:$H$100,$A300,'15a'!$I$7:$I$100,"")+SUMIFS('15b'!$J$7:$J$100,'15b'!$H$7:$H$100,$A300,'15b'!$I$7:$I$100,"")+SUMIFS('15c'!$J$7:$J$100,'15c'!$H$7:$H$100,$A300,'15c'!$I$7:$I$100,"")+SUMIFS('15d'!$J$7:$J$100,'15d'!$H$7:$H$100,$A300,'15d'!$I$7:$I$100,"")+SUMIFS('15e'!$J$7:$J$100,'15e'!$H$7:$H$100,$A300,'15e'!$I$7:$I$100,"")+SUMIFS('15f'!$J$7:$J$100,'15f'!$H$7:$H$100,$A300,'15f'!$I$7:$I$100,"")+SUMIFS('15g'!$J$7:$J$100,'15g'!$H$7:$H$100,$A300,'15g'!$I$7:$I$100,"")+SUMIFS('15h'!$J$7:$J$100,'15h'!$H$7:$H$100,$A300,'15h'!$I$7:$I$100,"")+SUMIFS('15i'!$J$7:$J$100,'15i'!$H$7:$H$100,$A300,'15i'!$I$7:$I$100,"")+SUMIFS('15j'!$J$7:$J$100,'15j'!$H$7:$H$100,$A300,'15j'!$I$7:$I$100,"")+SUMIFS('15k'!$J$7:$J$100,'15k'!$H$7:$H$100,$A300,'15k'!$I$7:$I$100,"")+SUMIFS('15l'!$J$7:$J$100,'15l'!$H$7:$H$100,$A300,'15l'!$I$7:$I$100,"")+SUMIFS('15m'!$J$7:$J$100,'15m'!$H$7:$H$100,$A300,'15m'!$I$7:$I$100,"")+SUMIFS('15n'!$J$7:$J$100,'15n'!$H$7:$H$100,$A300,'15n'!$I$7:$I$100,"")+SUMIFS('16'!$J$7:$J$100,'16'!$H$7:$H$100,$A300,'16'!$I$7:$I$100,"")+SUMIFS('16a'!$J$7:$J$100,'16a'!$H$7:$H$100,$A300,'16a'!$I$7:$I$100,"")+SUMIFS('17'!$J$7:$J$100,'17'!$H$7:$H$100,$A300,'17'!$I$7:$I$100,"")+SUMIFS('17a'!$J$7:$J$100,'17a'!$H$7:$H$100,$A300,'17a'!$I$7:$I$100,"")+SUMIFS('18'!$J$7:$J$100,'18'!$H$7:$H$100,$A300,'18'!$I$7:$I$100,"")+SUMIFS('18a'!$J$7:$J$100,'18a'!$H$7:$H$100,$A300,'18a'!$I$7:$I$100,"")
+SUMIFS('19'!$J$7:$J$100,'19'!$H$7:$H$100,$A300,'19'!$I$7:$I$100,"")+SUMIFS('20'!$J$7:$J$100,'20'!$H$7:$H$100,$A300,'20'!$I$7:$I$100,"")+SUMIFS('20a'!$J$7:$J$100,'20a'!$H$7:$H$100,$A300,'20a'!$I$7:$I$100,"")+SUMIFS('21'!$J$7:$J$100,'21'!$H$7:$H$100,$A300,'21'!$I$7:$I$100,"")+SUMIFS('22'!$J$7:$J$100,'22'!$H$7:$H$100,$A300,'22'!$I$7:$I$100,"")+SUMIFS('22a'!$J$7:$J$100,'22a'!$H$7:$H$100,$A300,'22a'!$I$7:$I$100,"")+SUMIFS('22b'!$J$7:$J$100,'22b'!$H$7:$H$100,$A300,'22b'!$I$7:$I$100,"")+SUMIFS('23'!$J$7:$J$100,'23'!$H$7:$H$100,$A300,'23'!$I$7:$I$100,"")+SUMIFS('24'!$J$7:$J$100,'24'!$H$7:$H$100,$A300,'24'!$I$7:$I$100,"")+SUMIFS('24a'!$J$7:$J$100,'24a'!$H$7:$H$100,$A300,'24a'!$I$7:$I$100,"")+SUMIFS('24b'!$J$7:$J$100,'24b'!$H$7:$H$100,$A300,'24b'!$I$7:$I$100,"")+SUMIFS('24c'!$J$7:$J$100,'24c'!$H$7:$H$100,$A300,'24c'!$I$7:$I$100,"")+SUMIFS('24d'!$J$7:$J$100,'24d'!$H$7:$H$100,$A300,'24d'!$I$7:$I$100,"")+SUMIFS('24e'!$J$7:$J$100,'24e'!$H$7:$H$100,$A300,'24e'!$I$7:$I$100,"")+SUMIFS('24f'!$J$7:$J$100,'24f'!$H$7:$H$100,$A300,'24f'!$I$7:$I$100,"")+SUMIFS('24g'!$J$7:$J$100,'24g'!$H$7:$H$100,$A300,'24g'!$I$7:$I$100,"")+SUMIFS('24h'!$J$7:$J$100,'24h'!$H$7:$H$100,$A300,'24h'!$I$7:$I$100,"")+SUMIFS('24i'!$J$7:$J$100,'24i'!$H$7:$H$100,$A300,'24i'!$I$7:$I$100,"")+SUMIFS('25'!$J$7:$J$100,'25'!$H$7:$H$100,$A300,'25'!$I$7:$I$100,"")+SUMIFS('26'!$J$7:$J$100,'26'!$H$7:$H$100,$A300,'26'!$I$7:$I$100,"")+SUMIFS('26a'!$J$7:$J$100,'26a'!$H$7:$H$100,$A300,'26a'!$I$7:$I$100,"")+SUMIFS('27'!$J$7:$J$100,'27'!$H$7:$H$100,$A300,'27'!$I$7:$I$100,"")+SUMIFS('27a'!$J$7:$J$100,'27a'!$H$7:$H$100,$A300,'27a'!$I$7:$I$100,"")+SUMIFS('28'!$J$7:$J$100,'28'!$H$7:$H$100,$A300,'28'!$I$7:$I$100,"")+SUMIFS('29'!$J$7:$J$100,'29'!$H$7:$H$100,$A300,'29'!$I$7:$I$100,"")</f>
        <v>0</v>
      </c>
      <c r="J300" s="1296">
        <f t="shared" si="37"/>
        <v>0</v>
      </c>
      <c r="K300"/>
      <c r="L300"/>
      <c r="M300"/>
      <c r="N300"/>
      <c r="O300"/>
      <c r="P300"/>
      <c r="Q300"/>
      <c r="R300"/>
      <c r="S300" s="1307">
        <f t="shared" si="30"/>
        <v>0</v>
      </c>
      <c r="T300"/>
    </row>
    <row r="301" spans="1:20" x14ac:dyDescent="0.2">
      <c r="A301" t="s">
        <v>5460</v>
      </c>
      <c r="B301" t="s">
        <v>5526</v>
      </c>
      <c r="C301" s="1295">
        <f>SUMIFS('12'!$N$7:$N$100,'12'!$H$7:$H$100,$A301,'12'!$I$7:$I$100,1)+SUMIFS('13'!$N$7:$N$100,'13'!$H$7:$H$100,$A301,'13'!$I$7:$I$100,1)+SUMIFS('14'!$N$7:$N$100,'14'!$H$7:$H$100,$A301,'14'!$I$7:$I$100,1)+SUMIFS('15'!$N$7:$N$100,'15'!$H$7:$H$100,$A301,'15'!$I$7:$I$100,1)+SUMIFS('15a'!$N$7:$N$100,'15a'!$H$7:$H$100,$A301,'15a'!$I$7:$I$100,1)+SUMIFS('15b'!$N$7:$N$100,'15b'!$H$7:$H$100,$A301,'15b'!$I$7:$I$100,1)+SUMIFS('15c'!$N$7:$N$100,'15c'!$H$7:$H$100,$A301,'15c'!$I$7:$I$100,1)+SUMIFS('15d'!$N$7:$N$100,'15d'!$H$7:$H$100,$A301,'15d'!$I$7:$I$100,1)+SUMIFS('15e'!$N$7:$N$100,'15e'!$H$7:$H$100,$A301,'15e'!$I$7:$I$100,1)+SUMIFS('15f'!$N$7:$N$100,'15f'!$H$7:$H$100,$A301,'15f'!$I$7:$I$100,1)+SUMIFS('15g'!$N$7:$N$100,'15g'!$H$7:$H$100,$A301,'15g'!$I$7:$I$100,1)+SUMIFS('15h'!$N$7:$N$100,'15h'!$H$7:$H$100,$A301,'15h'!$I$7:$I$100,1)+SUMIFS('15i'!$N$7:$N$100,'15i'!$H$7:$H$100,$A301,'15i'!$I$7:$I$100,1)+SUMIFS('15j'!$N$7:$N$100,'15j'!$H$7:$H$100,$A301,'15j'!$I$7:$I$100,1)+SUMIFS('15k'!$N$7:$N$100,'15k'!$H$7:$H$100,$A301,'15k'!$I$7:$I$100,1)+SUMIFS('15l'!$N$7:$N$100,'15l'!$H$7:$H$100,$A301,'15l'!$I$7:$I$100,1)+SUMIFS('15m'!$N$7:$N$100,'15m'!$H$7:$H$100,$A301,'15m'!$I$7:$I$100,1)+SUMIFS('15n'!$N$7:$N$100,'15n'!$H$7:$H$100,$A301,'15n'!$I$7:$I$100,1)+SUMIFS('16'!$N$7:$N$100,'16'!$H$7:$H$100,$A301,'16'!$I$7:$I$100,1)+SUMIFS('16a'!$N$7:$N$100,'16a'!$H$7:$H$100,$A301,'16a'!$I$7:$I$100,1)+SUMIFS('17'!$N$7:$N$100,'17'!$H$7:$H$100,$A301,'17'!$I$7:$I$100,1)+SUMIFS('17a'!$N$7:$N$100,'17a'!$H$7:$H$100,$A301,'17a'!$I$7:$I$100,1)+SUMIFS('18'!$N$7:$N$100,'18'!$H$7:$H$100,$A301,'18'!$I$7:$I$100,1)+SUMIFS('18a'!$N$7:$N$100,'18a'!$H$7:$H$100,$A301,'18a'!$I$7:$I$100,1)
+SUMIFS('19'!$N$7:$N$100,'19'!$H$7:$H$100,$A301,'19'!$I$7:$I$100,1)+SUMIFS('20'!$N$7:$N$100,'20'!$H$7:$H$100,$A301,'20'!$I$7:$I$100,1)+SUMIFS('20a'!$N$7:$N$100,'20a'!$H$7:$H$100,$A301,'20a'!$I$7:$I$100,1)+SUMIFS('21'!$N$7:$N$100,'21'!$H$7:$H$100,$A301,'21'!$I$7:$I$100,1)+SUMIFS('22'!$N$7:$N$100,'22'!$H$7:$H$100,$A301,'22'!$I$7:$I$100,1)+SUMIFS('22a'!$N$7:$N$100,'22a'!$H$7:$H$100,$A301,'22a'!$I$7:$I$100,1)+SUMIFS('22b'!$N$7:$N$100,'22b'!$H$7:$H$100,$A301,'22b'!$I$7:$I$100,1)+SUMIFS('23'!$N$7:$N$100,'23'!$H$7:$H$100,$A301,'23'!$I$7:$I$100,1)+SUMIFS('24'!$N$7:$N$100,'24'!$H$7:$H$100,$A301,'24'!$I$7:$I$100,1)+SUMIFS('24a'!$N$7:$N$100,'24a'!$H$7:$H$100,$A301,'24a'!$I$7:$I$100,1)+SUMIFS('24b'!$N$7:$N$100,'24b'!$H$7:$H$100,$A301,'24b'!$I$7:$I$100,1)+SUMIFS('24c'!$N$7:$N$100,'24c'!$H$7:$H$100,$A301,'24c'!$I$7:$I$100,1)+SUMIFS('24d'!$N$7:$N$100,'24d'!$H$7:$H$100,$A301,'24d'!$I$7:$I$100,1)+SUMIFS('24e'!$N$7:$N$100,'24e'!$H$7:$H$100,$A301,'24e'!$I$7:$I$100,1)+SUMIFS('24f'!$N$7:$N$100,'24f'!$H$7:$H$100,$A301,'24f'!$I$7:$I$100,1)+SUMIFS('24g'!$N$7:$N$100,'24g'!$H$7:$H$100,$A301,'24g'!$I$7:$I$100,1)+SUMIFS('24h'!$N$7:$N$100,'24h'!$H$7:$H$100,$A301,'24h'!$I$7:$I$100,1)+SUMIFS('24i'!$N$7:$N$100,'24i'!$H$7:$H$100,$A301,'24i'!$I$7:$I$100,1)+SUMIFS('25'!$N$7:$N$100,'25'!$H$7:$H$100,$A301,'25'!$I$7:$I$100,1)+SUMIFS('26'!$N$7:$N$100,'26'!$H$7:$H$100,$A301,'26'!$I$7:$I$100,1)+SUMIFS('26a'!$N$7:$N$100,'26a'!$H$7:$H$100,$A301,'26a'!$I$7:$I$100,1)+SUMIFS('27'!$N$7:$N$100,'27'!$H$7:$H$100,$A301,'27'!$I$7:$I$100,1)+SUMIFS('27a'!$N$7:$N$100,'27a'!$H$7:$H$100,$A301,'27a'!$I$7:$I$100,1)+SUMIFS('28'!$N$7:$N$100,'28'!$H$7:$H$100,$A301,'28'!$I$7:$I$100,1)+SUMIFS('29'!$N$7:$N$100,'29'!$H$7:$H$100,$A301,'29'!$I$7:$I$100,1)</f>
        <v>0</v>
      </c>
      <c r="D301" s="1315">
        <f>SUMIFS('12'!$N$7:$N$100,'12'!$H$7:$H$100,$A301,'12'!$I$7:$I$100,2)+SUMIFS('13'!$N$7:$N$100,'13'!$H$7:$H$100,$A301,'13'!$I$7:$I$100,2)+SUMIFS('14'!$N$7:$N$100,'14'!$H$7:$H$100,$A301,'14'!$I$7:$I$100,2)+SUMIFS('15'!$N$7:$N$100,'15'!$H$7:$H$100,$A301,'15'!$I$7:$I$100,2)+SUMIFS('15a'!$N$7:$N$100,'15a'!$H$7:$H$100,$A301,'15a'!$I$7:$I$100,2)+SUMIFS('15b'!$N$7:$N$100,'15b'!$H$7:$H$100,$A301,'15b'!$I$7:$I$100,2)+SUMIFS('15c'!$N$7:$N$100,'15c'!$H$7:$H$100,$A301,'15c'!$I$7:$I$100,2)+SUMIFS('15d'!$N$7:$N$100,'15d'!$H$7:$H$100,$A301,'15d'!$I$7:$I$100,2)+SUMIFS('15e'!$N$7:$N$100,'15e'!$H$7:$H$100,$A301,'15e'!$I$7:$I$100,2)+SUMIFS('15f'!$N$7:$N$100,'15f'!$H$7:$H$100,$A301,'15f'!$I$7:$I$100,2)+SUMIFS('15g'!$N$7:$N$100,'15g'!$H$7:$H$100,$A301,'15g'!$I$7:$I$100,2)+SUMIFS('15h'!$N$7:$N$100,'15h'!$H$7:$H$100,$A301,'15h'!$I$7:$I$100,2)+SUMIFS('15i'!$N$7:$N$100,'15i'!$H$7:$H$100,$A301,'15i'!$I$7:$I$100,2)+SUMIFS('15j'!$N$7:$N$100,'15j'!$H$7:$H$100,$A301,'15j'!$I$7:$I$100,2)+SUMIFS('15k'!$N$7:$N$100,'15k'!$H$7:$H$100,$A301,'15k'!$I$7:$I$100,2)+SUMIFS('15l'!$N$7:$N$100,'15l'!$H$7:$H$100,$A301,'15l'!$I$7:$I$100,2)+SUMIFS('15m'!$N$7:$N$100,'15m'!$H$7:$H$100,$A301,'15m'!$I$7:$I$100,2)+SUMIFS('15n'!$N$7:$N$100,'15n'!$H$7:$H$100,$A301,'15n'!$I$7:$I$100,2)+SUMIFS('16'!$N$7:$N$100,'16'!$H$7:$H$100,$A301,'16'!$I$7:$I$100,2)+SUMIFS('16a'!$N$7:$N$100,'16a'!$H$7:$H$100,$A301,'16a'!$I$7:$I$100,2)+SUMIFS('17'!$N$7:$N$100,'17'!$H$7:$H$100,$A301,'17'!$I$7:$I$100,2)+SUMIFS('17a'!$N$7:$N$100,'17a'!$H$7:$H$100,$A301,'17a'!$I$7:$I$100,2)+SUMIFS('18'!$N$7:$N$100,'18'!$H$7:$H$100,$A301,'18'!$I$7:$I$100,2)+SUMIFS('18a'!$N$7:$N$100,'18a'!$H$7:$H$100,$A301,'18a'!$I$7:$I$100,2)
+SUMIFS('19'!$N$7:$N$100,'19'!$H$7:$H$100,$A301,'19'!$I$7:$I$100,2)+SUMIFS('20'!$N$7:$N$100,'20'!$H$7:$H$100,$A301,'20'!$I$7:$I$100,2)+SUMIFS('20a'!$N$7:$N$100,'20a'!$H$7:$H$100,$A301,'20a'!$I$7:$I$100,2)+SUMIFS('21'!$N$7:$N$100,'21'!$H$7:$H$100,$A301,'21'!$I$7:$I$100,2)+SUMIFS('22'!$N$7:$N$100,'22'!$H$7:$H$100,$A301,'22'!$I$7:$I$100,2)+SUMIFS('22a'!$N$7:$N$100,'22a'!$H$7:$H$100,$A301,'22a'!$I$7:$I$100,2)+SUMIFS('22b'!$N$7:$N$100,'22b'!$H$7:$H$100,$A301,'22b'!$I$7:$I$100,2)+SUMIFS('23'!$N$7:$N$100,'23'!$H$7:$H$100,$A301,'23'!$I$7:$I$100,2)+SUMIFS('24'!$N$7:$N$100,'24'!$H$7:$H$100,$A301,'24'!$I$7:$I$100,2)+SUMIFS('24a'!$N$7:$N$100,'24a'!$H$7:$H$100,$A301,'24a'!$I$7:$I$100,2)+SUMIFS('24b'!$N$7:$N$100,'24b'!$H$7:$H$100,$A301,'24b'!$I$7:$I$100,2)+SUMIFS('24c'!$N$7:$N$100,'24c'!$H$7:$H$100,$A301,'24c'!$I$7:$I$100,2)+SUMIFS('24d'!$N$7:$N$100,'24d'!$H$7:$H$100,$A301,'24d'!$I$7:$I$100,2)+SUMIFS('24e'!$N$7:$N$100,'24e'!$H$7:$H$100,$A301,'24e'!$I$7:$I$100,2)+SUMIFS('24f'!$N$7:$N$100,'24f'!$H$7:$H$100,$A301,'24f'!$I$7:$I$100,2)+SUMIFS('24g'!$N$7:$N$100,'24g'!$H$7:$H$100,$A301,'24g'!$I$7:$I$100,2)+SUMIFS('24h'!$N$7:$N$100,'24h'!$H$7:$H$100,$A301,'24h'!$I$7:$I$100,2)+SUMIFS('24i'!$N$7:$N$100,'24i'!$H$7:$H$100,$A301,'24i'!$I$7:$I$100,2)+SUMIFS('25'!$N$7:$N$100,'25'!$H$7:$H$100,$A301,'25'!$I$7:$I$100,2)+SUMIFS('26'!$N$7:$N$100,'26'!$H$7:$H$100,$A301,'26'!$I$7:$I$100,2)+SUMIFS('26a'!$N$7:$N$100,'26a'!$H$7:$H$100,$A301,'26a'!$I$7:$I$100,2)+SUMIFS('27'!$N$7:$N$100,'27'!$H$7:$H$100,$A301,'27'!$I$7:$I$100,2)+SUMIFS('27a'!$N$7:$N$100,'27a'!$H$7:$H$100,$A301,'27a'!$I$7:$I$100,2)+SUMIFS('28'!$N$7:$N$100,'28'!$H$7:$H$100,$A301,'28'!$I$7:$I$100,2)+SUMIFS('29'!$N$7:$N$100,'29'!$H$7:$H$100,$A301,'29'!$I$7:$I$100,2)</f>
        <v>0</v>
      </c>
      <c r="E301" s="1315">
        <f>SUMIFS('12'!$N$7:$N$100,'12'!$H$7:$H$100,$A301,'12'!$I$7:$I$100,"")+SUMIFS('13'!$N$7:$N$100,'13'!$H$7:$H$100,$A301,'13'!$I$7:$I$100,"")+SUMIFS('14'!$N$7:$N$100,'14'!$H$7:$H$100,$A301,'14'!$I$7:$I$100,"")+SUMIFS('15'!$N$7:$N$100,'15'!$H$7:$H$100,$A301,'15'!$I$7:$I$100,"")+SUMIFS('15a'!$N$7:$N$100,'15a'!$H$7:$H$100,$A301,'15a'!$I$7:$I$100,"")+SUMIFS('15b'!$N$7:$N$100,'15b'!$H$7:$H$100,$A301,'15b'!$I$7:$I$100,"")+SUMIFS('15c'!$N$7:$N$100,'15c'!$H$7:$H$100,$A301,'15c'!$I$7:$I$100,"")+SUMIFS('15d'!$N$7:$N$100,'15d'!$H$7:$H$100,$A301,'15d'!$I$7:$I$100,"")+SUMIFS('15e'!$N$7:$N$100,'15e'!$H$7:$H$100,$A301,'15e'!$I$7:$I$100,"")+SUMIFS('15f'!$N$7:$N$100,'15f'!$H$7:$H$100,$A301,'15f'!$I$7:$I$100,"")+SUMIFS('15g'!$N$7:$N$100,'15g'!$H$7:$H$100,$A301,'15g'!$I$7:$I$100,"")+SUMIFS('15h'!$N$7:$N$100,'15h'!$H$7:$H$100,$A301,'15h'!$I$7:$I$100,"")+SUMIFS('15i'!$N$7:$N$100,'15i'!$H$7:$H$100,$A301,'15i'!$I$7:$I$100,"")+SUMIFS('15j'!$N$7:$N$100,'15j'!$H$7:$H$100,$A301,'15j'!$I$7:$I$100,"")+SUMIFS('15k'!$N$7:$N$100,'15k'!$H$7:$H$100,$A301,'15k'!$I$7:$I$100,"")+SUMIFS('15l'!$N$7:$N$100,'15l'!$H$7:$H$100,$A301,'15l'!$I$7:$I$100,"")+SUMIFS('15m'!$N$7:$N$100,'15m'!$H$7:$H$100,$A301,'15m'!$I$7:$I$100,"")+SUMIFS('15n'!$N$7:$N$100,'15n'!$H$7:$H$100,$A301,'15n'!$I$7:$I$100,"")+SUMIFS('16'!$N$7:$N$100,'16'!$H$7:$H$100,$A301,'16'!$I$7:$I$100,"")+SUMIFS('16a'!$N$7:$N$100,'16a'!$H$7:$H$100,$A301,'16a'!$I$7:$I$100,"")+SUMIFS('17'!$N$7:$N$100,'17'!$H$7:$H$100,$A301,'17'!$I$7:$I$100,"")+SUMIFS('17a'!$N$7:$N$100,'17a'!$H$7:$H$100,$A301,'17a'!$I$7:$I$100,"")+SUMIFS('18'!$N$7:$N$100,'18'!$H$7:$H$100,$A301,'18'!$I$7:$I$100,"")+SUMIFS('18a'!$N$7:$N$100,'18a'!$H$7:$H$100,$A301,'18a'!$I$7:$I$100,"")
+SUMIFS('19'!$N$7:$N$100,'19'!$H$7:$H$100,$A301,'19'!$I$7:$I$100,"")+SUMIFS('20'!$N$7:$N$100,'20'!$H$7:$H$100,$A301,'20'!$I$7:$I$100,"")+SUMIFS('20a'!$N$7:$N$100,'20a'!$H$7:$H$100,$A301,'20a'!$I$7:$I$100,"")+SUMIFS('21'!$N$7:$N$100,'21'!$H$7:$H$100,$A301,'21'!$I$7:$I$100,"")+SUMIFS('22'!$N$7:$N$100,'22'!$H$7:$H$100,$A301,'22'!$I$7:$I$100,"")+SUMIFS('22a'!$N$7:$N$100,'22a'!$H$7:$H$100,$A301,'22a'!$I$7:$I$100,"")+SUMIFS('22b'!$N$7:$N$100,'22b'!$H$7:$H$100,$A301,'22b'!$I$7:$I$100,"")+SUMIFS('23'!$N$7:$N$100,'23'!$H$7:$H$100,$A301,'23'!$I$7:$I$100,"")+SUMIFS('24'!$N$7:$N$100,'24'!$H$7:$H$100,$A301,'24'!$I$7:$I$100,"")+SUMIFS('24a'!$N$7:$N$100,'24a'!$H$7:$H$100,$A301,'24a'!$I$7:$I$100,"")+SUMIFS('24b'!$N$7:$N$100,'24b'!$H$7:$H$100,$A301,'24b'!$I$7:$I$100,"")+SUMIFS('24c'!$N$7:$N$100,'24c'!$H$7:$H$100,$A301,'24c'!$I$7:$I$100,"")+SUMIFS('24d'!$N$7:$N$100,'24d'!$H$7:$H$100,$A301,'24d'!$I$7:$I$100,"")+SUMIFS('24e'!$N$7:$N$100,'24e'!$H$7:$H$100,$A301,'24e'!$I$7:$I$100,"")+SUMIFS('24f'!$N$7:$N$100,'24f'!$H$7:$H$100,$A301,'24f'!$I$7:$I$100,"")+SUMIFS('24g'!$N$7:$N$100,'24g'!$H$7:$H$100,$A301,'24g'!$I$7:$I$100,"")+SUMIFS('24h'!$N$7:$N$100,'24h'!$H$7:$H$100,$A301,'24h'!$I$7:$I$100,"")+SUMIFS('24i'!$N$7:$N$100,'24i'!$H$7:$H$100,$A301,'24i'!$I$7:$I$100,"")+SUMIFS('25'!$N$7:$N$100,'25'!$H$7:$H$100,$A301,'25'!$I$7:$I$100,"")+SUMIFS('26'!$N$7:$N$100,'26'!$H$7:$H$100,$A301,'26'!$I$7:$I$100,"")+SUMIFS('26a'!$N$7:$N$100,'26a'!$H$7:$H$100,$A301,'26a'!$I$7:$I$100,"")+SUMIFS('27'!$N$7:$N$100,'27'!$H$7:$H$100,$A301,'27'!$I$7:$I$100,"")+SUMIFS('27a'!$N$7:$N$100,'27a'!$H$7:$H$100,$A301,'27a'!$I$7:$I$100,"")+SUMIFS('28'!$N$7:$N$100,'28'!$H$7:$H$100,$A301,'28'!$I$7:$I$100,"")+SUMIFS('29'!$N$7:$N$100,'29'!$H$7:$H$100,$A301,'29'!$I$7:$I$100,"")</f>
        <v>0</v>
      </c>
      <c r="F301" s="1296">
        <f t="shared" si="36"/>
        <v>0</v>
      </c>
      <c r="G301" s="1295">
        <f>SUMIFS('12'!$J$7:$J$100,'12'!$H$7:$H$100,$A301,'12'!$I$7:$I$100,1)+SUMIFS('13'!$J$7:$J$100,'13'!$H$7:$H$100,$A301,'13'!$I$7:$I$100,1)+SUMIFS('14'!$J$7:$J$100,'14'!$H$7:$H$100,$A301,'14'!$I$7:$I$100,1)+SUMIFS('15'!$J$7:$J$100,'15'!$H$7:$H$100,$A301,'15'!$I$7:$I$100,1)+SUMIFS('15a'!$J$7:$J$100,'15a'!$H$7:$H$100,$A301,'15a'!$I$7:$I$100,1)+SUMIFS('15b'!$J$7:$J$100,'15b'!$H$7:$H$100,$A301,'15b'!$I$7:$I$100,1)+SUMIFS('15c'!$J$7:$J$100,'15c'!$H$7:$H$100,$A301,'15c'!$I$7:$I$100,1)+SUMIFS('15d'!$J$7:$J$100,'15d'!$H$7:$H$100,$A301,'15d'!$I$7:$I$100,1)+SUMIFS('15e'!$J$7:$J$100,'15e'!$H$7:$H$100,$A301,'15e'!$I$7:$I$100,1)+SUMIFS('15f'!$J$7:$J$100,'15f'!$H$7:$H$100,$A301,'15f'!$I$7:$I$100,1)+SUMIFS('15g'!$J$7:$J$100,'15g'!$H$7:$H$100,$A301,'15g'!$I$7:$I$100,1)+SUMIFS('15h'!$J$7:$J$100,'15h'!$H$7:$H$100,$A301,'15h'!$I$7:$I$100,1)+SUMIFS('15i'!$J$7:$J$100,'15i'!$H$7:$H$100,$A301,'15i'!$I$7:$I$100,1)+SUMIFS('15j'!$J$7:$J$100,'15j'!$H$7:$H$100,$A301,'15j'!$I$7:$I$100,1)+SUMIFS('15k'!$J$7:$J$100,'15k'!$H$7:$H$100,$A301,'15k'!$I$7:$I$100,1)+SUMIFS('15l'!$J$7:$J$100,'15l'!$H$7:$H$100,$A301,'15l'!$I$7:$I$100,1)+SUMIFS('15m'!$J$7:$J$100,'15m'!$H$7:$H$100,$A301,'15m'!$I$7:$I$100,1)+SUMIFS('15n'!$J$7:$J$100,'15n'!$H$7:$H$100,$A301,'15n'!$I$7:$I$100,1)+SUMIFS('16'!$J$7:$J$100,'16'!$H$7:$H$100,$A301,'16'!$I$7:$I$100,1)+SUMIFS('16a'!$J$7:$J$100,'16a'!$H$7:$H$100,$A301,'16a'!$I$7:$I$100,1)+SUMIFS('17'!$J$7:$J$100,'17'!$H$7:$H$100,$A301,'17'!$I$7:$I$100,1)+SUMIFS('17a'!$J$7:$J$100,'17a'!$H$7:$H$100,$A301,'17a'!$I$7:$I$100,1)+SUMIFS('18'!$J$7:$J$100,'18'!$H$7:$H$100,$A301,'18'!$I$7:$I$100,1)+SUMIFS('18a'!$J$7:$J$100,'18a'!$H$7:$H$100,$A301,'18a'!$I$7:$I$100,1)
+SUMIFS('19'!$J$7:$J$100,'19'!$H$7:$H$100,$A301,'19'!$I$7:$I$100,1)+SUMIFS('20'!$J$7:$J$100,'20'!$H$7:$H$100,$A301,'20'!$I$7:$I$100,1)+SUMIFS('20a'!$J$7:$J$100,'20a'!$H$7:$H$100,$A301,'20a'!$I$7:$I$100,1)+SUMIFS('21'!$J$7:$J$100,'21'!$H$7:$H$100,$A301,'21'!$I$7:$I$100,1)+SUMIFS('22'!$J$7:$J$100,'22'!$H$7:$H$100,$A301,'22'!$I$7:$I$100,1)+SUMIFS('22a'!$J$7:$J$100,'22a'!$H$7:$H$100,$A301,'22a'!$I$7:$I$100,1)+SUMIFS('22b'!$J$7:$J$100,'22b'!$H$7:$H$100,$A301,'22b'!$I$7:$I$100,1)+SUMIFS('23'!$J$7:$J$100,'23'!$H$7:$H$100,$A301,'23'!$I$7:$I$100,1)+SUMIFS('24'!$J$7:$J$100,'24'!$H$7:$H$100,$A301,'24'!$I$7:$I$100,1)+SUMIFS('24a'!$J$7:$J$100,'24a'!$H$7:$H$100,$A301,'24a'!$I$7:$I$100,1)+SUMIFS('24b'!$J$7:$J$100,'24b'!$H$7:$H$100,$A301,'24b'!$I$7:$I$100,1)+SUMIFS('24c'!$J$7:$J$100,'24c'!$H$7:$H$100,$A301,'24c'!$I$7:$I$100,1)+SUMIFS('24d'!$J$7:$J$100,'24d'!$H$7:$H$100,$A301,'24d'!$I$7:$I$100,1)+SUMIFS('24e'!$J$7:$J$100,'24e'!$H$7:$H$100,$A301,'24e'!$I$7:$I$100,1)+SUMIFS('24f'!$J$7:$J$100,'24f'!$H$7:$H$100,$A301,'24f'!$I$7:$I$100,1)+SUMIFS('24g'!$J$7:$J$100,'24g'!$H$7:$H$100,$A301,'24g'!$I$7:$I$100,1)+SUMIFS('24h'!$J$7:$J$100,'24h'!$H$7:$H$100,$A301,'24h'!$I$7:$I$100,1)+SUMIFS('24i'!$J$7:$J$100,'24i'!$H$7:$H$100,$A301,'24i'!$I$7:$I$100,1)+SUMIFS('25'!$J$7:$J$100,'25'!$H$7:$H$100,$A301,'25'!$I$7:$I$100,1)+SUMIFS('26'!$J$7:$J$100,'26'!$H$7:$H$100,$A301,'26'!$I$7:$I$100,1)+SUMIFS('26a'!$J$7:$J$100,'26a'!$H$7:$H$100,$A301,'26a'!$I$7:$I$100,1)+SUMIFS('27'!$J$7:$J$100,'27'!$H$7:$H$100,$A301,'27'!$I$7:$I$100,1)+SUMIFS('27a'!$J$7:$J$100,'27a'!$H$7:$H$100,$A301,'27a'!$I$7:$I$100,1)+SUMIFS('28'!$J$7:$J$100,'28'!$H$7:$H$100,$A301,'28'!$I$7:$I$100,1)+SUMIFS('29'!$J$7:$J$100,'29'!$H$7:$H$100,$A301,'29'!$I$7:$I$100,1)</f>
        <v>0</v>
      </c>
      <c r="H301" s="1315">
        <f>SUMIFS('12'!$J$7:$J$100,'12'!$H$7:$H$100,$A301,'12'!$I$7:$I$100,2)+SUMIFS('13'!$J$7:$J$100,'13'!$H$7:$H$100,$A301,'13'!$I$7:$I$100,2)+SUMIFS('14'!$J$7:$J$100,'14'!$H$7:$H$100,$A301,'14'!$I$7:$I$100,2)+SUMIFS('15'!$J$7:$J$100,'15'!$H$7:$H$100,$A301,'15'!$I$7:$I$100,2)+SUMIFS('15a'!$J$7:$J$100,'15a'!$H$7:$H$100,$A301,'15a'!$I$7:$I$100,2)+SUMIFS('15b'!$J$7:$J$100,'15b'!$H$7:$H$100,$A301,'15b'!$I$7:$I$100,2)+SUMIFS('15c'!$J$7:$J$100,'15c'!$H$7:$H$100,$A301,'15c'!$I$7:$I$100,2)+SUMIFS('15d'!$J$7:$J$100,'15d'!$H$7:$H$100,$A301,'15d'!$I$7:$I$100,2)+SUMIFS('15e'!$J$7:$J$100,'15e'!$H$7:$H$100,$A301,'15e'!$I$7:$I$100,2)+SUMIFS('15f'!$J$7:$J$100,'15f'!$H$7:$H$100,$A301,'15f'!$I$7:$I$100,2)+SUMIFS('15g'!$J$7:$J$100,'15g'!$H$7:$H$100,$A301,'15g'!$I$7:$I$100,2)+SUMIFS('15h'!$J$7:$J$100,'15h'!$H$7:$H$100,$A301,'15h'!$I$7:$I$100,2)+SUMIFS('15i'!$J$7:$J$100,'15i'!$H$7:$H$100,$A301,'15i'!$I$7:$I$100,2)+SUMIFS('15j'!$J$7:$J$100,'15j'!$H$7:$H$100,$A301,'15j'!$I$7:$I$100,2)+SUMIFS('15k'!$J$7:$J$100,'15k'!$H$7:$H$100,$A301,'15k'!$I$7:$I$100,2)+SUMIFS('15l'!$J$7:$J$100,'15l'!$H$7:$H$100,$A301,'15l'!$I$7:$I$100,2)+SUMIFS('15m'!$J$7:$J$100,'15m'!$H$7:$H$100,$A301,'15m'!$I$7:$I$100,2)+SUMIFS('15n'!$J$7:$J$100,'15n'!$H$7:$H$100,$A301,'15n'!$I$7:$I$100,2)+SUMIFS('16'!$J$7:$J$100,'16'!$H$7:$H$100,$A301,'16'!$I$7:$I$100,2)+SUMIFS('16a'!$J$7:$J$100,'16a'!$H$7:$H$100,$A301,'16a'!$I$7:$I$100,2)+SUMIFS('17'!$J$7:$J$100,'17'!$H$7:$H$100,$A301,'17'!$I$7:$I$100,2)+SUMIFS('17a'!$J$7:$J$100,'17a'!$H$7:$H$100,$A301,'17a'!$I$7:$I$100,2)+SUMIFS('18'!$J$7:$J$100,'18'!$H$7:$H$100,$A301,'18'!$I$7:$I$100,2)+SUMIFS('18a'!$J$7:$J$100,'18a'!$H$7:$H$100,$A301,'18a'!$I$7:$I$100,2)
+SUMIFS('19'!$J$7:$J$100,'19'!$H$7:$H$100,$A301,'19'!$I$7:$I$100,2)+SUMIFS('20'!$J$7:$J$100,'20'!$H$7:$H$100,$A301,'20'!$I$7:$I$100,2)+SUMIFS('20a'!$J$7:$J$100,'20a'!$H$7:$H$100,$A301,'20a'!$I$7:$I$100,2)+SUMIFS('21'!$J$7:$J$100,'21'!$H$7:$H$100,$A301,'21'!$I$7:$I$100,2)+SUMIFS('22'!$J$7:$J$100,'22'!$H$7:$H$100,$A301,'22'!$I$7:$I$100,2)+SUMIFS('22a'!$J$7:$J$100,'22a'!$H$7:$H$100,$A301,'22a'!$I$7:$I$100,2)+SUMIFS('22b'!$J$7:$J$100,'22b'!$H$7:$H$100,$A301,'22b'!$I$7:$I$100,2)+SUMIFS('23'!$J$7:$J$100,'23'!$H$7:$H$100,$A301,'23'!$I$7:$I$100,2)+SUMIFS('24'!$J$7:$J$100,'24'!$H$7:$H$100,$A301,'24'!$I$7:$I$100,2)+SUMIFS('24a'!$J$7:$J$100,'24a'!$H$7:$H$100,$A301,'24a'!$I$7:$I$100,2)+SUMIFS('24b'!$J$7:$J$100,'24b'!$H$7:$H$100,$A301,'24b'!$I$7:$I$100,2)+SUMIFS('24c'!$J$7:$J$100,'24c'!$H$7:$H$100,$A301,'24c'!$I$7:$I$100,2)+SUMIFS('24d'!$J$7:$J$100,'24d'!$H$7:$H$100,$A301,'24d'!$I$7:$I$100,2)+SUMIFS('24e'!$J$7:$J$100,'24e'!$H$7:$H$100,$A301,'24e'!$I$7:$I$100,2)+SUMIFS('24f'!$J$7:$J$100,'24f'!$H$7:$H$100,$A301,'24f'!$I$7:$I$100,2)+SUMIFS('24g'!$J$7:$J$100,'24g'!$H$7:$H$100,$A301,'24g'!$I$7:$I$100,2)+SUMIFS('24h'!$J$7:$J$100,'24h'!$H$7:$H$100,$A301,'24h'!$I$7:$I$100,2)+SUMIFS('24i'!$J$7:$J$100,'24i'!$H$7:$H$100,$A301,'24i'!$I$7:$I$100,2)+SUMIFS('25'!$J$7:$J$100,'25'!$H$7:$H$100,$A301,'25'!$I$7:$I$100,2)+SUMIFS('26'!$J$7:$J$100,'26'!$H$7:$H$100,$A301,'26'!$I$7:$I$100,2)+SUMIFS('26a'!$J$7:$J$100,'26a'!$H$7:$H$100,$A301,'26a'!$I$7:$I$100,2)+SUMIFS('27'!$J$7:$J$100,'27'!$H$7:$H$100,$A301,'27'!$I$7:$I$100,2)+SUMIFS('27a'!$J$7:$J$100,'27a'!$H$7:$H$100,$A301,'27a'!$I$7:$I$100,2)+SUMIFS('28'!$J$7:$J$100,'28'!$H$7:$H$100,$A301,'28'!$I$7:$I$100,2)+SUMIFS('29'!$J$7:$J$100,'29'!$H$7:$H$100,$A301,'29'!$I$7:$I$100,2)</f>
        <v>0</v>
      </c>
      <c r="I301" s="1315">
        <f>SUMIFS('12'!$J$7:$J$100,'12'!$H$7:$H$100,$A301,'12'!$I$7:$I$100,"")+SUMIFS('13'!$J$7:$J$100,'13'!$H$7:$H$100,$A301,'13'!$I$7:$I$100,"")+SUMIFS('14'!$J$7:$J$100,'14'!$H$7:$H$100,$A301,'14'!$I$7:$I$100,"")+SUMIFS('15'!$J$7:$J$100,'15'!$H$7:$H$100,$A301,'15'!$I$7:$I$100,"")+SUMIFS('15a'!$J$7:$J$100,'15a'!$H$7:$H$100,$A301,'15a'!$I$7:$I$100,"")+SUMIFS('15b'!$J$7:$J$100,'15b'!$H$7:$H$100,$A301,'15b'!$I$7:$I$100,"")+SUMIFS('15c'!$J$7:$J$100,'15c'!$H$7:$H$100,$A301,'15c'!$I$7:$I$100,"")+SUMIFS('15d'!$J$7:$J$100,'15d'!$H$7:$H$100,$A301,'15d'!$I$7:$I$100,"")+SUMIFS('15e'!$J$7:$J$100,'15e'!$H$7:$H$100,$A301,'15e'!$I$7:$I$100,"")+SUMIFS('15f'!$J$7:$J$100,'15f'!$H$7:$H$100,$A301,'15f'!$I$7:$I$100,"")+SUMIFS('15g'!$J$7:$J$100,'15g'!$H$7:$H$100,$A301,'15g'!$I$7:$I$100,"")+SUMIFS('15h'!$J$7:$J$100,'15h'!$H$7:$H$100,$A301,'15h'!$I$7:$I$100,"")+SUMIFS('15i'!$J$7:$J$100,'15i'!$H$7:$H$100,$A301,'15i'!$I$7:$I$100,"")+SUMIFS('15j'!$J$7:$J$100,'15j'!$H$7:$H$100,$A301,'15j'!$I$7:$I$100,"")+SUMIFS('15k'!$J$7:$J$100,'15k'!$H$7:$H$100,$A301,'15k'!$I$7:$I$100,"")+SUMIFS('15l'!$J$7:$J$100,'15l'!$H$7:$H$100,$A301,'15l'!$I$7:$I$100,"")+SUMIFS('15m'!$J$7:$J$100,'15m'!$H$7:$H$100,$A301,'15m'!$I$7:$I$100,"")+SUMIFS('15n'!$J$7:$J$100,'15n'!$H$7:$H$100,$A301,'15n'!$I$7:$I$100,"")+SUMIFS('16'!$J$7:$J$100,'16'!$H$7:$H$100,$A301,'16'!$I$7:$I$100,"")+SUMIFS('16a'!$J$7:$J$100,'16a'!$H$7:$H$100,$A301,'16a'!$I$7:$I$100,"")+SUMIFS('17'!$J$7:$J$100,'17'!$H$7:$H$100,$A301,'17'!$I$7:$I$100,"")+SUMIFS('17a'!$J$7:$J$100,'17a'!$H$7:$H$100,$A301,'17a'!$I$7:$I$100,"")+SUMIFS('18'!$J$7:$J$100,'18'!$H$7:$H$100,$A301,'18'!$I$7:$I$100,"")+SUMIFS('18a'!$J$7:$J$100,'18a'!$H$7:$H$100,$A301,'18a'!$I$7:$I$100,"")
+SUMIFS('19'!$J$7:$J$100,'19'!$H$7:$H$100,$A301,'19'!$I$7:$I$100,"")+SUMIFS('20'!$J$7:$J$100,'20'!$H$7:$H$100,$A301,'20'!$I$7:$I$100,"")+SUMIFS('20a'!$J$7:$J$100,'20a'!$H$7:$H$100,$A301,'20a'!$I$7:$I$100,"")+SUMIFS('21'!$J$7:$J$100,'21'!$H$7:$H$100,$A301,'21'!$I$7:$I$100,"")+SUMIFS('22'!$J$7:$J$100,'22'!$H$7:$H$100,$A301,'22'!$I$7:$I$100,"")+SUMIFS('22a'!$J$7:$J$100,'22a'!$H$7:$H$100,$A301,'22a'!$I$7:$I$100,"")+SUMIFS('22b'!$J$7:$J$100,'22b'!$H$7:$H$100,$A301,'22b'!$I$7:$I$100,"")+SUMIFS('23'!$J$7:$J$100,'23'!$H$7:$H$100,$A301,'23'!$I$7:$I$100,"")+SUMIFS('24'!$J$7:$J$100,'24'!$H$7:$H$100,$A301,'24'!$I$7:$I$100,"")+SUMIFS('24a'!$J$7:$J$100,'24a'!$H$7:$H$100,$A301,'24a'!$I$7:$I$100,"")+SUMIFS('24b'!$J$7:$J$100,'24b'!$H$7:$H$100,$A301,'24b'!$I$7:$I$100,"")+SUMIFS('24c'!$J$7:$J$100,'24c'!$H$7:$H$100,$A301,'24c'!$I$7:$I$100,"")+SUMIFS('24d'!$J$7:$J$100,'24d'!$H$7:$H$100,$A301,'24d'!$I$7:$I$100,"")+SUMIFS('24e'!$J$7:$J$100,'24e'!$H$7:$H$100,$A301,'24e'!$I$7:$I$100,"")+SUMIFS('24f'!$J$7:$J$100,'24f'!$H$7:$H$100,$A301,'24f'!$I$7:$I$100,"")+SUMIFS('24g'!$J$7:$J$100,'24g'!$H$7:$H$100,$A301,'24g'!$I$7:$I$100,"")+SUMIFS('24h'!$J$7:$J$100,'24h'!$H$7:$H$100,$A301,'24h'!$I$7:$I$100,"")+SUMIFS('24i'!$J$7:$J$100,'24i'!$H$7:$H$100,$A301,'24i'!$I$7:$I$100,"")+SUMIFS('25'!$J$7:$J$100,'25'!$H$7:$H$100,$A301,'25'!$I$7:$I$100,"")+SUMIFS('26'!$J$7:$J$100,'26'!$H$7:$H$100,$A301,'26'!$I$7:$I$100,"")+SUMIFS('26a'!$J$7:$J$100,'26a'!$H$7:$H$100,$A301,'26a'!$I$7:$I$100,"")+SUMIFS('27'!$J$7:$J$100,'27'!$H$7:$H$100,$A301,'27'!$I$7:$I$100,"")+SUMIFS('27a'!$J$7:$J$100,'27a'!$H$7:$H$100,$A301,'27a'!$I$7:$I$100,"")+SUMIFS('28'!$J$7:$J$100,'28'!$H$7:$H$100,$A301,'28'!$I$7:$I$100,"")+SUMIFS('29'!$J$7:$J$100,'29'!$H$7:$H$100,$A301,'29'!$I$7:$I$100,"")</f>
        <v>0</v>
      </c>
      <c r="J301" s="1296">
        <f t="shared" si="37"/>
        <v>0</v>
      </c>
      <c r="K301"/>
      <c r="L301"/>
      <c r="M301"/>
      <c r="N301"/>
      <c r="O301"/>
      <c r="P301"/>
      <c r="Q301"/>
      <c r="R301"/>
      <c r="S301" s="1307">
        <f t="shared" si="30"/>
        <v>0</v>
      </c>
      <c r="T301"/>
    </row>
    <row r="302" spans="1:20" x14ac:dyDescent="0.2">
      <c r="A302" t="s">
        <v>550</v>
      </c>
      <c r="B302" t="s">
        <v>5527</v>
      </c>
      <c r="C302" s="1295">
        <f>SUMIFS('12'!$N$7:$N$100,'12'!$H$7:$H$100,$A302,'12'!$I$7:$I$100,1)+SUMIFS('13'!$N$7:$N$100,'13'!$H$7:$H$100,$A302,'13'!$I$7:$I$100,1)+SUMIFS('14'!$N$7:$N$100,'14'!$H$7:$H$100,$A302,'14'!$I$7:$I$100,1)+SUMIFS('15'!$N$7:$N$100,'15'!$H$7:$H$100,$A302,'15'!$I$7:$I$100,1)+SUMIFS('15a'!$N$7:$N$100,'15a'!$H$7:$H$100,$A302,'15a'!$I$7:$I$100,1)+SUMIFS('15b'!$N$7:$N$100,'15b'!$H$7:$H$100,$A302,'15b'!$I$7:$I$100,1)+SUMIFS('15c'!$N$7:$N$100,'15c'!$H$7:$H$100,$A302,'15c'!$I$7:$I$100,1)+SUMIFS('15d'!$N$7:$N$100,'15d'!$H$7:$H$100,$A302,'15d'!$I$7:$I$100,1)+SUMIFS('15e'!$N$7:$N$100,'15e'!$H$7:$H$100,$A302,'15e'!$I$7:$I$100,1)+SUMIFS('15f'!$N$7:$N$100,'15f'!$H$7:$H$100,$A302,'15f'!$I$7:$I$100,1)+SUMIFS('15g'!$N$7:$N$100,'15g'!$H$7:$H$100,$A302,'15g'!$I$7:$I$100,1)+SUMIFS('15h'!$N$7:$N$100,'15h'!$H$7:$H$100,$A302,'15h'!$I$7:$I$100,1)+SUMIFS('15i'!$N$7:$N$100,'15i'!$H$7:$H$100,$A302,'15i'!$I$7:$I$100,1)+SUMIFS('15j'!$N$7:$N$100,'15j'!$H$7:$H$100,$A302,'15j'!$I$7:$I$100,1)+SUMIFS('15k'!$N$7:$N$100,'15k'!$H$7:$H$100,$A302,'15k'!$I$7:$I$100,1)+SUMIFS('15l'!$N$7:$N$100,'15l'!$H$7:$H$100,$A302,'15l'!$I$7:$I$100,1)+SUMIFS('15m'!$N$7:$N$100,'15m'!$H$7:$H$100,$A302,'15m'!$I$7:$I$100,1)+SUMIFS('15n'!$N$7:$N$100,'15n'!$H$7:$H$100,$A302,'15n'!$I$7:$I$100,1)+SUMIFS('16'!$N$7:$N$100,'16'!$H$7:$H$100,$A302,'16'!$I$7:$I$100,1)+SUMIFS('16a'!$N$7:$N$100,'16a'!$H$7:$H$100,$A302,'16a'!$I$7:$I$100,1)+SUMIFS('17'!$N$7:$N$100,'17'!$H$7:$H$100,$A302,'17'!$I$7:$I$100,1)+SUMIFS('17a'!$N$7:$N$100,'17a'!$H$7:$H$100,$A302,'17a'!$I$7:$I$100,1)+SUMIFS('18'!$N$7:$N$100,'18'!$H$7:$H$100,$A302,'18'!$I$7:$I$100,1)+SUMIFS('18a'!$N$7:$N$100,'18a'!$H$7:$H$100,$A302,'18a'!$I$7:$I$100,1)
+SUMIFS('19'!$N$7:$N$100,'19'!$H$7:$H$100,$A302,'19'!$I$7:$I$100,1)+SUMIFS('20'!$N$7:$N$100,'20'!$H$7:$H$100,$A302,'20'!$I$7:$I$100,1)+SUMIFS('20a'!$N$7:$N$100,'20a'!$H$7:$H$100,$A302,'20a'!$I$7:$I$100,1)+SUMIFS('21'!$N$7:$N$100,'21'!$H$7:$H$100,$A302,'21'!$I$7:$I$100,1)+SUMIFS('22'!$N$7:$N$100,'22'!$H$7:$H$100,$A302,'22'!$I$7:$I$100,1)+SUMIFS('22a'!$N$7:$N$100,'22a'!$H$7:$H$100,$A302,'22a'!$I$7:$I$100,1)+SUMIFS('22b'!$N$7:$N$100,'22b'!$H$7:$H$100,$A302,'22b'!$I$7:$I$100,1)+SUMIFS('23'!$N$7:$N$100,'23'!$H$7:$H$100,$A302,'23'!$I$7:$I$100,1)+SUMIFS('24'!$N$7:$N$100,'24'!$H$7:$H$100,$A302,'24'!$I$7:$I$100,1)+SUMIFS('24a'!$N$7:$N$100,'24a'!$H$7:$H$100,$A302,'24a'!$I$7:$I$100,1)+SUMIFS('24b'!$N$7:$N$100,'24b'!$H$7:$H$100,$A302,'24b'!$I$7:$I$100,1)+SUMIFS('24c'!$N$7:$N$100,'24c'!$H$7:$H$100,$A302,'24c'!$I$7:$I$100,1)+SUMIFS('24d'!$N$7:$N$100,'24d'!$H$7:$H$100,$A302,'24d'!$I$7:$I$100,1)+SUMIFS('24e'!$N$7:$N$100,'24e'!$H$7:$H$100,$A302,'24e'!$I$7:$I$100,1)+SUMIFS('24f'!$N$7:$N$100,'24f'!$H$7:$H$100,$A302,'24f'!$I$7:$I$100,1)+SUMIFS('24g'!$N$7:$N$100,'24g'!$H$7:$H$100,$A302,'24g'!$I$7:$I$100,1)+SUMIFS('24h'!$N$7:$N$100,'24h'!$H$7:$H$100,$A302,'24h'!$I$7:$I$100,1)+SUMIFS('24i'!$N$7:$N$100,'24i'!$H$7:$H$100,$A302,'24i'!$I$7:$I$100,1)+SUMIFS('25'!$N$7:$N$100,'25'!$H$7:$H$100,$A302,'25'!$I$7:$I$100,1)+SUMIFS('26'!$N$7:$N$100,'26'!$H$7:$H$100,$A302,'26'!$I$7:$I$100,1)+SUMIFS('26a'!$N$7:$N$100,'26a'!$H$7:$H$100,$A302,'26a'!$I$7:$I$100,1)+SUMIFS('27'!$N$7:$N$100,'27'!$H$7:$H$100,$A302,'27'!$I$7:$I$100,1)+SUMIFS('27a'!$N$7:$N$100,'27a'!$H$7:$H$100,$A302,'27a'!$I$7:$I$100,1)+SUMIFS('28'!$N$7:$N$100,'28'!$H$7:$H$100,$A302,'28'!$I$7:$I$100,1)+SUMIFS('29'!$N$7:$N$100,'29'!$H$7:$H$100,$A302,'29'!$I$7:$I$100,1)</f>
        <v>0</v>
      </c>
      <c r="D302" s="1315">
        <f>SUMIFS('12'!$N$7:$N$100,'12'!$H$7:$H$100,$A302,'12'!$I$7:$I$100,2)+SUMIFS('13'!$N$7:$N$100,'13'!$H$7:$H$100,$A302,'13'!$I$7:$I$100,2)+SUMIFS('14'!$N$7:$N$100,'14'!$H$7:$H$100,$A302,'14'!$I$7:$I$100,2)+SUMIFS('15'!$N$7:$N$100,'15'!$H$7:$H$100,$A302,'15'!$I$7:$I$100,2)+SUMIFS('15a'!$N$7:$N$100,'15a'!$H$7:$H$100,$A302,'15a'!$I$7:$I$100,2)+SUMIFS('15b'!$N$7:$N$100,'15b'!$H$7:$H$100,$A302,'15b'!$I$7:$I$100,2)+SUMIFS('15c'!$N$7:$N$100,'15c'!$H$7:$H$100,$A302,'15c'!$I$7:$I$100,2)+SUMIFS('15d'!$N$7:$N$100,'15d'!$H$7:$H$100,$A302,'15d'!$I$7:$I$100,2)+SUMIFS('15e'!$N$7:$N$100,'15e'!$H$7:$H$100,$A302,'15e'!$I$7:$I$100,2)+SUMIFS('15f'!$N$7:$N$100,'15f'!$H$7:$H$100,$A302,'15f'!$I$7:$I$100,2)+SUMIFS('15g'!$N$7:$N$100,'15g'!$H$7:$H$100,$A302,'15g'!$I$7:$I$100,2)+SUMIFS('15h'!$N$7:$N$100,'15h'!$H$7:$H$100,$A302,'15h'!$I$7:$I$100,2)+SUMIFS('15i'!$N$7:$N$100,'15i'!$H$7:$H$100,$A302,'15i'!$I$7:$I$100,2)+SUMIFS('15j'!$N$7:$N$100,'15j'!$H$7:$H$100,$A302,'15j'!$I$7:$I$100,2)+SUMIFS('15k'!$N$7:$N$100,'15k'!$H$7:$H$100,$A302,'15k'!$I$7:$I$100,2)+SUMIFS('15l'!$N$7:$N$100,'15l'!$H$7:$H$100,$A302,'15l'!$I$7:$I$100,2)+SUMIFS('15m'!$N$7:$N$100,'15m'!$H$7:$H$100,$A302,'15m'!$I$7:$I$100,2)+SUMIFS('15n'!$N$7:$N$100,'15n'!$H$7:$H$100,$A302,'15n'!$I$7:$I$100,2)+SUMIFS('16'!$N$7:$N$100,'16'!$H$7:$H$100,$A302,'16'!$I$7:$I$100,2)+SUMIFS('16a'!$N$7:$N$100,'16a'!$H$7:$H$100,$A302,'16a'!$I$7:$I$100,2)+SUMIFS('17'!$N$7:$N$100,'17'!$H$7:$H$100,$A302,'17'!$I$7:$I$100,2)+SUMIFS('17a'!$N$7:$N$100,'17a'!$H$7:$H$100,$A302,'17a'!$I$7:$I$100,2)+SUMIFS('18'!$N$7:$N$100,'18'!$H$7:$H$100,$A302,'18'!$I$7:$I$100,2)+SUMIFS('18a'!$N$7:$N$100,'18a'!$H$7:$H$100,$A302,'18a'!$I$7:$I$100,2)
+SUMIFS('19'!$N$7:$N$100,'19'!$H$7:$H$100,$A302,'19'!$I$7:$I$100,2)+SUMIFS('20'!$N$7:$N$100,'20'!$H$7:$H$100,$A302,'20'!$I$7:$I$100,2)+SUMIFS('20a'!$N$7:$N$100,'20a'!$H$7:$H$100,$A302,'20a'!$I$7:$I$100,2)+SUMIFS('21'!$N$7:$N$100,'21'!$H$7:$H$100,$A302,'21'!$I$7:$I$100,2)+SUMIFS('22'!$N$7:$N$100,'22'!$H$7:$H$100,$A302,'22'!$I$7:$I$100,2)+SUMIFS('22a'!$N$7:$N$100,'22a'!$H$7:$H$100,$A302,'22a'!$I$7:$I$100,2)+SUMIFS('22b'!$N$7:$N$100,'22b'!$H$7:$H$100,$A302,'22b'!$I$7:$I$100,2)+SUMIFS('23'!$N$7:$N$100,'23'!$H$7:$H$100,$A302,'23'!$I$7:$I$100,2)+SUMIFS('24'!$N$7:$N$100,'24'!$H$7:$H$100,$A302,'24'!$I$7:$I$100,2)+SUMIFS('24a'!$N$7:$N$100,'24a'!$H$7:$H$100,$A302,'24a'!$I$7:$I$100,2)+SUMIFS('24b'!$N$7:$N$100,'24b'!$H$7:$H$100,$A302,'24b'!$I$7:$I$100,2)+SUMIFS('24c'!$N$7:$N$100,'24c'!$H$7:$H$100,$A302,'24c'!$I$7:$I$100,2)+SUMIFS('24d'!$N$7:$N$100,'24d'!$H$7:$H$100,$A302,'24d'!$I$7:$I$100,2)+SUMIFS('24e'!$N$7:$N$100,'24e'!$H$7:$H$100,$A302,'24e'!$I$7:$I$100,2)+SUMIFS('24f'!$N$7:$N$100,'24f'!$H$7:$H$100,$A302,'24f'!$I$7:$I$100,2)+SUMIFS('24g'!$N$7:$N$100,'24g'!$H$7:$H$100,$A302,'24g'!$I$7:$I$100,2)+SUMIFS('24h'!$N$7:$N$100,'24h'!$H$7:$H$100,$A302,'24h'!$I$7:$I$100,2)+SUMIFS('24i'!$N$7:$N$100,'24i'!$H$7:$H$100,$A302,'24i'!$I$7:$I$100,2)+SUMIFS('25'!$N$7:$N$100,'25'!$H$7:$H$100,$A302,'25'!$I$7:$I$100,2)+SUMIFS('26'!$N$7:$N$100,'26'!$H$7:$H$100,$A302,'26'!$I$7:$I$100,2)+SUMIFS('26a'!$N$7:$N$100,'26a'!$H$7:$H$100,$A302,'26a'!$I$7:$I$100,2)+SUMIFS('27'!$N$7:$N$100,'27'!$H$7:$H$100,$A302,'27'!$I$7:$I$100,2)+SUMIFS('27a'!$N$7:$N$100,'27a'!$H$7:$H$100,$A302,'27a'!$I$7:$I$100,2)+SUMIFS('28'!$N$7:$N$100,'28'!$H$7:$H$100,$A302,'28'!$I$7:$I$100,2)+SUMIFS('29'!$N$7:$N$100,'29'!$H$7:$H$100,$A302,'29'!$I$7:$I$100,2)</f>
        <v>0</v>
      </c>
      <c r="E302" s="1315">
        <f>SUMIFS('12'!$N$7:$N$100,'12'!$H$7:$H$100,$A302,'12'!$I$7:$I$100,"")+SUMIFS('13'!$N$7:$N$100,'13'!$H$7:$H$100,$A302,'13'!$I$7:$I$100,"")+SUMIFS('14'!$N$7:$N$100,'14'!$H$7:$H$100,$A302,'14'!$I$7:$I$100,"")+SUMIFS('15'!$N$7:$N$100,'15'!$H$7:$H$100,$A302,'15'!$I$7:$I$100,"")+SUMIFS('15a'!$N$7:$N$100,'15a'!$H$7:$H$100,$A302,'15a'!$I$7:$I$100,"")+SUMIFS('15b'!$N$7:$N$100,'15b'!$H$7:$H$100,$A302,'15b'!$I$7:$I$100,"")+SUMIFS('15c'!$N$7:$N$100,'15c'!$H$7:$H$100,$A302,'15c'!$I$7:$I$100,"")+SUMIFS('15d'!$N$7:$N$100,'15d'!$H$7:$H$100,$A302,'15d'!$I$7:$I$100,"")+SUMIFS('15e'!$N$7:$N$100,'15e'!$H$7:$H$100,$A302,'15e'!$I$7:$I$100,"")+SUMIFS('15f'!$N$7:$N$100,'15f'!$H$7:$H$100,$A302,'15f'!$I$7:$I$100,"")+SUMIFS('15g'!$N$7:$N$100,'15g'!$H$7:$H$100,$A302,'15g'!$I$7:$I$100,"")+SUMIFS('15h'!$N$7:$N$100,'15h'!$H$7:$H$100,$A302,'15h'!$I$7:$I$100,"")+SUMIFS('15i'!$N$7:$N$100,'15i'!$H$7:$H$100,$A302,'15i'!$I$7:$I$100,"")+SUMIFS('15j'!$N$7:$N$100,'15j'!$H$7:$H$100,$A302,'15j'!$I$7:$I$100,"")+SUMIFS('15k'!$N$7:$N$100,'15k'!$H$7:$H$100,$A302,'15k'!$I$7:$I$100,"")+SUMIFS('15l'!$N$7:$N$100,'15l'!$H$7:$H$100,$A302,'15l'!$I$7:$I$100,"")+SUMIFS('15m'!$N$7:$N$100,'15m'!$H$7:$H$100,$A302,'15m'!$I$7:$I$100,"")+SUMIFS('15n'!$N$7:$N$100,'15n'!$H$7:$H$100,$A302,'15n'!$I$7:$I$100,"")+SUMIFS('16'!$N$7:$N$100,'16'!$H$7:$H$100,$A302,'16'!$I$7:$I$100,"")+SUMIFS('16a'!$N$7:$N$100,'16a'!$H$7:$H$100,$A302,'16a'!$I$7:$I$100,"")+SUMIFS('17'!$N$7:$N$100,'17'!$H$7:$H$100,$A302,'17'!$I$7:$I$100,"")+SUMIFS('17a'!$N$7:$N$100,'17a'!$H$7:$H$100,$A302,'17a'!$I$7:$I$100,"")+SUMIFS('18'!$N$7:$N$100,'18'!$H$7:$H$100,$A302,'18'!$I$7:$I$100,"")+SUMIFS('18a'!$N$7:$N$100,'18a'!$H$7:$H$100,$A302,'18a'!$I$7:$I$100,"")
+SUMIFS('19'!$N$7:$N$100,'19'!$H$7:$H$100,$A302,'19'!$I$7:$I$100,"")+SUMIFS('20'!$N$7:$N$100,'20'!$H$7:$H$100,$A302,'20'!$I$7:$I$100,"")+SUMIFS('20a'!$N$7:$N$100,'20a'!$H$7:$H$100,$A302,'20a'!$I$7:$I$100,"")+SUMIFS('21'!$N$7:$N$100,'21'!$H$7:$H$100,$A302,'21'!$I$7:$I$100,"")+SUMIFS('22'!$N$7:$N$100,'22'!$H$7:$H$100,$A302,'22'!$I$7:$I$100,"")+SUMIFS('22a'!$N$7:$N$100,'22a'!$H$7:$H$100,$A302,'22a'!$I$7:$I$100,"")+SUMIFS('22b'!$N$7:$N$100,'22b'!$H$7:$H$100,$A302,'22b'!$I$7:$I$100,"")+SUMIFS('23'!$N$7:$N$100,'23'!$H$7:$H$100,$A302,'23'!$I$7:$I$100,"")+SUMIFS('24'!$N$7:$N$100,'24'!$H$7:$H$100,$A302,'24'!$I$7:$I$100,"")+SUMIFS('24a'!$N$7:$N$100,'24a'!$H$7:$H$100,$A302,'24a'!$I$7:$I$100,"")+SUMIFS('24b'!$N$7:$N$100,'24b'!$H$7:$H$100,$A302,'24b'!$I$7:$I$100,"")+SUMIFS('24c'!$N$7:$N$100,'24c'!$H$7:$H$100,$A302,'24c'!$I$7:$I$100,"")+SUMIFS('24d'!$N$7:$N$100,'24d'!$H$7:$H$100,$A302,'24d'!$I$7:$I$100,"")+SUMIFS('24e'!$N$7:$N$100,'24e'!$H$7:$H$100,$A302,'24e'!$I$7:$I$100,"")+SUMIFS('24f'!$N$7:$N$100,'24f'!$H$7:$H$100,$A302,'24f'!$I$7:$I$100,"")+SUMIFS('24g'!$N$7:$N$100,'24g'!$H$7:$H$100,$A302,'24g'!$I$7:$I$100,"")+SUMIFS('24h'!$N$7:$N$100,'24h'!$H$7:$H$100,$A302,'24h'!$I$7:$I$100,"")+SUMIFS('24i'!$N$7:$N$100,'24i'!$H$7:$H$100,$A302,'24i'!$I$7:$I$100,"")+SUMIFS('25'!$N$7:$N$100,'25'!$H$7:$H$100,$A302,'25'!$I$7:$I$100,"")+SUMIFS('26'!$N$7:$N$100,'26'!$H$7:$H$100,$A302,'26'!$I$7:$I$100,"")+SUMIFS('26a'!$N$7:$N$100,'26a'!$H$7:$H$100,$A302,'26a'!$I$7:$I$100,"")+SUMIFS('27'!$N$7:$N$100,'27'!$H$7:$H$100,$A302,'27'!$I$7:$I$100,"")+SUMIFS('27a'!$N$7:$N$100,'27a'!$H$7:$H$100,$A302,'27a'!$I$7:$I$100,"")+SUMIFS('28'!$N$7:$N$100,'28'!$H$7:$H$100,$A302,'28'!$I$7:$I$100,"")+SUMIFS('29'!$N$7:$N$100,'29'!$H$7:$H$100,$A302,'29'!$I$7:$I$100,"")</f>
        <v>0</v>
      </c>
      <c r="F302" s="1296">
        <f t="shared" si="36"/>
        <v>0</v>
      </c>
      <c r="G302" s="1295">
        <f>SUMIFS('12'!$J$7:$J$100,'12'!$H$7:$H$100,$A302,'12'!$I$7:$I$100,1)+SUMIFS('13'!$J$7:$J$100,'13'!$H$7:$H$100,$A302,'13'!$I$7:$I$100,1)+SUMIFS('14'!$J$7:$J$100,'14'!$H$7:$H$100,$A302,'14'!$I$7:$I$100,1)+SUMIFS('15'!$J$7:$J$100,'15'!$H$7:$H$100,$A302,'15'!$I$7:$I$100,1)+SUMIFS('15a'!$J$7:$J$100,'15a'!$H$7:$H$100,$A302,'15a'!$I$7:$I$100,1)+SUMIFS('15b'!$J$7:$J$100,'15b'!$H$7:$H$100,$A302,'15b'!$I$7:$I$100,1)+SUMIFS('15c'!$J$7:$J$100,'15c'!$H$7:$H$100,$A302,'15c'!$I$7:$I$100,1)+SUMIFS('15d'!$J$7:$J$100,'15d'!$H$7:$H$100,$A302,'15d'!$I$7:$I$100,1)+SUMIFS('15e'!$J$7:$J$100,'15e'!$H$7:$H$100,$A302,'15e'!$I$7:$I$100,1)+SUMIFS('15f'!$J$7:$J$100,'15f'!$H$7:$H$100,$A302,'15f'!$I$7:$I$100,1)+SUMIFS('15g'!$J$7:$J$100,'15g'!$H$7:$H$100,$A302,'15g'!$I$7:$I$100,1)+SUMIFS('15h'!$J$7:$J$100,'15h'!$H$7:$H$100,$A302,'15h'!$I$7:$I$100,1)+SUMIFS('15i'!$J$7:$J$100,'15i'!$H$7:$H$100,$A302,'15i'!$I$7:$I$100,1)+SUMIFS('15j'!$J$7:$J$100,'15j'!$H$7:$H$100,$A302,'15j'!$I$7:$I$100,1)+SUMIFS('15k'!$J$7:$J$100,'15k'!$H$7:$H$100,$A302,'15k'!$I$7:$I$100,1)+SUMIFS('15l'!$J$7:$J$100,'15l'!$H$7:$H$100,$A302,'15l'!$I$7:$I$100,1)+SUMIFS('15m'!$J$7:$J$100,'15m'!$H$7:$H$100,$A302,'15m'!$I$7:$I$100,1)+SUMIFS('15n'!$J$7:$J$100,'15n'!$H$7:$H$100,$A302,'15n'!$I$7:$I$100,1)+SUMIFS('16'!$J$7:$J$100,'16'!$H$7:$H$100,$A302,'16'!$I$7:$I$100,1)+SUMIFS('16a'!$J$7:$J$100,'16a'!$H$7:$H$100,$A302,'16a'!$I$7:$I$100,1)+SUMIFS('17'!$J$7:$J$100,'17'!$H$7:$H$100,$A302,'17'!$I$7:$I$100,1)+SUMIFS('17a'!$J$7:$J$100,'17a'!$H$7:$H$100,$A302,'17a'!$I$7:$I$100,1)+SUMIFS('18'!$J$7:$J$100,'18'!$H$7:$H$100,$A302,'18'!$I$7:$I$100,1)+SUMIFS('18a'!$J$7:$J$100,'18a'!$H$7:$H$100,$A302,'18a'!$I$7:$I$100,1)
+SUMIFS('19'!$J$7:$J$100,'19'!$H$7:$H$100,$A302,'19'!$I$7:$I$100,1)+SUMIFS('20'!$J$7:$J$100,'20'!$H$7:$H$100,$A302,'20'!$I$7:$I$100,1)+SUMIFS('20a'!$J$7:$J$100,'20a'!$H$7:$H$100,$A302,'20a'!$I$7:$I$100,1)+SUMIFS('21'!$J$7:$J$100,'21'!$H$7:$H$100,$A302,'21'!$I$7:$I$100,1)+SUMIFS('22'!$J$7:$J$100,'22'!$H$7:$H$100,$A302,'22'!$I$7:$I$100,1)+SUMIFS('22a'!$J$7:$J$100,'22a'!$H$7:$H$100,$A302,'22a'!$I$7:$I$100,1)+SUMIFS('22b'!$J$7:$J$100,'22b'!$H$7:$H$100,$A302,'22b'!$I$7:$I$100,1)+SUMIFS('23'!$J$7:$J$100,'23'!$H$7:$H$100,$A302,'23'!$I$7:$I$100,1)+SUMIFS('24'!$J$7:$J$100,'24'!$H$7:$H$100,$A302,'24'!$I$7:$I$100,1)+SUMIFS('24a'!$J$7:$J$100,'24a'!$H$7:$H$100,$A302,'24a'!$I$7:$I$100,1)+SUMIFS('24b'!$J$7:$J$100,'24b'!$H$7:$H$100,$A302,'24b'!$I$7:$I$100,1)+SUMIFS('24c'!$J$7:$J$100,'24c'!$H$7:$H$100,$A302,'24c'!$I$7:$I$100,1)+SUMIFS('24d'!$J$7:$J$100,'24d'!$H$7:$H$100,$A302,'24d'!$I$7:$I$100,1)+SUMIFS('24e'!$J$7:$J$100,'24e'!$H$7:$H$100,$A302,'24e'!$I$7:$I$100,1)+SUMIFS('24f'!$J$7:$J$100,'24f'!$H$7:$H$100,$A302,'24f'!$I$7:$I$100,1)+SUMIFS('24g'!$J$7:$J$100,'24g'!$H$7:$H$100,$A302,'24g'!$I$7:$I$100,1)+SUMIFS('24h'!$J$7:$J$100,'24h'!$H$7:$H$100,$A302,'24h'!$I$7:$I$100,1)+SUMIFS('24i'!$J$7:$J$100,'24i'!$H$7:$H$100,$A302,'24i'!$I$7:$I$100,1)+SUMIFS('25'!$J$7:$J$100,'25'!$H$7:$H$100,$A302,'25'!$I$7:$I$100,1)+SUMIFS('26'!$J$7:$J$100,'26'!$H$7:$H$100,$A302,'26'!$I$7:$I$100,1)+SUMIFS('26a'!$J$7:$J$100,'26a'!$H$7:$H$100,$A302,'26a'!$I$7:$I$100,1)+SUMIFS('27'!$J$7:$J$100,'27'!$H$7:$H$100,$A302,'27'!$I$7:$I$100,1)+SUMIFS('27a'!$J$7:$J$100,'27a'!$H$7:$H$100,$A302,'27a'!$I$7:$I$100,1)+SUMIFS('28'!$J$7:$J$100,'28'!$H$7:$H$100,$A302,'28'!$I$7:$I$100,1)+SUMIFS('29'!$J$7:$J$100,'29'!$H$7:$H$100,$A302,'29'!$I$7:$I$100,1)</f>
        <v>0</v>
      </c>
      <c r="H302" s="1315">
        <f>SUMIFS('12'!$J$7:$J$100,'12'!$H$7:$H$100,$A302,'12'!$I$7:$I$100,2)+SUMIFS('13'!$J$7:$J$100,'13'!$H$7:$H$100,$A302,'13'!$I$7:$I$100,2)+SUMIFS('14'!$J$7:$J$100,'14'!$H$7:$H$100,$A302,'14'!$I$7:$I$100,2)+SUMIFS('15'!$J$7:$J$100,'15'!$H$7:$H$100,$A302,'15'!$I$7:$I$100,2)+SUMIFS('15a'!$J$7:$J$100,'15a'!$H$7:$H$100,$A302,'15a'!$I$7:$I$100,2)+SUMIFS('15b'!$J$7:$J$100,'15b'!$H$7:$H$100,$A302,'15b'!$I$7:$I$100,2)+SUMIFS('15c'!$J$7:$J$100,'15c'!$H$7:$H$100,$A302,'15c'!$I$7:$I$100,2)+SUMIFS('15d'!$J$7:$J$100,'15d'!$H$7:$H$100,$A302,'15d'!$I$7:$I$100,2)+SUMIFS('15e'!$J$7:$J$100,'15e'!$H$7:$H$100,$A302,'15e'!$I$7:$I$100,2)+SUMIFS('15f'!$J$7:$J$100,'15f'!$H$7:$H$100,$A302,'15f'!$I$7:$I$100,2)+SUMIFS('15g'!$J$7:$J$100,'15g'!$H$7:$H$100,$A302,'15g'!$I$7:$I$100,2)+SUMIFS('15h'!$J$7:$J$100,'15h'!$H$7:$H$100,$A302,'15h'!$I$7:$I$100,2)+SUMIFS('15i'!$J$7:$J$100,'15i'!$H$7:$H$100,$A302,'15i'!$I$7:$I$100,2)+SUMIFS('15j'!$J$7:$J$100,'15j'!$H$7:$H$100,$A302,'15j'!$I$7:$I$100,2)+SUMIFS('15k'!$J$7:$J$100,'15k'!$H$7:$H$100,$A302,'15k'!$I$7:$I$100,2)+SUMIFS('15l'!$J$7:$J$100,'15l'!$H$7:$H$100,$A302,'15l'!$I$7:$I$100,2)+SUMIFS('15m'!$J$7:$J$100,'15m'!$H$7:$H$100,$A302,'15m'!$I$7:$I$100,2)+SUMIFS('15n'!$J$7:$J$100,'15n'!$H$7:$H$100,$A302,'15n'!$I$7:$I$100,2)+SUMIFS('16'!$J$7:$J$100,'16'!$H$7:$H$100,$A302,'16'!$I$7:$I$100,2)+SUMIFS('16a'!$J$7:$J$100,'16a'!$H$7:$H$100,$A302,'16a'!$I$7:$I$100,2)+SUMIFS('17'!$J$7:$J$100,'17'!$H$7:$H$100,$A302,'17'!$I$7:$I$100,2)+SUMIFS('17a'!$J$7:$J$100,'17a'!$H$7:$H$100,$A302,'17a'!$I$7:$I$100,2)+SUMIFS('18'!$J$7:$J$100,'18'!$H$7:$H$100,$A302,'18'!$I$7:$I$100,2)+SUMIFS('18a'!$J$7:$J$100,'18a'!$H$7:$H$100,$A302,'18a'!$I$7:$I$100,2)
+SUMIFS('19'!$J$7:$J$100,'19'!$H$7:$H$100,$A302,'19'!$I$7:$I$100,2)+SUMIFS('20'!$J$7:$J$100,'20'!$H$7:$H$100,$A302,'20'!$I$7:$I$100,2)+SUMIFS('20a'!$J$7:$J$100,'20a'!$H$7:$H$100,$A302,'20a'!$I$7:$I$100,2)+SUMIFS('21'!$J$7:$J$100,'21'!$H$7:$H$100,$A302,'21'!$I$7:$I$100,2)+SUMIFS('22'!$J$7:$J$100,'22'!$H$7:$H$100,$A302,'22'!$I$7:$I$100,2)+SUMIFS('22a'!$J$7:$J$100,'22a'!$H$7:$H$100,$A302,'22a'!$I$7:$I$100,2)+SUMIFS('22b'!$J$7:$J$100,'22b'!$H$7:$H$100,$A302,'22b'!$I$7:$I$100,2)+SUMIFS('23'!$J$7:$J$100,'23'!$H$7:$H$100,$A302,'23'!$I$7:$I$100,2)+SUMIFS('24'!$J$7:$J$100,'24'!$H$7:$H$100,$A302,'24'!$I$7:$I$100,2)+SUMIFS('24a'!$J$7:$J$100,'24a'!$H$7:$H$100,$A302,'24a'!$I$7:$I$100,2)+SUMIFS('24b'!$J$7:$J$100,'24b'!$H$7:$H$100,$A302,'24b'!$I$7:$I$100,2)+SUMIFS('24c'!$J$7:$J$100,'24c'!$H$7:$H$100,$A302,'24c'!$I$7:$I$100,2)+SUMIFS('24d'!$J$7:$J$100,'24d'!$H$7:$H$100,$A302,'24d'!$I$7:$I$100,2)+SUMIFS('24e'!$J$7:$J$100,'24e'!$H$7:$H$100,$A302,'24e'!$I$7:$I$100,2)+SUMIFS('24f'!$J$7:$J$100,'24f'!$H$7:$H$100,$A302,'24f'!$I$7:$I$100,2)+SUMIFS('24g'!$J$7:$J$100,'24g'!$H$7:$H$100,$A302,'24g'!$I$7:$I$100,2)+SUMIFS('24h'!$J$7:$J$100,'24h'!$H$7:$H$100,$A302,'24h'!$I$7:$I$100,2)+SUMIFS('24i'!$J$7:$J$100,'24i'!$H$7:$H$100,$A302,'24i'!$I$7:$I$100,2)+SUMIFS('25'!$J$7:$J$100,'25'!$H$7:$H$100,$A302,'25'!$I$7:$I$100,2)+SUMIFS('26'!$J$7:$J$100,'26'!$H$7:$H$100,$A302,'26'!$I$7:$I$100,2)+SUMIFS('26a'!$J$7:$J$100,'26a'!$H$7:$H$100,$A302,'26a'!$I$7:$I$100,2)+SUMIFS('27'!$J$7:$J$100,'27'!$H$7:$H$100,$A302,'27'!$I$7:$I$100,2)+SUMIFS('27a'!$J$7:$J$100,'27a'!$H$7:$H$100,$A302,'27a'!$I$7:$I$100,2)+SUMIFS('28'!$J$7:$J$100,'28'!$H$7:$H$100,$A302,'28'!$I$7:$I$100,2)+SUMIFS('29'!$J$7:$J$100,'29'!$H$7:$H$100,$A302,'29'!$I$7:$I$100,2)</f>
        <v>0</v>
      </c>
      <c r="I302" s="1315">
        <f>SUMIFS('12'!$J$7:$J$100,'12'!$H$7:$H$100,$A302,'12'!$I$7:$I$100,"")+SUMIFS('13'!$J$7:$J$100,'13'!$H$7:$H$100,$A302,'13'!$I$7:$I$100,"")+SUMIFS('14'!$J$7:$J$100,'14'!$H$7:$H$100,$A302,'14'!$I$7:$I$100,"")+SUMIFS('15'!$J$7:$J$100,'15'!$H$7:$H$100,$A302,'15'!$I$7:$I$100,"")+SUMIFS('15a'!$J$7:$J$100,'15a'!$H$7:$H$100,$A302,'15a'!$I$7:$I$100,"")+SUMIFS('15b'!$J$7:$J$100,'15b'!$H$7:$H$100,$A302,'15b'!$I$7:$I$100,"")+SUMIFS('15c'!$J$7:$J$100,'15c'!$H$7:$H$100,$A302,'15c'!$I$7:$I$100,"")+SUMIFS('15d'!$J$7:$J$100,'15d'!$H$7:$H$100,$A302,'15d'!$I$7:$I$100,"")+SUMIFS('15e'!$J$7:$J$100,'15e'!$H$7:$H$100,$A302,'15e'!$I$7:$I$100,"")+SUMIFS('15f'!$J$7:$J$100,'15f'!$H$7:$H$100,$A302,'15f'!$I$7:$I$100,"")+SUMIFS('15g'!$J$7:$J$100,'15g'!$H$7:$H$100,$A302,'15g'!$I$7:$I$100,"")+SUMIFS('15h'!$J$7:$J$100,'15h'!$H$7:$H$100,$A302,'15h'!$I$7:$I$100,"")+SUMIFS('15i'!$J$7:$J$100,'15i'!$H$7:$H$100,$A302,'15i'!$I$7:$I$100,"")+SUMIFS('15j'!$J$7:$J$100,'15j'!$H$7:$H$100,$A302,'15j'!$I$7:$I$100,"")+SUMIFS('15k'!$J$7:$J$100,'15k'!$H$7:$H$100,$A302,'15k'!$I$7:$I$100,"")+SUMIFS('15l'!$J$7:$J$100,'15l'!$H$7:$H$100,$A302,'15l'!$I$7:$I$100,"")+SUMIFS('15m'!$J$7:$J$100,'15m'!$H$7:$H$100,$A302,'15m'!$I$7:$I$100,"")+SUMIFS('15n'!$J$7:$J$100,'15n'!$H$7:$H$100,$A302,'15n'!$I$7:$I$100,"")+SUMIFS('16'!$J$7:$J$100,'16'!$H$7:$H$100,$A302,'16'!$I$7:$I$100,"")+SUMIFS('16a'!$J$7:$J$100,'16a'!$H$7:$H$100,$A302,'16a'!$I$7:$I$100,"")+SUMIFS('17'!$J$7:$J$100,'17'!$H$7:$H$100,$A302,'17'!$I$7:$I$100,"")+SUMIFS('17a'!$J$7:$J$100,'17a'!$H$7:$H$100,$A302,'17a'!$I$7:$I$100,"")+SUMIFS('18'!$J$7:$J$100,'18'!$H$7:$H$100,$A302,'18'!$I$7:$I$100,"")+SUMIFS('18a'!$J$7:$J$100,'18a'!$H$7:$H$100,$A302,'18a'!$I$7:$I$100,"")
+SUMIFS('19'!$J$7:$J$100,'19'!$H$7:$H$100,$A302,'19'!$I$7:$I$100,"")+SUMIFS('20'!$J$7:$J$100,'20'!$H$7:$H$100,$A302,'20'!$I$7:$I$100,"")+SUMIFS('20a'!$J$7:$J$100,'20a'!$H$7:$H$100,$A302,'20a'!$I$7:$I$100,"")+SUMIFS('21'!$J$7:$J$100,'21'!$H$7:$H$100,$A302,'21'!$I$7:$I$100,"")+SUMIFS('22'!$J$7:$J$100,'22'!$H$7:$H$100,$A302,'22'!$I$7:$I$100,"")+SUMIFS('22a'!$J$7:$J$100,'22a'!$H$7:$H$100,$A302,'22a'!$I$7:$I$100,"")+SUMIFS('22b'!$J$7:$J$100,'22b'!$H$7:$H$100,$A302,'22b'!$I$7:$I$100,"")+SUMIFS('23'!$J$7:$J$100,'23'!$H$7:$H$100,$A302,'23'!$I$7:$I$100,"")+SUMIFS('24'!$J$7:$J$100,'24'!$H$7:$H$100,$A302,'24'!$I$7:$I$100,"")+SUMIFS('24a'!$J$7:$J$100,'24a'!$H$7:$H$100,$A302,'24a'!$I$7:$I$100,"")+SUMIFS('24b'!$J$7:$J$100,'24b'!$H$7:$H$100,$A302,'24b'!$I$7:$I$100,"")+SUMIFS('24c'!$J$7:$J$100,'24c'!$H$7:$H$100,$A302,'24c'!$I$7:$I$100,"")+SUMIFS('24d'!$J$7:$J$100,'24d'!$H$7:$H$100,$A302,'24d'!$I$7:$I$100,"")+SUMIFS('24e'!$J$7:$J$100,'24e'!$H$7:$H$100,$A302,'24e'!$I$7:$I$100,"")+SUMIFS('24f'!$J$7:$J$100,'24f'!$H$7:$H$100,$A302,'24f'!$I$7:$I$100,"")+SUMIFS('24g'!$J$7:$J$100,'24g'!$H$7:$H$100,$A302,'24g'!$I$7:$I$100,"")+SUMIFS('24h'!$J$7:$J$100,'24h'!$H$7:$H$100,$A302,'24h'!$I$7:$I$100,"")+SUMIFS('24i'!$J$7:$J$100,'24i'!$H$7:$H$100,$A302,'24i'!$I$7:$I$100,"")+SUMIFS('25'!$J$7:$J$100,'25'!$H$7:$H$100,$A302,'25'!$I$7:$I$100,"")+SUMIFS('26'!$J$7:$J$100,'26'!$H$7:$H$100,$A302,'26'!$I$7:$I$100,"")+SUMIFS('26a'!$J$7:$J$100,'26a'!$H$7:$H$100,$A302,'26a'!$I$7:$I$100,"")+SUMIFS('27'!$J$7:$J$100,'27'!$H$7:$H$100,$A302,'27'!$I$7:$I$100,"")+SUMIFS('27a'!$J$7:$J$100,'27a'!$H$7:$H$100,$A302,'27a'!$I$7:$I$100,"")+SUMIFS('28'!$J$7:$J$100,'28'!$H$7:$H$100,$A302,'28'!$I$7:$I$100,"")+SUMIFS('29'!$J$7:$J$100,'29'!$H$7:$H$100,$A302,'29'!$I$7:$I$100,"")</f>
        <v>0</v>
      </c>
      <c r="J302" s="1296">
        <f t="shared" si="37"/>
        <v>0</v>
      </c>
      <c r="K302"/>
      <c r="L302"/>
      <c r="M302"/>
      <c r="N302"/>
      <c r="O302"/>
      <c r="P302"/>
      <c r="Q302"/>
      <c r="R302"/>
      <c r="S302" s="1307">
        <f t="shared" si="30"/>
        <v>0</v>
      </c>
      <c r="T302"/>
    </row>
    <row r="303" spans="1:20" x14ac:dyDescent="0.2">
      <c r="A303" t="s">
        <v>556</v>
      </c>
      <c r="B303" t="s">
        <v>279</v>
      </c>
      <c r="C303" s="1295">
        <f>SUMIFS('12'!$N$7:$N$100,'12'!$H$7:$H$100,$A303,'12'!$I$7:$I$100,1)+SUMIFS('13'!$N$7:$N$100,'13'!$H$7:$H$100,$A303,'13'!$I$7:$I$100,1)+SUMIFS('14'!$N$7:$N$100,'14'!$H$7:$H$100,$A303,'14'!$I$7:$I$100,1)+SUMIFS('15'!$N$7:$N$100,'15'!$H$7:$H$100,$A303,'15'!$I$7:$I$100,1)+SUMIFS('15a'!$N$7:$N$100,'15a'!$H$7:$H$100,$A303,'15a'!$I$7:$I$100,1)+SUMIFS('15b'!$N$7:$N$100,'15b'!$H$7:$H$100,$A303,'15b'!$I$7:$I$100,1)+SUMIFS('15c'!$N$7:$N$100,'15c'!$H$7:$H$100,$A303,'15c'!$I$7:$I$100,1)+SUMIFS('15d'!$N$7:$N$100,'15d'!$H$7:$H$100,$A303,'15d'!$I$7:$I$100,1)+SUMIFS('15e'!$N$7:$N$100,'15e'!$H$7:$H$100,$A303,'15e'!$I$7:$I$100,1)+SUMIFS('15f'!$N$7:$N$100,'15f'!$H$7:$H$100,$A303,'15f'!$I$7:$I$100,1)+SUMIFS('15g'!$N$7:$N$100,'15g'!$H$7:$H$100,$A303,'15g'!$I$7:$I$100,1)+SUMIFS('15h'!$N$7:$N$100,'15h'!$H$7:$H$100,$A303,'15h'!$I$7:$I$100,1)+SUMIFS('15i'!$N$7:$N$100,'15i'!$H$7:$H$100,$A303,'15i'!$I$7:$I$100,1)+SUMIFS('15j'!$N$7:$N$100,'15j'!$H$7:$H$100,$A303,'15j'!$I$7:$I$100,1)+SUMIFS('15k'!$N$7:$N$100,'15k'!$H$7:$H$100,$A303,'15k'!$I$7:$I$100,1)+SUMIFS('15l'!$N$7:$N$100,'15l'!$H$7:$H$100,$A303,'15l'!$I$7:$I$100,1)+SUMIFS('15m'!$N$7:$N$100,'15m'!$H$7:$H$100,$A303,'15m'!$I$7:$I$100,1)+SUMIFS('15n'!$N$7:$N$100,'15n'!$H$7:$H$100,$A303,'15n'!$I$7:$I$100,1)+SUMIFS('16'!$N$7:$N$100,'16'!$H$7:$H$100,$A303,'16'!$I$7:$I$100,1)+SUMIFS('16a'!$N$7:$N$100,'16a'!$H$7:$H$100,$A303,'16a'!$I$7:$I$100,1)+SUMIFS('17'!$N$7:$N$100,'17'!$H$7:$H$100,$A303,'17'!$I$7:$I$100,1)+SUMIFS('17a'!$N$7:$N$100,'17a'!$H$7:$H$100,$A303,'17a'!$I$7:$I$100,1)+SUMIFS('18'!$N$7:$N$100,'18'!$H$7:$H$100,$A303,'18'!$I$7:$I$100,1)+SUMIFS('18a'!$N$7:$N$100,'18a'!$H$7:$H$100,$A303,'18a'!$I$7:$I$100,1)
+SUMIFS('19'!$N$7:$N$100,'19'!$H$7:$H$100,$A303,'19'!$I$7:$I$100,1)+SUMIFS('20'!$N$7:$N$100,'20'!$H$7:$H$100,$A303,'20'!$I$7:$I$100,1)+SUMIFS('20a'!$N$7:$N$100,'20a'!$H$7:$H$100,$A303,'20a'!$I$7:$I$100,1)+SUMIFS('21'!$N$7:$N$100,'21'!$H$7:$H$100,$A303,'21'!$I$7:$I$100,1)+SUMIFS('22'!$N$7:$N$100,'22'!$H$7:$H$100,$A303,'22'!$I$7:$I$100,1)+SUMIFS('22a'!$N$7:$N$100,'22a'!$H$7:$H$100,$A303,'22a'!$I$7:$I$100,1)+SUMIFS('22b'!$N$7:$N$100,'22b'!$H$7:$H$100,$A303,'22b'!$I$7:$I$100,1)+SUMIFS('23'!$N$7:$N$100,'23'!$H$7:$H$100,$A303,'23'!$I$7:$I$100,1)+SUMIFS('24'!$N$7:$N$100,'24'!$H$7:$H$100,$A303,'24'!$I$7:$I$100,1)+SUMIFS('24a'!$N$7:$N$100,'24a'!$H$7:$H$100,$A303,'24a'!$I$7:$I$100,1)+SUMIFS('24b'!$N$7:$N$100,'24b'!$H$7:$H$100,$A303,'24b'!$I$7:$I$100,1)+SUMIFS('24c'!$N$7:$N$100,'24c'!$H$7:$H$100,$A303,'24c'!$I$7:$I$100,1)+SUMIFS('24d'!$N$7:$N$100,'24d'!$H$7:$H$100,$A303,'24d'!$I$7:$I$100,1)+SUMIFS('24e'!$N$7:$N$100,'24e'!$H$7:$H$100,$A303,'24e'!$I$7:$I$100,1)+SUMIFS('24f'!$N$7:$N$100,'24f'!$H$7:$H$100,$A303,'24f'!$I$7:$I$100,1)+SUMIFS('24g'!$N$7:$N$100,'24g'!$H$7:$H$100,$A303,'24g'!$I$7:$I$100,1)+SUMIFS('24h'!$N$7:$N$100,'24h'!$H$7:$H$100,$A303,'24h'!$I$7:$I$100,1)+SUMIFS('24i'!$N$7:$N$100,'24i'!$H$7:$H$100,$A303,'24i'!$I$7:$I$100,1)+SUMIFS('25'!$N$7:$N$100,'25'!$H$7:$H$100,$A303,'25'!$I$7:$I$100,1)+SUMIFS('26'!$N$7:$N$100,'26'!$H$7:$H$100,$A303,'26'!$I$7:$I$100,1)+SUMIFS('26a'!$N$7:$N$100,'26a'!$H$7:$H$100,$A303,'26a'!$I$7:$I$100,1)+SUMIFS('27'!$N$7:$N$100,'27'!$H$7:$H$100,$A303,'27'!$I$7:$I$100,1)+SUMIFS('27a'!$N$7:$N$100,'27a'!$H$7:$H$100,$A303,'27a'!$I$7:$I$100,1)+SUMIFS('28'!$N$7:$N$100,'28'!$H$7:$H$100,$A303,'28'!$I$7:$I$100,1)+SUMIFS('29'!$N$7:$N$100,'29'!$H$7:$H$100,$A303,'29'!$I$7:$I$100,1)</f>
        <v>0</v>
      </c>
      <c r="D303" s="1315">
        <f>SUMIFS('12'!$N$7:$N$100,'12'!$H$7:$H$100,$A303,'12'!$I$7:$I$100,2)+SUMIFS('13'!$N$7:$N$100,'13'!$H$7:$H$100,$A303,'13'!$I$7:$I$100,2)+SUMIFS('14'!$N$7:$N$100,'14'!$H$7:$H$100,$A303,'14'!$I$7:$I$100,2)+SUMIFS('15'!$N$7:$N$100,'15'!$H$7:$H$100,$A303,'15'!$I$7:$I$100,2)+SUMIFS('15a'!$N$7:$N$100,'15a'!$H$7:$H$100,$A303,'15a'!$I$7:$I$100,2)+SUMIFS('15b'!$N$7:$N$100,'15b'!$H$7:$H$100,$A303,'15b'!$I$7:$I$100,2)+SUMIFS('15c'!$N$7:$N$100,'15c'!$H$7:$H$100,$A303,'15c'!$I$7:$I$100,2)+SUMIFS('15d'!$N$7:$N$100,'15d'!$H$7:$H$100,$A303,'15d'!$I$7:$I$100,2)+SUMIFS('15e'!$N$7:$N$100,'15e'!$H$7:$H$100,$A303,'15e'!$I$7:$I$100,2)+SUMIFS('15f'!$N$7:$N$100,'15f'!$H$7:$H$100,$A303,'15f'!$I$7:$I$100,2)+SUMIFS('15g'!$N$7:$N$100,'15g'!$H$7:$H$100,$A303,'15g'!$I$7:$I$100,2)+SUMIFS('15h'!$N$7:$N$100,'15h'!$H$7:$H$100,$A303,'15h'!$I$7:$I$100,2)+SUMIFS('15i'!$N$7:$N$100,'15i'!$H$7:$H$100,$A303,'15i'!$I$7:$I$100,2)+SUMIFS('15j'!$N$7:$N$100,'15j'!$H$7:$H$100,$A303,'15j'!$I$7:$I$100,2)+SUMIFS('15k'!$N$7:$N$100,'15k'!$H$7:$H$100,$A303,'15k'!$I$7:$I$100,2)+SUMIFS('15l'!$N$7:$N$100,'15l'!$H$7:$H$100,$A303,'15l'!$I$7:$I$100,2)+SUMIFS('15m'!$N$7:$N$100,'15m'!$H$7:$H$100,$A303,'15m'!$I$7:$I$100,2)+SUMIFS('15n'!$N$7:$N$100,'15n'!$H$7:$H$100,$A303,'15n'!$I$7:$I$100,2)+SUMIFS('16'!$N$7:$N$100,'16'!$H$7:$H$100,$A303,'16'!$I$7:$I$100,2)+SUMIFS('16a'!$N$7:$N$100,'16a'!$H$7:$H$100,$A303,'16a'!$I$7:$I$100,2)+SUMIFS('17'!$N$7:$N$100,'17'!$H$7:$H$100,$A303,'17'!$I$7:$I$100,2)+SUMIFS('17a'!$N$7:$N$100,'17a'!$H$7:$H$100,$A303,'17a'!$I$7:$I$100,2)+SUMIFS('18'!$N$7:$N$100,'18'!$H$7:$H$100,$A303,'18'!$I$7:$I$100,2)+SUMIFS('18a'!$N$7:$N$100,'18a'!$H$7:$H$100,$A303,'18a'!$I$7:$I$100,2)
+SUMIFS('19'!$N$7:$N$100,'19'!$H$7:$H$100,$A303,'19'!$I$7:$I$100,2)+SUMIFS('20'!$N$7:$N$100,'20'!$H$7:$H$100,$A303,'20'!$I$7:$I$100,2)+SUMIFS('20a'!$N$7:$N$100,'20a'!$H$7:$H$100,$A303,'20a'!$I$7:$I$100,2)+SUMIFS('21'!$N$7:$N$100,'21'!$H$7:$H$100,$A303,'21'!$I$7:$I$100,2)+SUMIFS('22'!$N$7:$N$100,'22'!$H$7:$H$100,$A303,'22'!$I$7:$I$100,2)+SUMIFS('22a'!$N$7:$N$100,'22a'!$H$7:$H$100,$A303,'22a'!$I$7:$I$100,2)+SUMIFS('22b'!$N$7:$N$100,'22b'!$H$7:$H$100,$A303,'22b'!$I$7:$I$100,2)+SUMIFS('23'!$N$7:$N$100,'23'!$H$7:$H$100,$A303,'23'!$I$7:$I$100,2)+SUMIFS('24'!$N$7:$N$100,'24'!$H$7:$H$100,$A303,'24'!$I$7:$I$100,2)+SUMIFS('24a'!$N$7:$N$100,'24a'!$H$7:$H$100,$A303,'24a'!$I$7:$I$100,2)+SUMIFS('24b'!$N$7:$N$100,'24b'!$H$7:$H$100,$A303,'24b'!$I$7:$I$100,2)+SUMIFS('24c'!$N$7:$N$100,'24c'!$H$7:$H$100,$A303,'24c'!$I$7:$I$100,2)+SUMIFS('24d'!$N$7:$N$100,'24d'!$H$7:$H$100,$A303,'24d'!$I$7:$I$100,2)+SUMIFS('24e'!$N$7:$N$100,'24e'!$H$7:$H$100,$A303,'24e'!$I$7:$I$100,2)+SUMIFS('24f'!$N$7:$N$100,'24f'!$H$7:$H$100,$A303,'24f'!$I$7:$I$100,2)+SUMIFS('24g'!$N$7:$N$100,'24g'!$H$7:$H$100,$A303,'24g'!$I$7:$I$100,2)+SUMIFS('24h'!$N$7:$N$100,'24h'!$H$7:$H$100,$A303,'24h'!$I$7:$I$100,2)+SUMIFS('24i'!$N$7:$N$100,'24i'!$H$7:$H$100,$A303,'24i'!$I$7:$I$100,2)+SUMIFS('25'!$N$7:$N$100,'25'!$H$7:$H$100,$A303,'25'!$I$7:$I$100,2)+SUMIFS('26'!$N$7:$N$100,'26'!$H$7:$H$100,$A303,'26'!$I$7:$I$100,2)+SUMIFS('26a'!$N$7:$N$100,'26a'!$H$7:$H$100,$A303,'26a'!$I$7:$I$100,2)+SUMIFS('27'!$N$7:$N$100,'27'!$H$7:$H$100,$A303,'27'!$I$7:$I$100,2)+SUMIFS('27a'!$N$7:$N$100,'27a'!$H$7:$H$100,$A303,'27a'!$I$7:$I$100,2)+SUMIFS('28'!$N$7:$N$100,'28'!$H$7:$H$100,$A303,'28'!$I$7:$I$100,2)+SUMIFS('29'!$N$7:$N$100,'29'!$H$7:$H$100,$A303,'29'!$I$7:$I$100,2)</f>
        <v>0</v>
      </c>
      <c r="E303" s="1315">
        <f>SUMIFS('12'!$N$7:$N$100,'12'!$H$7:$H$100,$A303,'12'!$I$7:$I$100,"")+SUMIFS('13'!$N$7:$N$100,'13'!$H$7:$H$100,$A303,'13'!$I$7:$I$100,"")+SUMIFS('14'!$N$7:$N$100,'14'!$H$7:$H$100,$A303,'14'!$I$7:$I$100,"")+SUMIFS('15'!$N$7:$N$100,'15'!$H$7:$H$100,$A303,'15'!$I$7:$I$100,"")+SUMIFS('15a'!$N$7:$N$100,'15a'!$H$7:$H$100,$A303,'15a'!$I$7:$I$100,"")+SUMIFS('15b'!$N$7:$N$100,'15b'!$H$7:$H$100,$A303,'15b'!$I$7:$I$100,"")+SUMIFS('15c'!$N$7:$N$100,'15c'!$H$7:$H$100,$A303,'15c'!$I$7:$I$100,"")+SUMIFS('15d'!$N$7:$N$100,'15d'!$H$7:$H$100,$A303,'15d'!$I$7:$I$100,"")+SUMIFS('15e'!$N$7:$N$100,'15e'!$H$7:$H$100,$A303,'15e'!$I$7:$I$100,"")+SUMIFS('15f'!$N$7:$N$100,'15f'!$H$7:$H$100,$A303,'15f'!$I$7:$I$100,"")+SUMIFS('15g'!$N$7:$N$100,'15g'!$H$7:$H$100,$A303,'15g'!$I$7:$I$100,"")+SUMIFS('15h'!$N$7:$N$100,'15h'!$H$7:$H$100,$A303,'15h'!$I$7:$I$100,"")+SUMIFS('15i'!$N$7:$N$100,'15i'!$H$7:$H$100,$A303,'15i'!$I$7:$I$100,"")+SUMIFS('15j'!$N$7:$N$100,'15j'!$H$7:$H$100,$A303,'15j'!$I$7:$I$100,"")+SUMIFS('15k'!$N$7:$N$100,'15k'!$H$7:$H$100,$A303,'15k'!$I$7:$I$100,"")+SUMIFS('15l'!$N$7:$N$100,'15l'!$H$7:$H$100,$A303,'15l'!$I$7:$I$100,"")+SUMIFS('15m'!$N$7:$N$100,'15m'!$H$7:$H$100,$A303,'15m'!$I$7:$I$100,"")+SUMIFS('15n'!$N$7:$N$100,'15n'!$H$7:$H$100,$A303,'15n'!$I$7:$I$100,"")+SUMIFS('16'!$N$7:$N$100,'16'!$H$7:$H$100,$A303,'16'!$I$7:$I$100,"")+SUMIFS('16a'!$N$7:$N$100,'16a'!$H$7:$H$100,$A303,'16a'!$I$7:$I$100,"")+SUMIFS('17'!$N$7:$N$100,'17'!$H$7:$H$100,$A303,'17'!$I$7:$I$100,"")+SUMIFS('17a'!$N$7:$N$100,'17a'!$H$7:$H$100,$A303,'17a'!$I$7:$I$100,"")+SUMIFS('18'!$N$7:$N$100,'18'!$H$7:$H$100,$A303,'18'!$I$7:$I$100,"")+SUMIFS('18a'!$N$7:$N$100,'18a'!$H$7:$H$100,$A303,'18a'!$I$7:$I$100,"")
+SUMIFS('19'!$N$7:$N$100,'19'!$H$7:$H$100,$A303,'19'!$I$7:$I$100,"")+SUMIFS('20'!$N$7:$N$100,'20'!$H$7:$H$100,$A303,'20'!$I$7:$I$100,"")+SUMIFS('20a'!$N$7:$N$100,'20a'!$H$7:$H$100,$A303,'20a'!$I$7:$I$100,"")+SUMIFS('21'!$N$7:$N$100,'21'!$H$7:$H$100,$A303,'21'!$I$7:$I$100,"")+SUMIFS('22'!$N$7:$N$100,'22'!$H$7:$H$100,$A303,'22'!$I$7:$I$100,"")+SUMIFS('22a'!$N$7:$N$100,'22a'!$H$7:$H$100,$A303,'22a'!$I$7:$I$100,"")+SUMIFS('22b'!$N$7:$N$100,'22b'!$H$7:$H$100,$A303,'22b'!$I$7:$I$100,"")+SUMIFS('23'!$N$7:$N$100,'23'!$H$7:$H$100,$A303,'23'!$I$7:$I$100,"")+SUMIFS('24'!$N$7:$N$100,'24'!$H$7:$H$100,$A303,'24'!$I$7:$I$100,"")+SUMIFS('24a'!$N$7:$N$100,'24a'!$H$7:$H$100,$A303,'24a'!$I$7:$I$100,"")+SUMIFS('24b'!$N$7:$N$100,'24b'!$H$7:$H$100,$A303,'24b'!$I$7:$I$100,"")+SUMIFS('24c'!$N$7:$N$100,'24c'!$H$7:$H$100,$A303,'24c'!$I$7:$I$100,"")+SUMIFS('24d'!$N$7:$N$100,'24d'!$H$7:$H$100,$A303,'24d'!$I$7:$I$100,"")+SUMIFS('24e'!$N$7:$N$100,'24e'!$H$7:$H$100,$A303,'24e'!$I$7:$I$100,"")+SUMIFS('24f'!$N$7:$N$100,'24f'!$H$7:$H$100,$A303,'24f'!$I$7:$I$100,"")+SUMIFS('24g'!$N$7:$N$100,'24g'!$H$7:$H$100,$A303,'24g'!$I$7:$I$100,"")+SUMIFS('24h'!$N$7:$N$100,'24h'!$H$7:$H$100,$A303,'24h'!$I$7:$I$100,"")+SUMIFS('24i'!$N$7:$N$100,'24i'!$H$7:$H$100,$A303,'24i'!$I$7:$I$100,"")+SUMIFS('25'!$N$7:$N$100,'25'!$H$7:$H$100,$A303,'25'!$I$7:$I$100,"")+SUMIFS('26'!$N$7:$N$100,'26'!$H$7:$H$100,$A303,'26'!$I$7:$I$100,"")+SUMIFS('26a'!$N$7:$N$100,'26a'!$H$7:$H$100,$A303,'26a'!$I$7:$I$100,"")+SUMIFS('27'!$N$7:$N$100,'27'!$H$7:$H$100,$A303,'27'!$I$7:$I$100,"")+SUMIFS('27a'!$N$7:$N$100,'27a'!$H$7:$H$100,$A303,'27a'!$I$7:$I$100,"")+SUMIFS('28'!$N$7:$N$100,'28'!$H$7:$H$100,$A303,'28'!$I$7:$I$100,"")+SUMIFS('29'!$N$7:$N$100,'29'!$H$7:$H$100,$A303,'29'!$I$7:$I$100,"")</f>
        <v>0</v>
      </c>
      <c r="F303" s="1296">
        <f t="shared" si="36"/>
        <v>0</v>
      </c>
      <c r="G303" s="1295">
        <f>SUMIFS('12'!$J$7:$J$100,'12'!$H$7:$H$100,$A303,'12'!$I$7:$I$100,1)+SUMIFS('13'!$J$7:$J$100,'13'!$H$7:$H$100,$A303,'13'!$I$7:$I$100,1)+SUMIFS('14'!$J$7:$J$100,'14'!$H$7:$H$100,$A303,'14'!$I$7:$I$100,1)+SUMIFS('15'!$J$7:$J$100,'15'!$H$7:$H$100,$A303,'15'!$I$7:$I$100,1)+SUMIFS('15a'!$J$7:$J$100,'15a'!$H$7:$H$100,$A303,'15a'!$I$7:$I$100,1)+SUMIFS('15b'!$J$7:$J$100,'15b'!$H$7:$H$100,$A303,'15b'!$I$7:$I$100,1)+SUMIFS('15c'!$J$7:$J$100,'15c'!$H$7:$H$100,$A303,'15c'!$I$7:$I$100,1)+SUMIFS('15d'!$J$7:$J$100,'15d'!$H$7:$H$100,$A303,'15d'!$I$7:$I$100,1)+SUMIFS('15e'!$J$7:$J$100,'15e'!$H$7:$H$100,$A303,'15e'!$I$7:$I$100,1)+SUMIFS('15f'!$J$7:$J$100,'15f'!$H$7:$H$100,$A303,'15f'!$I$7:$I$100,1)+SUMIFS('15g'!$J$7:$J$100,'15g'!$H$7:$H$100,$A303,'15g'!$I$7:$I$100,1)+SUMIFS('15h'!$J$7:$J$100,'15h'!$H$7:$H$100,$A303,'15h'!$I$7:$I$100,1)+SUMIFS('15i'!$J$7:$J$100,'15i'!$H$7:$H$100,$A303,'15i'!$I$7:$I$100,1)+SUMIFS('15j'!$J$7:$J$100,'15j'!$H$7:$H$100,$A303,'15j'!$I$7:$I$100,1)+SUMIFS('15k'!$J$7:$J$100,'15k'!$H$7:$H$100,$A303,'15k'!$I$7:$I$100,1)+SUMIFS('15l'!$J$7:$J$100,'15l'!$H$7:$H$100,$A303,'15l'!$I$7:$I$100,1)+SUMIFS('15m'!$J$7:$J$100,'15m'!$H$7:$H$100,$A303,'15m'!$I$7:$I$100,1)+SUMIFS('15n'!$J$7:$J$100,'15n'!$H$7:$H$100,$A303,'15n'!$I$7:$I$100,1)+SUMIFS('16'!$J$7:$J$100,'16'!$H$7:$H$100,$A303,'16'!$I$7:$I$100,1)+SUMIFS('16a'!$J$7:$J$100,'16a'!$H$7:$H$100,$A303,'16a'!$I$7:$I$100,1)+SUMIFS('17'!$J$7:$J$100,'17'!$H$7:$H$100,$A303,'17'!$I$7:$I$100,1)+SUMIFS('17a'!$J$7:$J$100,'17a'!$H$7:$H$100,$A303,'17a'!$I$7:$I$100,1)+SUMIFS('18'!$J$7:$J$100,'18'!$H$7:$H$100,$A303,'18'!$I$7:$I$100,1)+SUMIFS('18a'!$J$7:$J$100,'18a'!$H$7:$H$100,$A303,'18a'!$I$7:$I$100,1)
+SUMIFS('19'!$J$7:$J$100,'19'!$H$7:$H$100,$A303,'19'!$I$7:$I$100,1)+SUMIFS('20'!$J$7:$J$100,'20'!$H$7:$H$100,$A303,'20'!$I$7:$I$100,1)+SUMIFS('20a'!$J$7:$J$100,'20a'!$H$7:$H$100,$A303,'20a'!$I$7:$I$100,1)+SUMIFS('21'!$J$7:$J$100,'21'!$H$7:$H$100,$A303,'21'!$I$7:$I$100,1)+SUMIFS('22'!$J$7:$J$100,'22'!$H$7:$H$100,$A303,'22'!$I$7:$I$100,1)+SUMIFS('22a'!$J$7:$J$100,'22a'!$H$7:$H$100,$A303,'22a'!$I$7:$I$100,1)+SUMIFS('22b'!$J$7:$J$100,'22b'!$H$7:$H$100,$A303,'22b'!$I$7:$I$100,1)+SUMIFS('23'!$J$7:$J$100,'23'!$H$7:$H$100,$A303,'23'!$I$7:$I$100,1)+SUMIFS('24'!$J$7:$J$100,'24'!$H$7:$H$100,$A303,'24'!$I$7:$I$100,1)+SUMIFS('24a'!$J$7:$J$100,'24a'!$H$7:$H$100,$A303,'24a'!$I$7:$I$100,1)+SUMIFS('24b'!$J$7:$J$100,'24b'!$H$7:$H$100,$A303,'24b'!$I$7:$I$100,1)+SUMIFS('24c'!$J$7:$J$100,'24c'!$H$7:$H$100,$A303,'24c'!$I$7:$I$100,1)+SUMIFS('24d'!$J$7:$J$100,'24d'!$H$7:$H$100,$A303,'24d'!$I$7:$I$100,1)+SUMIFS('24e'!$J$7:$J$100,'24e'!$H$7:$H$100,$A303,'24e'!$I$7:$I$100,1)+SUMIFS('24f'!$J$7:$J$100,'24f'!$H$7:$H$100,$A303,'24f'!$I$7:$I$100,1)+SUMIFS('24g'!$J$7:$J$100,'24g'!$H$7:$H$100,$A303,'24g'!$I$7:$I$100,1)+SUMIFS('24h'!$J$7:$J$100,'24h'!$H$7:$H$100,$A303,'24h'!$I$7:$I$100,1)+SUMIFS('24i'!$J$7:$J$100,'24i'!$H$7:$H$100,$A303,'24i'!$I$7:$I$100,1)+SUMIFS('25'!$J$7:$J$100,'25'!$H$7:$H$100,$A303,'25'!$I$7:$I$100,1)+SUMIFS('26'!$J$7:$J$100,'26'!$H$7:$H$100,$A303,'26'!$I$7:$I$100,1)+SUMIFS('26a'!$J$7:$J$100,'26a'!$H$7:$H$100,$A303,'26a'!$I$7:$I$100,1)+SUMIFS('27'!$J$7:$J$100,'27'!$H$7:$H$100,$A303,'27'!$I$7:$I$100,1)+SUMIFS('27a'!$J$7:$J$100,'27a'!$H$7:$H$100,$A303,'27a'!$I$7:$I$100,1)+SUMIFS('28'!$J$7:$J$100,'28'!$H$7:$H$100,$A303,'28'!$I$7:$I$100,1)+SUMIFS('29'!$J$7:$J$100,'29'!$H$7:$H$100,$A303,'29'!$I$7:$I$100,1)</f>
        <v>0</v>
      </c>
      <c r="H303" s="1315">
        <f>SUMIFS('12'!$J$7:$J$100,'12'!$H$7:$H$100,$A303,'12'!$I$7:$I$100,2)+SUMIFS('13'!$J$7:$J$100,'13'!$H$7:$H$100,$A303,'13'!$I$7:$I$100,2)+SUMIFS('14'!$J$7:$J$100,'14'!$H$7:$H$100,$A303,'14'!$I$7:$I$100,2)+SUMIFS('15'!$J$7:$J$100,'15'!$H$7:$H$100,$A303,'15'!$I$7:$I$100,2)+SUMIFS('15a'!$J$7:$J$100,'15a'!$H$7:$H$100,$A303,'15a'!$I$7:$I$100,2)+SUMIFS('15b'!$J$7:$J$100,'15b'!$H$7:$H$100,$A303,'15b'!$I$7:$I$100,2)+SUMIFS('15c'!$J$7:$J$100,'15c'!$H$7:$H$100,$A303,'15c'!$I$7:$I$100,2)+SUMIFS('15d'!$J$7:$J$100,'15d'!$H$7:$H$100,$A303,'15d'!$I$7:$I$100,2)+SUMIFS('15e'!$J$7:$J$100,'15e'!$H$7:$H$100,$A303,'15e'!$I$7:$I$100,2)+SUMIFS('15f'!$J$7:$J$100,'15f'!$H$7:$H$100,$A303,'15f'!$I$7:$I$100,2)+SUMIFS('15g'!$J$7:$J$100,'15g'!$H$7:$H$100,$A303,'15g'!$I$7:$I$100,2)+SUMIFS('15h'!$J$7:$J$100,'15h'!$H$7:$H$100,$A303,'15h'!$I$7:$I$100,2)+SUMIFS('15i'!$J$7:$J$100,'15i'!$H$7:$H$100,$A303,'15i'!$I$7:$I$100,2)+SUMIFS('15j'!$J$7:$J$100,'15j'!$H$7:$H$100,$A303,'15j'!$I$7:$I$100,2)+SUMIFS('15k'!$J$7:$J$100,'15k'!$H$7:$H$100,$A303,'15k'!$I$7:$I$100,2)+SUMIFS('15l'!$J$7:$J$100,'15l'!$H$7:$H$100,$A303,'15l'!$I$7:$I$100,2)+SUMIFS('15m'!$J$7:$J$100,'15m'!$H$7:$H$100,$A303,'15m'!$I$7:$I$100,2)+SUMIFS('15n'!$J$7:$J$100,'15n'!$H$7:$H$100,$A303,'15n'!$I$7:$I$100,2)+SUMIFS('16'!$J$7:$J$100,'16'!$H$7:$H$100,$A303,'16'!$I$7:$I$100,2)+SUMIFS('16a'!$J$7:$J$100,'16a'!$H$7:$H$100,$A303,'16a'!$I$7:$I$100,2)+SUMIFS('17'!$J$7:$J$100,'17'!$H$7:$H$100,$A303,'17'!$I$7:$I$100,2)+SUMIFS('17a'!$J$7:$J$100,'17a'!$H$7:$H$100,$A303,'17a'!$I$7:$I$100,2)+SUMIFS('18'!$J$7:$J$100,'18'!$H$7:$H$100,$A303,'18'!$I$7:$I$100,2)+SUMIFS('18a'!$J$7:$J$100,'18a'!$H$7:$H$100,$A303,'18a'!$I$7:$I$100,2)
+SUMIFS('19'!$J$7:$J$100,'19'!$H$7:$H$100,$A303,'19'!$I$7:$I$100,2)+SUMIFS('20'!$J$7:$J$100,'20'!$H$7:$H$100,$A303,'20'!$I$7:$I$100,2)+SUMIFS('20a'!$J$7:$J$100,'20a'!$H$7:$H$100,$A303,'20a'!$I$7:$I$100,2)+SUMIFS('21'!$J$7:$J$100,'21'!$H$7:$H$100,$A303,'21'!$I$7:$I$100,2)+SUMIFS('22'!$J$7:$J$100,'22'!$H$7:$H$100,$A303,'22'!$I$7:$I$100,2)+SUMIFS('22a'!$J$7:$J$100,'22a'!$H$7:$H$100,$A303,'22a'!$I$7:$I$100,2)+SUMIFS('22b'!$J$7:$J$100,'22b'!$H$7:$H$100,$A303,'22b'!$I$7:$I$100,2)+SUMIFS('23'!$J$7:$J$100,'23'!$H$7:$H$100,$A303,'23'!$I$7:$I$100,2)+SUMIFS('24'!$J$7:$J$100,'24'!$H$7:$H$100,$A303,'24'!$I$7:$I$100,2)+SUMIFS('24a'!$J$7:$J$100,'24a'!$H$7:$H$100,$A303,'24a'!$I$7:$I$100,2)+SUMIFS('24b'!$J$7:$J$100,'24b'!$H$7:$H$100,$A303,'24b'!$I$7:$I$100,2)+SUMIFS('24c'!$J$7:$J$100,'24c'!$H$7:$H$100,$A303,'24c'!$I$7:$I$100,2)+SUMIFS('24d'!$J$7:$J$100,'24d'!$H$7:$H$100,$A303,'24d'!$I$7:$I$100,2)+SUMIFS('24e'!$J$7:$J$100,'24e'!$H$7:$H$100,$A303,'24e'!$I$7:$I$100,2)+SUMIFS('24f'!$J$7:$J$100,'24f'!$H$7:$H$100,$A303,'24f'!$I$7:$I$100,2)+SUMIFS('24g'!$J$7:$J$100,'24g'!$H$7:$H$100,$A303,'24g'!$I$7:$I$100,2)+SUMIFS('24h'!$J$7:$J$100,'24h'!$H$7:$H$100,$A303,'24h'!$I$7:$I$100,2)+SUMIFS('24i'!$J$7:$J$100,'24i'!$H$7:$H$100,$A303,'24i'!$I$7:$I$100,2)+SUMIFS('25'!$J$7:$J$100,'25'!$H$7:$H$100,$A303,'25'!$I$7:$I$100,2)+SUMIFS('26'!$J$7:$J$100,'26'!$H$7:$H$100,$A303,'26'!$I$7:$I$100,2)+SUMIFS('26a'!$J$7:$J$100,'26a'!$H$7:$H$100,$A303,'26a'!$I$7:$I$100,2)+SUMIFS('27'!$J$7:$J$100,'27'!$H$7:$H$100,$A303,'27'!$I$7:$I$100,2)+SUMIFS('27a'!$J$7:$J$100,'27a'!$H$7:$H$100,$A303,'27a'!$I$7:$I$100,2)+SUMIFS('28'!$J$7:$J$100,'28'!$H$7:$H$100,$A303,'28'!$I$7:$I$100,2)+SUMIFS('29'!$J$7:$J$100,'29'!$H$7:$H$100,$A303,'29'!$I$7:$I$100,2)</f>
        <v>0</v>
      </c>
      <c r="I303" s="1315">
        <f>SUMIFS('12'!$J$7:$J$100,'12'!$H$7:$H$100,$A303,'12'!$I$7:$I$100,"")+SUMIFS('13'!$J$7:$J$100,'13'!$H$7:$H$100,$A303,'13'!$I$7:$I$100,"")+SUMIFS('14'!$J$7:$J$100,'14'!$H$7:$H$100,$A303,'14'!$I$7:$I$100,"")+SUMIFS('15'!$J$7:$J$100,'15'!$H$7:$H$100,$A303,'15'!$I$7:$I$100,"")+SUMIFS('15a'!$J$7:$J$100,'15a'!$H$7:$H$100,$A303,'15a'!$I$7:$I$100,"")+SUMIFS('15b'!$J$7:$J$100,'15b'!$H$7:$H$100,$A303,'15b'!$I$7:$I$100,"")+SUMIFS('15c'!$J$7:$J$100,'15c'!$H$7:$H$100,$A303,'15c'!$I$7:$I$100,"")+SUMIFS('15d'!$J$7:$J$100,'15d'!$H$7:$H$100,$A303,'15d'!$I$7:$I$100,"")+SUMIFS('15e'!$J$7:$J$100,'15e'!$H$7:$H$100,$A303,'15e'!$I$7:$I$100,"")+SUMIFS('15f'!$J$7:$J$100,'15f'!$H$7:$H$100,$A303,'15f'!$I$7:$I$100,"")+SUMIFS('15g'!$J$7:$J$100,'15g'!$H$7:$H$100,$A303,'15g'!$I$7:$I$100,"")+SUMIFS('15h'!$J$7:$J$100,'15h'!$H$7:$H$100,$A303,'15h'!$I$7:$I$100,"")+SUMIFS('15i'!$J$7:$J$100,'15i'!$H$7:$H$100,$A303,'15i'!$I$7:$I$100,"")+SUMIFS('15j'!$J$7:$J$100,'15j'!$H$7:$H$100,$A303,'15j'!$I$7:$I$100,"")+SUMIFS('15k'!$J$7:$J$100,'15k'!$H$7:$H$100,$A303,'15k'!$I$7:$I$100,"")+SUMIFS('15l'!$J$7:$J$100,'15l'!$H$7:$H$100,$A303,'15l'!$I$7:$I$100,"")+SUMIFS('15m'!$J$7:$J$100,'15m'!$H$7:$H$100,$A303,'15m'!$I$7:$I$100,"")+SUMIFS('15n'!$J$7:$J$100,'15n'!$H$7:$H$100,$A303,'15n'!$I$7:$I$100,"")+SUMIFS('16'!$J$7:$J$100,'16'!$H$7:$H$100,$A303,'16'!$I$7:$I$100,"")+SUMIFS('16a'!$J$7:$J$100,'16a'!$H$7:$H$100,$A303,'16a'!$I$7:$I$100,"")+SUMIFS('17'!$J$7:$J$100,'17'!$H$7:$H$100,$A303,'17'!$I$7:$I$100,"")+SUMIFS('17a'!$J$7:$J$100,'17a'!$H$7:$H$100,$A303,'17a'!$I$7:$I$100,"")+SUMIFS('18'!$J$7:$J$100,'18'!$H$7:$H$100,$A303,'18'!$I$7:$I$100,"")+SUMIFS('18a'!$J$7:$J$100,'18a'!$H$7:$H$100,$A303,'18a'!$I$7:$I$100,"")
+SUMIFS('19'!$J$7:$J$100,'19'!$H$7:$H$100,$A303,'19'!$I$7:$I$100,"")+SUMIFS('20'!$J$7:$J$100,'20'!$H$7:$H$100,$A303,'20'!$I$7:$I$100,"")+SUMIFS('20a'!$J$7:$J$100,'20a'!$H$7:$H$100,$A303,'20a'!$I$7:$I$100,"")+SUMIFS('21'!$J$7:$J$100,'21'!$H$7:$H$100,$A303,'21'!$I$7:$I$100,"")+SUMIFS('22'!$J$7:$J$100,'22'!$H$7:$H$100,$A303,'22'!$I$7:$I$100,"")+SUMIFS('22a'!$J$7:$J$100,'22a'!$H$7:$H$100,$A303,'22a'!$I$7:$I$100,"")+SUMIFS('22b'!$J$7:$J$100,'22b'!$H$7:$H$100,$A303,'22b'!$I$7:$I$100,"")+SUMIFS('23'!$J$7:$J$100,'23'!$H$7:$H$100,$A303,'23'!$I$7:$I$100,"")+SUMIFS('24'!$J$7:$J$100,'24'!$H$7:$H$100,$A303,'24'!$I$7:$I$100,"")+SUMIFS('24a'!$J$7:$J$100,'24a'!$H$7:$H$100,$A303,'24a'!$I$7:$I$100,"")+SUMIFS('24b'!$J$7:$J$100,'24b'!$H$7:$H$100,$A303,'24b'!$I$7:$I$100,"")+SUMIFS('24c'!$J$7:$J$100,'24c'!$H$7:$H$100,$A303,'24c'!$I$7:$I$100,"")+SUMIFS('24d'!$J$7:$J$100,'24d'!$H$7:$H$100,$A303,'24d'!$I$7:$I$100,"")+SUMIFS('24e'!$J$7:$J$100,'24e'!$H$7:$H$100,$A303,'24e'!$I$7:$I$100,"")+SUMIFS('24f'!$J$7:$J$100,'24f'!$H$7:$H$100,$A303,'24f'!$I$7:$I$100,"")+SUMIFS('24g'!$J$7:$J$100,'24g'!$H$7:$H$100,$A303,'24g'!$I$7:$I$100,"")+SUMIFS('24h'!$J$7:$J$100,'24h'!$H$7:$H$100,$A303,'24h'!$I$7:$I$100,"")+SUMIFS('24i'!$J$7:$J$100,'24i'!$H$7:$H$100,$A303,'24i'!$I$7:$I$100,"")+SUMIFS('25'!$J$7:$J$100,'25'!$H$7:$H$100,$A303,'25'!$I$7:$I$100,"")+SUMIFS('26'!$J$7:$J$100,'26'!$H$7:$H$100,$A303,'26'!$I$7:$I$100,"")+SUMIFS('26a'!$J$7:$J$100,'26a'!$H$7:$H$100,$A303,'26a'!$I$7:$I$100,"")+SUMIFS('27'!$J$7:$J$100,'27'!$H$7:$H$100,$A303,'27'!$I$7:$I$100,"")+SUMIFS('27a'!$J$7:$J$100,'27a'!$H$7:$H$100,$A303,'27a'!$I$7:$I$100,"")+SUMIFS('28'!$J$7:$J$100,'28'!$H$7:$H$100,$A303,'28'!$I$7:$I$100,"")+SUMIFS('29'!$J$7:$J$100,'29'!$H$7:$H$100,$A303,'29'!$I$7:$I$100,"")</f>
        <v>0</v>
      </c>
      <c r="J303" s="1296">
        <f t="shared" si="37"/>
        <v>0</v>
      </c>
      <c r="K303"/>
      <c r="L303"/>
      <c r="M303"/>
      <c r="N303"/>
      <c r="O303"/>
      <c r="P303"/>
      <c r="Q303"/>
      <c r="R303"/>
      <c r="S303" s="1307">
        <f t="shared" si="30"/>
        <v>0</v>
      </c>
      <c r="T303"/>
    </row>
    <row r="304" spans="1:20" x14ac:dyDescent="0.2">
      <c r="A304" t="s">
        <v>557</v>
      </c>
      <c r="B304" t="s">
        <v>5528</v>
      </c>
      <c r="C304" s="1295">
        <f>SUMIFS('12'!$N$7:$N$100,'12'!$H$7:$H$100,$A304,'12'!$I$7:$I$100,1)+SUMIFS('13'!$N$7:$N$100,'13'!$H$7:$H$100,$A304,'13'!$I$7:$I$100,1)+SUMIFS('14'!$N$7:$N$100,'14'!$H$7:$H$100,$A304,'14'!$I$7:$I$100,1)+SUMIFS('15'!$N$7:$N$100,'15'!$H$7:$H$100,$A304,'15'!$I$7:$I$100,1)+SUMIFS('15a'!$N$7:$N$100,'15a'!$H$7:$H$100,$A304,'15a'!$I$7:$I$100,1)+SUMIFS('15b'!$N$7:$N$100,'15b'!$H$7:$H$100,$A304,'15b'!$I$7:$I$100,1)+SUMIFS('15c'!$N$7:$N$100,'15c'!$H$7:$H$100,$A304,'15c'!$I$7:$I$100,1)+SUMIFS('15d'!$N$7:$N$100,'15d'!$H$7:$H$100,$A304,'15d'!$I$7:$I$100,1)+SUMIFS('15e'!$N$7:$N$100,'15e'!$H$7:$H$100,$A304,'15e'!$I$7:$I$100,1)+SUMIFS('15f'!$N$7:$N$100,'15f'!$H$7:$H$100,$A304,'15f'!$I$7:$I$100,1)+SUMIFS('15g'!$N$7:$N$100,'15g'!$H$7:$H$100,$A304,'15g'!$I$7:$I$100,1)+SUMIFS('15h'!$N$7:$N$100,'15h'!$H$7:$H$100,$A304,'15h'!$I$7:$I$100,1)+SUMIFS('15i'!$N$7:$N$100,'15i'!$H$7:$H$100,$A304,'15i'!$I$7:$I$100,1)+SUMIFS('15j'!$N$7:$N$100,'15j'!$H$7:$H$100,$A304,'15j'!$I$7:$I$100,1)+SUMIFS('15k'!$N$7:$N$100,'15k'!$H$7:$H$100,$A304,'15k'!$I$7:$I$100,1)+SUMIFS('15l'!$N$7:$N$100,'15l'!$H$7:$H$100,$A304,'15l'!$I$7:$I$100,1)+SUMIFS('15m'!$N$7:$N$100,'15m'!$H$7:$H$100,$A304,'15m'!$I$7:$I$100,1)+SUMIFS('15n'!$N$7:$N$100,'15n'!$H$7:$H$100,$A304,'15n'!$I$7:$I$100,1)+SUMIFS('16'!$N$7:$N$100,'16'!$H$7:$H$100,$A304,'16'!$I$7:$I$100,1)+SUMIFS('16a'!$N$7:$N$100,'16a'!$H$7:$H$100,$A304,'16a'!$I$7:$I$100,1)+SUMIFS('17'!$N$7:$N$100,'17'!$H$7:$H$100,$A304,'17'!$I$7:$I$100,1)+SUMIFS('17a'!$N$7:$N$100,'17a'!$H$7:$H$100,$A304,'17a'!$I$7:$I$100,1)+SUMIFS('18'!$N$7:$N$100,'18'!$H$7:$H$100,$A304,'18'!$I$7:$I$100,1)+SUMIFS('18a'!$N$7:$N$100,'18a'!$H$7:$H$100,$A304,'18a'!$I$7:$I$100,1)
+SUMIFS('19'!$N$7:$N$100,'19'!$H$7:$H$100,$A304,'19'!$I$7:$I$100,1)+SUMIFS('20'!$N$7:$N$100,'20'!$H$7:$H$100,$A304,'20'!$I$7:$I$100,1)+SUMIFS('20a'!$N$7:$N$100,'20a'!$H$7:$H$100,$A304,'20a'!$I$7:$I$100,1)+SUMIFS('21'!$N$7:$N$100,'21'!$H$7:$H$100,$A304,'21'!$I$7:$I$100,1)+SUMIFS('22'!$N$7:$N$100,'22'!$H$7:$H$100,$A304,'22'!$I$7:$I$100,1)+SUMIFS('22a'!$N$7:$N$100,'22a'!$H$7:$H$100,$A304,'22a'!$I$7:$I$100,1)+SUMIFS('22b'!$N$7:$N$100,'22b'!$H$7:$H$100,$A304,'22b'!$I$7:$I$100,1)+SUMIFS('23'!$N$7:$N$100,'23'!$H$7:$H$100,$A304,'23'!$I$7:$I$100,1)+SUMIFS('24'!$N$7:$N$100,'24'!$H$7:$H$100,$A304,'24'!$I$7:$I$100,1)+SUMIFS('24a'!$N$7:$N$100,'24a'!$H$7:$H$100,$A304,'24a'!$I$7:$I$100,1)+SUMIFS('24b'!$N$7:$N$100,'24b'!$H$7:$H$100,$A304,'24b'!$I$7:$I$100,1)+SUMIFS('24c'!$N$7:$N$100,'24c'!$H$7:$H$100,$A304,'24c'!$I$7:$I$100,1)+SUMIFS('24d'!$N$7:$N$100,'24d'!$H$7:$H$100,$A304,'24d'!$I$7:$I$100,1)+SUMIFS('24e'!$N$7:$N$100,'24e'!$H$7:$H$100,$A304,'24e'!$I$7:$I$100,1)+SUMIFS('24f'!$N$7:$N$100,'24f'!$H$7:$H$100,$A304,'24f'!$I$7:$I$100,1)+SUMIFS('24g'!$N$7:$N$100,'24g'!$H$7:$H$100,$A304,'24g'!$I$7:$I$100,1)+SUMIFS('24h'!$N$7:$N$100,'24h'!$H$7:$H$100,$A304,'24h'!$I$7:$I$100,1)+SUMIFS('24i'!$N$7:$N$100,'24i'!$H$7:$H$100,$A304,'24i'!$I$7:$I$100,1)+SUMIFS('25'!$N$7:$N$100,'25'!$H$7:$H$100,$A304,'25'!$I$7:$I$100,1)+SUMIFS('26'!$N$7:$N$100,'26'!$H$7:$H$100,$A304,'26'!$I$7:$I$100,1)+SUMIFS('26a'!$N$7:$N$100,'26a'!$H$7:$H$100,$A304,'26a'!$I$7:$I$100,1)+SUMIFS('27'!$N$7:$N$100,'27'!$H$7:$H$100,$A304,'27'!$I$7:$I$100,1)+SUMIFS('27a'!$N$7:$N$100,'27a'!$H$7:$H$100,$A304,'27a'!$I$7:$I$100,1)+SUMIFS('28'!$N$7:$N$100,'28'!$H$7:$H$100,$A304,'28'!$I$7:$I$100,1)+SUMIFS('29'!$N$7:$N$100,'29'!$H$7:$H$100,$A304,'29'!$I$7:$I$100,1)</f>
        <v>0</v>
      </c>
      <c r="D304" s="1315">
        <f>SUMIFS('12'!$N$7:$N$100,'12'!$H$7:$H$100,$A304,'12'!$I$7:$I$100,2)+SUMIFS('13'!$N$7:$N$100,'13'!$H$7:$H$100,$A304,'13'!$I$7:$I$100,2)+SUMIFS('14'!$N$7:$N$100,'14'!$H$7:$H$100,$A304,'14'!$I$7:$I$100,2)+SUMIFS('15'!$N$7:$N$100,'15'!$H$7:$H$100,$A304,'15'!$I$7:$I$100,2)+SUMIFS('15a'!$N$7:$N$100,'15a'!$H$7:$H$100,$A304,'15a'!$I$7:$I$100,2)+SUMIFS('15b'!$N$7:$N$100,'15b'!$H$7:$H$100,$A304,'15b'!$I$7:$I$100,2)+SUMIFS('15c'!$N$7:$N$100,'15c'!$H$7:$H$100,$A304,'15c'!$I$7:$I$100,2)+SUMIFS('15d'!$N$7:$N$100,'15d'!$H$7:$H$100,$A304,'15d'!$I$7:$I$100,2)+SUMIFS('15e'!$N$7:$N$100,'15e'!$H$7:$H$100,$A304,'15e'!$I$7:$I$100,2)+SUMIFS('15f'!$N$7:$N$100,'15f'!$H$7:$H$100,$A304,'15f'!$I$7:$I$100,2)+SUMIFS('15g'!$N$7:$N$100,'15g'!$H$7:$H$100,$A304,'15g'!$I$7:$I$100,2)+SUMIFS('15h'!$N$7:$N$100,'15h'!$H$7:$H$100,$A304,'15h'!$I$7:$I$100,2)+SUMIFS('15i'!$N$7:$N$100,'15i'!$H$7:$H$100,$A304,'15i'!$I$7:$I$100,2)+SUMIFS('15j'!$N$7:$N$100,'15j'!$H$7:$H$100,$A304,'15j'!$I$7:$I$100,2)+SUMIFS('15k'!$N$7:$N$100,'15k'!$H$7:$H$100,$A304,'15k'!$I$7:$I$100,2)+SUMIFS('15l'!$N$7:$N$100,'15l'!$H$7:$H$100,$A304,'15l'!$I$7:$I$100,2)+SUMIFS('15m'!$N$7:$N$100,'15m'!$H$7:$H$100,$A304,'15m'!$I$7:$I$100,2)+SUMIFS('15n'!$N$7:$N$100,'15n'!$H$7:$H$100,$A304,'15n'!$I$7:$I$100,2)+SUMIFS('16'!$N$7:$N$100,'16'!$H$7:$H$100,$A304,'16'!$I$7:$I$100,2)+SUMIFS('16a'!$N$7:$N$100,'16a'!$H$7:$H$100,$A304,'16a'!$I$7:$I$100,2)+SUMIFS('17'!$N$7:$N$100,'17'!$H$7:$H$100,$A304,'17'!$I$7:$I$100,2)+SUMIFS('17a'!$N$7:$N$100,'17a'!$H$7:$H$100,$A304,'17a'!$I$7:$I$100,2)+SUMIFS('18'!$N$7:$N$100,'18'!$H$7:$H$100,$A304,'18'!$I$7:$I$100,2)+SUMIFS('18a'!$N$7:$N$100,'18a'!$H$7:$H$100,$A304,'18a'!$I$7:$I$100,2)
+SUMIFS('19'!$N$7:$N$100,'19'!$H$7:$H$100,$A304,'19'!$I$7:$I$100,2)+SUMIFS('20'!$N$7:$N$100,'20'!$H$7:$H$100,$A304,'20'!$I$7:$I$100,2)+SUMIFS('20a'!$N$7:$N$100,'20a'!$H$7:$H$100,$A304,'20a'!$I$7:$I$100,2)+SUMIFS('21'!$N$7:$N$100,'21'!$H$7:$H$100,$A304,'21'!$I$7:$I$100,2)+SUMIFS('22'!$N$7:$N$100,'22'!$H$7:$H$100,$A304,'22'!$I$7:$I$100,2)+SUMIFS('22a'!$N$7:$N$100,'22a'!$H$7:$H$100,$A304,'22a'!$I$7:$I$100,2)+SUMIFS('22b'!$N$7:$N$100,'22b'!$H$7:$H$100,$A304,'22b'!$I$7:$I$100,2)+SUMIFS('23'!$N$7:$N$100,'23'!$H$7:$H$100,$A304,'23'!$I$7:$I$100,2)+SUMIFS('24'!$N$7:$N$100,'24'!$H$7:$H$100,$A304,'24'!$I$7:$I$100,2)+SUMIFS('24a'!$N$7:$N$100,'24a'!$H$7:$H$100,$A304,'24a'!$I$7:$I$100,2)+SUMIFS('24b'!$N$7:$N$100,'24b'!$H$7:$H$100,$A304,'24b'!$I$7:$I$100,2)+SUMIFS('24c'!$N$7:$N$100,'24c'!$H$7:$H$100,$A304,'24c'!$I$7:$I$100,2)+SUMIFS('24d'!$N$7:$N$100,'24d'!$H$7:$H$100,$A304,'24d'!$I$7:$I$100,2)+SUMIFS('24e'!$N$7:$N$100,'24e'!$H$7:$H$100,$A304,'24e'!$I$7:$I$100,2)+SUMIFS('24f'!$N$7:$N$100,'24f'!$H$7:$H$100,$A304,'24f'!$I$7:$I$100,2)+SUMIFS('24g'!$N$7:$N$100,'24g'!$H$7:$H$100,$A304,'24g'!$I$7:$I$100,2)+SUMIFS('24h'!$N$7:$N$100,'24h'!$H$7:$H$100,$A304,'24h'!$I$7:$I$100,2)+SUMIFS('24i'!$N$7:$N$100,'24i'!$H$7:$H$100,$A304,'24i'!$I$7:$I$100,2)+SUMIFS('25'!$N$7:$N$100,'25'!$H$7:$H$100,$A304,'25'!$I$7:$I$100,2)+SUMIFS('26'!$N$7:$N$100,'26'!$H$7:$H$100,$A304,'26'!$I$7:$I$100,2)+SUMIFS('26a'!$N$7:$N$100,'26a'!$H$7:$H$100,$A304,'26a'!$I$7:$I$100,2)+SUMIFS('27'!$N$7:$N$100,'27'!$H$7:$H$100,$A304,'27'!$I$7:$I$100,2)+SUMIFS('27a'!$N$7:$N$100,'27a'!$H$7:$H$100,$A304,'27a'!$I$7:$I$100,2)+SUMIFS('28'!$N$7:$N$100,'28'!$H$7:$H$100,$A304,'28'!$I$7:$I$100,2)+SUMIFS('29'!$N$7:$N$100,'29'!$H$7:$H$100,$A304,'29'!$I$7:$I$100,2)</f>
        <v>0</v>
      </c>
      <c r="E304" s="1315">
        <f>SUMIFS('12'!$N$7:$N$100,'12'!$H$7:$H$100,$A304,'12'!$I$7:$I$100,"")+SUMIFS('13'!$N$7:$N$100,'13'!$H$7:$H$100,$A304,'13'!$I$7:$I$100,"")+SUMIFS('14'!$N$7:$N$100,'14'!$H$7:$H$100,$A304,'14'!$I$7:$I$100,"")+SUMIFS('15'!$N$7:$N$100,'15'!$H$7:$H$100,$A304,'15'!$I$7:$I$100,"")+SUMIFS('15a'!$N$7:$N$100,'15a'!$H$7:$H$100,$A304,'15a'!$I$7:$I$100,"")+SUMIFS('15b'!$N$7:$N$100,'15b'!$H$7:$H$100,$A304,'15b'!$I$7:$I$100,"")+SUMIFS('15c'!$N$7:$N$100,'15c'!$H$7:$H$100,$A304,'15c'!$I$7:$I$100,"")+SUMIFS('15d'!$N$7:$N$100,'15d'!$H$7:$H$100,$A304,'15d'!$I$7:$I$100,"")+SUMIFS('15e'!$N$7:$N$100,'15e'!$H$7:$H$100,$A304,'15e'!$I$7:$I$100,"")+SUMIFS('15f'!$N$7:$N$100,'15f'!$H$7:$H$100,$A304,'15f'!$I$7:$I$100,"")+SUMIFS('15g'!$N$7:$N$100,'15g'!$H$7:$H$100,$A304,'15g'!$I$7:$I$100,"")+SUMIFS('15h'!$N$7:$N$100,'15h'!$H$7:$H$100,$A304,'15h'!$I$7:$I$100,"")+SUMIFS('15i'!$N$7:$N$100,'15i'!$H$7:$H$100,$A304,'15i'!$I$7:$I$100,"")+SUMIFS('15j'!$N$7:$N$100,'15j'!$H$7:$H$100,$A304,'15j'!$I$7:$I$100,"")+SUMIFS('15k'!$N$7:$N$100,'15k'!$H$7:$H$100,$A304,'15k'!$I$7:$I$100,"")+SUMIFS('15l'!$N$7:$N$100,'15l'!$H$7:$H$100,$A304,'15l'!$I$7:$I$100,"")+SUMIFS('15m'!$N$7:$N$100,'15m'!$H$7:$H$100,$A304,'15m'!$I$7:$I$100,"")+SUMIFS('15n'!$N$7:$N$100,'15n'!$H$7:$H$100,$A304,'15n'!$I$7:$I$100,"")+SUMIFS('16'!$N$7:$N$100,'16'!$H$7:$H$100,$A304,'16'!$I$7:$I$100,"")+SUMIFS('16a'!$N$7:$N$100,'16a'!$H$7:$H$100,$A304,'16a'!$I$7:$I$100,"")+SUMIFS('17'!$N$7:$N$100,'17'!$H$7:$H$100,$A304,'17'!$I$7:$I$100,"")+SUMIFS('17a'!$N$7:$N$100,'17a'!$H$7:$H$100,$A304,'17a'!$I$7:$I$100,"")+SUMIFS('18'!$N$7:$N$100,'18'!$H$7:$H$100,$A304,'18'!$I$7:$I$100,"")+SUMIFS('18a'!$N$7:$N$100,'18a'!$H$7:$H$100,$A304,'18a'!$I$7:$I$100,"")
+SUMIFS('19'!$N$7:$N$100,'19'!$H$7:$H$100,$A304,'19'!$I$7:$I$100,"")+SUMIFS('20'!$N$7:$N$100,'20'!$H$7:$H$100,$A304,'20'!$I$7:$I$100,"")+SUMIFS('20a'!$N$7:$N$100,'20a'!$H$7:$H$100,$A304,'20a'!$I$7:$I$100,"")+SUMIFS('21'!$N$7:$N$100,'21'!$H$7:$H$100,$A304,'21'!$I$7:$I$100,"")+SUMIFS('22'!$N$7:$N$100,'22'!$H$7:$H$100,$A304,'22'!$I$7:$I$100,"")+SUMIFS('22a'!$N$7:$N$100,'22a'!$H$7:$H$100,$A304,'22a'!$I$7:$I$100,"")+SUMIFS('22b'!$N$7:$N$100,'22b'!$H$7:$H$100,$A304,'22b'!$I$7:$I$100,"")+SUMIFS('23'!$N$7:$N$100,'23'!$H$7:$H$100,$A304,'23'!$I$7:$I$100,"")+SUMIFS('24'!$N$7:$N$100,'24'!$H$7:$H$100,$A304,'24'!$I$7:$I$100,"")+SUMIFS('24a'!$N$7:$N$100,'24a'!$H$7:$H$100,$A304,'24a'!$I$7:$I$100,"")+SUMIFS('24b'!$N$7:$N$100,'24b'!$H$7:$H$100,$A304,'24b'!$I$7:$I$100,"")+SUMIFS('24c'!$N$7:$N$100,'24c'!$H$7:$H$100,$A304,'24c'!$I$7:$I$100,"")+SUMIFS('24d'!$N$7:$N$100,'24d'!$H$7:$H$100,$A304,'24d'!$I$7:$I$100,"")+SUMIFS('24e'!$N$7:$N$100,'24e'!$H$7:$H$100,$A304,'24e'!$I$7:$I$100,"")+SUMIFS('24f'!$N$7:$N$100,'24f'!$H$7:$H$100,$A304,'24f'!$I$7:$I$100,"")+SUMIFS('24g'!$N$7:$N$100,'24g'!$H$7:$H$100,$A304,'24g'!$I$7:$I$100,"")+SUMIFS('24h'!$N$7:$N$100,'24h'!$H$7:$H$100,$A304,'24h'!$I$7:$I$100,"")+SUMIFS('24i'!$N$7:$N$100,'24i'!$H$7:$H$100,$A304,'24i'!$I$7:$I$100,"")+SUMIFS('25'!$N$7:$N$100,'25'!$H$7:$H$100,$A304,'25'!$I$7:$I$100,"")+SUMIFS('26'!$N$7:$N$100,'26'!$H$7:$H$100,$A304,'26'!$I$7:$I$100,"")+SUMIFS('26a'!$N$7:$N$100,'26a'!$H$7:$H$100,$A304,'26a'!$I$7:$I$100,"")+SUMIFS('27'!$N$7:$N$100,'27'!$H$7:$H$100,$A304,'27'!$I$7:$I$100,"")+SUMIFS('27a'!$N$7:$N$100,'27a'!$H$7:$H$100,$A304,'27a'!$I$7:$I$100,"")+SUMIFS('28'!$N$7:$N$100,'28'!$H$7:$H$100,$A304,'28'!$I$7:$I$100,"")+SUMIFS('29'!$N$7:$N$100,'29'!$H$7:$H$100,$A304,'29'!$I$7:$I$100,"")</f>
        <v>0</v>
      </c>
      <c r="F304" s="1296">
        <f t="shared" si="36"/>
        <v>0</v>
      </c>
      <c r="G304" s="1295">
        <f>SUMIFS('12'!$J$7:$J$100,'12'!$H$7:$H$100,$A304,'12'!$I$7:$I$100,1)+SUMIFS('13'!$J$7:$J$100,'13'!$H$7:$H$100,$A304,'13'!$I$7:$I$100,1)+SUMIFS('14'!$J$7:$J$100,'14'!$H$7:$H$100,$A304,'14'!$I$7:$I$100,1)+SUMIFS('15'!$J$7:$J$100,'15'!$H$7:$H$100,$A304,'15'!$I$7:$I$100,1)+SUMIFS('15a'!$J$7:$J$100,'15a'!$H$7:$H$100,$A304,'15a'!$I$7:$I$100,1)+SUMIFS('15b'!$J$7:$J$100,'15b'!$H$7:$H$100,$A304,'15b'!$I$7:$I$100,1)+SUMIFS('15c'!$J$7:$J$100,'15c'!$H$7:$H$100,$A304,'15c'!$I$7:$I$100,1)+SUMIFS('15d'!$J$7:$J$100,'15d'!$H$7:$H$100,$A304,'15d'!$I$7:$I$100,1)+SUMIFS('15e'!$J$7:$J$100,'15e'!$H$7:$H$100,$A304,'15e'!$I$7:$I$100,1)+SUMIFS('15f'!$J$7:$J$100,'15f'!$H$7:$H$100,$A304,'15f'!$I$7:$I$100,1)+SUMIFS('15g'!$J$7:$J$100,'15g'!$H$7:$H$100,$A304,'15g'!$I$7:$I$100,1)+SUMIFS('15h'!$J$7:$J$100,'15h'!$H$7:$H$100,$A304,'15h'!$I$7:$I$100,1)+SUMIFS('15i'!$J$7:$J$100,'15i'!$H$7:$H$100,$A304,'15i'!$I$7:$I$100,1)+SUMIFS('15j'!$J$7:$J$100,'15j'!$H$7:$H$100,$A304,'15j'!$I$7:$I$100,1)+SUMIFS('15k'!$J$7:$J$100,'15k'!$H$7:$H$100,$A304,'15k'!$I$7:$I$100,1)+SUMIFS('15l'!$J$7:$J$100,'15l'!$H$7:$H$100,$A304,'15l'!$I$7:$I$100,1)+SUMIFS('15m'!$J$7:$J$100,'15m'!$H$7:$H$100,$A304,'15m'!$I$7:$I$100,1)+SUMIFS('15n'!$J$7:$J$100,'15n'!$H$7:$H$100,$A304,'15n'!$I$7:$I$100,1)+SUMIFS('16'!$J$7:$J$100,'16'!$H$7:$H$100,$A304,'16'!$I$7:$I$100,1)+SUMIFS('16a'!$J$7:$J$100,'16a'!$H$7:$H$100,$A304,'16a'!$I$7:$I$100,1)+SUMIFS('17'!$J$7:$J$100,'17'!$H$7:$H$100,$A304,'17'!$I$7:$I$100,1)+SUMIFS('17a'!$J$7:$J$100,'17a'!$H$7:$H$100,$A304,'17a'!$I$7:$I$100,1)+SUMIFS('18'!$J$7:$J$100,'18'!$H$7:$H$100,$A304,'18'!$I$7:$I$100,1)+SUMIFS('18a'!$J$7:$J$100,'18a'!$H$7:$H$100,$A304,'18a'!$I$7:$I$100,1)
+SUMIFS('19'!$J$7:$J$100,'19'!$H$7:$H$100,$A304,'19'!$I$7:$I$100,1)+SUMIFS('20'!$J$7:$J$100,'20'!$H$7:$H$100,$A304,'20'!$I$7:$I$100,1)+SUMIFS('20a'!$J$7:$J$100,'20a'!$H$7:$H$100,$A304,'20a'!$I$7:$I$100,1)+SUMIFS('21'!$J$7:$J$100,'21'!$H$7:$H$100,$A304,'21'!$I$7:$I$100,1)+SUMIFS('22'!$J$7:$J$100,'22'!$H$7:$H$100,$A304,'22'!$I$7:$I$100,1)+SUMIFS('22a'!$J$7:$J$100,'22a'!$H$7:$H$100,$A304,'22a'!$I$7:$I$100,1)+SUMIFS('22b'!$J$7:$J$100,'22b'!$H$7:$H$100,$A304,'22b'!$I$7:$I$100,1)+SUMIFS('23'!$J$7:$J$100,'23'!$H$7:$H$100,$A304,'23'!$I$7:$I$100,1)+SUMIFS('24'!$J$7:$J$100,'24'!$H$7:$H$100,$A304,'24'!$I$7:$I$100,1)+SUMIFS('24a'!$J$7:$J$100,'24a'!$H$7:$H$100,$A304,'24a'!$I$7:$I$100,1)+SUMIFS('24b'!$J$7:$J$100,'24b'!$H$7:$H$100,$A304,'24b'!$I$7:$I$100,1)+SUMIFS('24c'!$J$7:$J$100,'24c'!$H$7:$H$100,$A304,'24c'!$I$7:$I$100,1)+SUMIFS('24d'!$J$7:$J$100,'24d'!$H$7:$H$100,$A304,'24d'!$I$7:$I$100,1)+SUMIFS('24e'!$J$7:$J$100,'24e'!$H$7:$H$100,$A304,'24e'!$I$7:$I$100,1)+SUMIFS('24f'!$J$7:$J$100,'24f'!$H$7:$H$100,$A304,'24f'!$I$7:$I$100,1)+SUMIFS('24g'!$J$7:$J$100,'24g'!$H$7:$H$100,$A304,'24g'!$I$7:$I$100,1)+SUMIFS('24h'!$J$7:$J$100,'24h'!$H$7:$H$100,$A304,'24h'!$I$7:$I$100,1)+SUMIFS('24i'!$J$7:$J$100,'24i'!$H$7:$H$100,$A304,'24i'!$I$7:$I$100,1)+SUMIFS('25'!$J$7:$J$100,'25'!$H$7:$H$100,$A304,'25'!$I$7:$I$100,1)+SUMIFS('26'!$J$7:$J$100,'26'!$H$7:$H$100,$A304,'26'!$I$7:$I$100,1)+SUMIFS('26a'!$J$7:$J$100,'26a'!$H$7:$H$100,$A304,'26a'!$I$7:$I$100,1)+SUMIFS('27'!$J$7:$J$100,'27'!$H$7:$H$100,$A304,'27'!$I$7:$I$100,1)+SUMIFS('27a'!$J$7:$J$100,'27a'!$H$7:$H$100,$A304,'27a'!$I$7:$I$100,1)+SUMIFS('28'!$J$7:$J$100,'28'!$H$7:$H$100,$A304,'28'!$I$7:$I$100,1)+SUMIFS('29'!$J$7:$J$100,'29'!$H$7:$H$100,$A304,'29'!$I$7:$I$100,1)</f>
        <v>0</v>
      </c>
      <c r="H304" s="1315">
        <f>SUMIFS('12'!$J$7:$J$100,'12'!$H$7:$H$100,$A304,'12'!$I$7:$I$100,2)+SUMIFS('13'!$J$7:$J$100,'13'!$H$7:$H$100,$A304,'13'!$I$7:$I$100,2)+SUMIFS('14'!$J$7:$J$100,'14'!$H$7:$H$100,$A304,'14'!$I$7:$I$100,2)+SUMIFS('15'!$J$7:$J$100,'15'!$H$7:$H$100,$A304,'15'!$I$7:$I$100,2)+SUMIFS('15a'!$J$7:$J$100,'15a'!$H$7:$H$100,$A304,'15a'!$I$7:$I$100,2)+SUMIFS('15b'!$J$7:$J$100,'15b'!$H$7:$H$100,$A304,'15b'!$I$7:$I$100,2)+SUMIFS('15c'!$J$7:$J$100,'15c'!$H$7:$H$100,$A304,'15c'!$I$7:$I$100,2)+SUMIFS('15d'!$J$7:$J$100,'15d'!$H$7:$H$100,$A304,'15d'!$I$7:$I$100,2)+SUMIFS('15e'!$J$7:$J$100,'15e'!$H$7:$H$100,$A304,'15e'!$I$7:$I$100,2)+SUMIFS('15f'!$J$7:$J$100,'15f'!$H$7:$H$100,$A304,'15f'!$I$7:$I$100,2)+SUMIFS('15g'!$J$7:$J$100,'15g'!$H$7:$H$100,$A304,'15g'!$I$7:$I$100,2)+SUMIFS('15h'!$J$7:$J$100,'15h'!$H$7:$H$100,$A304,'15h'!$I$7:$I$100,2)+SUMIFS('15i'!$J$7:$J$100,'15i'!$H$7:$H$100,$A304,'15i'!$I$7:$I$100,2)+SUMIFS('15j'!$J$7:$J$100,'15j'!$H$7:$H$100,$A304,'15j'!$I$7:$I$100,2)+SUMIFS('15k'!$J$7:$J$100,'15k'!$H$7:$H$100,$A304,'15k'!$I$7:$I$100,2)+SUMIFS('15l'!$J$7:$J$100,'15l'!$H$7:$H$100,$A304,'15l'!$I$7:$I$100,2)+SUMIFS('15m'!$J$7:$J$100,'15m'!$H$7:$H$100,$A304,'15m'!$I$7:$I$100,2)+SUMIFS('15n'!$J$7:$J$100,'15n'!$H$7:$H$100,$A304,'15n'!$I$7:$I$100,2)+SUMIFS('16'!$J$7:$J$100,'16'!$H$7:$H$100,$A304,'16'!$I$7:$I$100,2)+SUMIFS('16a'!$J$7:$J$100,'16a'!$H$7:$H$100,$A304,'16a'!$I$7:$I$100,2)+SUMIFS('17'!$J$7:$J$100,'17'!$H$7:$H$100,$A304,'17'!$I$7:$I$100,2)+SUMIFS('17a'!$J$7:$J$100,'17a'!$H$7:$H$100,$A304,'17a'!$I$7:$I$100,2)+SUMIFS('18'!$J$7:$J$100,'18'!$H$7:$H$100,$A304,'18'!$I$7:$I$100,2)+SUMIFS('18a'!$J$7:$J$100,'18a'!$H$7:$H$100,$A304,'18a'!$I$7:$I$100,2)
+SUMIFS('19'!$J$7:$J$100,'19'!$H$7:$H$100,$A304,'19'!$I$7:$I$100,2)+SUMIFS('20'!$J$7:$J$100,'20'!$H$7:$H$100,$A304,'20'!$I$7:$I$100,2)+SUMIFS('20a'!$J$7:$J$100,'20a'!$H$7:$H$100,$A304,'20a'!$I$7:$I$100,2)+SUMIFS('21'!$J$7:$J$100,'21'!$H$7:$H$100,$A304,'21'!$I$7:$I$100,2)+SUMIFS('22'!$J$7:$J$100,'22'!$H$7:$H$100,$A304,'22'!$I$7:$I$100,2)+SUMIFS('22a'!$J$7:$J$100,'22a'!$H$7:$H$100,$A304,'22a'!$I$7:$I$100,2)+SUMIFS('22b'!$J$7:$J$100,'22b'!$H$7:$H$100,$A304,'22b'!$I$7:$I$100,2)+SUMIFS('23'!$J$7:$J$100,'23'!$H$7:$H$100,$A304,'23'!$I$7:$I$100,2)+SUMIFS('24'!$J$7:$J$100,'24'!$H$7:$H$100,$A304,'24'!$I$7:$I$100,2)+SUMIFS('24a'!$J$7:$J$100,'24a'!$H$7:$H$100,$A304,'24a'!$I$7:$I$100,2)+SUMIFS('24b'!$J$7:$J$100,'24b'!$H$7:$H$100,$A304,'24b'!$I$7:$I$100,2)+SUMIFS('24c'!$J$7:$J$100,'24c'!$H$7:$H$100,$A304,'24c'!$I$7:$I$100,2)+SUMIFS('24d'!$J$7:$J$100,'24d'!$H$7:$H$100,$A304,'24d'!$I$7:$I$100,2)+SUMIFS('24e'!$J$7:$J$100,'24e'!$H$7:$H$100,$A304,'24e'!$I$7:$I$100,2)+SUMIFS('24f'!$J$7:$J$100,'24f'!$H$7:$H$100,$A304,'24f'!$I$7:$I$100,2)+SUMIFS('24g'!$J$7:$J$100,'24g'!$H$7:$H$100,$A304,'24g'!$I$7:$I$100,2)+SUMIFS('24h'!$J$7:$J$100,'24h'!$H$7:$H$100,$A304,'24h'!$I$7:$I$100,2)+SUMIFS('24i'!$J$7:$J$100,'24i'!$H$7:$H$100,$A304,'24i'!$I$7:$I$100,2)+SUMIFS('25'!$J$7:$J$100,'25'!$H$7:$H$100,$A304,'25'!$I$7:$I$100,2)+SUMIFS('26'!$J$7:$J$100,'26'!$H$7:$H$100,$A304,'26'!$I$7:$I$100,2)+SUMIFS('26a'!$J$7:$J$100,'26a'!$H$7:$H$100,$A304,'26a'!$I$7:$I$100,2)+SUMIFS('27'!$J$7:$J$100,'27'!$H$7:$H$100,$A304,'27'!$I$7:$I$100,2)+SUMIFS('27a'!$J$7:$J$100,'27a'!$H$7:$H$100,$A304,'27a'!$I$7:$I$100,2)+SUMIFS('28'!$J$7:$J$100,'28'!$H$7:$H$100,$A304,'28'!$I$7:$I$100,2)+SUMIFS('29'!$J$7:$J$100,'29'!$H$7:$H$100,$A304,'29'!$I$7:$I$100,2)</f>
        <v>0</v>
      </c>
      <c r="I304" s="1315">
        <f>SUMIFS('12'!$J$7:$J$100,'12'!$H$7:$H$100,$A304,'12'!$I$7:$I$100,"")+SUMIFS('13'!$J$7:$J$100,'13'!$H$7:$H$100,$A304,'13'!$I$7:$I$100,"")+SUMIFS('14'!$J$7:$J$100,'14'!$H$7:$H$100,$A304,'14'!$I$7:$I$100,"")+SUMIFS('15'!$J$7:$J$100,'15'!$H$7:$H$100,$A304,'15'!$I$7:$I$100,"")+SUMIFS('15a'!$J$7:$J$100,'15a'!$H$7:$H$100,$A304,'15a'!$I$7:$I$100,"")+SUMIFS('15b'!$J$7:$J$100,'15b'!$H$7:$H$100,$A304,'15b'!$I$7:$I$100,"")+SUMIFS('15c'!$J$7:$J$100,'15c'!$H$7:$H$100,$A304,'15c'!$I$7:$I$100,"")+SUMIFS('15d'!$J$7:$J$100,'15d'!$H$7:$H$100,$A304,'15d'!$I$7:$I$100,"")+SUMIFS('15e'!$J$7:$J$100,'15e'!$H$7:$H$100,$A304,'15e'!$I$7:$I$100,"")+SUMIFS('15f'!$J$7:$J$100,'15f'!$H$7:$H$100,$A304,'15f'!$I$7:$I$100,"")+SUMIFS('15g'!$J$7:$J$100,'15g'!$H$7:$H$100,$A304,'15g'!$I$7:$I$100,"")+SUMIFS('15h'!$J$7:$J$100,'15h'!$H$7:$H$100,$A304,'15h'!$I$7:$I$100,"")+SUMIFS('15i'!$J$7:$J$100,'15i'!$H$7:$H$100,$A304,'15i'!$I$7:$I$100,"")+SUMIFS('15j'!$J$7:$J$100,'15j'!$H$7:$H$100,$A304,'15j'!$I$7:$I$100,"")+SUMIFS('15k'!$J$7:$J$100,'15k'!$H$7:$H$100,$A304,'15k'!$I$7:$I$100,"")+SUMIFS('15l'!$J$7:$J$100,'15l'!$H$7:$H$100,$A304,'15l'!$I$7:$I$100,"")+SUMIFS('15m'!$J$7:$J$100,'15m'!$H$7:$H$100,$A304,'15m'!$I$7:$I$100,"")+SUMIFS('15n'!$J$7:$J$100,'15n'!$H$7:$H$100,$A304,'15n'!$I$7:$I$100,"")+SUMIFS('16'!$J$7:$J$100,'16'!$H$7:$H$100,$A304,'16'!$I$7:$I$100,"")+SUMIFS('16a'!$J$7:$J$100,'16a'!$H$7:$H$100,$A304,'16a'!$I$7:$I$100,"")+SUMIFS('17'!$J$7:$J$100,'17'!$H$7:$H$100,$A304,'17'!$I$7:$I$100,"")+SUMIFS('17a'!$J$7:$J$100,'17a'!$H$7:$H$100,$A304,'17a'!$I$7:$I$100,"")+SUMIFS('18'!$J$7:$J$100,'18'!$H$7:$H$100,$A304,'18'!$I$7:$I$100,"")+SUMIFS('18a'!$J$7:$J$100,'18a'!$H$7:$H$100,$A304,'18a'!$I$7:$I$100,"")
+SUMIFS('19'!$J$7:$J$100,'19'!$H$7:$H$100,$A304,'19'!$I$7:$I$100,"")+SUMIFS('20'!$J$7:$J$100,'20'!$H$7:$H$100,$A304,'20'!$I$7:$I$100,"")+SUMIFS('20a'!$J$7:$J$100,'20a'!$H$7:$H$100,$A304,'20a'!$I$7:$I$100,"")+SUMIFS('21'!$J$7:$J$100,'21'!$H$7:$H$100,$A304,'21'!$I$7:$I$100,"")+SUMIFS('22'!$J$7:$J$100,'22'!$H$7:$H$100,$A304,'22'!$I$7:$I$100,"")+SUMIFS('22a'!$J$7:$J$100,'22a'!$H$7:$H$100,$A304,'22a'!$I$7:$I$100,"")+SUMIFS('22b'!$J$7:$J$100,'22b'!$H$7:$H$100,$A304,'22b'!$I$7:$I$100,"")+SUMIFS('23'!$J$7:$J$100,'23'!$H$7:$H$100,$A304,'23'!$I$7:$I$100,"")+SUMIFS('24'!$J$7:$J$100,'24'!$H$7:$H$100,$A304,'24'!$I$7:$I$100,"")+SUMIFS('24a'!$J$7:$J$100,'24a'!$H$7:$H$100,$A304,'24a'!$I$7:$I$100,"")+SUMIFS('24b'!$J$7:$J$100,'24b'!$H$7:$H$100,$A304,'24b'!$I$7:$I$100,"")+SUMIFS('24c'!$J$7:$J$100,'24c'!$H$7:$H$100,$A304,'24c'!$I$7:$I$100,"")+SUMIFS('24d'!$J$7:$J$100,'24d'!$H$7:$H$100,$A304,'24d'!$I$7:$I$100,"")+SUMIFS('24e'!$J$7:$J$100,'24e'!$H$7:$H$100,$A304,'24e'!$I$7:$I$100,"")+SUMIFS('24f'!$J$7:$J$100,'24f'!$H$7:$H$100,$A304,'24f'!$I$7:$I$100,"")+SUMIFS('24g'!$J$7:$J$100,'24g'!$H$7:$H$100,$A304,'24g'!$I$7:$I$100,"")+SUMIFS('24h'!$J$7:$J$100,'24h'!$H$7:$H$100,$A304,'24h'!$I$7:$I$100,"")+SUMIFS('24i'!$J$7:$J$100,'24i'!$H$7:$H$100,$A304,'24i'!$I$7:$I$100,"")+SUMIFS('25'!$J$7:$J$100,'25'!$H$7:$H$100,$A304,'25'!$I$7:$I$100,"")+SUMIFS('26'!$J$7:$J$100,'26'!$H$7:$H$100,$A304,'26'!$I$7:$I$100,"")+SUMIFS('26a'!$J$7:$J$100,'26a'!$H$7:$H$100,$A304,'26a'!$I$7:$I$100,"")+SUMIFS('27'!$J$7:$J$100,'27'!$H$7:$H$100,$A304,'27'!$I$7:$I$100,"")+SUMIFS('27a'!$J$7:$J$100,'27a'!$H$7:$H$100,$A304,'27a'!$I$7:$I$100,"")+SUMIFS('28'!$J$7:$J$100,'28'!$H$7:$H$100,$A304,'28'!$I$7:$I$100,"")+SUMIFS('29'!$J$7:$J$100,'29'!$H$7:$H$100,$A304,'29'!$I$7:$I$100,"")</f>
        <v>0</v>
      </c>
      <c r="J304" s="1296">
        <f t="shared" si="37"/>
        <v>0</v>
      </c>
      <c r="K304"/>
      <c r="L304"/>
      <c r="M304"/>
      <c r="N304"/>
      <c r="O304"/>
      <c r="P304"/>
      <c r="Q304"/>
      <c r="R304"/>
      <c r="S304" s="1307">
        <f t="shared" si="30"/>
        <v>0</v>
      </c>
      <c r="T304"/>
    </row>
    <row r="305" spans="1:20" x14ac:dyDescent="0.2">
      <c r="A305"/>
      <c r="B305" s="1289" t="str">
        <f>"Total- "&amp;A295</f>
        <v>Total- Education (Including Library)</v>
      </c>
      <c r="C305" s="1297">
        <f>SUM(C296:C304)</f>
        <v>0</v>
      </c>
      <c r="D305" s="1290">
        <f>SUM(D296:D304)</f>
        <v>0</v>
      </c>
      <c r="E305" s="1290">
        <f t="shared" ref="E305:J305" si="38">SUM(E296:E304)</f>
        <v>0</v>
      </c>
      <c r="F305" s="1298">
        <f t="shared" si="38"/>
        <v>0</v>
      </c>
      <c r="G305" s="1297">
        <f t="shared" si="38"/>
        <v>0</v>
      </c>
      <c r="H305" s="1290">
        <f t="shared" si="38"/>
        <v>0</v>
      </c>
      <c r="I305" s="1290">
        <f t="shared" si="38"/>
        <v>0</v>
      </c>
      <c r="J305" s="1298">
        <f t="shared" si="38"/>
        <v>0</v>
      </c>
      <c r="K305"/>
      <c r="L305"/>
      <c r="M305"/>
      <c r="N305"/>
      <c r="O305"/>
      <c r="P305"/>
      <c r="Q305"/>
      <c r="R305"/>
      <c r="S305" s="1307"/>
      <c r="T305"/>
    </row>
    <row r="306" spans="1:20" x14ac:dyDescent="0.2">
      <c r="A306"/>
      <c r="B306"/>
      <c r="C306" s="292"/>
      <c r="D306"/>
      <c r="E306"/>
      <c r="F306" s="345"/>
      <c r="G306" s="292"/>
      <c r="H306"/>
      <c r="I306"/>
      <c r="J306" s="345"/>
      <c r="K306"/>
      <c r="L306"/>
      <c r="M306"/>
      <c r="N306"/>
      <c r="O306"/>
      <c r="P306"/>
      <c r="Q306"/>
      <c r="R306"/>
      <c r="S306" s="1307"/>
      <c r="T306"/>
    </row>
    <row r="307" spans="1:20" x14ac:dyDescent="0.2">
      <c r="A307" s="106" t="s">
        <v>5447</v>
      </c>
      <c r="B307" s="5"/>
      <c r="C307" s="1299"/>
      <c r="D307" s="523"/>
      <c r="E307" s="5"/>
      <c r="F307" s="1322"/>
      <c r="G307" s="1299"/>
      <c r="H307" s="523"/>
      <c r="I307" s="5"/>
      <c r="J307" s="1322"/>
      <c r="K307"/>
      <c r="L307"/>
      <c r="M307"/>
      <c r="N307"/>
      <c r="O307"/>
      <c r="P307"/>
      <c r="Q307"/>
      <c r="R307"/>
      <c r="S307" s="1307"/>
      <c r="T307"/>
    </row>
    <row r="308" spans="1:20" x14ac:dyDescent="0.2">
      <c r="A308" t="s">
        <v>5068</v>
      </c>
      <c r="B308" t="s">
        <v>5529</v>
      </c>
      <c r="C308" s="1295">
        <f>SUMIFS('12'!$N$7:$N$100,'12'!$H$7:$H$100,$A308,'12'!$I$7:$I$100,1)+SUMIFS('13'!$N$7:$N$100,'13'!$H$7:$H$100,$A308,'13'!$I$7:$I$100,1)+SUMIFS('14'!$N$7:$N$100,'14'!$H$7:$H$100,$A308,'14'!$I$7:$I$100,1)+SUMIFS('15'!$N$7:$N$100,'15'!$H$7:$H$100,$A308,'15'!$I$7:$I$100,1)+SUMIFS('15a'!$N$7:$N$100,'15a'!$H$7:$H$100,$A308,'15a'!$I$7:$I$100,1)+SUMIFS('15b'!$N$7:$N$100,'15b'!$H$7:$H$100,$A308,'15b'!$I$7:$I$100,1)+SUMIFS('15c'!$N$7:$N$100,'15c'!$H$7:$H$100,$A308,'15c'!$I$7:$I$100,1)+SUMIFS('15d'!$N$7:$N$100,'15d'!$H$7:$H$100,$A308,'15d'!$I$7:$I$100,1)+SUMIFS('15e'!$N$7:$N$100,'15e'!$H$7:$H$100,$A308,'15e'!$I$7:$I$100,1)+SUMIFS('15f'!$N$7:$N$100,'15f'!$H$7:$H$100,$A308,'15f'!$I$7:$I$100,1)+SUMIFS('15g'!$N$7:$N$100,'15g'!$H$7:$H$100,$A308,'15g'!$I$7:$I$100,1)+SUMIFS('15h'!$N$7:$N$100,'15h'!$H$7:$H$100,$A308,'15h'!$I$7:$I$100,1)+SUMIFS('15i'!$N$7:$N$100,'15i'!$H$7:$H$100,$A308,'15i'!$I$7:$I$100,1)+SUMIFS('15j'!$N$7:$N$100,'15j'!$H$7:$H$100,$A308,'15j'!$I$7:$I$100,1)+SUMIFS('15k'!$N$7:$N$100,'15k'!$H$7:$H$100,$A308,'15k'!$I$7:$I$100,1)+SUMIFS('15l'!$N$7:$N$100,'15l'!$H$7:$H$100,$A308,'15l'!$I$7:$I$100,1)+SUMIFS('15m'!$N$7:$N$100,'15m'!$H$7:$H$100,$A308,'15m'!$I$7:$I$100,1)+SUMIFS('15n'!$N$7:$N$100,'15n'!$H$7:$H$100,$A308,'15n'!$I$7:$I$100,1)+SUMIFS('16'!$N$7:$N$100,'16'!$H$7:$H$100,$A308,'16'!$I$7:$I$100,1)+SUMIFS('16a'!$N$7:$N$100,'16a'!$H$7:$H$100,$A308,'16a'!$I$7:$I$100,1)+SUMIFS('17'!$N$7:$N$100,'17'!$H$7:$H$100,$A308,'17'!$I$7:$I$100,1)+SUMIFS('17a'!$N$7:$N$100,'17a'!$H$7:$H$100,$A308,'17a'!$I$7:$I$100,1)+SUMIFS('18'!$N$7:$N$100,'18'!$H$7:$H$100,$A308,'18'!$I$7:$I$100,1)+SUMIFS('18a'!$N$7:$N$100,'18a'!$H$7:$H$100,$A308,'18a'!$I$7:$I$100,1)
+SUMIFS('19'!$N$7:$N$100,'19'!$H$7:$H$100,$A308,'19'!$I$7:$I$100,1)+SUMIFS('20'!$N$7:$N$100,'20'!$H$7:$H$100,$A308,'20'!$I$7:$I$100,1)+SUMIFS('20a'!$N$7:$N$100,'20a'!$H$7:$H$100,$A308,'20a'!$I$7:$I$100,1)+SUMIFS('21'!$N$7:$N$100,'21'!$H$7:$H$100,$A308,'21'!$I$7:$I$100,1)+SUMIFS('22'!$N$7:$N$100,'22'!$H$7:$H$100,$A308,'22'!$I$7:$I$100,1)+SUMIFS('22a'!$N$7:$N$100,'22a'!$H$7:$H$100,$A308,'22a'!$I$7:$I$100,1)+SUMIFS('22b'!$N$7:$N$100,'22b'!$H$7:$H$100,$A308,'22b'!$I$7:$I$100,1)+SUMIFS('23'!$N$7:$N$100,'23'!$H$7:$H$100,$A308,'23'!$I$7:$I$100,1)+SUMIFS('24'!$N$7:$N$100,'24'!$H$7:$H$100,$A308,'24'!$I$7:$I$100,1)+SUMIFS('24a'!$N$7:$N$100,'24a'!$H$7:$H$100,$A308,'24a'!$I$7:$I$100,1)+SUMIFS('24b'!$N$7:$N$100,'24b'!$H$7:$H$100,$A308,'24b'!$I$7:$I$100,1)+SUMIFS('24c'!$N$7:$N$100,'24c'!$H$7:$H$100,$A308,'24c'!$I$7:$I$100,1)+SUMIFS('24d'!$N$7:$N$100,'24d'!$H$7:$H$100,$A308,'24d'!$I$7:$I$100,1)+SUMIFS('24e'!$N$7:$N$100,'24e'!$H$7:$H$100,$A308,'24e'!$I$7:$I$100,1)+SUMIFS('24f'!$N$7:$N$100,'24f'!$H$7:$H$100,$A308,'24f'!$I$7:$I$100,1)+SUMIFS('24g'!$N$7:$N$100,'24g'!$H$7:$H$100,$A308,'24g'!$I$7:$I$100,1)+SUMIFS('24h'!$N$7:$N$100,'24h'!$H$7:$H$100,$A308,'24h'!$I$7:$I$100,1)+SUMIFS('24i'!$N$7:$N$100,'24i'!$H$7:$H$100,$A308,'24i'!$I$7:$I$100,1)+SUMIFS('25'!$N$7:$N$100,'25'!$H$7:$H$100,$A308,'25'!$I$7:$I$100,1)+SUMIFS('26'!$N$7:$N$100,'26'!$H$7:$H$100,$A308,'26'!$I$7:$I$100,1)+SUMIFS('26a'!$N$7:$N$100,'26a'!$H$7:$H$100,$A308,'26a'!$I$7:$I$100,1)+SUMIFS('27'!$N$7:$N$100,'27'!$H$7:$H$100,$A308,'27'!$I$7:$I$100,1)+SUMIFS('27a'!$N$7:$N$100,'27a'!$H$7:$H$100,$A308,'27a'!$I$7:$I$100,1)+SUMIFS('28'!$N$7:$N$100,'28'!$H$7:$H$100,$A308,'28'!$I$7:$I$100,1)+SUMIFS('29'!$N$7:$N$100,'29'!$H$7:$H$100,$A308,'29'!$I$7:$I$100,1)</f>
        <v>0</v>
      </c>
      <c r="D308" s="1315">
        <f>SUMIFS('12'!$N$7:$N$100,'12'!$H$7:$H$100,$A308,'12'!$I$7:$I$100,2)+SUMIFS('13'!$N$7:$N$100,'13'!$H$7:$H$100,$A308,'13'!$I$7:$I$100,2)+SUMIFS('14'!$N$7:$N$100,'14'!$H$7:$H$100,$A308,'14'!$I$7:$I$100,2)+SUMIFS('15'!$N$7:$N$100,'15'!$H$7:$H$100,$A308,'15'!$I$7:$I$100,2)+SUMIFS('15a'!$N$7:$N$100,'15a'!$H$7:$H$100,$A308,'15a'!$I$7:$I$100,2)+SUMIFS('15b'!$N$7:$N$100,'15b'!$H$7:$H$100,$A308,'15b'!$I$7:$I$100,2)+SUMIFS('15c'!$N$7:$N$100,'15c'!$H$7:$H$100,$A308,'15c'!$I$7:$I$100,2)+SUMIFS('15d'!$N$7:$N$100,'15d'!$H$7:$H$100,$A308,'15d'!$I$7:$I$100,2)+SUMIFS('15e'!$N$7:$N$100,'15e'!$H$7:$H$100,$A308,'15e'!$I$7:$I$100,2)+SUMIFS('15f'!$N$7:$N$100,'15f'!$H$7:$H$100,$A308,'15f'!$I$7:$I$100,2)+SUMIFS('15g'!$N$7:$N$100,'15g'!$H$7:$H$100,$A308,'15g'!$I$7:$I$100,2)+SUMIFS('15h'!$N$7:$N$100,'15h'!$H$7:$H$100,$A308,'15h'!$I$7:$I$100,2)+SUMIFS('15i'!$N$7:$N$100,'15i'!$H$7:$H$100,$A308,'15i'!$I$7:$I$100,2)+SUMIFS('15j'!$N$7:$N$100,'15j'!$H$7:$H$100,$A308,'15j'!$I$7:$I$100,2)+SUMIFS('15k'!$N$7:$N$100,'15k'!$H$7:$H$100,$A308,'15k'!$I$7:$I$100,2)+SUMIFS('15l'!$N$7:$N$100,'15l'!$H$7:$H$100,$A308,'15l'!$I$7:$I$100,2)+SUMIFS('15m'!$N$7:$N$100,'15m'!$H$7:$H$100,$A308,'15m'!$I$7:$I$100,2)+SUMIFS('15n'!$N$7:$N$100,'15n'!$H$7:$H$100,$A308,'15n'!$I$7:$I$100,2)+SUMIFS('16'!$N$7:$N$100,'16'!$H$7:$H$100,$A308,'16'!$I$7:$I$100,2)+SUMIFS('16a'!$N$7:$N$100,'16a'!$H$7:$H$100,$A308,'16a'!$I$7:$I$100,2)+SUMIFS('17'!$N$7:$N$100,'17'!$H$7:$H$100,$A308,'17'!$I$7:$I$100,2)+SUMIFS('17a'!$N$7:$N$100,'17a'!$H$7:$H$100,$A308,'17a'!$I$7:$I$100,2)+SUMIFS('18'!$N$7:$N$100,'18'!$H$7:$H$100,$A308,'18'!$I$7:$I$100,2)+SUMIFS('18a'!$N$7:$N$100,'18a'!$H$7:$H$100,$A308,'18a'!$I$7:$I$100,2)
+SUMIFS('19'!$N$7:$N$100,'19'!$H$7:$H$100,$A308,'19'!$I$7:$I$100,2)+SUMIFS('20'!$N$7:$N$100,'20'!$H$7:$H$100,$A308,'20'!$I$7:$I$100,2)+SUMIFS('20a'!$N$7:$N$100,'20a'!$H$7:$H$100,$A308,'20a'!$I$7:$I$100,2)+SUMIFS('21'!$N$7:$N$100,'21'!$H$7:$H$100,$A308,'21'!$I$7:$I$100,2)+SUMIFS('22'!$N$7:$N$100,'22'!$H$7:$H$100,$A308,'22'!$I$7:$I$100,2)+SUMIFS('22a'!$N$7:$N$100,'22a'!$H$7:$H$100,$A308,'22a'!$I$7:$I$100,2)+SUMIFS('22b'!$N$7:$N$100,'22b'!$H$7:$H$100,$A308,'22b'!$I$7:$I$100,2)+SUMIFS('23'!$N$7:$N$100,'23'!$H$7:$H$100,$A308,'23'!$I$7:$I$100,2)+SUMIFS('24'!$N$7:$N$100,'24'!$H$7:$H$100,$A308,'24'!$I$7:$I$100,2)+SUMIFS('24a'!$N$7:$N$100,'24a'!$H$7:$H$100,$A308,'24a'!$I$7:$I$100,2)+SUMIFS('24b'!$N$7:$N$100,'24b'!$H$7:$H$100,$A308,'24b'!$I$7:$I$100,2)+SUMIFS('24c'!$N$7:$N$100,'24c'!$H$7:$H$100,$A308,'24c'!$I$7:$I$100,2)+SUMIFS('24d'!$N$7:$N$100,'24d'!$H$7:$H$100,$A308,'24d'!$I$7:$I$100,2)+SUMIFS('24e'!$N$7:$N$100,'24e'!$H$7:$H$100,$A308,'24e'!$I$7:$I$100,2)+SUMIFS('24f'!$N$7:$N$100,'24f'!$H$7:$H$100,$A308,'24f'!$I$7:$I$100,2)+SUMIFS('24g'!$N$7:$N$100,'24g'!$H$7:$H$100,$A308,'24g'!$I$7:$I$100,2)+SUMIFS('24h'!$N$7:$N$100,'24h'!$H$7:$H$100,$A308,'24h'!$I$7:$I$100,2)+SUMIFS('24i'!$N$7:$N$100,'24i'!$H$7:$H$100,$A308,'24i'!$I$7:$I$100,2)+SUMIFS('25'!$N$7:$N$100,'25'!$H$7:$H$100,$A308,'25'!$I$7:$I$100,2)+SUMIFS('26'!$N$7:$N$100,'26'!$H$7:$H$100,$A308,'26'!$I$7:$I$100,2)+SUMIFS('26a'!$N$7:$N$100,'26a'!$H$7:$H$100,$A308,'26a'!$I$7:$I$100,2)+SUMIFS('27'!$N$7:$N$100,'27'!$H$7:$H$100,$A308,'27'!$I$7:$I$100,2)+SUMIFS('27a'!$N$7:$N$100,'27a'!$H$7:$H$100,$A308,'27a'!$I$7:$I$100,2)+SUMIFS('28'!$N$7:$N$100,'28'!$H$7:$H$100,$A308,'28'!$I$7:$I$100,2)+SUMIFS('29'!$N$7:$N$100,'29'!$H$7:$H$100,$A308,'29'!$I$7:$I$100,2)</f>
        <v>0</v>
      </c>
      <c r="E308" s="1315">
        <f>SUMIFS('12'!$N$7:$N$100,'12'!$H$7:$H$100,$A308,'12'!$I$7:$I$100,"")+SUMIFS('13'!$N$7:$N$100,'13'!$H$7:$H$100,$A308,'13'!$I$7:$I$100,"")+SUMIFS('14'!$N$7:$N$100,'14'!$H$7:$H$100,$A308,'14'!$I$7:$I$100,"")+SUMIFS('15'!$N$7:$N$100,'15'!$H$7:$H$100,$A308,'15'!$I$7:$I$100,"")+SUMIFS('15a'!$N$7:$N$100,'15a'!$H$7:$H$100,$A308,'15a'!$I$7:$I$100,"")+SUMIFS('15b'!$N$7:$N$100,'15b'!$H$7:$H$100,$A308,'15b'!$I$7:$I$100,"")+SUMIFS('15c'!$N$7:$N$100,'15c'!$H$7:$H$100,$A308,'15c'!$I$7:$I$100,"")+SUMIFS('15d'!$N$7:$N$100,'15d'!$H$7:$H$100,$A308,'15d'!$I$7:$I$100,"")+SUMIFS('15e'!$N$7:$N$100,'15e'!$H$7:$H$100,$A308,'15e'!$I$7:$I$100,"")+SUMIFS('15f'!$N$7:$N$100,'15f'!$H$7:$H$100,$A308,'15f'!$I$7:$I$100,"")+SUMIFS('15g'!$N$7:$N$100,'15g'!$H$7:$H$100,$A308,'15g'!$I$7:$I$100,"")+SUMIFS('15h'!$N$7:$N$100,'15h'!$H$7:$H$100,$A308,'15h'!$I$7:$I$100,"")+SUMIFS('15i'!$N$7:$N$100,'15i'!$H$7:$H$100,$A308,'15i'!$I$7:$I$100,"")+SUMIFS('15j'!$N$7:$N$100,'15j'!$H$7:$H$100,$A308,'15j'!$I$7:$I$100,"")+SUMIFS('15k'!$N$7:$N$100,'15k'!$H$7:$H$100,$A308,'15k'!$I$7:$I$100,"")+SUMIFS('15l'!$N$7:$N$100,'15l'!$H$7:$H$100,$A308,'15l'!$I$7:$I$100,"")+SUMIFS('15m'!$N$7:$N$100,'15m'!$H$7:$H$100,$A308,'15m'!$I$7:$I$100,"")+SUMIFS('15n'!$N$7:$N$100,'15n'!$H$7:$H$100,$A308,'15n'!$I$7:$I$100,"")+SUMIFS('16'!$N$7:$N$100,'16'!$H$7:$H$100,$A308,'16'!$I$7:$I$100,"")+SUMIFS('16a'!$N$7:$N$100,'16a'!$H$7:$H$100,$A308,'16a'!$I$7:$I$100,"")+SUMIFS('17'!$N$7:$N$100,'17'!$H$7:$H$100,$A308,'17'!$I$7:$I$100,"")+SUMIFS('17a'!$N$7:$N$100,'17a'!$H$7:$H$100,$A308,'17a'!$I$7:$I$100,"")+SUMIFS('18'!$N$7:$N$100,'18'!$H$7:$H$100,$A308,'18'!$I$7:$I$100,"")+SUMIFS('18a'!$N$7:$N$100,'18a'!$H$7:$H$100,$A308,'18a'!$I$7:$I$100,"")
+SUMIFS('19'!$N$7:$N$100,'19'!$H$7:$H$100,$A308,'19'!$I$7:$I$100,"")+SUMIFS('20'!$N$7:$N$100,'20'!$H$7:$H$100,$A308,'20'!$I$7:$I$100,"")+SUMIFS('20a'!$N$7:$N$100,'20a'!$H$7:$H$100,$A308,'20a'!$I$7:$I$100,"")+SUMIFS('21'!$N$7:$N$100,'21'!$H$7:$H$100,$A308,'21'!$I$7:$I$100,"")+SUMIFS('22'!$N$7:$N$100,'22'!$H$7:$H$100,$A308,'22'!$I$7:$I$100,"")+SUMIFS('22a'!$N$7:$N$100,'22a'!$H$7:$H$100,$A308,'22a'!$I$7:$I$100,"")+SUMIFS('22b'!$N$7:$N$100,'22b'!$H$7:$H$100,$A308,'22b'!$I$7:$I$100,"")+SUMIFS('23'!$N$7:$N$100,'23'!$H$7:$H$100,$A308,'23'!$I$7:$I$100,"")+SUMIFS('24'!$N$7:$N$100,'24'!$H$7:$H$100,$A308,'24'!$I$7:$I$100,"")+SUMIFS('24a'!$N$7:$N$100,'24a'!$H$7:$H$100,$A308,'24a'!$I$7:$I$100,"")+SUMIFS('24b'!$N$7:$N$100,'24b'!$H$7:$H$100,$A308,'24b'!$I$7:$I$100,"")+SUMIFS('24c'!$N$7:$N$100,'24c'!$H$7:$H$100,$A308,'24c'!$I$7:$I$100,"")+SUMIFS('24d'!$N$7:$N$100,'24d'!$H$7:$H$100,$A308,'24d'!$I$7:$I$100,"")+SUMIFS('24e'!$N$7:$N$100,'24e'!$H$7:$H$100,$A308,'24e'!$I$7:$I$100,"")+SUMIFS('24f'!$N$7:$N$100,'24f'!$H$7:$H$100,$A308,'24f'!$I$7:$I$100,"")+SUMIFS('24g'!$N$7:$N$100,'24g'!$H$7:$H$100,$A308,'24g'!$I$7:$I$100,"")+SUMIFS('24h'!$N$7:$N$100,'24h'!$H$7:$H$100,$A308,'24h'!$I$7:$I$100,"")+SUMIFS('24i'!$N$7:$N$100,'24i'!$H$7:$H$100,$A308,'24i'!$I$7:$I$100,"")+SUMIFS('25'!$N$7:$N$100,'25'!$H$7:$H$100,$A308,'25'!$I$7:$I$100,"")+SUMIFS('26'!$N$7:$N$100,'26'!$H$7:$H$100,$A308,'26'!$I$7:$I$100,"")+SUMIFS('26a'!$N$7:$N$100,'26a'!$H$7:$H$100,$A308,'26a'!$I$7:$I$100,"")+SUMIFS('27'!$N$7:$N$100,'27'!$H$7:$H$100,$A308,'27'!$I$7:$I$100,"")+SUMIFS('27a'!$N$7:$N$100,'27a'!$H$7:$H$100,$A308,'27a'!$I$7:$I$100,"")+SUMIFS('28'!$N$7:$N$100,'28'!$H$7:$H$100,$A308,'28'!$I$7:$I$100,"")+SUMIFS('29'!$N$7:$N$100,'29'!$H$7:$H$100,$A308,'29'!$I$7:$I$100,"")</f>
        <v>0</v>
      </c>
      <c r="F308" s="1296">
        <f>SUM(C308:E308)</f>
        <v>0</v>
      </c>
      <c r="G308" s="1295">
        <f>SUMIFS('12'!$J$7:$J$100,'12'!$H$7:$H$100,$A308,'12'!$I$7:$I$100,1)+SUMIFS('13'!$J$7:$J$100,'13'!$H$7:$H$100,$A308,'13'!$I$7:$I$100,1)+SUMIFS('14'!$J$7:$J$100,'14'!$H$7:$H$100,$A308,'14'!$I$7:$I$100,1)+SUMIFS('15'!$J$7:$J$100,'15'!$H$7:$H$100,$A308,'15'!$I$7:$I$100,1)+SUMIFS('15a'!$J$7:$J$100,'15a'!$H$7:$H$100,$A308,'15a'!$I$7:$I$100,1)+SUMIFS('15b'!$J$7:$J$100,'15b'!$H$7:$H$100,$A308,'15b'!$I$7:$I$100,1)+SUMIFS('15c'!$J$7:$J$100,'15c'!$H$7:$H$100,$A308,'15c'!$I$7:$I$100,1)+SUMIFS('15d'!$J$7:$J$100,'15d'!$H$7:$H$100,$A308,'15d'!$I$7:$I$100,1)+SUMIFS('15e'!$J$7:$J$100,'15e'!$H$7:$H$100,$A308,'15e'!$I$7:$I$100,1)+SUMIFS('15f'!$J$7:$J$100,'15f'!$H$7:$H$100,$A308,'15f'!$I$7:$I$100,1)+SUMIFS('15g'!$J$7:$J$100,'15g'!$H$7:$H$100,$A308,'15g'!$I$7:$I$100,1)+SUMIFS('15h'!$J$7:$J$100,'15h'!$H$7:$H$100,$A308,'15h'!$I$7:$I$100,1)+SUMIFS('15i'!$J$7:$J$100,'15i'!$H$7:$H$100,$A308,'15i'!$I$7:$I$100,1)+SUMIFS('15j'!$J$7:$J$100,'15j'!$H$7:$H$100,$A308,'15j'!$I$7:$I$100,1)+SUMIFS('15k'!$J$7:$J$100,'15k'!$H$7:$H$100,$A308,'15k'!$I$7:$I$100,1)+SUMIFS('15l'!$J$7:$J$100,'15l'!$H$7:$H$100,$A308,'15l'!$I$7:$I$100,1)+SUMIFS('15m'!$J$7:$J$100,'15m'!$H$7:$H$100,$A308,'15m'!$I$7:$I$100,1)+SUMIFS('15n'!$J$7:$J$100,'15n'!$H$7:$H$100,$A308,'15n'!$I$7:$I$100,1)+SUMIFS('16'!$J$7:$J$100,'16'!$H$7:$H$100,$A308,'16'!$I$7:$I$100,1)+SUMIFS('16a'!$J$7:$J$100,'16a'!$H$7:$H$100,$A308,'16a'!$I$7:$I$100,1)+SUMIFS('17'!$J$7:$J$100,'17'!$H$7:$H$100,$A308,'17'!$I$7:$I$100,1)+SUMIFS('17a'!$J$7:$J$100,'17a'!$H$7:$H$100,$A308,'17a'!$I$7:$I$100,1)+SUMIFS('18'!$J$7:$J$100,'18'!$H$7:$H$100,$A308,'18'!$I$7:$I$100,1)+SUMIFS('18a'!$J$7:$J$100,'18a'!$H$7:$H$100,$A308,'18a'!$I$7:$I$100,1)
+SUMIFS('19'!$J$7:$J$100,'19'!$H$7:$H$100,$A308,'19'!$I$7:$I$100,1)+SUMIFS('20'!$J$7:$J$100,'20'!$H$7:$H$100,$A308,'20'!$I$7:$I$100,1)+SUMIFS('20a'!$J$7:$J$100,'20a'!$H$7:$H$100,$A308,'20a'!$I$7:$I$100,1)+SUMIFS('21'!$J$7:$J$100,'21'!$H$7:$H$100,$A308,'21'!$I$7:$I$100,1)+SUMIFS('22'!$J$7:$J$100,'22'!$H$7:$H$100,$A308,'22'!$I$7:$I$100,1)+SUMIFS('22a'!$J$7:$J$100,'22a'!$H$7:$H$100,$A308,'22a'!$I$7:$I$100,1)+SUMIFS('22b'!$J$7:$J$100,'22b'!$H$7:$H$100,$A308,'22b'!$I$7:$I$100,1)+SUMIFS('23'!$J$7:$J$100,'23'!$H$7:$H$100,$A308,'23'!$I$7:$I$100,1)+SUMIFS('24'!$J$7:$J$100,'24'!$H$7:$H$100,$A308,'24'!$I$7:$I$100,1)+SUMIFS('24a'!$J$7:$J$100,'24a'!$H$7:$H$100,$A308,'24a'!$I$7:$I$100,1)+SUMIFS('24b'!$J$7:$J$100,'24b'!$H$7:$H$100,$A308,'24b'!$I$7:$I$100,1)+SUMIFS('24c'!$J$7:$J$100,'24c'!$H$7:$H$100,$A308,'24c'!$I$7:$I$100,1)+SUMIFS('24d'!$J$7:$J$100,'24d'!$H$7:$H$100,$A308,'24d'!$I$7:$I$100,1)+SUMIFS('24e'!$J$7:$J$100,'24e'!$H$7:$H$100,$A308,'24e'!$I$7:$I$100,1)+SUMIFS('24f'!$J$7:$J$100,'24f'!$H$7:$H$100,$A308,'24f'!$I$7:$I$100,1)+SUMIFS('24g'!$J$7:$J$100,'24g'!$H$7:$H$100,$A308,'24g'!$I$7:$I$100,1)+SUMIFS('24h'!$J$7:$J$100,'24h'!$H$7:$H$100,$A308,'24h'!$I$7:$I$100,1)+SUMIFS('24i'!$J$7:$J$100,'24i'!$H$7:$H$100,$A308,'24i'!$I$7:$I$100,1)+SUMIFS('25'!$J$7:$J$100,'25'!$H$7:$H$100,$A308,'25'!$I$7:$I$100,1)+SUMIFS('26'!$J$7:$J$100,'26'!$H$7:$H$100,$A308,'26'!$I$7:$I$100,1)+SUMIFS('26a'!$J$7:$J$100,'26a'!$H$7:$H$100,$A308,'26a'!$I$7:$I$100,1)+SUMIFS('27'!$J$7:$J$100,'27'!$H$7:$H$100,$A308,'27'!$I$7:$I$100,1)+SUMIFS('27a'!$J$7:$J$100,'27a'!$H$7:$H$100,$A308,'27a'!$I$7:$I$100,1)+SUMIFS('28'!$J$7:$J$100,'28'!$H$7:$H$100,$A308,'28'!$I$7:$I$100,1)+SUMIFS('29'!$J$7:$J$100,'29'!$H$7:$H$100,$A308,'29'!$I$7:$I$100,1)</f>
        <v>0</v>
      </c>
      <c r="H308" s="1315">
        <f>SUMIFS('12'!$J$7:$J$100,'12'!$H$7:$H$100,$A308,'12'!$I$7:$I$100,2)+SUMIFS('13'!$J$7:$J$100,'13'!$H$7:$H$100,$A308,'13'!$I$7:$I$100,2)+SUMIFS('14'!$J$7:$J$100,'14'!$H$7:$H$100,$A308,'14'!$I$7:$I$100,2)+SUMIFS('15'!$J$7:$J$100,'15'!$H$7:$H$100,$A308,'15'!$I$7:$I$100,2)+SUMIFS('15a'!$J$7:$J$100,'15a'!$H$7:$H$100,$A308,'15a'!$I$7:$I$100,2)+SUMIFS('15b'!$J$7:$J$100,'15b'!$H$7:$H$100,$A308,'15b'!$I$7:$I$100,2)+SUMIFS('15c'!$J$7:$J$100,'15c'!$H$7:$H$100,$A308,'15c'!$I$7:$I$100,2)+SUMIFS('15d'!$J$7:$J$100,'15d'!$H$7:$H$100,$A308,'15d'!$I$7:$I$100,2)+SUMIFS('15e'!$J$7:$J$100,'15e'!$H$7:$H$100,$A308,'15e'!$I$7:$I$100,2)+SUMIFS('15f'!$J$7:$J$100,'15f'!$H$7:$H$100,$A308,'15f'!$I$7:$I$100,2)+SUMIFS('15g'!$J$7:$J$100,'15g'!$H$7:$H$100,$A308,'15g'!$I$7:$I$100,2)+SUMIFS('15h'!$J$7:$J$100,'15h'!$H$7:$H$100,$A308,'15h'!$I$7:$I$100,2)+SUMIFS('15i'!$J$7:$J$100,'15i'!$H$7:$H$100,$A308,'15i'!$I$7:$I$100,2)+SUMIFS('15j'!$J$7:$J$100,'15j'!$H$7:$H$100,$A308,'15j'!$I$7:$I$100,2)+SUMIFS('15k'!$J$7:$J$100,'15k'!$H$7:$H$100,$A308,'15k'!$I$7:$I$100,2)+SUMIFS('15l'!$J$7:$J$100,'15l'!$H$7:$H$100,$A308,'15l'!$I$7:$I$100,2)+SUMIFS('15m'!$J$7:$J$100,'15m'!$H$7:$H$100,$A308,'15m'!$I$7:$I$100,2)+SUMIFS('15n'!$J$7:$J$100,'15n'!$H$7:$H$100,$A308,'15n'!$I$7:$I$100,2)+SUMIFS('16'!$J$7:$J$100,'16'!$H$7:$H$100,$A308,'16'!$I$7:$I$100,2)+SUMIFS('16a'!$J$7:$J$100,'16a'!$H$7:$H$100,$A308,'16a'!$I$7:$I$100,2)+SUMIFS('17'!$J$7:$J$100,'17'!$H$7:$H$100,$A308,'17'!$I$7:$I$100,2)+SUMIFS('17a'!$J$7:$J$100,'17a'!$H$7:$H$100,$A308,'17a'!$I$7:$I$100,2)+SUMIFS('18'!$J$7:$J$100,'18'!$H$7:$H$100,$A308,'18'!$I$7:$I$100,2)+SUMIFS('18a'!$J$7:$J$100,'18a'!$H$7:$H$100,$A308,'18a'!$I$7:$I$100,2)
+SUMIFS('19'!$J$7:$J$100,'19'!$H$7:$H$100,$A308,'19'!$I$7:$I$100,2)+SUMIFS('20'!$J$7:$J$100,'20'!$H$7:$H$100,$A308,'20'!$I$7:$I$100,2)+SUMIFS('20a'!$J$7:$J$100,'20a'!$H$7:$H$100,$A308,'20a'!$I$7:$I$100,2)+SUMIFS('21'!$J$7:$J$100,'21'!$H$7:$H$100,$A308,'21'!$I$7:$I$100,2)+SUMIFS('22'!$J$7:$J$100,'22'!$H$7:$H$100,$A308,'22'!$I$7:$I$100,2)+SUMIFS('22a'!$J$7:$J$100,'22a'!$H$7:$H$100,$A308,'22a'!$I$7:$I$100,2)+SUMIFS('22b'!$J$7:$J$100,'22b'!$H$7:$H$100,$A308,'22b'!$I$7:$I$100,2)+SUMIFS('23'!$J$7:$J$100,'23'!$H$7:$H$100,$A308,'23'!$I$7:$I$100,2)+SUMIFS('24'!$J$7:$J$100,'24'!$H$7:$H$100,$A308,'24'!$I$7:$I$100,2)+SUMIFS('24a'!$J$7:$J$100,'24a'!$H$7:$H$100,$A308,'24a'!$I$7:$I$100,2)+SUMIFS('24b'!$J$7:$J$100,'24b'!$H$7:$H$100,$A308,'24b'!$I$7:$I$100,2)+SUMIFS('24c'!$J$7:$J$100,'24c'!$H$7:$H$100,$A308,'24c'!$I$7:$I$100,2)+SUMIFS('24d'!$J$7:$J$100,'24d'!$H$7:$H$100,$A308,'24d'!$I$7:$I$100,2)+SUMIFS('24e'!$J$7:$J$100,'24e'!$H$7:$H$100,$A308,'24e'!$I$7:$I$100,2)+SUMIFS('24f'!$J$7:$J$100,'24f'!$H$7:$H$100,$A308,'24f'!$I$7:$I$100,2)+SUMIFS('24g'!$J$7:$J$100,'24g'!$H$7:$H$100,$A308,'24g'!$I$7:$I$100,2)+SUMIFS('24h'!$J$7:$J$100,'24h'!$H$7:$H$100,$A308,'24h'!$I$7:$I$100,2)+SUMIFS('24i'!$J$7:$J$100,'24i'!$H$7:$H$100,$A308,'24i'!$I$7:$I$100,2)+SUMIFS('25'!$J$7:$J$100,'25'!$H$7:$H$100,$A308,'25'!$I$7:$I$100,2)+SUMIFS('26'!$J$7:$J$100,'26'!$H$7:$H$100,$A308,'26'!$I$7:$I$100,2)+SUMIFS('26a'!$J$7:$J$100,'26a'!$H$7:$H$100,$A308,'26a'!$I$7:$I$100,2)+SUMIFS('27'!$J$7:$J$100,'27'!$H$7:$H$100,$A308,'27'!$I$7:$I$100,2)+SUMIFS('27a'!$J$7:$J$100,'27a'!$H$7:$H$100,$A308,'27a'!$I$7:$I$100,2)+SUMIFS('28'!$J$7:$J$100,'28'!$H$7:$H$100,$A308,'28'!$I$7:$I$100,2)+SUMIFS('29'!$J$7:$J$100,'29'!$H$7:$H$100,$A308,'29'!$I$7:$I$100,2)</f>
        <v>0</v>
      </c>
      <c r="I308" s="1315">
        <f>SUMIFS('12'!$J$7:$J$100,'12'!$H$7:$H$100,$A308,'12'!$I$7:$I$100,"")+SUMIFS('13'!$J$7:$J$100,'13'!$H$7:$H$100,$A308,'13'!$I$7:$I$100,"")+SUMIFS('14'!$J$7:$J$100,'14'!$H$7:$H$100,$A308,'14'!$I$7:$I$100,"")+SUMIFS('15'!$J$7:$J$100,'15'!$H$7:$H$100,$A308,'15'!$I$7:$I$100,"")+SUMIFS('15a'!$J$7:$J$100,'15a'!$H$7:$H$100,$A308,'15a'!$I$7:$I$100,"")+SUMIFS('15b'!$J$7:$J$100,'15b'!$H$7:$H$100,$A308,'15b'!$I$7:$I$100,"")+SUMIFS('15c'!$J$7:$J$100,'15c'!$H$7:$H$100,$A308,'15c'!$I$7:$I$100,"")+SUMIFS('15d'!$J$7:$J$100,'15d'!$H$7:$H$100,$A308,'15d'!$I$7:$I$100,"")+SUMIFS('15e'!$J$7:$J$100,'15e'!$H$7:$H$100,$A308,'15e'!$I$7:$I$100,"")+SUMIFS('15f'!$J$7:$J$100,'15f'!$H$7:$H$100,$A308,'15f'!$I$7:$I$100,"")+SUMIFS('15g'!$J$7:$J$100,'15g'!$H$7:$H$100,$A308,'15g'!$I$7:$I$100,"")+SUMIFS('15h'!$J$7:$J$100,'15h'!$H$7:$H$100,$A308,'15h'!$I$7:$I$100,"")+SUMIFS('15i'!$J$7:$J$100,'15i'!$H$7:$H$100,$A308,'15i'!$I$7:$I$100,"")+SUMIFS('15j'!$J$7:$J$100,'15j'!$H$7:$H$100,$A308,'15j'!$I$7:$I$100,"")+SUMIFS('15k'!$J$7:$J$100,'15k'!$H$7:$H$100,$A308,'15k'!$I$7:$I$100,"")+SUMIFS('15l'!$J$7:$J$100,'15l'!$H$7:$H$100,$A308,'15l'!$I$7:$I$100,"")+SUMIFS('15m'!$J$7:$J$100,'15m'!$H$7:$H$100,$A308,'15m'!$I$7:$I$100,"")+SUMIFS('15n'!$J$7:$J$100,'15n'!$H$7:$H$100,$A308,'15n'!$I$7:$I$100,"")+SUMIFS('16'!$J$7:$J$100,'16'!$H$7:$H$100,$A308,'16'!$I$7:$I$100,"")+SUMIFS('16a'!$J$7:$J$100,'16a'!$H$7:$H$100,$A308,'16a'!$I$7:$I$100,"")+SUMIFS('17'!$J$7:$J$100,'17'!$H$7:$H$100,$A308,'17'!$I$7:$I$100,"")+SUMIFS('17a'!$J$7:$J$100,'17a'!$H$7:$H$100,$A308,'17a'!$I$7:$I$100,"")+SUMIFS('18'!$J$7:$J$100,'18'!$H$7:$H$100,$A308,'18'!$I$7:$I$100,"")+SUMIFS('18a'!$J$7:$J$100,'18a'!$H$7:$H$100,$A308,'18a'!$I$7:$I$100,"")
+SUMIFS('19'!$J$7:$J$100,'19'!$H$7:$H$100,$A308,'19'!$I$7:$I$100,"")+SUMIFS('20'!$J$7:$J$100,'20'!$H$7:$H$100,$A308,'20'!$I$7:$I$100,"")+SUMIFS('20a'!$J$7:$J$100,'20a'!$H$7:$H$100,$A308,'20a'!$I$7:$I$100,"")+SUMIFS('21'!$J$7:$J$100,'21'!$H$7:$H$100,$A308,'21'!$I$7:$I$100,"")+SUMIFS('22'!$J$7:$J$100,'22'!$H$7:$H$100,$A308,'22'!$I$7:$I$100,"")+SUMIFS('22a'!$J$7:$J$100,'22a'!$H$7:$H$100,$A308,'22a'!$I$7:$I$100,"")+SUMIFS('22b'!$J$7:$J$100,'22b'!$H$7:$H$100,$A308,'22b'!$I$7:$I$100,"")+SUMIFS('23'!$J$7:$J$100,'23'!$H$7:$H$100,$A308,'23'!$I$7:$I$100,"")+SUMIFS('24'!$J$7:$J$100,'24'!$H$7:$H$100,$A308,'24'!$I$7:$I$100,"")+SUMIFS('24a'!$J$7:$J$100,'24a'!$H$7:$H$100,$A308,'24a'!$I$7:$I$100,"")+SUMIFS('24b'!$J$7:$J$100,'24b'!$H$7:$H$100,$A308,'24b'!$I$7:$I$100,"")+SUMIFS('24c'!$J$7:$J$100,'24c'!$H$7:$H$100,$A308,'24c'!$I$7:$I$100,"")+SUMIFS('24d'!$J$7:$J$100,'24d'!$H$7:$H$100,$A308,'24d'!$I$7:$I$100,"")+SUMIFS('24e'!$J$7:$J$100,'24e'!$H$7:$H$100,$A308,'24e'!$I$7:$I$100,"")+SUMIFS('24f'!$J$7:$J$100,'24f'!$H$7:$H$100,$A308,'24f'!$I$7:$I$100,"")+SUMIFS('24g'!$J$7:$J$100,'24g'!$H$7:$H$100,$A308,'24g'!$I$7:$I$100,"")+SUMIFS('24h'!$J$7:$J$100,'24h'!$H$7:$H$100,$A308,'24h'!$I$7:$I$100,"")+SUMIFS('24i'!$J$7:$J$100,'24i'!$H$7:$H$100,$A308,'24i'!$I$7:$I$100,"")+SUMIFS('25'!$J$7:$J$100,'25'!$H$7:$H$100,$A308,'25'!$I$7:$I$100,"")+SUMIFS('26'!$J$7:$J$100,'26'!$H$7:$H$100,$A308,'26'!$I$7:$I$100,"")+SUMIFS('26a'!$J$7:$J$100,'26a'!$H$7:$H$100,$A308,'26a'!$I$7:$I$100,"")+SUMIFS('27'!$J$7:$J$100,'27'!$H$7:$H$100,$A308,'27'!$I$7:$I$100,"")+SUMIFS('27a'!$J$7:$J$100,'27a'!$H$7:$H$100,$A308,'27a'!$I$7:$I$100,"")+SUMIFS('28'!$J$7:$J$100,'28'!$H$7:$H$100,$A308,'28'!$I$7:$I$100,"")+SUMIFS('29'!$J$7:$J$100,'29'!$H$7:$H$100,$A308,'29'!$I$7:$I$100,"")</f>
        <v>0</v>
      </c>
      <c r="J308" s="1296">
        <f>SUM(G308:I308)</f>
        <v>0</v>
      </c>
      <c r="K308"/>
      <c r="L308"/>
      <c r="M308"/>
      <c r="N308"/>
      <c r="O308"/>
      <c r="P308"/>
      <c r="Q308"/>
      <c r="R308"/>
      <c r="S308" s="1307">
        <f t="shared" si="30"/>
        <v>0</v>
      </c>
      <c r="T308"/>
    </row>
    <row r="309" spans="1:20" x14ac:dyDescent="0.2">
      <c r="A309"/>
      <c r="B309" t="s">
        <v>5574</v>
      </c>
      <c r="C309" s="1295">
        <f t="shared" ref="C309:J309" si="39">SUM(C310:C314)</f>
        <v>0</v>
      </c>
      <c r="D309" s="1315">
        <f>SUM(D310:D314)</f>
        <v>0</v>
      </c>
      <c r="E309" s="1315">
        <f t="shared" si="39"/>
        <v>0</v>
      </c>
      <c r="F309" s="1296">
        <f t="shared" si="39"/>
        <v>0</v>
      </c>
      <c r="G309" s="1295">
        <f t="shared" si="39"/>
        <v>0</v>
      </c>
      <c r="H309" s="1315">
        <f t="shared" si="39"/>
        <v>0</v>
      </c>
      <c r="I309" s="1315">
        <f t="shared" si="39"/>
        <v>0</v>
      </c>
      <c r="J309" s="1296">
        <f t="shared" si="39"/>
        <v>0</v>
      </c>
      <c r="K309"/>
      <c r="L309"/>
      <c r="M309"/>
      <c r="N309"/>
      <c r="O309"/>
      <c r="P309"/>
      <c r="Q309"/>
      <c r="R309"/>
      <c r="S309" s="1307">
        <f t="shared" si="30"/>
        <v>0</v>
      </c>
      <c r="T309"/>
    </row>
    <row r="310" spans="1:20" outlineLevel="1" x14ac:dyDescent="0.2">
      <c r="A310" s="784" t="s">
        <v>5285</v>
      </c>
      <c r="B310" t="s">
        <v>5463</v>
      </c>
      <c r="C310" s="1295">
        <f>SUMIFS('12'!$N$7:$N$100,'12'!$H$7:$H$100,$A310,'12'!$I$7:$I$100,1)+SUMIFS('13'!$N$7:$N$100,'13'!$H$7:$H$100,$A310,'13'!$I$7:$I$100,1)+SUMIFS('14'!$N$7:$N$100,'14'!$H$7:$H$100,$A310,'14'!$I$7:$I$100,1)+SUMIFS('15'!$N$7:$N$100,'15'!$H$7:$H$100,$A310,'15'!$I$7:$I$100,1)+SUMIFS('15a'!$N$7:$N$100,'15a'!$H$7:$H$100,$A310,'15a'!$I$7:$I$100,1)+SUMIFS('15b'!$N$7:$N$100,'15b'!$H$7:$H$100,$A310,'15b'!$I$7:$I$100,1)+SUMIFS('15c'!$N$7:$N$100,'15c'!$H$7:$H$100,$A310,'15c'!$I$7:$I$100,1)+SUMIFS('15d'!$N$7:$N$100,'15d'!$H$7:$H$100,$A310,'15d'!$I$7:$I$100,1)+SUMIFS('15e'!$N$7:$N$100,'15e'!$H$7:$H$100,$A310,'15e'!$I$7:$I$100,1)+SUMIFS('15f'!$N$7:$N$100,'15f'!$H$7:$H$100,$A310,'15f'!$I$7:$I$100,1)+SUMIFS('15g'!$N$7:$N$100,'15g'!$H$7:$H$100,$A310,'15g'!$I$7:$I$100,1)+SUMIFS('15h'!$N$7:$N$100,'15h'!$H$7:$H$100,$A310,'15h'!$I$7:$I$100,1)+SUMIFS('15i'!$N$7:$N$100,'15i'!$H$7:$H$100,$A310,'15i'!$I$7:$I$100,1)+SUMIFS('15j'!$N$7:$N$100,'15j'!$H$7:$H$100,$A310,'15j'!$I$7:$I$100,1)+SUMIFS('15k'!$N$7:$N$100,'15k'!$H$7:$H$100,$A310,'15k'!$I$7:$I$100,1)+SUMIFS('15l'!$N$7:$N$100,'15l'!$H$7:$H$100,$A310,'15l'!$I$7:$I$100,1)+SUMIFS('15m'!$N$7:$N$100,'15m'!$H$7:$H$100,$A310,'15m'!$I$7:$I$100,1)+SUMIFS('15n'!$N$7:$N$100,'15n'!$H$7:$H$100,$A310,'15n'!$I$7:$I$100,1)+SUMIFS('16'!$N$7:$N$100,'16'!$H$7:$H$100,$A310,'16'!$I$7:$I$100,1)+SUMIFS('16a'!$N$7:$N$100,'16a'!$H$7:$H$100,$A310,'16a'!$I$7:$I$100,1)+SUMIFS('17'!$N$7:$N$100,'17'!$H$7:$H$100,$A310,'17'!$I$7:$I$100,1)+SUMIFS('17a'!$N$7:$N$100,'17a'!$H$7:$H$100,$A310,'17a'!$I$7:$I$100,1)+SUMIFS('18'!$N$7:$N$100,'18'!$H$7:$H$100,$A310,'18'!$I$7:$I$100,1)+SUMIFS('18a'!$N$7:$N$100,'18a'!$H$7:$H$100,$A310,'18a'!$I$7:$I$100,1)
+SUMIFS('19'!$N$7:$N$100,'19'!$H$7:$H$100,$A310,'19'!$I$7:$I$100,1)+SUMIFS('20'!$N$7:$N$100,'20'!$H$7:$H$100,$A310,'20'!$I$7:$I$100,1)+SUMIFS('20a'!$N$7:$N$100,'20a'!$H$7:$H$100,$A310,'20a'!$I$7:$I$100,1)+SUMIFS('21'!$N$7:$N$100,'21'!$H$7:$H$100,$A310,'21'!$I$7:$I$100,1)+SUMIFS('22'!$N$7:$N$100,'22'!$H$7:$H$100,$A310,'22'!$I$7:$I$100,1)+SUMIFS('22a'!$N$7:$N$100,'22a'!$H$7:$H$100,$A310,'22a'!$I$7:$I$100,1)+SUMIFS('22b'!$N$7:$N$100,'22b'!$H$7:$H$100,$A310,'22b'!$I$7:$I$100,1)+SUMIFS('23'!$N$7:$N$100,'23'!$H$7:$H$100,$A310,'23'!$I$7:$I$100,1)+SUMIFS('24'!$N$7:$N$100,'24'!$H$7:$H$100,$A310,'24'!$I$7:$I$100,1)+SUMIFS('24a'!$N$7:$N$100,'24a'!$H$7:$H$100,$A310,'24a'!$I$7:$I$100,1)+SUMIFS('24b'!$N$7:$N$100,'24b'!$H$7:$H$100,$A310,'24b'!$I$7:$I$100,1)+SUMIFS('24c'!$N$7:$N$100,'24c'!$H$7:$H$100,$A310,'24c'!$I$7:$I$100,1)+SUMIFS('24d'!$N$7:$N$100,'24d'!$H$7:$H$100,$A310,'24d'!$I$7:$I$100,1)+SUMIFS('24e'!$N$7:$N$100,'24e'!$H$7:$H$100,$A310,'24e'!$I$7:$I$100,1)+SUMIFS('24f'!$N$7:$N$100,'24f'!$H$7:$H$100,$A310,'24f'!$I$7:$I$100,1)+SUMIFS('24g'!$N$7:$N$100,'24g'!$H$7:$H$100,$A310,'24g'!$I$7:$I$100,1)+SUMIFS('24h'!$N$7:$N$100,'24h'!$H$7:$H$100,$A310,'24h'!$I$7:$I$100,1)+SUMIFS('24i'!$N$7:$N$100,'24i'!$H$7:$H$100,$A310,'24i'!$I$7:$I$100,1)+SUMIFS('25'!$N$7:$N$100,'25'!$H$7:$H$100,$A310,'25'!$I$7:$I$100,1)+SUMIFS('26'!$N$7:$N$100,'26'!$H$7:$H$100,$A310,'26'!$I$7:$I$100,1)+SUMIFS('26a'!$N$7:$N$100,'26a'!$H$7:$H$100,$A310,'26a'!$I$7:$I$100,1)+SUMIFS('27'!$N$7:$N$100,'27'!$H$7:$H$100,$A310,'27'!$I$7:$I$100,1)+SUMIFS('27a'!$N$7:$N$100,'27a'!$H$7:$H$100,$A310,'27a'!$I$7:$I$100,1)+SUMIFS('28'!$N$7:$N$100,'28'!$H$7:$H$100,$A310,'28'!$I$7:$I$100,1)+SUMIFS('29'!$N$7:$N$100,'29'!$H$7:$H$100,$A310,'29'!$I$7:$I$100,1)</f>
        <v>0</v>
      </c>
      <c r="D310" s="1315">
        <f>SUMIFS('12'!$N$7:$N$100,'12'!$H$7:$H$100,$A310,'12'!$I$7:$I$100,2)+SUMIFS('13'!$N$7:$N$100,'13'!$H$7:$H$100,$A310,'13'!$I$7:$I$100,2)+SUMIFS('14'!$N$7:$N$100,'14'!$H$7:$H$100,$A310,'14'!$I$7:$I$100,2)+SUMIFS('15'!$N$7:$N$100,'15'!$H$7:$H$100,$A310,'15'!$I$7:$I$100,2)+SUMIFS('15a'!$N$7:$N$100,'15a'!$H$7:$H$100,$A310,'15a'!$I$7:$I$100,2)+SUMIFS('15b'!$N$7:$N$100,'15b'!$H$7:$H$100,$A310,'15b'!$I$7:$I$100,2)+SUMIFS('15c'!$N$7:$N$100,'15c'!$H$7:$H$100,$A310,'15c'!$I$7:$I$100,2)+SUMIFS('15d'!$N$7:$N$100,'15d'!$H$7:$H$100,$A310,'15d'!$I$7:$I$100,2)+SUMIFS('15e'!$N$7:$N$100,'15e'!$H$7:$H$100,$A310,'15e'!$I$7:$I$100,2)+SUMIFS('15f'!$N$7:$N$100,'15f'!$H$7:$H$100,$A310,'15f'!$I$7:$I$100,2)+SUMIFS('15g'!$N$7:$N$100,'15g'!$H$7:$H$100,$A310,'15g'!$I$7:$I$100,2)+SUMIFS('15h'!$N$7:$N$100,'15h'!$H$7:$H$100,$A310,'15h'!$I$7:$I$100,2)+SUMIFS('15i'!$N$7:$N$100,'15i'!$H$7:$H$100,$A310,'15i'!$I$7:$I$100,2)+SUMIFS('15j'!$N$7:$N$100,'15j'!$H$7:$H$100,$A310,'15j'!$I$7:$I$100,2)+SUMIFS('15k'!$N$7:$N$100,'15k'!$H$7:$H$100,$A310,'15k'!$I$7:$I$100,2)+SUMIFS('15l'!$N$7:$N$100,'15l'!$H$7:$H$100,$A310,'15l'!$I$7:$I$100,2)+SUMIFS('15m'!$N$7:$N$100,'15m'!$H$7:$H$100,$A310,'15m'!$I$7:$I$100,2)+SUMIFS('15n'!$N$7:$N$100,'15n'!$H$7:$H$100,$A310,'15n'!$I$7:$I$100,2)+SUMIFS('16'!$N$7:$N$100,'16'!$H$7:$H$100,$A310,'16'!$I$7:$I$100,2)+SUMIFS('16a'!$N$7:$N$100,'16a'!$H$7:$H$100,$A310,'16a'!$I$7:$I$100,2)+SUMIFS('17'!$N$7:$N$100,'17'!$H$7:$H$100,$A310,'17'!$I$7:$I$100,2)+SUMIFS('17a'!$N$7:$N$100,'17a'!$H$7:$H$100,$A310,'17a'!$I$7:$I$100,2)+SUMIFS('18'!$N$7:$N$100,'18'!$H$7:$H$100,$A310,'18'!$I$7:$I$100,2)+SUMIFS('18a'!$N$7:$N$100,'18a'!$H$7:$H$100,$A310,'18a'!$I$7:$I$100,2)
+SUMIFS('19'!$N$7:$N$100,'19'!$H$7:$H$100,$A310,'19'!$I$7:$I$100,2)+SUMIFS('20'!$N$7:$N$100,'20'!$H$7:$H$100,$A310,'20'!$I$7:$I$100,2)+SUMIFS('20a'!$N$7:$N$100,'20a'!$H$7:$H$100,$A310,'20a'!$I$7:$I$100,2)+SUMIFS('21'!$N$7:$N$100,'21'!$H$7:$H$100,$A310,'21'!$I$7:$I$100,2)+SUMIFS('22'!$N$7:$N$100,'22'!$H$7:$H$100,$A310,'22'!$I$7:$I$100,2)+SUMIFS('22a'!$N$7:$N$100,'22a'!$H$7:$H$100,$A310,'22a'!$I$7:$I$100,2)+SUMIFS('22b'!$N$7:$N$100,'22b'!$H$7:$H$100,$A310,'22b'!$I$7:$I$100,2)+SUMIFS('23'!$N$7:$N$100,'23'!$H$7:$H$100,$A310,'23'!$I$7:$I$100,2)+SUMIFS('24'!$N$7:$N$100,'24'!$H$7:$H$100,$A310,'24'!$I$7:$I$100,2)+SUMIFS('24a'!$N$7:$N$100,'24a'!$H$7:$H$100,$A310,'24a'!$I$7:$I$100,2)+SUMIFS('24b'!$N$7:$N$100,'24b'!$H$7:$H$100,$A310,'24b'!$I$7:$I$100,2)+SUMIFS('24c'!$N$7:$N$100,'24c'!$H$7:$H$100,$A310,'24c'!$I$7:$I$100,2)+SUMIFS('24d'!$N$7:$N$100,'24d'!$H$7:$H$100,$A310,'24d'!$I$7:$I$100,2)+SUMIFS('24e'!$N$7:$N$100,'24e'!$H$7:$H$100,$A310,'24e'!$I$7:$I$100,2)+SUMIFS('24f'!$N$7:$N$100,'24f'!$H$7:$H$100,$A310,'24f'!$I$7:$I$100,2)+SUMIFS('24g'!$N$7:$N$100,'24g'!$H$7:$H$100,$A310,'24g'!$I$7:$I$100,2)+SUMIFS('24h'!$N$7:$N$100,'24h'!$H$7:$H$100,$A310,'24h'!$I$7:$I$100,2)+SUMIFS('24i'!$N$7:$N$100,'24i'!$H$7:$H$100,$A310,'24i'!$I$7:$I$100,2)+SUMIFS('25'!$N$7:$N$100,'25'!$H$7:$H$100,$A310,'25'!$I$7:$I$100,2)+SUMIFS('26'!$N$7:$N$100,'26'!$H$7:$H$100,$A310,'26'!$I$7:$I$100,2)+SUMIFS('26a'!$N$7:$N$100,'26a'!$H$7:$H$100,$A310,'26a'!$I$7:$I$100,2)+SUMIFS('27'!$N$7:$N$100,'27'!$H$7:$H$100,$A310,'27'!$I$7:$I$100,2)+SUMIFS('27a'!$N$7:$N$100,'27a'!$H$7:$H$100,$A310,'27a'!$I$7:$I$100,2)+SUMIFS('28'!$N$7:$N$100,'28'!$H$7:$H$100,$A310,'28'!$I$7:$I$100,2)+SUMIFS('29'!$N$7:$N$100,'29'!$H$7:$H$100,$A310,'29'!$I$7:$I$100,2)</f>
        <v>0</v>
      </c>
      <c r="E310" s="1315">
        <f>SUMIFS('12'!$N$7:$N$100,'12'!$H$7:$H$100,$A310,'12'!$I$7:$I$100,"")+SUMIFS('13'!$N$7:$N$100,'13'!$H$7:$H$100,$A310,'13'!$I$7:$I$100,"")+SUMIFS('14'!$N$7:$N$100,'14'!$H$7:$H$100,$A310,'14'!$I$7:$I$100,"")+SUMIFS('15'!$N$7:$N$100,'15'!$H$7:$H$100,$A310,'15'!$I$7:$I$100,"")+SUMIFS('15a'!$N$7:$N$100,'15a'!$H$7:$H$100,$A310,'15a'!$I$7:$I$100,"")+SUMIFS('15b'!$N$7:$N$100,'15b'!$H$7:$H$100,$A310,'15b'!$I$7:$I$100,"")+SUMIFS('15c'!$N$7:$N$100,'15c'!$H$7:$H$100,$A310,'15c'!$I$7:$I$100,"")+SUMIFS('15d'!$N$7:$N$100,'15d'!$H$7:$H$100,$A310,'15d'!$I$7:$I$100,"")+SUMIFS('15e'!$N$7:$N$100,'15e'!$H$7:$H$100,$A310,'15e'!$I$7:$I$100,"")+SUMIFS('15f'!$N$7:$N$100,'15f'!$H$7:$H$100,$A310,'15f'!$I$7:$I$100,"")+SUMIFS('15g'!$N$7:$N$100,'15g'!$H$7:$H$100,$A310,'15g'!$I$7:$I$100,"")+SUMIFS('15h'!$N$7:$N$100,'15h'!$H$7:$H$100,$A310,'15h'!$I$7:$I$100,"")+SUMIFS('15i'!$N$7:$N$100,'15i'!$H$7:$H$100,$A310,'15i'!$I$7:$I$100,"")+SUMIFS('15j'!$N$7:$N$100,'15j'!$H$7:$H$100,$A310,'15j'!$I$7:$I$100,"")+SUMIFS('15k'!$N$7:$N$100,'15k'!$H$7:$H$100,$A310,'15k'!$I$7:$I$100,"")+SUMIFS('15l'!$N$7:$N$100,'15l'!$H$7:$H$100,$A310,'15l'!$I$7:$I$100,"")+SUMIFS('15m'!$N$7:$N$100,'15m'!$H$7:$H$100,$A310,'15m'!$I$7:$I$100,"")+SUMIFS('15n'!$N$7:$N$100,'15n'!$H$7:$H$100,$A310,'15n'!$I$7:$I$100,"")+SUMIFS('16'!$N$7:$N$100,'16'!$H$7:$H$100,$A310,'16'!$I$7:$I$100,"")+SUMIFS('16a'!$N$7:$N$100,'16a'!$H$7:$H$100,$A310,'16a'!$I$7:$I$100,"")+SUMIFS('17'!$N$7:$N$100,'17'!$H$7:$H$100,$A310,'17'!$I$7:$I$100,"")+SUMIFS('17a'!$N$7:$N$100,'17a'!$H$7:$H$100,$A310,'17a'!$I$7:$I$100,"")+SUMIFS('18'!$N$7:$N$100,'18'!$H$7:$H$100,$A310,'18'!$I$7:$I$100,"")+SUMIFS('18a'!$N$7:$N$100,'18a'!$H$7:$H$100,$A310,'18a'!$I$7:$I$100,"")
+SUMIFS('19'!$N$7:$N$100,'19'!$H$7:$H$100,$A310,'19'!$I$7:$I$100,"")+SUMIFS('20'!$N$7:$N$100,'20'!$H$7:$H$100,$A310,'20'!$I$7:$I$100,"")+SUMIFS('20a'!$N$7:$N$100,'20a'!$H$7:$H$100,$A310,'20a'!$I$7:$I$100,"")+SUMIFS('21'!$N$7:$N$100,'21'!$H$7:$H$100,$A310,'21'!$I$7:$I$100,"")+SUMIFS('22'!$N$7:$N$100,'22'!$H$7:$H$100,$A310,'22'!$I$7:$I$100,"")+SUMIFS('22a'!$N$7:$N$100,'22a'!$H$7:$H$100,$A310,'22a'!$I$7:$I$100,"")+SUMIFS('22b'!$N$7:$N$100,'22b'!$H$7:$H$100,$A310,'22b'!$I$7:$I$100,"")+SUMIFS('23'!$N$7:$N$100,'23'!$H$7:$H$100,$A310,'23'!$I$7:$I$100,"")+SUMIFS('24'!$N$7:$N$100,'24'!$H$7:$H$100,$A310,'24'!$I$7:$I$100,"")+SUMIFS('24a'!$N$7:$N$100,'24a'!$H$7:$H$100,$A310,'24a'!$I$7:$I$100,"")+SUMIFS('24b'!$N$7:$N$100,'24b'!$H$7:$H$100,$A310,'24b'!$I$7:$I$100,"")+SUMIFS('24c'!$N$7:$N$100,'24c'!$H$7:$H$100,$A310,'24c'!$I$7:$I$100,"")+SUMIFS('24d'!$N$7:$N$100,'24d'!$H$7:$H$100,$A310,'24d'!$I$7:$I$100,"")+SUMIFS('24e'!$N$7:$N$100,'24e'!$H$7:$H$100,$A310,'24e'!$I$7:$I$100,"")+SUMIFS('24f'!$N$7:$N$100,'24f'!$H$7:$H$100,$A310,'24f'!$I$7:$I$100,"")+SUMIFS('24g'!$N$7:$N$100,'24g'!$H$7:$H$100,$A310,'24g'!$I$7:$I$100,"")+SUMIFS('24h'!$N$7:$N$100,'24h'!$H$7:$H$100,$A310,'24h'!$I$7:$I$100,"")+SUMIFS('24i'!$N$7:$N$100,'24i'!$H$7:$H$100,$A310,'24i'!$I$7:$I$100,"")+SUMIFS('25'!$N$7:$N$100,'25'!$H$7:$H$100,$A310,'25'!$I$7:$I$100,"")+SUMIFS('26'!$N$7:$N$100,'26'!$H$7:$H$100,$A310,'26'!$I$7:$I$100,"")+SUMIFS('26a'!$N$7:$N$100,'26a'!$H$7:$H$100,$A310,'26a'!$I$7:$I$100,"")+SUMIFS('27'!$N$7:$N$100,'27'!$H$7:$H$100,$A310,'27'!$I$7:$I$100,"")+SUMIFS('27a'!$N$7:$N$100,'27a'!$H$7:$H$100,$A310,'27a'!$I$7:$I$100,"")+SUMIFS('28'!$N$7:$N$100,'28'!$H$7:$H$100,$A310,'28'!$I$7:$I$100,"")+SUMIFS('29'!$N$7:$N$100,'29'!$H$7:$H$100,$A310,'29'!$I$7:$I$100,"")</f>
        <v>0</v>
      </c>
      <c r="F310" s="1296">
        <f>SUM(C310:E310)</f>
        <v>0</v>
      </c>
      <c r="G310" s="1295">
        <f>SUMIFS('12'!$J$7:$J$100,'12'!$H$7:$H$100,$A310,'12'!$I$7:$I$100,1)+SUMIFS('13'!$J$7:$J$100,'13'!$H$7:$H$100,$A310,'13'!$I$7:$I$100,1)+SUMIFS('14'!$J$7:$J$100,'14'!$H$7:$H$100,$A310,'14'!$I$7:$I$100,1)+SUMIFS('15'!$J$7:$J$100,'15'!$H$7:$H$100,$A310,'15'!$I$7:$I$100,1)+SUMIFS('15a'!$J$7:$J$100,'15a'!$H$7:$H$100,$A310,'15a'!$I$7:$I$100,1)+SUMIFS('15b'!$J$7:$J$100,'15b'!$H$7:$H$100,$A310,'15b'!$I$7:$I$100,1)+SUMIFS('15c'!$J$7:$J$100,'15c'!$H$7:$H$100,$A310,'15c'!$I$7:$I$100,1)+SUMIFS('15d'!$J$7:$J$100,'15d'!$H$7:$H$100,$A310,'15d'!$I$7:$I$100,1)+SUMIFS('15e'!$J$7:$J$100,'15e'!$H$7:$H$100,$A310,'15e'!$I$7:$I$100,1)+SUMIFS('15f'!$J$7:$J$100,'15f'!$H$7:$H$100,$A310,'15f'!$I$7:$I$100,1)+SUMIFS('15g'!$J$7:$J$100,'15g'!$H$7:$H$100,$A310,'15g'!$I$7:$I$100,1)+SUMIFS('15h'!$J$7:$J$100,'15h'!$H$7:$H$100,$A310,'15h'!$I$7:$I$100,1)+SUMIFS('15i'!$J$7:$J$100,'15i'!$H$7:$H$100,$A310,'15i'!$I$7:$I$100,1)+SUMIFS('15j'!$J$7:$J$100,'15j'!$H$7:$H$100,$A310,'15j'!$I$7:$I$100,1)+SUMIFS('15k'!$J$7:$J$100,'15k'!$H$7:$H$100,$A310,'15k'!$I$7:$I$100,1)+SUMIFS('15l'!$J$7:$J$100,'15l'!$H$7:$H$100,$A310,'15l'!$I$7:$I$100,1)+SUMIFS('15m'!$J$7:$J$100,'15m'!$H$7:$H$100,$A310,'15m'!$I$7:$I$100,1)+SUMIFS('15n'!$J$7:$J$100,'15n'!$H$7:$H$100,$A310,'15n'!$I$7:$I$100,1)+SUMIFS('16'!$J$7:$J$100,'16'!$H$7:$H$100,$A310,'16'!$I$7:$I$100,1)+SUMIFS('16a'!$J$7:$J$100,'16a'!$H$7:$H$100,$A310,'16a'!$I$7:$I$100,1)+SUMIFS('17'!$J$7:$J$100,'17'!$H$7:$H$100,$A310,'17'!$I$7:$I$100,1)+SUMIFS('17a'!$J$7:$J$100,'17a'!$H$7:$H$100,$A310,'17a'!$I$7:$I$100,1)+SUMIFS('18'!$J$7:$J$100,'18'!$H$7:$H$100,$A310,'18'!$I$7:$I$100,1)+SUMIFS('18a'!$J$7:$J$100,'18a'!$H$7:$H$100,$A310,'18a'!$I$7:$I$100,1)
+SUMIFS('19'!$J$7:$J$100,'19'!$H$7:$H$100,$A310,'19'!$I$7:$I$100,1)+SUMIFS('20'!$J$7:$J$100,'20'!$H$7:$H$100,$A310,'20'!$I$7:$I$100,1)+SUMIFS('20a'!$J$7:$J$100,'20a'!$H$7:$H$100,$A310,'20a'!$I$7:$I$100,1)+SUMIFS('21'!$J$7:$J$100,'21'!$H$7:$H$100,$A310,'21'!$I$7:$I$100,1)+SUMIFS('22'!$J$7:$J$100,'22'!$H$7:$H$100,$A310,'22'!$I$7:$I$100,1)+SUMIFS('22a'!$J$7:$J$100,'22a'!$H$7:$H$100,$A310,'22a'!$I$7:$I$100,1)+SUMIFS('22b'!$J$7:$J$100,'22b'!$H$7:$H$100,$A310,'22b'!$I$7:$I$100,1)+SUMIFS('23'!$J$7:$J$100,'23'!$H$7:$H$100,$A310,'23'!$I$7:$I$100,1)+SUMIFS('24'!$J$7:$J$100,'24'!$H$7:$H$100,$A310,'24'!$I$7:$I$100,1)+SUMIFS('24a'!$J$7:$J$100,'24a'!$H$7:$H$100,$A310,'24a'!$I$7:$I$100,1)+SUMIFS('24b'!$J$7:$J$100,'24b'!$H$7:$H$100,$A310,'24b'!$I$7:$I$100,1)+SUMIFS('24c'!$J$7:$J$100,'24c'!$H$7:$H$100,$A310,'24c'!$I$7:$I$100,1)+SUMIFS('24d'!$J$7:$J$100,'24d'!$H$7:$H$100,$A310,'24d'!$I$7:$I$100,1)+SUMIFS('24e'!$J$7:$J$100,'24e'!$H$7:$H$100,$A310,'24e'!$I$7:$I$100,1)+SUMIFS('24f'!$J$7:$J$100,'24f'!$H$7:$H$100,$A310,'24f'!$I$7:$I$100,1)+SUMIFS('24g'!$J$7:$J$100,'24g'!$H$7:$H$100,$A310,'24g'!$I$7:$I$100,1)+SUMIFS('24h'!$J$7:$J$100,'24h'!$H$7:$H$100,$A310,'24h'!$I$7:$I$100,1)+SUMIFS('24i'!$J$7:$J$100,'24i'!$H$7:$H$100,$A310,'24i'!$I$7:$I$100,1)+SUMIFS('25'!$J$7:$J$100,'25'!$H$7:$H$100,$A310,'25'!$I$7:$I$100,1)+SUMIFS('26'!$J$7:$J$100,'26'!$H$7:$H$100,$A310,'26'!$I$7:$I$100,1)+SUMIFS('26a'!$J$7:$J$100,'26a'!$H$7:$H$100,$A310,'26a'!$I$7:$I$100,1)+SUMIFS('27'!$J$7:$J$100,'27'!$H$7:$H$100,$A310,'27'!$I$7:$I$100,1)+SUMIFS('27a'!$J$7:$J$100,'27a'!$H$7:$H$100,$A310,'27a'!$I$7:$I$100,1)+SUMIFS('28'!$J$7:$J$100,'28'!$H$7:$H$100,$A310,'28'!$I$7:$I$100,1)+SUMIFS('29'!$J$7:$J$100,'29'!$H$7:$H$100,$A310,'29'!$I$7:$I$100,1)</f>
        <v>0</v>
      </c>
      <c r="H310" s="1315">
        <f>SUMIFS('12'!$J$7:$J$100,'12'!$H$7:$H$100,$A310,'12'!$I$7:$I$100,2)+SUMIFS('13'!$J$7:$J$100,'13'!$H$7:$H$100,$A310,'13'!$I$7:$I$100,2)+SUMIFS('14'!$J$7:$J$100,'14'!$H$7:$H$100,$A310,'14'!$I$7:$I$100,2)+SUMIFS('15'!$J$7:$J$100,'15'!$H$7:$H$100,$A310,'15'!$I$7:$I$100,2)+SUMIFS('15a'!$J$7:$J$100,'15a'!$H$7:$H$100,$A310,'15a'!$I$7:$I$100,2)+SUMIFS('15b'!$J$7:$J$100,'15b'!$H$7:$H$100,$A310,'15b'!$I$7:$I$100,2)+SUMIFS('15c'!$J$7:$J$100,'15c'!$H$7:$H$100,$A310,'15c'!$I$7:$I$100,2)+SUMIFS('15d'!$J$7:$J$100,'15d'!$H$7:$H$100,$A310,'15d'!$I$7:$I$100,2)+SUMIFS('15e'!$J$7:$J$100,'15e'!$H$7:$H$100,$A310,'15e'!$I$7:$I$100,2)+SUMIFS('15f'!$J$7:$J$100,'15f'!$H$7:$H$100,$A310,'15f'!$I$7:$I$100,2)+SUMIFS('15g'!$J$7:$J$100,'15g'!$H$7:$H$100,$A310,'15g'!$I$7:$I$100,2)+SUMIFS('15h'!$J$7:$J$100,'15h'!$H$7:$H$100,$A310,'15h'!$I$7:$I$100,2)+SUMIFS('15i'!$J$7:$J$100,'15i'!$H$7:$H$100,$A310,'15i'!$I$7:$I$100,2)+SUMIFS('15j'!$J$7:$J$100,'15j'!$H$7:$H$100,$A310,'15j'!$I$7:$I$100,2)+SUMIFS('15k'!$J$7:$J$100,'15k'!$H$7:$H$100,$A310,'15k'!$I$7:$I$100,2)+SUMIFS('15l'!$J$7:$J$100,'15l'!$H$7:$H$100,$A310,'15l'!$I$7:$I$100,2)+SUMIFS('15m'!$J$7:$J$100,'15m'!$H$7:$H$100,$A310,'15m'!$I$7:$I$100,2)+SUMIFS('15n'!$J$7:$J$100,'15n'!$H$7:$H$100,$A310,'15n'!$I$7:$I$100,2)+SUMIFS('16'!$J$7:$J$100,'16'!$H$7:$H$100,$A310,'16'!$I$7:$I$100,2)+SUMIFS('16a'!$J$7:$J$100,'16a'!$H$7:$H$100,$A310,'16a'!$I$7:$I$100,2)+SUMIFS('17'!$J$7:$J$100,'17'!$H$7:$H$100,$A310,'17'!$I$7:$I$100,2)+SUMIFS('17a'!$J$7:$J$100,'17a'!$H$7:$H$100,$A310,'17a'!$I$7:$I$100,2)+SUMIFS('18'!$J$7:$J$100,'18'!$H$7:$H$100,$A310,'18'!$I$7:$I$100,2)+SUMIFS('18a'!$J$7:$J$100,'18a'!$H$7:$H$100,$A310,'18a'!$I$7:$I$100,2)
+SUMIFS('19'!$J$7:$J$100,'19'!$H$7:$H$100,$A310,'19'!$I$7:$I$100,2)+SUMIFS('20'!$J$7:$J$100,'20'!$H$7:$H$100,$A310,'20'!$I$7:$I$100,2)+SUMIFS('20a'!$J$7:$J$100,'20a'!$H$7:$H$100,$A310,'20a'!$I$7:$I$100,2)+SUMIFS('21'!$J$7:$J$100,'21'!$H$7:$H$100,$A310,'21'!$I$7:$I$100,2)+SUMIFS('22'!$J$7:$J$100,'22'!$H$7:$H$100,$A310,'22'!$I$7:$I$100,2)+SUMIFS('22a'!$J$7:$J$100,'22a'!$H$7:$H$100,$A310,'22a'!$I$7:$I$100,2)+SUMIFS('22b'!$J$7:$J$100,'22b'!$H$7:$H$100,$A310,'22b'!$I$7:$I$100,2)+SUMIFS('23'!$J$7:$J$100,'23'!$H$7:$H$100,$A310,'23'!$I$7:$I$100,2)+SUMIFS('24'!$J$7:$J$100,'24'!$H$7:$H$100,$A310,'24'!$I$7:$I$100,2)+SUMIFS('24a'!$J$7:$J$100,'24a'!$H$7:$H$100,$A310,'24a'!$I$7:$I$100,2)+SUMIFS('24b'!$J$7:$J$100,'24b'!$H$7:$H$100,$A310,'24b'!$I$7:$I$100,2)+SUMIFS('24c'!$J$7:$J$100,'24c'!$H$7:$H$100,$A310,'24c'!$I$7:$I$100,2)+SUMIFS('24d'!$J$7:$J$100,'24d'!$H$7:$H$100,$A310,'24d'!$I$7:$I$100,2)+SUMIFS('24e'!$J$7:$J$100,'24e'!$H$7:$H$100,$A310,'24e'!$I$7:$I$100,2)+SUMIFS('24f'!$J$7:$J$100,'24f'!$H$7:$H$100,$A310,'24f'!$I$7:$I$100,2)+SUMIFS('24g'!$J$7:$J$100,'24g'!$H$7:$H$100,$A310,'24g'!$I$7:$I$100,2)+SUMIFS('24h'!$J$7:$J$100,'24h'!$H$7:$H$100,$A310,'24h'!$I$7:$I$100,2)+SUMIFS('24i'!$J$7:$J$100,'24i'!$H$7:$H$100,$A310,'24i'!$I$7:$I$100,2)+SUMIFS('25'!$J$7:$J$100,'25'!$H$7:$H$100,$A310,'25'!$I$7:$I$100,2)+SUMIFS('26'!$J$7:$J$100,'26'!$H$7:$H$100,$A310,'26'!$I$7:$I$100,2)+SUMIFS('26a'!$J$7:$J$100,'26a'!$H$7:$H$100,$A310,'26a'!$I$7:$I$100,2)+SUMIFS('27'!$J$7:$J$100,'27'!$H$7:$H$100,$A310,'27'!$I$7:$I$100,2)+SUMIFS('27a'!$J$7:$J$100,'27a'!$H$7:$H$100,$A310,'27a'!$I$7:$I$100,2)+SUMIFS('28'!$J$7:$J$100,'28'!$H$7:$H$100,$A310,'28'!$I$7:$I$100,2)+SUMIFS('29'!$J$7:$J$100,'29'!$H$7:$H$100,$A310,'29'!$I$7:$I$100,2)</f>
        <v>0</v>
      </c>
      <c r="I310" s="1315">
        <f>SUMIFS('12'!$J$7:$J$100,'12'!$H$7:$H$100,$A310,'12'!$I$7:$I$100,"")+SUMIFS('13'!$J$7:$J$100,'13'!$H$7:$H$100,$A310,'13'!$I$7:$I$100,"")+SUMIFS('14'!$J$7:$J$100,'14'!$H$7:$H$100,$A310,'14'!$I$7:$I$100,"")+SUMIFS('15'!$J$7:$J$100,'15'!$H$7:$H$100,$A310,'15'!$I$7:$I$100,"")+SUMIFS('15a'!$J$7:$J$100,'15a'!$H$7:$H$100,$A310,'15a'!$I$7:$I$100,"")+SUMIFS('15b'!$J$7:$J$100,'15b'!$H$7:$H$100,$A310,'15b'!$I$7:$I$100,"")+SUMIFS('15c'!$J$7:$J$100,'15c'!$H$7:$H$100,$A310,'15c'!$I$7:$I$100,"")+SUMIFS('15d'!$J$7:$J$100,'15d'!$H$7:$H$100,$A310,'15d'!$I$7:$I$100,"")+SUMIFS('15e'!$J$7:$J$100,'15e'!$H$7:$H$100,$A310,'15e'!$I$7:$I$100,"")+SUMIFS('15f'!$J$7:$J$100,'15f'!$H$7:$H$100,$A310,'15f'!$I$7:$I$100,"")+SUMIFS('15g'!$J$7:$J$100,'15g'!$H$7:$H$100,$A310,'15g'!$I$7:$I$100,"")+SUMIFS('15h'!$J$7:$J$100,'15h'!$H$7:$H$100,$A310,'15h'!$I$7:$I$100,"")+SUMIFS('15i'!$J$7:$J$100,'15i'!$H$7:$H$100,$A310,'15i'!$I$7:$I$100,"")+SUMIFS('15j'!$J$7:$J$100,'15j'!$H$7:$H$100,$A310,'15j'!$I$7:$I$100,"")+SUMIFS('15k'!$J$7:$J$100,'15k'!$H$7:$H$100,$A310,'15k'!$I$7:$I$100,"")+SUMIFS('15l'!$J$7:$J$100,'15l'!$H$7:$H$100,$A310,'15l'!$I$7:$I$100,"")+SUMIFS('15m'!$J$7:$J$100,'15m'!$H$7:$H$100,$A310,'15m'!$I$7:$I$100,"")+SUMIFS('15n'!$J$7:$J$100,'15n'!$H$7:$H$100,$A310,'15n'!$I$7:$I$100,"")+SUMIFS('16'!$J$7:$J$100,'16'!$H$7:$H$100,$A310,'16'!$I$7:$I$100,"")+SUMIFS('16a'!$J$7:$J$100,'16a'!$H$7:$H$100,$A310,'16a'!$I$7:$I$100,"")+SUMIFS('17'!$J$7:$J$100,'17'!$H$7:$H$100,$A310,'17'!$I$7:$I$100,"")+SUMIFS('17a'!$J$7:$J$100,'17a'!$H$7:$H$100,$A310,'17a'!$I$7:$I$100,"")+SUMIFS('18'!$J$7:$J$100,'18'!$H$7:$H$100,$A310,'18'!$I$7:$I$100,"")+SUMIFS('18a'!$J$7:$J$100,'18a'!$H$7:$H$100,$A310,'18a'!$I$7:$I$100,"")
+SUMIFS('19'!$J$7:$J$100,'19'!$H$7:$H$100,$A310,'19'!$I$7:$I$100,"")+SUMIFS('20'!$J$7:$J$100,'20'!$H$7:$H$100,$A310,'20'!$I$7:$I$100,"")+SUMIFS('20a'!$J$7:$J$100,'20a'!$H$7:$H$100,$A310,'20a'!$I$7:$I$100,"")+SUMIFS('21'!$J$7:$J$100,'21'!$H$7:$H$100,$A310,'21'!$I$7:$I$100,"")+SUMIFS('22'!$J$7:$J$100,'22'!$H$7:$H$100,$A310,'22'!$I$7:$I$100,"")+SUMIFS('22a'!$J$7:$J$100,'22a'!$H$7:$H$100,$A310,'22a'!$I$7:$I$100,"")+SUMIFS('22b'!$J$7:$J$100,'22b'!$H$7:$H$100,$A310,'22b'!$I$7:$I$100,"")+SUMIFS('23'!$J$7:$J$100,'23'!$H$7:$H$100,$A310,'23'!$I$7:$I$100,"")+SUMIFS('24'!$J$7:$J$100,'24'!$H$7:$H$100,$A310,'24'!$I$7:$I$100,"")+SUMIFS('24a'!$J$7:$J$100,'24a'!$H$7:$H$100,$A310,'24a'!$I$7:$I$100,"")+SUMIFS('24b'!$J$7:$J$100,'24b'!$H$7:$H$100,$A310,'24b'!$I$7:$I$100,"")+SUMIFS('24c'!$J$7:$J$100,'24c'!$H$7:$H$100,$A310,'24c'!$I$7:$I$100,"")+SUMIFS('24d'!$J$7:$J$100,'24d'!$H$7:$H$100,$A310,'24d'!$I$7:$I$100,"")+SUMIFS('24e'!$J$7:$J$100,'24e'!$H$7:$H$100,$A310,'24e'!$I$7:$I$100,"")+SUMIFS('24f'!$J$7:$J$100,'24f'!$H$7:$H$100,$A310,'24f'!$I$7:$I$100,"")+SUMIFS('24g'!$J$7:$J$100,'24g'!$H$7:$H$100,$A310,'24g'!$I$7:$I$100,"")+SUMIFS('24h'!$J$7:$J$100,'24h'!$H$7:$H$100,$A310,'24h'!$I$7:$I$100,"")+SUMIFS('24i'!$J$7:$J$100,'24i'!$H$7:$H$100,$A310,'24i'!$I$7:$I$100,"")+SUMIFS('25'!$J$7:$J$100,'25'!$H$7:$H$100,$A310,'25'!$I$7:$I$100,"")+SUMIFS('26'!$J$7:$J$100,'26'!$H$7:$H$100,$A310,'26'!$I$7:$I$100,"")+SUMIFS('26a'!$J$7:$J$100,'26a'!$H$7:$H$100,$A310,'26a'!$I$7:$I$100,"")+SUMIFS('27'!$J$7:$J$100,'27'!$H$7:$H$100,$A310,'27'!$I$7:$I$100,"")+SUMIFS('27a'!$J$7:$J$100,'27a'!$H$7:$H$100,$A310,'27a'!$I$7:$I$100,"")+SUMIFS('28'!$J$7:$J$100,'28'!$H$7:$H$100,$A310,'28'!$I$7:$I$100,"")+SUMIFS('29'!$J$7:$J$100,'29'!$H$7:$H$100,$A310,'29'!$I$7:$I$100,"")</f>
        <v>0</v>
      </c>
      <c r="J310" s="1296">
        <f>SUM(G310:I310)</f>
        <v>0</v>
      </c>
      <c r="K310"/>
      <c r="L310"/>
      <c r="M310"/>
      <c r="N310"/>
      <c r="O310"/>
      <c r="P310"/>
      <c r="Q310"/>
      <c r="R310"/>
      <c r="S310" s="1307">
        <f t="shared" si="30"/>
        <v>0</v>
      </c>
      <c r="T310"/>
    </row>
    <row r="311" spans="1:20" outlineLevel="1" x14ac:dyDescent="0.2">
      <c r="A311" s="784" t="s">
        <v>5286</v>
      </c>
      <c r="B311" t="s">
        <v>5463</v>
      </c>
      <c r="C311" s="1295">
        <f>SUMIFS('12'!$N$7:$N$100,'12'!$H$7:$H$100,$A311,'12'!$I$7:$I$100,1)+SUMIFS('13'!$N$7:$N$100,'13'!$H$7:$H$100,$A311,'13'!$I$7:$I$100,1)+SUMIFS('14'!$N$7:$N$100,'14'!$H$7:$H$100,$A311,'14'!$I$7:$I$100,1)+SUMIFS('15'!$N$7:$N$100,'15'!$H$7:$H$100,$A311,'15'!$I$7:$I$100,1)+SUMIFS('15a'!$N$7:$N$100,'15a'!$H$7:$H$100,$A311,'15a'!$I$7:$I$100,1)+SUMIFS('15b'!$N$7:$N$100,'15b'!$H$7:$H$100,$A311,'15b'!$I$7:$I$100,1)+SUMIFS('15c'!$N$7:$N$100,'15c'!$H$7:$H$100,$A311,'15c'!$I$7:$I$100,1)+SUMIFS('15d'!$N$7:$N$100,'15d'!$H$7:$H$100,$A311,'15d'!$I$7:$I$100,1)+SUMIFS('15e'!$N$7:$N$100,'15e'!$H$7:$H$100,$A311,'15e'!$I$7:$I$100,1)+SUMIFS('15f'!$N$7:$N$100,'15f'!$H$7:$H$100,$A311,'15f'!$I$7:$I$100,1)+SUMIFS('15g'!$N$7:$N$100,'15g'!$H$7:$H$100,$A311,'15g'!$I$7:$I$100,1)+SUMIFS('15h'!$N$7:$N$100,'15h'!$H$7:$H$100,$A311,'15h'!$I$7:$I$100,1)+SUMIFS('15i'!$N$7:$N$100,'15i'!$H$7:$H$100,$A311,'15i'!$I$7:$I$100,1)+SUMIFS('15j'!$N$7:$N$100,'15j'!$H$7:$H$100,$A311,'15j'!$I$7:$I$100,1)+SUMIFS('15k'!$N$7:$N$100,'15k'!$H$7:$H$100,$A311,'15k'!$I$7:$I$100,1)+SUMIFS('15l'!$N$7:$N$100,'15l'!$H$7:$H$100,$A311,'15l'!$I$7:$I$100,1)+SUMIFS('15m'!$N$7:$N$100,'15m'!$H$7:$H$100,$A311,'15m'!$I$7:$I$100,1)+SUMIFS('15n'!$N$7:$N$100,'15n'!$H$7:$H$100,$A311,'15n'!$I$7:$I$100,1)+SUMIFS('16'!$N$7:$N$100,'16'!$H$7:$H$100,$A311,'16'!$I$7:$I$100,1)+SUMIFS('16a'!$N$7:$N$100,'16a'!$H$7:$H$100,$A311,'16a'!$I$7:$I$100,1)+SUMIFS('17'!$N$7:$N$100,'17'!$H$7:$H$100,$A311,'17'!$I$7:$I$100,1)+SUMIFS('17a'!$N$7:$N$100,'17a'!$H$7:$H$100,$A311,'17a'!$I$7:$I$100,1)+SUMIFS('18'!$N$7:$N$100,'18'!$H$7:$H$100,$A311,'18'!$I$7:$I$100,1)+SUMIFS('18a'!$N$7:$N$100,'18a'!$H$7:$H$100,$A311,'18a'!$I$7:$I$100,1)
+SUMIFS('19'!$N$7:$N$100,'19'!$H$7:$H$100,$A311,'19'!$I$7:$I$100,1)+SUMIFS('20'!$N$7:$N$100,'20'!$H$7:$H$100,$A311,'20'!$I$7:$I$100,1)+SUMIFS('20a'!$N$7:$N$100,'20a'!$H$7:$H$100,$A311,'20a'!$I$7:$I$100,1)+SUMIFS('21'!$N$7:$N$100,'21'!$H$7:$H$100,$A311,'21'!$I$7:$I$100,1)+SUMIFS('22'!$N$7:$N$100,'22'!$H$7:$H$100,$A311,'22'!$I$7:$I$100,1)+SUMIFS('22a'!$N$7:$N$100,'22a'!$H$7:$H$100,$A311,'22a'!$I$7:$I$100,1)+SUMIFS('22b'!$N$7:$N$100,'22b'!$H$7:$H$100,$A311,'22b'!$I$7:$I$100,1)+SUMIFS('23'!$N$7:$N$100,'23'!$H$7:$H$100,$A311,'23'!$I$7:$I$100,1)+SUMIFS('24'!$N$7:$N$100,'24'!$H$7:$H$100,$A311,'24'!$I$7:$I$100,1)+SUMIFS('24a'!$N$7:$N$100,'24a'!$H$7:$H$100,$A311,'24a'!$I$7:$I$100,1)+SUMIFS('24b'!$N$7:$N$100,'24b'!$H$7:$H$100,$A311,'24b'!$I$7:$I$100,1)+SUMIFS('24c'!$N$7:$N$100,'24c'!$H$7:$H$100,$A311,'24c'!$I$7:$I$100,1)+SUMIFS('24d'!$N$7:$N$100,'24d'!$H$7:$H$100,$A311,'24d'!$I$7:$I$100,1)+SUMIFS('24e'!$N$7:$N$100,'24e'!$H$7:$H$100,$A311,'24e'!$I$7:$I$100,1)+SUMIFS('24f'!$N$7:$N$100,'24f'!$H$7:$H$100,$A311,'24f'!$I$7:$I$100,1)+SUMIFS('24g'!$N$7:$N$100,'24g'!$H$7:$H$100,$A311,'24g'!$I$7:$I$100,1)+SUMIFS('24h'!$N$7:$N$100,'24h'!$H$7:$H$100,$A311,'24h'!$I$7:$I$100,1)+SUMIFS('24i'!$N$7:$N$100,'24i'!$H$7:$H$100,$A311,'24i'!$I$7:$I$100,1)+SUMIFS('25'!$N$7:$N$100,'25'!$H$7:$H$100,$A311,'25'!$I$7:$I$100,1)+SUMIFS('26'!$N$7:$N$100,'26'!$H$7:$H$100,$A311,'26'!$I$7:$I$100,1)+SUMIFS('26a'!$N$7:$N$100,'26a'!$H$7:$H$100,$A311,'26a'!$I$7:$I$100,1)+SUMIFS('27'!$N$7:$N$100,'27'!$H$7:$H$100,$A311,'27'!$I$7:$I$100,1)+SUMIFS('27a'!$N$7:$N$100,'27a'!$H$7:$H$100,$A311,'27a'!$I$7:$I$100,1)+SUMIFS('28'!$N$7:$N$100,'28'!$H$7:$H$100,$A311,'28'!$I$7:$I$100,1)+SUMIFS('29'!$N$7:$N$100,'29'!$H$7:$H$100,$A311,'29'!$I$7:$I$100,1)</f>
        <v>0</v>
      </c>
      <c r="D311" s="1315">
        <f>SUMIFS('12'!$N$7:$N$100,'12'!$H$7:$H$100,$A311,'12'!$I$7:$I$100,2)+SUMIFS('13'!$N$7:$N$100,'13'!$H$7:$H$100,$A311,'13'!$I$7:$I$100,2)+SUMIFS('14'!$N$7:$N$100,'14'!$H$7:$H$100,$A311,'14'!$I$7:$I$100,2)+SUMIFS('15'!$N$7:$N$100,'15'!$H$7:$H$100,$A311,'15'!$I$7:$I$100,2)+SUMIFS('15a'!$N$7:$N$100,'15a'!$H$7:$H$100,$A311,'15a'!$I$7:$I$100,2)+SUMIFS('15b'!$N$7:$N$100,'15b'!$H$7:$H$100,$A311,'15b'!$I$7:$I$100,2)+SUMIFS('15c'!$N$7:$N$100,'15c'!$H$7:$H$100,$A311,'15c'!$I$7:$I$100,2)+SUMIFS('15d'!$N$7:$N$100,'15d'!$H$7:$H$100,$A311,'15d'!$I$7:$I$100,2)+SUMIFS('15e'!$N$7:$N$100,'15e'!$H$7:$H$100,$A311,'15e'!$I$7:$I$100,2)+SUMIFS('15f'!$N$7:$N$100,'15f'!$H$7:$H$100,$A311,'15f'!$I$7:$I$100,2)+SUMIFS('15g'!$N$7:$N$100,'15g'!$H$7:$H$100,$A311,'15g'!$I$7:$I$100,2)+SUMIFS('15h'!$N$7:$N$100,'15h'!$H$7:$H$100,$A311,'15h'!$I$7:$I$100,2)+SUMIFS('15i'!$N$7:$N$100,'15i'!$H$7:$H$100,$A311,'15i'!$I$7:$I$100,2)+SUMIFS('15j'!$N$7:$N$100,'15j'!$H$7:$H$100,$A311,'15j'!$I$7:$I$100,2)+SUMIFS('15k'!$N$7:$N$100,'15k'!$H$7:$H$100,$A311,'15k'!$I$7:$I$100,2)+SUMIFS('15l'!$N$7:$N$100,'15l'!$H$7:$H$100,$A311,'15l'!$I$7:$I$100,2)+SUMIFS('15m'!$N$7:$N$100,'15m'!$H$7:$H$100,$A311,'15m'!$I$7:$I$100,2)+SUMIFS('15n'!$N$7:$N$100,'15n'!$H$7:$H$100,$A311,'15n'!$I$7:$I$100,2)+SUMIFS('16'!$N$7:$N$100,'16'!$H$7:$H$100,$A311,'16'!$I$7:$I$100,2)+SUMIFS('16a'!$N$7:$N$100,'16a'!$H$7:$H$100,$A311,'16a'!$I$7:$I$100,2)+SUMIFS('17'!$N$7:$N$100,'17'!$H$7:$H$100,$A311,'17'!$I$7:$I$100,2)+SUMIFS('17a'!$N$7:$N$100,'17a'!$H$7:$H$100,$A311,'17a'!$I$7:$I$100,2)+SUMIFS('18'!$N$7:$N$100,'18'!$H$7:$H$100,$A311,'18'!$I$7:$I$100,2)+SUMIFS('18a'!$N$7:$N$100,'18a'!$H$7:$H$100,$A311,'18a'!$I$7:$I$100,2)
+SUMIFS('19'!$N$7:$N$100,'19'!$H$7:$H$100,$A311,'19'!$I$7:$I$100,2)+SUMIFS('20'!$N$7:$N$100,'20'!$H$7:$H$100,$A311,'20'!$I$7:$I$100,2)+SUMIFS('20a'!$N$7:$N$100,'20a'!$H$7:$H$100,$A311,'20a'!$I$7:$I$100,2)+SUMIFS('21'!$N$7:$N$100,'21'!$H$7:$H$100,$A311,'21'!$I$7:$I$100,2)+SUMIFS('22'!$N$7:$N$100,'22'!$H$7:$H$100,$A311,'22'!$I$7:$I$100,2)+SUMIFS('22a'!$N$7:$N$100,'22a'!$H$7:$H$100,$A311,'22a'!$I$7:$I$100,2)+SUMIFS('22b'!$N$7:$N$100,'22b'!$H$7:$H$100,$A311,'22b'!$I$7:$I$100,2)+SUMIFS('23'!$N$7:$N$100,'23'!$H$7:$H$100,$A311,'23'!$I$7:$I$100,2)+SUMIFS('24'!$N$7:$N$100,'24'!$H$7:$H$100,$A311,'24'!$I$7:$I$100,2)+SUMIFS('24a'!$N$7:$N$100,'24a'!$H$7:$H$100,$A311,'24a'!$I$7:$I$100,2)+SUMIFS('24b'!$N$7:$N$100,'24b'!$H$7:$H$100,$A311,'24b'!$I$7:$I$100,2)+SUMIFS('24c'!$N$7:$N$100,'24c'!$H$7:$H$100,$A311,'24c'!$I$7:$I$100,2)+SUMIFS('24d'!$N$7:$N$100,'24d'!$H$7:$H$100,$A311,'24d'!$I$7:$I$100,2)+SUMIFS('24e'!$N$7:$N$100,'24e'!$H$7:$H$100,$A311,'24e'!$I$7:$I$100,2)+SUMIFS('24f'!$N$7:$N$100,'24f'!$H$7:$H$100,$A311,'24f'!$I$7:$I$100,2)+SUMIFS('24g'!$N$7:$N$100,'24g'!$H$7:$H$100,$A311,'24g'!$I$7:$I$100,2)+SUMIFS('24h'!$N$7:$N$100,'24h'!$H$7:$H$100,$A311,'24h'!$I$7:$I$100,2)+SUMIFS('24i'!$N$7:$N$100,'24i'!$H$7:$H$100,$A311,'24i'!$I$7:$I$100,2)+SUMIFS('25'!$N$7:$N$100,'25'!$H$7:$H$100,$A311,'25'!$I$7:$I$100,2)+SUMIFS('26'!$N$7:$N$100,'26'!$H$7:$H$100,$A311,'26'!$I$7:$I$100,2)+SUMIFS('26a'!$N$7:$N$100,'26a'!$H$7:$H$100,$A311,'26a'!$I$7:$I$100,2)+SUMIFS('27'!$N$7:$N$100,'27'!$H$7:$H$100,$A311,'27'!$I$7:$I$100,2)+SUMIFS('27a'!$N$7:$N$100,'27a'!$H$7:$H$100,$A311,'27a'!$I$7:$I$100,2)+SUMIFS('28'!$N$7:$N$100,'28'!$H$7:$H$100,$A311,'28'!$I$7:$I$100,2)+SUMIFS('29'!$N$7:$N$100,'29'!$H$7:$H$100,$A311,'29'!$I$7:$I$100,2)</f>
        <v>0</v>
      </c>
      <c r="E311" s="1315">
        <f>SUMIFS('12'!$N$7:$N$100,'12'!$H$7:$H$100,$A311,'12'!$I$7:$I$100,"")+SUMIFS('13'!$N$7:$N$100,'13'!$H$7:$H$100,$A311,'13'!$I$7:$I$100,"")+SUMIFS('14'!$N$7:$N$100,'14'!$H$7:$H$100,$A311,'14'!$I$7:$I$100,"")+SUMIFS('15'!$N$7:$N$100,'15'!$H$7:$H$100,$A311,'15'!$I$7:$I$100,"")+SUMIFS('15a'!$N$7:$N$100,'15a'!$H$7:$H$100,$A311,'15a'!$I$7:$I$100,"")+SUMIFS('15b'!$N$7:$N$100,'15b'!$H$7:$H$100,$A311,'15b'!$I$7:$I$100,"")+SUMIFS('15c'!$N$7:$N$100,'15c'!$H$7:$H$100,$A311,'15c'!$I$7:$I$100,"")+SUMIFS('15d'!$N$7:$N$100,'15d'!$H$7:$H$100,$A311,'15d'!$I$7:$I$100,"")+SUMIFS('15e'!$N$7:$N$100,'15e'!$H$7:$H$100,$A311,'15e'!$I$7:$I$100,"")+SUMIFS('15f'!$N$7:$N$100,'15f'!$H$7:$H$100,$A311,'15f'!$I$7:$I$100,"")+SUMIFS('15g'!$N$7:$N$100,'15g'!$H$7:$H$100,$A311,'15g'!$I$7:$I$100,"")+SUMIFS('15h'!$N$7:$N$100,'15h'!$H$7:$H$100,$A311,'15h'!$I$7:$I$100,"")+SUMIFS('15i'!$N$7:$N$100,'15i'!$H$7:$H$100,$A311,'15i'!$I$7:$I$100,"")+SUMIFS('15j'!$N$7:$N$100,'15j'!$H$7:$H$100,$A311,'15j'!$I$7:$I$100,"")+SUMIFS('15k'!$N$7:$N$100,'15k'!$H$7:$H$100,$A311,'15k'!$I$7:$I$100,"")+SUMIFS('15l'!$N$7:$N$100,'15l'!$H$7:$H$100,$A311,'15l'!$I$7:$I$100,"")+SUMIFS('15m'!$N$7:$N$100,'15m'!$H$7:$H$100,$A311,'15m'!$I$7:$I$100,"")+SUMIFS('15n'!$N$7:$N$100,'15n'!$H$7:$H$100,$A311,'15n'!$I$7:$I$100,"")+SUMIFS('16'!$N$7:$N$100,'16'!$H$7:$H$100,$A311,'16'!$I$7:$I$100,"")+SUMIFS('16a'!$N$7:$N$100,'16a'!$H$7:$H$100,$A311,'16a'!$I$7:$I$100,"")+SUMIFS('17'!$N$7:$N$100,'17'!$H$7:$H$100,$A311,'17'!$I$7:$I$100,"")+SUMIFS('17a'!$N$7:$N$100,'17a'!$H$7:$H$100,$A311,'17a'!$I$7:$I$100,"")+SUMIFS('18'!$N$7:$N$100,'18'!$H$7:$H$100,$A311,'18'!$I$7:$I$100,"")+SUMIFS('18a'!$N$7:$N$100,'18a'!$H$7:$H$100,$A311,'18a'!$I$7:$I$100,"")
+SUMIFS('19'!$N$7:$N$100,'19'!$H$7:$H$100,$A311,'19'!$I$7:$I$100,"")+SUMIFS('20'!$N$7:$N$100,'20'!$H$7:$H$100,$A311,'20'!$I$7:$I$100,"")+SUMIFS('20a'!$N$7:$N$100,'20a'!$H$7:$H$100,$A311,'20a'!$I$7:$I$100,"")+SUMIFS('21'!$N$7:$N$100,'21'!$H$7:$H$100,$A311,'21'!$I$7:$I$100,"")+SUMIFS('22'!$N$7:$N$100,'22'!$H$7:$H$100,$A311,'22'!$I$7:$I$100,"")+SUMIFS('22a'!$N$7:$N$100,'22a'!$H$7:$H$100,$A311,'22a'!$I$7:$I$100,"")+SUMIFS('22b'!$N$7:$N$100,'22b'!$H$7:$H$100,$A311,'22b'!$I$7:$I$100,"")+SUMIFS('23'!$N$7:$N$100,'23'!$H$7:$H$100,$A311,'23'!$I$7:$I$100,"")+SUMIFS('24'!$N$7:$N$100,'24'!$H$7:$H$100,$A311,'24'!$I$7:$I$100,"")+SUMIFS('24a'!$N$7:$N$100,'24a'!$H$7:$H$100,$A311,'24a'!$I$7:$I$100,"")+SUMIFS('24b'!$N$7:$N$100,'24b'!$H$7:$H$100,$A311,'24b'!$I$7:$I$100,"")+SUMIFS('24c'!$N$7:$N$100,'24c'!$H$7:$H$100,$A311,'24c'!$I$7:$I$100,"")+SUMIFS('24d'!$N$7:$N$100,'24d'!$H$7:$H$100,$A311,'24d'!$I$7:$I$100,"")+SUMIFS('24e'!$N$7:$N$100,'24e'!$H$7:$H$100,$A311,'24e'!$I$7:$I$100,"")+SUMIFS('24f'!$N$7:$N$100,'24f'!$H$7:$H$100,$A311,'24f'!$I$7:$I$100,"")+SUMIFS('24g'!$N$7:$N$100,'24g'!$H$7:$H$100,$A311,'24g'!$I$7:$I$100,"")+SUMIFS('24h'!$N$7:$N$100,'24h'!$H$7:$H$100,$A311,'24h'!$I$7:$I$100,"")+SUMIFS('24i'!$N$7:$N$100,'24i'!$H$7:$H$100,$A311,'24i'!$I$7:$I$100,"")+SUMIFS('25'!$N$7:$N$100,'25'!$H$7:$H$100,$A311,'25'!$I$7:$I$100,"")+SUMIFS('26'!$N$7:$N$100,'26'!$H$7:$H$100,$A311,'26'!$I$7:$I$100,"")+SUMIFS('26a'!$N$7:$N$100,'26a'!$H$7:$H$100,$A311,'26a'!$I$7:$I$100,"")+SUMIFS('27'!$N$7:$N$100,'27'!$H$7:$H$100,$A311,'27'!$I$7:$I$100,"")+SUMIFS('27a'!$N$7:$N$100,'27a'!$H$7:$H$100,$A311,'27a'!$I$7:$I$100,"")+SUMIFS('28'!$N$7:$N$100,'28'!$H$7:$H$100,$A311,'28'!$I$7:$I$100,"")+SUMIFS('29'!$N$7:$N$100,'29'!$H$7:$H$100,$A311,'29'!$I$7:$I$100,"")</f>
        <v>0</v>
      </c>
      <c r="F311" s="1296">
        <f>SUM(C311:E311)</f>
        <v>0</v>
      </c>
      <c r="G311" s="1295">
        <f>SUMIFS('12'!$J$7:$J$100,'12'!$H$7:$H$100,$A311,'12'!$I$7:$I$100,1)+SUMIFS('13'!$J$7:$J$100,'13'!$H$7:$H$100,$A311,'13'!$I$7:$I$100,1)+SUMIFS('14'!$J$7:$J$100,'14'!$H$7:$H$100,$A311,'14'!$I$7:$I$100,1)+SUMIFS('15'!$J$7:$J$100,'15'!$H$7:$H$100,$A311,'15'!$I$7:$I$100,1)+SUMIFS('15a'!$J$7:$J$100,'15a'!$H$7:$H$100,$A311,'15a'!$I$7:$I$100,1)+SUMIFS('15b'!$J$7:$J$100,'15b'!$H$7:$H$100,$A311,'15b'!$I$7:$I$100,1)+SUMIFS('15c'!$J$7:$J$100,'15c'!$H$7:$H$100,$A311,'15c'!$I$7:$I$100,1)+SUMIFS('15d'!$J$7:$J$100,'15d'!$H$7:$H$100,$A311,'15d'!$I$7:$I$100,1)+SUMIFS('15e'!$J$7:$J$100,'15e'!$H$7:$H$100,$A311,'15e'!$I$7:$I$100,1)+SUMIFS('15f'!$J$7:$J$100,'15f'!$H$7:$H$100,$A311,'15f'!$I$7:$I$100,1)+SUMIFS('15g'!$J$7:$J$100,'15g'!$H$7:$H$100,$A311,'15g'!$I$7:$I$100,1)+SUMIFS('15h'!$J$7:$J$100,'15h'!$H$7:$H$100,$A311,'15h'!$I$7:$I$100,1)+SUMIFS('15i'!$J$7:$J$100,'15i'!$H$7:$H$100,$A311,'15i'!$I$7:$I$100,1)+SUMIFS('15j'!$J$7:$J$100,'15j'!$H$7:$H$100,$A311,'15j'!$I$7:$I$100,1)+SUMIFS('15k'!$J$7:$J$100,'15k'!$H$7:$H$100,$A311,'15k'!$I$7:$I$100,1)+SUMIFS('15l'!$J$7:$J$100,'15l'!$H$7:$H$100,$A311,'15l'!$I$7:$I$100,1)+SUMIFS('15m'!$J$7:$J$100,'15m'!$H$7:$H$100,$A311,'15m'!$I$7:$I$100,1)+SUMIFS('15n'!$J$7:$J$100,'15n'!$H$7:$H$100,$A311,'15n'!$I$7:$I$100,1)+SUMIFS('16'!$J$7:$J$100,'16'!$H$7:$H$100,$A311,'16'!$I$7:$I$100,1)+SUMIFS('16a'!$J$7:$J$100,'16a'!$H$7:$H$100,$A311,'16a'!$I$7:$I$100,1)+SUMIFS('17'!$J$7:$J$100,'17'!$H$7:$H$100,$A311,'17'!$I$7:$I$100,1)+SUMIFS('17a'!$J$7:$J$100,'17a'!$H$7:$H$100,$A311,'17a'!$I$7:$I$100,1)+SUMIFS('18'!$J$7:$J$100,'18'!$H$7:$H$100,$A311,'18'!$I$7:$I$100,1)+SUMIFS('18a'!$J$7:$J$100,'18a'!$H$7:$H$100,$A311,'18a'!$I$7:$I$100,1)
+SUMIFS('19'!$J$7:$J$100,'19'!$H$7:$H$100,$A311,'19'!$I$7:$I$100,1)+SUMIFS('20'!$J$7:$J$100,'20'!$H$7:$H$100,$A311,'20'!$I$7:$I$100,1)+SUMIFS('20a'!$J$7:$J$100,'20a'!$H$7:$H$100,$A311,'20a'!$I$7:$I$100,1)+SUMIFS('21'!$J$7:$J$100,'21'!$H$7:$H$100,$A311,'21'!$I$7:$I$100,1)+SUMIFS('22'!$J$7:$J$100,'22'!$H$7:$H$100,$A311,'22'!$I$7:$I$100,1)+SUMIFS('22a'!$J$7:$J$100,'22a'!$H$7:$H$100,$A311,'22a'!$I$7:$I$100,1)+SUMIFS('22b'!$J$7:$J$100,'22b'!$H$7:$H$100,$A311,'22b'!$I$7:$I$100,1)+SUMIFS('23'!$J$7:$J$100,'23'!$H$7:$H$100,$A311,'23'!$I$7:$I$100,1)+SUMIFS('24'!$J$7:$J$100,'24'!$H$7:$H$100,$A311,'24'!$I$7:$I$100,1)+SUMIFS('24a'!$J$7:$J$100,'24a'!$H$7:$H$100,$A311,'24a'!$I$7:$I$100,1)+SUMIFS('24b'!$J$7:$J$100,'24b'!$H$7:$H$100,$A311,'24b'!$I$7:$I$100,1)+SUMIFS('24c'!$J$7:$J$100,'24c'!$H$7:$H$100,$A311,'24c'!$I$7:$I$100,1)+SUMIFS('24d'!$J$7:$J$100,'24d'!$H$7:$H$100,$A311,'24d'!$I$7:$I$100,1)+SUMIFS('24e'!$J$7:$J$100,'24e'!$H$7:$H$100,$A311,'24e'!$I$7:$I$100,1)+SUMIFS('24f'!$J$7:$J$100,'24f'!$H$7:$H$100,$A311,'24f'!$I$7:$I$100,1)+SUMIFS('24g'!$J$7:$J$100,'24g'!$H$7:$H$100,$A311,'24g'!$I$7:$I$100,1)+SUMIFS('24h'!$J$7:$J$100,'24h'!$H$7:$H$100,$A311,'24h'!$I$7:$I$100,1)+SUMIFS('24i'!$J$7:$J$100,'24i'!$H$7:$H$100,$A311,'24i'!$I$7:$I$100,1)+SUMIFS('25'!$J$7:$J$100,'25'!$H$7:$H$100,$A311,'25'!$I$7:$I$100,1)+SUMIFS('26'!$J$7:$J$100,'26'!$H$7:$H$100,$A311,'26'!$I$7:$I$100,1)+SUMIFS('26a'!$J$7:$J$100,'26a'!$H$7:$H$100,$A311,'26a'!$I$7:$I$100,1)+SUMIFS('27'!$J$7:$J$100,'27'!$H$7:$H$100,$A311,'27'!$I$7:$I$100,1)+SUMIFS('27a'!$J$7:$J$100,'27a'!$H$7:$H$100,$A311,'27a'!$I$7:$I$100,1)+SUMIFS('28'!$J$7:$J$100,'28'!$H$7:$H$100,$A311,'28'!$I$7:$I$100,1)+SUMIFS('29'!$J$7:$J$100,'29'!$H$7:$H$100,$A311,'29'!$I$7:$I$100,1)</f>
        <v>0</v>
      </c>
      <c r="H311" s="1315">
        <f>SUMIFS('12'!$J$7:$J$100,'12'!$H$7:$H$100,$A311,'12'!$I$7:$I$100,2)+SUMIFS('13'!$J$7:$J$100,'13'!$H$7:$H$100,$A311,'13'!$I$7:$I$100,2)+SUMIFS('14'!$J$7:$J$100,'14'!$H$7:$H$100,$A311,'14'!$I$7:$I$100,2)+SUMIFS('15'!$J$7:$J$100,'15'!$H$7:$H$100,$A311,'15'!$I$7:$I$100,2)+SUMIFS('15a'!$J$7:$J$100,'15a'!$H$7:$H$100,$A311,'15a'!$I$7:$I$100,2)+SUMIFS('15b'!$J$7:$J$100,'15b'!$H$7:$H$100,$A311,'15b'!$I$7:$I$100,2)+SUMIFS('15c'!$J$7:$J$100,'15c'!$H$7:$H$100,$A311,'15c'!$I$7:$I$100,2)+SUMIFS('15d'!$J$7:$J$100,'15d'!$H$7:$H$100,$A311,'15d'!$I$7:$I$100,2)+SUMIFS('15e'!$J$7:$J$100,'15e'!$H$7:$H$100,$A311,'15e'!$I$7:$I$100,2)+SUMIFS('15f'!$J$7:$J$100,'15f'!$H$7:$H$100,$A311,'15f'!$I$7:$I$100,2)+SUMIFS('15g'!$J$7:$J$100,'15g'!$H$7:$H$100,$A311,'15g'!$I$7:$I$100,2)+SUMIFS('15h'!$J$7:$J$100,'15h'!$H$7:$H$100,$A311,'15h'!$I$7:$I$100,2)+SUMIFS('15i'!$J$7:$J$100,'15i'!$H$7:$H$100,$A311,'15i'!$I$7:$I$100,2)+SUMIFS('15j'!$J$7:$J$100,'15j'!$H$7:$H$100,$A311,'15j'!$I$7:$I$100,2)+SUMIFS('15k'!$J$7:$J$100,'15k'!$H$7:$H$100,$A311,'15k'!$I$7:$I$100,2)+SUMIFS('15l'!$J$7:$J$100,'15l'!$H$7:$H$100,$A311,'15l'!$I$7:$I$100,2)+SUMIFS('15m'!$J$7:$J$100,'15m'!$H$7:$H$100,$A311,'15m'!$I$7:$I$100,2)+SUMIFS('15n'!$J$7:$J$100,'15n'!$H$7:$H$100,$A311,'15n'!$I$7:$I$100,2)+SUMIFS('16'!$J$7:$J$100,'16'!$H$7:$H$100,$A311,'16'!$I$7:$I$100,2)+SUMIFS('16a'!$J$7:$J$100,'16a'!$H$7:$H$100,$A311,'16a'!$I$7:$I$100,2)+SUMIFS('17'!$J$7:$J$100,'17'!$H$7:$H$100,$A311,'17'!$I$7:$I$100,2)+SUMIFS('17a'!$J$7:$J$100,'17a'!$H$7:$H$100,$A311,'17a'!$I$7:$I$100,2)+SUMIFS('18'!$J$7:$J$100,'18'!$H$7:$H$100,$A311,'18'!$I$7:$I$100,2)+SUMIFS('18a'!$J$7:$J$100,'18a'!$H$7:$H$100,$A311,'18a'!$I$7:$I$100,2)
+SUMIFS('19'!$J$7:$J$100,'19'!$H$7:$H$100,$A311,'19'!$I$7:$I$100,2)+SUMIFS('20'!$J$7:$J$100,'20'!$H$7:$H$100,$A311,'20'!$I$7:$I$100,2)+SUMIFS('20a'!$J$7:$J$100,'20a'!$H$7:$H$100,$A311,'20a'!$I$7:$I$100,2)+SUMIFS('21'!$J$7:$J$100,'21'!$H$7:$H$100,$A311,'21'!$I$7:$I$100,2)+SUMIFS('22'!$J$7:$J$100,'22'!$H$7:$H$100,$A311,'22'!$I$7:$I$100,2)+SUMIFS('22a'!$J$7:$J$100,'22a'!$H$7:$H$100,$A311,'22a'!$I$7:$I$100,2)+SUMIFS('22b'!$J$7:$J$100,'22b'!$H$7:$H$100,$A311,'22b'!$I$7:$I$100,2)+SUMIFS('23'!$J$7:$J$100,'23'!$H$7:$H$100,$A311,'23'!$I$7:$I$100,2)+SUMIFS('24'!$J$7:$J$100,'24'!$H$7:$H$100,$A311,'24'!$I$7:$I$100,2)+SUMIFS('24a'!$J$7:$J$100,'24a'!$H$7:$H$100,$A311,'24a'!$I$7:$I$100,2)+SUMIFS('24b'!$J$7:$J$100,'24b'!$H$7:$H$100,$A311,'24b'!$I$7:$I$100,2)+SUMIFS('24c'!$J$7:$J$100,'24c'!$H$7:$H$100,$A311,'24c'!$I$7:$I$100,2)+SUMIFS('24d'!$J$7:$J$100,'24d'!$H$7:$H$100,$A311,'24d'!$I$7:$I$100,2)+SUMIFS('24e'!$J$7:$J$100,'24e'!$H$7:$H$100,$A311,'24e'!$I$7:$I$100,2)+SUMIFS('24f'!$J$7:$J$100,'24f'!$H$7:$H$100,$A311,'24f'!$I$7:$I$100,2)+SUMIFS('24g'!$J$7:$J$100,'24g'!$H$7:$H$100,$A311,'24g'!$I$7:$I$100,2)+SUMIFS('24h'!$J$7:$J$100,'24h'!$H$7:$H$100,$A311,'24h'!$I$7:$I$100,2)+SUMIFS('24i'!$J$7:$J$100,'24i'!$H$7:$H$100,$A311,'24i'!$I$7:$I$100,2)+SUMIFS('25'!$J$7:$J$100,'25'!$H$7:$H$100,$A311,'25'!$I$7:$I$100,2)+SUMIFS('26'!$J$7:$J$100,'26'!$H$7:$H$100,$A311,'26'!$I$7:$I$100,2)+SUMIFS('26a'!$J$7:$J$100,'26a'!$H$7:$H$100,$A311,'26a'!$I$7:$I$100,2)+SUMIFS('27'!$J$7:$J$100,'27'!$H$7:$H$100,$A311,'27'!$I$7:$I$100,2)+SUMIFS('27a'!$J$7:$J$100,'27a'!$H$7:$H$100,$A311,'27a'!$I$7:$I$100,2)+SUMIFS('28'!$J$7:$J$100,'28'!$H$7:$H$100,$A311,'28'!$I$7:$I$100,2)+SUMIFS('29'!$J$7:$J$100,'29'!$H$7:$H$100,$A311,'29'!$I$7:$I$100,2)</f>
        <v>0</v>
      </c>
      <c r="I311" s="1315">
        <f>SUMIFS('12'!$J$7:$J$100,'12'!$H$7:$H$100,$A311,'12'!$I$7:$I$100,"")+SUMIFS('13'!$J$7:$J$100,'13'!$H$7:$H$100,$A311,'13'!$I$7:$I$100,"")+SUMIFS('14'!$J$7:$J$100,'14'!$H$7:$H$100,$A311,'14'!$I$7:$I$100,"")+SUMIFS('15'!$J$7:$J$100,'15'!$H$7:$H$100,$A311,'15'!$I$7:$I$100,"")+SUMIFS('15a'!$J$7:$J$100,'15a'!$H$7:$H$100,$A311,'15a'!$I$7:$I$100,"")+SUMIFS('15b'!$J$7:$J$100,'15b'!$H$7:$H$100,$A311,'15b'!$I$7:$I$100,"")+SUMIFS('15c'!$J$7:$J$100,'15c'!$H$7:$H$100,$A311,'15c'!$I$7:$I$100,"")+SUMIFS('15d'!$J$7:$J$100,'15d'!$H$7:$H$100,$A311,'15d'!$I$7:$I$100,"")+SUMIFS('15e'!$J$7:$J$100,'15e'!$H$7:$H$100,$A311,'15e'!$I$7:$I$100,"")+SUMIFS('15f'!$J$7:$J$100,'15f'!$H$7:$H$100,$A311,'15f'!$I$7:$I$100,"")+SUMIFS('15g'!$J$7:$J$100,'15g'!$H$7:$H$100,$A311,'15g'!$I$7:$I$100,"")+SUMIFS('15h'!$J$7:$J$100,'15h'!$H$7:$H$100,$A311,'15h'!$I$7:$I$100,"")+SUMIFS('15i'!$J$7:$J$100,'15i'!$H$7:$H$100,$A311,'15i'!$I$7:$I$100,"")+SUMIFS('15j'!$J$7:$J$100,'15j'!$H$7:$H$100,$A311,'15j'!$I$7:$I$100,"")+SUMIFS('15k'!$J$7:$J$100,'15k'!$H$7:$H$100,$A311,'15k'!$I$7:$I$100,"")+SUMIFS('15l'!$J$7:$J$100,'15l'!$H$7:$H$100,$A311,'15l'!$I$7:$I$100,"")+SUMIFS('15m'!$J$7:$J$100,'15m'!$H$7:$H$100,$A311,'15m'!$I$7:$I$100,"")+SUMIFS('15n'!$J$7:$J$100,'15n'!$H$7:$H$100,$A311,'15n'!$I$7:$I$100,"")+SUMIFS('16'!$J$7:$J$100,'16'!$H$7:$H$100,$A311,'16'!$I$7:$I$100,"")+SUMIFS('16a'!$J$7:$J$100,'16a'!$H$7:$H$100,$A311,'16a'!$I$7:$I$100,"")+SUMIFS('17'!$J$7:$J$100,'17'!$H$7:$H$100,$A311,'17'!$I$7:$I$100,"")+SUMIFS('17a'!$J$7:$J$100,'17a'!$H$7:$H$100,$A311,'17a'!$I$7:$I$100,"")+SUMIFS('18'!$J$7:$J$100,'18'!$H$7:$H$100,$A311,'18'!$I$7:$I$100,"")+SUMIFS('18a'!$J$7:$J$100,'18a'!$H$7:$H$100,$A311,'18a'!$I$7:$I$100,"")
+SUMIFS('19'!$J$7:$J$100,'19'!$H$7:$H$100,$A311,'19'!$I$7:$I$100,"")+SUMIFS('20'!$J$7:$J$100,'20'!$H$7:$H$100,$A311,'20'!$I$7:$I$100,"")+SUMIFS('20a'!$J$7:$J$100,'20a'!$H$7:$H$100,$A311,'20a'!$I$7:$I$100,"")+SUMIFS('21'!$J$7:$J$100,'21'!$H$7:$H$100,$A311,'21'!$I$7:$I$100,"")+SUMIFS('22'!$J$7:$J$100,'22'!$H$7:$H$100,$A311,'22'!$I$7:$I$100,"")+SUMIFS('22a'!$J$7:$J$100,'22a'!$H$7:$H$100,$A311,'22a'!$I$7:$I$100,"")+SUMIFS('22b'!$J$7:$J$100,'22b'!$H$7:$H$100,$A311,'22b'!$I$7:$I$100,"")+SUMIFS('23'!$J$7:$J$100,'23'!$H$7:$H$100,$A311,'23'!$I$7:$I$100,"")+SUMIFS('24'!$J$7:$J$100,'24'!$H$7:$H$100,$A311,'24'!$I$7:$I$100,"")+SUMIFS('24a'!$J$7:$J$100,'24a'!$H$7:$H$100,$A311,'24a'!$I$7:$I$100,"")+SUMIFS('24b'!$J$7:$J$100,'24b'!$H$7:$H$100,$A311,'24b'!$I$7:$I$100,"")+SUMIFS('24c'!$J$7:$J$100,'24c'!$H$7:$H$100,$A311,'24c'!$I$7:$I$100,"")+SUMIFS('24d'!$J$7:$J$100,'24d'!$H$7:$H$100,$A311,'24d'!$I$7:$I$100,"")+SUMIFS('24e'!$J$7:$J$100,'24e'!$H$7:$H$100,$A311,'24e'!$I$7:$I$100,"")+SUMIFS('24f'!$J$7:$J$100,'24f'!$H$7:$H$100,$A311,'24f'!$I$7:$I$100,"")+SUMIFS('24g'!$J$7:$J$100,'24g'!$H$7:$H$100,$A311,'24g'!$I$7:$I$100,"")+SUMIFS('24h'!$J$7:$J$100,'24h'!$H$7:$H$100,$A311,'24h'!$I$7:$I$100,"")+SUMIFS('24i'!$J$7:$J$100,'24i'!$H$7:$H$100,$A311,'24i'!$I$7:$I$100,"")+SUMIFS('25'!$J$7:$J$100,'25'!$H$7:$H$100,$A311,'25'!$I$7:$I$100,"")+SUMIFS('26'!$J$7:$J$100,'26'!$H$7:$H$100,$A311,'26'!$I$7:$I$100,"")+SUMIFS('26a'!$J$7:$J$100,'26a'!$H$7:$H$100,$A311,'26a'!$I$7:$I$100,"")+SUMIFS('27'!$J$7:$J$100,'27'!$H$7:$H$100,$A311,'27'!$I$7:$I$100,"")+SUMIFS('27a'!$J$7:$J$100,'27a'!$H$7:$H$100,$A311,'27a'!$I$7:$I$100,"")+SUMIFS('28'!$J$7:$J$100,'28'!$H$7:$H$100,$A311,'28'!$I$7:$I$100,"")+SUMIFS('29'!$J$7:$J$100,'29'!$H$7:$H$100,$A311,'29'!$I$7:$I$100,"")</f>
        <v>0</v>
      </c>
      <c r="J311" s="1296">
        <f>SUM(G311:I311)</f>
        <v>0</v>
      </c>
      <c r="K311"/>
      <c r="L311"/>
      <c r="M311"/>
      <c r="N311"/>
      <c r="O311"/>
      <c r="P311"/>
      <c r="Q311"/>
      <c r="R311"/>
      <c r="S311" s="1307">
        <f t="shared" si="30"/>
        <v>0</v>
      </c>
      <c r="T311"/>
    </row>
    <row r="312" spans="1:20" outlineLevel="1" x14ac:dyDescent="0.2">
      <c r="A312" s="784" t="s">
        <v>5287</v>
      </c>
      <c r="B312" t="s">
        <v>5463</v>
      </c>
      <c r="C312" s="1295">
        <f>SUMIFS('12'!$N$7:$N$100,'12'!$H$7:$H$100,$A312,'12'!$I$7:$I$100,1)+SUMIFS('13'!$N$7:$N$100,'13'!$H$7:$H$100,$A312,'13'!$I$7:$I$100,1)+SUMIFS('14'!$N$7:$N$100,'14'!$H$7:$H$100,$A312,'14'!$I$7:$I$100,1)+SUMIFS('15'!$N$7:$N$100,'15'!$H$7:$H$100,$A312,'15'!$I$7:$I$100,1)+SUMIFS('15a'!$N$7:$N$100,'15a'!$H$7:$H$100,$A312,'15a'!$I$7:$I$100,1)+SUMIFS('15b'!$N$7:$N$100,'15b'!$H$7:$H$100,$A312,'15b'!$I$7:$I$100,1)+SUMIFS('15c'!$N$7:$N$100,'15c'!$H$7:$H$100,$A312,'15c'!$I$7:$I$100,1)+SUMIFS('15d'!$N$7:$N$100,'15d'!$H$7:$H$100,$A312,'15d'!$I$7:$I$100,1)+SUMIFS('15e'!$N$7:$N$100,'15e'!$H$7:$H$100,$A312,'15e'!$I$7:$I$100,1)+SUMIFS('15f'!$N$7:$N$100,'15f'!$H$7:$H$100,$A312,'15f'!$I$7:$I$100,1)+SUMIFS('15g'!$N$7:$N$100,'15g'!$H$7:$H$100,$A312,'15g'!$I$7:$I$100,1)+SUMIFS('15h'!$N$7:$N$100,'15h'!$H$7:$H$100,$A312,'15h'!$I$7:$I$100,1)+SUMIFS('15i'!$N$7:$N$100,'15i'!$H$7:$H$100,$A312,'15i'!$I$7:$I$100,1)+SUMIFS('15j'!$N$7:$N$100,'15j'!$H$7:$H$100,$A312,'15j'!$I$7:$I$100,1)+SUMIFS('15k'!$N$7:$N$100,'15k'!$H$7:$H$100,$A312,'15k'!$I$7:$I$100,1)+SUMIFS('15l'!$N$7:$N$100,'15l'!$H$7:$H$100,$A312,'15l'!$I$7:$I$100,1)+SUMIFS('15m'!$N$7:$N$100,'15m'!$H$7:$H$100,$A312,'15m'!$I$7:$I$100,1)+SUMIFS('15n'!$N$7:$N$100,'15n'!$H$7:$H$100,$A312,'15n'!$I$7:$I$100,1)+SUMIFS('16'!$N$7:$N$100,'16'!$H$7:$H$100,$A312,'16'!$I$7:$I$100,1)+SUMIFS('16a'!$N$7:$N$100,'16a'!$H$7:$H$100,$A312,'16a'!$I$7:$I$100,1)+SUMIFS('17'!$N$7:$N$100,'17'!$H$7:$H$100,$A312,'17'!$I$7:$I$100,1)+SUMIFS('17a'!$N$7:$N$100,'17a'!$H$7:$H$100,$A312,'17a'!$I$7:$I$100,1)+SUMIFS('18'!$N$7:$N$100,'18'!$H$7:$H$100,$A312,'18'!$I$7:$I$100,1)+SUMIFS('18a'!$N$7:$N$100,'18a'!$H$7:$H$100,$A312,'18a'!$I$7:$I$100,1)
+SUMIFS('19'!$N$7:$N$100,'19'!$H$7:$H$100,$A312,'19'!$I$7:$I$100,1)+SUMIFS('20'!$N$7:$N$100,'20'!$H$7:$H$100,$A312,'20'!$I$7:$I$100,1)+SUMIFS('20a'!$N$7:$N$100,'20a'!$H$7:$H$100,$A312,'20a'!$I$7:$I$100,1)+SUMIFS('21'!$N$7:$N$100,'21'!$H$7:$H$100,$A312,'21'!$I$7:$I$100,1)+SUMIFS('22'!$N$7:$N$100,'22'!$H$7:$H$100,$A312,'22'!$I$7:$I$100,1)+SUMIFS('22a'!$N$7:$N$100,'22a'!$H$7:$H$100,$A312,'22a'!$I$7:$I$100,1)+SUMIFS('22b'!$N$7:$N$100,'22b'!$H$7:$H$100,$A312,'22b'!$I$7:$I$100,1)+SUMIFS('23'!$N$7:$N$100,'23'!$H$7:$H$100,$A312,'23'!$I$7:$I$100,1)+SUMIFS('24'!$N$7:$N$100,'24'!$H$7:$H$100,$A312,'24'!$I$7:$I$100,1)+SUMIFS('24a'!$N$7:$N$100,'24a'!$H$7:$H$100,$A312,'24a'!$I$7:$I$100,1)+SUMIFS('24b'!$N$7:$N$100,'24b'!$H$7:$H$100,$A312,'24b'!$I$7:$I$100,1)+SUMIFS('24c'!$N$7:$N$100,'24c'!$H$7:$H$100,$A312,'24c'!$I$7:$I$100,1)+SUMIFS('24d'!$N$7:$N$100,'24d'!$H$7:$H$100,$A312,'24d'!$I$7:$I$100,1)+SUMIFS('24e'!$N$7:$N$100,'24e'!$H$7:$H$100,$A312,'24e'!$I$7:$I$100,1)+SUMIFS('24f'!$N$7:$N$100,'24f'!$H$7:$H$100,$A312,'24f'!$I$7:$I$100,1)+SUMIFS('24g'!$N$7:$N$100,'24g'!$H$7:$H$100,$A312,'24g'!$I$7:$I$100,1)+SUMIFS('24h'!$N$7:$N$100,'24h'!$H$7:$H$100,$A312,'24h'!$I$7:$I$100,1)+SUMIFS('24i'!$N$7:$N$100,'24i'!$H$7:$H$100,$A312,'24i'!$I$7:$I$100,1)+SUMIFS('25'!$N$7:$N$100,'25'!$H$7:$H$100,$A312,'25'!$I$7:$I$100,1)+SUMIFS('26'!$N$7:$N$100,'26'!$H$7:$H$100,$A312,'26'!$I$7:$I$100,1)+SUMIFS('26a'!$N$7:$N$100,'26a'!$H$7:$H$100,$A312,'26a'!$I$7:$I$100,1)+SUMIFS('27'!$N$7:$N$100,'27'!$H$7:$H$100,$A312,'27'!$I$7:$I$100,1)+SUMIFS('27a'!$N$7:$N$100,'27a'!$H$7:$H$100,$A312,'27a'!$I$7:$I$100,1)+SUMIFS('28'!$N$7:$N$100,'28'!$H$7:$H$100,$A312,'28'!$I$7:$I$100,1)+SUMIFS('29'!$N$7:$N$100,'29'!$H$7:$H$100,$A312,'29'!$I$7:$I$100,1)</f>
        <v>0</v>
      </c>
      <c r="D312" s="1315">
        <f>SUMIFS('12'!$N$7:$N$100,'12'!$H$7:$H$100,$A312,'12'!$I$7:$I$100,2)+SUMIFS('13'!$N$7:$N$100,'13'!$H$7:$H$100,$A312,'13'!$I$7:$I$100,2)+SUMIFS('14'!$N$7:$N$100,'14'!$H$7:$H$100,$A312,'14'!$I$7:$I$100,2)+SUMIFS('15'!$N$7:$N$100,'15'!$H$7:$H$100,$A312,'15'!$I$7:$I$100,2)+SUMIFS('15a'!$N$7:$N$100,'15a'!$H$7:$H$100,$A312,'15a'!$I$7:$I$100,2)+SUMIFS('15b'!$N$7:$N$100,'15b'!$H$7:$H$100,$A312,'15b'!$I$7:$I$100,2)+SUMIFS('15c'!$N$7:$N$100,'15c'!$H$7:$H$100,$A312,'15c'!$I$7:$I$100,2)+SUMIFS('15d'!$N$7:$N$100,'15d'!$H$7:$H$100,$A312,'15d'!$I$7:$I$100,2)+SUMIFS('15e'!$N$7:$N$100,'15e'!$H$7:$H$100,$A312,'15e'!$I$7:$I$100,2)+SUMIFS('15f'!$N$7:$N$100,'15f'!$H$7:$H$100,$A312,'15f'!$I$7:$I$100,2)+SUMIFS('15g'!$N$7:$N$100,'15g'!$H$7:$H$100,$A312,'15g'!$I$7:$I$100,2)+SUMIFS('15h'!$N$7:$N$100,'15h'!$H$7:$H$100,$A312,'15h'!$I$7:$I$100,2)+SUMIFS('15i'!$N$7:$N$100,'15i'!$H$7:$H$100,$A312,'15i'!$I$7:$I$100,2)+SUMIFS('15j'!$N$7:$N$100,'15j'!$H$7:$H$100,$A312,'15j'!$I$7:$I$100,2)+SUMIFS('15k'!$N$7:$N$100,'15k'!$H$7:$H$100,$A312,'15k'!$I$7:$I$100,2)+SUMIFS('15l'!$N$7:$N$100,'15l'!$H$7:$H$100,$A312,'15l'!$I$7:$I$100,2)+SUMIFS('15m'!$N$7:$N$100,'15m'!$H$7:$H$100,$A312,'15m'!$I$7:$I$100,2)+SUMIFS('15n'!$N$7:$N$100,'15n'!$H$7:$H$100,$A312,'15n'!$I$7:$I$100,2)+SUMIFS('16'!$N$7:$N$100,'16'!$H$7:$H$100,$A312,'16'!$I$7:$I$100,2)+SUMIFS('16a'!$N$7:$N$100,'16a'!$H$7:$H$100,$A312,'16a'!$I$7:$I$100,2)+SUMIFS('17'!$N$7:$N$100,'17'!$H$7:$H$100,$A312,'17'!$I$7:$I$100,2)+SUMIFS('17a'!$N$7:$N$100,'17a'!$H$7:$H$100,$A312,'17a'!$I$7:$I$100,2)+SUMIFS('18'!$N$7:$N$100,'18'!$H$7:$H$100,$A312,'18'!$I$7:$I$100,2)+SUMIFS('18a'!$N$7:$N$100,'18a'!$H$7:$H$100,$A312,'18a'!$I$7:$I$100,2)
+SUMIFS('19'!$N$7:$N$100,'19'!$H$7:$H$100,$A312,'19'!$I$7:$I$100,2)+SUMIFS('20'!$N$7:$N$100,'20'!$H$7:$H$100,$A312,'20'!$I$7:$I$100,2)+SUMIFS('20a'!$N$7:$N$100,'20a'!$H$7:$H$100,$A312,'20a'!$I$7:$I$100,2)+SUMIFS('21'!$N$7:$N$100,'21'!$H$7:$H$100,$A312,'21'!$I$7:$I$100,2)+SUMIFS('22'!$N$7:$N$100,'22'!$H$7:$H$100,$A312,'22'!$I$7:$I$100,2)+SUMIFS('22a'!$N$7:$N$100,'22a'!$H$7:$H$100,$A312,'22a'!$I$7:$I$100,2)+SUMIFS('22b'!$N$7:$N$100,'22b'!$H$7:$H$100,$A312,'22b'!$I$7:$I$100,2)+SUMIFS('23'!$N$7:$N$100,'23'!$H$7:$H$100,$A312,'23'!$I$7:$I$100,2)+SUMIFS('24'!$N$7:$N$100,'24'!$H$7:$H$100,$A312,'24'!$I$7:$I$100,2)+SUMIFS('24a'!$N$7:$N$100,'24a'!$H$7:$H$100,$A312,'24a'!$I$7:$I$100,2)+SUMIFS('24b'!$N$7:$N$100,'24b'!$H$7:$H$100,$A312,'24b'!$I$7:$I$100,2)+SUMIFS('24c'!$N$7:$N$100,'24c'!$H$7:$H$100,$A312,'24c'!$I$7:$I$100,2)+SUMIFS('24d'!$N$7:$N$100,'24d'!$H$7:$H$100,$A312,'24d'!$I$7:$I$100,2)+SUMIFS('24e'!$N$7:$N$100,'24e'!$H$7:$H$100,$A312,'24e'!$I$7:$I$100,2)+SUMIFS('24f'!$N$7:$N$100,'24f'!$H$7:$H$100,$A312,'24f'!$I$7:$I$100,2)+SUMIFS('24g'!$N$7:$N$100,'24g'!$H$7:$H$100,$A312,'24g'!$I$7:$I$100,2)+SUMIFS('24h'!$N$7:$N$100,'24h'!$H$7:$H$100,$A312,'24h'!$I$7:$I$100,2)+SUMIFS('24i'!$N$7:$N$100,'24i'!$H$7:$H$100,$A312,'24i'!$I$7:$I$100,2)+SUMIFS('25'!$N$7:$N$100,'25'!$H$7:$H$100,$A312,'25'!$I$7:$I$100,2)+SUMIFS('26'!$N$7:$N$100,'26'!$H$7:$H$100,$A312,'26'!$I$7:$I$100,2)+SUMIFS('26a'!$N$7:$N$100,'26a'!$H$7:$H$100,$A312,'26a'!$I$7:$I$100,2)+SUMIFS('27'!$N$7:$N$100,'27'!$H$7:$H$100,$A312,'27'!$I$7:$I$100,2)+SUMIFS('27a'!$N$7:$N$100,'27a'!$H$7:$H$100,$A312,'27a'!$I$7:$I$100,2)+SUMIFS('28'!$N$7:$N$100,'28'!$H$7:$H$100,$A312,'28'!$I$7:$I$100,2)+SUMIFS('29'!$N$7:$N$100,'29'!$H$7:$H$100,$A312,'29'!$I$7:$I$100,2)</f>
        <v>0</v>
      </c>
      <c r="E312" s="1315">
        <f>SUMIFS('12'!$N$7:$N$100,'12'!$H$7:$H$100,$A312,'12'!$I$7:$I$100,"")+SUMIFS('13'!$N$7:$N$100,'13'!$H$7:$H$100,$A312,'13'!$I$7:$I$100,"")+SUMIFS('14'!$N$7:$N$100,'14'!$H$7:$H$100,$A312,'14'!$I$7:$I$100,"")+SUMIFS('15'!$N$7:$N$100,'15'!$H$7:$H$100,$A312,'15'!$I$7:$I$100,"")+SUMIFS('15a'!$N$7:$N$100,'15a'!$H$7:$H$100,$A312,'15a'!$I$7:$I$100,"")+SUMIFS('15b'!$N$7:$N$100,'15b'!$H$7:$H$100,$A312,'15b'!$I$7:$I$100,"")+SUMIFS('15c'!$N$7:$N$100,'15c'!$H$7:$H$100,$A312,'15c'!$I$7:$I$100,"")+SUMIFS('15d'!$N$7:$N$100,'15d'!$H$7:$H$100,$A312,'15d'!$I$7:$I$100,"")+SUMIFS('15e'!$N$7:$N$100,'15e'!$H$7:$H$100,$A312,'15e'!$I$7:$I$100,"")+SUMIFS('15f'!$N$7:$N$100,'15f'!$H$7:$H$100,$A312,'15f'!$I$7:$I$100,"")+SUMIFS('15g'!$N$7:$N$100,'15g'!$H$7:$H$100,$A312,'15g'!$I$7:$I$100,"")+SUMIFS('15h'!$N$7:$N$100,'15h'!$H$7:$H$100,$A312,'15h'!$I$7:$I$100,"")+SUMIFS('15i'!$N$7:$N$100,'15i'!$H$7:$H$100,$A312,'15i'!$I$7:$I$100,"")+SUMIFS('15j'!$N$7:$N$100,'15j'!$H$7:$H$100,$A312,'15j'!$I$7:$I$100,"")+SUMIFS('15k'!$N$7:$N$100,'15k'!$H$7:$H$100,$A312,'15k'!$I$7:$I$100,"")+SUMIFS('15l'!$N$7:$N$100,'15l'!$H$7:$H$100,$A312,'15l'!$I$7:$I$100,"")+SUMIFS('15m'!$N$7:$N$100,'15m'!$H$7:$H$100,$A312,'15m'!$I$7:$I$100,"")+SUMIFS('15n'!$N$7:$N$100,'15n'!$H$7:$H$100,$A312,'15n'!$I$7:$I$100,"")+SUMIFS('16'!$N$7:$N$100,'16'!$H$7:$H$100,$A312,'16'!$I$7:$I$100,"")+SUMIFS('16a'!$N$7:$N$100,'16a'!$H$7:$H$100,$A312,'16a'!$I$7:$I$100,"")+SUMIFS('17'!$N$7:$N$100,'17'!$H$7:$H$100,$A312,'17'!$I$7:$I$100,"")+SUMIFS('17a'!$N$7:$N$100,'17a'!$H$7:$H$100,$A312,'17a'!$I$7:$I$100,"")+SUMIFS('18'!$N$7:$N$100,'18'!$H$7:$H$100,$A312,'18'!$I$7:$I$100,"")+SUMIFS('18a'!$N$7:$N$100,'18a'!$H$7:$H$100,$A312,'18a'!$I$7:$I$100,"")
+SUMIFS('19'!$N$7:$N$100,'19'!$H$7:$H$100,$A312,'19'!$I$7:$I$100,"")+SUMIFS('20'!$N$7:$N$100,'20'!$H$7:$H$100,$A312,'20'!$I$7:$I$100,"")+SUMIFS('20a'!$N$7:$N$100,'20a'!$H$7:$H$100,$A312,'20a'!$I$7:$I$100,"")+SUMIFS('21'!$N$7:$N$100,'21'!$H$7:$H$100,$A312,'21'!$I$7:$I$100,"")+SUMIFS('22'!$N$7:$N$100,'22'!$H$7:$H$100,$A312,'22'!$I$7:$I$100,"")+SUMIFS('22a'!$N$7:$N$100,'22a'!$H$7:$H$100,$A312,'22a'!$I$7:$I$100,"")+SUMIFS('22b'!$N$7:$N$100,'22b'!$H$7:$H$100,$A312,'22b'!$I$7:$I$100,"")+SUMIFS('23'!$N$7:$N$100,'23'!$H$7:$H$100,$A312,'23'!$I$7:$I$100,"")+SUMIFS('24'!$N$7:$N$100,'24'!$H$7:$H$100,$A312,'24'!$I$7:$I$100,"")+SUMIFS('24a'!$N$7:$N$100,'24a'!$H$7:$H$100,$A312,'24a'!$I$7:$I$100,"")+SUMIFS('24b'!$N$7:$N$100,'24b'!$H$7:$H$100,$A312,'24b'!$I$7:$I$100,"")+SUMIFS('24c'!$N$7:$N$100,'24c'!$H$7:$H$100,$A312,'24c'!$I$7:$I$100,"")+SUMIFS('24d'!$N$7:$N$100,'24d'!$H$7:$H$100,$A312,'24d'!$I$7:$I$100,"")+SUMIFS('24e'!$N$7:$N$100,'24e'!$H$7:$H$100,$A312,'24e'!$I$7:$I$100,"")+SUMIFS('24f'!$N$7:$N$100,'24f'!$H$7:$H$100,$A312,'24f'!$I$7:$I$100,"")+SUMIFS('24g'!$N$7:$N$100,'24g'!$H$7:$H$100,$A312,'24g'!$I$7:$I$100,"")+SUMIFS('24h'!$N$7:$N$100,'24h'!$H$7:$H$100,$A312,'24h'!$I$7:$I$100,"")+SUMIFS('24i'!$N$7:$N$100,'24i'!$H$7:$H$100,$A312,'24i'!$I$7:$I$100,"")+SUMIFS('25'!$N$7:$N$100,'25'!$H$7:$H$100,$A312,'25'!$I$7:$I$100,"")+SUMIFS('26'!$N$7:$N$100,'26'!$H$7:$H$100,$A312,'26'!$I$7:$I$100,"")+SUMIFS('26a'!$N$7:$N$100,'26a'!$H$7:$H$100,$A312,'26a'!$I$7:$I$100,"")+SUMIFS('27'!$N$7:$N$100,'27'!$H$7:$H$100,$A312,'27'!$I$7:$I$100,"")+SUMIFS('27a'!$N$7:$N$100,'27a'!$H$7:$H$100,$A312,'27a'!$I$7:$I$100,"")+SUMIFS('28'!$N$7:$N$100,'28'!$H$7:$H$100,$A312,'28'!$I$7:$I$100,"")+SUMIFS('29'!$N$7:$N$100,'29'!$H$7:$H$100,$A312,'29'!$I$7:$I$100,"")</f>
        <v>0</v>
      </c>
      <c r="F312" s="1296">
        <f>SUM(C312:E312)</f>
        <v>0</v>
      </c>
      <c r="G312" s="1295">
        <f>SUMIFS('12'!$J$7:$J$100,'12'!$H$7:$H$100,$A312,'12'!$I$7:$I$100,1)+SUMIFS('13'!$J$7:$J$100,'13'!$H$7:$H$100,$A312,'13'!$I$7:$I$100,1)+SUMIFS('14'!$J$7:$J$100,'14'!$H$7:$H$100,$A312,'14'!$I$7:$I$100,1)+SUMIFS('15'!$J$7:$J$100,'15'!$H$7:$H$100,$A312,'15'!$I$7:$I$100,1)+SUMIFS('15a'!$J$7:$J$100,'15a'!$H$7:$H$100,$A312,'15a'!$I$7:$I$100,1)+SUMIFS('15b'!$J$7:$J$100,'15b'!$H$7:$H$100,$A312,'15b'!$I$7:$I$100,1)+SUMIFS('15c'!$J$7:$J$100,'15c'!$H$7:$H$100,$A312,'15c'!$I$7:$I$100,1)+SUMIFS('15d'!$J$7:$J$100,'15d'!$H$7:$H$100,$A312,'15d'!$I$7:$I$100,1)+SUMIFS('15e'!$J$7:$J$100,'15e'!$H$7:$H$100,$A312,'15e'!$I$7:$I$100,1)+SUMIFS('15f'!$J$7:$J$100,'15f'!$H$7:$H$100,$A312,'15f'!$I$7:$I$100,1)+SUMIFS('15g'!$J$7:$J$100,'15g'!$H$7:$H$100,$A312,'15g'!$I$7:$I$100,1)+SUMIFS('15h'!$J$7:$J$100,'15h'!$H$7:$H$100,$A312,'15h'!$I$7:$I$100,1)+SUMIFS('15i'!$J$7:$J$100,'15i'!$H$7:$H$100,$A312,'15i'!$I$7:$I$100,1)+SUMIFS('15j'!$J$7:$J$100,'15j'!$H$7:$H$100,$A312,'15j'!$I$7:$I$100,1)+SUMIFS('15k'!$J$7:$J$100,'15k'!$H$7:$H$100,$A312,'15k'!$I$7:$I$100,1)+SUMIFS('15l'!$J$7:$J$100,'15l'!$H$7:$H$100,$A312,'15l'!$I$7:$I$100,1)+SUMIFS('15m'!$J$7:$J$100,'15m'!$H$7:$H$100,$A312,'15m'!$I$7:$I$100,1)+SUMIFS('15n'!$J$7:$J$100,'15n'!$H$7:$H$100,$A312,'15n'!$I$7:$I$100,1)+SUMIFS('16'!$J$7:$J$100,'16'!$H$7:$H$100,$A312,'16'!$I$7:$I$100,1)+SUMIFS('16a'!$J$7:$J$100,'16a'!$H$7:$H$100,$A312,'16a'!$I$7:$I$100,1)+SUMIFS('17'!$J$7:$J$100,'17'!$H$7:$H$100,$A312,'17'!$I$7:$I$100,1)+SUMIFS('17a'!$J$7:$J$100,'17a'!$H$7:$H$100,$A312,'17a'!$I$7:$I$100,1)+SUMIFS('18'!$J$7:$J$100,'18'!$H$7:$H$100,$A312,'18'!$I$7:$I$100,1)+SUMIFS('18a'!$J$7:$J$100,'18a'!$H$7:$H$100,$A312,'18a'!$I$7:$I$100,1)
+SUMIFS('19'!$J$7:$J$100,'19'!$H$7:$H$100,$A312,'19'!$I$7:$I$100,1)+SUMIFS('20'!$J$7:$J$100,'20'!$H$7:$H$100,$A312,'20'!$I$7:$I$100,1)+SUMIFS('20a'!$J$7:$J$100,'20a'!$H$7:$H$100,$A312,'20a'!$I$7:$I$100,1)+SUMIFS('21'!$J$7:$J$100,'21'!$H$7:$H$100,$A312,'21'!$I$7:$I$100,1)+SUMIFS('22'!$J$7:$J$100,'22'!$H$7:$H$100,$A312,'22'!$I$7:$I$100,1)+SUMIFS('22a'!$J$7:$J$100,'22a'!$H$7:$H$100,$A312,'22a'!$I$7:$I$100,1)+SUMIFS('22b'!$J$7:$J$100,'22b'!$H$7:$H$100,$A312,'22b'!$I$7:$I$100,1)+SUMIFS('23'!$J$7:$J$100,'23'!$H$7:$H$100,$A312,'23'!$I$7:$I$100,1)+SUMIFS('24'!$J$7:$J$100,'24'!$H$7:$H$100,$A312,'24'!$I$7:$I$100,1)+SUMIFS('24a'!$J$7:$J$100,'24a'!$H$7:$H$100,$A312,'24a'!$I$7:$I$100,1)+SUMIFS('24b'!$J$7:$J$100,'24b'!$H$7:$H$100,$A312,'24b'!$I$7:$I$100,1)+SUMIFS('24c'!$J$7:$J$100,'24c'!$H$7:$H$100,$A312,'24c'!$I$7:$I$100,1)+SUMIFS('24d'!$J$7:$J$100,'24d'!$H$7:$H$100,$A312,'24d'!$I$7:$I$100,1)+SUMIFS('24e'!$J$7:$J$100,'24e'!$H$7:$H$100,$A312,'24e'!$I$7:$I$100,1)+SUMIFS('24f'!$J$7:$J$100,'24f'!$H$7:$H$100,$A312,'24f'!$I$7:$I$100,1)+SUMIFS('24g'!$J$7:$J$100,'24g'!$H$7:$H$100,$A312,'24g'!$I$7:$I$100,1)+SUMIFS('24h'!$J$7:$J$100,'24h'!$H$7:$H$100,$A312,'24h'!$I$7:$I$100,1)+SUMIFS('24i'!$J$7:$J$100,'24i'!$H$7:$H$100,$A312,'24i'!$I$7:$I$100,1)+SUMIFS('25'!$J$7:$J$100,'25'!$H$7:$H$100,$A312,'25'!$I$7:$I$100,1)+SUMIFS('26'!$J$7:$J$100,'26'!$H$7:$H$100,$A312,'26'!$I$7:$I$100,1)+SUMIFS('26a'!$J$7:$J$100,'26a'!$H$7:$H$100,$A312,'26a'!$I$7:$I$100,1)+SUMIFS('27'!$J$7:$J$100,'27'!$H$7:$H$100,$A312,'27'!$I$7:$I$100,1)+SUMIFS('27a'!$J$7:$J$100,'27a'!$H$7:$H$100,$A312,'27a'!$I$7:$I$100,1)+SUMIFS('28'!$J$7:$J$100,'28'!$H$7:$H$100,$A312,'28'!$I$7:$I$100,1)+SUMIFS('29'!$J$7:$J$100,'29'!$H$7:$H$100,$A312,'29'!$I$7:$I$100,1)</f>
        <v>0</v>
      </c>
      <c r="H312" s="1315">
        <f>SUMIFS('12'!$J$7:$J$100,'12'!$H$7:$H$100,$A312,'12'!$I$7:$I$100,2)+SUMIFS('13'!$J$7:$J$100,'13'!$H$7:$H$100,$A312,'13'!$I$7:$I$100,2)+SUMIFS('14'!$J$7:$J$100,'14'!$H$7:$H$100,$A312,'14'!$I$7:$I$100,2)+SUMIFS('15'!$J$7:$J$100,'15'!$H$7:$H$100,$A312,'15'!$I$7:$I$100,2)+SUMIFS('15a'!$J$7:$J$100,'15a'!$H$7:$H$100,$A312,'15a'!$I$7:$I$100,2)+SUMIFS('15b'!$J$7:$J$100,'15b'!$H$7:$H$100,$A312,'15b'!$I$7:$I$100,2)+SUMIFS('15c'!$J$7:$J$100,'15c'!$H$7:$H$100,$A312,'15c'!$I$7:$I$100,2)+SUMIFS('15d'!$J$7:$J$100,'15d'!$H$7:$H$100,$A312,'15d'!$I$7:$I$100,2)+SUMIFS('15e'!$J$7:$J$100,'15e'!$H$7:$H$100,$A312,'15e'!$I$7:$I$100,2)+SUMIFS('15f'!$J$7:$J$100,'15f'!$H$7:$H$100,$A312,'15f'!$I$7:$I$100,2)+SUMIFS('15g'!$J$7:$J$100,'15g'!$H$7:$H$100,$A312,'15g'!$I$7:$I$100,2)+SUMIFS('15h'!$J$7:$J$100,'15h'!$H$7:$H$100,$A312,'15h'!$I$7:$I$100,2)+SUMIFS('15i'!$J$7:$J$100,'15i'!$H$7:$H$100,$A312,'15i'!$I$7:$I$100,2)+SUMIFS('15j'!$J$7:$J$100,'15j'!$H$7:$H$100,$A312,'15j'!$I$7:$I$100,2)+SUMIFS('15k'!$J$7:$J$100,'15k'!$H$7:$H$100,$A312,'15k'!$I$7:$I$100,2)+SUMIFS('15l'!$J$7:$J$100,'15l'!$H$7:$H$100,$A312,'15l'!$I$7:$I$100,2)+SUMIFS('15m'!$J$7:$J$100,'15m'!$H$7:$H$100,$A312,'15m'!$I$7:$I$100,2)+SUMIFS('15n'!$J$7:$J$100,'15n'!$H$7:$H$100,$A312,'15n'!$I$7:$I$100,2)+SUMIFS('16'!$J$7:$J$100,'16'!$H$7:$H$100,$A312,'16'!$I$7:$I$100,2)+SUMIFS('16a'!$J$7:$J$100,'16a'!$H$7:$H$100,$A312,'16a'!$I$7:$I$100,2)+SUMIFS('17'!$J$7:$J$100,'17'!$H$7:$H$100,$A312,'17'!$I$7:$I$100,2)+SUMIFS('17a'!$J$7:$J$100,'17a'!$H$7:$H$100,$A312,'17a'!$I$7:$I$100,2)+SUMIFS('18'!$J$7:$J$100,'18'!$H$7:$H$100,$A312,'18'!$I$7:$I$100,2)+SUMIFS('18a'!$J$7:$J$100,'18a'!$H$7:$H$100,$A312,'18a'!$I$7:$I$100,2)
+SUMIFS('19'!$J$7:$J$100,'19'!$H$7:$H$100,$A312,'19'!$I$7:$I$100,2)+SUMIFS('20'!$J$7:$J$100,'20'!$H$7:$H$100,$A312,'20'!$I$7:$I$100,2)+SUMIFS('20a'!$J$7:$J$100,'20a'!$H$7:$H$100,$A312,'20a'!$I$7:$I$100,2)+SUMIFS('21'!$J$7:$J$100,'21'!$H$7:$H$100,$A312,'21'!$I$7:$I$100,2)+SUMIFS('22'!$J$7:$J$100,'22'!$H$7:$H$100,$A312,'22'!$I$7:$I$100,2)+SUMIFS('22a'!$J$7:$J$100,'22a'!$H$7:$H$100,$A312,'22a'!$I$7:$I$100,2)+SUMIFS('22b'!$J$7:$J$100,'22b'!$H$7:$H$100,$A312,'22b'!$I$7:$I$100,2)+SUMIFS('23'!$J$7:$J$100,'23'!$H$7:$H$100,$A312,'23'!$I$7:$I$100,2)+SUMIFS('24'!$J$7:$J$100,'24'!$H$7:$H$100,$A312,'24'!$I$7:$I$100,2)+SUMIFS('24a'!$J$7:$J$100,'24a'!$H$7:$H$100,$A312,'24a'!$I$7:$I$100,2)+SUMIFS('24b'!$J$7:$J$100,'24b'!$H$7:$H$100,$A312,'24b'!$I$7:$I$100,2)+SUMIFS('24c'!$J$7:$J$100,'24c'!$H$7:$H$100,$A312,'24c'!$I$7:$I$100,2)+SUMIFS('24d'!$J$7:$J$100,'24d'!$H$7:$H$100,$A312,'24d'!$I$7:$I$100,2)+SUMIFS('24e'!$J$7:$J$100,'24e'!$H$7:$H$100,$A312,'24e'!$I$7:$I$100,2)+SUMIFS('24f'!$J$7:$J$100,'24f'!$H$7:$H$100,$A312,'24f'!$I$7:$I$100,2)+SUMIFS('24g'!$J$7:$J$100,'24g'!$H$7:$H$100,$A312,'24g'!$I$7:$I$100,2)+SUMIFS('24h'!$J$7:$J$100,'24h'!$H$7:$H$100,$A312,'24h'!$I$7:$I$100,2)+SUMIFS('24i'!$J$7:$J$100,'24i'!$H$7:$H$100,$A312,'24i'!$I$7:$I$100,2)+SUMIFS('25'!$J$7:$J$100,'25'!$H$7:$H$100,$A312,'25'!$I$7:$I$100,2)+SUMIFS('26'!$J$7:$J$100,'26'!$H$7:$H$100,$A312,'26'!$I$7:$I$100,2)+SUMIFS('26a'!$J$7:$J$100,'26a'!$H$7:$H$100,$A312,'26a'!$I$7:$I$100,2)+SUMIFS('27'!$J$7:$J$100,'27'!$H$7:$H$100,$A312,'27'!$I$7:$I$100,2)+SUMIFS('27a'!$J$7:$J$100,'27a'!$H$7:$H$100,$A312,'27a'!$I$7:$I$100,2)+SUMIFS('28'!$J$7:$J$100,'28'!$H$7:$H$100,$A312,'28'!$I$7:$I$100,2)+SUMIFS('29'!$J$7:$J$100,'29'!$H$7:$H$100,$A312,'29'!$I$7:$I$100,2)</f>
        <v>0</v>
      </c>
      <c r="I312" s="1315">
        <f>SUMIFS('12'!$J$7:$J$100,'12'!$H$7:$H$100,$A312,'12'!$I$7:$I$100,"")+SUMIFS('13'!$J$7:$J$100,'13'!$H$7:$H$100,$A312,'13'!$I$7:$I$100,"")+SUMIFS('14'!$J$7:$J$100,'14'!$H$7:$H$100,$A312,'14'!$I$7:$I$100,"")+SUMIFS('15'!$J$7:$J$100,'15'!$H$7:$H$100,$A312,'15'!$I$7:$I$100,"")+SUMIFS('15a'!$J$7:$J$100,'15a'!$H$7:$H$100,$A312,'15a'!$I$7:$I$100,"")+SUMIFS('15b'!$J$7:$J$100,'15b'!$H$7:$H$100,$A312,'15b'!$I$7:$I$100,"")+SUMIFS('15c'!$J$7:$J$100,'15c'!$H$7:$H$100,$A312,'15c'!$I$7:$I$100,"")+SUMIFS('15d'!$J$7:$J$100,'15d'!$H$7:$H$100,$A312,'15d'!$I$7:$I$100,"")+SUMIFS('15e'!$J$7:$J$100,'15e'!$H$7:$H$100,$A312,'15e'!$I$7:$I$100,"")+SUMIFS('15f'!$J$7:$J$100,'15f'!$H$7:$H$100,$A312,'15f'!$I$7:$I$100,"")+SUMIFS('15g'!$J$7:$J$100,'15g'!$H$7:$H$100,$A312,'15g'!$I$7:$I$100,"")+SUMIFS('15h'!$J$7:$J$100,'15h'!$H$7:$H$100,$A312,'15h'!$I$7:$I$100,"")+SUMIFS('15i'!$J$7:$J$100,'15i'!$H$7:$H$100,$A312,'15i'!$I$7:$I$100,"")+SUMIFS('15j'!$J$7:$J$100,'15j'!$H$7:$H$100,$A312,'15j'!$I$7:$I$100,"")+SUMIFS('15k'!$J$7:$J$100,'15k'!$H$7:$H$100,$A312,'15k'!$I$7:$I$100,"")+SUMIFS('15l'!$J$7:$J$100,'15l'!$H$7:$H$100,$A312,'15l'!$I$7:$I$100,"")+SUMIFS('15m'!$J$7:$J$100,'15m'!$H$7:$H$100,$A312,'15m'!$I$7:$I$100,"")+SUMIFS('15n'!$J$7:$J$100,'15n'!$H$7:$H$100,$A312,'15n'!$I$7:$I$100,"")+SUMIFS('16'!$J$7:$J$100,'16'!$H$7:$H$100,$A312,'16'!$I$7:$I$100,"")+SUMIFS('16a'!$J$7:$J$100,'16a'!$H$7:$H$100,$A312,'16a'!$I$7:$I$100,"")+SUMIFS('17'!$J$7:$J$100,'17'!$H$7:$H$100,$A312,'17'!$I$7:$I$100,"")+SUMIFS('17a'!$J$7:$J$100,'17a'!$H$7:$H$100,$A312,'17a'!$I$7:$I$100,"")+SUMIFS('18'!$J$7:$J$100,'18'!$H$7:$H$100,$A312,'18'!$I$7:$I$100,"")+SUMIFS('18a'!$J$7:$J$100,'18a'!$H$7:$H$100,$A312,'18a'!$I$7:$I$100,"")
+SUMIFS('19'!$J$7:$J$100,'19'!$H$7:$H$100,$A312,'19'!$I$7:$I$100,"")+SUMIFS('20'!$J$7:$J$100,'20'!$H$7:$H$100,$A312,'20'!$I$7:$I$100,"")+SUMIFS('20a'!$J$7:$J$100,'20a'!$H$7:$H$100,$A312,'20a'!$I$7:$I$100,"")+SUMIFS('21'!$J$7:$J$100,'21'!$H$7:$H$100,$A312,'21'!$I$7:$I$100,"")+SUMIFS('22'!$J$7:$J$100,'22'!$H$7:$H$100,$A312,'22'!$I$7:$I$100,"")+SUMIFS('22a'!$J$7:$J$100,'22a'!$H$7:$H$100,$A312,'22a'!$I$7:$I$100,"")+SUMIFS('22b'!$J$7:$J$100,'22b'!$H$7:$H$100,$A312,'22b'!$I$7:$I$100,"")+SUMIFS('23'!$J$7:$J$100,'23'!$H$7:$H$100,$A312,'23'!$I$7:$I$100,"")+SUMIFS('24'!$J$7:$J$100,'24'!$H$7:$H$100,$A312,'24'!$I$7:$I$100,"")+SUMIFS('24a'!$J$7:$J$100,'24a'!$H$7:$H$100,$A312,'24a'!$I$7:$I$100,"")+SUMIFS('24b'!$J$7:$J$100,'24b'!$H$7:$H$100,$A312,'24b'!$I$7:$I$100,"")+SUMIFS('24c'!$J$7:$J$100,'24c'!$H$7:$H$100,$A312,'24c'!$I$7:$I$100,"")+SUMIFS('24d'!$J$7:$J$100,'24d'!$H$7:$H$100,$A312,'24d'!$I$7:$I$100,"")+SUMIFS('24e'!$J$7:$J$100,'24e'!$H$7:$H$100,$A312,'24e'!$I$7:$I$100,"")+SUMIFS('24f'!$J$7:$J$100,'24f'!$H$7:$H$100,$A312,'24f'!$I$7:$I$100,"")+SUMIFS('24g'!$J$7:$J$100,'24g'!$H$7:$H$100,$A312,'24g'!$I$7:$I$100,"")+SUMIFS('24h'!$J$7:$J$100,'24h'!$H$7:$H$100,$A312,'24h'!$I$7:$I$100,"")+SUMIFS('24i'!$J$7:$J$100,'24i'!$H$7:$H$100,$A312,'24i'!$I$7:$I$100,"")+SUMIFS('25'!$J$7:$J$100,'25'!$H$7:$H$100,$A312,'25'!$I$7:$I$100,"")+SUMIFS('26'!$J$7:$J$100,'26'!$H$7:$H$100,$A312,'26'!$I$7:$I$100,"")+SUMIFS('26a'!$J$7:$J$100,'26a'!$H$7:$H$100,$A312,'26a'!$I$7:$I$100,"")+SUMIFS('27'!$J$7:$J$100,'27'!$H$7:$H$100,$A312,'27'!$I$7:$I$100,"")+SUMIFS('27a'!$J$7:$J$100,'27a'!$H$7:$H$100,$A312,'27a'!$I$7:$I$100,"")+SUMIFS('28'!$J$7:$J$100,'28'!$H$7:$H$100,$A312,'28'!$I$7:$I$100,"")+SUMIFS('29'!$J$7:$J$100,'29'!$H$7:$H$100,$A312,'29'!$I$7:$I$100,"")</f>
        <v>0</v>
      </c>
      <c r="J312" s="1296">
        <f>SUM(G312:I312)</f>
        <v>0</v>
      </c>
      <c r="K312"/>
      <c r="L312"/>
      <c r="M312"/>
      <c r="N312"/>
      <c r="O312"/>
      <c r="P312"/>
      <c r="Q312"/>
      <c r="R312"/>
      <c r="S312" s="1307">
        <f t="shared" si="30"/>
        <v>0</v>
      </c>
      <c r="T312"/>
    </row>
    <row r="313" spans="1:20" ht="12" customHeight="1" outlineLevel="1" x14ac:dyDescent="0.2">
      <c r="A313" s="784" t="s">
        <v>5288</v>
      </c>
      <c r="B313" t="s">
        <v>5463</v>
      </c>
      <c r="C313" s="1295">
        <f>SUMIFS('12'!$N$7:$N$100,'12'!$H$7:$H$100,$A313,'12'!$I$7:$I$100,1)+SUMIFS('13'!$N$7:$N$100,'13'!$H$7:$H$100,$A313,'13'!$I$7:$I$100,1)+SUMIFS('14'!$N$7:$N$100,'14'!$H$7:$H$100,$A313,'14'!$I$7:$I$100,1)+SUMIFS('15'!$N$7:$N$100,'15'!$H$7:$H$100,$A313,'15'!$I$7:$I$100,1)+SUMIFS('15a'!$N$7:$N$100,'15a'!$H$7:$H$100,$A313,'15a'!$I$7:$I$100,1)+SUMIFS('15b'!$N$7:$N$100,'15b'!$H$7:$H$100,$A313,'15b'!$I$7:$I$100,1)+SUMIFS('15c'!$N$7:$N$100,'15c'!$H$7:$H$100,$A313,'15c'!$I$7:$I$100,1)+SUMIFS('15d'!$N$7:$N$100,'15d'!$H$7:$H$100,$A313,'15d'!$I$7:$I$100,1)+SUMIFS('15e'!$N$7:$N$100,'15e'!$H$7:$H$100,$A313,'15e'!$I$7:$I$100,1)+SUMIFS('15f'!$N$7:$N$100,'15f'!$H$7:$H$100,$A313,'15f'!$I$7:$I$100,1)+SUMIFS('15g'!$N$7:$N$100,'15g'!$H$7:$H$100,$A313,'15g'!$I$7:$I$100,1)+SUMIFS('15h'!$N$7:$N$100,'15h'!$H$7:$H$100,$A313,'15h'!$I$7:$I$100,1)+SUMIFS('15i'!$N$7:$N$100,'15i'!$H$7:$H$100,$A313,'15i'!$I$7:$I$100,1)+SUMIFS('15j'!$N$7:$N$100,'15j'!$H$7:$H$100,$A313,'15j'!$I$7:$I$100,1)+SUMIFS('15k'!$N$7:$N$100,'15k'!$H$7:$H$100,$A313,'15k'!$I$7:$I$100,1)+SUMIFS('15l'!$N$7:$N$100,'15l'!$H$7:$H$100,$A313,'15l'!$I$7:$I$100,1)+SUMIFS('15m'!$N$7:$N$100,'15m'!$H$7:$H$100,$A313,'15m'!$I$7:$I$100,1)+SUMIFS('15n'!$N$7:$N$100,'15n'!$H$7:$H$100,$A313,'15n'!$I$7:$I$100,1)+SUMIFS('16'!$N$7:$N$100,'16'!$H$7:$H$100,$A313,'16'!$I$7:$I$100,1)+SUMIFS('16a'!$N$7:$N$100,'16a'!$H$7:$H$100,$A313,'16a'!$I$7:$I$100,1)+SUMIFS('17'!$N$7:$N$100,'17'!$H$7:$H$100,$A313,'17'!$I$7:$I$100,1)+SUMIFS('17a'!$N$7:$N$100,'17a'!$H$7:$H$100,$A313,'17a'!$I$7:$I$100,1)+SUMIFS('18'!$N$7:$N$100,'18'!$H$7:$H$100,$A313,'18'!$I$7:$I$100,1)+SUMIFS('18a'!$N$7:$N$100,'18a'!$H$7:$H$100,$A313,'18a'!$I$7:$I$100,1)
+SUMIFS('19'!$N$7:$N$100,'19'!$H$7:$H$100,$A313,'19'!$I$7:$I$100,1)+SUMIFS('20'!$N$7:$N$100,'20'!$H$7:$H$100,$A313,'20'!$I$7:$I$100,1)+SUMIFS('20a'!$N$7:$N$100,'20a'!$H$7:$H$100,$A313,'20a'!$I$7:$I$100,1)+SUMIFS('21'!$N$7:$N$100,'21'!$H$7:$H$100,$A313,'21'!$I$7:$I$100,1)+SUMIFS('22'!$N$7:$N$100,'22'!$H$7:$H$100,$A313,'22'!$I$7:$I$100,1)+SUMIFS('22a'!$N$7:$N$100,'22a'!$H$7:$H$100,$A313,'22a'!$I$7:$I$100,1)+SUMIFS('22b'!$N$7:$N$100,'22b'!$H$7:$H$100,$A313,'22b'!$I$7:$I$100,1)+SUMIFS('23'!$N$7:$N$100,'23'!$H$7:$H$100,$A313,'23'!$I$7:$I$100,1)+SUMIFS('24'!$N$7:$N$100,'24'!$H$7:$H$100,$A313,'24'!$I$7:$I$100,1)+SUMIFS('24a'!$N$7:$N$100,'24a'!$H$7:$H$100,$A313,'24a'!$I$7:$I$100,1)+SUMIFS('24b'!$N$7:$N$100,'24b'!$H$7:$H$100,$A313,'24b'!$I$7:$I$100,1)+SUMIFS('24c'!$N$7:$N$100,'24c'!$H$7:$H$100,$A313,'24c'!$I$7:$I$100,1)+SUMIFS('24d'!$N$7:$N$100,'24d'!$H$7:$H$100,$A313,'24d'!$I$7:$I$100,1)+SUMIFS('24e'!$N$7:$N$100,'24e'!$H$7:$H$100,$A313,'24e'!$I$7:$I$100,1)+SUMIFS('24f'!$N$7:$N$100,'24f'!$H$7:$H$100,$A313,'24f'!$I$7:$I$100,1)+SUMIFS('24g'!$N$7:$N$100,'24g'!$H$7:$H$100,$A313,'24g'!$I$7:$I$100,1)+SUMIFS('24h'!$N$7:$N$100,'24h'!$H$7:$H$100,$A313,'24h'!$I$7:$I$100,1)+SUMIFS('24i'!$N$7:$N$100,'24i'!$H$7:$H$100,$A313,'24i'!$I$7:$I$100,1)+SUMIFS('25'!$N$7:$N$100,'25'!$H$7:$H$100,$A313,'25'!$I$7:$I$100,1)+SUMIFS('26'!$N$7:$N$100,'26'!$H$7:$H$100,$A313,'26'!$I$7:$I$100,1)+SUMIFS('26a'!$N$7:$N$100,'26a'!$H$7:$H$100,$A313,'26a'!$I$7:$I$100,1)+SUMIFS('27'!$N$7:$N$100,'27'!$H$7:$H$100,$A313,'27'!$I$7:$I$100,1)+SUMIFS('27a'!$N$7:$N$100,'27a'!$H$7:$H$100,$A313,'27a'!$I$7:$I$100,1)+SUMIFS('28'!$N$7:$N$100,'28'!$H$7:$H$100,$A313,'28'!$I$7:$I$100,1)+SUMIFS('29'!$N$7:$N$100,'29'!$H$7:$H$100,$A313,'29'!$I$7:$I$100,1)</f>
        <v>0</v>
      </c>
      <c r="D313" s="1315">
        <f>SUMIFS('12'!$N$7:$N$100,'12'!$H$7:$H$100,$A313,'12'!$I$7:$I$100,2)+SUMIFS('13'!$N$7:$N$100,'13'!$H$7:$H$100,$A313,'13'!$I$7:$I$100,2)+SUMIFS('14'!$N$7:$N$100,'14'!$H$7:$H$100,$A313,'14'!$I$7:$I$100,2)+SUMIFS('15'!$N$7:$N$100,'15'!$H$7:$H$100,$A313,'15'!$I$7:$I$100,2)+SUMIFS('15a'!$N$7:$N$100,'15a'!$H$7:$H$100,$A313,'15a'!$I$7:$I$100,2)+SUMIFS('15b'!$N$7:$N$100,'15b'!$H$7:$H$100,$A313,'15b'!$I$7:$I$100,2)+SUMIFS('15c'!$N$7:$N$100,'15c'!$H$7:$H$100,$A313,'15c'!$I$7:$I$100,2)+SUMIFS('15d'!$N$7:$N$100,'15d'!$H$7:$H$100,$A313,'15d'!$I$7:$I$100,2)+SUMIFS('15e'!$N$7:$N$100,'15e'!$H$7:$H$100,$A313,'15e'!$I$7:$I$100,2)+SUMIFS('15f'!$N$7:$N$100,'15f'!$H$7:$H$100,$A313,'15f'!$I$7:$I$100,2)+SUMIFS('15g'!$N$7:$N$100,'15g'!$H$7:$H$100,$A313,'15g'!$I$7:$I$100,2)+SUMIFS('15h'!$N$7:$N$100,'15h'!$H$7:$H$100,$A313,'15h'!$I$7:$I$100,2)+SUMIFS('15i'!$N$7:$N$100,'15i'!$H$7:$H$100,$A313,'15i'!$I$7:$I$100,2)+SUMIFS('15j'!$N$7:$N$100,'15j'!$H$7:$H$100,$A313,'15j'!$I$7:$I$100,2)+SUMIFS('15k'!$N$7:$N$100,'15k'!$H$7:$H$100,$A313,'15k'!$I$7:$I$100,2)+SUMIFS('15l'!$N$7:$N$100,'15l'!$H$7:$H$100,$A313,'15l'!$I$7:$I$100,2)+SUMIFS('15m'!$N$7:$N$100,'15m'!$H$7:$H$100,$A313,'15m'!$I$7:$I$100,2)+SUMIFS('15n'!$N$7:$N$100,'15n'!$H$7:$H$100,$A313,'15n'!$I$7:$I$100,2)+SUMIFS('16'!$N$7:$N$100,'16'!$H$7:$H$100,$A313,'16'!$I$7:$I$100,2)+SUMIFS('16a'!$N$7:$N$100,'16a'!$H$7:$H$100,$A313,'16a'!$I$7:$I$100,2)+SUMIFS('17'!$N$7:$N$100,'17'!$H$7:$H$100,$A313,'17'!$I$7:$I$100,2)+SUMIFS('17a'!$N$7:$N$100,'17a'!$H$7:$H$100,$A313,'17a'!$I$7:$I$100,2)+SUMIFS('18'!$N$7:$N$100,'18'!$H$7:$H$100,$A313,'18'!$I$7:$I$100,2)+SUMIFS('18a'!$N$7:$N$100,'18a'!$H$7:$H$100,$A313,'18a'!$I$7:$I$100,2)
+SUMIFS('19'!$N$7:$N$100,'19'!$H$7:$H$100,$A313,'19'!$I$7:$I$100,2)+SUMIFS('20'!$N$7:$N$100,'20'!$H$7:$H$100,$A313,'20'!$I$7:$I$100,2)+SUMIFS('20a'!$N$7:$N$100,'20a'!$H$7:$H$100,$A313,'20a'!$I$7:$I$100,2)+SUMIFS('21'!$N$7:$N$100,'21'!$H$7:$H$100,$A313,'21'!$I$7:$I$100,2)+SUMIFS('22'!$N$7:$N$100,'22'!$H$7:$H$100,$A313,'22'!$I$7:$I$100,2)+SUMIFS('22a'!$N$7:$N$100,'22a'!$H$7:$H$100,$A313,'22a'!$I$7:$I$100,2)+SUMIFS('22b'!$N$7:$N$100,'22b'!$H$7:$H$100,$A313,'22b'!$I$7:$I$100,2)+SUMIFS('23'!$N$7:$N$100,'23'!$H$7:$H$100,$A313,'23'!$I$7:$I$100,2)+SUMIFS('24'!$N$7:$N$100,'24'!$H$7:$H$100,$A313,'24'!$I$7:$I$100,2)+SUMIFS('24a'!$N$7:$N$100,'24a'!$H$7:$H$100,$A313,'24a'!$I$7:$I$100,2)+SUMIFS('24b'!$N$7:$N$100,'24b'!$H$7:$H$100,$A313,'24b'!$I$7:$I$100,2)+SUMIFS('24c'!$N$7:$N$100,'24c'!$H$7:$H$100,$A313,'24c'!$I$7:$I$100,2)+SUMIFS('24d'!$N$7:$N$100,'24d'!$H$7:$H$100,$A313,'24d'!$I$7:$I$100,2)+SUMIFS('24e'!$N$7:$N$100,'24e'!$H$7:$H$100,$A313,'24e'!$I$7:$I$100,2)+SUMIFS('24f'!$N$7:$N$100,'24f'!$H$7:$H$100,$A313,'24f'!$I$7:$I$100,2)+SUMIFS('24g'!$N$7:$N$100,'24g'!$H$7:$H$100,$A313,'24g'!$I$7:$I$100,2)+SUMIFS('24h'!$N$7:$N$100,'24h'!$H$7:$H$100,$A313,'24h'!$I$7:$I$100,2)+SUMIFS('24i'!$N$7:$N$100,'24i'!$H$7:$H$100,$A313,'24i'!$I$7:$I$100,2)+SUMIFS('25'!$N$7:$N$100,'25'!$H$7:$H$100,$A313,'25'!$I$7:$I$100,2)+SUMIFS('26'!$N$7:$N$100,'26'!$H$7:$H$100,$A313,'26'!$I$7:$I$100,2)+SUMIFS('26a'!$N$7:$N$100,'26a'!$H$7:$H$100,$A313,'26a'!$I$7:$I$100,2)+SUMIFS('27'!$N$7:$N$100,'27'!$H$7:$H$100,$A313,'27'!$I$7:$I$100,2)+SUMIFS('27a'!$N$7:$N$100,'27a'!$H$7:$H$100,$A313,'27a'!$I$7:$I$100,2)+SUMIFS('28'!$N$7:$N$100,'28'!$H$7:$H$100,$A313,'28'!$I$7:$I$100,2)+SUMIFS('29'!$N$7:$N$100,'29'!$H$7:$H$100,$A313,'29'!$I$7:$I$100,2)</f>
        <v>0</v>
      </c>
      <c r="E313" s="1315">
        <f>SUMIFS('12'!$N$7:$N$100,'12'!$H$7:$H$100,$A313,'12'!$I$7:$I$100,"")+SUMIFS('13'!$N$7:$N$100,'13'!$H$7:$H$100,$A313,'13'!$I$7:$I$100,"")+SUMIFS('14'!$N$7:$N$100,'14'!$H$7:$H$100,$A313,'14'!$I$7:$I$100,"")+SUMIFS('15'!$N$7:$N$100,'15'!$H$7:$H$100,$A313,'15'!$I$7:$I$100,"")+SUMIFS('15a'!$N$7:$N$100,'15a'!$H$7:$H$100,$A313,'15a'!$I$7:$I$100,"")+SUMIFS('15b'!$N$7:$N$100,'15b'!$H$7:$H$100,$A313,'15b'!$I$7:$I$100,"")+SUMIFS('15c'!$N$7:$N$100,'15c'!$H$7:$H$100,$A313,'15c'!$I$7:$I$100,"")+SUMIFS('15d'!$N$7:$N$100,'15d'!$H$7:$H$100,$A313,'15d'!$I$7:$I$100,"")+SUMIFS('15e'!$N$7:$N$100,'15e'!$H$7:$H$100,$A313,'15e'!$I$7:$I$100,"")+SUMIFS('15f'!$N$7:$N$100,'15f'!$H$7:$H$100,$A313,'15f'!$I$7:$I$100,"")+SUMIFS('15g'!$N$7:$N$100,'15g'!$H$7:$H$100,$A313,'15g'!$I$7:$I$100,"")+SUMIFS('15h'!$N$7:$N$100,'15h'!$H$7:$H$100,$A313,'15h'!$I$7:$I$100,"")+SUMIFS('15i'!$N$7:$N$100,'15i'!$H$7:$H$100,$A313,'15i'!$I$7:$I$100,"")+SUMIFS('15j'!$N$7:$N$100,'15j'!$H$7:$H$100,$A313,'15j'!$I$7:$I$100,"")+SUMIFS('15k'!$N$7:$N$100,'15k'!$H$7:$H$100,$A313,'15k'!$I$7:$I$100,"")+SUMIFS('15l'!$N$7:$N$100,'15l'!$H$7:$H$100,$A313,'15l'!$I$7:$I$100,"")+SUMIFS('15m'!$N$7:$N$100,'15m'!$H$7:$H$100,$A313,'15m'!$I$7:$I$100,"")+SUMIFS('15n'!$N$7:$N$100,'15n'!$H$7:$H$100,$A313,'15n'!$I$7:$I$100,"")+SUMIFS('16'!$N$7:$N$100,'16'!$H$7:$H$100,$A313,'16'!$I$7:$I$100,"")+SUMIFS('16a'!$N$7:$N$100,'16a'!$H$7:$H$100,$A313,'16a'!$I$7:$I$100,"")+SUMIFS('17'!$N$7:$N$100,'17'!$H$7:$H$100,$A313,'17'!$I$7:$I$100,"")+SUMIFS('17a'!$N$7:$N$100,'17a'!$H$7:$H$100,$A313,'17a'!$I$7:$I$100,"")+SUMIFS('18'!$N$7:$N$100,'18'!$H$7:$H$100,$A313,'18'!$I$7:$I$100,"")+SUMIFS('18a'!$N$7:$N$100,'18a'!$H$7:$H$100,$A313,'18a'!$I$7:$I$100,"")
+SUMIFS('19'!$N$7:$N$100,'19'!$H$7:$H$100,$A313,'19'!$I$7:$I$100,"")+SUMIFS('20'!$N$7:$N$100,'20'!$H$7:$H$100,$A313,'20'!$I$7:$I$100,"")+SUMIFS('20a'!$N$7:$N$100,'20a'!$H$7:$H$100,$A313,'20a'!$I$7:$I$100,"")+SUMIFS('21'!$N$7:$N$100,'21'!$H$7:$H$100,$A313,'21'!$I$7:$I$100,"")+SUMIFS('22'!$N$7:$N$100,'22'!$H$7:$H$100,$A313,'22'!$I$7:$I$100,"")+SUMIFS('22a'!$N$7:$N$100,'22a'!$H$7:$H$100,$A313,'22a'!$I$7:$I$100,"")+SUMIFS('22b'!$N$7:$N$100,'22b'!$H$7:$H$100,$A313,'22b'!$I$7:$I$100,"")+SUMIFS('23'!$N$7:$N$100,'23'!$H$7:$H$100,$A313,'23'!$I$7:$I$100,"")+SUMIFS('24'!$N$7:$N$100,'24'!$H$7:$H$100,$A313,'24'!$I$7:$I$100,"")+SUMIFS('24a'!$N$7:$N$100,'24a'!$H$7:$H$100,$A313,'24a'!$I$7:$I$100,"")+SUMIFS('24b'!$N$7:$N$100,'24b'!$H$7:$H$100,$A313,'24b'!$I$7:$I$100,"")+SUMIFS('24c'!$N$7:$N$100,'24c'!$H$7:$H$100,$A313,'24c'!$I$7:$I$100,"")+SUMIFS('24d'!$N$7:$N$100,'24d'!$H$7:$H$100,$A313,'24d'!$I$7:$I$100,"")+SUMIFS('24e'!$N$7:$N$100,'24e'!$H$7:$H$100,$A313,'24e'!$I$7:$I$100,"")+SUMIFS('24f'!$N$7:$N$100,'24f'!$H$7:$H$100,$A313,'24f'!$I$7:$I$100,"")+SUMIFS('24g'!$N$7:$N$100,'24g'!$H$7:$H$100,$A313,'24g'!$I$7:$I$100,"")+SUMIFS('24h'!$N$7:$N$100,'24h'!$H$7:$H$100,$A313,'24h'!$I$7:$I$100,"")+SUMIFS('24i'!$N$7:$N$100,'24i'!$H$7:$H$100,$A313,'24i'!$I$7:$I$100,"")+SUMIFS('25'!$N$7:$N$100,'25'!$H$7:$H$100,$A313,'25'!$I$7:$I$100,"")+SUMIFS('26'!$N$7:$N$100,'26'!$H$7:$H$100,$A313,'26'!$I$7:$I$100,"")+SUMIFS('26a'!$N$7:$N$100,'26a'!$H$7:$H$100,$A313,'26a'!$I$7:$I$100,"")+SUMIFS('27'!$N$7:$N$100,'27'!$H$7:$H$100,$A313,'27'!$I$7:$I$100,"")+SUMIFS('27a'!$N$7:$N$100,'27a'!$H$7:$H$100,$A313,'27a'!$I$7:$I$100,"")+SUMIFS('28'!$N$7:$N$100,'28'!$H$7:$H$100,$A313,'28'!$I$7:$I$100,"")+SUMIFS('29'!$N$7:$N$100,'29'!$H$7:$H$100,$A313,'29'!$I$7:$I$100,"")</f>
        <v>0</v>
      </c>
      <c r="F313" s="1296">
        <f>SUM(C313:E313)</f>
        <v>0</v>
      </c>
      <c r="G313" s="1295">
        <f>SUMIFS('12'!$J$7:$J$100,'12'!$H$7:$H$100,$A313,'12'!$I$7:$I$100,1)+SUMIFS('13'!$J$7:$J$100,'13'!$H$7:$H$100,$A313,'13'!$I$7:$I$100,1)+SUMIFS('14'!$J$7:$J$100,'14'!$H$7:$H$100,$A313,'14'!$I$7:$I$100,1)+SUMIFS('15'!$J$7:$J$100,'15'!$H$7:$H$100,$A313,'15'!$I$7:$I$100,1)+SUMIFS('15a'!$J$7:$J$100,'15a'!$H$7:$H$100,$A313,'15a'!$I$7:$I$100,1)+SUMIFS('15b'!$J$7:$J$100,'15b'!$H$7:$H$100,$A313,'15b'!$I$7:$I$100,1)+SUMIFS('15c'!$J$7:$J$100,'15c'!$H$7:$H$100,$A313,'15c'!$I$7:$I$100,1)+SUMIFS('15d'!$J$7:$J$100,'15d'!$H$7:$H$100,$A313,'15d'!$I$7:$I$100,1)+SUMIFS('15e'!$J$7:$J$100,'15e'!$H$7:$H$100,$A313,'15e'!$I$7:$I$100,1)+SUMIFS('15f'!$J$7:$J$100,'15f'!$H$7:$H$100,$A313,'15f'!$I$7:$I$100,1)+SUMIFS('15g'!$J$7:$J$100,'15g'!$H$7:$H$100,$A313,'15g'!$I$7:$I$100,1)+SUMIFS('15h'!$J$7:$J$100,'15h'!$H$7:$H$100,$A313,'15h'!$I$7:$I$100,1)+SUMIFS('15i'!$J$7:$J$100,'15i'!$H$7:$H$100,$A313,'15i'!$I$7:$I$100,1)+SUMIFS('15j'!$J$7:$J$100,'15j'!$H$7:$H$100,$A313,'15j'!$I$7:$I$100,1)+SUMIFS('15k'!$J$7:$J$100,'15k'!$H$7:$H$100,$A313,'15k'!$I$7:$I$100,1)+SUMIFS('15l'!$J$7:$J$100,'15l'!$H$7:$H$100,$A313,'15l'!$I$7:$I$100,1)+SUMIFS('15m'!$J$7:$J$100,'15m'!$H$7:$H$100,$A313,'15m'!$I$7:$I$100,1)+SUMIFS('15n'!$J$7:$J$100,'15n'!$H$7:$H$100,$A313,'15n'!$I$7:$I$100,1)+SUMIFS('16'!$J$7:$J$100,'16'!$H$7:$H$100,$A313,'16'!$I$7:$I$100,1)+SUMIFS('16a'!$J$7:$J$100,'16a'!$H$7:$H$100,$A313,'16a'!$I$7:$I$100,1)+SUMIFS('17'!$J$7:$J$100,'17'!$H$7:$H$100,$A313,'17'!$I$7:$I$100,1)+SUMIFS('17a'!$J$7:$J$100,'17a'!$H$7:$H$100,$A313,'17a'!$I$7:$I$100,1)+SUMIFS('18'!$J$7:$J$100,'18'!$H$7:$H$100,$A313,'18'!$I$7:$I$100,1)+SUMIFS('18a'!$J$7:$J$100,'18a'!$H$7:$H$100,$A313,'18a'!$I$7:$I$100,1)
+SUMIFS('19'!$J$7:$J$100,'19'!$H$7:$H$100,$A313,'19'!$I$7:$I$100,1)+SUMIFS('20'!$J$7:$J$100,'20'!$H$7:$H$100,$A313,'20'!$I$7:$I$100,1)+SUMIFS('20a'!$J$7:$J$100,'20a'!$H$7:$H$100,$A313,'20a'!$I$7:$I$100,1)+SUMIFS('21'!$J$7:$J$100,'21'!$H$7:$H$100,$A313,'21'!$I$7:$I$100,1)+SUMIFS('22'!$J$7:$J$100,'22'!$H$7:$H$100,$A313,'22'!$I$7:$I$100,1)+SUMIFS('22a'!$J$7:$J$100,'22a'!$H$7:$H$100,$A313,'22a'!$I$7:$I$100,1)+SUMIFS('22b'!$J$7:$J$100,'22b'!$H$7:$H$100,$A313,'22b'!$I$7:$I$100,1)+SUMIFS('23'!$J$7:$J$100,'23'!$H$7:$H$100,$A313,'23'!$I$7:$I$100,1)+SUMIFS('24'!$J$7:$J$100,'24'!$H$7:$H$100,$A313,'24'!$I$7:$I$100,1)+SUMIFS('24a'!$J$7:$J$100,'24a'!$H$7:$H$100,$A313,'24a'!$I$7:$I$100,1)+SUMIFS('24b'!$J$7:$J$100,'24b'!$H$7:$H$100,$A313,'24b'!$I$7:$I$100,1)+SUMIFS('24c'!$J$7:$J$100,'24c'!$H$7:$H$100,$A313,'24c'!$I$7:$I$100,1)+SUMIFS('24d'!$J$7:$J$100,'24d'!$H$7:$H$100,$A313,'24d'!$I$7:$I$100,1)+SUMIFS('24e'!$J$7:$J$100,'24e'!$H$7:$H$100,$A313,'24e'!$I$7:$I$100,1)+SUMIFS('24f'!$J$7:$J$100,'24f'!$H$7:$H$100,$A313,'24f'!$I$7:$I$100,1)+SUMIFS('24g'!$J$7:$J$100,'24g'!$H$7:$H$100,$A313,'24g'!$I$7:$I$100,1)+SUMIFS('24h'!$J$7:$J$100,'24h'!$H$7:$H$100,$A313,'24h'!$I$7:$I$100,1)+SUMIFS('24i'!$J$7:$J$100,'24i'!$H$7:$H$100,$A313,'24i'!$I$7:$I$100,1)+SUMIFS('25'!$J$7:$J$100,'25'!$H$7:$H$100,$A313,'25'!$I$7:$I$100,1)+SUMIFS('26'!$J$7:$J$100,'26'!$H$7:$H$100,$A313,'26'!$I$7:$I$100,1)+SUMIFS('26a'!$J$7:$J$100,'26a'!$H$7:$H$100,$A313,'26a'!$I$7:$I$100,1)+SUMIFS('27'!$J$7:$J$100,'27'!$H$7:$H$100,$A313,'27'!$I$7:$I$100,1)+SUMIFS('27a'!$J$7:$J$100,'27a'!$H$7:$H$100,$A313,'27a'!$I$7:$I$100,1)+SUMIFS('28'!$J$7:$J$100,'28'!$H$7:$H$100,$A313,'28'!$I$7:$I$100,1)+SUMIFS('29'!$J$7:$J$100,'29'!$H$7:$H$100,$A313,'29'!$I$7:$I$100,1)</f>
        <v>0</v>
      </c>
      <c r="H313" s="1315">
        <f>SUMIFS('12'!$J$7:$J$100,'12'!$H$7:$H$100,$A313,'12'!$I$7:$I$100,2)+SUMIFS('13'!$J$7:$J$100,'13'!$H$7:$H$100,$A313,'13'!$I$7:$I$100,2)+SUMIFS('14'!$J$7:$J$100,'14'!$H$7:$H$100,$A313,'14'!$I$7:$I$100,2)+SUMIFS('15'!$J$7:$J$100,'15'!$H$7:$H$100,$A313,'15'!$I$7:$I$100,2)+SUMIFS('15a'!$J$7:$J$100,'15a'!$H$7:$H$100,$A313,'15a'!$I$7:$I$100,2)+SUMIFS('15b'!$J$7:$J$100,'15b'!$H$7:$H$100,$A313,'15b'!$I$7:$I$100,2)+SUMIFS('15c'!$J$7:$J$100,'15c'!$H$7:$H$100,$A313,'15c'!$I$7:$I$100,2)+SUMIFS('15d'!$J$7:$J$100,'15d'!$H$7:$H$100,$A313,'15d'!$I$7:$I$100,2)+SUMIFS('15e'!$J$7:$J$100,'15e'!$H$7:$H$100,$A313,'15e'!$I$7:$I$100,2)+SUMIFS('15f'!$J$7:$J$100,'15f'!$H$7:$H$100,$A313,'15f'!$I$7:$I$100,2)+SUMIFS('15g'!$J$7:$J$100,'15g'!$H$7:$H$100,$A313,'15g'!$I$7:$I$100,2)+SUMIFS('15h'!$J$7:$J$100,'15h'!$H$7:$H$100,$A313,'15h'!$I$7:$I$100,2)+SUMIFS('15i'!$J$7:$J$100,'15i'!$H$7:$H$100,$A313,'15i'!$I$7:$I$100,2)+SUMIFS('15j'!$J$7:$J$100,'15j'!$H$7:$H$100,$A313,'15j'!$I$7:$I$100,2)+SUMIFS('15k'!$J$7:$J$100,'15k'!$H$7:$H$100,$A313,'15k'!$I$7:$I$100,2)+SUMIFS('15l'!$J$7:$J$100,'15l'!$H$7:$H$100,$A313,'15l'!$I$7:$I$100,2)+SUMIFS('15m'!$J$7:$J$100,'15m'!$H$7:$H$100,$A313,'15m'!$I$7:$I$100,2)+SUMIFS('15n'!$J$7:$J$100,'15n'!$H$7:$H$100,$A313,'15n'!$I$7:$I$100,2)+SUMIFS('16'!$J$7:$J$100,'16'!$H$7:$H$100,$A313,'16'!$I$7:$I$100,2)+SUMIFS('16a'!$J$7:$J$100,'16a'!$H$7:$H$100,$A313,'16a'!$I$7:$I$100,2)+SUMIFS('17'!$J$7:$J$100,'17'!$H$7:$H$100,$A313,'17'!$I$7:$I$100,2)+SUMIFS('17a'!$J$7:$J$100,'17a'!$H$7:$H$100,$A313,'17a'!$I$7:$I$100,2)+SUMIFS('18'!$J$7:$J$100,'18'!$H$7:$H$100,$A313,'18'!$I$7:$I$100,2)+SUMIFS('18a'!$J$7:$J$100,'18a'!$H$7:$H$100,$A313,'18a'!$I$7:$I$100,2)
+SUMIFS('19'!$J$7:$J$100,'19'!$H$7:$H$100,$A313,'19'!$I$7:$I$100,2)+SUMIFS('20'!$J$7:$J$100,'20'!$H$7:$H$100,$A313,'20'!$I$7:$I$100,2)+SUMIFS('20a'!$J$7:$J$100,'20a'!$H$7:$H$100,$A313,'20a'!$I$7:$I$100,2)+SUMIFS('21'!$J$7:$J$100,'21'!$H$7:$H$100,$A313,'21'!$I$7:$I$100,2)+SUMIFS('22'!$J$7:$J$100,'22'!$H$7:$H$100,$A313,'22'!$I$7:$I$100,2)+SUMIFS('22a'!$J$7:$J$100,'22a'!$H$7:$H$100,$A313,'22a'!$I$7:$I$100,2)+SUMIFS('22b'!$J$7:$J$100,'22b'!$H$7:$H$100,$A313,'22b'!$I$7:$I$100,2)+SUMIFS('23'!$J$7:$J$100,'23'!$H$7:$H$100,$A313,'23'!$I$7:$I$100,2)+SUMIFS('24'!$J$7:$J$100,'24'!$H$7:$H$100,$A313,'24'!$I$7:$I$100,2)+SUMIFS('24a'!$J$7:$J$100,'24a'!$H$7:$H$100,$A313,'24a'!$I$7:$I$100,2)+SUMIFS('24b'!$J$7:$J$100,'24b'!$H$7:$H$100,$A313,'24b'!$I$7:$I$100,2)+SUMIFS('24c'!$J$7:$J$100,'24c'!$H$7:$H$100,$A313,'24c'!$I$7:$I$100,2)+SUMIFS('24d'!$J$7:$J$100,'24d'!$H$7:$H$100,$A313,'24d'!$I$7:$I$100,2)+SUMIFS('24e'!$J$7:$J$100,'24e'!$H$7:$H$100,$A313,'24e'!$I$7:$I$100,2)+SUMIFS('24f'!$J$7:$J$100,'24f'!$H$7:$H$100,$A313,'24f'!$I$7:$I$100,2)+SUMIFS('24g'!$J$7:$J$100,'24g'!$H$7:$H$100,$A313,'24g'!$I$7:$I$100,2)+SUMIFS('24h'!$J$7:$J$100,'24h'!$H$7:$H$100,$A313,'24h'!$I$7:$I$100,2)+SUMIFS('24i'!$J$7:$J$100,'24i'!$H$7:$H$100,$A313,'24i'!$I$7:$I$100,2)+SUMIFS('25'!$J$7:$J$100,'25'!$H$7:$H$100,$A313,'25'!$I$7:$I$100,2)+SUMIFS('26'!$J$7:$J$100,'26'!$H$7:$H$100,$A313,'26'!$I$7:$I$100,2)+SUMIFS('26a'!$J$7:$J$100,'26a'!$H$7:$H$100,$A313,'26a'!$I$7:$I$100,2)+SUMIFS('27'!$J$7:$J$100,'27'!$H$7:$H$100,$A313,'27'!$I$7:$I$100,2)+SUMIFS('27a'!$J$7:$J$100,'27a'!$H$7:$H$100,$A313,'27a'!$I$7:$I$100,2)+SUMIFS('28'!$J$7:$J$100,'28'!$H$7:$H$100,$A313,'28'!$I$7:$I$100,2)+SUMIFS('29'!$J$7:$J$100,'29'!$H$7:$H$100,$A313,'29'!$I$7:$I$100,2)</f>
        <v>0</v>
      </c>
      <c r="I313" s="1315">
        <f>SUMIFS('12'!$J$7:$J$100,'12'!$H$7:$H$100,$A313,'12'!$I$7:$I$100,"")+SUMIFS('13'!$J$7:$J$100,'13'!$H$7:$H$100,$A313,'13'!$I$7:$I$100,"")+SUMIFS('14'!$J$7:$J$100,'14'!$H$7:$H$100,$A313,'14'!$I$7:$I$100,"")+SUMIFS('15'!$J$7:$J$100,'15'!$H$7:$H$100,$A313,'15'!$I$7:$I$100,"")+SUMIFS('15a'!$J$7:$J$100,'15a'!$H$7:$H$100,$A313,'15a'!$I$7:$I$100,"")+SUMIFS('15b'!$J$7:$J$100,'15b'!$H$7:$H$100,$A313,'15b'!$I$7:$I$100,"")+SUMIFS('15c'!$J$7:$J$100,'15c'!$H$7:$H$100,$A313,'15c'!$I$7:$I$100,"")+SUMIFS('15d'!$J$7:$J$100,'15d'!$H$7:$H$100,$A313,'15d'!$I$7:$I$100,"")+SUMIFS('15e'!$J$7:$J$100,'15e'!$H$7:$H$100,$A313,'15e'!$I$7:$I$100,"")+SUMIFS('15f'!$J$7:$J$100,'15f'!$H$7:$H$100,$A313,'15f'!$I$7:$I$100,"")+SUMIFS('15g'!$J$7:$J$100,'15g'!$H$7:$H$100,$A313,'15g'!$I$7:$I$100,"")+SUMIFS('15h'!$J$7:$J$100,'15h'!$H$7:$H$100,$A313,'15h'!$I$7:$I$100,"")+SUMIFS('15i'!$J$7:$J$100,'15i'!$H$7:$H$100,$A313,'15i'!$I$7:$I$100,"")+SUMIFS('15j'!$J$7:$J$100,'15j'!$H$7:$H$100,$A313,'15j'!$I$7:$I$100,"")+SUMIFS('15k'!$J$7:$J$100,'15k'!$H$7:$H$100,$A313,'15k'!$I$7:$I$100,"")+SUMIFS('15l'!$J$7:$J$100,'15l'!$H$7:$H$100,$A313,'15l'!$I$7:$I$100,"")+SUMIFS('15m'!$J$7:$J$100,'15m'!$H$7:$H$100,$A313,'15m'!$I$7:$I$100,"")+SUMIFS('15n'!$J$7:$J$100,'15n'!$H$7:$H$100,$A313,'15n'!$I$7:$I$100,"")+SUMIFS('16'!$J$7:$J$100,'16'!$H$7:$H$100,$A313,'16'!$I$7:$I$100,"")+SUMIFS('16a'!$J$7:$J$100,'16a'!$H$7:$H$100,$A313,'16a'!$I$7:$I$100,"")+SUMIFS('17'!$J$7:$J$100,'17'!$H$7:$H$100,$A313,'17'!$I$7:$I$100,"")+SUMIFS('17a'!$J$7:$J$100,'17a'!$H$7:$H$100,$A313,'17a'!$I$7:$I$100,"")+SUMIFS('18'!$J$7:$J$100,'18'!$H$7:$H$100,$A313,'18'!$I$7:$I$100,"")+SUMIFS('18a'!$J$7:$J$100,'18a'!$H$7:$H$100,$A313,'18a'!$I$7:$I$100,"")
+SUMIFS('19'!$J$7:$J$100,'19'!$H$7:$H$100,$A313,'19'!$I$7:$I$100,"")+SUMIFS('20'!$J$7:$J$100,'20'!$H$7:$H$100,$A313,'20'!$I$7:$I$100,"")+SUMIFS('20a'!$J$7:$J$100,'20a'!$H$7:$H$100,$A313,'20a'!$I$7:$I$100,"")+SUMIFS('21'!$J$7:$J$100,'21'!$H$7:$H$100,$A313,'21'!$I$7:$I$100,"")+SUMIFS('22'!$J$7:$J$100,'22'!$H$7:$H$100,$A313,'22'!$I$7:$I$100,"")+SUMIFS('22a'!$J$7:$J$100,'22a'!$H$7:$H$100,$A313,'22a'!$I$7:$I$100,"")+SUMIFS('22b'!$J$7:$J$100,'22b'!$H$7:$H$100,$A313,'22b'!$I$7:$I$100,"")+SUMIFS('23'!$J$7:$J$100,'23'!$H$7:$H$100,$A313,'23'!$I$7:$I$100,"")+SUMIFS('24'!$J$7:$J$100,'24'!$H$7:$H$100,$A313,'24'!$I$7:$I$100,"")+SUMIFS('24a'!$J$7:$J$100,'24a'!$H$7:$H$100,$A313,'24a'!$I$7:$I$100,"")+SUMIFS('24b'!$J$7:$J$100,'24b'!$H$7:$H$100,$A313,'24b'!$I$7:$I$100,"")+SUMIFS('24c'!$J$7:$J$100,'24c'!$H$7:$H$100,$A313,'24c'!$I$7:$I$100,"")+SUMIFS('24d'!$J$7:$J$100,'24d'!$H$7:$H$100,$A313,'24d'!$I$7:$I$100,"")+SUMIFS('24e'!$J$7:$J$100,'24e'!$H$7:$H$100,$A313,'24e'!$I$7:$I$100,"")+SUMIFS('24f'!$J$7:$J$100,'24f'!$H$7:$H$100,$A313,'24f'!$I$7:$I$100,"")+SUMIFS('24g'!$J$7:$J$100,'24g'!$H$7:$H$100,$A313,'24g'!$I$7:$I$100,"")+SUMIFS('24h'!$J$7:$J$100,'24h'!$H$7:$H$100,$A313,'24h'!$I$7:$I$100,"")+SUMIFS('24i'!$J$7:$J$100,'24i'!$H$7:$H$100,$A313,'24i'!$I$7:$I$100,"")+SUMIFS('25'!$J$7:$J$100,'25'!$H$7:$H$100,$A313,'25'!$I$7:$I$100,"")+SUMIFS('26'!$J$7:$J$100,'26'!$H$7:$H$100,$A313,'26'!$I$7:$I$100,"")+SUMIFS('26a'!$J$7:$J$100,'26a'!$H$7:$H$100,$A313,'26a'!$I$7:$I$100,"")+SUMIFS('27'!$J$7:$J$100,'27'!$H$7:$H$100,$A313,'27'!$I$7:$I$100,"")+SUMIFS('27a'!$J$7:$J$100,'27a'!$H$7:$H$100,$A313,'27a'!$I$7:$I$100,"")+SUMIFS('28'!$J$7:$J$100,'28'!$H$7:$H$100,$A313,'28'!$I$7:$I$100,"")+SUMIFS('29'!$J$7:$J$100,'29'!$H$7:$H$100,$A313,'29'!$I$7:$I$100,"")</f>
        <v>0</v>
      </c>
      <c r="J313" s="1296">
        <f>SUM(G313:I313)</f>
        <v>0</v>
      </c>
      <c r="K313"/>
      <c r="L313"/>
      <c r="M313"/>
      <c r="N313"/>
      <c r="O313"/>
      <c r="P313"/>
      <c r="Q313"/>
      <c r="R313"/>
      <c r="S313" s="1307">
        <f t="shared" si="30"/>
        <v>0</v>
      </c>
      <c r="T313"/>
    </row>
    <row r="314" spans="1:20" outlineLevel="1" x14ac:dyDescent="0.2">
      <c r="A314" t="s">
        <v>5093</v>
      </c>
      <c r="B314" t="s">
        <v>5463</v>
      </c>
      <c r="C314" s="1295">
        <f>SUMIFS('12'!$N$7:$N$100,'12'!$H$7:$H$100,$A314,'12'!$I$7:$I$100,1)+SUMIFS('13'!$N$7:$N$100,'13'!$H$7:$H$100,$A314,'13'!$I$7:$I$100,1)+SUMIFS('14'!$N$7:$N$100,'14'!$H$7:$H$100,$A314,'14'!$I$7:$I$100,1)+SUMIFS('15'!$N$7:$N$100,'15'!$H$7:$H$100,$A314,'15'!$I$7:$I$100,1)+SUMIFS('15a'!$N$7:$N$100,'15a'!$H$7:$H$100,$A314,'15a'!$I$7:$I$100,1)+SUMIFS('15b'!$N$7:$N$100,'15b'!$H$7:$H$100,$A314,'15b'!$I$7:$I$100,1)+SUMIFS('15c'!$N$7:$N$100,'15c'!$H$7:$H$100,$A314,'15c'!$I$7:$I$100,1)+SUMIFS('15d'!$N$7:$N$100,'15d'!$H$7:$H$100,$A314,'15d'!$I$7:$I$100,1)+SUMIFS('15e'!$N$7:$N$100,'15e'!$H$7:$H$100,$A314,'15e'!$I$7:$I$100,1)+SUMIFS('15f'!$N$7:$N$100,'15f'!$H$7:$H$100,$A314,'15f'!$I$7:$I$100,1)+SUMIFS('15g'!$N$7:$N$100,'15g'!$H$7:$H$100,$A314,'15g'!$I$7:$I$100,1)+SUMIFS('15h'!$N$7:$N$100,'15h'!$H$7:$H$100,$A314,'15h'!$I$7:$I$100,1)+SUMIFS('15i'!$N$7:$N$100,'15i'!$H$7:$H$100,$A314,'15i'!$I$7:$I$100,1)+SUMIFS('15j'!$N$7:$N$100,'15j'!$H$7:$H$100,$A314,'15j'!$I$7:$I$100,1)+SUMIFS('15k'!$N$7:$N$100,'15k'!$H$7:$H$100,$A314,'15k'!$I$7:$I$100,1)+SUMIFS('15l'!$N$7:$N$100,'15l'!$H$7:$H$100,$A314,'15l'!$I$7:$I$100,1)+SUMIFS('15m'!$N$7:$N$100,'15m'!$H$7:$H$100,$A314,'15m'!$I$7:$I$100,1)+SUMIFS('15n'!$N$7:$N$100,'15n'!$H$7:$H$100,$A314,'15n'!$I$7:$I$100,1)+SUMIFS('16'!$N$7:$N$100,'16'!$H$7:$H$100,$A314,'16'!$I$7:$I$100,1)+SUMIFS('16a'!$N$7:$N$100,'16a'!$H$7:$H$100,$A314,'16a'!$I$7:$I$100,1)+SUMIFS('17'!$N$7:$N$100,'17'!$H$7:$H$100,$A314,'17'!$I$7:$I$100,1)+SUMIFS('17a'!$N$7:$N$100,'17a'!$H$7:$H$100,$A314,'17a'!$I$7:$I$100,1)+SUMIFS('18'!$N$7:$N$100,'18'!$H$7:$H$100,$A314,'18'!$I$7:$I$100,1)+SUMIFS('18a'!$N$7:$N$100,'18a'!$H$7:$H$100,$A314,'18a'!$I$7:$I$100,1)
+SUMIFS('19'!$N$7:$N$100,'19'!$H$7:$H$100,$A314,'19'!$I$7:$I$100,1)+SUMIFS('20'!$N$7:$N$100,'20'!$H$7:$H$100,$A314,'20'!$I$7:$I$100,1)+SUMIFS('20a'!$N$7:$N$100,'20a'!$H$7:$H$100,$A314,'20a'!$I$7:$I$100,1)+SUMIFS('21'!$N$7:$N$100,'21'!$H$7:$H$100,$A314,'21'!$I$7:$I$100,1)+SUMIFS('22'!$N$7:$N$100,'22'!$H$7:$H$100,$A314,'22'!$I$7:$I$100,1)+SUMIFS('22a'!$N$7:$N$100,'22a'!$H$7:$H$100,$A314,'22a'!$I$7:$I$100,1)+SUMIFS('22b'!$N$7:$N$100,'22b'!$H$7:$H$100,$A314,'22b'!$I$7:$I$100,1)+SUMIFS('23'!$N$7:$N$100,'23'!$H$7:$H$100,$A314,'23'!$I$7:$I$100,1)+SUMIFS('24'!$N$7:$N$100,'24'!$H$7:$H$100,$A314,'24'!$I$7:$I$100,1)+SUMIFS('24a'!$N$7:$N$100,'24a'!$H$7:$H$100,$A314,'24a'!$I$7:$I$100,1)+SUMIFS('24b'!$N$7:$N$100,'24b'!$H$7:$H$100,$A314,'24b'!$I$7:$I$100,1)+SUMIFS('24c'!$N$7:$N$100,'24c'!$H$7:$H$100,$A314,'24c'!$I$7:$I$100,1)+SUMIFS('24d'!$N$7:$N$100,'24d'!$H$7:$H$100,$A314,'24d'!$I$7:$I$100,1)+SUMIFS('24e'!$N$7:$N$100,'24e'!$H$7:$H$100,$A314,'24e'!$I$7:$I$100,1)+SUMIFS('24f'!$N$7:$N$100,'24f'!$H$7:$H$100,$A314,'24f'!$I$7:$I$100,1)+SUMIFS('24g'!$N$7:$N$100,'24g'!$H$7:$H$100,$A314,'24g'!$I$7:$I$100,1)+SUMIFS('24h'!$N$7:$N$100,'24h'!$H$7:$H$100,$A314,'24h'!$I$7:$I$100,1)+SUMIFS('24i'!$N$7:$N$100,'24i'!$H$7:$H$100,$A314,'24i'!$I$7:$I$100,1)+SUMIFS('25'!$N$7:$N$100,'25'!$H$7:$H$100,$A314,'25'!$I$7:$I$100,1)+SUMIFS('26'!$N$7:$N$100,'26'!$H$7:$H$100,$A314,'26'!$I$7:$I$100,1)+SUMIFS('26a'!$N$7:$N$100,'26a'!$H$7:$H$100,$A314,'26a'!$I$7:$I$100,1)+SUMIFS('27'!$N$7:$N$100,'27'!$H$7:$H$100,$A314,'27'!$I$7:$I$100,1)+SUMIFS('27a'!$N$7:$N$100,'27a'!$H$7:$H$100,$A314,'27a'!$I$7:$I$100,1)+SUMIFS('28'!$N$7:$N$100,'28'!$H$7:$H$100,$A314,'28'!$I$7:$I$100,1)+SUMIFS('29'!$N$7:$N$100,'29'!$H$7:$H$100,$A314,'29'!$I$7:$I$100,1)</f>
        <v>0</v>
      </c>
      <c r="D314" s="1315">
        <f>SUMIFS('12'!$N$7:$N$100,'12'!$H$7:$H$100,$A314,'12'!$I$7:$I$100,2)+SUMIFS('13'!$N$7:$N$100,'13'!$H$7:$H$100,$A314,'13'!$I$7:$I$100,2)+SUMIFS('14'!$N$7:$N$100,'14'!$H$7:$H$100,$A314,'14'!$I$7:$I$100,2)+SUMIFS('15'!$N$7:$N$100,'15'!$H$7:$H$100,$A314,'15'!$I$7:$I$100,2)+SUMIFS('15a'!$N$7:$N$100,'15a'!$H$7:$H$100,$A314,'15a'!$I$7:$I$100,2)+SUMIFS('15b'!$N$7:$N$100,'15b'!$H$7:$H$100,$A314,'15b'!$I$7:$I$100,2)+SUMIFS('15c'!$N$7:$N$100,'15c'!$H$7:$H$100,$A314,'15c'!$I$7:$I$100,2)+SUMIFS('15d'!$N$7:$N$100,'15d'!$H$7:$H$100,$A314,'15d'!$I$7:$I$100,2)+SUMIFS('15e'!$N$7:$N$100,'15e'!$H$7:$H$100,$A314,'15e'!$I$7:$I$100,2)+SUMIFS('15f'!$N$7:$N$100,'15f'!$H$7:$H$100,$A314,'15f'!$I$7:$I$100,2)+SUMIFS('15g'!$N$7:$N$100,'15g'!$H$7:$H$100,$A314,'15g'!$I$7:$I$100,2)+SUMIFS('15h'!$N$7:$N$100,'15h'!$H$7:$H$100,$A314,'15h'!$I$7:$I$100,2)+SUMIFS('15i'!$N$7:$N$100,'15i'!$H$7:$H$100,$A314,'15i'!$I$7:$I$100,2)+SUMIFS('15j'!$N$7:$N$100,'15j'!$H$7:$H$100,$A314,'15j'!$I$7:$I$100,2)+SUMIFS('15k'!$N$7:$N$100,'15k'!$H$7:$H$100,$A314,'15k'!$I$7:$I$100,2)+SUMIFS('15l'!$N$7:$N$100,'15l'!$H$7:$H$100,$A314,'15l'!$I$7:$I$100,2)+SUMIFS('15m'!$N$7:$N$100,'15m'!$H$7:$H$100,$A314,'15m'!$I$7:$I$100,2)+SUMIFS('15n'!$N$7:$N$100,'15n'!$H$7:$H$100,$A314,'15n'!$I$7:$I$100,2)+SUMIFS('16'!$N$7:$N$100,'16'!$H$7:$H$100,$A314,'16'!$I$7:$I$100,2)+SUMIFS('16a'!$N$7:$N$100,'16a'!$H$7:$H$100,$A314,'16a'!$I$7:$I$100,2)+SUMIFS('17'!$N$7:$N$100,'17'!$H$7:$H$100,$A314,'17'!$I$7:$I$100,2)+SUMIFS('17a'!$N$7:$N$100,'17a'!$H$7:$H$100,$A314,'17a'!$I$7:$I$100,2)+SUMIFS('18'!$N$7:$N$100,'18'!$H$7:$H$100,$A314,'18'!$I$7:$I$100,2)+SUMIFS('18a'!$N$7:$N$100,'18a'!$H$7:$H$100,$A314,'18a'!$I$7:$I$100,2)
+SUMIFS('19'!$N$7:$N$100,'19'!$H$7:$H$100,$A314,'19'!$I$7:$I$100,2)+SUMIFS('20'!$N$7:$N$100,'20'!$H$7:$H$100,$A314,'20'!$I$7:$I$100,2)+SUMIFS('20a'!$N$7:$N$100,'20a'!$H$7:$H$100,$A314,'20a'!$I$7:$I$100,2)+SUMIFS('21'!$N$7:$N$100,'21'!$H$7:$H$100,$A314,'21'!$I$7:$I$100,2)+SUMIFS('22'!$N$7:$N$100,'22'!$H$7:$H$100,$A314,'22'!$I$7:$I$100,2)+SUMIFS('22a'!$N$7:$N$100,'22a'!$H$7:$H$100,$A314,'22a'!$I$7:$I$100,2)+SUMIFS('22b'!$N$7:$N$100,'22b'!$H$7:$H$100,$A314,'22b'!$I$7:$I$100,2)+SUMIFS('23'!$N$7:$N$100,'23'!$H$7:$H$100,$A314,'23'!$I$7:$I$100,2)+SUMIFS('24'!$N$7:$N$100,'24'!$H$7:$H$100,$A314,'24'!$I$7:$I$100,2)+SUMIFS('24a'!$N$7:$N$100,'24a'!$H$7:$H$100,$A314,'24a'!$I$7:$I$100,2)+SUMIFS('24b'!$N$7:$N$100,'24b'!$H$7:$H$100,$A314,'24b'!$I$7:$I$100,2)+SUMIFS('24c'!$N$7:$N$100,'24c'!$H$7:$H$100,$A314,'24c'!$I$7:$I$100,2)+SUMIFS('24d'!$N$7:$N$100,'24d'!$H$7:$H$100,$A314,'24d'!$I$7:$I$100,2)+SUMIFS('24e'!$N$7:$N$100,'24e'!$H$7:$H$100,$A314,'24e'!$I$7:$I$100,2)+SUMIFS('24f'!$N$7:$N$100,'24f'!$H$7:$H$100,$A314,'24f'!$I$7:$I$100,2)+SUMIFS('24g'!$N$7:$N$100,'24g'!$H$7:$H$100,$A314,'24g'!$I$7:$I$100,2)+SUMIFS('24h'!$N$7:$N$100,'24h'!$H$7:$H$100,$A314,'24h'!$I$7:$I$100,2)+SUMIFS('24i'!$N$7:$N$100,'24i'!$H$7:$H$100,$A314,'24i'!$I$7:$I$100,2)+SUMIFS('25'!$N$7:$N$100,'25'!$H$7:$H$100,$A314,'25'!$I$7:$I$100,2)+SUMIFS('26'!$N$7:$N$100,'26'!$H$7:$H$100,$A314,'26'!$I$7:$I$100,2)+SUMIFS('26a'!$N$7:$N$100,'26a'!$H$7:$H$100,$A314,'26a'!$I$7:$I$100,2)+SUMIFS('27'!$N$7:$N$100,'27'!$H$7:$H$100,$A314,'27'!$I$7:$I$100,2)+SUMIFS('27a'!$N$7:$N$100,'27a'!$H$7:$H$100,$A314,'27a'!$I$7:$I$100,2)+SUMIFS('28'!$N$7:$N$100,'28'!$H$7:$H$100,$A314,'28'!$I$7:$I$100,2)+SUMIFS('29'!$N$7:$N$100,'29'!$H$7:$H$100,$A314,'29'!$I$7:$I$100,2)</f>
        <v>0</v>
      </c>
      <c r="E314" s="1315">
        <f>SUMIFS('12'!$N$7:$N$100,'12'!$H$7:$H$100,$A314,'12'!$I$7:$I$100,"")+SUMIFS('13'!$N$7:$N$100,'13'!$H$7:$H$100,$A314,'13'!$I$7:$I$100,"")+SUMIFS('14'!$N$7:$N$100,'14'!$H$7:$H$100,$A314,'14'!$I$7:$I$100,"")+SUMIFS('15'!$N$7:$N$100,'15'!$H$7:$H$100,$A314,'15'!$I$7:$I$100,"")+SUMIFS('15a'!$N$7:$N$100,'15a'!$H$7:$H$100,$A314,'15a'!$I$7:$I$100,"")+SUMIFS('15b'!$N$7:$N$100,'15b'!$H$7:$H$100,$A314,'15b'!$I$7:$I$100,"")+SUMIFS('15c'!$N$7:$N$100,'15c'!$H$7:$H$100,$A314,'15c'!$I$7:$I$100,"")+SUMIFS('15d'!$N$7:$N$100,'15d'!$H$7:$H$100,$A314,'15d'!$I$7:$I$100,"")+SUMIFS('15e'!$N$7:$N$100,'15e'!$H$7:$H$100,$A314,'15e'!$I$7:$I$100,"")+SUMIFS('15f'!$N$7:$N$100,'15f'!$H$7:$H$100,$A314,'15f'!$I$7:$I$100,"")+SUMIFS('15g'!$N$7:$N$100,'15g'!$H$7:$H$100,$A314,'15g'!$I$7:$I$100,"")+SUMIFS('15h'!$N$7:$N$100,'15h'!$H$7:$H$100,$A314,'15h'!$I$7:$I$100,"")+SUMIFS('15i'!$N$7:$N$100,'15i'!$H$7:$H$100,$A314,'15i'!$I$7:$I$100,"")+SUMIFS('15j'!$N$7:$N$100,'15j'!$H$7:$H$100,$A314,'15j'!$I$7:$I$100,"")+SUMIFS('15k'!$N$7:$N$100,'15k'!$H$7:$H$100,$A314,'15k'!$I$7:$I$100,"")+SUMIFS('15l'!$N$7:$N$100,'15l'!$H$7:$H$100,$A314,'15l'!$I$7:$I$100,"")+SUMIFS('15m'!$N$7:$N$100,'15m'!$H$7:$H$100,$A314,'15m'!$I$7:$I$100,"")+SUMIFS('15n'!$N$7:$N$100,'15n'!$H$7:$H$100,$A314,'15n'!$I$7:$I$100,"")+SUMIFS('16'!$N$7:$N$100,'16'!$H$7:$H$100,$A314,'16'!$I$7:$I$100,"")+SUMIFS('16a'!$N$7:$N$100,'16a'!$H$7:$H$100,$A314,'16a'!$I$7:$I$100,"")+SUMIFS('17'!$N$7:$N$100,'17'!$H$7:$H$100,$A314,'17'!$I$7:$I$100,"")+SUMIFS('17a'!$N$7:$N$100,'17a'!$H$7:$H$100,$A314,'17a'!$I$7:$I$100,"")+SUMIFS('18'!$N$7:$N$100,'18'!$H$7:$H$100,$A314,'18'!$I$7:$I$100,"")+SUMIFS('18a'!$N$7:$N$100,'18a'!$H$7:$H$100,$A314,'18a'!$I$7:$I$100,"")
+SUMIFS('19'!$N$7:$N$100,'19'!$H$7:$H$100,$A314,'19'!$I$7:$I$100,"")+SUMIFS('20'!$N$7:$N$100,'20'!$H$7:$H$100,$A314,'20'!$I$7:$I$100,"")+SUMIFS('20a'!$N$7:$N$100,'20a'!$H$7:$H$100,$A314,'20a'!$I$7:$I$100,"")+SUMIFS('21'!$N$7:$N$100,'21'!$H$7:$H$100,$A314,'21'!$I$7:$I$100,"")+SUMIFS('22'!$N$7:$N$100,'22'!$H$7:$H$100,$A314,'22'!$I$7:$I$100,"")+SUMIFS('22a'!$N$7:$N$100,'22a'!$H$7:$H$100,$A314,'22a'!$I$7:$I$100,"")+SUMIFS('22b'!$N$7:$N$100,'22b'!$H$7:$H$100,$A314,'22b'!$I$7:$I$100,"")+SUMIFS('23'!$N$7:$N$100,'23'!$H$7:$H$100,$A314,'23'!$I$7:$I$100,"")+SUMIFS('24'!$N$7:$N$100,'24'!$H$7:$H$100,$A314,'24'!$I$7:$I$100,"")+SUMIFS('24a'!$N$7:$N$100,'24a'!$H$7:$H$100,$A314,'24a'!$I$7:$I$100,"")+SUMIFS('24b'!$N$7:$N$100,'24b'!$H$7:$H$100,$A314,'24b'!$I$7:$I$100,"")+SUMIFS('24c'!$N$7:$N$100,'24c'!$H$7:$H$100,$A314,'24c'!$I$7:$I$100,"")+SUMIFS('24d'!$N$7:$N$100,'24d'!$H$7:$H$100,$A314,'24d'!$I$7:$I$100,"")+SUMIFS('24e'!$N$7:$N$100,'24e'!$H$7:$H$100,$A314,'24e'!$I$7:$I$100,"")+SUMIFS('24f'!$N$7:$N$100,'24f'!$H$7:$H$100,$A314,'24f'!$I$7:$I$100,"")+SUMIFS('24g'!$N$7:$N$100,'24g'!$H$7:$H$100,$A314,'24g'!$I$7:$I$100,"")+SUMIFS('24h'!$N$7:$N$100,'24h'!$H$7:$H$100,$A314,'24h'!$I$7:$I$100,"")+SUMIFS('24i'!$N$7:$N$100,'24i'!$H$7:$H$100,$A314,'24i'!$I$7:$I$100,"")+SUMIFS('25'!$N$7:$N$100,'25'!$H$7:$H$100,$A314,'25'!$I$7:$I$100,"")+SUMIFS('26'!$N$7:$N$100,'26'!$H$7:$H$100,$A314,'26'!$I$7:$I$100,"")+SUMIFS('26a'!$N$7:$N$100,'26a'!$H$7:$H$100,$A314,'26a'!$I$7:$I$100,"")+SUMIFS('27'!$N$7:$N$100,'27'!$H$7:$H$100,$A314,'27'!$I$7:$I$100,"")+SUMIFS('27a'!$N$7:$N$100,'27a'!$H$7:$H$100,$A314,'27a'!$I$7:$I$100,"")+SUMIFS('28'!$N$7:$N$100,'28'!$H$7:$H$100,$A314,'28'!$I$7:$I$100,"")+SUMIFS('29'!$N$7:$N$100,'29'!$H$7:$H$100,$A314,'29'!$I$7:$I$100,"")</f>
        <v>0</v>
      </c>
      <c r="F314" s="1296">
        <f>SUM(C314:E314)</f>
        <v>0</v>
      </c>
      <c r="G314" s="1295">
        <f>SUMIFS('12'!$J$7:$J$100,'12'!$H$7:$H$100,$A314,'12'!$I$7:$I$100,1)+SUMIFS('13'!$J$7:$J$100,'13'!$H$7:$H$100,$A314,'13'!$I$7:$I$100,1)+SUMIFS('14'!$J$7:$J$100,'14'!$H$7:$H$100,$A314,'14'!$I$7:$I$100,1)+SUMIFS('15'!$J$7:$J$100,'15'!$H$7:$H$100,$A314,'15'!$I$7:$I$100,1)+SUMIFS('15a'!$J$7:$J$100,'15a'!$H$7:$H$100,$A314,'15a'!$I$7:$I$100,1)+SUMIFS('15b'!$J$7:$J$100,'15b'!$H$7:$H$100,$A314,'15b'!$I$7:$I$100,1)+SUMIFS('15c'!$J$7:$J$100,'15c'!$H$7:$H$100,$A314,'15c'!$I$7:$I$100,1)+SUMIFS('15d'!$J$7:$J$100,'15d'!$H$7:$H$100,$A314,'15d'!$I$7:$I$100,1)+SUMIFS('15e'!$J$7:$J$100,'15e'!$H$7:$H$100,$A314,'15e'!$I$7:$I$100,1)+SUMIFS('15f'!$J$7:$J$100,'15f'!$H$7:$H$100,$A314,'15f'!$I$7:$I$100,1)+SUMIFS('15g'!$J$7:$J$100,'15g'!$H$7:$H$100,$A314,'15g'!$I$7:$I$100,1)+SUMIFS('15h'!$J$7:$J$100,'15h'!$H$7:$H$100,$A314,'15h'!$I$7:$I$100,1)+SUMIFS('15i'!$J$7:$J$100,'15i'!$H$7:$H$100,$A314,'15i'!$I$7:$I$100,1)+SUMIFS('15j'!$J$7:$J$100,'15j'!$H$7:$H$100,$A314,'15j'!$I$7:$I$100,1)+SUMIFS('15k'!$J$7:$J$100,'15k'!$H$7:$H$100,$A314,'15k'!$I$7:$I$100,1)+SUMIFS('15l'!$J$7:$J$100,'15l'!$H$7:$H$100,$A314,'15l'!$I$7:$I$100,1)+SUMIFS('15m'!$J$7:$J$100,'15m'!$H$7:$H$100,$A314,'15m'!$I$7:$I$100,1)+SUMIFS('15n'!$J$7:$J$100,'15n'!$H$7:$H$100,$A314,'15n'!$I$7:$I$100,1)+SUMIFS('16'!$J$7:$J$100,'16'!$H$7:$H$100,$A314,'16'!$I$7:$I$100,1)+SUMIFS('16a'!$J$7:$J$100,'16a'!$H$7:$H$100,$A314,'16a'!$I$7:$I$100,1)+SUMIFS('17'!$J$7:$J$100,'17'!$H$7:$H$100,$A314,'17'!$I$7:$I$100,1)+SUMIFS('17a'!$J$7:$J$100,'17a'!$H$7:$H$100,$A314,'17a'!$I$7:$I$100,1)+SUMIFS('18'!$J$7:$J$100,'18'!$H$7:$H$100,$A314,'18'!$I$7:$I$100,1)+SUMIFS('18a'!$J$7:$J$100,'18a'!$H$7:$H$100,$A314,'18a'!$I$7:$I$100,1)
+SUMIFS('19'!$J$7:$J$100,'19'!$H$7:$H$100,$A314,'19'!$I$7:$I$100,1)+SUMIFS('20'!$J$7:$J$100,'20'!$H$7:$H$100,$A314,'20'!$I$7:$I$100,1)+SUMIFS('20a'!$J$7:$J$100,'20a'!$H$7:$H$100,$A314,'20a'!$I$7:$I$100,1)+SUMIFS('21'!$J$7:$J$100,'21'!$H$7:$H$100,$A314,'21'!$I$7:$I$100,1)+SUMIFS('22'!$J$7:$J$100,'22'!$H$7:$H$100,$A314,'22'!$I$7:$I$100,1)+SUMIFS('22a'!$J$7:$J$100,'22a'!$H$7:$H$100,$A314,'22a'!$I$7:$I$100,1)+SUMIFS('22b'!$J$7:$J$100,'22b'!$H$7:$H$100,$A314,'22b'!$I$7:$I$100,1)+SUMIFS('23'!$J$7:$J$100,'23'!$H$7:$H$100,$A314,'23'!$I$7:$I$100,1)+SUMIFS('24'!$J$7:$J$100,'24'!$H$7:$H$100,$A314,'24'!$I$7:$I$100,1)+SUMIFS('24a'!$J$7:$J$100,'24a'!$H$7:$H$100,$A314,'24a'!$I$7:$I$100,1)+SUMIFS('24b'!$J$7:$J$100,'24b'!$H$7:$H$100,$A314,'24b'!$I$7:$I$100,1)+SUMIFS('24c'!$J$7:$J$100,'24c'!$H$7:$H$100,$A314,'24c'!$I$7:$I$100,1)+SUMIFS('24d'!$J$7:$J$100,'24d'!$H$7:$H$100,$A314,'24d'!$I$7:$I$100,1)+SUMIFS('24e'!$J$7:$J$100,'24e'!$H$7:$H$100,$A314,'24e'!$I$7:$I$100,1)+SUMIFS('24f'!$J$7:$J$100,'24f'!$H$7:$H$100,$A314,'24f'!$I$7:$I$100,1)+SUMIFS('24g'!$J$7:$J$100,'24g'!$H$7:$H$100,$A314,'24g'!$I$7:$I$100,1)+SUMIFS('24h'!$J$7:$J$100,'24h'!$H$7:$H$100,$A314,'24h'!$I$7:$I$100,1)+SUMIFS('24i'!$J$7:$J$100,'24i'!$H$7:$H$100,$A314,'24i'!$I$7:$I$100,1)+SUMIFS('25'!$J$7:$J$100,'25'!$H$7:$H$100,$A314,'25'!$I$7:$I$100,1)+SUMIFS('26'!$J$7:$J$100,'26'!$H$7:$H$100,$A314,'26'!$I$7:$I$100,1)+SUMIFS('26a'!$J$7:$J$100,'26a'!$H$7:$H$100,$A314,'26a'!$I$7:$I$100,1)+SUMIFS('27'!$J$7:$J$100,'27'!$H$7:$H$100,$A314,'27'!$I$7:$I$100,1)+SUMIFS('27a'!$J$7:$J$100,'27a'!$H$7:$H$100,$A314,'27a'!$I$7:$I$100,1)+SUMIFS('28'!$J$7:$J$100,'28'!$H$7:$H$100,$A314,'28'!$I$7:$I$100,1)+SUMIFS('29'!$J$7:$J$100,'29'!$H$7:$H$100,$A314,'29'!$I$7:$I$100,1)</f>
        <v>0</v>
      </c>
      <c r="H314" s="1315">
        <f>SUMIFS('12'!$J$7:$J$100,'12'!$H$7:$H$100,$A314,'12'!$I$7:$I$100,2)+SUMIFS('13'!$J$7:$J$100,'13'!$H$7:$H$100,$A314,'13'!$I$7:$I$100,2)+SUMIFS('14'!$J$7:$J$100,'14'!$H$7:$H$100,$A314,'14'!$I$7:$I$100,2)+SUMIFS('15'!$J$7:$J$100,'15'!$H$7:$H$100,$A314,'15'!$I$7:$I$100,2)+SUMIFS('15a'!$J$7:$J$100,'15a'!$H$7:$H$100,$A314,'15a'!$I$7:$I$100,2)+SUMIFS('15b'!$J$7:$J$100,'15b'!$H$7:$H$100,$A314,'15b'!$I$7:$I$100,2)+SUMIFS('15c'!$J$7:$J$100,'15c'!$H$7:$H$100,$A314,'15c'!$I$7:$I$100,2)+SUMIFS('15d'!$J$7:$J$100,'15d'!$H$7:$H$100,$A314,'15d'!$I$7:$I$100,2)+SUMIFS('15e'!$J$7:$J$100,'15e'!$H$7:$H$100,$A314,'15e'!$I$7:$I$100,2)+SUMIFS('15f'!$J$7:$J$100,'15f'!$H$7:$H$100,$A314,'15f'!$I$7:$I$100,2)+SUMIFS('15g'!$J$7:$J$100,'15g'!$H$7:$H$100,$A314,'15g'!$I$7:$I$100,2)+SUMIFS('15h'!$J$7:$J$100,'15h'!$H$7:$H$100,$A314,'15h'!$I$7:$I$100,2)+SUMIFS('15i'!$J$7:$J$100,'15i'!$H$7:$H$100,$A314,'15i'!$I$7:$I$100,2)+SUMIFS('15j'!$J$7:$J$100,'15j'!$H$7:$H$100,$A314,'15j'!$I$7:$I$100,2)+SUMIFS('15k'!$J$7:$J$100,'15k'!$H$7:$H$100,$A314,'15k'!$I$7:$I$100,2)+SUMIFS('15l'!$J$7:$J$100,'15l'!$H$7:$H$100,$A314,'15l'!$I$7:$I$100,2)+SUMIFS('15m'!$J$7:$J$100,'15m'!$H$7:$H$100,$A314,'15m'!$I$7:$I$100,2)+SUMIFS('15n'!$J$7:$J$100,'15n'!$H$7:$H$100,$A314,'15n'!$I$7:$I$100,2)+SUMIFS('16'!$J$7:$J$100,'16'!$H$7:$H$100,$A314,'16'!$I$7:$I$100,2)+SUMIFS('16a'!$J$7:$J$100,'16a'!$H$7:$H$100,$A314,'16a'!$I$7:$I$100,2)+SUMIFS('17'!$J$7:$J$100,'17'!$H$7:$H$100,$A314,'17'!$I$7:$I$100,2)+SUMIFS('17a'!$J$7:$J$100,'17a'!$H$7:$H$100,$A314,'17a'!$I$7:$I$100,2)+SUMIFS('18'!$J$7:$J$100,'18'!$H$7:$H$100,$A314,'18'!$I$7:$I$100,2)+SUMIFS('18a'!$J$7:$J$100,'18a'!$H$7:$H$100,$A314,'18a'!$I$7:$I$100,2)
+SUMIFS('19'!$J$7:$J$100,'19'!$H$7:$H$100,$A314,'19'!$I$7:$I$100,2)+SUMIFS('20'!$J$7:$J$100,'20'!$H$7:$H$100,$A314,'20'!$I$7:$I$100,2)+SUMIFS('20a'!$J$7:$J$100,'20a'!$H$7:$H$100,$A314,'20a'!$I$7:$I$100,2)+SUMIFS('21'!$J$7:$J$100,'21'!$H$7:$H$100,$A314,'21'!$I$7:$I$100,2)+SUMIFS('22'!$J$7:$J$100,'22'!$H$7:$H$100,$A314,'22'!$I$7:$I$100,2)+SUMIFS('22a'!$J$7:$J$100,'22a'!$H$7:$H$100,$A314,'22a'!$I$7:$I$100,2)+SUMIFS('22b'!$J$7:$J$100,'22b'!$H$7:$H$100,$A314,'22b'!$I$7:$I$100,2)+SUMIFS('23'!$J$7:$J$100,'23'!$H$7:$H$100,$A314,'23'!$I$7:$I$100,2)+SUMIFS('24'!$J$7:$J$100,'24'!$H$7:$H$100,$A314,'24'!$I$7:$I$100,2)+SUMIFS('24a'!$J$7:$J$100,'24a'!$H$7:$H$100,$A314,'24a'!$I$7:$I$100,2)+SUMIFS('24b'!$J$7:$J$100,'24b'!$H$7:$H$100,$A314,'24b'!$I$7:$I$100,2)+SUMIFS('24c'!$J$7:$J$100,'24c'!$H$7:$H$100,$A314,'24c'!$I$7:$I$100,2)+SUMIFS('24d'!$J$7:$J$100,'24d'!$H$7:$H$100,$A314,'24d'!$I$7:$I$100,2)+SUMIFS('24e'!$J$7:$J$100,'24e'!$H$7:$H$100,$A314,'24e'!$I$7:$I$100,2)+SUMIFS('24f'!$J$7:$J$100,'24f'!$H$7:$H$100,$A314,'24f'!$I$7:$I$100,2)+SUMIFS('24g'!$J$7:$J$100,'24g'!$H$7:$H$100,$A314,'24g'!$I$7:$I$100,2)+SUMIFS('24h'!$J$7:$J$100,'24h'!$H$7:$H$100,$A314,'24h'!$I$7:$I$100,2)+SUMIFS('24i'!$J$7:$J$100,'24i'!$H$7:$H$100,$A314,'24i'!$I$7:$I$100,2)+SUMIFS('25'!$J$7:$J$100,'25'!$H$7:$H$100,$A314,'25'!$I$7:$I$100,2)+SUMIFS('26'!$J$7:$J$100,'26'!$H$7:$H$100,$A314,'26'!$I$7:$I$100,2)+SUMIFS('26a'!$J$7:$J$100,'26a'!$H$7:$H$100,$A314,'26a'!$I$7:$I$100,2)+SUMIFS('27'!$J$7:$J$100,'27'!$H$7:$H$100,$A314,'27'!$I$7:$I$100,2)+SUMIFS('27a'!$J$7:$J$100,'27a'!$H$7:$H$100,$A314,'27a'!$I$7:$I$100,2)+SUMIFS('28'!$J$7:$J$100,'28'!$H$7:$H$100,$A314,'28'!$I$7:$I$100,2)+SUMIFS('29'!$J$7:$J$100,'29'!$H$7:$H$100,$A314,'29'!$I$7:$I$100,2)</f>
        <v>0</v>
      </c>
      <c r="I314" s="1315">
        <f>SUMIFS('12'!$J$7:$J$100,'12'!$H$7:$H$100,$A314,'12'!$I$7:$I$100,"")+SUMIFS('13'!$J$7:$J$100,'13'!$H$7:$H$100,$A314,'13'!$I$7:$I$100,"")+SUMIFS('14'!$J$7:$J$100,'14'!$H$7:$H$100,$A314,'14'!$I$7:$I$100,"")+SUMIFS('15'!$J$7:$J$100,'15'!$H$7:$H$100,$A314,'15'!$I$7:$I$100,"")+SUMIFS('15a'!$J$7:$J$100,'15a'!$H$7:$H$100,$A314,'15a'!$I$7:$I$100,"")+SUMIFS('15b'!$J$7:$J$100,'15b'!$H$7:$H$100,$A314,'15b'!$I$7:$I$100,"")+SUMIFS('15c'!$J$7:$J$100,'15c'!$H$7:$H$100,$A314,'15c'!$I$7:$I$100,"")+SUMIFS('15d'!$J$7:$J$100,'15d'!$H$7:$H$100,$A314,'15d'!$I$7:$I$100,"")+SUMIFS('15e'!$J$7:$J$100,'15e'!$H$7:$H$100,$A314,'15e'!$I$7:$I$100,"")+SUMIFS('15f'!$J$7:$J$100,'15f'!$H$7:$H$100,$A314,'15f'!$I$7:$I$100,"")+SUMIFS('15g'!$J$7:$J$100,'15g'!$H$7:$H$100,$A314,'15g'!$I$7:$I$100,"")+SUMIFS('15h'!$J$7:$J$100,'15h'!$H$7:$H$100,$A314,'15h'!$I$7:$I$100,"")+SUMIFS('15i'!$J$7:$J$100,'15i'!$H$7:$H$100,$A314,'15i'!$I$7:$I$100,"")+SUMIFS('15j'!$J$7:$J$100,'15j'!$H$7:$H$100,$A314,'15j'!$I$7:$I$100,"")+SUMIFS('15k'!$J$7:$J$100,'15k'!$H$7:$H$100,$A314,'15k'!$I$7:$I$100,"")+SUMIFS('15l'!$J$7:$J$100,'15l'!$H$7:$H$100,$A314,'15l'!$I$7:$I$100,"")+SUMIFS('15m'!$J$7:$J$100,'15m'!$H$7:$H$100,$A314,'15m'!$I$7:$I$100,"")+SUMIFS('15n'!$J$7:$J$100,'15n'!$H$7:$H$100,$A314,'15n'!$I$7:$I$100,"")+SUMIFS('16'!$J$7:$J$100,'16'!$H$7:$H$100,$A314,'16'!$I$7:$I$100,"")+SUMIFS('16a'!$J$7:$J$100,'16a'!$H$7:$H$100,$A314,'16a'!$I$7:$I$100,"")+SUMIFS('17'!$J$7:$J$100,'17'!$H$7:$H$100,$A314,'17'!$I$7:$I$100,"")+SUMIFS('17a'!$J$7:$J$100,'17a'!$H$7:$H$100,$A314,'17a'!$I$7:$I$100,"")+SUMIFS('18'!$J$7:$J$100,'18'!$H$7:$H$100,$A314,'18'!$I$7:$I$100,"")+SUMIFS('18a'!$J$7:$J$100,'18a'!$H$7:$H$100,$A314,'18a'!$I$7:$I$100,"")
+SUMIFS('19'!$J$7:$J$100,'19'!$H$7:$H$100,$A314,'19'!$I$7:$I$100,"")+SUMIFS('20'!$J$7:$J$100,'20'!$H$7:$H$100,$A314,'20'!$I$7:$I$100,"")+SUMIFS('20a'!$J$7:$J$100,'20a'!$H$7:$H$100,$A314,'20a'!$I$7:$I$100,"")+SUMIFS('21'!$J$7:$J$100,'21'!$H$7:$H$100,$A314,'21'!$I$7:$I$100,"")+SUMIFS('22'!$J$7:$J$100,'22'!$H$7:$H$100,$A314,'22'!$I$7:$I$100,"")+SUMIFS('22a'!$J$7:$J$100,'22a'!$H$7:$H$100,$A314,'22a'!$I$7:$I$100,"")+SUMIFS('22b'!$J$7:$J$100,'22b'!$H$7:$H$100,$A314,'22b'!$I$7:$I$100,"")+SUMIFS('23'!$J$7:$J$100,'23'!$H$7:$H$100,$A314,'23'!$I$7:$I$100,"")+SUMIFS('24'!$J$7:$J$100,'24'!$H$7:$H$100,$A314,'24'!$I$7:$I$100,"")+SUMIFS('24a'!$J$7:$J$100,'24a'!$H$7:$H$100,$A314,'24a'!$I$7:$I$100,"")+SUMIFS('24b'!$J$7:$J$100,'24b'!$H$7:$H$100,$A314,'24b'!$I$7:$I$100,"")+SUMIFS('24c'!$J$7:$J$100,'24c'!$H$7:$H$100,$A314,'24c'!$I$7:$I$100,"")+SUMIFS('24d'!$J$7:$J$100,'24d'!$H$7:$H$100,$A314,'24d'!$I$7:$I$100,"")+SUMIFS('24e'!$J$7:$J$100,'24e'!$H$7:$H$100,$A314,'24e'!$I$7:$I$100,"")+SUMIFS('24f'!$J$7:$J$100,'24f'!$H$7:$H$100,$A314,'24f'!$I$7:$I$100,"")+SUMIFS('24g'!$J$7:$J$100,'24g'!$H$7:$H$100,$A314,'24g'!$I$7:$I$100,"")+SUMIFS('24h'!$J$7:$J$100,'24h'!$H$7:$H$100,$A314,'24h'!$I$7:$I$100,"")+SUMIFS('24i'!$J$7:$J$100,'24i'!$H$7:$H$100,$A314,'24i'!$I$7:$I$100,"")+SUMIFS('25'!$J$7:$J$100,'25'!$H$7:$H$100,$A314,'25'!$I$7:$I$100,"")+SUMIFS('26'!$J$7:$J$100,'26'!$H$7:$H$100,$A314,'26'!$I$7:$I$100,"")+SUMIFS('26a'!$J$7:$J$100,'26a'!$H$7:$H$100,$A314,'26a'!$I$7:$I$100,"")+SUMIFS('27'!$J$7:$J$100,'27'!$H$7:$H$100,$A314,'27'!$I$7:$I$100,"")+SUMIFS('27a'!$J$7:$J$100,'27a'!$H$7:$H$100,$A314,'27a'!$I$7:$I$100,"")+SUMIFS('28'!$J$7:$J$100,'28'!$H$7:$H$100,$A314,'28'!$I$7:$I$100,"")+SUMIFS('29'!$J$7:$J$100,'29'!$H$7:$H$100,$A314,'29'!$I$7:$I$100,"")</f>
        <v>0</v>
      </c>
      <c r="J314" s="1296">
        <f>SUM(G314:I314)</f>
        <v>0</v>
      </c>
      <c r="K314"/>
      <c r="L314"/>
      <c r="M314"/>
      <c r="N314"/>
      <c r="O314"/>
      <c r="P314"/>
      <c r="Q314"/>
      <c r="R314"/>
      <c r="S314" s="1307">
        <f t="shared" si="30"/>
        <v>0</v>
      </c>
      <c r="T314"/>
    </row>
    <row r="315" spans="1:20" x14ac:dyDescent="0.2">
      <c r="A315" t="s">
        <v>5073</v>
      </c>
      <c r="B315" t="s">
        <v>5530</v>
      </c>
      <c r="C315" s="1295">
        <f>SUMIFS('12'!$N$7:$N$100,'12'!$H$7:$H$100,$A315,'12'!$I$7:$I$100,1)+SUMIFS('13'!$N$7:$N$100,'13'!$H$7:$H$100,$A315,'13'!$I$7:$I$100,1)+SUMIFS('14'!$N$7:$N$100,'14'!$H$7:$H$100,$A315,'14'!$I$7:$I$100,1)+SUMIFS('15'!$N$7:$N$100,'15'!$H$7:$H$100,$A315,'15'!$I$7:$I$100,1)+SUMIFS('15a'!$N$7:$N$100,'15a'!$H$7:$H$100,$A315,'15a'!$I$7:$I$100,1)+SUMIFS('15b'!$N$7:$N$100,'15b'!$H$7:$H$100,$A315,'15b'!$I$7:$I$100,1)+SUMIFS('15c'!$N$7:$N$100,'15c'!$H$7:$H$100,$A315,'15c'!$I$7:$I$100,1)+SUMIFS('15d'!$N$7:$N$100,'15d'!$H$7:$H$100,$A315,'15d'!$I$7:$I$100,1)+SUMIFS('15e'!$N$7:$N$100,'15e'!$H$7:$H$100,$A315,'15e'!$I$7:$I$100,1)+SUMIFS('15f'!$N$7:$N$100,'15f'!$H$7:$H$100,$A315,'15f'!$I$7:$I$100,1)+SUMIFS('15g'!$N$7:$N$100,'15g'!$H$7:$H$100,$A315,'15g'!$I$7:$I$100,1)+SUMIFS('15h'!$N$7:$N$100,'15h'!$H$7:$H$100,$A315,'15h'!$I$7:$I$100,1)+SUMIFS('15i'!$N$7:$N$100,'15i'!$H$7:$H$100,$A315,'15i'!$I$7:$I$100,1)+SUMIFS('15j'!$N$7:$N$100,'15j'!$H$7:$H$100,$A315,'15j'!$I$7:$I$100,1)+SUMIFS('15k'!$N$7:$N$100,'15k'!$H$7:$H$100,$A315,'15k'!$I$7:$I$100,1)+SUMIFS('15l'!$N$7:$N$100,'15l'!$H$7:$H$100,$A315,'15l'!$I$7:$I$100,1)+SUMIFS('15m'!$N$7:$N$100,'15m'!$H$7:$H$100,$A315,'15m'!$I$7:$I$100,1)+SUMIFS('15n'!$N$7:$N$100,'15n'!$H$7:$H$100,$A315,'15n'!$I$7:$I$100,1)+SUMIFS('16'!$N$7:$N$100,'16'!$H$7:$H$100,$A315,'16'!$I$7:$I$100,1)+SUMIFS('16a'!$N$7:$N$100,'16a'!$H$7:$H$100,$A315,'16a'!$I$7:$I$100,1)+SUMIFS('17'!$N$7:$N$100,'17'!$H$7:$H$100,$A315,'17'!$I$7:$I$100,1)+SUMIFS('17a'!$N$7:$N$100,'17a'!$H$7:$H$100,$A315,'17a'!$I$7:$I$100,1)+SUMIFS('18'!$N$7:$N$100,'18'!$H$7:$H$100,$A315,'18'!$I$7:$I$100,1)+SUMIFS('18a'!$N$7:$N$100,'18a'!$H$7:$H$100,$A315,'18a'!$I$7:$I$100,1)
+SUMIFS('19'!$N$7:$N$100,'19'!$H$7:$H$100,$A315,'19'!$I$7:$I$100,1)+SUMIFS('20'!$N$7:$N$100,'20'!$H$7:$H$100,$A315,'20'!$I$7:$I$100,1)+SUMIFS('20a'!$N$7:$N$100,'20a'!$H$7:$H$100,$A315,'20a'!$I$7:$I$100,1)+SUMIFS('21'!$N$7:$N$100,'21'!$H$7:$H$100,$A315,'21'!$I$7:$I$100,1)+SUMIFS('22'!$N$7:$N$100,'22'!$H$7:$H$100,$A315,'22'!$I$7:$I$100,1)+SUMIFS('22a'!$N$7:$N$100,'22a'!$H$7:$H$100,$A315,'22a'!$I$7:$I$100,1)+SUMIFS('22b'!$N$7:$N$100,'22b'!$H$7:$H$100,$A315,'22b'!$I$7:$I$100,1)+SUMIFS('23'!$N$7:$N$100,'23'!$H$7:$H$100,$A315,'23'!$I$7:$I$100,1)+SUMIFS('24'!$N$7:$N$100,'24'!$H$7:$H$100,$A315,'24'!$I$7:$I$100,1)+SUMIFS('24a'!$N$7:$N$100,'24a'!$H$7:$H$100,$A315,'24a'!$I$7:$I$100,1)+SUMIFS('24b'!$N$7:$N$100,'24b'!$H$7:$H$100,$A315,'24b'!$I$7:$I$100,1)+SUMIFS('24c'!$N$7:$N$100,'24c'!$H$7:$H$100,$A315,'24c'!$I$7:$I$100,1)+SUMIFS('24d'!$N$7:$N$100,'24d'!$H$7:$H$100,$A315,'24d'!$I$7:$I$100,1)+SUMIFS('24e'!$N$7:$N$100,'24e'!$H$7:$H$100,$A315,'24e'!$I$7:$I$100,1)+SUMIFS('24f'!$N$7:$N$100,'24f'!$H$7:$H$100,$A315,'24f'!$I$7:$I$100,1)+SUMIFS('24g'!$N$7:$N$100,'24g'!$H$7:$H$100,$A315,'24g'!$I$7:$I$100,1)+SUMIFS('24h'!$N$7:$N$100,'24h'!$H$7:$H$100,$A315,'24h'!$I$7:$I$100,1)+SUMIFS('24i'!$N$7:$N$100,'24i'!$H$7:$H$100,$A315,'24i'!$I$7:$I$100,1)+SUMIFS('25'!$N$7:$N$100,'25'!$H$7:$H$100,$A315,'25'!$I$7:$I$100,1)+SUMIFS('26'!$N$7:$N$100,'26'!$H$7:$H$100,$A315,'26'!$I$7:$I$100,1)+SUMIFS('26a'!$N$7:$N$100,'26a'!$H$7:$H$100,$A315,'26a'!$I$7:$I$100,1)+SUMIFS('27'!$N$7:$N$100,'27'!$H$7:$H$100,$A315,'27'!$I$7:$I$100,1)+SUMIFS('27a'!$N$7:$N$100,'27a'!$H$7:$H$100,$A315,'27a'!$I$7:$I$100,1)+SUMIFS('28'!$N$7:$N$100,'28'!$H$7:$H$100,$A315,'28'!$I$7:$I$100,1)+SUMIFS('29'!$N$7:$N$100,'29'!$H$7:$H$100,$A315,'29'!$I$7:$I$100,1)</f>
        <v>0</v>
      </c>
      <c r="D315" s="1315">
        <f>SUMIFS('12'!$N$7:$N$100,'12'!$H$7:$H$100,$A315,'12'!$I$7:$I$100,2)+SUMIFS('13'!$N$7:$N$100,'13'!$H$7:$H$100,$A315,'13'!$I$7:$I$100,2)+SUMIFS('14'!$N$7:$N$100,'14'!$H$7:$H$100,$A315,'14'!$I$7:$I$100,2)+SUMIFS('15'!$N$7:$N$100,'15'!$H$7:$H$100,$A315,'15'!$I$7:$I$100,2)+SUMIFS('15a'!$N$7:$N$100,'15a'!$H$7:$H$100,$A315,'15a'!$I$7:$I$100,2)+SUMIFS('15b'!$N$7:$N$100,'15b'!$H$7:$H$100,$A315,'15b'!$I$7:$I$100,2)+SUMIFS('15c'!$N$7:$N$100,'15c'!$H$7:$H$100,$A315,'15c'!$I$7:$I$100,2)+SUMIFS('15d'!$N$7:$N$100,'15d'!$H$7:$H$100,$A315,'15d'!$I$7:$I$100,2)+SUMIFS('15e'!$N$7:$N$100,'15e'!$H$7:$H$100,$A315,'15e'!$I$7:$I$100,2)+SUMIFS('15f'!$N$7:$N$100,'15f'!$H$7:$H$100,$A315,'15f'!$I$7:$I$100,2)+SUMIFS('15g'!$N$7:$N$100,'15g'!$H$7:$H$100,$A315,'15g'!$I$7:$I$100,2)+SUMIFS('15h'!$N$7:$N$100,'15h'!$H$7:$H$100,$A315,'15h'!$I$7:$I$100,2)+SUMIFS('15i'!$N$7:$N$100,'15i'!$H$7:$H$100,$A315,'15i'!$I$7:$I$100,2)+SUMIFS('15j'!$N$7:$N$100,'15j'!$H$7:$H$100,$A315,'15j'!$I$7:$I$100,2)+SUMIFS('15k'!$N$7:$N$100,'15k'!$H$7:$H$100,$A315,'15k'!$I$7:$I$100,2)+SUMIFS('15l'!$N$7:$N$100,'15l'!$H$7:$H$100,$A315,'15l'!$I$7:$I$100,2)+SUMIFS('15m'!$N$7:$N$100,'15m'!$H$7:$H$100,$A315,'15m'!$I$7:$I$100,2)+SUMIFS('15n'!$N$7:$N$100,'15n'!$H$7:$H$100,$A315,'15n'!$I$7:$I$100,2)+SUMIFS('16'!$N$7:$N$100,'16'!$H$7:$H$100,$A315,'16'!$I$7:$I$100,2)+SUMIFS('16a'!$N$7:$N$100,'16a'!$H$7:$H$100,$A315,'16a'!$I$7:$I$100,2)+SUMIFS('17'!$N$7:$N$100,'17'!$H$7:$H$100,$A315,'17'!$I$7:$I$100,2)+SUMIFS('17a'!$N$7:$N$100,'17a'!$H$7:$H$100,$A315,'17a'!$I$7:$I$100,2)+SUMIFS('18'!$N$7:$N$100,'18'!$H$7:$H$100,$A315,'18'!$I$7:$I$100,2)+SUMIFS('18a'!$N$7:$N$100,'18a'!$H$7:$H$100,$A315,'18a'!$I$7:$I$100,2)
+SUMIFS('19'!$N$7:$N$100,'19'!$H$7:$H$100,$A315,'19'!$I$7:$I$100,2)+SUMIFS('20'!$N$7:$N$100,'20'!$H$7:$H$100,$A315,'20'!$I$7:$I$100,2)+SUMIFS('20a'!$N$7:$N$100,'20a'!$H$7:$H$100,$A315,'20a'!$I$7:$I$100,2)+SUMIFS('21'!$N$7:$N$100,'21'!$H$7:$H$100,$A315,'21'!$I$7:$I$100,2)+SUMIFS('22'!$N$7:$N$100,'22'!$H$7:$H$100,$A315,'22'!$I$7:$I$100,2)+SUMIFS('22a'!$N$7:$N$100,'22a'!$H$7:$H$100,$A315,'22a'!$I$7:$I$100,2)+SUMIFS('22b'!$N$7:$N$100,'22b'!$H$7:$H$100,$A315,'22b'!$I$7:$I$100,2)+SUMIFS('23'!$N$7:$N$100,'23'!$H$7:$H$100,$A315,'23'!$I$7:$I$100,2)+SUMIFS('24'!$N$7:$N$100,'24'!$H$7:$H$100,$A315,'24'!$I$7:$I$100,2)+SUMIFS('24a'!$N$7:$N$100,'24a'!$H$7:$H$100,$A315,'24a'!$I$7:$I$100,2)+SUMIFS('24b'!$N$7:$N$100,'24b'!$H$7:$H$100,$A315,'24b'!$I$7:$I$100,2)+SUMIFS('24c'!$N$7:$N$100,'24c'!$H$7:$H$100,$A315,'24c'!$I$7:$I$100,2)+SUMIFS('24d'!$N$7:$N$100,'24d'!$H$7:$H$100,$A315,'24d'!$I$7:$I$100,2)+SUMIFS('24e'!$N$7:$N$100,'24e'!$H$7:$H$100,$A315,'24e'!$I$7:$I$100,2)+SUMIFS('24f'!$N$7:$N$100,'24f'!$H$7:$H$100,$A315,'24f'!$I$7:$I$100,2)+SUMIFS('24g'!$N$7:$N$100,'24g'!$H$7:$H$100,$A315,'24g'!$I$7:$I$100,2)+SUMIFS('24h'!$N$7:$N$100,'24h'!$H$7:$H$100,$A315,'24h'!$I$7:$I$100,2)+SUMIFS('24i'!$N$7:$N$100,'24i'!$H$7:$H$100,$A315,'24i'!$I$7:$I$100,2)+SUMIFS('25'!$N$7:$N$100,'25'!$H$7:$H$100,$A315,'25'!$I$7:$I$100,2)+SUMIFS('26'!$N$7:$N$100,'26'!$H$7:$H$100,$A315,'26'!$I$7:$I$100,2)+SUMIFS('26a'!$N$7:$N$100,'26a'!$H$7:$H$100,$A315,'26a'!$I$7:$I$100,2)+SUMIFS('27'!$N$7:$N$100,'27'!$H$7:$H$100,$A315,'27'!$I$7:$I$100,2)+SUMIFS('27a'!$N$7:$N$100,'27a'!$H$7:$H$100,$A315,'27a'!$I$7:$I$100,2)+SUMIFS('28'!$N$7:$N$100,'28'!$H$7:$H$100,$A315,'28'!$I$7:$I$100,2)+SUMIFS('29'!$N$7:$N$100,'29'!$H$7:$H$100,$A315,'29'!$I$7:$I$100,2)</f>
        <v>0</v>
      </c>
      <c r="E315" s="1315">
        <f>SUMIFS('12'!$N$7:$N$100,'12'!$H$7:$H$100,$A315,'12'!$I$7:$I$100,"")+SUMIFS('13'!$N$7:$N$100,'13'!$H$7:$H$100,$A315,'13'!$I$7:$I$100,"")+SUMIFS('14'!$N$7:$N$100,'14'!$H$7:$H$100,$A315,'14'!$I$7:$I$100,"")+SUMIFS('15'!$N$7:$N$100,'15'!$H$7:$H$100,$A315,'15'!$I$7:$I$100,"")+SUMIFS('15a'!$N$7:$N$100,'15a'!$H$7:$H$100,$A315,'15a'!$I$7:$I$100,"")+SUMIFS('15b'!$N$7:$N$100,'15b'!$H$7:$H$100,$A315,'15b'!$I$7:$I$100,"")+SUMIFS('15c'!$N$7:$N$100,'15c'!$H$7:$H$100,$A315,'15c'!$I$7:$I$100,"")+SUMIFS('15d'!$N$7:$N$100,'15d'!$H$7:$H$100,$A315,'15d'!$I$7:$I$100,"")+SUMIFS('15e'!$N$7:$N$100,'15e'!$H$7:$H$100,$A315,'15e'!$I$7:$I$100,"")+SUMIFS('15f'!$N$7:$N$100,'15f'!$H$7:$H$100,$A315,'15f'!$I$7:$I$100,"")+SUMIFS('15g'!$N$7:$N$100,'15g'!$H$7:$H$100,$A315,'15g'!$I$7:$I$100,"")+SUMIFS('15h'!$N$7:$N$100,'15h'!$H$7:$H$100,$A315,'15h'!$I$7:$I$100,"")+SUMIFS('15i'!$N$7:$N$100,'15i'!$H$7:$H$100,$A315,'15i'!$I$7:$I$100,"")+SUMIFS('15j'!$N$7:$N$100,'15j'!$H$7:$H$100,$A315,'15j'!$I$7:$I$100,"")+SUMIFS('15k'!$N$7:$N$100,'15k'!$H$7:$H$100,$A315,'15k'!$I$7:$I$100,"")+SUMIFS('15l'!$N$7:$N$100,'15l'!$H$7:$H$100,$A315,'15l'!$I$7:$I$100,"")+SUMIFS('15m'!$N$7:$N$100,'15m'!$H$7:$H$100,$A315,'15m'!$I$7:$I$100,"")+SUMIFS('15n'!$N$7:$N$100,'15n'!$H$7:$H$100,$A315,'15n'!$I$7:$I$100,"")+SUMIFS('16'!$N$7:$N$100,'16'!$H$7:$H$100,$A315,'16'!$I$7:$I$100,"")+SUMIFS('16a'!$N$7:$N$100,'16a'!$H$7:$H$100,$A315,'16a'!$I$7:$I$100,"")+SUMIFS('17'!$N$7:$N$100,'17'!$H$7:$H$100,$A315,'17'!$I$7:$I$100,"")+SUMIFS('17a'!$N$7:$N$100,'17a'!$H$7:$H$100,$A315,'17a'!$I$7:$I$100,"")+SUMIFS('18'!$N$7:$N$100,'18'!$H$7:$H$100,$A315,'18'!$I$7:$I$100,"")+SUMIFS('18a'!$N$7:$N$100,'18a'!$H$7:$H$100,$A315,'18a'!$I$7:$I$100,"")
+SUMIFS('19'!$N$7:$N$100,'19'!$H$7:$H$100,$A315,'19'!$I$7:$I$100,"")+SUMIFS('20'!$N$7:$N$100,'20'!$H$7:$H$100,$A315,'20'!$I$7:$I$100,"")+SUMIFS('20a'!$N$7:$N$100,'20a'!$H$7:$H$100,$A315,'20a'!$I$7:$I$100,"")+SUMIFS('21'!$N$7:$N$100,'21'!$H$7:$H$100,$A315,'21'!$I$7:$I$100,"")+SUMIFS('22'!$N$7:$N$100,'22'!$H$7:$H$100,$A315,'22'!$I$7:$I$100,"")+SUMIFS('22a'!$N$7:$N$100,'22a'!$H$7:$H$100,$A315,'22a'!$I$7:$I$100,"")+SUMIFS('22b'!$N$7:$N$100,'22b'!$H$7:$H$100,$A315,'22b'!$I$7:$I$100,"")+SUMIFS('23'!$N$7:$N$100,'23'!$H$7:$H$100,$A315,'23'!$I$7:$I$100,"")+SUMIFS('24'!$N$7:$N$100,'24'!$H$7:$H$100,$A315,'24'!$I$7:$I$100,"")+SUMIFS('24a'!$N$7:$N$100,'24a'!$H$7:$H$100,$A315,'24a'!$I$7:$I$100,"")+SUMIFS('24b'!$N$7:$N$100,'24b'!$H$7:$H$100,$A315,'24b'!$I$7:$I$100,"")+SUMIFS('24c'!$N$7:$N$100,'24c'!$H$7:$H$100,$A315,'24c'!$I$7:$I$100,"")+SUMIFS('24d'!$N$7:$N$100,'24d'!$H$7:$H$100,$A315,'24d'!$I$7:$I$100,"")+SUMIFS('24e'!$N$7:$N$100,'24e'!$H$7:$H$100,$A315,'24e'!$I$7:$I$100,"")+SUMIFS('24f'!$N$7:$N$100,'24f'!$H$7:$H$100,$A315,'24f'!$I$7:$I$100,"")+SUMIFS('24g'!$N$7:$N$100,'24g'!$H$7:$H$100,$A315,'24g'!$I$7:$I$100,"")+SUMIFS('24h'!$N$7:$N$100,'24h'!$H$7:$H$100,$A315,'24h'!$I$7:$I$100,"")+SUMIFS('24i'!$N$7:$N$100,'24i'!$H$7:$H$100,$A315,'24i'!$I$7:$I$100,"")+SUMIFS('25'!$N$7:$N$100,'25'!$H$7:$H$100,$A315,'25'!$I$7:$I$100,"")+SUMIFS('26'!$N$7:$N$100,'26'!$H$7:$H$100,$A315,'26'!$I$7:$I$100,"")+SUMIFS('26a'!$N$7:$N$100,'26a'!$H$7:$H$100,$A315,'26a'!$I$7:$I$100,"")+SUMIFS('27'!$N$7:$N$100,'27'!$H$7:$H$100,$A315,'27'!$I$7:$I$100,"")+SUMIFS('27a'!$N$7:$N$100,'27a'!$H$7:$H$100,$A315,'27a'!$I$7:$I$100,"")+SUMIFS('28'!$N$7:$N$100,'28'!$H$7:$H$100,$A315,'28'!$I$7:$I$100,"")+SUMIFS('29'!$N$7:$N$100,'29'!$H$7:$H$100,$A315,'29'!$I$7:$I$100,"")</f>
        <v>0</v>
      </c>
      <c r="F315" s="1296">
        <f t="shared" ref="F315:F321" si="40">SUM(C315:E315)</f>
        <v>0</v>
      </c>
      <c r="G315" s="1295">
        <f>SUMIFS('12'!$J$7:$J$100,'12'!$H$7:$H$100,$A315,'12'!$I$7:$I$100,1)+SUMIFS('13'!$J$7:$J$100,'13'!$H$7:$H$100,$A315,'13'!$I$7:$I$100,1)+SUMIFS('14'!$J$7:$J$100,'14'!$H$7:$H$100,$A315,'14'!$I$7:$I$100,1)+SUMIFS('15'!$J$7:$J$100,'15'!$H$7:$H$100,$A315,'15'!$I$7:$I$100,1)+SUMIFS('15a'!$J$7:$J$100,'15a'!$H$7:$H$100,$A315,'15a'!$I$7:$I$100,1)+SUMIFS('15b'!$J$7:$J$100,'15b'!$H$7:$H$100,$A315,'15b'!$I$7:$I$100,1)+SUMIFS('15c'!$J$7:$J$100,'15c'!$H$7:$H$100,$A315,'15c'!$I$7:$I$100,1)+SUMIFS('15d'!$J$7:$J$100,'15d'!$H$7:$H$100,$A315,'15d'!$I$7:$I$100,1)+SUMIFS('15e'!$J$7:$J$100,'15e'!$H$7:$H$100,$A315,'15e'!$I$7:$I$100,1)+SUMIFS('15f'!$J$7:$J$100,'15f'!$H$7:$H$100,$A315,'15f'!$I$7:$I$100,1)+SUMIFS('15g'!$J$7:$J$100,'15g'!$H$7:$H$100,$A315,'15g'!$I$7:$I$100,1)+SUMIFS('15h'!$J$7:$J$100,'15h'!$H$7:$H$100,$A315,'15h'!$I$7:$I$100,1)+SUMIFS('15i'!$J$7:$J$100,'15i'!$H$7:$H$100,$A315,'15i'!$I$7:$I$100,1)+SUMIFS('15j'!$J$7:$J$100,'15j'!$H$7:$H$100,$A315,'15j'!$I$7:$I$100,1)+SUMIFS('15k'!$J$7:$J$100,'15k'!$H$7:$H$100,$A315,'15k'!$I$7:$I$100,1)+SUMIFS('15l'!$J$7:$J$100,'15l'!$H$7:$H$100,$A315,'15l'!$I$7:$I$100,1)+SUMIFS('15m'!$J$7:$J$100,'15m'!$H$7:$H$100,$A315,'15m'!$I$7:$I$100,1)+SUMIFS('15n'!$J$7:$J$100,'15n'!$H$7:$H$100,$A315,'15n'!$I$7:$I$100,1)+SUMIFS('16'!$J$7:$J$100,'16'!$H$7:$H$100,$A315,'16'!$I$7:$I$100,1)+SUMIFS('16a'!$J$7:$J$100,'16a'!$H$7:$H$100,$A315,'16a'!$I$7:$I$100,1)+SUMIFS('17'!$J$7:$J$100,'17'!$H$7:$H$100,$A315,'17'!$I$7:$I$100,1)+SUMIFS('17a'!$J$7:$J$100,'17a'!$H$7:$H$100,$A315,'17a'!$I$7:$I$100,1)+SUMIFS('18'!$J$7:$J$100,'18'!$H$7:$H$100,$A315,'18'!$I$7:$I$100,1)+SUMIFS('18a'!$J$7:$J$100,'18a'!$H$7:$H$100,$A315,'18a'!$I$7:$I$100,1)
+SUMIFS('19'!$J$7:$J$100,'19'!$H$7:$H$100,$A315,'19'!$I$7:$I$100,1)+SUMIFS('20'!$J$7:$J$100,'20'!$H$7:$H$100,$A315,'20'!$I$7:$I$100,1)+SUMIFS('20a'!$J$7:$J$100,'20a'!$H$7:$H$100,$A315,'20a'!$I$7:$I$100,1)+SUMIFS('21'!$J$7:$J$100,'21'!$H$7:$H$100,$A315,'21'!$I$7:$I$100,1)+SUMIFS('22'!$J$7:$J$100,'22'!$H$7:$H$100,$A315,'22'!$I$7:$I$100,1)+SUMIFS('22a'!$J$7:$J$100,'22a'!$H$7:$H$100,$A315,'22a'!$I$7:$I$100,1)+SUMIFS('22b'!$J$7:$J$100,'22b'!$H$7:$H$100,$A315,'22b'!$I$7:$I$100,1)+SUMIFS('23'!$J$7:$J$100,'23'!$H$7:$H$100,$A315,'23'!$I$7:$I$100,1)+SUMIFS('24'!$J$7:$J$100,'24'!$H$7:$H$100,$A315,'24'!$I$7:$I$100,1)+SUMIFS('24a'!$J$7:$J$100,'24a'!$H$7:$H$100,$A315,'24a'!$I$7:$I$100,1)+SUMIFS('24b'!$J$7:$J$100,'24b'!$H$7:$H$100,$A315,'24b'!$I$7:$I$100,1)+SUMIFS('24c'!$J$7:$J$100,'24c'!$H$7:$H$100,$A315,'24c'!$I$7:$I$100,1)+SUMIFS('24d'!$J$7:$J$100,'24d'!$H$7:$H$100,$A315,'24d'!$I$7:$I$100,1)+SUMIFS('24e'!$J$7:$J$100,'24e'!$H$7:$H$100,$A315,'24e'!$I$7:$I$100,1)+SUMIFS('24f'!$J$7:$J$100,'24f'!$H$7:$H$100,$A315,'24f'!$I$7:$I$100,1)+SUMIFS('24g'!$J$7:$J$100,'24g'!$H$7:$H$100,$A315,'24g'!$I$7:$I$100,1)+SUMIFS('24h'!$J$7:$J$100,'24h'!$H$7:$H$100,$A315,'24h'!$I$7:$I$100,1)+SUMIFS('24i'!$J$7:$J$100,'24i'!$H$7:$H$100,$A315,'24i'!$I$7:$I$100,1)+SUMIFS('25'!$J$7:$J$100,'25'!$H$7:$H$100,$A315,'25'!$I$7:$I$100,1)+SUMIFS('26'!$J$7:$J$100,'26'!$H$7:$H$100,$A315,'26'!$I$7:$I$100,1)+SUMIFS('26a'!$J$7:$J$100,'26a'!$H$7:$H$100,$A315,'26a'!$I$7:$I$100,1)+SUMIFS('27'!$J$7:$J$100,'27'!$H$7:$H$100,$A315,'27'!$I$7:$I$100,1)+SUMIFS('27a'!$J$7:$J$100,'27a'!$H$7:$H$100,$A315,'27a'!$I$7:$I$100,1)+SUMIFS('28'!$J$7:$J$100,'28'!$H$7:$H$100,$A315,'28'!$I$7:$I$100,1)+SUMIFS('29'!$J$7:$J$100,'29'!$H$7:$H$100,$A315,'29'!$I$7:$I$100,1)</f>
        <v>0</v>
      </c>
      <c r="H315" s="1315">
        <f>SUMIFS('12'!$J$7:$J$100,'12'!$H$7:$H$100,$A315,'12'!$I$7:$I$100,2)+SUMIFS('13'!$J$7:$J$100,'13'!$H$7:$H$100,$A315,'13'!$I$7:$I$100,2)+SUMIFS('14'!$J$7:$J$100,'14'!$H$7:$H$100,$A315,'14'!$I$7:$I$100,2)+SUMIFS('15'!$J$7:$J$100,'15'!$H$7:$H$100,$A315,'15'!$I$7:$I$100,2)+SUMIFS('15a'!$J$7:$J$100,'15a'!$H$7:$H$100,$A315,'15a'!$I$7:$I$100,2)+SUMIFS('15b'!$J$7:$J$100,'15b'!$H$7:$H$100,$A315,'15b'!$I$7:$I$100,2)+SUMIFS('15c'!$J$7:$J$100,'15c'!$H$7:$H$100,$A315,'15c'!$I$7:$I$100,2)+SUMIFS('15d'!$J$7:$J$100,'15d'!$H$7:$H$100,$A315,'15d'!$I$7:$I$100,2)+SUMIFS('15e'!$J$7:$J$100,'15e'!$H$7:$H$100,$A315,'15e'!$I$7:$I$100,2)+SUMIFS('15f'!$J$7:$J$100,'15f'!$H$7:$H$100,$A315,'15f'!$I$7:$I$100,2)+SUMIFS('15g'!$J$7:$J$100,'15g'!$H$7:$H$100,$A315,'15g'!$I$7:$I$100,2)+SUMIFS('15h'!$J$7:$J$100,'15h'!$H$7:$H$100,$A315,'15h'!$I$7:$I$100,2)+SUMIFS('15i'!$J$7:$J$100,'15i'!$H$7:$H$100,$A315,'15i'!$I$7:$I$100,2)+SUMIFS('15j'!$J$7:$J$100,'15j'!$H$7:$H$100,$A315,'15j'!$I$7:$I$100,2)+SUMIFS('15k'!$J$7:$J$100,'15k'!$H$7:$H$100,$A315,'15k'!$I$7:$I$100,2)+SUMIFS('15l'!$J$7:$J$100,'15l'!$H$7:$H$100,$A315,'15l'!$I$7:$I$100,2)+SUMIFS('15m'!$J$7:$J$100,'15m'!$H$7:$H$100,$A315,'15m'!$I$7:$I$100,2)+SUMIFS('15n'!$J$7:$J$100,'15n'!$H$7:$H$100,$A315,'15n'!$I$7:$I$100,2)+SUMIFS('16'!$J$7:$J$100,'16'!$H$7:$H$100,$A315,'16'!$I$7:$I$100,2)+SUMIFS('16a'!$J$7:$J$100,'16a'!$H$7:$H$100,$A315,'16a'!$I$7:$I$100,2)+SUMIFS('17'!$J$7:$J$100,'17'!$H$7:$H$100,$A315,'17'!$I$7:$I$100,2)+SUMIFS('17a'!$J$7:$J$100,'17a'!$H$7:$H$100,$A315,'17a'!$I$7:$I$100,2)+SUMIFS('18'!$J$7:$J$100,'18'!$H$7:$H$100,$A315,'18'!$I$7:$I$100,2)+SUMIFS('18a'!$J$7:$J$100,'18a'!$H$7:$H$100,$A315,'18a'!$I$7:$I$100,2)
+SUMIFS('19'!$J$7:$J$100,'19'!$H$7:$H$100,$A315,'19'!$I$7:$I$100,2)+SUMIFS('20'!$J$7:$J$100,'20'!$H$7:$H$100,$A315,'20'!$I$7:$I$100,2)+SUMIFS('20a'!$J$7:$J$100,'20a'!$H$7:$H$100,$A315,'20a'!$I$7:$I$100,2)+SUMIFS('21'!$J$7:$J$100,'21'!$H$7:$H$100,$A315,'21'!$I$7:$I$100,2)+SUMIFS('22'!$J$7:$J$100,'22'!$H$7:$H$100,$A315,'22'!$I$7:$I$100,2)+SUMIFS('22a'!$J$7:$J$100,'22a'!$H$7:$H$100,$A315,'22a'!$I$7:$I$100,2)+SUMIFS('22b'!$J$7:$J$100,'22b'!$H$7:$H$100,$A315,'22b'!$I$7:$I$100,2)+SUMIFS('23'!$J$7:$J$100,'23'!$H$7:$H$100,$A315,'23'!$I$7:$I$100,2)+SUMIFS('24'!$J$7:$J$100,'24'!$H$7:$H$100,$A315,'24'!$I$7:$I$100,2)+SUMIFS('24a'!$J$7:$J$100,'24a'!$H$7:$H$100,$A315,'24a'!$I$7:$I$100,2)+SUMIFS('24b'!$J$7:$J$100,'24b'!$H$7:$H$100,$A315,'24b'!$I$7:$I$100,2)+SUMIFS('24c'!$J$7:$J$100,'24c'!$H$7:$H$100,$A315,'24c'!$I$7:$I$100,2)+SUMIFS('24d'!$J$7:$J$100,'24d'!$H$7:$H$100,$A315,'24d'!$I$7:$I$100,2)+SUMIFS('24e'!$J$7:$J$100,'24e'!$H$7:$H$100,$A315,'24e'!$I$7:$I$100,2)+SUMIFS('24f'!$J$7:$J$100,'24f'!$H$7:$H$100,$A315,'24f'!$I$7:$I$100,2)+SUMIFS('24g'!$J$7:$J$100,'24g'!$H$7:$H$100,$A315,'24g'!$I$7:$I$100,2)+SUMIFS('24h'!$J$7:$J$100,'24h'!$H$7:$H$100,$A315,'24h'!$I$7:$I$100,2)+SUMIFS('24i'!$J$7:$J$100,'24i'!$H$7:$H$100,$A315,'24i'!$I$7:$I$100,2)+SUMIFS('25'!$J$7:$J$100,'25'!$H$7:$H$100,$A315,'25'!$I$7:$I$100,2)+SUMIFS('26'!$J$7:$J$100,'26'!$H$7:$H$100,$A315,'26'!$I$7:$I$100,2)+SUMIFS('26a'!$J$7:$J$100,'26a'!$H$7:$H$100,$A315,'26a'!$I$7:$I$100,2)+SUMIFS('27'!$J$7:$J$100,'27'!$H$7:$H$100,$A315,'27'!$I$7:$I$100,2)+SUMIFS('27a'!$J$7:$J$100,'27a'!$H$7:$H$100,$A315,'27a'!$I$7:$I$100,2)+SUMIFS('28'!$J$7:$J$100,'28'!$H$7:$H$100,$A315,'28'!$I$7:$I$100,2)+SUMIFS('29'!$J$7:$J$100,'29'!$H$7:$H$100,$A315,'29'!$I$7:$I$100,2)</f>
        <v>0</v>
      </c>
      <c r="I315" s="1315">
        <f>SUMIFS('12'!$J$7:$J$100,'12'!$H$7:$H$100,$A315,'12'!$I$7:$I$100,"")+SUMIFS('13'!$J$7:$J$100,'13'!$H$7:$H$100,$A315,'13'!$I$7:$I$100,"")+SUMIFS('14'!$J$7:$J$100,'14'!$H$7:$H$100,$A315,'14'!$I$7:$I$100,"")+SUMIFS('15'!$J$7:$J$100,'15'!$H$7:$H$100,$A315,'15'!$I$7:$I$100,"")+SUMIFS('15a'!$J$7:$J$100,'15a'!$H$7:$H$100,$A315,'15a'!$I$7:$I$100,"")+SUMIFS('15b'!$J$7:$J$100,'15b'!$H$7:$H$100,$A315,'15b'!$I$7:$I$100,"")+SUMIFS('15c'!$J$7:$J$100,'15c'!$H$7:$H$100,$A315,'15c'!$I$7:$I$100,"")+SUMIFS('15d'!$J$7:$J$100,'15d'!$H$7:$H$100,$A315,'15d'!$I$7:$I$100,"")+SUMIFS('15e'!$J$7:$J$100,'15e'!$H$7:$H$100,$A315,'15e'!$I$7:$I$100,"")+SUMIFS('15f'!$J$7:$J$100,'15f'!$H$7:$H$100,$A315,'15f'!$I$7:$I$100,"")+SUMIFS('15g'!$J$7:$J$100,'15g'!$H$7:$H$100,$A315,'15g'!$I$7:$I$100,"")+SUMIFS('15h'!$J$7:$J$100,'15h'!$H$7:$H$100,$A315,'15h'!$I$7:$I$100,"")+SUMIFS('15i'!$J$7:$J$100,'15i'!$H$7:$H$100,$A315,'15i'!$I$7:$I$100,"")+SUMIFS('15j'!$J$7:$J$100,'15j'!$H$7:$H$100,$A315,'15j'!$I$7:$I$100,"")+SUMIFS('15k'!$J$7:$J$100,'15k'!$H$7:$H$100,$A315,'15k'!$I$7:$I$100,"")+SUMIFS('15l'!$J$7:$J$100,'15l'!$H$7:$H$100,$A315,'15l'!$I$7:$I$100,"")+SUMIFS('15m'!$J$7:$J$100,'15m'!$H$7:$H$100,$A315,'15m'!$I$7:$I$100,"")+SUMIFS('15n'!$J$7:$J$100,'15n'!$H$7:$H$100,$A315,'15n'!$I$7:$I$100,"")+SUMIFS('16'!$J$7:$J$100,'16'!$H$7:$H$100,$A315,'16'!$I$7:$I$100,"")+SUMIFS('16a'!$J$7:$J$100,'16a'!$H$7:$H$100,$A315,'16a'!$I$7:$I$100,"")+SUMIFS('17'!$J$7:$J$100,'17'!$H$7:$H$100,$A315,'17'!$I$7:$I$100,"")+SUMIFS('17a'!$J$7:$J$100,'17a'!$H$7:$H$100,$A315,'17a'!$I$7:$I$100,"")+SUMIFS('18'!$J$7:$J$100,'18'!$H$7:$H$100,$A315,'18'!$I$7:$I$100,"")+SUMIFS('18a'!$J$7:$J$100,'18a'!$H$7:$H$100,$A315,'18a'!$I$7:$I$100,"")
+SUMIFS('19'!$J$7:$J$100,'19'!$H$7:$H$100,$A315,'19'!$I$7:$I$100,"")+SUMIFS('20'!$J$7:$J$100,'20'!$H$7:$H$100,$A315,'20'!$I$7:$I$100,"")+SUMIFS('20a'!$J$7:$J$100,'20a'!$H$7:$H$100,$A315,'20a'!$I$7:$I$100,"")+SUMIFS('21'!$J$7:$J$100,'21'!$H$7:$H$100,$A315,'21'!$I$7:$I$100,"")+SUMIFS('22'!$J$7:$J$100,'22'!$H$7:$H$100,$A315,'22'!$I$7:$I$100,"")+SUMIFS('22a'!$J$7:$J$100,'22a'!$H$7:$H$100,$A315,'22a'!$I$7:$I$100,"")+SUMIFS('22b'!$J$7:$J$100,'22b'!$H$7:$H$100,$A315,'22b'!$I$7:$I$100,"")+SUMIFS('23'!$J$7:$J$100,'23'!$H$7:$H$100,$A315,'23'!$I$7:$I$100,"")+SUMIFS('24'!$J$7:$J$100,'24'!$H$7:$H$100,$A315,'24'!$I$7:$I$100,"")+SUMIFS('24a'!$J$7:$J$100,'24a'!$H$7:$H$100,$A315,'24a'!$I$7:$I$100,"")+SUMIFS('24b'!$J$7:$J$100,'24b'!$H$7:$H$100,$A315,'24b'!$I$7:$I$100,"")+SUMIFS('24c'!$J$7:$J$100,'24c'!$H$7:$H$100,$A315,'24c'!$I$7:$I$100,"")+SUMIFS('24d'!$J$7:$J$100,'24d'!$H$7:$H$100,$A315,'24d'!$I$7:$I$100,"")+SUMIFS('24e'!$J$7:$J$100,'24e'!$H$7:$H$100,$A315,'24e'!$I$7:$I$100,"")+SUMIFS('24f'!$J$7:$J$100,'24f'!$H$7:$H$100,$A315,'24f'!$I$7:$I$100,"")+SUMIFS('24g'!$J$7:$J$100,'24g'!$H$7:$H$100,$A315,'24g'!$I$7:$I$100,"")+SUMIFS('24h'!$J$7:$J$100,'24h'!$H$7:$H$100,$A315,'24h'!$I$7:$I$100,"")+SUMIFS('24i'!$J$7:$J$100,'24i'!$H$7:$H$100,$A315,'24i'!$I$7:$I$100,"")+SUMIFS('25'!$J$7:$J$100,'25'!$H$7:$H$100,$A315,'25'!$I$7:$I$100,"")+SUMIFS('26'!$J$7:$J$100,'26'!$H$7:$H$100,$A315,'26'!$I$7:$I$100,"")+SUMIFS('26a'!$J$7:$J$100,'26a'!$H$7:$H$100,$A315,'26a'!$I$7:$I$100,"")+SUMIFS('27'!$J$7:$J$100,'27'!$H$7:$H$100,$A315,'27'!$I$7:$I$100,"")+SUMIFS('27a'!$J$7:$J$100,'27a'!$H$7:$H$100,$A315,'27a'!$I$7:$I$100,"")+SUMIFS('28'!$J$7:$J$100,'28'!$H$7:$H$100,$A315,'28'!$I$7:$I$100,"")+SUMIFS('29'!$J$7:$J$100,'29'!$H$7:$H$100,$A315,'29'!$I$7:$I$100,"")</f>
        <v>0</v>
      </c>
      <c r="J315" s="1296">
        <f t="shared" ref="J315:J321" si="41">SUM(G315:I315)</f>
        <v>0</v>
      </c>
      <c r="K315"/>
      <c r="L315"/>
      <c r="M315"/>
      <c r="N315"/>
      <c r="O315"/>
      <c r="P315"/>
      <c r="Q315"/>
      <c r="R315"/>
      <c r="S315" s="1307">
        <f t="shared" si="30"/>
        <v>0</v>
      </c>
      <c r="T315"/>
    </row>
    <row r="316" spans="1:20" x14ac:dyDescent="0.2">
      <c r="A316" t="s">
        <v>5080</v>
      </c>
      <c r="B316" t="s">
        <v>5531</v>
      </c>
      <c r="C316" s="1295">
        <f>SUMIFS('12'!$N$7:$N$100,'12'!$H$7:$H$100,$A316,'12'!$I$7:$I$100,1)+SUMIFS('13'!$N$7:$N$100,'13'!$H$7:$H$100,$A316,'13'!$I$7:$I$100,1)+SUMIFS('14'!$N$7:$N$100,'14'!$H$7:$H$100,$A316,'14'!$I$7:$I$100,1)+SUMIFS('15'!$N$7:$N$100,'15'!$H$7:$H$100,$A316,'15'!$I$7:$I$100,1)+SUMIFS('15a'!$N$7:$N$100,'15a'!$H$7:$H$100,$A316,'15a'!$I$7:$I$100,1)+SUMIFS('15b'!$N$7:$N$100,'15b'!$H$7:$H$100,$A316,'15b'!$I$7:$I$100,1)+SUMIFS('15c'!$N$7:$N$100,'15c'!$H$7:$H$100,$A316,'15c'!$I$7:$I$100,1)+SUMIFS('15d'!$N$7:$N$100,'15d'!$H$7:$H$100,$A316,'15d'!$I$7:$I$100,1)+SUMIFS('15e'!$N$7:$N$100,'15e'!$H$7:$H$100,$A316,'15e'!$I$7:$I$100,1)+SUMIFS('15f'!$N$7:$N$100,'15f'!$H$7:$H$100,$A316,'15f'!$I$7:$I$100,1)+SUMIFS('15g'!$N$7:$N$100,'15g'!$H$7:$H$100,$A316,'15g'!$I$7:$I$100,1)+SUMIFS('15h'!$N$7:$N$100,'15h'!$H$7:$H$100,$A316,'15h'!$I$7:$I$100,1)+SUMIFS('15i'!$N$7:$N$100,'15i'!$H$7:$H$100,$A316,'15i'!$I$7:$I$100,1)+SUMIFS('15j'!$N$7:$N$100,'15j'!$H$7:$H$100,$A316,'15j'!$I$7:$I$100,1)+SUMIFS('15k'!$N$7:$N$100,'15k'!$H$7:$H$100,$A316,'15k'!$I$7:$I$100,1)+SUMIFS('15l'!$N$7:$N$100,'15l'!$H$7:$H$100,$A316,'15l'!$I$7:$I$100,1)+SUMIFS('15m'!$N$7:$N$100,'15m'!$H$7:$H$100,$A316,'15m'!$I$7:$I$100,1)+SUMIFS('15n'!$N$7:$N$100,'15n'!$H$7:$H$100,$A316,'15n'!$I$7:$I$100,1)+SUMIFS('16'!$N$7:$N$100,'16'!$H$7:$H$100,$A316,'16'!$I$7:$I$100,1)+SUMIFS('16a'!$N$7:$N$100,'16a'!$H$7:$H$100,$A316,'16a'!$I$7:$I$100,1)+SUMIFS('17'!$N$7:$N$100,'17'!$H$7:$H$100,$A316,'17'!$I$7:$I$100,1)+SUMIFS('17a'!$N$7:$N$100,'17a'!$H$7:$H$100,$A316,'17a'!$I$7:$I$100,1)+SUMIFS('18'!$N$7:$N$100,'18'!$H$7:$H$100,$A316,'18'!$I$7:$I$100,1)+SUMIFS('18a'!$N$7:$N$100,'18a'!$H$7:$H$100,$A316,'18a'!$I$7:$I$100,1)
+SUMIFS('19'!$N$7:$N$100,'19'!$H$7:$H$100,$A316,'19'!$I$7:$I$100,1)+SUMIFS('20'!$N$7:$N$100,'20'!$H$7:$H$100,$A316,'20'!$I$7:$I$100,1)+SUMIFS('20a'!$N$7:$N$100,'20a'!$H$7:$H$100,$A316,'20a'!$I$7:$I$100,1)+SUMIFS('21'!$N$7:$N$100,'21'!$H$7:$H$100,$A316,'21'!$I$7:$I$100,1)+SUMIFS('22'!$N$7:$N$100,'22'!$H$7:$H$100,$A316,'22'!$I$7:$I$100,1)+SUMIFS('22a'!$N$7:$N$100,'22a'!$H$7:$H$100,$A316,'22a'!$I$7:$I$100,1)+SUMIFS('22b'!$N$7:$N$100,'22b'!$H$7:$H$100,$A316,'22b'!$I$7:$I$100,1)+SUMIFS('23'!$N$7:$N$100,'23'!$H$7:$H$100,$A316,'23'!$I$7:$I$100,1)+SUMIFS('24'!$N$7:$N$100,'24'!$H$7:$H$100,$A316,'24'!$I$7:$I$100,1)+SUMIFS('24a'!$N$7:$N$100,'24a'!$H$7:$H$100,$A316,'24a'!$I$7:$I$100,1)+SUMIFS('24b'!$N$7:$N$100,'24b'!$H$7:$H$100,$A316,'24b'!$I$7:$I$100,1)+SUMIFS('24c'!$N$7:$N$100,'24c'!$H$7:$H$100,$A316,'24c'!$I$7:$I$100,1)+SUMIFS('24d'!$N$7:$N$100,'24d'!$H$7:$H$100,$A316,'24d'!$I$7:$I$100,1)+SUMIFS('24e'!$N$7:$N$100,'24e'!$H$7:$H$100,$A316,'24e'!$I$7:$I$100,1)+SUMIFS('24f'!$N$7:$N$100,'24f'!$H$7:$H$100,$A316,'24f'!$I$7:$I$100,1)+SUMIFS('24g'!$N$7:$N$100,'24g'!$H$7:$H$100,$A316,'24g'!$I$7:$I$100,1)+SUMIFS('24h'!$N$7:$N$100,'24h'!$H$7:$H$100,$A316,'24h'!$I$7:$I$100,1)+SUMIFS('24i'!$N$7:$N$100,'24i'!$H$7:$H$100,$A316,'24i'!$I$7:$I$100,1)+SUMIFS('25'!$N$7:$N$100,'25'!$H$7:$H$100,$A316,'25'!$I$7:$I$100,1)+SUMIFS('26'!$N$7:$N$100,'26'!$H$7:$H$100,$A316,'26'!$I$7:$I$100,1)+SUMIFS('26a'!$N$7:$N$100,'26a'!$H$7:$H$100,$A316,'26a'!$I$7:$I$100,1)+SUMIFS('27'!$N$7:$N$100,'27'!$H$7:$H$100,$A316,'27'!$I$7:$I$100,1)+SUMIFS('27a'!$N$7:$N$100,'27a'!$H$7:$H$100,$A316,'27a'!$I$7:$I$100,1)+SUMIFS('28'!$N$7:$N$100,'28'!$H$7:$H$100,$A316,'28'!$I$7:$I$100,1)+SUMIFS('29'!$N$7:$N$100,'29'!$H$7:$H$100,$A316,'29'!$I$7:$I$100,1)</f>
        <v>0</v>
      </c>
      <c r="D316" s="1315">
        <f>SUMIFS('12'!$N$7:$N$100,'12'!$H$7:$H$100,$A316,'12'!$I$7:$I$100,2)+SUMIFS('13'!$N$7:$N$100,'13'!$H$7:$H$100,$A316,'13'!$I$7:$I$100,2)+SUMIFS('14'!$N$7:$N$100,'14'!$H$7:$H$100,$A316,'14'!$I$7:$I$100,2)+SUMIFS('15'!$N$7:$N$100,'15'!$H$7:$H$100,$A316,'15'!$I$7:$I$100,2)+SUMIFS('15a'!$N$7:$N$100,'15a'!$H$7:$H$100,$A316,'15a'!$I$7:$I$100,2)+SUMIFS('15b'!$N$7:$N$100,'15b'!$H$7:$H$100,$A316,'15b'!$I$7:$I$100,2)+SUMIFS('15c'!$N$7:$N$100,'15c'!$H$7:$H$100,$A316,'15c'!$I$7:$I$100,2)+SUMIFS('15d'!$N$7:$N$100,'15d'!$H$7:$H$100,$A316,'15d'!$I$7:$I$100,2)+SUMIFS('15e'!$N$7:$N$100,'15e'!$H$7:$H$100,$A316,'15e'!$I$7:$I$100,2)+SUMIFS('15f'!$N$7:$N$100,'15f'!$H$7:$H$100,$A316,'15f'!$I$7:$I$100,2)+SUMIFS('15g'!$N$7:$N$100,'15g'!$H$7:$H$100,$A316,'15g'!$I$7:$I$100,2)+SUMIFS('15h'!$N$7:$N$100,'15h'!$H$7:$H$100,$A316,'15h'!$I$7:$I$100,2)+SUMIFS('15i'!$N$7:$N$100,'15i'!$H$7:$H$100,$A316,'15i'!$I$7:$I$100,2)+SUMIFS('15j'!$N$7:$N$100,'15j'!$H$7:$H$100,$A316,'15j'!$I$7:$I$100,2)+SUMIFS('15k'!$N$7:$N$100,'15k'!$H$7:$H$100,$A316,'15k'!$I$7:$I$100,2)+SUMIFS('15l'!$N$7:$N$100,'15l'!$H$7:$H$100,$A316,'15l'!$I$7:$I$100,2)+SUMIFS('15m'!$N$7:$N$100,'15m'!$H$7:$H$100,$A316,'15m'!$I$7:$I$100,2)+SUMIFS('15n'!$N$7:$N$100,'15n'!$H$7:$H$100,$A316,'15n'!$I$7:$I$100,2)+SUMIFS('16'!$N$7:$N$100,'16'!$H$7:$H$100,$A316,'16'!$I$7:$I$100,2)+SUMIFS('16a'!$N$7:$N$100,'16a'!$H$7:$H$100,$A316,'16a'!$I$7:$I$100,2)+SUMIFS('17'!$N$7:$N$100,'17'!$H$7:$H$100,$A316,'17'!$I$7:$I$100,2)+SUMIFS('17a'!$N$7:$N$100,'17a'!$H$7:$H$100,$A316,'17a'!$I$7:$I$100,2)+SUMIFS('18'!$N$7:$N$100,'18'!$H$7:$H$100,$A316,'18'!$I$7:$I$100,2)+SUMIFS('18a'!$N$7:$N$100,'18a'!$H$7:$H$100,$A316,'18a'!$I$7:$I$100,2)
+SUMIFS('19'!$N$7:$N$100,'19'!$H$7:$H$100,$A316,'19'!$I$7:$I$100,2)+SUMIFS('20'!$N$7:$N$100,'20'!$H$7:$H$100,$A316,'20'!$I$7:$I$100,2)+SUMIFS('20a'!$N$7:$N$100,'20a'!$H$7:$H$100,$A316,'20a'!$I$7:$I$100,2)+SUMIFS('21'!$N$7:$N$100,'21'!$H$7:$H$100,$A316,'21'!$I$7:$I$100,2)+SUMIFS('22'!$N$7:$N$100,'22'!$H$7:$H$100,$A316,'22'!$I$7:$I$100,2)+SUMIFS('22a'!$N$7:$N$100,'22a'!$H$7:$H$100,$A316,'22a'!$I$7:$I$100,2)+SUMIFS('22b'!$N$7:$N$100,'22b'!$H$7:$H$100,$A316,'22b'!$I$7:$I$100,2)+SUMIFS('23'!$N$7:$N$100,'23'!$H$7:$H$100,$A316,'23'!$I$7:$I$100,2)+SUMIFS('24'!$N$7:$N$100,'24'!$H$7:$H$100,$A316,'24'!$I$7:$I$100,2)+SUMIFS('24a'!$N$7:$N$100,'24a'!$H$7:$H$100,$A316,'24a'!$I$7:$I$100,2)+SUMIFS('24b'!$N$7:$N$100,'24b'!$H$7:$H$100,$A316,'24b'!$I$7:$I$100,2)+SUMIFS('24c'!$N$7:$N$100,'24c'!$H$7:$H$100,$A316,'24c'!$I$7:$I$100,2)+SUMIFS('24d'!$N$7:$N$100,'24d'!$H$7:$H$100,$A316,'24d'!$I$7:$I$100,2)+SUMIFS('24e'!$N$7:$N$100,'24e'!$H$7:$H$100,$A316,'24e'!$I$7:$I$100,2)+SUMIFS('24f'!$N$7:$N$100,'24f'!$H$7:$H$100,$A316,'24f'!$I$7:$I$100,2)+SUMIFS('24g'!$N$7:$N$100,'24g'!$H$7:$H$100,$A316,'24g'!$I$7:$I$100,2)+SUMIFS('24h'!$N$7:$N$100,'24h'!$H$7:$H$100,$A316,'24h'!$I$7:$I$100,2)+SUMIFS('24i'!$N$7:$N$100,'24i'!$H$7:$H$100,$A316,'24i'!$I$7:$I$100,2)+SUMIFS('25'!$N$7:$N$100,'25'!$H$7:$H$100,$A316,'25'!$I$7:$I$100,2)+SUMIFS('26'!$N$7:$N$100,'26'!$H$7:$H$100,$A316,'26'!$I$7:$I$100,2)+SUMIFS('26a'!$N$7:$N$100,'26a'!$H$7:$H$100,$A316,'26a'!$I$7:$I$100,2)+SUMIFS('27'!$N$7:$N$100,'27'!$H$7:$H$100,$A316,'27'!$I$7:$I$100,2)+SUMIFS('27a'!$N$7:$N$100,'27a'!$H$7:$H$100,$A316,'27a'!$I$7:$I$100,2)+SUMIFS('28'!$N$7:$N$100,'28'!$H$7:$H$100,$A316,'28'!$I$7:$I$100,2)+SUMIFS('29'!$N$7:$N$100,'29'!$H$7:$H$100,$A316,'29'!$I$7:$I$100,2)</f>
        <v>0</v>
      </c>
      <c r="E316" s="1315">
        <f>SUMIFS('12'!$N$7:$N$100,'12'!$H$7:$H$100,$A316,'12'!$I$7:$I$100,"")+SUMIFS('13'!$N$7:$N$100,'13'!$H$7:$H$100,$A316,'13'!$I$7:$I$100,"")+SUMIFS('14'!$N$7:$N$100,'14'!$H$7:$H$100,$A316,'14'!$I$7:$I$100,"")+SUMIFS('15'!$N$7:$N$100,'15'!$H$7:$H$100,$A316,'15'!$I$7:$I$100,"")+SUMIFS('15a'!$N$7:$N$100,'15a'!$H$7:$H$100,$A316,'15a'!$I$7:$I$100,"")+SUMIFS('15b'!$N$7:$N$100,'15b'!$H$7:$H$100,$A316,'15b'!$I$7:$I$100,"")+SUMIFS('15c'!$N$7:$N$100,'15c'!$H$7:$H$100,$A316,'15c'!$I$7:$I$100,"")+SUMIFS('15d'!$N$7:$N$100,'15d'!$H$7:$H$100,$A316,'15d'!$I$7:$I$100,"")+SUMIFS('15e'!$N$7:$N$100,'15e'!$H$7:$H$100,$A316,'15e'!$I$7:$I$100,"")+SUMIFS('15f'!$N$7:$N$100,'15f'!$H$7:$H$100,$A316,'15f'!$I$7:$I$100,"")+SUMIFS('15g'!$N$7:$N$100,'15g'!$H$7:$H$100,$A316,'15g'!$I$7:$I$100,"")+SUMIFS('15h'!$N$7:$N$100,'15h'!$H$7:$H$100,$A316,'15h'!$I$7:$I$100,"")+SUMIFS('15i'!$N$7:$N$100,'15i'!$H$7:$H$100,$A316,'15i'!$I$7:$I$100,"")+SUMIFS('15j'!$N$7:$N$100,'15j'!$H$7:$H$100,$A316,'15j'!$I$7:$I$100,"")+SUMIFS('15k'!$N$7:$N$100,'15k'!$H$7:$H$100,$A316,'15k'!$I$7:$I$100,"")+SUMIFS('15l'!$N$7:$N$100,'15l'!$H$7:$H$100,$A316,'15l'!$I$7:$I$100,"")+SUMIFS('15m'!$N$7:$N$100,'15m'!$H$7:$H$100,$A316,'15m'!$I$7:$I$100,"")+SUMIFS('15n'!$N$7:$N$100,'15n'!$H$7:$H$100,$A316,'15n'!$I$7:$I$100,"")+SUMIFS('16'!$N$7:$N$100,'16'!$H$7:$H$100,$A316,'16'!$I$7:$I$100,"")+SUMIFS('16a'!$N$7:$N$100,'16a'!$H$7:$H$100,$A316,'16a'!$I$7:$I$100,"")+SUMIFS('17'!$N$7:$N$100,'17'!$H$7:$H$100,$A316,'17'!$I$7:$I$100,"")+SUMIFS('17a'!$N$7:$N$100,'17a'!$H$7:$H$100,$A316,'17a'!$I$7:$I$100,"")+SUMIFS('18'!$N$7:$N$100,'18'!$H$7:$H$100,$A316,'18'!$I$7:$I$100,"")+SUMIFS('18a'!$N$7:$N$100,'18a'!$H$7:$H$100,$A316,'18a'!$I$7:$I$100,"")
+SUMIFS('19'!$N$7:$N$100,'19'!$H$7:$H$100,$A316,'19'!$I$7:$I$100,"")+SUMIFS('20'!$N$7:$N$100,'20'!$H$7:$H$100,$A316,'20'!$I$7:$I$100,"")+SUMIFS('20a'!$N$7:$N$100,'20a'!$H$7:$H$100,$A316,'20a'!$I$7:$I$100,"")+SUMIFS('21'!$N$7:$N$100,'21'!$H$7:$H$100,$A316,'21'!$I$7:$I$100,"")+SUMIFS('22'!$N$7:$N$100,'22'!$H$7:$H$100,$A316,'22'!$I$7:$I$100,"")+SUMIFS('22a'!$N$7:$N$100,'22a'!$H$7:$H$100,$A316,'22a'!$I$7:$I$100,"")+SUMIFS('22b'!$N$7:$N$100,'22b'!$H$7:$H$100,$A316,'22b'!$I$7:$I$100,"")+SUMIFS('23'!$N$7:$N$100,'23'!$H$7:$H$100,$A316,'23'!$I$7:$I$100,"")+SUMIFS('24'!$N$7:$N$100,'24'!$H$7:$H$100,$A316,'24'!$I$7:$I$100,"")+SUMIFS('24a'!$N$7:$N$100,'24a'!$H$7:$H$100,$A316,'24a'!$I$7:$I$100,"")+SUMIFS('24b'!$N$7:$N$100,'24b'!$H$7:$H$100,$A316,'24b'!$I$7:$I$100,"")+SUMIFS('24c'!$N$7:$N$100,'24c'!$H$7:$H$100,$A316,'24c'!$I$7:$I$100,"")+SUMIFS('24d'!$N$7:$N$100,'24d'!$H$7:$H$100,$A316,'24d'!$I$7:$I$100,"")+SUMIFS('24e'!$N$7:$N$100,'24e'!$H$7:$H$100,$A316,'24e'!$I$7:$I$100,"")+SUMIFS('24f'!$N$7:$N$100,'24f'!$H$7:$H$100,$A316,'24f'!$I$7:$I$100,"")+SUMIFS('24g'!$N$7:$N$100,'24g'!$H$7:$H$100,$A316,'24g'!$I$7:$I$100,"")+SUMIFS('24h'!$N$7:$N$100,'24h'!$H$7:$H$100,$A316,'24h'!$I$7:$I$100,"")+SUMIFS('24i'!$N$7:$N$100,'24i'!$H$7:$H$100,$A316,'24i'!$I$7:$I$100,"")+SUMIFS('25'!$N$7:$N$100,'25'!$H$7:$H$100,$A316,'25'!$I$7:$I$100,"")+SUMIFS('26'!$N$7:$N$100,'26'!$H$7:$H$100,$A316,'26'!$I$7:$I$100,"")+SUMIFS('26a'!$N$7:$N$100,'26a'!$H$7:$H$100,$A316,'26a'!$I$7:$I$100,"")+SUMIFS('27'!$N$7:$N$100,'27'!$H$7:$H$100,$A316,'27'!$I$7:$I$100,"")+SUMIFS('27a'!$N$7:$N$100,'27a'!$H$7:$H$100,$A316,'27a'!$I$7:$I$100,"")+SUMIFS('28'!$N$7:$N$100,'28'!$H$7:$H$100,$A316,'28'!$I$7:$I$100,"")+SUMIFS('29'!$N$7:$N$100,'29'!$H$7:$H$100,$A316,'29'!$I$7:$I$100,"")</f>
        <v>0</v>
      </c>
      <c r="F316" s="1296">
        <f t="shared" si="40"/>
        <v>0</v>
      </c>
      <c r="G316" s="1295">
        <f>SUMIFS('12'!$J$7:$J$100,'12'!$H$7:$H$100,$A316,'12'!$I$7:$I$100,1)+SUMIFS('13'!$J$7:$J$100,'13'!$H$7:$H$100,$A316,'13'!$I$7:$I$100,1)+SUMIFS('14'!$J$7:$J$100,'14'!$H$7:$H$100,$A316,'14'!$I$7:$I$100,1)+SUMIFS('15'!$J$7:$J$100,'15'!$H$7:$H$100,$A316,'15'!$I$7:$I$100,1)+SUMIFS('15a'!$J$7:$J$100,'15a'!$H$7:$H$100,$A316,'15a'!$I$7:$I$100,1)+SUMIFS('15b'!$J$7:$J$100,'15b'!$H$7:$H$100,$A316,'15b'!$I$7:$I$100,1)+SUMIFS('15c'!$J$7:$J$100,'15c'!$H$7:$H$100,$A316,'15c'!$I$7:$I$100,1)+SUMIFS('15d'!$J$7:$J$100,'15d'!$H$7:$H$100,$A316,'15d'!$I$7:$I$100,1)+SUMIFS('15e'!$J$7:$J$100,'15e'!$H$7:$H$100,$A316,'15e'!$I$7:$I$100,1)+SUMIFS('15f'!$J$7:$J$100,'15f'!$H$7:$H$100,$A316,'15f'!$I$7:$I$100,1)+SUMIFS('15g'!$J$7:$J$100,'15g'!$H$7:$H$100,$A316,'15g'!$I$7:$I$100,1)+SUMIFS('15h'!$J$7:$J$100,'15h'!$H$7:$H$100,$A316,'15h'!$I$7:$I$100,1)+SUMIFS('15i'!$J$7:$J$100,'15i'!$H$7:$H$100,$A316,'15i'!$I$7:$I$100,1)+SUMIFS('15j'!$J$7:$J$100,'15j'!$H$7:$H$100,$A316,'15j'!$I$7:$I$100,1)+SUMIFS('15k'!$J$7:$J$100,'15k'!$H$7:$H$100,$A316,'15k'!$I$7:$I$100,1)+SUMIFS('15l'!$J$7:$J$100,'15l'!$H$7:$H$100,$A316,'15l'!$I$7:$I$100,1)+SUMIFS('15m'!$J$7:$J$100,'15m'!$H$7:$H$100,$A316,'15m'!$I$7:$I$100,1)+SUMIFS('15n'!$J$7:$J$100,'15n'!$H$7:$H$100,$A316,'15n'!$I$7:$I$100,1)+SUMIFS('16'!$J$7:$J$100,'16'!$H$7:$H$100,$A316,'16'!$I$7:$I$100,1)+SUMIFS('16a'!$J$7:$J$100,'16a'!$H$7:$H$100,$A316,'16a'!$I$7:$I$100,1)+SUMIFS('17'!$J$7:$J$100,'17'!$H$7:$H$100,$A316,'17'!$I$7:$I$100,1)+SUMIFS('17a'!$J$7:$J$100,'17a'!$H$7:$H$100,$A316,'17a'!$I$7:$I$100,1)+SUMIFS('18'!$J$7:$J$100,'18'!$H$7:$H$100,$A316,'18'!$I$7:$I$100,1)+SUMIFS('18a'!$J$7:$J$100,'18a'!$H$7:$H$100,$A316,'18a'!$I$7:$I$100,1)
+SUMIFS('19'!$J$7:$J$100,'19'!$H$7:$H$100,$A316,'19'!$I$7:$I$100,1)+SUMIFS('20'!$J$7:$J$100,'20'!$H$7:$H$100,$A316,'20'!$I$7:$I$100,1)+SUMIFS('20a'!$J$7:$J$100,'20a'!$H$7:$H$100,$A316,'20a'!$I$7:$I$100,1)+SUMIFS('21'!$J$7:$J$100,'21'!$H$7:$H$100,$A316,'21'!$I$7:$I$100,1)+SUMIFS('22'!$J$7:$J$100,'22'!$H$7:$H$100,$A316,'22'!$I$7:$I$100,1)+SUMIFS('22a'!$J$7:$J$100,'22a'!$H$7:$H$100,$A316,'22a'!$I$7:$I$100,1)+SUMIFS('22b'!$J$7:$J$100,'22b'!$H$7:$H$100,$A316,'22b'!$I$7:$I$100,1)+SUMIFS('23'!$J$7:$J$100,'23'!$H$7:$H$100,$A316,'23'!$I$7:$I$100,1)+SUMIFS('24'!$J$7:$J$100,'24'!$H$7:$H$100,$A316,'24'!$I$7:$I$100,1)+SUMIFS('24a'!$J$7:$J$100,'24a'!$H$7:$H$100,$A316,'24a'!$I$7:$I$100,1)+SUMIFS('24b'!$J$7:$J$100,'24b'!$H$7:$H$100,$A316,'24b'!$I$7:$I$100,1)+SUMIFS('24c'!$J$7:$J$100,'24c'!$H$7:$H$100,$A316,'24c'!$I$7:$I$100,1)+SUMIFS('24d'!$J$7:$J$100,'24d'!$H$7:$H$100,$A316,'24d'!$I$7:$I$100,1)+SUMIFS('24e'!$J$7:$J$100,'24e'!$H$7:$H$100,$A316,'24e'!$I$7:$I$100,1)+SUMIFS('24f'!$J$7:$J$100,'24f'!$H$7:$H$100,$A316,'24f'!$I$7:$I$100,1)+SUMIFS('24g'!$J$7:$J$100,'24g'!$H$7:$H$100,$A316,'24g'!$I$7:$I$100,1)+SUMIFS('24h'!$J$7:$J$100,'24h'!$H$7:$H$100,$A316,'24h'!$I$7:$I$100,1)+SUMIFS('24i'!$J$7:$J$100,'24i'!$H$7:$H$100,$A316,'24i'!$I$7:$I$100,1)+SUMIFS('25'!$J$7:$J$100,'25'!$H$7:$H$100,$A316,'25'!$I$7:$I$100,1)+SUMIFS('26'!$J$7:$J$100,'26'!$H$7:$H$100,$A316,'26'!$I$7:$I$100,1)+SUMIFS('26a'!$J$7:$J$100,'26a'!$H$7:$H$100,$A316,'26a'!$I$7:$I$100,1)+SUMIFS('27'!$J$7:$J$100,'27'!$H$7:$H$100,$A316,'27'!$I$7:$I$100,1)+SUMIFS('27a'!$J$7:$J$100,'27a'!$H$7:$H$100,$A316,'27a'!$I$7:$I$100,1)+SUMIFS('28'!$J$7:$J$100,'28'!$H$7:$H$100,$A316,'28'!$I$7:$I$100,1)+SUMIFS('29'!$J$7:$J$100,'29'!$H$7:$H$100,$A316,'29'!$I$7:$I$100,1)</f>
        <v>0</v>
      </c>
      <c r="H316" s="1315">
        <f>SUMIFS('12'!$J$7:$J$100,'12'!$H$7:$H$100,$A316,'12'!$I$7:$I$100,2)+SUMIFS('13'!$J$7:$J$100,'13'!$H$7:$H$100,$A316,'13'!$I$7:$I$100,2)+SUMIFS('14'!$J$7:$J$100,'14'!$H$7:$H$100,$A316,'14'!$I$7:$I$100,2)+SUMIFS('15'!$J$7:$J$100,'15'!$H$7:$H$100,$A316,'15'!$I$7:$I$100,2)+SUMIFS('15a'!$J$7:$J$100,'15a'!$H$7:$H$100,$A316,'15a'!$I$7:$I$100,2)+SUMIFS('15b'!$J$7:$J$100,'15b'!$H$7:$H$100,$A316,'15b'!$I$7:$I$100,2)+SUMIFS('15c'!$J$7:$J$100,'15c'!$H$7:$H$100,$A316,'15c'!$I$7:$I$100,2)+SUMIFS('15d'!$J$7:$J$100,'15d'!$H$7:$H$100,$A316,'15d'!$I$7:$I$100,2)+SUMIFS('15e'!$J$7:$J$100,'15e'!$H$7:$H$100,$A316,'15e'!$I$7:$I$100,2)+SUMIFS('15f'!$J$7:$J$100,'15f'!$H$7:$H$100,$A316,'15f'!$I$7:$I$100,2)+SUMIFS('15g'!$J$7:$J$100,'15g'!$H$7:$H$100,$A316,'15g'!$I$7:$I$100,2)+SUMIFS('15h'!$J$7:$J$100,'15h'!$H$7:$H$100,$A316,'15h'!$I$7:$I$100,2)+SUMIFS('15i'!$J$7:$J$100,'15i'!$H$7:$H$100,$A316,'15i'!$I$7:$I$100,2)+SUMIFS('15j'!$J$7:$J$100,'15j'!$H$7:$H$100,$A316,'15j'!$I$7:$I$100,2)+SUMIFS('15k'!$J$7:$J$100,'15k'!$H$7:$H$100,$A316,'15k'!$I$7:$I$100,2)+SUMIFS('15l'!$J$7:$J$100,'15l'!$H$7:$H$100,$A316,'15l'!$I$7:$I$100,2)+SUMIFS('15m'!$J$7:$J$100,'15m'!$H$7:$H$100,$A316,'15m'!$I$7:$I$100,2)+SUMIFS('15n'!$J$7:$J$100,'15n'!$H$7:$H$100,$A316,'15n'!$I$7:$I$100,2)+SUMIFS('16'!$J$7:$J$100,'16'!$H$7:$H$100,$A316,'16'!$I$7:$I$100,2)+SUMIFS('16a'!$J$7:$J$100,'16a'!$H$7:$H$100,$A316,'16a'!$I$7:$I$100,2)+SUMIFS('17'!$J$7:$J$100,'17'!$H$7:$H$100,$A316,'17'!$I$7:$I$100,2)+SUMIFS('17a'!$J$7:$J$100,'17a'!$H$7:$H$100,$A316,'17a'!$I$7:$I$100,2)+SUMIFS('18'!$J$7:$J$100,'18'!$H$7:$H$100,$A316,'18'!$I$7:$I$100,2)+SUMIFS('18a'!$J$7:$J$100,'18a'!$H$7:$H$100,$A316,'18a'!$I$7:$I$100,2)
+SUMIFS('19'!$J$7:$J$100,'19'!$H$7:$H$100,$A316,'19'!$I$7:$I$100,2)+SUMIFS('20'!$J$7:$J$100,'20'!$H$7:$H$100,$A316,'20'!$I$7:$I$100,2)+SUMIFS('20a'!$J$7:$J$100,'20a'!$H$7:$H$100,$A316,'20a'!$I$7:$I$100,2)+SUMIFS('21'!$J$7:$J$100,'21'!$H$7:$H$100,$A316,'21'!$I$7:$I$100,2)+SUMIFS('22'!$J$7:$J$100,'22'!$H$7:$H$100,$A316,'22'!$I$7:$I$100,2)+SUMIFS('22a'!$J$7:$J$100,'22a'!$H$7:$H$100,$A316,'22a'!$I$7:$I$100,2)+SUMIFS('22b'!$J$7:$J$100,'22b'!$H$7:$H$100,$A316,'22b'!$I$7:$I$100,2)+SUMIFS('23'!$J$7:$J$100,'23'!$H$7:$H$100,$A316,'23'!$I$7:$I$100,2)+SUMIFS('24'!$J$7:$J$100,'24'!$H$7:$H$100,$A316,'24'!$I$7:$I$100,2)+SUMIFS('24a'!$J$7:$J$100,'24a'!$H$7:$H$100,$A316,'24a'!$I$7:$I$100,2)+SUMIFS('24b'!$J$7:$J$100,'24b'!$H$7:$H$100,$A316,'24b'!$I$7:$I$100,2)+SUMIFS('24c'!$J$7:$J$100,'24c'!$H$7:$H$100,$A316,'24c'!$I$7:$I$100,2)+SUMIFS('24d'!$J$7:$J$100,'24d'!$H$7:$H$100,$A316,'24d'!$I$7:$I$100,2)+SUMIFS('24e'!$J$7:$J$100,'24e'!$H$7:$H$100,$A316,'24e'!$I$7:$I$100,2)+SUMIFS('24f'!$J$7:$J$100,'24f'!$H$7:$H$100,$A316,'24f'!$I$7:$I$100,2)+SUMIFS('24g'!$J$7:$J$100,'24g'!$H$7:$H$100,$A316,'24g'!$I$7:$I$100,2)+SUMIFS('24h'!$J$7:$J$100,'24h'!$H$7:$H$100,$A316,'24h'!$I$7:$I$100,2)+SUMIFS('24i'!$J$7:$J$100,'24i'!$H$7:$H$100,$A316,'24i'!$I$7:$I$100,2)+SUMIFS('25'!$J$7:$J$100,'25'!$H$7:$H$100,$A316,'25'!$I$7:$I$100,2)+SUMIFS('26'!$J$7:$J$100,'26'!$H$7:$H$100,$A316,'26'!$I$7:$I$100,2)+SUMIFS('26a'!$J$7:$J$100,'26a'!$H$7:$H$100,$A316,'26a'!$I$7:$I$100,2)+SUMIFS('27'!$J$7:$J$100,'27'!$H$7:$H$100,$A316,'27'!$I$7:$I$100,2)+SUMIFS('27a'!$J$7:$J$100,'27a'!$H$7:$H$100,$A316,'27a'!$I$7:$I$100,2)+SUMIFS('28'!$J$7:$J$100,'28'!$H$7:$H$100,$A316,'28'!$I$7:$I$100,2)+SUMIFS('29'!$J$7:$J$100,'29'!$H$7:$H$100,$A316,'29'!$I$7:$I$100,2)</f>
        <v>500</v>
      </c>
      <c r="I316" s="1315">
        <f>SUMIFS('12'!$J$7:$J$100,'12'!$H$7:$H$100,$A316,'12'!$I$7:$I$100,"")+SUMIFS('13'!$J$7:$J$100,'13'!$H$7:$H$100,$A316,'13'!$I$7:$I$100,"")+SUMIFS('14'!$J$7:$J$100,'14'!$H$7:$H$100,$A316,'14'!$I$7:$I$100,"")+SUMIFS('15'!$J$7:$J$100,'15'!$H$7:$H$100,$A316,'15'!$I$7:$I$100,"")+SUMIFS('15a'!$J$7:$J$100,'15a'!$H$7:$H$100,$A316,'15a'!$I$7:$I$100,"")+SUMIFS('15b'!$J$7:$J$100,'15b'!$H$7:$H$100,$A316,'15b'!$I$7:$I$100,"")+SUMIFS('15c'!$J$7:$J$100,'15c'!$H$7:$H$100,$A316,'15c'!$I$7:$I$100,"")+SUMIFS('15d'!$J$7:$J$100,'15d'!$H$7:$H$100,$A316,'15d'!$I$7:$I$100,"")+SUMIFS('15e'!$J$7:$J$100,'15e'!$H$7:$H$100,$A316,'15e'!$I$7:$I$100,"")+SUMIFS('15f'!$J$7:$J$100,'15f'!$H$7:$H$100,$A316,'15f'!$I$7:$I$100,"")+SUMIFS('15g'!$J$7:$J$100,'15g'!$H$7:$H$100,$A316,'15g'!$I$7:$I$100,"")+SUMIFS('15h'!$J$7:$J$100,'15h'!$H$7:$H$100,$A316,'15h'!$I$7:$I$100,"")+SUMIFS('15i'!$J$7:$J$100,'15i'!$H$7:$H$100,$A316,'15i'!$I$7:$I$100,"")+SUMIFS('15j'!$J$7:$J$100,'15j'!$H$7:$H$100,$A316,'15j'!$I$7:$I$100,"")+SUMIFS('15k'!$J$7:$J$100,'15k'!$H$7:$H$100,$A316,'15k'!$I$7:$I$100,"")+SUMIFS('15l'!$J$7:$J$100,'15l'!$H$7:$H$100,$A316,'15l'!$I$7:$I$100,"")+SUMIFS('15m'!$J$7:$J$100,'15m'!$H$7:$H$100,$A316,'15m'!$I$7:$I$100,"")+SUMIFS('15n'!$J$7:$J$100,'15n'!$H$7:$H$100,$A316,'15n'!$I$7:$I$100,"")+SUMIFS('16'!$J$7:$J$100,'16'!$H$7:$H$100,$A316,'16'!$I$7:$I$100,"")+SUMIFS('16a'!$J$7:$J$100,'16a'!$H$7:$H$100,$A316,'16a'!$I$7:$I$100,"")+SUMIFS('17'!$J$7:$J$100,'17'!$H$7:$H$100,$A316,'17'!$I$7:$I$100,"")+SUMIFS('17a'!$J$7:$J$100,'17a'!$H$7:$H$100,$A316,'17a'!$I$7:$I$100,"")+SUMIFS('18'!$J$7:$J$100,'18'!$H$7:$H$100,$A316,'18'!$I$7:$I$100,"")+SUMIFS('18a'!$J$7:$J$100,'18a'!$H$7:$H$100,$A316,'18a'!$I$7:$I$100,"")
+SUMIFS('19'!$J$7:$J$100,'19'!$H$7:$H$100,$A316,'19'!$I$7:$I$100,"")+SUMIFS('20'!$J$7:$J$100,'20'!$H$7:$H$100,$A316,'20'!$I$7:$I$100,"")+SUMIFS('20a'!$J$7:$J$100,'20a'!$H$7:$H$100,$A316,'20a'!$I$7:$I$100,"")+SUMIFS('21'!$J$7:$J$100,'21'!$H$7:$H$100,$A316,'21'!$I$7:$I$100,"")+SUMIFS('22'!$J$7:$J$100,'22'!$H$7:$H$100,$A316,'22'!$I$7:$I$100,"")+SUMIFS('22a'!$J$7:$J$100,'22a'!$H$7:$H$100,$A316,'22a'!$I$7:$I$100,"")+SUMIFS('22b'!$J$7:$J$100,'22b'!$H$7:$H$100,$A316,'22b'!$I$7:$I$100,"")+SUMIFS('23'!$J$7:$J$100,'23'!$H$7:$H$100,$A316,'23'!$I$7:$I$100,"")+SUMIFS('24'!$J$7:$J$100,'24'!$H$7:$H$100,$A316,'24'!$I$7:$I$100,"")+SUMIFS('24a'!$J$7:$J$100,'24a'!$H$7:$H$100,$A316,'24a'!$I$7:$I$100,"")+SUMIFS('24b'!$J$7:$J$100,'24b'!$H$7:$H$100,$A316,'24b'!$I$7:$I$100,"")+SUMIFS('24c'!$J$7:$J$100,'24c'!$H$7:$H$100,$A316,'24c'!$I$7:$I$100,"")+SUMIFS('24d'!$J$7:$J$100,'24d'!$H$7:$H$100,$A316,'24d'!$I$7:$I$100,"")+SUMIFS('24e'!$J$7:$J$100,'24e'!$H$7:$H$100,$A316,'24e'!$I$7:$I$100,"")+SUMIFS('24f'!$J$7:$J$100,'24f'!$H$7:$H$100,$A316,'24f'!$I$7:$I$100,"")+SUMIFS('24g'!$J$7:$J$100,'24g'!$H$7:$H$100,$A316,'24g'!$I$7:$I$100,"")+SUMIFS('24h'!$J$7:$J$100,'24h'!$H$7:$H$100,$A316,'24h'!$I$7:$I$100,"")+SUMIFS('24i'!$J$7:$J$100,'24i'!$H$7:$H$100,$A316,'24i'!$I$7:$I$100,"")+SUMIFS('25'!$J$7:$J$100,'25'!$H$7:$H$100,$A316,'25'!$I$7:$I$100,"")+SUMIFS('26'!$J$7:$J$100,'26'!$H$7:$H$100,$A316,'26'!$I$7:$I$100,"")+SUMIFS('26a'!$J$7:$J$100,'26a'!$H$7:$H$100,$A316,'26a'!$I$7:$I$100,"")+SUMIFS('27'!$J$7:$J$100,'27'!$H$7:$H$100,$A316,'27'!$I$7:$I$100,"")+SUMIFS('27a'!$J$7:$J$100,'27a'!$H$7:$H$100,$A316,'27a'!$I$7:$I$100,"")+SUMIFS('28'!$J$7:$J$100,'28'!$H$7:$H$100,$A316,'28'!$I$7:$I$100,"")+SUMIFS('29'!$J$7:$J$100,'29'!$H$7:$H$100,$A316,'29'!$I$7:$I$100,"")</f>
        <v>0</v>
      </c>
      <c r="J316" s="1296">
        <f t="shared" si="41"/>
        <v>500</v>
      </c>
      <c r="K316"/>
      <c r="L316"/>
      <c r="M316"/>
      <c r="N316"/>
      <c r="O316"/>
      <c r="P316"/>
      <c r="Q316"/>
      <c r="R316"/>
      <c r="S316" s="1307">
        <f t="shared" si="30"/>
        <v>1000</v>
      </c>
      <c r="T316"/>
    </row>
    <row r="317" spans="1:20" x14ac:dyDescent="0.2">
      <c r="A317" t="s">
        <v>5087</v>
      </c>
      <c r="B317" t="s">
        <v>5532</v>
      </c>
      <c r="C317" s="1295">
        <f>SUMIFS('12'!$N$7:$N$100,'12'!$H$7:$H$100,$A317,'12'!$I$7:$I$100,1)+SUMIFS('13'!$N$7:$N$100,'13'!$H$7:$H$100,$A317,'13'!$I$7:$I$100,1)+SUMIFS('14'!$N$7:$N$100,'14'!$H$7:$H$100,$A317,'14'!$I$7:$I$100,1)+SUMIFS('15'!$N$7:$N$100,'15'!$H$7:$H$100,$A317,'15'!$I$7:$I$100,1)+SUMIFS('15a'!$N$7:$N$100,'15a'!$H$7:$H$100,$A317,'15a'!$I$7:$I$100,1)+SUMIFS('15b'!$N$7:$N$100,'15b'!$H$7:$H$100,$A317,'15b'!$I$7:$I$100,1)+SUMIFS('15c'!$N$7:$N$100,'15c'!$H$7:$H$100,$A317,'15c'!$I$7:$I$100,1)+SUMIFS('15d'!$N$7:$N$100,'15d'!$H$7:$H$100,$A317,'15d'!$I$7:$I$100,1)+SUMIFS('15e'!$N$7:$N$100,'15e'!$H$7:$H$100,$A317,'15e'!$I$7:$I$100,1)+SUMIFS('15f'!$N$7:$N$100,'15f'!$H$7:$H$100,$A317,'15f'!$I$7:$I$100,1)+SUMIFS('15g'!$N$7:$N$100,'15g'!$H$7:$H$100,$A317,'15g'!$I$7:$I$100,1)+SUMIFS('15h'!$N$7:$N$100,'15h'!$H$7:$H$100,$A317,'15h'!$I$7:$I$100,1)+SUMIFS('15i'!$N$7:$N$100,'15i'!$H$7:$H$100,$A317,'15i'!$I$7:$I$100,1)+SUMIFS('15j'!$N$7:$N$100,'15j'!$H$7:$H$100,$A317,'15j'!$I$7:$I$100,1)+SUMIFS('15k'!$N$7:$N$100,'15k'!$H$7:$H$100,$A317,'15k'!$I$7:$I$100,1)+SUMIFS('15l'!$N$7:$N$100,'15l'!$H$7:$H$100,$A317,'15l'!$I$7:$I$100,1)+SUMIFS('15m'!$N$7:$N$100,'15m'!$H$7:$H$100,$A317,'15m'!$I$7:$I$100,1)+SUMIFS('15n'!$N$7:$N$100,'15n'!$H$7:$H$100,$A317,'15n'!$I$7:$I$100,1)+SUMIFS('16'!$N$7:$N$100,'16'!$H$7:$H$100,$A317,'16'!$I$7:$I$100,1)+SUMIFS('16a'!$N$7:$N$100,'16a'!$H$7:$H$100,$A317,'16a'!$I$7:$I$100,1)+SUMIFS('17'!$N$7:$N$100,'17'!$H$7:$H$100,$A317,'17'!$I$7:$I$100,1)+SUMIFS('17a'!$N$7:$N$100,'17a'!$H$7:$H$100,$A317,'17a'!$I$7:$I$100,1)+SUMIFS('18'!$N$7:$N$100,'18'!$H$7:$H$100,$A317,'18'!$I$7:$I$100,1)+SUMIFS('18a'!$N$7:$N$100,'18a'!$H$7:$H$100,$A317,'18a'!$I$7:$I$100,1)
+SUMIFS('19'!$N$7:$N$100,'19'!$H$7:$H$100,$A317,'19'!$I$7:$I$100,1)+SUMIFS('20'!$N$7:$N$100,'20'!$H$7:$H$100,$A317,'20'!$I$7:$I$100,1)+SUMIFS('20a'!$N$7:$N$100,'20a'!$H$7:$H$100,$A317,'20a'!$I$7:$I$100,1)+SUMIFS('21'!$N$7:$N$100,'21'!$H$7:$H$100,$A317,'21'!$I$7:$I$100,1)+SUMIFS('22'!$N$7:$N$100,'22'!$H$7:$H$100,$A317,'22'!$I$7:$I$100,1)+SUMIFS('22a'!$N$7:$N$100,'22a'!$H$7:$H$100,$A317,'22a'!$I$7:$I$100,1)+SUMIFS('22b'!$N$7:$N$100,'22b'!$H$7:$H$100,$A317,'22b'!$I$7:$I$100,1)+SUMIFS('23'!$N$7:$N$100,'23'!$H$7:$H$100,$A317,'23'!$I$7:$I$100,1)+SUMIFS('24'!$N$7:$N$100,'24'!$H$7:$H$100,$A317,'24'!$I$7:$I$100,1)+SUMIFS('24a'!$N$7:$N$100,'24a'!$H$7:$H$100,$A317,'24a'!$I$7:$I$100,1)+SUMIFS('24b'!$N$7:$N$100,'24b'!$H$7:$H$100,$A317,'24b'!$I$7:$I$100,1)+SUMIFS('24c'!$N$7:$N$100,'24c'!$H$7:$H$100,$A317,'24c'!$I$7:$I$100,1)+SUMIFS('24d'!$N$7:$N$100,'24d'!$H$7:$H$100,$A317,'24d'!$I$7:$I$100,1)+SUMIFS('24e'!$N$7:$N$100,'24e'!$H$7:$H$100,$A317,'24e'!$I$7:$I$100,1)+SUMIFS('24f'!$N$7:$N$100,'24f'!$H$7:$H$100,$A317,'24f'!$I$7:$I$100,1)+SUMIFS('24g'!$N$7:$N$100,'24g'!$H$7:$H$100,$A317,'24g'!$I$7:$I$100,1)+SUMIFS('24h'!$N$7:$N$100,'24h'!$H$7:$H$100,$A317,'24h'!$I$7:$I$100,1)+SUMIFS('24i'!$N$7:$N$100,'24i'!$H$7:$H$100,$A317,'24i'!$I$7:$I$100,1)+SUMIFS('25'!$N$7:$N$100,'25'!$H$7:$H$100,$A317,'25'!$I$7:$I$100,1)+SUMIFS('26'!$N$7:$N$100,'26'!$H$7:$H$100,$A317,'26'!$I$7:$I$100,1)+SUMIFS('26a'!$N$7:$N$100,'26a'!$H$7:$H$100,$A317,'26a'!$I$7:$I$100,1)+SUMIFS('27'!$N$7:$N$100,'27'!$H$7:$H$100,$A317,'27'!$I$7:$I$100,1)+SUMIFS('27a'!$N$7:$N$100,'27a'!$H$7:$H$100,$A317,'27a'!$I$7:$I$100,1)+SUMIFS('28'!$N$7:$N$100,'28'!$H$7:$H$100,$A317,'28'!$I$7:$I$100,1)+SUMIFS('29'!$N$7:$N$100,'29'!$H$7:$H$100,$A317,'29'!$I$7:$I$100,1)</f>
        <v>0</v>
      </c>
      <c r="D317" s="1315">
        <f>SUMIFS('12'!$N$7:$N$100,'12'!$H$7:$H$100,$A317,'12'!$I$7:$I$100,2)+SUMIFS('13'!$N$7:$N$100,'13'!$H$7:$H$100,$A317,'13'!$I$7:$I$100,2)+SUMIFS('14'!$N$7:$N$100,'14'!$H$7:$H$100,$A317,'14'!$I$7:$I$100,2)+SUMIFS('15'!$N$7:$N$100,'15'!$H$7:$H$100,$A317,'15'!$I$7:$I$100,2)+SUMIFS('15a'!$N$7:$N$100,'15a'!$H$7:$H$100,$A317,'15a'!$I$7:$I$100,2)+SUMIFS('15b'!$N$7:$N$100,'15b'!$H$7:$H$100,$A317,'15b'!$I$7:$I$100,2)+SUMIFS('15c'!$N$7:$N$100,'15c'!$H$7:$H$100,$A317,'15c'!$I$7:$I$100,2)+SUMIFS('15d'!$N$7:$N$100,'15d'!$H$7:$H$100,$A317,'15d'!$I$7:$I$100,2)+SUMIFS('15e'!$N$7:$N$100,'15e'!$H$7:$H$100,$A317,'15e'!$I$7:$I$100,2)+SUMIFS('15f'!$N$7:$N$100,'15f'!$H$7:$H$100,$A317,'15f'!$I$7:$I$100,2)+SUMIFS('15g'!$N$7:$N$100,'15g'!$H$7:$H$100,$A317,'15g'!$I$7:$I$100,2)+SUMIFS('15h'!$N$7:$N$100,'15h'!$H$7:$H$100,$A317,'15h'!$I$7:$I$100,2)+SUMIFS('15i'!$N$7:$N$100,'15i'!$H$7:$H$100,$A317,'15i'!$I$7:$I$100,2)+SUMIFS('15j'!$N$7:$N$100,'15j'!$H$7:$H$100,$A317,'15j'!$I$7:$I$100,2)+SUMIFS('15k'!$N$7:$N$100,'15k'!$H$7:$H$100,$A317,'15k'!$I$7:$I$100,2)+SUMIFS('15l'!$N$7:$N$100,'15l'!$H$7:$H$100,$A317,'15l'!$I$7:$I$100,2)+SUMIFS('15m'!$N$7:$N$100,'15m'!$H$7:$H$100,$A317,'15m'!$I$7:$I$100,2)+SUMIFS('15n'!$N$7:$N$100,'15n'!$H$7:$H$100,$A317,'15n'!$I$7:$I$100,2)+SUMIFS('16'!$N$7:$N$100,'16'!$H$7:$H$100,$A317,'16'!$I$7:$I$100,2)+SUMIFS('16a'!$N$7:$N$100,'16a'!$H$7:$H$100,$A317,'16a'!$I$7:$I$100,2)+SUMIFS('17'!$N$7:$N$100,'17'!$H$7:$H$100,$A317,'17'!$I$7:$I$100,2)+SUMIFS('17a'!$N$7:$N$100,'17a'!$H$7:$H$100,$A317,'17a'!$I$7:$I$100,2)+SUMIFS('18'!$N$7:$N$100,'18'!$H$7:$H$100,$A317,'18'!$I$7:$I$100,2)+SUMIFS('18a'!$N$7:$N$100,'18a'!$H$7:$H$100,$A317,'18a'!$I$7:$I$100,2)
+SUMIFS('19'!$N$7:$N$100,'19'!$H$7:$H$100,$A317,'19'!$I$7:$I$100,2)+SUMIFS('20'!$N$7:$N$100,'20'!$H$7:$H$100,$A317,'20'!$I$7:$I$100,2)+SUMIFS('20a'!$N$7:$N$100,'20a'!$H$7:$H$100,$A317,'20a'!$I$7:$I$100,2)+SUMIFS('21'!$N$7:$N$100,'21'!$H$7:$H$100,$A317,'21'!$I$7:$I$100,2)+SUMIFS('22'!$N$7:$N$100,'22'!$H$7:$H$100,$A317,'22'!$I$7:$I$100,2)+SUMIFS('22a'!$N$7:$N$100,'22a'!$H$7:$H$100,$A317,'22a'!$I$7:$I$100,2)+SUMIFS('22b'!$N$7:$N$100,'22b'!$H$7:$H$100,$A317,'22b'!$I$7:$I$100,2)+SUMIFS('23'!$N$7:$N$100,'23'!$H$7:$H$100,$A317,'23'!$I$7:$I$100,2)+SUMIFS('24'!$N$7:$N$100,'24'!$H$7:$H$100,$A317,'24'!$I$7:$I$100,2)+SUMIFS('24a'!$N$7:$N$100,'24a'!$H$7:$H$100,$A317,'24a'!$I$7:$I$100,2)+SUMIFS('24b'!$N$7:$N$100,'24b'!$H$7:$H$100,$A317,'24b'!$I$7:$I$100,2)+SUMIFS('24c'!$N$7:$N$100,'24c'!$H$7:$H$100,$A317,'24c'!$I$7:$I$100,2)+SUMIFS('24d'!$N$7:$N$100,'24d'!$H$7:$H$100,$A317,'24d'!$I$7:$I$100,2)+SUMIFS('24e'!$N$7:$N$100,'24e'!$H$7:$H$100,$A317,'24e'!$I$7:$I$100,2)+SUMIFS('24f'!$N$7:$N$100,'24f'!$H$7:$H$100,$A317,'24f'!$I$7:$I$100,2)+SUMIFS('24g'!$N$7:$N$100,'24g'!$H$7:$H$100,$A317,'24g'!$I$7:$I$100,2)+SUMIFS('24h'!$N$7:$N$100,'24h'!$H$7:$H$100,$A317,'24h'!$I$7:$I$100,2)+SUMIFS('24i'!$N$7:$N$100,'24i'!$H$7:$H$100,$A317,'24i'!$I$7:$I$100,2)+SUMIFS('25'!$N$7:$N$100,'25'!$H$7:$H$100,$A317,'25'!$I$7:$I$100,2)+SUMIFS('26'!$N$7:$N$100,'26'!$H$7:$H$100,$A317,'26'!$I$7:$I$100,2)+SUMIFS('26a'!$N$7:$N$100,'26a'!$H$7:$H$100,$A317,'26a'!$I$7:$I$100,2)+SUMIFS('27'!$N$7:$N$100,'27'!$H$7:$H$100,$A317,'27'!$I$7:$I$100,2)+SUMIFS('27a'!$N$7:$N$100,'27a'!$H$7:$H$100,$A317,'27a'!$I$7:$I$100,2)+SUMIFS('28'!$N$7:$N$100,'28'!$H$7:$H$100,$A317,'28'!$I$7:$I$100,2)+SUMIFS('29'!$N$7:$N$100,'29'!$H$7:$H$100,$A317,'29'!$I$7:$I$100,2)</f>
        <v>0</v>
      </c>
      <c r="E317" s="1315">
        <f>SUMIFS('12'!$N$7:$N$100,'12'!$H$7:$H$100,$A317,'12'!$I$7:$I$100,"")+SUMIFS('13'!$N$7:$N$100,'13'!$H$7:$H$100,$A317,'13'!$I$7:$I$100,"")+SUMIFS('14'!$N$7:$N$100,'14'!$H$7:$H$100,$A317,'14'!$I$7:$I$100,"")+SUMIFS('15'!$N$7:$N$100,'15'!$H$7:$H$100,$A317,'15'!$I$7:$I$100,"")+SUMIFS('15a'!$N$7:$N$100,'15a'!$H$7:$H$100,$A317,'15a'!$I$7:$I$100,"")+SUMIFS('15b'!$N$7:$N$100,'15b'!$H$7:$H$100,$A317,'15b'!$I$7:$I$100,"")+SUMIFS('15c'!$N$7:$N$100,'15c'!$H$7:$H$100,$A317,'15c'!$I$7:$I$100,"")+SUMIFS('15d'!$N$7:$N$100,'15d'!$H$7:$H$100,$A317,'15d'!$I$7:$I$100,"")+SUMIFS('15e'!$N$7:$N$100,'15e'!$H$7:$H$100,$A317,'15e'!$I$7:$I$100,"")+SUMIFS('15f'!$N$7:$N$100,'15f'!$H$7:$H$100,$A317,'15f'!$I$7:$I$100,"")+SUMIFS('15g'!$N$7:$N$100,'15g'!$H$7:$H$100,$A317,'15g'!$I$7:$I$100,"")+SUMIFS('15h'!$N$7:$N$100,'15h'!$H$7:$H$100,$A317,'15h'!$I$7:$I$100,"")+SUMIFS('15i'!$N$7:$N$100,'15i'!$H$7:$H$100,$A317,'15i'!$I$7:$I$100,"")+SUMIFS('15j'!$N$7:$N$100,'15j'!$H$7:$H$100,$A317,'15j'!$I$7:$I$100,"")+SUMIFS('15k'!$N$7:$N$100,'15k'!$H$7:$H$100,$A317,'15k'!$I$7:$I$100,"")+SUMIFS('15l'!$N$7:$N$100,'15l'!$H$7:$H$100,$A317,'15l'!$I$7:$I$100,"")+SUMIFS('15m'!$N$7:$N$100,'15m'!$H$7:$H$100,$A317,'15m'!$I$7:$I$100,"")+SUMIFS('15n'!$N$7:$N$100,'15n'!$H$7:$H$100,$A317,'15n'!$I$7:$I$100,"")+SUMIFS('16'!$N$7:$N$100,'16'!$H$7:$H$100,$A317,'16'!$I$7:$I$100,"")+SUMIFS('16a'!$N$7:$N$100,'16a'!$H$7:$H$100,$A317,'16a'!$I$7:$I$100,"")+SUMIFS('17'!$N$7:$N$100,'17'!$H$7:$H$100,$A317,'17'!$I$7:$I$100,"")+SUMIFS('17a'!$N$7:$N$100,'17a'!$H$7:$H$100,$A317,'17a'!$I$7:$I$100,"")+SUMIFS('18'!$N$7:$N$100,'18'!$H$7:$H$100,$A317,'18'!$I$7:$I$100,"")+SUMIFS('18a'!$N$7:$N$100,'18a'!$H$7:$H$100,$A317,'18a'!$I$7:$I$100,"")
+SUMIFS('19'!$N$7:$N$100,'19'!$H$7:$H$100,$A317,'19'!$I$7:$I$100,"")+SUMIFS('20'!$N$7:$N$100,'20'!$H$7:$H$100,$A317,'20'!$I$7:$I$100,"")+SUMIFS('20a'!$N$7:$N$100,'20a'!$H$7:$H$100,$A317,'20a'!$I$7:$I$100,"")+SUMIFS('21'!$N$7:$N$100,'21'!$H$7:$H$100,$A317,'21'!$I$7:$I$100,"")+SUMIFS('22'!$N$7:$N$100,'22'!$H$7:$H$100,$A317,'22'!$I$7:$I$100,"")+SUMIFS('22a'!$N$7:$N$100,'22a'!$H$7:$H$100,$A317,'22a'!$I$7:$I$100,"")+SUMIFS('22b'!$N$7:$N$100,'22b'!$H$7:$H$100,$A317,'22b'!$I$7:$I$100,"")+SUMIFS('23'!$N$7:$N$100,'23'!$H$7:$H$100,$A317,'23'!$I$7:$I$100,"")+SUMIFS('24'!$N$7:$N$100,'24'!$H$7:$H$100,$A317,'24'!$I$7:$I$100,"")+SUMIFS('24a'!$N$7:$N$100,'24a'!$H$7:$H$100,$A317,'24a'!$I$7:$I$100,"")+SUMIFS('24b'!$N$7:$N$100,'24b'!$H$7:$H$100,$A317,'24b'!$I$7:$I$100,"")+SUMIFS('24c'!$N$7:$N$100,'24c'!$H$7:$H$100,$A317,'24c'!$I$7:$I$100,"")+SUMIFS('24d'!$N$7:$N$100,'24d'!$H$7:$H$100,$A317,'24d'!$I$7:$I$100,"")+SUMIFS('24e'!$N$7:$N$100,'24e'!$H$7:$H$100,$A317,'24e'!$I$7:$I$100,"")+SUMIFS('24f'!$N$7:$N$100,'24f'!$H$7:$H$100,$A317,'24f'!$I$7:$I$100,"")+SUMIFS('24g'!$N$7:$N$100,'24g'!$H$7:$H$100,$A317,'24g'!$I$7:$I$100,"")+SUMIFS('24h'!$N$7:$N$100,'24h'!$H$7:$H$100,$A317,'24h'!$I$7:$I$100,"")+SUMIFS('24i'!$N$7:$N$100,'24i'!$H$7:$H$100,$A317,'24i'!$I$7:$I$100,"")+SUMIFS('25'!$N$7:$N$100,'25'!$H$7:$H$100,$A317,'25'!$I$7:$I$100,"")+SUMIFS('26'!$N$7:$N$100,'26'!$H$7:$H$100,$A317,'26'!$I$7:$I$100,"")+SUMIFS('26a'!$N$7:$N$100,'26a'!$H$7:$H$100,$A317,'26a'!$I$7:$I$100,"")+SUMIFS('27'!$N$7:$N$100,'27'!$H$7:$H$100,$A317,'27'!$I$7:$I$100,"")+SUMIFS('27a'!$N$7:$N$100,'27a'!$H$7:$H$100,$A317,'27a'!$I$7:$I$100,"")+SUMIFS('28'!$N$7:$N$100,'28'!$H$7:$H$100,$A317,'28'!$I$7:$I$100,"")+SUMIFS('29'!$N$7:$N$100,'29'!$H$7:$H$100,$A317,'29'!$I$7:$I$100,"")</f>
        <v>0</v>
      </c>
      <c r="F317" s="1296">
        <f t="shared" si="40"/>
        <v>0</v>
      </c>
      <c r="G317" s="1295">
        <f>SUMIFS('12'!$J$7:$J$100,'12'!$H$7:$H$100,$A317,'12'!$I$7:$I$100,1)+SUMIFS('13'!$J$7:$J$100,'13'!$H$7:$H$100,$A317,'13'!$I$7:$I$100,1)+SUMIFS('14'!$J$7:$J$100,'14'!$H$7:$H$100,$A317,'14'!$I$7:$I$100,1)+SUMIFS('15'!$J$7:$J$100,'15'!$H$7:$H$100,$A317,'15'!$I$7:$I$100,1)+SUMIFS('15a'!$J$7:$J$100,'15a'!$H$7:$H$100,$A317,'15a'!$I$7:$I$100,1)+SUMIFS('15b'!$J$7:$J$100,'15b'!$H$7:$H$100,$A317,'15b'!$I$7:$I$100,1)+SUMIFS('15c'!$J$7:$J$100,'15c'!$H$7:$H$100,$A317,'15c'!$I$7:$I$100,1)+SUMIFS('15d'!$J$7:$J$100,'15d'!$H$7:$H$100,$A317,'15d'!$I$7:$I$100,1)+SUMIFS('15e'!$J$7:$J$100,'15e'!$H$7:$H$100,$A317,'15e'!$I$7:$I$100,1)+SUMIFS('15f'!$J$7:$J$100,'15f'!$H$7:$H$100,$A317,'15f'!$I$7:$I$100,1)+SUMIFS('15g'!$J$7:$J$100,'15g'!$H$7:$H$100,$A317,'15g'!$I$7:$I$100,1)+SUMIFS('15h'!$J$7:$J$100,'15h'!$H$7:$H$100,$A317,'15h'!$I$7:$I$100,1)+SUMIFS('15i'!$J$7:$J$100,'15i'!$H$7:$H$100,$A317,'15i'!$I$7:$I$100,1)+SUMIFS('15j'!$J$7:$J$100,'15j'!$H$7:$H$100,$A317,'15j'!$I$7:$I$100,1)+SUMIFS('15k'!$J$7:$J$100,'15k'!$H$7:$H$100,$A317,'15k'!$I$7:$I$100,1)+SUMIFS('15l'!$J$7:$J$100,'15l'!$H$7:$H$100,$A317,'15l'!$I$7:$I$100,1)+SUMIFS('15m'!$J$7:$J$100,'15m'!$H$7:$H$100,$A317,'15m'!$I$7:$I$100,1)+SUMIFS('15n'!$J$7:$J$100,'15n'!$H$7:$H$100,$A317,'15n'!$I$7:$I$100,1)+SUMIFS('16'!$J$7:$J$100,'16'!$H$7:$H$100,$A317,'16'!$I$7:$I$100,1)+SUMIFS('16a'!$J$7:$J$100,'16a'!$H$7:$H$100,$A317,'16a'!$I$7:$I$100,1)+SUMIFS('17'!$J$7:$J$100,'17'!$H$7:$H$100,$A317,'17'!$I$7:$I$100,1)+SUMIFS('17a'!$J$7:$J$100,'17a'!$H$7:$H$100,$A317,'17a'!$I$7:$I$100,1)+SUMIFS('18'!$J$7:$J$100,'18'!$H$7:$H$100,$A317,'18'!$I$7:$I$100,1)+SUMIFS('18a'!$J$7:$J$100,'18a'!$H$7:$H$100,$A317,'18a'!$I$7:$I$100,1)
+SUMIFS('19'!$J$7:$J$100,'19'!$H$7:$H$100,$A317,'19'!$I$7:$I$100,1)+SUMIFS('20'!$J$7:$J$100,'20'!$H$7:$H$100,$A317,'20'!$I$7:$I$100,1)+SUMIFS('20a'!$J$7:$J$100,'20a'!$H$7:$H$100,$A317,'20a'!$I$7:$I$100,1)+SUMIFS('21'!$J$7:$J$100,'21'!$H$7:$H$100,$A317,'21'!$I$7:$I$100,1)+SUMIFS('22'!$J$7:$J$100,'22'!$H$7:$H$100,$A317,'22'!$I$7:$I$100,1)+SUMIFS('22a'!$J$7:$J$100,'22a'!$H$7:$H$100,$A317,'22a'!$I$7:$I$100,1)+SUMIFS('22b'!$J$7:$J$100,'22b'!$H$7:$H$100,$A317,'22b'!$I$7:$I$100,1)+SUMIFS('23'!$J$7:$J$100,'23'!$H$7:$H$100,$A317,'23'!$I$7:$I$100,1)+SUMIFS('24'!$J$7:$J$100,'24'!$H$7:$H$100,$A317,'24'!$I$7:$I$100,1)+SUMIFS('24a'!$J$7:$J$100,'24a'!$H$7:$H$100,$A317,'24a'!$I$7:$I$100,1)+SUMIFS('24b'!$J$7:$J$100,'24b'!$H$7:$H$100,$A317,'24b'!$I$7:$I$100,1)+SUMIFS('24c'!$J$7:$J$100,'24c'!$H$7:$H$100,$A317,'24c'!$I$7:$I$100,1)+SUMIFS('24d'!$J$7:$J$100,'24d'!$H$7:$H$100,$A317,'24d'!$I$7:$I$100,1)+SUMIFS('24e'!$J$7:$J$100,'24e'!$H$7:$H$100,$A317,'24e'!$I$7:$I$100,1)+SUMIFS('24f'!$J$7:$J$100,'24f'!$H$7:$H$100,$A317,'24f'!$I$7:$I$100,1)+SUMIFS('24g'!$J$7:$J$100,'24g'!$H$7:$H$100,$A317,'24g'!$I$7:$I$100,1)+SUMIFS('24h'!$J$7:$J$100,'24h'!$H$7:$H$100,$A317,'24h'!$I$7:$I$100,1)+SUMIFS('24i'!$J$7:$J$100,'24i'!$H$7:$H$100,$A317,'24i'!$I$7:$I$100,1)+SUMIFS('25'!$J$7:$J$100,'25'!$H$7:$H$100,$A317,'25'!$I$7:$I$100,1)+SUMIFS('26'!$J$7:$J$100,'26'!$H$7:$H$100,$A317,'26'!$I$7:$I$100,1)+SUMIFS('26a'!$J$7:$J$100,'26a'!$H$7:$H$100,$A317,'26a'!$I$7:$I$100,1)+SUMIFS('27'!$J$7:$J$100,'27'!$H$7:$H$100,$A317,'27'!$I$7:$I$100,1)+SUMIFS('27a'!$J$7:$J$100,'27a'!$H$7:$H$100,$A317,'27a'!$I$7:$I$100,1)+SUMIFS('28'!$J$7:$J$100,'28'!$H$7:$H$100,$A317,'28'!$I$7:$I$100,1)+SUMIFS('29'!$J$7:$J$100,'29'!$H$7:$H$100,$A317,'29'!$I$7:$I$100,1)</f>
        <v>0</v>
      </c>
      <c r="H317" s="1315">
        <f>SUMIFS('12'!$J$7:$J$100,'12'!$H$7:$H$100,$A317,'12'!$I$7:$I$100,2)+SUMIFS('13'!$J$7:$J$100,'13'!$H$7:$H$100,$A317,'13'!$I$7:$I$100,2)+SUMIFS('14'!$J$7:$J$100,'14'!$H$7:$H$100,$A317,'14'!$I$7:$I$100,2)+SUMIFS('15'!$J$7:$J$100,'15'!$H$7:$H$100,$A317,'15'!$I$7:$I$100,2)+SUMIFS('15a'!$J$7:$J$100,'15a'!$H$7:$H$100,$A317,'15a'!$I$7:$I$100,2)+SUMIFS('15b'!$J$7:$J$100,'15b'!$H$7:$H$100,$A317,'15b'!$I$7:$I$100,2)+SUMIFS('15c'!$J$7:$J$100,'15c'!$H$7:$H$100,$A317,'15c'!$I$7:$I$100,2)+SUMIFS('15d'!$J$7:$J$100,'15d'!$H$7:$H$100,$A317,'15d'!$I$7:$I$100,2)+SUMIFS('15e'!$J$7:$J$100,'15e'!$H$7:$H$100,$A317,'15e'!$I$7:$I$100,2)+SUMIFS('15f'!$J$7:$J$100,'15f'!$H$7:$H$100,$A317,'15f'!$I$7:$I$100,2)+SUMIFS('15g'!$J$7:$J$100,'15g'!$H$7:$H$100,$A317,'15g'!$I$7:$I$100,2)+SUMIFS('15h'!$J$7:$J$100,'15h'!$H$7:$H$100,$A317,'15h'!$I$7:$I$100,2)+SUMIFS('15i'!$J$7:$J$100,'15i'!$H$7:$H$100,$A317,'15i'!$I$7:$I$100,2)+SUMIFS('15j'!$J$7:$J$100,'15j'!$H$7:$H$100,$A317,'15j'!$I$7:$I$100,2)+SUMIFS('15k'!$J$7:$J$100,'15k'!$H$7:$H$100,$A317,'15k'!$I$7:$I$100,2)+SUMIFS('15l'!$J$7:$J$100,'15l'!$H$7:$H$100,$A317,'15l'!$I$7:$I$100,2)+SUMIFS('15m'!$J$7:$J$100,'15m'!$H$7:$H$100,$A317,'15m'!$I$7:$I$100,2)+SUMIFS('15n'!$J$7:$J$100,'15n'!$H$7:$H$100,$A317,'15n'!$I$7:$I$100,2)+SUMIFS('16'!$J$7:$J$100,'16'!$H$7:$H$100,$A317,'16'!$I$7:$I$100,2)+SUMIFS('16a'!$J$7:$J$100,'16a'!$H$7:$H$100,$A317,'16a'!$I$7:$I$100,2)+SUMIFS('17'!$J$7:$J$100,'17'!$H$7:$H$100,$A317,'17'!$I$7:$I$100,2)+SUMIFS('17a'!$J$7:$J$100,'17a'!$H$7:$H$100,$A317,'17a'!$I$7:$I$100,2)+SUMIFS('18'!$J$7:$J$100,'18'!$H$7:$H$100,$A317,'18'!$I$7:$I$100,2)+SUMIFS('18a'!$J$7:$J$100,'18a'!$H$7:$H$100,$A317,'18a'!$I$7:$I$100,2)
+SUMIFS('19'!$J$7:$J$100,'19'!$H$7:$H$100,$A317,'19'!$I$7:$I$100,2)+SUMIFS('20'!$J$7:$J$100,'20'!$H$7:$H$100,$A317,'20'!$I$7:$I$100,2)+SUMIFS('20a'!$J$7:$J$100,'20a'!$H$7:$H$100,$A317,'20a'!$I$7:$I$100,2)+SUMIFS('21'!$J$7:$J$100,'21'!$H$7:$H$100,$A317,'21'!$I$7:$I$100,2)+SUMIFS('22'!$J$7:$J$100,'22'!$H$7:$H$100,$A317,'22'!$I$7:$I$100,2)+SUMIFS('22a'!$J$7:$J$100,'22a'!$H$7:$H$100,$A317,'22a'!$I$7:$I$100,2)+SUMIFS('22b'!$J$7:$J$100,'22b'!$H$7:$H$100,$A317,'22b'!$I$7:$I$100,2)+SUMIFS('23'!$J$7:$J$100,'23'!$H$7:$H$100,$A317,'23'!$I$7:$I$100,2)+SUMIFS('24'!$J$7:$J$100,'24'!$H$7:$H$100,$A317,'24'!$I$7:$I$100,2)+SUMIFS('24a'!$J$7:$J$100,'24a'!$H$7:$H$100,$A317,'24a'!$I$7:$I$100,2)+SUMIFS('24b'!$J$7:$J$100,'24b'!$H$7:$H$100,$A317,'24b'!$I$7:$I$100,2)+SUMIFS('24c'!$J$7:$J$100,'24c'!$H$7:$H$100,$A317,'24c'!$I$7:$I$100,2)+SUMIFS('24d'!$J$7:$J$100,'24d'!$H$7:$H$100,$A317,'24d'!$I$7:$I$100,2)+SUMIFS('24e'!$J$7:$J$100,'24e'!$H$7:$H$100,$A317,'24e'!$I$7:$I$100,2)+SUMIFS('24f'!$J$7:$J$100,'24f'!$H$7:$H$100,$A317,'24f'!$I$7:$I$100,2)+SUMIFS('24g'!$J$7:$J$100,'24g'!$H$7:$H$100,$A317,'24g'!$I$7:$I$100,2)+SUMIFS('24h'!$J$7:$J$100,'24h'!$H$7:$H$100,$A317,'24h'!$I$7:$I$100,2)+SUMIFS('24i'!$J$7:$J$100,'24i'!$H$7:$H$100,$A317,'24i'!$I$7:$I$100,2)+SUMIFS('25'!$J$7:$J$100,'25'!$H$7:$H$100,$A317,'25'!$I$7:$I$100,2)+SUMIFS('26'!$J$7:$J$100,'26'!$H$7:$H$100,$A317,'26'!$I$7:$I$100,2)+SUMIFS('26a'!$J$7:$J$100,'26a'!$H$7:$H$100,$A317,'26a'!$I$7:$I$100,2)+SUMIFS('27'!$J$7:$J$100,'27'!$H$7:$H$100,$A317,'27'!$I$7:$I$100,2)+SUMIFS('27a'!$J$7:$J$100,'27a'!$H$7:$H$100,$A317,'27a'!$I$7:$I$100,2)+SUMIFS('28'!$J$7:$J$100,'28'!$H$7:$H$100,$A317,'28'!$I$7:$I$100,2)+SUMIFS('29'!$J$7:$J$100,'29'!$H$7:$H$100,$A317,'29'!$I$7:$I$100,2)</f>
        <v>0</v>
      </c>
      <c r="I317" s="1315">
        <f>SUMIFS('12'!$J$7:$J$100,'12'!$H$7:$H$100,$A317,'12'!$I$7:$I$100,"")+SUMIFS('13'!$J$7:$J$100,'13'!$H$7:$H$100,$A317,'13'!$I$7:$I$100,"")+SUMIFS('14'!$J$7:$J$100,'14'!$H$7:$H$100,$A317,'14'!$I$7:$I$100,"")+SUMIFS('15'!$J$7:$J$100,'15'!$H$7:$H$100,$A317,'15'!$I$7:$I$100,"")+SUMIFS('15a'!$J$7:$J$100,'15a'!$H$7:$H$100,$A317,'15a'!$I$7:$I$100,"")+SUMIFS('15b'!$J$7:$J$100,'15b'!$H$7:$H$100,$A317,'15b'!$I$7:$I$100,"")+SUMIFS('15c'!$J$7:$J$100,'15c'!$H$7:$H$100,$A317,'15c'!$I$7:$I$100,"")+SUMIFS('15d'!$J$7:$J$100,'15d'!$H$7:$H$100,$A317,'15d'!$I$7:$I$100,"")+SUMIFS('15e'!$J$7:$J$100,'15e'!$H$7:$H$100,$A317,'15e'!$I$7:$I$100,"")+SUMIFS('15f'!$J$7:$J$100,'15f'!$H$7:$H$100,$A317,'15f'!$I$7:$I$100,"")+SUMIFS('15g'!$J$7:$J$100,'15g'!$H$7:$H$100,$A317,'15g'!$I$7:$I$100,"")+SUMIFS('15h'!$J$7:$J$100,'15h'!$H$7:$H$100,$A317,'15h'!$I$7:$I$100,"")+SUMIFS('15i'!$J$7:$J$100,'15i'!$H$7:$H$100,$A317,'15i'!$I$7:$I$100,"")+SUMIFS('15j'!$J$7:$J$100,'15j'!$H$7:$H$100,$A317,'15j'!$I$7:$I$100,"")+SUMIFS('15k'!$J$7:$J$100,'15k'!$H$7:$H$100,$A317,'15k'!$I$7:$I$100,"")+SUMIFS('15l'!$J$7:$J$100,'15l'!$H$7:$H$100,$A317,'15l'!$I$7:$I$100,"")+SUMIFS('15m'!$J$7:$J$100,'15m'!$H$7:$H$100,$A317,'15m'!$I$7:$I$100,"")+SUMIFS('15n'!$J$7:$J$100,'15n'!$H$7:$H$100,$A317,'15n'!$I$7:$I$100,"")+SUMIFS('16'!$J$7:$J$100,'16'!$H$7:$H$100,$A317,'16'!$I$7:$I$100,"")+SUMIFS('16a'!$J$7:$J$100,'16a'!$H$7:$H$100,$A317,'16a'!$I$7:$I$100,"")+SUMIFS('17'!$J$7:$J$100,'17'!$H$7:$H$100,$A317,'17'!$I$7:$I$100,"")+SUMIFS('17a'!$J$7:$J$100,'17a'!$H$7:$H$100,$A317,'17a'!$I$7:$I$100,"")+SUMIFS('18'!$J$7:$J$100,'18'!$H$7:$H$100,$A317,'18'!$I$7:$I$100,"")+SUMIFS('18a'!$J$7:$J$100,'18a'!$H$7:$H$100,$A317,'18a'!$I$7:$I$100,"")
+SUMIFS('19'!$J$7:$J$100,'19'!$H$7:$H$100,$A317,'19'!$I$7:$I$100,"")+SUMIFS('20'!$J$7:$J$100,'20'!$H$7:$H$100,$A317,'20'!$I$7:$I$100,"")+SUMIFS('20a'!$J$7:$J$100,'20a'!$H$7:$H$100,$A317,'20a'!$I$7:$I$100,"")+SUMIFS('21'!$J$7:$J$100,'21'!$H$7:$H$100,$A317,'21'!$I$7:$I$100,"")+SUMIFS('22'!$J$7:$J$100,'22'!$H$7:$H$100,$A317,'22'!$I$7:$I$100,"")+SUMIFS('22a'!$J$7:$J$100,'22a'!$H$7:$H$100,$A317,'22a'!$I$7:$I$100,"")+SUMIFS('22b'!$J$7:$J$100,'22b'!$H$7:$H$100,$A317,'22b'!$I$7:$I$100,"")+SUMIFS('23'!$J$7:$J$100,'23'!$H$7:$H$100,$A317,'23'!$I$7:$I$100,"")+SUMIFS('24'!$J$7:$J$100,'24'!$H$7:$H$100,$A317,'24'!$I$7:$I$100,"")+SUMIFS('24a'!$J$7:$J$100,'24a'!$H$7:$H$100,$A317,'24a'!$I$7:$I$100,"")+SUMIFS('24b'!$J$7:$J$100,'24b'!$H$7:$H$100,$A317,'24b'!$I$7:$I$100,"")+SUMIFS('24c'!$J$7:$J$100,'24c'!$H$7:$H$100,$A317,'24c'!$I$7:$I$100,"")+SUMIFS('24d'!$J$7:$J$100,'24d'!$H$7:$H$100,$A317,'24d'!$I$7:$I$100,"")+SUMIFS('24e'!$J$7:$J$100,'24e'!$H$7:$H$100,$A317,'24e'!$I$7:$I$100,"")+SUMIFS('24f'!$J$7:$J$100,'24f'!$H$7:$H$100,$A317,'24f'!$I$7:$I$100,"")+SUMIFS('24g'!$J$7:$J$100,'24g'!$H$7:$H$100,$A317,'24g'!$I$7:$I$100,"")+SUMIFS('24h'!$J$7:$J$100,'24h'!$H$7:$H$100,$A317,'24h'!$I$7:$I$100,"")+SUMIFS('24i'!$J$7:$J$100,'24i'!$H$7:$H$100,$A317,'24i'!$I$7:$I$100,"")+SUMIFS('25'!$J$7:$J$100,'25'!$H$7:$H$100,$A317,'25'!$I$7:$I$100,"")+SUMIFS('26'!$J$7:$J$100,'26'!$H$7:$H$100,$A317,'26'!$I$7:$I$100,"")+SUMIFS('26a'!$J$7:$J$100,'26a'!$H$7:$H$100,$A317,'26a'!$I$7:$I$100,"")+SUMIFS('27'!$J$7:$J$100,'27'!$H$7:$H$100,$A317,'27'!$I$7:$I$100,"")+SUMIFS('27a'!$J$7:$J$100,'27a'!$H$7:$H$100,$A317,'27a'!$I$7:$I$100,"")+SUMIFS('28'!$J$7:$J$100,'28'!$H$7:$H$100,$A317,'28'!$I$7:$I$100,"")+SUMIFS('29'!$J$7:$J$100,'29'!$H$7:$H$100,$A317,'29'!$I$7:$I$100,"")</f>
        <v>0</v>
      </c>
      <c r="J317" s="1296">
        <f t="shared" si="41"/>
        <v>0</v>
      </c>
      <c r="K317"/>
      <c r="L317"/>
      <c r="M317"/>
      <c r="N317"/>
      <c r="O317"/>
      <c r="P317"/>
      <c r="Q317"/>
      <c r="R317"/>
      <c r="S317" s="1307">
        <f t="shared" si="30"/>
        <v>0</v>
      </c>
      <c r="T317"/>
    </row>
    <row r="318" spans="1:20" x14ac:dyDescent="0.2">
      <c r="A318" t="s">
        <v>5109</v>
      </c>
      <c r="B318" t="s">
        <v>5533</v>
      </c>
      <c r="C318" s="1295">
        <f>SUMIFS('12'!$N$7:$N$100,'12'!$H$7:$H$100,$A318,'12'!$I$7:$I$100,1)+SUMIFS('13'!$N$7:$N$100,'13'!$H$7:$H$100,$A318,'13'!$I$7:$I$100,1)+SUMIFS('14'!$N$7:$N$100,'14'!$H$7:$H$100,$A318,'14'!$I$7:$I$100,1)+SUMIFS('15'!$N$7:$N$100,'15'!$H$7:$H$100,$A318,'15'!$I$7:$I$100,1)+SUMIFS('15a'!$N$7:$N$100,'15a'!$H$7:$H$100,$A318,'15a'!$I$7:$I$100,1)+SUMIFS('15b'!$N$7:$N$100,'15b'!$H$7:$H$100,$A318,'15b'!$I$7:$I$100,1)+SUMIFS('15c'!$N$7:$N$100,'15c'!$H$7:$H$100,$A318,'15c'!$I$7:$I$100,1)+SUMIFS('15d'!$N$7:$N$100,'15d'!$H$7:$H$100,$A318,'15d'!$I$7:$I$100,1)+SUMIFS('15e'!$N$7:$N$100,'15e'!$H$7:$H$100,$A318,'15e'!$I$7:$I$100,1)+SUMIFS('15f'!$N$7:$N$100,'15f'!$H$7:$H$100,$A318,'15f'!$I$7:$I$100,1)+SUMIFS('15g'!$N$7:$N$100,'15g'!$H$7:$H$100,$A318,'15g'!$I$7:$I$100,1)+SUMIFS('15h'!$N$7:$N$100,'15h'!$H$7:$H$100,$A318,'15h'!$I$7:$I$100,1)+SUMIFS('15i'!$N$7:$N$100,'15i'!$H$7:$H$100,$A318,'15i'!$I$7:$I$100,1)+SUMIFS('15j'!$N$7:$N$100,'15j'!$H$7:$H$100,$A318,'15j'!$I$7:$I$100,1)+SUMIFS('15k'!$N$7:$N$100,'15k'!$H$7:$H$100,$A318,'15k'!$I$7:$I$100,1)+SUMIFS('15l'!$N$7:$N$100,'15l'!$H$7:$H$100,$A318,'15l'!$I$7:$I$100,1)+SUMIFS('15m'!$N$7:$N$100,'15m'!$H$7:$H$100,$A318,'15m'!$I$7:$I$100,1)+SUMIFS('15n'!$N$7:$N$100,'15n'!$H$7:$H$100,$A318,'15n'!$I$7:$I$100,1)+SUMIFS('16'!$N$7:$N$100,'16'!$H$7:$H$100,$A318,'16'!$I$7:$I$100,1)+SUMIFS('16a'!$N$7:$N$100,'16a'!$H$7:$H$100,$A318,'16a'!$I$7:$I$100,1)+SUMIFS('17'!$N$7:$N$100,'17'!$H$7:$H$100,$A318,'17'!$I$7:$I$100,1)+SUMIFS('17a'!$N$7:$N$100,'17a'!$H$7:$H$100,$A318,'17a'!$I$7:$I$100,1)+SUMIFS('18'!$N$7:$N$100,'18'!$H$7:$H$100,$A318,'18'!$I$7:$I$100,1)+SUMIFS('18a'!$N$7:$N$100,'18a'!$H$7:$H$100,$A318,'18a'!$I$7:$I$100,1)
+SUMIFS('19'!$N$7:$N$100,'19'!$H$7:$H$100,$A318,'19'!$I$7:$I$100,1)+SUMIFS('20'!$N$7:$N$100,'20'!$H$7:$H$100,$A318,'20'!$I$7:$I$100,1)+SUMIFS('20a'!$N$7:$N$100,'20a'!$H$7:$H$100,$A318,'20a'!$I$7:$I$100,1)+SUMIFS('21'!$N$7:$N$100,'21'!$H$7:$H$100,$A318,'21'!$I$7:$I$100,1)+SUMIFS('22'!$N$7:$N$100,'22'!$H$7:$H$100,$A318,'22'!$I$7:$I$100,1)+SUMIFS('22a'!$N$7:$N$100,'22a'!$H$7:$H$100,$A318,'22a'!$I$7:$I$100,1)+SUMIFS('22b'!$N$7:$N$100,'22b'!$H$7:$H$100,$A318,'22b'!$I$7:$I$100,1)+SUMIFS('23'!$N$7:$N$100,'23'!$H$7:$H$100,$A318,'23'!$I$7:$I$100,1)+SUMIFS('24'!$N$7:$N$100,'24'!$H$7:$H$100,$A318,'24'!$I$7:$I$100,1)+SUMIFS('24a'!$N$7:$N$100,'24a'!$H$7:$H$100,$A318,'24a'!$I$7:$I$100,1)+SUMIFS('24b'!$N$7:$N$100,'24b'!$H$7:$H$100,$A318,'24b'!$I$7:$I$100,1)+SUMIFS('24c'!$N$7:$N$100,'24c'!$H$7:$H$100,$A318,'24c'!$I$7:$I$100,1)+SUMIFS('24d'!$N$7:$N$100,'24d'!$H$7:$H$100,$A318,'24d'!$I$7:$I$100,1)+SUMIFS('24e'!$N$7:$N$100,'24e'!$H$7:$H$100,$A318,'24e'!$I$7:$I$100,1)+SUMIFS('24f'!$N$7:$N$100,'24f'!$H$7:$H$100,$A318,'24f'!$I$7:$I$100,1)+SUMIFS('24g'!$N$7:$N$100,'24g'!$H$7:$H$100,$A318,'24g'!$I$7:$I$100,1)+SUMIFS('24h'!$N$7:$N$100,'24h'!$H$7:$H$100,$A318,'24h'!$I$7:$I$100,1)+SUMIFS('24i'!$N$7:$N$100,'24i'!$H$7:$H$100,$A318,'24i'!$I$7:$I$100,1)+SUMIFS('25'!$N$7:$N$100,'25'!$H$7:$H$100,$A318,'25'!$I$7:$I$100,1)+SUMIFS('26'!$N$7:$N$100,'26'!$H$7:$H$100,$A318,'26'!$I$7:$I$100,1)+SUMIFS('26a'!$N$7:$N$100,'26a'!$H$7:$H$100,$A318,'26a'!$I$7:$I$100,1)+SUMIFS('27'!$N$7:$N$100,'27'!$H$7:$H$100,$A318,'27'!$I$7:$I$100,1)+SUMIFS('27a'!$N$7:$N$100,'27a'!$H$7:$H$100,$A318,'27a'!$I$7:$I$100,1)+SUMIFS('28'!$N$7:$N$100,'28'!$H$7:$H$100,$A318,'28'!$I$7:$I$100,1)+SUMIFS('29'!$N$7:$N$100,'29'!$H$7:$H$100,$A318,'29'!$I$7:$I$100,1)</f>
        <v>0</v>
      </c>
      <c r="D318" s="1315">
        <f>SUMIFS('12'!$N$7:$N$100,'12'!$H$7:$H$100,$A318,'12'!$I$7:$I$100,2)+SUMIFS('13'!$N$7:$N$100,'13'!$H$7:$H$100,$A318,'13'!$I$7:$I$100,2)+SUMIFS('14'!$N$7:$N$100,'14'!$H$7:$H$100,$A318,'14'!$I$7:$I$100,2)+SUMIFS('15'!$N$7:$N$100,'15'!$H$7:$H$100,$A318,'15'!$I$7:$I$100,2)+SUMIFS('15a'!$N$7:$N$100,'15a'!$H$7:$H$100,$A318,'15a'!$I$7:$I$100,2)+SUMIFS('15b'!$N$7:$N$100,'15b'!$H$7:$H$100,$A318,'15b'!$I$7:$I$100,2)+SUMIFS('15c'!$N$7:$N$100,'15c'!$H$7:$H$100,$A318,'15c'!$I$7:$I$100,2)+SUMIFS('15d'!$N$7:$N$100,'15d'!$H$7:$H$100,$A318,'15d'!$I$7:$I$100,2)+SUMIFS('15e'!$N$7:$N$100,'15e'!$H$7:$H$100,$A318,'15e'!$I$7:$I$100,2)+SUMIFS('15f'!$N$7:$N$100,'15f'!$H$7:$H$100,$A318,'15f'!$I$7:$I$100,2)+SUMIFS('15g'!$N$7:$N$100,'15g'!$H$7:$H$100,$A318,'15g'!$I$7:$I$100,2)+SUMIFS('15h'!$N$7:$N$100,'15h'!$H$7:$H$100,$A318,'15h'!$I$7:$I$100,2)+SUMIFS('15i'!$N$7:$N$100,'15i'!$H$7:$H$100,$A318,'15i'!$I$7:$I$100,2)+SUMIFS('15j'!$N$7:$N$100,'15j'!$H$7:$H$100,$A318,'15j'!$I$7:$I$100,2)+SUMIFS('15k'!$N$7:$N$100,'15k'!$H$7:$H$100,$A318,'15k'!$I$7:$I$100,2)+SUMIFS('15l'!$N$7:$N$100,'15l'!$H$7:$H$100,$A318,'15l'!$I$7:$I$100,2)+SUMIFS('15m'!$N$7:$N$100,'15m'!$H$7:$H$100,$A318,'15m'!$I$7:$I$100,2)+SUMIFS('15n'!$N$7:$N$100,'15n'!$H$7:$H$100,$A318,'15n'!$I$7:$I$100,2)+SUMIFS('16'!$N$7:$N$100,'16'!$H$7:$H$100,$A318,'16'!$I$7:$I$100,2)+SUMIFS('16a'!$N$7:$N$100,'16a'!$H$7:$H$100,$A318,'16a'!$I$7:$I$100,2)+SUMIFS('17'!$N$7:$N$100,'17'!$H$7:$H$100,$A318,'17'!$I$7:$I$100,2)+SUMIFS('17a'!$N$7:$N$100,'17a'!$H$7:$H$100,$A318,'17a'!$I$7:$I$100,2)+SUMIFS('18'!$N$7:$N$100,'18'!$H$7:$H$100,$A318,'18'!$I$7:$I$100,2)+SUMIFS('18a'!$N$7:$N$100,'18a'!$H$7:$H$100,$A318,'18a'!$I$7:$I$100,2)
+SUMIFS('19'!$N$7:$N$100,'19'!$H$7:$H$100,$A318,'19'!$I$7:$I$100,2)+SUMIFS('20'!$N$7:$N$100,'20'!$H$7:$H$100,$A318,'20'!$I$7:$I$100,2)+SUMIFS('20a'!$N$7:$N$100,'20a'!$H$7:$H$100,$A318,'20a'!$I$7:$I$100,2)+SUMIFS('21'!$N$7:$N$100,'21'!$H$7:$H$100,$A318,'21'!$I$7:$I$100,2)+SUMIFS('22'!$N$7:$N$100,'22'!$H$7:$H$100,$A318,'22'!$I$7:$I$100,2)+SUMIFS('22a'!$N$7:$N$100,'22a'!$H$7:$H$100,$A318,'22a'!$I$7:$I$100,2)+SUMIFS('22b'!$N$7:$N$100,'22b'!$H$7:$H$100,$A318,'22b'!$I$7:$I$100,2)+SUMIFS('23'!$N$7:$N$100,'23'!$H$7:$H$100,$A318,'23'!$I$7:$I$100,2)+SUMIFS('24'!$N$7:$N$100,'24'!$H$7:$H$100,$A318,'24'!$I$7:$I$100,2)+SUMIFS('24a'!$N$7:$N$100,'24a'!$H$7:$H$100,$A318,'24a'!$I$7:$I$100,2)+SUMIFS('24b'!$N$7:$N$100,'24b'!$H$7:$H$100,$A318,'24b'!$I$7:$I$100,2)+SUMIFS('24c'!$N$7:$N$100,'24c'!$H$7:$H$100,$A318,'24c'!$I$7:$I$100,2)+SUMIFS('24d'!$N$7:$N$100,'24d'!$H$7:$H$100,$A318,'24d'!$I$7:$I$100,2)+SUMIFS('24e'!$N$7:$N$100,'24e'!$H$7:$H$100,$A318,'24e'!$I$7:$I$100,2)+SUMIFS('24f'!$N$7:$N$100,'24f'!$H$7:$H$100,$A318,'24f'!$I$7:$I$100,2)+SUMIFS('24g'!$N$7:$N$100,'24g'!$H$7:$H$100,$A318,'24g'!$I$7:$I$100,2)+SUMIFS('24h'!$N$7:$N$100,'24h'!$H$7:$H$100,$A318,'24h'!$I$7:$I$100,2)+SUMIFS('24i'!$N$7:$N$100,'24i'!$H$7:$H$100,$A318,'24i'!$I$7:$I$100,2)+SUMIFS('25'!$N$7:$N$100,'25'!$H$7:$H$100,$A318,'25'!$I$7:$I$100,2)+SUMIFS('26'!$N$7:$N$100,'26'!$H$7:$H$100,$A318,'26'!$I$7:$I$100,2)+SUMIFS('26a'!$N$7:$N$100,'26a'!$H$7:$H$100,$A318,'26a'!$I$7:$I$100,2)+SUMIFS('27'!$N$7:$N$100,'27'!$H$7:$H$100,$A318,'27'!$I$7:$I$100,2)+SUMIFS('27a'!$N$7:$N$100,'27a'!$H$7:$H$100,$A318,'27a'!$I$7:$I$100,2)+SUMIFS('28'!$N$7:$N$100,'28'!$H$7:$H$100,$A318,'28'!$I$7:$I$100,2)+SUMIFS('29'!$N$7:$N$100,'29'!$H$7:$H$100,$A318,'29'!$I$7:$I$100,2)</f>
        <v>0</v>
      </c>
      <c r="E318" s="1315">
        <f>SUMIFS('12'!$N$7:$N$100,'12'!$H$7:$H$100,$A318,'12'!$I$7:$I$100,"")+SUMIFS('13'!$N$7:$N$100,'13'!$H$7:$H$100,$A318,'13'!$I$7:$I$100,"")+SUMIFS('14'!$N$7:$N$100,'14'!$H$7:$H$100,$A318,'14'!$I$7:$I$100,"")+SUMIFS('15'!$N$7:$N$100,'15'!$H$7:$H$100,$A318,'15'!$I$7:$I$100,"")+SUMIFS('15a'!$N$7:$N$100,'15a'!$H$7:$H$100,$A318,'15a'!$I$7:$I$100,"")+SUMIFS('15b'!$N$7:$N$100,'15b'!$H$7:$H$100,$A318,'15b'!$I$7:$I$100,"")+SUMIFS('15c'!$N$7:$N$100,'15c'!$H$7:$H$100,$A318,'15c'!$I$7:$I$100,"")+SUMIFS('15d'!$N$7:$N$100,'15d'!$H$7:$H$100,$A318,'15d'!$I$7:$I$100,"")+SUMIFS('15e'!$N$7:$N$100,'15e'!$H$7:$H$100,$A318,'15e'!$I$7:$I$100,"")+SUMIFS('15f'!$N$7:$N$100,'15f'!$H$7:$H$100,$A318,'15f'!$I$7:$I$100,"")+SUMIFS('15g'!$N$7:$N$100,'15g'!$H$7:$H$100,$A318,'15g'!$I$7:$I$100,"")+SUMIFS('15h'!$N$7:$N$100,'15h'!$H$7:$H$100,$A318,'15h'!$I$7:$I$100,"")+SUMIFS('15i'!$N$7:$N$100,'15i'!$H$7:$H$100,$A318,'15i'!$I$7:$I$100,"")+SUMIFS('15j'!$N$7:$N$100,'15j'!$H$7:$H$100,$A318,'15j'!$I$7:$I$100,"")+SUMIFS('15k'!$N$7:$N$100,'15k'!$H$7:$H$100,$A318,'15k'!$I$7:$I$100,"")+SUMIFS('15l'!$N$7:$N$100,'15l'!$H$7:$H$100,$A318,'15l'!$I$7:$I$100,"")+SUMIFS('15m'!$N$7:$N$100,'15m'!$H$7:$H$100,$A318,'15m'!$I$7:$I$100,"")+SUMIFS('15n'!$N$7:$N$100,'15n'!$H$7:$H$100,$A318,'15n'!$I$7:$I$100,"")+SUMIFS('16'!$N$7:$N$100,'16'!$H$7:$H$100,$A318,'16'!$I$7:$I$100,"")+SUMIFS('16a'!$N$7:$N$100,'16a'!$H$7:$H$100,$A318,'16a'!$I$7:$I$100,"")+SUMIFS('17'!$N$7:$N$100,'17'!$H$7:$H$100,$A318,'17'!$I$7:$I$100,"")+SUMIFS('17a'!$N$7:$N$100,'17a'!$H$7:$H$100,$A318,'17a'!$I$7:$I$100,"")+SUMIFS('18'!$N$7:$N$100,'18'!$H$7:$H$100,$A318,'18'!$I$7:$I$100,"")+SUMIFS('18a'!$N$7:$N$100,'18a'!$H$7:$H$100,$A318,'18a'!$I$7:$I$100,"")
+SUMIFS('19'!$N$7:$N$100,'19'!$H$7:$H$100,$A318,'19'!$I$7:$I$100,"")+SUMIFS('20'!$N$7:$N$100,'20'!$H$7:$H$100,$A318,'20'!$I$7:$I$100,"")+SUMIFS('20a'!$N$7:$N$100,'20a'!$H$7:$H$100,$A318,'20a'!$I$7:$I$100,"")+SUMIFS('21'!$N$7:$N$100,'21'!$H$7:$H$100,$A318,'21'!$I$7:$I$100,"")+SUMIFS('22'!$N$7:$N$100,'22'!$H$7:$H$100,$A318,'22'!$I$7:$I$100,"")+SUMIFS('22a'!$N$7:$N$100,'22a'!$H$7:$H$100,$A318,'22a'!$I$7:$I$100,"")+SUMIFS('22b'!$N$7:$N$100,'22b'!$H$7:$H$100,$A318,'22b'!$I$7:$I$100,"")+SUMIFS('23'!$N$7:$N$100,'23'!$H$7:$H$100,$A318,'23'!$I$7:$I$100,"")+SUMIFS('24'!$N$7:$N$100,'24'!$H$7:$H$100,$A318,'24'!$I$7:$I$100,"")+SUMIFS('24a'!$N$7:$N$100,'24a'!$H$7:$H$100,$A318,'24a'!$I$7:$I$100,"")+SUMIFS('24b'!$N$7:$N$100,'24b'!$H$7:$H$100,$A318,'24b'!$I$7:$I$100,"")+SUMIFS('24c'!$N$7:$N$100,'24c'!$H$7:$H$100,$A318,'24c'!$I$7:$I$100,"")+SUMIFS('24d'!$N$7:$N$100,'24d'!$H$7:$H$100,$A318,'24d'!$I$7:$I$100,"")+SUMIFS('24e'!$N$7:$N$100,'24e'!$H$7:$H$100,$A318,'24e'!$I$7:$I$100,"")+SUMIFS('24f'!$N$7:$N$100,'24f'!$H$7:$H$100,$A318,'24f'!$I$7:$I$100,"")+SUMIFS('24g'!$N$7:$N$100,'24g'!$H$7:$H$100,$A318,'24g'!$I$7:$I$100,"")+SUMIFS('24h'!$N$7:$N$100,'24h'!$H$7:$H$100,$A318,'24h'!$I$7:$I$100,"")+SUMIFS('24i'!$N$7:$N$100,'24i'!$H$7:$H$100,$A318,'24i'!$I$7:$I$100,"")+SUMIFS('25'!$N$7:$N$100,'25'!$H$7:$H$100,$A318,'25'!$I$7:$I$100,"")+SUMIFS('26'!$N$7:$N$100,'26'!$H$7:$H$100,$A318,'26'!$I$7:$I$100,"")+SUMIFS('26a'!$N$7:$N$100,'26a'!$H$7:$H$100,$A318,'26a'!$I$7:$I$100,"")+SUMIFS('27'!$N$7:$N$100,'27'!$H$7:$H$100,$A318,'27'!$I$7:$I$100,"")+SUMIFS('27a'!$N$7:$N$100,'27a'!$H$7:$H$100,$A318,'27a'!$I$7:$I$100,"")+SUMIFS('28'!$N$7:$N$100,'28'!$H$7:$H$100,$A318,'28'!$I$7:$I$100,"")+SUMIFS('29'!$N$7:$N$100,'29'!$H$7:$H$100,$A318,'29'!$I$7:$I$100,"")</f>
        <v>0</v>
      </c>
      <c r="F318" s="1296">
        <f t="shared" si="40"/>
        <v>0</v>
      </c>
      <c r="G318" s="1295">
        <f>SUMIFS('12'!$J$7:$J$100,'12'!$H$7:$H$100,$A318,'12'!$I$7:$I$100,1)+SUMIFS('13'!$J$7:$J$100,'13'!$H$7:$H$100,$A318,'13'!$I$7:$I$100,1)+SUMIFS('14'!$J$7:$J$100,'14'!$H$7:$H$100,$A318,'14'!$I$7:$I$100,1)+SUMIFS('15'!$J$7:$J$100,'15'!$H$7:$H$100,$A318,'15'!$I$7:$I$100,1)+SUMIFS('15a'!$J$7:$J$100,'15a'!$H$7:$H$100,$A318,'15a'!$I$7:$I$100,1)+SUMIFS('15b'!$J$7:$J$100,'15b'!$H$7:$H$100,$A318,'15b'!$I$7:$I$100,1)+SUMIFS('15c'!$J$7:$J$100,'15c'!$H$7:$H$100,$A318,'15c'!$I$7:$I$100,1)+SUMIFS('15d'!$J$7:$J$100,'15d'!$H$7:$H$100,$A318,'15d'!$I$7:$I$100,1)+SUMIFS('15e'!$J$7:$J$100,'15e'!$H$7:$H$100,$A318,'15e'!$I$7:$I$100,1)+SUMIFS('15f'!$J$7:$J$100,'15f'!$H$7:$H$100,$A318,'15f'!$I$7:$I$100,1)+SUMIFS('15g'!$J$7:$J$100,'15g'!$H$7:$H$100,$A318,'15g'!$I$7:$I$100,1)+SUMIFS('15h'!$J$7:$J$100,'15h'!$H$7:$H$100,$A318,'15h'!$I$7:$I$100,1)+SUMIFS('15i'!$J$7:$J$100,'15i'!$H$7:$H$100,$A318,'15i'!$I$7:$I$100,1)+SUMIFS('15j'!$J$7:$J$100,'15j'!$H$7:$H$100,$A318,'15j'!$I$7:$I$100,1)+SUMIFS('15k'!$J$7:$J$100,'15k'!$H$7:$H$100,$A318,'15k'!$I$7:$I$100,1)+SUMIFS('15l'!$J$7:$J$100,'15l'!$H$7:$H$100,$A318,'15l'!$I$7:$I$100,1)+SUMIFS('15m'!$J$7:$J$100,'15m'!$H$7:$H$100,$A318,'15m'!$I$7:$I$100,1)+SUMIFS('15n'!$J$7:$J$100,'15n'!$H$7:$H$100,$A318,'15n'!$I$7:$I$100,1)+SUMIFS('16'!$J$7:$J$100,'16'!$H$7:$H$100,$A318,'16'!$I$7:$I$100,1)+SUMIFS('16a'!$J$7:$J$100,'16a'!$H$7:$H$100,$A318,'16a'!$I$7:$I$100,1)+SUMIFS('17'!$J$7:$J$100,'17'!$H$7:$H$100,$A318,'17'!$I$7:$I$100,1)+SUMIFS('17a'!$J$7:$J$100,'17a'!$H$7:$H$100,$A318,'17a'!$I$7:$I$100,1)+SUMIFS('18'!$J$7:$J$100,'18'!$H$7:$H$100,$A318,'18'!$I$7:$I$100,1)+SUMIFS('18a'!$J$7:$J$100,'18a'!$H$7:$H$100,$A318,'18a'!$I$7:$I$100,1)
+SUMIFS('19'!$J$7:$J$100,'19'!$H$7:$H$100,$A318,'19'!$I$7:$I$100,1)+SUMIFS('20'!$J$7:$J$100,'20'!$H$7:$H$100,$A318,'20'!$I$7:$I$100,1)+SUMIFS('20a'!$J$7:$J$100,'20a'!$H$7:$H$100,$A318,'20a'!$I$7:$I$100,1)+SUMIFS('21'!$J$7:$J$100,'21'!$H$7:$H$100,$A318,'21'!$I$7:$I$100,1)+SUMIFS('22'!$J$7:$J$100,'22'!$H$7:$H$100,$A318,'22'!$I$7:$I$100,1)+SUMIFS('22a'!$J$7:$J$100,'22a'!$H$7:$H$100,$A318,'22a'!$I$7:$I$100,1)+SUMIFS('22b'!$J$7:$J$100,'22b'!$H$7:$H$100,$A318,'22b'!$I$7:$I$100,1)+SUMIFS('23'!$J$7:$J$100,'23'!$H$7:$H$100,$A318,'23'!$I$7:$I$100,1)+SUMIFS('24'!$J$7:$J$100,'24'!$H$7:$H$100,$A318,'24'!$I$7:$I$100,1)+SUMIFS('24a'!$J$7:$J$100,'24a'!$H$7:$H$100,$A318,'24a'!$I$7:$I$100,1)+SUMIFS('24b'!$J$7:$J$100,'24b'!$H$7:$H$100,$A318,'24b'!$I$7:$I$100,1)+SUMIFS('24c'!$J$7:$J$100,'24c'!$H$7:$H$100,$A318,'24c'!$I$7:$I$100,1)+SUMIFS('24d'!$J$7:$J$100,'24d'!$H$7:$H$100,$A318,'24d'!$I$7:$I$100,1)+SUMIFS('24e'!$J$7:$J$100,'24e'!$H$7:$H$100,$A318,'24e'!$I$7:$I$100,1)+SUMIFS('24f'!$J$7:$J$100,'24f'!$H$7:$H$100,$A318,'24f'!$I$7:$I$100,1)+SUMIFS('24g'!$J$7:$J$100,'24g'!$H$7:$H$100,$A318,'24g'!$I$7:$I$100,1)+SUMIFS('24h'!$J$7:$J$100,'24h'!$H$7:$H$100,$A318,'24h'!$I$7:$I$100,1)+SUMIFS('24i'!$J$7:$J$100,'24i'!$H$7:$H$100,$A318,'24i'!$I$7:$I$100,1)+SUMIFS('25'!$J$7:$J$100,'25'!$H$7:$H$100,$A318,'25'!$I$7:$I$100,1)+SUMIFS('26'!$J$7:$J$100,'26'!$H$7:$H$100,$A318,'26'!$I$7:$I$100,1)+SUMIFS('26a'!$J$7:$J$100,'26a'!$H$7:$H$100,$A318,'26a'!$I$7:$I$100,1)+SUMIFS('27'!$J$7:$J$100,'27'!$H$7:$H$100,$A318,'27'!$I$7:$I$100,1)+SUMIFS('27a'!$J$7:$J$100,'27a'!$H$7:$H$100,$A318,'27a'!$I$7:$I$100,1)+SUMIFS('28'!$J$7:$J$100,'28'!$H$7:$H$100,$A318,'28'!$I$7:$I$100,1)+SUMIFS('29'!$J$7:$J$100,'29'!$H$7:$H$100,$A318,'29'!$I$7:$I$100,1)</f>
        <v>0</v>
      </c>
      <c r="H318" s="1315">
        <f>SUMIFS('12'!$J$7:$J$100,'12'!$H$7:$H$100,$A318,'12'!$I$7:$I$100,2)+SUMIFS('13'!$J$7:$J$100,'13'!$H$7:$H$100,$A318,'13'!$I$7:$I$100,2)+SUMIFS('14'!$J$7:$J$100,'14'!$H$7:$H$100,$A318,'14'!$I$7:$I$100,2)+SUMIFS('15'!$J$7:$J$100,'15'!$H$7:$H$100,$A318,'15'!$I$7:$I$100,2)+SUMIFS('15a'!$J$7:$J$100,'15a'!$H$7:$H$100,$A318,'15a'!$I$7:$I$100,2)+SUMIFS('15b'!$J$7:$J$100,'15b'!$H$7:$H$100,$A318,'15b'!$I$7:$I$100,2)+SUMIFS('15c'!$J$7:$J$100,'15c'!$H$7:$H$100,$A318,'15c'!$I$7:$I$100,2)+SUMIFS('15d'!$J$7:$J$100,'15d'!$H$7:$H$100,$A318,'15d'!$I$7:$I$100,2)+SUMIFS('15e'!$J$7:$J$100,'15e'!$H$7:$H$100,$A318,'15e'!$I$7:$I$100,2)+SUMIFS('15f'!$J$7:$J$100,'15f'!$H$7:$H$100,$A318,'15f'!$I$7:$I$100,2)+SUMIFS('15g'!$J$7:$J$100,'15g'!$H$7:$H$100,$A318,'15g'!$I$7:$I$100,2)+SUMIFS('15h'!$J$7:$J$100,'15h'!$H$7:$H$100,$A318,'15h'!$I$7:$I$100,2)+SUMIFS('15i'!$J$7:$J$100,'15i'!$H$7:$H$100,$A318,'15i'!$I$7:$I$100,2)+SUMIFS('15j'!$J$7:$J$100,'15j'!$H$7:$H$100,$A318,'15j'!$I$7:$I$100,2)+SUMIFS('15k'!$J$7:$J$100,'15k'!$H$7:$H$100,$A318,'15k'!$I$7:$I$100,2)+SUMIFS('15l'!$J$7:$J$100,'15l'!$H$7:$H$100,$A318,'15l'!$I$7:$I$100,2)+SUMIFS('15m'!$J$7:$J$100,'15m'!$H$7:$H$100,$A318,'15m'!$I$7:$I$100,2)+SUMIFS('15n'!$J$7:$J$100,'15n'!$H$7:$H$100,$A318,'15n'!$I$7:$I$100,2)+SUMIFS('16'!$J$7:$J$100,'16'!$H$7:$H$100,$A318,'16'!$I$7:$I$100,2)+SUMIFS('16a'!$J$7:$J$100,'16a'!$H$7:$H$100,$A318,'16a'!$I$7:$I$100,2)+SUMIFS('17'!$J$7:$J$100,'17'!$H$7:$H$100,$A318,'17'!$I$7:$I$100,2)+SUMIFS('17a'!$J$7:$J$100,'17a'!$H$7:$H$100,$A318,'17a'!$I$7:$I$100,2)+SUMIFS('18'!$J$7:$J$100,'18'!$H$7:$H$100,$A318,'18'!$I$7:$I$100,2)+SUMIFS('18a'!$J$7:$J$100,'18a'!$H$7:$H$100,$A318,'18a'!$I$7:$I$100,2)
+SUMIFS('19'!$J$7:$J$100,'19'!$H$7:$H$100,$A318,'19'!$I$7:$I$100,2)+SUMIFS('20'!$J$7:$J$100,'20'!$H$7:$H$100,$A318,'20'!$I$7:$I$100,2)+SUMIFS('20a'!$J$7:$J$100,'20a'!$H$7:$H$100,$A318,'20a'!$I$7:$I$100,2)+SUMIFS('21'!$J$7:$J$100,'21'!$H$7:$H$100,$A318,'21'!$I$7:$I$100,2)+SUMIFS('22'!$J$7:$J$100,'22'!$H$7:$H$100,$A318,'22'!$I$7:$I$100,2)+SUMIFS('22a'!$J$7:$J$100,'22a'!$H$7:$H$100,$A318,'22a'!$I$7:$I$100,2)+SUMIFS('22b'!$J$7:$J$100,'22b'!$H$7:$H$100,$A318,'22b'!$I$7:$I$100,2)+SUMIFS('23'!$J$7:$J$100,'23'!$H$7:$H$100,$A318,'23'!$I$7:$I$100,2)+SUMIFS('24'!$J$7:$J$100,'24'!$H$7:$H$100,$A318,'24'!$I$7:$I$100,2)+SUMIFS('24a'!$J$7:$J$100,'24a'!$H$7:$H$100,$A318,'24a'!$I$7:$I$100,2)+SUMIFS('24b'!$J$7:$J$100,'24b'!$H$7:$H$100,$A318,'24b'!$I$7:$I$100,2)+SUMIFS('24c'!$J$7:$J$100,'24c'!$H$7:$H$100,$A318,'24c'!$I$7:$I$100,2)+SUMIFS('24d'!$J$7:$J$100,'24d'!$H$7:$H$100,$A318,'24d'!$I$7:$I$100,2)+SUMIFS('24e'!$J$7:$J$100,'24e'!$H$7:$H$100,$A318,'24e'!$I$7:$I$100,2)+SUMIFS('24f'!$J$7:$J$100,'24f'!$H$7:$H$100,$A318,'24f'!$I$7:$I$100,2)+SUMIFS('24g'!$J$7:$J$100,'24g'!$H$7:$H$100,$A318,'24g'!$I$7:$I$100,2)+SUMIFS('24h'!$J$7:$J$100,'24h'!$H$7:$H$100,$A318,'24h'!$I$7:$I$100,2)+SUMIFS('24i'!$J$7:$J$100,'24i'!$H$7:$H$100,$A318,'24i'!$I$7:$I$100,2)+SUMIFS('25'!$J$7:$J$100,'25'!$H$7:$H$100,$A318,'25'!$I$7:$I$100,2)+SUMIFS('26'!$J$7:$J$100,'26'!$H$7:$H$100,$A318,'26'!$I$7:$I$100,2)+SUMIFS('26a'!$J$7:$J$100,'26a'!$H$7:$H$100,$A318,'26a'!$I$7:$I$100,2)+SUMIFS('27'!$J$7:$J$100,'27'!$H$7:$H$100,$A318,'27'!$I$7:$I$100,2)+SUMIFS('27a'!$J$7:$J$100,'27a'!$H$7:$H$100,$A318,'27a'!$I$7:$I$100,2)+SUMIFS('28'!$J$7:$J$100,'28'!$H$7:$H$100,$A318,'28'!$I$7:$I$100,2)+SUMIFS('29'!$J$7:$J$100,'29'!$H$7:$H$100,$A318,'29'!$I$7:$I$100,2)</f>
        <v>0</v>
      </c>
      <c r="I318" s="1315">
        <f>SUMIFS('12'!$J$7:$J$100,'12'!$H$7:$H$100,$A318,'12'!$I$7:$I$100,"")+SUMIFS('13'!$J$7:$J$100,'13'!$H$7:$H$100,$A318,'13'!$I$7:$I$100,"")+SUMIFS('14'!$J$7:$J$100,'14'!$H$7:$H$100,$A318,'14'!$I$7:$I$100,"")+SUMIFS('15'!$J$7:$J$100,'15'!$H$7:$H$100,$A318,'15'!$I$7:$I$100,"")+SUMIFS('15a'!$J$7:$J$100,'15a'!$H$7:$H$100,$A318,'15a'!$I$7:$I$100,"")+SUMIFS('15b'!$J$7:$J$100,'15b'!$H$7:$H$100,$A318,'15b'!$I$7:$I$100,"")+SUMIFS('15c'!$J$7:$J$100,'15c'!$H$7:$H$100,$A318,'15c'!$I$7:$I$100,"")+SUMIFS('15d'!$J$7:$J$100,'15d'!$H$7:$H$100,$A318,'15d'!$I$7:$I$100,"")+SUMIFS('15e'!$J$7:$J$100,'15e'!$H$7:$H$100,$A318,'15e'!$I$7:$I$100,"")+SUMIFS('15f'!$J$7:$J$100,'15f'!$H$7:$H$100,$A318,'15f'!$I$7:$I$100,"")+SUMIFS('15g'!$J$7:$J$100,'15g'!$H$7:$H$100,$A318,'15g'!$I$7:$I$100,"")+SUMIFS('15h'!$J$7:$J$100,'15h'!$H$7:$H$100,$A318,'15h'!$I$7:$I$100,"")+SUMIFS('15i'!$J$7:$J$100,'15i'!$H$7:$H$100,$A318,'15i'!$I$7:$I$100,"")+SUMIFS('15j'!$J$7:$J$100,'15j'!$H$7:$H$100,$A318,'15j'!$I$7:$I$100,"")+SUMIFS('15k'!$J$7:$J$100,'15k'!$H$7:$H$100,$A318,'15k'!$I$7:$I$100,"")+SUMIFS('15l'!$J$7:$J$100,'15l'!$H$7:$H$100,$A318,'15l'!$I$7:$I$100,"")+SUMIFS('15m'!$J$7:$J$100,'15m'!$H$7:$H$100,$A318,'15m'!$I$7:$I$100,"")+SUMIFS('15n'!$J$7:$J$100,'15n'!$H$7:$H$100,$A318,'15n'!$I$7:$I$100,"")+SUMIFS('16'!$J$7:$J$100,'16'!$H$7:$H$100,$A318,'16'!$I$7:$I$100,"")+SUMIFS('16a'!$J$7:$J$100,'16a'!$H$7:$H$100,$A318,'16a'!$I$7:$I$100,"")+SUMIFS('17'!$J$7:$J$100,'17'!$H$7:$H$100,$A318,'17'!$I$7:$I$100,"")+SUMIFS('17a'!$J$7:$J$100,'17a'!$H$7:$H$100,$A318,'17a'!$I$7:$I$100,"")+SUMIFS('18'!$J$7:$J$100,'18'!$H$7:$H$100,$A318,'18'!$I$7:$I$100,"")+SUMIFS('18a'!$J$7:$J$100,'18a'!$H$7:$H$100,$A318,'18a'!$I$7:$I$100,"")
+SUMIFS('19'!$J$7:$J$100,'19'!$H$7:$H$100,$A318,'19'!$I$7:$I$100,"")+SUMIFS('20'!$J$7:$J$100,'20'!$H$7:$H$100,$A318,'20'!$I$7:$I$100,"")+SUMIFS('20a'!$J$7:$J$100,'20a'!$H$7:$H$100,$A318,'20a'!$I$7:$I$100,"")+SUMIFS('21'!$J$7:$J$100,'21'!$H$7:$H$100,$A318,'21'!$I$7:$I$100,"")+SUMIFS('22'!$J$7:$J$100,'22'!$H$7:$H$100,$A318,'22'!$I$7:$I$100,"")+SUMIFS('22a'!$J$7:$J$100,'22a'!$H$7:$H$100,$A318,'22a'!$I$7:$I$100,"")+SUMIFS('22b'!$J$7:$J$100,'22b'!$H$7:$H$100,$A318,'22b'!$I$7:$I$100,"")+SUMIFS('23'!$J$7:$J$100,'23'!$H$7:$H$100,$A318,'23'!$I$7:$I$100,"")+SUMIFS('24'!$J$7:$J$100,'24'!$H$7:$H$100,$A318,'24'!$I$7:$I$100,"")+SUMIFS('24a'!$J$7:$J$100,'24a'!$H$7:$H$100,$A318,'24a'!$I$7:$I$100,"")+SUMIFS('24b'!$J$7:$J$100,'24b'!$H$7:$H$100,$A318,'24b'!$I$7:$I$100,"")+SUMIFS('24c'!$J$7:$J$100,'24c'!$H$7:$H$100,$A318,'24c'!$I$7:$I$100,"")+SUMIFS('24d'!$J$7:$J$100,'24d'!$H$7:$H$100,$A318,'24d'!$I$7:$I$100,"")+SUMIFS('24e'!$J$7:$J$100,'24e'!$H$7:$H$100,$A318,'24e'!$I$7:$I$100,"")+SUMIFS('24f'!$J$7:$J$100,'24f'!$H$7:$H$100,$A318,'24f'!$I$7:$I$100,"")+SUMIFS('24g'!$J$7:$J$100,'24g'!$H$7:$H$100,$A318,'24g'!$I$7:$I$100,"")+SUMIFS('24h'!$J$7:$J$100,'24h'!$H$7:$H$100,$A318,'24h'!$I$7:$I$100,"")+SUMIFS('24i'!$J$7:$J$100,'24i'!$H$7:$H$100,$A318,'24i'!$I$7:$I$100,"")+SUMIFS('25'!$J$7:$J$100,'25'!$H$7:$H$100,$A318,'25'!$I$7:$I$100,"")+SUMIFS('26'!$J$7:$J$100,'26'!$H$7:$H$100,$A318,'26'!$I$7:$I$100,"")+SUMIFS('26a'!$J$7:$J$100,'26a'!$H$7:$H$100,$A318,'26a'!$I$7:$I$100,"")+SUMIFS('27'!$J$7:$J$100,'27'!$H$7:$H$100,$A318,'27'!$I$7:$I$100,"")+SUMIFS('27a'!$J$7:$J$100,'27a'!$H$7:$H$100,$A318,'27a'!$I$7:$I$100,"")+SUMIFS('28'!$J$7:$J$100,'28'!$H$7:$H$100,$A318,'28'!$I$7:$I$100,"")+SUMIFS('29'!$J$7:$J$100,'29'!$H$7:$H$100,$A318,'29'!$I$7:$I$100,"")</f>
        <v>0</v>
      </c>
      <c r="J318" s="1296">
        <f t="shared" si="41"/>
        <v>0</v>
      </c>
      <c r="K318"/>
      <c r="L318"/>
      <c r="M318"/>
      <c r="N318"/>
      <c r="O318"/>
      <c r="P318"/>
      <c r="Q318"/>
      <c r="R318"/>
      <c r="S318" s="1307">
        <f t="shared" si="30"/>
        <v>0</v>
      </c>
      <c r="T318"/>
    </row>
    <row r="319" spans="1:20" x14ac:dyDescent="0.2">
      <c r="A319" t="s">
        <v>5112</v>
      </c>
      <c r="B319" t="s">
        <v>5534</v>
      </c>
      <c r="C319" s="1295">
        <f>SUMIFS('12'!$N$7:$N$100,'12'!$H$7:$H$100,$A319,'12'!$I$7:$I$100,1)+SUMIFS('13'!$N$7:$N$100,'13'!$H$7:$H$100,$A319,'13'!$I$7:$I$100,1)+SUMIFS('14'!$N$7:$N$100,'14'!$H$7:$H$100,$A319,'14'!$I$7:$I$100,1)+SUMIFS('15'!$N$7:$N$100,'15'!$H$7:$H$100,$A319,'15'!$I$7:$I$100,1)+SUMIFS('15a'!$N$7:$N$100,'15a'!$H$7:$H$100,$A319,'15a'!$I$7:$I$100,1)+SUMIFS('15b'!$N$7:$N$100,'15b'!$H$7:$H$100,$A319,'15b'!$I$7:$I$100,1)+SUMIFS('15c'!$N$7:$N$100,'15c'!$H$7:$H$100,$A319,'15c'!$I$7:$I$100,1)+SUMIFS('15d'!$N$7:$N$100,'15d'!$H$7:$H$100,$A319,'15d'!$I$7:$I$100,1)+SUMIFS('15e'!$N$7:$N$100,'15e'!$H$7:$H$100,$A319,'15e'!$I$7:$I$100,1)+SUMIFS('15f'!$N$7:$N$100,'15f'!$H$7:$H$100,$A319,'15f'!$I$7:$I$100,1)+SUMIFS('15g'!$N$7:$N$100,'15g'!$H$7:$H$100,$A319,'15g'!$I$7:$I$100,1)+SUMIFS('15h'!$N$7:$N$100,'15h'!$H$7:$H$100,$A319,'15h'!$I$7:$I$100,1)+SUMIFS('15i'!$N$7:$N$100,'15i'!$H$7:$H$100,$A319,'15i'!$I$7:$I$100,1)+SUMIFS('15j'!$N$7:$N$100,'15j'!$H$7:$H$100,$A319,'15j'!$I$7:$I$100,1)+SUMIFS('15k'!$N$7:$N$100,'15k'!$H$7:$H$100,$A319,'15k'!$I$7:$I$100,1)+SUMIFS('15l'!$N$7:$N$100,'15l'!$H$7:$H$100,$A319,'15l'!$I$7:$I$100,1)+SUMIFS('15m'!$N$7:$N$100,'15m'!$H$7:$H$100,$A319,'15m'!$I$7:$I$100,1)+SUMIFS('15n'!$N$7:$N$100,'15n'!$H$7:$H$100,$A319,'15n'!$I$7:$I$100,1)+SUMIFS('16'!$N$7:$N$100,'16'!$H$7:$H$100,$A319,'16'!$I$7:$I$100,1)+SUMIFS('16a'!$N$7:$N$100,'16a'!$H$7:$H$100,$A319,'16a'!$I$7:$I$100,1)+SUMIFS('17'!$N$7:$N$100,'17'!$H$7:$H$100,$A319,'17'!$I$7:$I$100,1)+SUMIFS('17a'!$N$7:$N$100,'17a'!$H$7:$H$100,$A319,'17a'!$I$7:$I$100,1)+SUMIFS('18'!$N$7:$N$100,'18'!$H$7:$H$100,$A319,'18'!$I$7:$I$100,1)+SUMIFS('18a'!$N$7:$N$100,'18a'!$H$7:$H$100,$A319,'18a'!$I$7:$I$100,1)
+SUMIFS('19'!$N$7:$N$100,'19'!$H$7:$H$100,$A319,'19'!$I$7:$I$100,1)+SUMIFS('20'!$N$7:$N$100,'20'!$H$7:$H$100,$A319,'20'!$I$7:$I$100,1)+SUMIFS('20a'!$N$7:$N$100,'20a'!$H$7:$H$100,$A319,'20a'!$I$7:$I$100,1)+SUMIFS('21'!$N$7:$N$100,'21'!$H$7:$H$100,$A319,'21'!$I$7:$I$100,1)+SUMIFS('22'!$N$7:$N$100,'22'!$H$7:$H$100,$A319,'22'!$I$7:$I$100,1)+SUMIFS('22a'!$N$7:$N$100,'22a'!$H$7:$H$100,$A319,'22a'!$I$7:$I$100,1)+SUMIFS('22b'!$N$7:$N$100,'22b'!$H$7:$H$100,$A319,'22b'!$I$7:$I$100,1)+SUMIFS('23'!$N$7:$N$100,'23'!$H$7:$H$100,$A319,'23'!$I$7:$I$100,1)+SUMIFS('24'!$N$7:$N$100,'24'!$H$7:$H$100,$A319,'24'!$I$7:$I$100,1)+SUMIFS('24a'!$N$7:$N$100,'24a'!$H$7:$H$100,$A319,'24a'!$I$7:$I$100,1)+SUMIFS('24b'!$N$7:$N$100,'24b'!$H$7:$H$100,$A319,'24b'!$I$7:$I$100,1)+SUMIFS('24c'!$N$7:$N$100,'24c'!$H$7:$H$100,$A319,'24c'!$I$7:$I$100,1)+SUMIFS('24d'!$N$7:$N$100,'24d'!$H$7:$H$100,$A319,'24d'!$I$7:$I$100,1)+SUMIFS('24e'!$N$7:$N$100,'24e'!$H$7:$H$100,$A319,'24e'!$I$7:$I$100,1)+SUMIFS('24f'!$N$7:$N$100,'24f'!$H$7:$H$100,$A319,'24f'!$I$7:$I$100,1)+SUMIFS('24g'!$N$7:$N$100,'24g'!$H$7:$H$100,$A319,'24g'!$I$7:$I$100,1)+SUMIFS('24h'!$N$7:$N$100,'24h'!$H$7:$H$100,$A319,'24h'!$I$7:$I$100,1)+SUMIFS('24i'!$N$7:$N$100,'24i'!$H$7:$H$100,$A319,'24i'!$I$7:$I$100,1)+SUMIFS('25'!$N$7:$N$100,'25'!$H$7:$H$100,$A319,'25'!$I$7:$I$100,1)+SUMIFS('26'!$N$7:$N$100,'26'!$H$7:$H$100,$A319,'26'!$I$7:$I$100,1)+SUMIFS('26a'!$N$7:$N$100,'26a'!$H$7:$H$100,$A319,'26a'!$I$7:$I$100,1)+SUMIFS('27'!$N$7:$N$100,'27'!$H$7:$H$100,$A319,'27'!$I$7:$I$100,1)+SUMIFS('27a'!$N$7:$N$100,'27a'!$H$7:$H$100,$A319,'27a'!$I$7:$I$100,1)+SUMIFS('28'!$N$7:$N$100,'28'!$H$7:$H$100,$A319,'28'!$I$7:$I$100,1)+SUMIFS('29'!$N$7:$N$100,'29'!$H$7:$H$100,$A319,'29'!$I$7:$I$100,1)</f>
        <v>0</v>
      </c>
      <c r="D319" s="1315">
        <f>SUMIFS('12'!$N$7:$N$100,'12'!$H$7:$H$100,$A319,'12'!$I$7:$I$100,2)+SUMIFS('13'!$N$7:$N$100,'13'!$H$7:$H$100,$A319,'13'!$I$7:$I$100,2)+SUMIFS('14'!$N$7:$N$100,'14'!$H$7:$H$100,$A319,'14'!$I$7:$I$100,2)+SUMIFS('15'!$N$7:$N$100,'15'!$H$7:$H$100,$A319,'15'!$I$7:$I$100,2)+SUMIFS('15a'!$N$7:$N$100,'15a'!$H$7:$H$100,$A319,'15a'!$I$7:$I$100,2)+SUMIFS('15b'!$N$7:$N$100,'15b'!$H$7:$H$100,$A319,'15b'!$I$7:$I$100,2)+SUMIFS('15c'!$N$7:$N$100,'15c'!$H$7:$H$100,$A319,'15c'!$I$7:$I$100,2)+SUMIFS('15d'!$N$7:$N$100,'15d'!$H$7:$H$100,$A319,'15d'!$I$7:$I$100,2)+SUMIFS('15e'!$N$7:$N$100,'15e'!$H$7:$H$100,$A319,'15e'!$I$7:$I$100,2)+SUMIFS('15f'!$N$7:$N$100,'15f'!$H$7:$H$100,$A319,'15f'!$I$7:$I$100,2)+SUMIFS('15g'!$N$7:$N$100,'15g'!$H$7:$H$100,$A319,'15g'!$I$7:$I$100,2)+SUMIFS('15h'!$N$7:$N$100,'15h'!$H$7:$H$100,$A319,'15h'!$I$7:$I$100,2)+SUMIFS('15i'!$N$7:$N$100,'15i'!$H$7:$H$100,$A319,'15i'!$I$7:$I$100,2)+SUMIFS('15j'!$N$7:$N$100,'15j'!$H$7:$H$100,$A319,'15j'!$I$7:$I$100,2)+SUMIFS('15k'!$N$7:$N$100,'15k'!$H$7:$H$100,$A319,'15k'!$I$7:$I$100,2)+SUMIFS('15l'!$N$7:$N$100,'15l'!$H$7:$H$100,$A319,'15l'!$I$7:$I$100,2)+SUMIFS('15m'!$N$7:$N$100,'15m'!$H$7:$H$100,$A319,'15m'!$I$7:$I$100,2)+SUMIFS('15n'!$N$7:$N$100,'15n'!$H$7:$H$100,$A319,'15n'!$I$7:$I$100,2)+SUMIFS('16'!$N$7:$N$100,'16'!$H$7:$H$100,$A319,'16'!$I$7:$I$100,2)+SUMIFS('16a'!$N$7:$N$100,'16a'!$H$7:$H$100,$A319,'16a'!$I$7:$I$100,2)+SUMIFS('17'!$N$7:$N$100,'17'!$H$7:$H$100,$A319,'17'!$I$7:$I$100,2)+SUMIFS('17a'!$N$7:$N$100,'17a'!$H$7:$H$100,$A319,'17a'!$I$7:$I$100,2)+SUMIFS('18'!$N$7:$N$100,'18'!$H$7:$H$100,$A319,'18'!$I$7:$I$100,2)+SUMIFS('18a'!$N$7:$N$100,'18a'!$H$7:$H$100,$A319,'18a'!$I$7:$I$100,2)
+SUMIFS('19'!$N$7:$N$100,'19'!$H$7:$H$100,$A319,'19'!$I$7:$I$100,2)+SUMIFS('20'!$N$7:$N$100,'20'!$H$7:$H$100,$A319,'20'!$I$7:$I$100,2)+SUMIFS('20a'!$N$7:$N$100,'20a'!$H$7:$H$100,$A319,'20a'!$I$7:$I$100,2)+SUMIFS('21'!$N$7:$N$100,'21'!$H$7:$H$100,$A319,'21'!$I$7:$I$100,2)+SUMIFS('22'!$N$7:$N$100,'22'!$H$7:$H$100,$A319,'22'!$I$7:$I$100,2)+SUMIFS('22a'!$N$7:$N$100,'22a'!$H$7:$H$100,$A319,'22a'!$I$7:$I$100,2)+SUMIFS('22b'!$N$7:$N$100,'22b'!$H$7:$H$100,$A319,'22b'!$I$7:$I$100,2)+SUMIFS('23'!$N$7:$N$100,'23'!$H$7:$H$100,$A319,'23'!$I$7:$I$100,2)+SUMIFS('24'!$N$7:$N$100,'24'!$H$7:$H$100,$A319,'24'!$I$7:$I$100,2)+SUMIFS('24a'!$N$7:$N$100,'24a'!$H$7:$H$100,$A319,'24a'!$I$7:$I$100,2)+SUMIFS('24b'!$N$7:$N$100,'24b'!$H$7:$H$100,$A319,'24b'!$I$7:$I$100,2)+SUMIFS('24c'!$N$7:$N$100,'24c'!$H$7:$H$100,$A319,'24c'!$I$7:$I$100,2)+SUMIFS('24d'!$N$7:$N$100,'24d'!$H$7:$H$100,$A319,'24d'!$I$7:$I$100,2)+SUMIFS('24e'!$N$7:$N$100,'24e'!$H$7:$H$100,$A319,'24e'!$I$7:$I$100,2)+SUMIFS('24f'!$N$7:$N$100,'24f'!$H$7:$H$100,$A319,'24f'!$I$7:$I$100,2)+SUMIFS('24g'!$N$7:$N$100,'24g'!$H$7:$H$100,$A319,'24g'!$I$7:$I$100,2)+SUMIFS('24h'!$N$7:$N$100,'24h'!$H$7:$H$100,$A319,'24h'!$I$7:$I$100,2)+SUMIFS('24i'!$N$7:$N$100,'24i'!$H$7:$H$100,$A319,'24i'!$I$7:$I$100,2)+SUMIFS('25'!$N$7:$N$100,'25'!$H$7:$H$100,$A319,'25'!$I$7:$I$100,2)+SUMIFS('26'!$N$7:$N$100,'26'!$H$7:$H$100,$A319,'26'!$I$7:$I$100,2)+SUMIFS('26a'!$N$7:$N$100,'26a'!$H$7:$H$100,$A319,'26a'!$I$7:$I$100,2)+SUMIFS('27'!$N$7:$N$100,'27'!$H$7:$H$100,$A319,'27'!$I$7:$I$100,2)+SUMIFS('27a'!$N$7:$N$100,'27a'!$H$7:$H$100,$A319,'27a'!$I$7:$I$100,2)+SUMIFS('28'!$N$7:$N$100,'28'!$H$7:$H$100,$A319,'28'!$I$7:$I$100,2)+SUMIFS('29'!$N$7:$N$100,'29'!$H$7:$H$100,$A319,'29'!$I$7:$I$100,2)</f>
        <v>0</v>
      </c>
      <c r="E319" s="1315">
        <f>SUMIFS('12'!$N$7:$N$100,'12'!$H$7:$H$100,$A319,'12'!$I$7:$I$100,"")+SUMIFS('13'!$N$7:$N$100,'13'!$H$7:$H$100,$A319,'13'!$I$7:$I$100,"")+SUMIFS('14'!$N$7:$N$100,'14'!$H$7:$H$100,$A319,'14'!$I$7:$I$100,"")+SUMIFS('15'!$N$7:$N$100,'15'!$H$7:$H$100,$A319,'15'!$I$7:$I$100,"")+SUMIFS('15a'!$N$7:$N$100,'15a'!$H$7:$H$100,$A319,'15a'!$I$7:$I$100,"")+SUMIFS('15b'!$N$7:$N$100,'15b'!$H$7:$H$100,$A319,'15b'!$I$7:$I$100,"")+SUMIFS('15c'!$N$7:$N$100,'15c'!$H$7:$H$100,$A319,'15c'!$I$7:$I$100,"")+SUMIFS('15d'!$N$7:$N$100,'15d'!$H$7:$H$100,$A319,'15d'!$I$7:$I$100,"")+SUMIFS('15e'!$N$7:$N$100,'15e'!$H$7:$H$100,$A319,'15e'!$I$7:$I$100,"")+SUMIFS('15f'!$N$7:$N$100,'15f'!$H$7:$H$100,$A319,'15f'!$I$7:$I$100,"")+SUMIFS('15g'!$N$7:$N$100,'15g'!$H$7:$H$100,$A319,'15g'!$I$7:$I$100,"")+SUMIFS('15h'!$N$7:$N$100,'15h'!$H$7:$H$100,$A319,'15h'!$I$7:$I$100,"")+SUMIFS('15i'!$N$7:$N$100,'15i'!$H$7:$H$100,$A319,'15i'!$I$7:$I$100,"")+SUMIFS('15j'!$N$7:$N$100,'15j'!$H$7:$H$100,$A319,'15j'!$I$7:$I$100,"")+SUMIFS('15k'!$N$7:$N$100,'15k'!$H$7:$H$100,$A319,'15k'!$I$7:$I$100,"")+SUMIFS('15l'!$N$7:$N$100,'15l'!$H$7:$H$100,$A319,'15l'!$I$7:$I$100,"")+SUMIFS('15m'!$N$7:$N$100,'15m'!$H$7:$H$100,$A319,'15m'!$I$7:$I$100,"")+SUMIFS('15n'!$N$7:$N$100,'15n'!$H$7:$H$100,$A319,'15n'!$I$7:$I$100,"")+SUMIFS('16'!$N$7:$N$100,'16'!$H$7:$H$100,$A319,'16'!$I$7:$I$100,"")+SUMIFS('16a'!$N$7:$N$100,'16a'!$H$7:$H$100,$A319,'16a'!$I$7:$I$100,"")+SUMIFS('17'!$N$7:$N$100,'17'!$H$7:$H$100,$A319,'17'!$I$7:$I$100,"")+SUMIFS('17a'!$N$7:$N$100,'17a'!$H$7:$H$100,$A319,'17a'!$I$7:$I$100,"")+SUMIFS('18'!$N$7:$N$100,'18'!$H$7:$H$100,$A319,'18'!$I$7:$I$100,"")+SUMIFS('18a'!$N$7:$N$100,'18a'!$H$7:$H$100,$A319,'18a'!$I$7:$I$100,"")
+SUMIFS('19'!$N$7:$N$100,'19'!$H$7:$H$100,$A319,'19'!$I$7:$I$100,"")+SUMIFS('20'!$N$7:$N$100,'20'!$H$7:$H$100,$A319,'20'!$I$7:$I$100,"")+SUMIFS('20a'!$N$7:$N$100,'20a'!$H$7:$H$100,$A319,'20a'!$I$7:$I$100,"")+SUMIFS('21'!$N$7:$N$100,'21'!$H$7:$H$100,$A319,'21'!$I$7:$I$100,"")+SUMIFS('22'!$N$7:$N$100,'22'!$H$7:$H$100,$A319,'22'!$I$7:$I$100,"")+SUMIFS('22a'!$N$7:$N$100,'22a'!$H$7:$H$100,$A319,'22a'!$I$7:$I$100,"")+SUMIFS('22b'!$N$7:$N$100,'22b'!$H$7:$H$100,$A319,'22b'!$I$7:$I$100,"")+SUMIFS('23'!$N$7:$N$100,'23'!$H$7:$H$100,$A319,'23'!$I$7:$I$100,"")+SUMIFS('24'!$N$7:$N$100,'24'!$H$7:$H$100,$A319,'24'!$I$7:$I$100,"")+SUMIFS('24a'!$N$7:$N$100,'24a'!$H$7:$H$100,$A319,'24a'!$I$7:$I$100,"")+SUMIFS('24b'!$N$7:$N$100,'24b'!$H$7:$H$100,$A319,'24b'!$I$7:$I$100,"")+SUMIFS('24c'!$N$7:$N$100,'24c'!$H$7:$H$100,$A319,'24c'!$I$7:$I$100,"")+SUMIFS('24d'!$N$7:$N$100,'24d'!$H$7:$H$100,$A319,'24d'!$I$7:$I$100,"")+SUMIFS('24e'!$N$7:$N$100,'24e'!$H$7:$H$100,$A319,'24e'!$I$7:$I$100,"")+SUMIFS('24f'!$N$7:$N$100,'24f'!$H$7:$H$100,$A319,'24f'!$I$7:$I$100,"")+SUMIFS('24g'!$N$7:$N$100,'24g'!$H$7:$H$100,$A319,'24g'!$I$7:$I$100,"")+SUMIFS('24h'!$N$7:$N$100,'24h'!$H$7:$H$100,$A319,'24h'!$I$7:$I$100,"")+SUMIFS('24i'!$N$7:$N$100,'24i'!$H$7:$H$100,$A319,'24i'!$I$7:$I$100,"")+SUMIFS('25'!$N$7:$N$100,'25'!$H$7:$H$100,$A319,'25'!$I$7:$I$100,"")+SUMIFS('26'!$N$7:$N$100,'26'!$H$7:$H$100,$A319,'26'!$I$7:$I$100,"")+SUMIFS('26a'!$N$7:$N$100,'26a'!$H$7:$H$100,$A319,'26a'!$I$7:$I$100,"")+SUMIFS('27'!$N$7:$N$100,'27'!$H$7:$H$100,$A319,'27'!$I$7:$I$100,"")+SUMIFS('27a'!$N$7:$N$100,'27a'!$H$7:$H$100,$A319,'27a'!$I$7:$I$100,"")+SUMIFS('28'!$N$7:$N$100,'28'!$H$7:$H$100,$A319,'28'!$I$7:$I$100,"")+SUMIFS('29'!$N$7:$N$100,'29'!$H$7:$H$100,$A319,'29'!$I$7:$I$100,"")</f>
        <v>0</v>
      </c>
      <c r="F319" s="1296">
        <f t="shared" si="40"/>
        <v>0</v>
      </c>
      <c r="G319" s="1295">
        <f>SUMIFS('12'!$J$7:$J$100,'12'!$H$7:$H$100,$A319,'12'!$I$7:$I$100,1)+SUMIFS('13'!$J$7:$J$100,'13'!$H$7:$H$100,$A319,'13'!$I$7:$I$100,1)+SUMIFS('14'!$J$7:$J$100,'14'!$H$7:$H$100,$A319,'14'!$I$7:$I$100,1)+SUMIFS('15'!$J$7:$J$100,'15'!$H$7:$H$100,$A319,'15'!$I$7:$I$100,1)+SUMIFS('15a'!$J$7:$J$100,'15a'!$H$7:$H$100,$A319,'15a'!$I$7:$I$100,1)+SUMIFS('15b'!$J$7:$J$100,'15b'!$H$7:$H$100,$A319,'15b'!$I$7:$I$100,1)+SUMIFS('15c'!$J$7:$J$100,'15c'!$H$7:$H$100,$A319,'15c'!$I$7:$I$100,1)+SUMIFS('15d'!$J$7:$J$100,'15d'!$H$7:$H$100,$A319,'15d'!$I$7:$I$100,1)+SUMIFS('15e'!$J$7:$J$100,'15e'!$H$7:$H$100,$A319,'15e'!$I$7:$I$100,1)+SUMIFS('15f'!$J$7:$J$100,'15f'!$H$7:$H$100,$A319,'15f'!$I$7:$I$100,1)+SUMIFS('15g'!$J$7:$J$100,'15g'!$H$7:$H$100,$A319,'15g'!$I$7:$I$100,1)+SUMIFS('15h'!$J$7:$J$100,'15h'!$H$7:$H$100,$A319,'15h'!$I$7:$I$100,1)+SUMIFS('15i'!$J$7:$J$100,'15i'!$H$7:$H$100,$A319,'15i'!$I$7:$I$100,1)+SUMIFS('15j'!$J$7:$J$100,'15j'!$H$7:$H$100,$A319,'15j'!$I$7:$I$100,1)+SUMIFS('15k'!$J$7:$J$100,'15k'!$H$7:$H$100,$A319,'15k'!$I$7:$I$100,1)+SUMIFS('15l'!$J$7:$J$100,'15l'!$H$7:$H$100,$A319,'15l'!$I$7:$I$100,1)+SUMIFS('15m'!$J$7:$J$100,'15m'!$H$7:$H$100,$A319,'15m'!$I$7:$I$100,1)+SUMIFS('15n'!$J$7:$J$100,'15n'!$H$7:$H$100,$A319,'15n'!$I$7:$I$100,1)+SUMIFS('16'!$J$7:$J$100,'16'!$H$7:$H$100,$A319,'16'!$I$7:$I$100,1)+SUMIFS('16a'!$J$7:$J$100,'16a'!$H$7:$H$100,$A319,'16a'!$I$7:$I$100,1)+SUMIFS('17'!$J$7:$J$100,'17'!$H$7:$H$100,$A319,'17'!$I$7:$I$100,1)+SUMIFS('17a'!$J$7:$J$100,'17a'!$H$7:$H$100,$A319,'17a'!$I$7:$I$100,1)+SUMIFS('18'!$J$7:$J$100,'18'!$H$7:$H$100,$A319,'18'!$I$7:$I$100,1)+SUMIFS('18a'!$J$7:$J$100,'18a'!$H$7:$H$100,$A319,'18a'!$I$7:$I$100,1)
+SUMIFS('19'!$J$7:$J$100,'19'!$H$7:$H$100,$A319,'19'!$I$7:$I$100,1)+SUMIFS('20'!$J$7:$J$100,'20'!$H$7:$H$100,$A319,'20'!$I$7:$I$100,1)+SUMIFS('20a'!$J$7:$J$100,'20a'!$H$7:$H$100,$A319,'20a'!$I$7:$I$100,1)+SUMIFS('21'!$J$7:$J$100,'21'!$H$7:$H$100,$A319,'21'!$I$7:$I$100,1)+SUMIFS('22'!$J$7:$J$100,'22'!$H$7:$H$100,$A319,'22'!$I$7:$I$100,1)+SUMIFS('22a'!$J$7:$J$100,'22a'!$H$7:$H$100,$A319,'22a'!$I$7:$I$100,1)+SUMIFS('22b'!$J$7:$J$100,'22b'!$H$7:$H$100,$A319,'22b'!$I$7:$I$100,1)+SUMIFS('23'!$J$7:$J$100,'23'!$H$7:$H$100,$A319,'23'!$I$7:$I$100,1)+SUMIFS('24'!$J$7:$J$100,'24'!$H$7:$H$100,$A319,'24'!$I$7:$I$100,1)+SUMIFS('24a'!$J$7:$J$100,'24a'!$H$7:$H$100,$A319,'24a'!$I$7:$I$100,1)+SUMIFS('24b'!$J$7:$J$100,'24b'!$H$7:$H$100,$A319,'24b'!$I$7:$I$100,1)+SUMIFS('24c'!$J$7:$J$100,'24c'!$H$7:$H$100,$A319,'24c'!$I$7:$I$100,1)+SUMIFS('24d'!$J$7:$J$100,'24d'!$H$7:$H$100,$A319,'24d'!$I$7:$I$100,1)+SUMIFS('24e'!$J$7:$J$100,'24e'!$H$7:$H$100,$A319,'24e'!$I$7:$I$100,1)+SUMIFS('24f'!$J$7:$J$100,'24f'!$H$7:$H$100,$A319,'24f'!$I$7:$I$100,1)+SUMIFS('24g'!$J$7:$J$100,'24g'!$H$7:$H$100,$A319,'24g'!$I$7:$I$100,1)+SUMIFS('24h'!$J$7:$J$100,'24h'!$H$7:$H$100,$A319,'24h'!$I$7:$I$100,1)+SUMIFS('24i'!$J$7:$J$100,'24i'!$H$7:$H$100,$A319,'24i'!$I$7:$I$100,1)+SUMIFS('25'!$J$7:$J$100,'25'!$H$7:$H$100,$A319,'25'!$I$7:$I$100,1)+SUMIFS('26'!$J$7:$J$100,'26'!$H$7:$H$100,$A319,'26'!$I$7:$I$100,1)+SUMIFS('26a'!$J$7:$J$100,'26a'!$H$7:$H$100,$A319,'26a'!$I$7:$I$100,1)+SUMIFS('27'!$J$7:$J$100,'27'!$H$7:$H$100,$A319,'27'!$I$7:$I$100,1)+SUMIFS('27a'!$J$7:$J$100,'27a'!$H$7:$H$100,$A319,'27a'!$I$7:$I$100,1)+SUMIFS('28'!$J$7:$J$100,'28'!$H$7:$H$100,$A319,'28'!$I$7:$I$100,1)+SUMIFS('29'!$J$7:$J$100,'29'!$H$7:$H$100,$A319,'29'!$I$7:$I$100,1)</f>
        <v>0</v>
      </c>
      <c r="H319" s="1315">
        <f>SUMIFS('12'!$J$7:$J$100,'12'!$H$7:$H$100,$A319,'12'!$I$7:$I$100,2)+SUMIFS('13'!$J$7:$J$100,'13'!$H$7:$H$100,$A319,'13'!$I$7:$I$100,2)+SUMIFS('14'!$J$7:$J$100,'14'!$H$7:$H$100,$A319,'14'!$I$7:$I$100,2)+SUMIFS('15'!$J$7:$J$100,'15'!$H$7:$H$100,$A319,'15'!$I$7:$I$100,2)+SUMIFS('15a'!$J$7:$J$100,'15a'!$H$7:$H$100,$A319,'15a'!$I$7:$I$100,2)+SUMIFS('15b'!$J$7:$J$100,'15b'!$H$7:$H$100,$A319,'15b'!$I$7:$I$100,2)+SUMIFS('15c'!$J$7:$J$100,'15c'!$H$7:$H$100,$A319,'15c'!$I$7:$I$100,2)+SUMIFS('15d'!$J$7:$J$100,'15d'!$H$7:$H$100,$A319,'15d'!$I$7:$I$100,2)+SUMIFS('15e'!$J$7:$J$100,'15e'!$H$7:$H$100,$A319,'15e'!$I$7:$I$100,2)+SUMIFS('15f'!$J$7:$J$100,'15f'!$H$7:$H$100,$A319,'15f'!$I$7:$I$100,2)+SUMIFS('15g'!$J$7:$J$100,'15g'!$H$7:$H$100,$A319,'15g'!$I$7:$I$100,2)+SUMIFS('15h'!$J$7:$J$100,'15h'!$H$7:$H$100,$A319,'15h'!$I$7:$I$100,2)+SUMIFS('15i'!$J$7:$J$100,'15i'!$H$7:$H$100,$A319,'15i'!$I$7:$I$100,2)+SUMIFS('15j'!$J$7:$J$100,'15j'!$H$7:$H$100,$A319,'15j'!$I$7:$I$100,2)+SUMIFS('15k'!$J$7:$J$100,'15k'!$H$7:$H$100,$A319,'15k'!$I$7:$I$100,2)+SUMIFS('15l'!$J$7:$J$100,'15l'!$H$7:$H$100,$A319,'15l'!$I$7:$I$100,2)+SUMIFS('15m'!$J$7:$J$100,'15m'!$H$7:$H$100,$A319,'15m'!$I$7:$I$100,2)+SUMIFS('15n'!$J$7:$J$100,'15n'!$H$7:$H$100,$A319,'15n'!$I$7:$I$100,2)+SUMIFS('16'!$J$7:$J$100,'16'!$H$7:$H$100,$A319,'16'!$I$7:$I$100,2)+SUMIFS('16a'!$J$7:$J$100,'16a'!$H$7:$H$100,$A319,'16a'!$I$7:$I$100,2)+SUMIFS('17'!$J$7:$J$100,'17'!$H$7:$H$100,$A319,'17'!$I$7:$I$100,2)+SUMIFS('17a'!$J$7:$J$100,'17a'!$H$7:$H$100,$A319,'17a'!$I$7:$I$100,2)+SUMIFS('18'!$J$7:$J$100,'18'!$H$7:$H$100,$A319,'18'!$I$7:$I$100,2)+SUMIFS('18a'!$J$7:$J$100,'18a'!$H$7:$H$100,$A319,'18a'!$I$7:$I$100,2)
+SUMIFS('19'!$J$7:$J$100,'19'!$H$7:$H$100,$A319,'19'!$I$7:$I$100,2)+SUMIFS('20'!$J$7:$J$100,'20'!$H$7:$H$100,$A319,'20'!$I$7:$I$100,2)+SUMIFS('20a'!$J$7:$J$100,'20a'!$H$7:$H$100,$A319,'20a'!$I$7:$I$100,2)+SUMIFS('21'!$J$7:$J$100,'21'!$H$7:$H$100,$A319,'21'!$I$7:$I$100,2)+SUMIFS('22'!$J$7:$J$100,'22'!$H$7:$H$100,$A319,'22'!$I$7:$I$100,2)+SUMIFS('22a'!$J$7:$J$100,'22a'!$H$7:$H$100,$A319,'22a'!$I$7:$I$100,2)+SUMIFS('22b'!$J$7:$J$100,'22b'!$H$7:$H$100,$A319,'22b'!$I$7:$I$100,2)+SUMIFS('23'!$J$7:$J$100,'23'!$H$7:$H$100,$A319,'23'!$I$7:$I$100,2)+SUMIFS('24'!$J$7:$J$100,'24'!$H$7:$H$100,$A319,'24'!$I$7:$I$100,2)+SUMIFS('24a'!$J$7:$J$100,'24a'!$H$7:$H$100,$A319,'24a'!$I$7:$I$100,2)+SUMIFS('24b'!$J$7:$J$100,'24b'!$H$7:$H$100,$A319,'24b'!$I$7:$I$100,2)+SUMIFS('24c'!$J$7:$J$100,'24c'!$H$7:$H$100,$A319,'24c'!$I$7:$I$100,2)+SUMIFS('24d'!$J$7:$J$100,'24d'!$H$7:$H$100,$A319,'24d'!$I$7:$I$100,2)+SUMIFS('24e'!$J$7:$J$100,'24e'!$H$7:$H$100,$A319,'24e'!$I$7:$I$100,2)+SUMIFS('24f'!$J$7:$J$100,'24f'!$H$7:$H$100,$A319,'24f'!$I$7:$I$100,2)+SUMIFS('24g'!$J$7:$J$100,'24g'!$H$7:$H$100,$A319,'24g'!$I$7:$I$100,2)+SUMIFS('24h'!$J$7:$J$100,'24h'!$H$7:$H$100,$A319,'24h'!$I$7:$I$100,2)+SUMIFS('24i'!$J$7:$J$100,'24i'!$H$7:$H$100,$A319,'24i'!$I$7:$I$100,2)+SUMIFS('25'!$J$7:$J$100,'25'!$H$7:$H$100,$A319,'25'!$I$7:$I$100,2)+SUMIFS('26'!$J$7:$J$100,'26'!$H$7:$H$100,$A319,'26'!$I$7:$I$100,2)+SUMIFS('26a'!$J$7:$J$100,'26a'!$H$7:$H$100,$A319,'26a'!$I$7:$I$100,2)+SUMIFS('27'!$J$7:$J$100,'27'!$H$7:$H$100,$A319,'27'!$I$7:$I$100,2)+SUMIFS('27a'!$J$7:$J$100,'27a'!$H$7:$H$100,$A319,'27a'!$I$7:$I$100,2)+SUMIFS('28'!$J$7:$J$100,'28'!$H$7:$H$100,$A319,'28'!$I$7:$I$100,2)+SUMIFS('29'!$J$7:$J$100,'29'!$H$7:$H$100,$A319,'29'!$I$7:$I$100,2)</f>
        <v>0</v>
      </c>
      <c r="I319" s="1315">
        <f>SUMIFS('12'!$J$7:$J$100,'12'!$H$7:$H$100,$A319,'12'!$I$7:$I$100,"")+SUMIFS('13'!$J$7:$J$100,'13'!$H$7:$H$100,$A319,'13'!$I$7:$I$100,"")+SUMIFS('14'!$J$7:$J$100,'14'!$H$7:$H$100,$A319,'14'!$I$7:$I$100,"")+SUMIFS('15'!$J$7:$J$100,'15'!$H$7:$H$100,$A319,'15'!$I$7:$I$100,"")+SUMIFS('15a'!$J$7:$J$100,'15a'!$H$7:$H$100,$A319,'15a'!$I$7:$I$100,"")+SUMIFS('15b'!$J$7:$J$100,'15b'!$H$7:$H$100,$A319,'15b'!$I$7:$I$100,"")+SUMIFS('15c'!$J$7:$J$100,'15c'!$H$7:$H$100,$A319,'15c'!$I$7:$I$100,"")+SUMIFS('15d'!$J$7:$J$100,'15d'!$H$7:$H$100,$A319,'15d'!$I$7:$I$100,"")+SUMIFS('15e'!$J$7:$J$100,'15e'!$H$7:$H$100,$A319,'15e'!$I$7:$I$100,"")+SUMIFS('15f'!$J$7:$J$100,'15f'!$H$7:$H$100,$A319,'15f'!$I$7:$I$100,"")+SUMIFS('15g'!$J$7:$J$100,'15g'!$H$7:$H$100,$A319,'15g'!$I$7:$I$100,"")+SUMIFS('15h'!$J$7:$J$100,'15h'!$H$7:$H$100,$A319,'15h'!$I$7:$I$100,"")+SUMIFS('15i'!$J$7:$J$100,'15i'!$H$7:$H$100,$A319,'15i'!$I$7:$I$100,"")+SUMIFS('15j'!$J$7:$J$100,'15j'!$H$7:$H$100,$A319,'15j'!$I$7:$I$100,"")+SUMIFS('15k'!$J$7:$J$100,'15k'!$H$7:$H$100,$A319,'15k'!$I$7:$I$100,"")+SUMIFS('15l'!$J$7:$J$100,'15l'!$H$7:$H$100,$A319,'15l'!$I$7:$I$100,"")+SUMIFS('15m'!$J$7:$J$100,'15m'!$H$7:$H$100,$A319,'15m'!$I$7:$I$100,"")+SUMIFS('15n'!$J$7:$J$100,'15n'!$H$7:$H$100,$A319,'15n'!$I$7:$I$100,"")+SUMIFS('16'!$J$7:$J$100,'16'!$H$7:$H$100,$A319,'16'!$I$7:$I$100,"")+SUMIFS('16a'!$J$7:$J$100,'16a'!$H$7:$H$100,$A319,'16a'!$I$7:$I$100,"")+SUMIFS('17'!$J$7:$J$100,'17'!$H$7:$H$100,$A319,'17'!$I$7:$I$100,"")+SUMIFS('17a'!$J$7:$J$100,'17a'!$H$7:$H$100,$A319,'17a'!$I$7:$I$100,"")+SUMIFS('18'!$J$7:$J$100,'18'!$H$7:$H$100,$A319,'18'!$I$7:$I$100,"")+SUMIFS('18a'!$J$7:$J$100,'18a'!$H$7:$H$100,$A319,'18a'!$I$7:$I$100,"")
+SUMIFS('19'!$J$7:$J$100,'19'!$H$7:$H$100,$A319,'19'!$I$7:$I$100,"")+SUMIFS('20'!$J$7:$J$100,'20'!$H$7:$H$100,$A319,'20'!$I$7:$I$100,"")+SUMIFS('20a'!$J$7:$J$100,'20a'!$H$7:$H$100,$A319,'20a'!$I$7:$I$100,"")+SUMIFS('21'!$J$7:$J$100,'21'!$H$7:$H$100,$A319,'21'!$I$7:$I$100,"")+SUMIFS('22'!$J$7:$J$100,'22'!$H$7:$H$100,$A319,'22'!$I$7:$I$100,"")+SUMIFS('22a'!$J$7:$J$100,'22a'!$H$7:$H$100,$A319,'22a'!$I$7:$I$100,"")+SUMIFS('22b'!$J$7:$J$100,'22b'!$H$7:$H$100,$A319,'22b'!$I$7:$I$100,"")+SUMIFS('23'!$J$7:$J$100,'23'!$H$7:$H$100,$A319,'23'!$I$7:$I$100,"")+SUMIFS('24'!$J$7:$J$100,'24'!$H$7:$H$100,$A319,'24'!$I$7:$I$100,"")+SUMIFS('24a'!$J$7:$J$100,'24a'!$H$7:$H$100,$A319,'24a'!$I$7:$I$100,"")+SUMIFS('24b'!$J$7:$J$100,'24b'!$H$7:$H$100,$A319,'24b'!$I$7:$I$100,"")+SUMIFS('24c'!$J$7:$J$100,'24c'!$H$7:$H$100,$A319,'24c'!$I$7:$I$100,"")+SUMIFS('24d'!$J$7:$J$100,'24d'!$H$7:$H$100,$A319,'24d'!$I$7:$I$100,"")+SUMIFS('24e'!$J$7:$J$100,'24e'!$H$7:$H$100,$A319,'24e'!$I$7:$I$100,"")+SUMIFS('24f'!$J$7:$J$100,'24f'!$H$7:$H$100,$A319,'24f'!$I$7:$I$100,"")+SUMIFS('24g'!$J$7:$J$100,'24g'!$H$7:$H$100,$A319,'24g'!$I$7:$I$100,"")+SUMIFS('24h'!$J$7:$J$100,'24h'!$H$7:$H$100,$A319,'24h'!$I$7:$I$100,"")+SUMIFS('24i'!$J$7:$J$100,'24i'!$H$7:$H$100,$A319,'24i'!$I$7:$I$100,"")+SUMIFS('25'!$J$7:$J$100,'25'!$H$7:$H$100,$A319,'25'!$I$7:$I$100,"")+SUMIFS('26'!$J$7:$J$100,'26'!$H$7:$H$100,$A319,'26'!$I$7:$I$100,"")+SUMIFS('26a'!$J$7:$J$100,'26a'!$H$7:$H$100,$A319,'26a'!$I$7:$I$100,"")+SUMIFS('27'!$J$7:$J$100,'27'!$H$7:$H$100,$A319,'27'!$I$7:$I$100,"")+SUMIFS('27a'!$J$7:$J$100,'27a'!$H$7:$H$100,$A319,'27a'!$I$7:$I$100,"")+SUMIFS('28'!$J$7:$J$100,'28'!$H$7:$H$100,$A319,'28'!$I$7:$I$100,"")+SUMIFS('29'!$J$7:$J$100,'29'!$H$7:$H$100,$A319,'29'!$I$7:$I$100,"")</f>
        <v>0</v>
      </c>
      <c r="J319" s="1296">
        <f t="shared" si="41"/>
        <v>0</v>
      </c>
      <c r="K319"/>
      <c r="L319"/>
      <c r="M319"/>
      <c r="N319"/>
      <c r="O319"/>
      <c r="P319"/>
      <c r="Q319"/>
      <c r="R319"/>
      <c r="S319" s="1307">
        <f t="shared" si="30"/>
        <v>0</v>
      </c>
      <c r="T319"/>
    </row>
    <row r="320" spans="1:20" x14ac:dyDescent="0.2">
      <c r="A320" t="s">
        <v>5115</v>
      </c>
      <c r="B320" t="s">
        <v>5535</v>
      </c>
      <c r="C320" s="1295">
        <f>SUMIFS('12'!$N$7:$N$100,'12'!$H$7:$H$100,$A320,'12'!$I$7:$I$100,1)+SUMIFS('13'!$N$7:$N$100,'13'!$H$7:$H$100,$A320,'13'!$I$7:$I$100,1)+SUMIFS('14'!$N$7:$N$100,'14'!$H$7:$H$100,$A320,'14'!$I$7:$I$100,1)+SUMIFS('15'!$N$7:$N$100,'15'!$H$7:$H$100,$A320,'15'!$I$7:$I$100,1)+SUMIFS('15a'!$N$7:$N$100,'15a'!$H$7:$H$100,$A320,'15a'!$I$7:$I$100,1)+SUMIFS('15b'!$N$7:$N$100,'15b'!$H$7:$H$100,$A320,'15b'!$I$7:$I$100,1)+SUMIFS('15c'!$N$7:$N$100,'15c'!$H$7:$H$100,$A320,'15c'!$I$7:$I$100,1)+SUMIFS('15d'!$N$7:$N$100,'15d'!$H$7:$H$100,$A320,'15d'!$I$7:$I$100,1)+SUMIFS('15e'!$N$7:$N$100,'15e'!$H$7:$H$100,$A320,'15e'!$I$7:$I$100,1)+SUMIFS('15f'!$N$7:$N$100,'15f'!$H$7:$H$100,$A320,'15f'!$I$7:$I$100,1)+SUMIFS('15g'!$N$7:$N$100,'15g'!$H$7:$H$100,$A320,'15g'!$I$7:$I$100,1)+SUMIFS('15h'!$N$7:$N$100,'15h'!$H$7:$H$100,$A320,'15h'!$I$7:$I$100,1)+SUMIFS('15i'!$N$7:$N$100,'15i'!$H$7:$H$100,$A320,'15i'!$I$7:$I$100,1)+SUMIFS('15j'!$N$7:$N$100,'15j'!$H$7:$H$100,$A320,'15j'!$I$7:$I$100,1)+SUMIFS('15k'!$N$7:$N$100,'15k'!$H$7:$H$100,$A320,'15k'!$I$7:$I$100,1)+SUMIFS('15l'!$N$7:$N$100,'15l'!$H$7:$H$100,$A320,'15l'!$I$7:$I$100,1)+SUMIFS('15m'!$N$7:$N$100,'15m'!$H$7:$H$100,$A320,'15m'!$I$7:$I$100,1)+SUMIFS('15n'!$N$7:$N$100,'15n'!$H$7:$H$100,$A320,'15n'!$I$7:$I$100,1)+SUMIFS('16'!$N$7:$N$100,'16'!$H$7:$H$100,$A320,'16'!$I$7:$I$100,1)+SUMIFS('16a'!$N$7:$N$100,'16a'!$H$7:$H$100,$A320,'16a'!$I$7:$I$100,1)+SUMIFS('17'!$N$7:$N$100,'17'!$H$7:$H$100,$A320,'17'!$I$7:$I$100,1)+SUMIFS('17a'!$N$7:$N$100,'17a'!$H$7:$H$100,$A320,'17a'!$I$7:$I$100,1)+SUMIFS('18'!$N$7:$N$100,'18'!$H$7:$H$100,$A320,'18'!$I$7:$I$100,1)+SUMIFS('18a'!$N$7:$N$100,'18a'!$H$7:$H$100,$A320,'18a'!$I$7:$I$100,1)
+SUMIFS('19'!$N$7:$N$100,'19'!$H$7:$H$100,$A320,'19'!$I$7:$I$100,1)+SUMIFS('20'!$N$7:$N$100,'20'!$H$7:$H$100,$A320,'20'!$I$7:$I$100,1)+SUMIFS('20a'!$N$7:$N$100,'20a'!$H$7:$H$100,$A320,'20a'!$I$7:$I$100,1)+SUMIFS('21'!$N$7:$N$100,'21'!$H$7:$H$100,$A320,'21'!$I$7:$I$100,1)+SUMIFS('22'!$N$7:$N$100,'22'!$H$7:$H$100,$A320,'22'!$I$7:$I$100,1)+SUMIFS('22a'!$N$7:$N$100,'22a'!$H$7:$H$100,$A320,'22a'!$I$7:$I$100,1)+SUMIFS('22b'!$N$7:$N$100,'22b'!$H$7:$H$100,$A320,'22b'!$I$7:$I$100,1)+SUMIFS('23'!$N$7:$N$100,'23'!$H$7:$H$100,$A320,'23'!$I$7:$I$100,1)+SUMIFS('24'!$N$7:$N$100,'24'!$H$7:$H$100,$A320,'24'!$I$7:$I$100,1)+SUMIFS('24a'!$N$7:$N$100,'24a'!$H$7:$H$100,$A320,'24a'!$I$7:$I$100,1)+SUMIFS('24b'!$N$7:$N$100,'24b'!$H$7:$H$100,$A320,'24b'!$I$7:$I$100,1)+SUMIFS('24c'!$N$7:$N$100,'24c'!$H$7:$H$100,$A320,'24c'!$I$7:$I$100,1)+SUMIFS('24d'!$N$7:$N$100,'24d'!$H$7:$H$100,$A320,'24d'!$I$7:$I$100,1)+SUMIFS('24e'!$N$7:$N$100,'24e'!$H$7:$H$100,$A320,'24e'!$I$7:$I$100,1)+SUMIFS('24f'!$N$7:$N$100,'24f'!$H$7:$H$100,$A320,'24f'!$I$7:$I$100,1)+SUMIFS('24g'!$N$7:$N$100,'24g'!$H$7:$H$100,$A320,'24g'!$I$7:$I$100,1)+SUMIFS('24h'!$N$7:$N$100,'24h'!$H$7:$H$100,$A320,'24h'!$I$7:$I$100,1)+SUMIFS('24i'!$N$7:$N$100,'24i'!$H$7:$H$100,$A320,'24i'!$I$7:$I$100,1)+SUMIFS('25'!$N$7:$N$100,'25'!$H$7:$H$100,$A320,'25'!$I$7:$I$100,1)+SUMIFS('26'!$N$7:$N$100,'26'!$H$7:$H$100,$A320,'26'!$I$7:$I$100,1)+SUMIFS('26a'!$N$7:$N$100,'26a'!$H$7:$H$100,$A320,'26a'!$I$7:$I$100,1)+SUMIFS('27'!$N$7:$N$100,'27'!$H$7:$H$100,$A320,'27'!$I$7:$I$100,1)+SUMIFS('27a'!$N$7:$N$100,'27a'!$H$7:$H$100,$A320,'27a'!$I$7:$I$100,1)+SUMIFS('28'!$N$7:$N$100,'28'!$H$7:$H$100,$A320,'28'!$I$7:$I$100,1)+SUMIFS('29'!$N$7:$N$100,'29'!$H$7:$H$100,$A320,'29'!$I$7:$I$100,1)</f>
        <v>0</v>
      </c>
      <c r="D320" s="1315">
        <f>SUMIFS('12'!$N$7:$N$100,'12'!$H$7:$H$100,$A320,'12'!$I$7:$I$100,2)+SUMIFS('13'!$N$7:$N$100,'13'!$H$7:$H$100,$A320,'13'!$I$7:$I$100,2)+SUMIFS('14'!$N$7:$N$100,'14'!$H$7:$H$100,$A320,'14'!$I$7:$I$100,2)+SUMIFS('15'!$N$7:$N$100,'15'!$H$7:$H$100,$A320,'15'!$I$7:$I$100,2)+SUMIFS('15a'!$N$7:$N$100,'15a'!$H$7:$H$100,$A320,'15a'!$I$7:$I$100,2)+SUMIFS('15b'!$N$7:$N$100,'15b'!$H$7:$H$100,$A320,'15b'!$I$7:$I$100,2)+SUMIFS('15c'!$N$7:$N$100,'15c'!$H$7:$H$100,$A320,'15c'!$I$7:$I$100,2)+SUMIFS('15d'!$N$7:$N$100,'15d'!$H$7:$H$100,$A320,'15d'!$I$7:$I$100,2)+SUMIFS('15e'!$N$7:$N$100,'15e'!$H$7:$H$100,$A320,'15e'!$I$7:$I$100,2)+SUMIFS('15f'!$N$7:$N$100,'15f'!$H$7:$H$100,$A320,'15f'!$I$7:$I$100,2)+SUMIFS('15g'!$N$7:$N$100,'15g'!$H$7:$H$100,$A320,'15g'!$I$7:$I$100,2)+SUMIFS('15h'!$N$7:$N$100,'15h'!$H$7:$H$100,$A320,'15h'!$I$7:$I$100,2)+SUMIFS('15i'!$N$7:$N$100,'15i'!$H$7:$H$100,$A320,'15i'!$I$7:$I$100,2)+SUMIFS('15j'!$N$7:$N$100,'15j'!$H$7:$H$100,$A320,'15j'!$I$7:$I$100,2)+SUMIFS('15k'!$N$7:$N$100,'15k'!$H$7:$H$100,$A320,'15k'!$I$7:$I$100,2)+SUMIFS('15l'!$N$7:$N$100,'15l'!$H$7:$H$100,$A320,'15l'!$I$7:$I$100,2)+SUMIFS('15m'!$N$7:$N$100,'15m'!$H$7:$H$100,$A320,'15m'!$I$7:$I$100,2)+SUMIFS('15n'!$N$7:$N$100,'15n'!$H$7:$H$100,$A320,'15n'!$I$7:$I$100,2)+SUMIFS('16'!$N$7:$N$100,'16'!$H$7:$H$100,$A320,'16'!$I$7:$I$100,2)+SUMIFS('16a'!$N$7:$N$100,'16a'!$H$7:$H$100,$A320,'16a'!$I$7:$I$100,2)+SUMIFS('17'!$N$7:$N$100,'17'!$H$7:$H$100,$A320,'17'!$I$7:$I$100,2)+SUMIFS('17a'!$N$7:$N$100,'17a'!$H$7:$H$100,$A320,'17a'!$I$7:$I$100,2)+SUMIFS('18'!$N$7:$N$100,'18'!$H$7:$H$100,$A320,'18'!$I$7:$I$100,2)+SUMIFS('18a'!$N$7:$N$100,'18a'!$H$7:$H$100,$A320,'18a'!$I$7:$I$100,2)
+SUMIFS('19'!$N$7:$N$100,'19'!$H$7:$H$100,$A320,'19'!$I$7:$I$100,2)+SUMIFS('20'!$N$7:$N$100,'20'!$H$7:$H$100,$A320,'20'!$I$7:$I$100,2)+SUMIFS('20a'!$N$7:$N$100,'20a'!$H$7:$H$100,$A320,'20a'!$I$7:$I$100,2)+SUMIFS('21'!$N$7:$N$100,'21'!$H$7:$H$100,$A320,'21'!$I$7:$I$100,2)+SUMIFS('22'!$N$7:$N$100,'22'!$H$7:$H$100,$A320,'22'!$I$7:$I$100,2)+SUMIFS('22a'!$N$7:$N$100,'22a'!$H$7:$H$100,$A320,'22a'!$I$7:$I$100,2)+SUMIFS('22b'!$N$7:$N$100,'22b'!$H$7:$H$100,$A320,'22b'!$I$7:$I$100,2)+SUMIFS('23'!$N$7:$N$100,'23'!$H$7:$H$100,$A320,'23'!$I$7:$I$100,2)+SUMIFS('24'!$N$7:$N$100,'24'!$H$7:$H$100,$A320,'24'!$I$7:$I$100,2)+SUMIFS('24a'!$N$7:$N$100,'24a'!$H$7:$H$100,$A320,'24a'!$I$7:$I$100,2)+SUMIFS('24b'!$N$7:$N$100,'24b'!$H$7:$H$100,$A320,'24b'!$I$7:$I$100,2)+SUMIFS('24c'!$N$7:$N$100,'24c'!$H$7:$H$100,$A320,'24c'!$I$7:$I$100,2)+SUMIFS('24d'!$N$7:$N$100,'24d'!$H$7:$H$100,$A320,'24d'!$I$7:$I$100,2)+SUMIFS('24e'!$N$7:$N$100,'24e'!$H$7:$H$100,$A320,'24e'!$I$7:$I$100,2)+SUMIFS('24f'!$N$7:$N$100,'24f'!$H$7:$H$100,$A320,'24f'!$I$7:$I$100,2)+SUMIFS('24g'!$N$7:$N$100,'24g'!$H$7:$H$100,$A320,'24g'!$I$7:$I$100,2)+SUMIFS('24h'!$N$7:$N$100,'24h'!$H$7:$H$100,$A320,'24h'!$I$7:$I$100,2)+SUMIFS('24i'!$N$7:$N$100,'24i'!$H$7:$H$100,$A320,'24i'!$I$7:$I$100,2)+SUMIFS('25'!$N$7:$N$100,'25'!$H$7:$H$100,$A320,'25'!$I$7:$I$100,2)+SUMIFS('26'!$N$7:$N$100,'26'!$H$7:$H$100,$A320,'26'!$I$7:$I$100,2)+SUMIFS('26a'!$N$7:$N$100,'26a'!$H$7:$H$100,$A320,'26a'!$I$7:$I$100,2)+SUMIFS('27'!$N$7:$N$100,'27'!$H$7:$H$100,$A320,'27'!$I$7:$I$100,2)+SUMIFS('27a'!$N$7:$N$100,'27a'!$H$7:$H$100,$A320,'27a'!$I$7:$I$100,2)+SUMIFS('28'!$N$7:$N$100,'28'!$H$7:$H$100,$A320,'28'!$I$7:$I$100,2)+SUMIFS('29'!$N$7:$N$100,'29'!$H$7:$H$100,$A320,'29'!$I$7:$I$100,2)</f>
        <v>0</v>
      </c>
      <c r="E320" s="1315">
        <f>SUMIFS('12'!$N$7:$N$100,'12'!$H$7:$H$100,$A320,'12'!$I$7:$I$100,"")+SUMIFS('13'!$N$7:$N$100,'13'!$H$7:$H$100,$A320,'13'!$I$7:$I$100,"")+SUMIFS('14'!$N$7:$N$100,'14'!$H$7:$H$100,$A320,'14'!$I$7:$I$100,"")+SUMIFS('15'!$N$7:$N$100,'15'!$H$7:$H$100,$A320,'15'!$I$7:$I$100,"")+SUMIFS('15a'!$N$7:$N$100,'15a'!$H$7:$H$100,$A320,'15a'!$I$7:$I$100,"")+SUMIFS('15b'!$N$7:$N$100,'15b'!$H$7:$H$100,$A320,'15b'!$I$7:$I$100,"")+SUMIFS('15c'!$N$7:$N$100,'15c'!$H$7:$H$100,$A320,'15c'!$I$7:$I$100,"")+SUMIFS('15d'!$N$7:$N$100,'15d'!$H$7:$H$100,$A320,'15d'!$I$7:$I$100,"")+SUMIFS('15e'!$N$7:$N$100,'15e'!$H$7:$H$100,$A320,'15e'!$I$7:$I$100,"")+SUMIFS('15f'!$N$7:$N$100,'15f'!$H$7:$H$100,$A320,'15f'!$I$7:$I$100,"")+SUMIFS('15g'!$N$7:$N$100,'15g'!$H$7:$H$100,$A320,'15g'!$I$7:$I$100,"")+SUMIFS('15h'!$N$7:$N$100,'15h'!$H$7:$H$100,$A320,'15h'!$I$7:$I$100,"")+SUMIFS('15i'!$N$7:$N$100,'15i'!$H$7:$H$100,$A320,'15i'!$I$7:$I$100,"")+SUMIFS('15j'!$N$7:$N$100,'15j'!$H$7:$H$100,$A320,'15j'!$I$7:$I$100,"")+SUMIFS('15k'!$N$7:$N$100,'15k'!$H$7:$H$100,$A320,'15k'!$I$7:$I$100,"")+SUMIFS('15l'!$N$7:$N$100,'15l'!$H$7:$H$100,$A320,'15l'!$I$7:$I$100,"")+SUMIFS('15m'!$N$7:$N$100,'15m'!$H$7:$H$100,$A320,'15m'!$I$7:$I$100,"")+SUMIFS('15n'!$N$7:$N$100,'15n'!$H$7:$H$100,$A320,'15n'!$I$7:$I$100,"")+SUMIFS('16'!$N$7:$N$100,'16'!$H$7:$H$100,$A320,'16'!$I$7:$I$100,"")+SUMIFS('16a'!$N$7:$N$100,'16a'!$H$7:$H$100,$A320,'16a'!$I$7:$I$100,"")+SUMIFS('17'!$N$7:$N$100,'17'!$H$7:$H$100,$A320,'17'!$I$7:$I$100,"")+SUMIFS('17a'!$N$7:$N$100,'17a'!$H$7:$H$100,$A320,'17a'!$I$7:$I$100,"")+SUMIFS('18'!$N$7:$N$100,'18'!$H$7:$H$100,$A320,'18'!$I$7:$I$100,"")+SUMIFS('18a'!$N$7:$N$100,'18a'!$H$7:$H$100,$A320,'18a'!$I$7:$I$100,"")
+SUMIFS('19'!$N$7:$N$100,'19'!$H$7:$H$100,$A320,'19'!$I$7:$I$100,"")+SUMIFS('20'!$N$7:$N$100,'20'!$H$7:$H$100,$A320,'20'!$I$7:$I$100,"")+SUMIFS('20a'!$N$7:$N$100,'20a'!$H$7:$H$100,$A320,'20a'!$I$7:$I$100,"")+SUMIFS('21'!$N$7:$N$100,'21'!$H$7:$H$100,$A320,'21'!$I$7:$I$100,"")+SUMIFS('22'!$N$7:$N$100,'22'!$H$7:$H$100,$A320,'22'!$I$7:$I$100,"")+SUMIFS('22a'!$N$7:$N$100,'22a'!$H$7:$H$100,$A320,'22a'!$I$7:$I$100,"")+SUMIFS('22b'!$N$7:$N$100,'22b'!$H$7:$H$100,$A320,'22b'!$I$7:$I$100,"")+SUMIFS('23'!$N$7:$N$100,'23'!$H$7:$H$100,$A320,'23'!$I$7:$I$100,"")+SUMIFS('24'!$N$7:$N$100,'24'!$H$7:$H$100,$A320,'24'!$I$7:$I$100,"")+SUMIFS('24a'!$N$7:$N$100,'24a'!$H$7:$H$100,$A320,'24a'!$I$7:$I$100,"")+SUMIFS('24b'!$N$7:$N$100,'24b'!$H$7:$H$100,$A320,'24b'!$I$7:$I$100,"")+SUMIFS('24c'!$N$7:$N$100,'24c'!$H$7:$H$100,$A320,'24c'!$I$7:$I$100,"")+SUMIFS('24d'!$N$7:$N$100,'24d'!$H$7:$H$100,$A320,'24d'!$I$7:$I$100,"")+SUMIFS('24e'!$N$7:$N$100,'24e'!$H$7:$H$100,$A320,'24e'!$I$7:$I$100,"")+SUMIFS('24f'!$N$7:$N$100,'24f'!$H$7:$H$100,$A320,'24f'!$I$7:$I$100,"")+SUMIFS('24g'!$N$7:$N$100,'24g'!$H$7:$H$100,$A320,'24g'!$I$7:$I$100,"")+SUMIFS('24h'!$N$7:$N$100,'24h'!$H$7:$H$100,$A320,'24h'!$I$7:$I$100,"")+SUMIFS('24i'!$N$7:$N$100,'24i'!$H$7:$H$100,$A320,'24i'!$I$7:$I$100,"")+SUMIFS('25'!$N$7:$N$100,'25'!$H$7:$H$100,$A320,'25'!$I$7:$I$100,"")+SUMIFS('26'!$N$7:$N$100,'26'!$H$7:$H$100,$A320,'26'!$I$7:$I$100,"")+SUMIFS('26a'!$N$7:$N$100,'26a'!$H$7:$H$100,$A320,'26a'!$I$7:$I$100,"")+SUMIFS('27'!$N$7:$N$100,'27'!$H$7:$H$100,$A320,'27'!$I$7:$I$100,"")+SUMIFS('27a'!$N$7:$N$100,'27a'!$H$7:$H$100,$A320,'27a'!$I$7:$I$100,"")+SUMIFS('28'!$N$7:$N$100,'28'!$H$7:$H$100,$A320,'28'!$I$7:$I$100,"")+SUMIFS('29'!$N$7:$N$100,'29'!$H$7:$H$100,$A320,'29'!$I$7:$I$100,"")</f>
        <v>0</v>
      </c>
      <c r="F320" s="1296">
        <f t="shared" si="40"/>
        <v>0</v>
      </c>
      <c r="G320" s="1295">
        <f>SUMIFS('12'!$J$7:$J$100,'12'!$H$7:$H$100,$A320,'12'!$I$7:$I$100,1)+SUMIFS('13'!$J$7:$J$100,'13'!$H$7:$H$100,$A320,'13'!$I$7:$I$100,1)+SUMIFS('14'!$J$7:$J$100,'14'!$H$7:$H$100,$A320,'14'!$I$7:$I$100,1)+SUMIFS('15'!$J$7:$J$100,'15'!$H$7:$H$100,$A320,'15'!$I$7:$I$100,1)+SUMIFS('15a'!$J$7:$J$100,'15a'!$H$7:$H$100,$A320,'15a'!$I$7:$I$100,1)+SUMIFS('15b'!$J$7:$J$100,'15b'!$H$7:$H$100,$A320,'15b'!$I$7:$I$100,1)+SUMIFS('15c'!$J$7:$J$100,'15c'!$H$7:$H$100,$A320,'15c'!$I$7:$I$100,1)+SUMIFS('15d'!$J$7:$J$100,'15d'!$H$7:$H$100,$A320,'15d'!$I$7:$I$100,1)+SUMIFS('15e'!$J$7:$J$100,'15e'!$H$7:$H$100,$A320,'15e'!$I$7:$I$100,1)+SUMIFS('15f'!$J$7:$J$100,'15f'!$H$7:$H$100,$A320,'15f'!$I$7:$I$100,1)+SUMIFS('15g'!$J$7:$J$100,'15g'!$H$7:$H$100,$A320,'15g'!$I$7:$I$100,1)+SUMIFS('15h'!$J$7:$J$100,'15h'!$H$7:$H$100,$A320,'15h'!$I$7:$I$100,1)+SUMIFS('15i'!$J$7:$J$100,'15i'!$H$7:$H$100,$A320,'15i'!$I$7:$I$100,1)+SUMIFS('15j'!$J$7:$J$100,'15j'!$H$7:$H$100,$A320,'15j'!$I$7:$I$100,1)+SUMIFS('15k'!$J$7:$J$100,'15k'!$H$7:$H$100,$A320,'15k'!$I$7:$I$100,1)+SUMIFS('15l'!$J$7:$J$100,'15l'!$H$7:$H$100,$A320,'15l'!$I$7:$I$100,1)+SUMIFS('15m'!$J$7:$J$100,'15m'!$H$7:$H$100,$A320,'15m'!$I$7:$I$100,1)+SUMIFS('15n'!$J$7:$J$100,'15n'!$H$7:$H$100,$A320,'15n'!$I$7:$I$100,1)+SUMIFS('16'!$J$7:$J$100,'16'!$H$7:$H$100,$A320,'16'!$I$7:$I$100,1)+SUMIFS('16a'!$J$7:$J$100,'16a'!$H$7:$H$100,$A320,'16a'!$I$7:$I$100,1)+SUMIFS('17'!$J$7:$J$100,'17'!$H$7:$H$100,$A320,'17'!$I$7:$I$100,1)+SUMIFS('17a'!$J$7:$J$100,'17a'!$H$7:$H$100,$A320,'17a'!$I$7:$I$100,1)+SUMIFS('18'!$J$7:$J$100,'18'!$H$7:$H$100,$A320,'18'!$I$7:$I$100,1)+SUMIFS('18a'!$J$7:$J$100,'18a'!$H$7:$H$100,$A320,'18a'!$I$7:$I$100,1)
+SUMIFS('19'!$J$7:$J$100,'19'!$H$7:$H$100,$A320,'19'!$I$7:$I$100,1)+SUMIFS('20'!$J$7:$J$100,'20'!$H$7:$H$100,$A320,'20'!$I$7:$I$100,1)+SUMIFS('20a'!$J$7:$J$100,'20a'!$H$7:$H$100,$A320,'20a'!$I$7:$I$100,1)+SUMIFS('21'!$J$7:$J$100,'21'!$H$7:$H$100,$A320,'21'!$I$7:$I$100,1)+SUMIFS('22'!$J$7:$J$100,'22'!$H$7:$H$100,$A320,'22'!$I$7:$I$100,1)+SUMIFS('22a'!$J$7:$J$100,'22a'!$H$7:$H$100,$A320,'22a'!$I$7:$I$100,1)+SUMIFS('22b'!$J$7:$J$100,'22b'!$H$7:$H$100,$A320,'22b'!$I$7:$I$100,1)+SUMIFS('23'!$J$7:$J$100,'23'!$H$7:$H$100,$A320,'23'!$I$7:$I$100,1)+SUMIFS('24'!$J$7:$J$100,'24'!$H$7:$H$100,$A320,'24'!$I$7:$I$100,1)+SUMIFS('24a'!$J$7:$J$100,'24a'!$H$7:$H$100,$A320,'24a'!$I$7:$I$100,1)+SUMIFS('24b'!$J$7:$J$100,'24b'!$H$7:$H$100,$A320,'24b'!$I$7:$I$100,1)+SUMIFS('24c'!$J$7:$J$100,'24c'!$H$7:$H$100,$A320,'24c'!$I$7:$I$100,1)+SUMIFS('24d'!$J$7:$J$100,'24d'!$H$7:$H$100,$A320,'24d'!$I$7:$I$100,1)+SUMIFS('24e'!$J$7:$J$100,'24e'!$H$7:$H$100,$A320,'24e'!$I$7:$I$100,1)+SUMIFS('24f'!$J$7:$J$100,'24f'!$H$7:$H$100,$A320,'24f'!$I$7:$I$100,1)+SUMIFS('24g'!$J$7:$J$100,'24g'!$H$7:$H$100,$A320,'24g'!$I$7:$I$100,1)+SUMIFS('24h'!$J$7:$J$100,'24h'!$H$7:$H$100,$A320,'24h'!$I$7:$I$100,1)+SUMIFS('24i'!$J$7:$J$100,'24i'!$H$7:$H$100,$A320,'24i'!$I$7:$I$100,1)+SUMIFS('25'!$J$7:$J$100,'25'!$H$7:$H$100,$A320,'25'!$I$7:$I$100,1)+SUMIFS('26'!$J$7:$J$100,'26'!$H$7:$H$100,$A320,'26'!$I$7:$I$100,1)+SUMIFS('26a'!$J$7:$J$100,'26a'!$H$7:$H$100,$A320,'26a'!$I$7:$I$100,1)+SUMIFS('27'!$J$7:$J$100,'27'!$H$7:$H$100,$A320,'27'!$I$7:$I$100,1)+SUMIFS('27a'!$J$7:$J$100,'27a'!$H$7:$H$100,$A320,'27a'!$I$7:$I$100,1)+SUMIFS('28'!$J$7:$J$100,'28'!$H$7:$H$100,$A320,'28'!$I$7:$I$100,1)+SUMIFS('29'!$J$7:$J$100,'29'!$H$7:$H$100,$A320,'29'!$I$7:$I$100,1)</f>
        <v>0</v>
      </c>
      <c r="H320" s="1315">
        <f>SUMIFS('12'!$J$7:$J$100,'12'!$H$7:$H$100,$A320,'12'!$I$7:$I$100,2)+SUMIFS('13'!$J$7:$J$100,'13'!$H$7:$H$100,$A320,'13'!$I$7:$I$100,2)+SUMIFS('14'!$J$7:$J$100,'14'!$H$7:$H$100,$A320,'14'!$I$7:$I$100,2)+SUMIFS('15'!$J$7:$J$100,'15'!$H$7:$H$100,$A320,'15'!$I$7:$I$100,2)+SUMIFS('15a'!$J$7:$J$100,'15a'!$H$7:$H$100,$A320,'15a'!$I$7:$I$100,2)+SUMIFS('15b'!$J$7:$J$100,'15b'!$H$7:$H$100,$A320,'15b'!$I$7:$I$100,2)+SUMIFS('15c'!$J$7:$J$100,'15c'!$H$7:$H$100,$A320,'15c'!$I$7:$I$100,2)+SUMIFS('15d'!$J$7:$J$100,'15d'!$H$7:$H$100,$A320,'15d'!$I$7:$I$100,2)+SUMIFS('15e'!$J$7:$J$100,'15e'!$H$7:$H$100,$A320,'15e'!$I$7:$I$100,2)+SUMIFS('15f'!$J$7:$J$100,'15f'!$H$7:$H$100,$A320,'15f'!$I$7:$I$100,2)+SUMIFS('15g'!$J$7:$J$100,'15g'!$H$7:$H$100,$A320,'15g'!$I$7:$I$100,2)+SUMIFS('15h'!$J$7:$J$100,'15h'!$H$7:$H$100,$A320,'15h'!$I$7:$I$100,2)+SUMIFS('15i'!$J$7:$J$100,'15i'!$H$7:$H$100,$A320,'15i'!$I$7:$I$100,2)+SUMIFS('15j'!$J$7:$J$100,'15j'!$H$7:$H$100,$A320,'15j'!$I$7:$I$100,2)+SUMIFS('15k'!$J$7:$J$100,'15k'!$H$7:$H$100,$A320,'15k'!$I$7:$I$100,2)+SUMIFS('15l'!$J$7:$J$100,'15l'!$H$7:$H$100,$A320,'15l'!$I$7:$I$100,2)+SUMIFS('15m'!$J$7:$J$100,'15m'!$H$7:$H$100,$A320,'15m'!$I$7:$I$100,2)+SUMIFS('15n'!$J$7:$J$100,'15n'!$H$7:$H$100,$A320,'15n'!$I$7:$I$100,2)+SUMIFS('16'!$J$7:$J$100,'16'!$H$7:$H$100,$A320,'16'!$I$7:$I$100,2)+SUMIFS('16a'!$J$7:$J$100,'16a'!$H$7:$H$100,$A320,'16a'!$I$7:$I$100,2)+SUMIFS('17'!$J$7:$J$100,'17'!$H$7:$H$100,$A320,'17'!$I$7:$I$100,2)+SUMIFS('17a'!$J$7:$J$100,'17a'!$H$7:$H$100,$A320,'17a'!$I$7:$I$100,2)+SUMIFS('18'!$J$7:$J$100,'18'!$H$7:$H$100,$A320,'18'!$I$7:$I$100,2)+SUMIFS('18a'!$J$7:$J$100,'18a'!$H$7:$H$100,$A320,'18a'!$I$7:$I$100,2)
+SUMIFS('19'!$J$7:$J$100,'19'!$H$7:$H$100,$A320,'19'!$I$7:$I$100,2)+SUMIFS('20'!$J$7:$J$100,'20'!$H$7:$H$100,$A320,'20'!$I$7:$I$100,2)+SUMIFS('20a'!$J$7:$J$100,'20a'!$H$7:$H$100,$A320,'20a'!$I$7:$I$100,2)+SUMIFS('21'!$J$7:$J$100,'21'!$H$7:$H$100,$A320,'21'!$I$7:$I$100,2)+SUMIFS('22'!$J$7:$J$100,'22'!$H$7:$H$100,$A320,'22'!$I$7:$I$100,2)+SUMIFS('22a'!$J$7:$J$100,'22a'!$H$7:$H$100,$A320,'22a'!$I$7:$I$100,2)+SUMIFS('22b'!$J$7:$J$100,'22b'!$H$7:$H$100,$A320,'22b'!$I$7:$I$100,2)+SUMIFS('23'!$J$7:$J$100,'23'!$H$7:$H$100,$A320,'23'!$I$7:$I$100,2)+SUMIFS('24'!$J$7:$J$100,'24'!$H$7:$H$100,$A320,'24'!$I$7:$I$100,2)+SUMIFS('24a'!$J$7:$J$100,'24a'!$H$7:$H$100,$A320,'24a'!$I$7:$I$100,2)+SUMIFS('24b'!$J$7:$J$100,'24b'!$H$7:$H$100,$A320,'24b'!$I$7:$I$100,2)+SUMIFS('24c'!$J$7:$J$100,'24c'!$H$7:$H$100,$A320,'24c'!$I$7:$I$100,2)+SUMIFS('24d'!$J$7:$J$100,'24d'!$H$7:$H$100,$A320,'24d'!$I$7:$I$100,2)+SUMIFS('24e'!$J$7:$J$100,'24e'!$H$7:$H$100,$A320,'24e'!$I$7:$I$100,2)+SUMIFS('24f'!$J$7:$J$100,'24f'!$H$7:$H$100,$A320,'24f'!$I$7:$I$100,2)+SUMIFS('24g'!$J$7:$J$100,'24g'!$H$7:$H$100,$A320,'24g'!$I$7:$I$100,2)+SUMIFS('24h'!$J$7:$J$100,'24h'!$H$7:$H$100,$A320,'24h'!$I$7:$I$100,2)+SUMIFS('24i'!$J$7:$J$100,'24i'!$H$7:$H$100,$A320,'24i'!$I$7:$I$100,2)+SUMIFS('25'!$J$7:$J$100,'25'!$H$7:$H$100,$A320,'25'!$I$7:$I$100,2)+SUMIFS('26'!$J$7:$J$100,'26'!$H$7:$H$100,$A320,'26'!$I$7:$I$100,2)+SUMIFS('26a'!$J$7:$J$100,'26a'!$H$7:$H$100,$A320,'26a'!$I$7:$I$100,2)+SUMIFS('27'!$J$7:$J$100,'27'!$H$7:$H$100,$A320,'27'!$I$7:$I$100,2)+SUMIFS('27a'!$J$7:$J$100,'27a'!$H$7:$H$100,$A320,'27a'!$I$7:$I$100,2)+SUMIFS('28'!$J$7:$J$100,'28'!$H$7:$H$100,$A320,'28'!$I$7:$I$100,2)+SUMIFS('29'!$J$7:$J$100,'29'!$H$7:$H$100,$A320,'29'!$I$7:$I$100,2)</f>
        <v>0</v>
      </c>
      <c r="I320" s="1315">
        <f>SUMIFS('12'!$J$7:$J$100,'12'!$H$7:$H$100,$A320,'12'!$I$7:$I$100,"")+SUMIFS('13'!$J$7:$J$100,'13'!$H$7:$H$100,$A320,'13'!$I$7:$I$100,"")+SUMIFS('14'!$J$7:$J$100,'14'!$H$7:$H$100,$A320,'14'!$I$7:$I$100,"")+SUMIFS('15'!$J$7:$J$100,'15'!$H$7:$H$100,$A320,'15'!$I$7:$I$100,"")+SUMIFS('15a'!$J$7:$J$100,'15a'!$H$7:$H$100,$A320,'15a'!$I$7:$I$100,"")+SUMIFS('15b'!$J$7:$J$100,'15b'!$H$7:$H$100,$A320,'15b'!$I$7:$I$100,"")+SUMIFS('15c'!$J$7:$J$100,'15c'!$H$7:$H$100,$A320,'15c'!$I$7:$I$100,"")+SUMIFS('15d'!$J$7:$J$100,'15d'!$H$7:$H$100,$A320,'15d'!$I$7:$I$100,"")+SUMIFS('15e'!$J$7:$J$100,'15e'!$H$7:$H$100,$A320,'15e'!$I$7:$I$100,"")+SUMIFS('15f'!$J$7:$J$100,'15f'!$H$7:$H$100,$A320,'15f'!$I$7:$I$100,"")+SUMIFS('15g'!$J$7:$J$100,'15g'!$H$7:$H$100,$A320,'15g'!$I$7:$I$100,"")+SUMIFS('15h'!$J$7:$J$100,'15h'!$H$7:$H$100,$A320,'15h'!$I$7:$I$100,"")+SUMIFS('15i'!$J$7:$J$100,'15i'!$H$7:$H$100,$A320,'15i'!$I$7:$I$100,"")+SUMIFS('15j'!$J$7:$J$100,'15j'!$H$7:$H$100,$A320,'15j'!$I$7:$I$100,"")+SUMIFS('15k'!$J$7:$J$100,'15k'!$H$7:$H$100,$A320,'15k'!$I$7:$I$100,"")+SUMIFS('15l'!$J$7:$J$100,'15l'!$H$7:$H$100,$A320,'15l'!$I$7:$I$100,"")+SUMIFS('15m'!$J$7:$J$100,'15m'!$H$7:$H$100,$A320,'15m'!$I$7:$I$100,"")+SUMIFS('15n'!$J$7:$J$100,'15n'!$H$7:$H$100,$A320,'15n'!$I$7:$I$100,"")+SUMIFS('16'!$J$7:$J$100,'16'!$H$7:$H$100,$A320,'16'!$I$7:$I$100,"")+SUMIFS('16a'!$J$7:$J$100,'16a'!$H$7:$H$100,$A320,'16a'!$I$7:$I$100,"")+SUMIFS('17'!$J$7:$J$100,'17'!$H$7:$H$100,$A320,'17'!$I$7:$I$100,"")+SUMIFS('17a'!$J$7:$J$100,'17a'!$H$7:$H$100,$A320,'17a'!$I$7:$I$100,"")+SUMIFS('18'!$J$7:$J$100,'18'!$H$7:$H$100,$A320,'18'!$I$7:$I$100,"")+SUMIFS('18a'!$J$7:$J$100,'18a'!$H$7:$H$100,$A320,'18a'!$I$7:$I$100,"")
+SUMIFS('19'!$J$7:$J$100,'19'!$H$7:$H$100,$A320,'19'!$I$7:$I$100,"")+SUMIFS('20'!$J$7:$J$100,'20'!$H$7:$H$100,$A320,'20'!$I$7:$I$100,"")+SUMIFS('20a'!$J$7:$J$100,'20a'!$H$7:$H$100,$A320,'20a'!$I$7:$I$100,"")+SUMIFS('21'!$J$7:$J$100,'21'!$H$7:$H$100,$A320,'21'!$I$7:$I$100,"")+SUMIFS('22'!$J$7:$J$100,'22'!$H$7:$H$100,$A320,'22'!$I$7:$I$100,"")+SUMIFS('22a'!$J$7:$J$100,'22a'!$H$7:$H$100,$A320,'22a'!$I$7:$I$100,"")+SUMIFS('22b'!$J$7:$J$100,'22b'!$H$7:$H$100,$A320,'22b'!$I$7:$I$100,"")+SUMIFS('23'!$J$7:$J$100,'23'!$H$7:$H$100,$A320,'23'!$I$7:$I$100,"")+SUMIFS('24'!$J$7:$J$100,'24'!$H$7:$H$100,$A320,'24'!$I$7:$I$100,"")+SUMIFS('24a'!$J$7:$J$100,'24a'!$H$7:$H$100,$A320,'24a'!$I$7:$I$100,"")+SUMIFS('24b'!$J$7:$J$100,'24b'!$H$7:$H$100,$A320,'24b'!$I$7:$I$100,"")+SUMIFS('24c'!$J$7:$J$100,'24c'!$H$7:$H$100,$A320,'24c'!$I$7:$I$100,"")+SUMIFS('24d'!$J$7:$J$100,'24d'!$H$7:$H$100,$A320,'24d'!$I$7:$I$100,"")+SUMIFS('24e'!$J$7:$J$100,'24e'!$H$7:$H$100,$A320,'24e'!$I$7:$I$100,"")+SUMIFS('24f'!$J$7:$J$100,'24f'!$H$7:$H$100,$A320,'24f'!$I$7:$I$100,"")+SUMIFS('24g'!$J$7:$J$100,'24g'!$H$7:$H$100,$A320,'24g'!$I$7:$I$100,"")+SUMIFS('24h'!$J$7:$J$100,'24h'!$H$7:$H$100,$A320,'24h'!$I$7:$I$100,"")+SUMIFS('24i'!$J$7:$J$100,'24i'!$H$7:$H$100,$A320,'24i'!$I$7:$I$100,"")+SUMIFS('25'!$J$7:$J$100,'25'!$H$7:$H$100,$A320,'25'!$I$7:$I$100,"")+SUMIFS('26'!$J$7:$J$100,'26'!$H$7:$H$100,$A320,'26'!$I$7:$I$100,"")+SUMIFS('26a'!$J$7:$J$100,'26a'!$H$7:$H$100,$A320,'26a'!$I$7:$I$100,"")+SUMIFS('27'!$J$7:$J$100,'27'!$H$7:$H$100,$A320,'27'!$I$7:$I$100,"")+SUMIFS('27a'!$J$7:$J$100,'27a'!$H$7:$H$100,$A320,'27a'!$I$7:$I$100,"")+SUMIFS('28'!$J$7:$J$100,'28'!$H$7:$H$100,$A320,'28'!$I$7:$I$100,"")+SUMIFS('29'!$J$7:$J$100,'29'!$H$7:$H$100,$A320,'29'!$I$7:$I$100,"")</f>
        <v>0</v>
      </c>
      <c r="J320" s="1296">
        <f t="shared" si="41"/>
        <v>0</v>
      </c>
      <c r="K320"/>
      <c r="L320"/>
      <c r="M320"/>
      <c r="N320"/>
      <c r="O320"/>
      <c r="P320"/>
      <c r="Q320"/>
      <c r="R320"/>
      <c r="S320" s="1307">
        <f t="shared" si="30"/>
        <v>0</v>
      </c>
      <c r="T320"/>
    </row>
    <row r="321" spans="1:20" x14ac:dyDescent="0.2">
      <c r="A321" t="s">
        <v>5118</v>
      </c>
      <c r="B321" t="s">
        <v>5536</v>
      </c>
      <c r="C321" s="1295">
        <f>SUMIFS('12'!$N$7:$N$100,'12'!$H$7:$H$100,$A321,'12'!$I$7:$I$100,1)+SUMIFS('13'!$N$7:$N$100,'13'!$H$7:$H$100,$A321,'13'!$I$7:$I$100,1)+SUMIFS('14'!$N$7:$N$100,'14'!$H$7:$H$100,$A321,'14'!$I$7:$I$100,1)+SUMIFS('15'!$N$7:$N$100,'15'!$H$7:$H$100,$A321,'15'!$I$7:$I$100,1)+SUMIFS('15a'!$N$7:$N$100,'15a'!$H$7:$H$100,$A321,'15a'!$I$7:$I$100,1)+SUMIFS('15b'!$N$7:$N$100,'15b'!$H$7:$H$100,$A321,'15b'!$I$7:$I$100,1)+SUMIFS('15c'!$N$7:$N$100,'15c'!$H$7:$H$100,$A321,'15c'!$I$7:$I$100,1)+SUMIFS('15d'!$N$7:$N$100,'15d'!$H$7:$H$100,$A321,'15d'!$I$7:$I$100,1)+SUMIFS('15e'!$N$7:$N$100,'15e'!$H$7:$H$100,$A321,'15e'!$I$7:$I$100,1)+SUMIFS('15f'!$N$7:$N$100,'15f'!$H$7:$H$100,$A321,'15f'!$I$7:$I$100,1)+SUMIFS('15g'!$N$7:$N$100,'15g'!$H$7:$H$100,$A321,'15g'!$I$7:$I$100,1)+SUMIFS('15h'!$N$7:$N$100,'15h'!$H$7:$H$100,$A321,'15h'!$I$7:$I$100,1)+SUMIFS('15i'!$N$7:$N$100,'15i'!$H$7:$H$100,$A321,'15i'!$I$7:$I$100,1)+SUMIFS('15j'!$N$7:$N$100,'15j'!$H$7:$H$100,$A321,'15j'!$I$7:$I$100,1)+SUMIFS('15k'!$N$7:$N$100,'15k'!$H$7:$H$100,$A321,'15k'!$I$7:$I$100,1)+SUMIFS('15l'!$N$7:$N$100,'15l'!$H$7:$H$100,$A321,'15l'!$I$7:$I$100,1)+SUMIFS('15m'!$N$7:$N$100,'15m'!$H$7:$H$100,$A321,'15m'!$I$7:$I$100,1)+SUMIFS('15n'!$N$7:$N$100,'15n'!$H$7:$H$100,$A321,'15n'!$I$7:$I$100,1)+SUMIFS('16'!$N$7:$N$100,'16'!$H$7:$H$100,$A321,'16'!$I$7:$I$100,1)+SUMIFS('16a'!$N$7:$N$100,'16a'!$H$7:$H$100,$A321,'16a'!$I$7:$I$100,1)+SUMIFS('17'!$N$7:$N$100,'17'!$H$7:$H$100,$A321,'17'!$I$7:$I$100,1)+SUMIFS('17a'!$N$7:$N$100,'17a'!$H$7:$H$100,$A321,'17a'!$I$7:$I$100,1)+SUMIFS('18'!$N$7:$N$100,'18'!$H$7:$H$100,$A321,'18'!$I$7:$I$100,1)+SUMIFS('18a'!$N$7:$N$100,'18a'!$H$7:$H$100,$A321,'18a'!$I$7:$I$100,1)
+SUMIFS('19'!$N$7:$N$100,'19'!$H$7:$H$100,$A321,'19'!$I$7:$I$100,1)+SUMIFS('20'!$N$7:$N$100,'20'!$H$7:$H$100,$A321,'20'!$I$7:$I$100,1)+SUMIFS('20a'!$N$7:$N$100,'20a'!$H$7:$H$100,$A321,'20a'!$I$7:$I$100,1)+SUMIFS('21'!$N$7:$N$100,'21'!$H$7:$H$100,$A321,'21'!$I$7:$I$100,1)+SUMIFS('22'!$N$7:$N$100,'22'!$H$7:$H$100,$A321,'22'!$I$7:$I$100,1)+SUMIFS('22a'!$N$7:$N$100,'22a'!$H$7:$H$100,$A321,'22a'!$I$7:$I$100,1)+SUMIFS('22b'!$N$7:$N$100,'22b'!$H$7:$H$100,$A321,'22b'!$I$7:$I$100,1)+SUMIFS('23'!$N$7:$N$100,'23'!$H$7:$H$100,$A321,'23'!$I$7:$I$100,1)+SUMIFS('24'!$N$7:$N$100,'24'!$H$7:$H$100,$A321,'24'!$I$7:$I$100,1)+SUMIFS('24a'!$N$7:$N$100,'24a'!$H$7:$H$100,$A321,'24a'!$I$7:$I$100,1)+SUMIFS('24b'!$N$7:$N$100,'24b'!$H$7:$H$100,$A321,'24b'!$I$7:$I$100,1)+SUMIFS('24c'!$N$7:$N$100,'24c'!$H$7:$H$100,$A321,'24c'!$I$7:$I$100,1)+SUMIFS('24d'!$N$7:$N$100,'24d'!$H$7:$H$100,$A321,'24d'!$I$7:$I$100,1)+SUMIFS('24e'!$N$7:$N$100,'24e'!$H$7:$H$100,$A321,'24e'!$I$7:$I$100,1)+SUMIFS('24f'!$N$7:$N$100,'24f'!$H$7:$H$100,$A321,'24f'!$I$7:$I$100,1)+SUMIFS('24g'!$N$7:$N$100,'24g'!$H$7:$H$100,$A321,'24g'!$I$7:$I$100,1)+SUMIFS('24h'!$N$7:$N$100,'24h'!$H$7:$H$100,$A321,'24h'!$I$7:$I$100,1)+SUMIFS('24i'!$N$7:$N$100,'24i'!$H$7:$H$100,$A321,'24i'!$I$7:$I$100,1)+SUMIFS('25'!$N$7:$N$100,'25'!$H$7:$H$100,$A321,'25'!$I$7:$I$100,1)+SUMIFS('26'!$N$7:$N$100,'26'!$H$7:$H$100,$A321,'26'!$I$7:$I$100,1)+SUMIFS('26a'!$N$7:$N$100,'26a'!$H$7:$H$100,$A321,'26a'!$I$7:$I$100,1)+SUMIFS('27'!$N$7:$N$100,'27'!$H$7:$H$100,$A321,'27'!$I$7:$I$100,1)+SUMIFS('27a'!$N$7:$N$100,'27a'!$H$7:$H$100,$A321,'27a'!$I$7:$I$100,1)+SUMIFS('28'!$N$7:$N$100,'28'!$H$7:$H$100,$A321,'28'!$I$7:$I$100,1)+SUMIFS('29'!$N$7:$N$100,'29'!$H$7:$H$100,$A321,'29'!$I$7:$I$100,1)</f>
        <v>0</v>
      </c>
      <c r="D321" s="1315">
        <f>SUMIFS('12'!$N$7:$N$100,'12'!$H$7:$H$100,$A321,'12'!$I$7:$I$100,2)+SUMIFS('13'!$N$7:$N$100,'13'!$H$7:$H$100,$A321,'13'!$I$7:$I$100,2)+SUMIFS('14'!$N$7:$N$100,'14'!$H$7:$H$100,$A321,'14'!$I$7:$I$100,2)+SUMIFS('15'!$N$7:$N$100,'15'!$H$7:$H$100,$A321,'15'!$I$7:$I$100,2)+SUMIFS('15a'!$N$7:$N$100,'15a'!$H$7:$H$100,$A321,'15a'!$I$7:$I$100,2)+SUMIFS('15b'!$N$7:$N$100,'15b'!$H$7:$H$100,$A321,'15b'!$I$7:$I$100,2)+SUMIFS('15c'!$N$7:$N$100,'15c'!$H$7:$H$100,$A321,'15c'!$I$7:$I$100,2)+SUMIFS('15d'!$N$7:$N$100,'15d'!$H$7:$H$100,$A321,'15d'!$I$7:$I$100,2)+SUMIFS('15e'!$N$7:$N$100,'15e'!$H$7:$H$100,$A321,'15e'!$I$7:$I$100,2)+SUMIFS('15f'!$N$7:$N$100,'15f'!$H$7:$H$100,$A321,'15f'!$I$7:$I$100,2)+SUMIFS('15g'!$N$7:$N$100,'15g'!$H$7:$H$100,$A321,'15g'!$I$7:$I$100,2)+SUMIFS('15h'!$N$7:$N$100,'15h'!$H$7:$H$100,$A321,'15h'!$I$7:$I$100,2)+SUMIFS('15i'!$N$7:$N$100,'15i'!$H$7:$H$100,$A321,'15i'!$I$7:$I$100,2)+SUMIFS('15j'!$N$7:$N$100,'15j'!$H$7:$H$100,$A321,'15j'!$I$7:$I$100,2)+SUMIFS('15k'!$N$7:$N$100,'15k'!$H$7:$H$100,$A321,'15k'!$I$7:$I$100,2)+SUMIFS('15l'!$N$7:$N$100,'15l'!$H$7:$H$100,$A321,'15l'!$I$7:$I$100,2)+SUMIFS('15m'!$N$7:$N$100,'15m'!$H$7:$H$100,$A321,'15m'!$I$7:$I$100,2)+SUMIFS('15n'!$N$7:$N$100,'15n'!$H$7:$H$100,$A321,'15n'!$I$7:$I$100,2)+SUMIFS('16'!$N$7:$N$100,'16'!$H$7:$H$100,$A321,'16'!$I$7:$I$100,2)+SUMIFS('16a'!$N$7:$N$100,'16a'!$H$7:$H$100,$A321,'16a'!$I$7:$I$100,2)+SUMIFS('17'!$N$7:$N$100,'17'!$H$7:$H$100,$A321,'17'!$I$7:$I$100,2)+SUMIFS('17a'!$N$7:$N$100,'17a'!$H$7:$H$100,$A321,'17a'!$I$7:$I$100,2)+SUMIFS('18'!$N$7:$N$100,'18'!$H$7:$H$100,$A321,'18'!$I$7:$I$100,2)+SUMIFS('18a'!$N$7:$N$100,'18a'!$H$7:$H$100,$A321,'18a'!$I$7:$I$100,2)
+SUMIFS('19'!$N$7:$N$100,'19'!$H$7:$H$100,$A321,'19'!$I$7:$I$100,2)+SUMIFS('20'!$N$7:$N$100,'20'!$H$7:$H$100,$A321,'20'!$I$7:$I$100,2)+SUMIFS('20a'!$N$7:$N$100,'20a'!$H$7:$H$100,$A321,'20a'!$I$7:$I$100,2)+SUMIFS('21'!$N$7:$N$100,'21'!$H$7:$H$100,$A321,'21'!$I$7:$I$100,2)+SUMIFS('22'!$N$7:$N$100,'22'!$H$7:$H$100,$A321,'22'!$I$7:$I$100,2)+SUMIFS('22a'!$N$7:$N$100,'22a'!$H$7:$H$100,$A321,'22a'!$I$7:$I$100,2)+SUMIFS('22b'!$N$7:$N$100,'22b'!$H$7:$H$100,$A321,'22b'!$I$7:$I$100,2)+SUMIFS('23'!$N$7:$N$100,'23'!$H$7:$H$100,$A321,'23'!$I$7:$I$100,2)+SUMIFS('24'!$N$7:$N$100,'24'!$H$7:$H$100,$A321,'24'!$I$7:$I$100,2)+SUMIFS('24a'!$N$7:$N$100,'24a'!$H$7:$H$100,$A321,'24a'!$I$7:$I$100,2)+SUMIFS('24b'!$N$7:$N$100,'24b'!$H$7:$H$100,$A321,'24b'!$I$7:$I$100,2)+SUMIFS('24c'!$N$7:$N$100,'24c'!$H$7:$H$100,$A321,'24c'!$I$7:$I$100,2)+SUMIFS('24d'!$N$7:$N$100,'24d'!$H$7:$H$100,$A321,'24d'!$I$7:$I$100,2)+SUMIFS('24e'!$N$7:$N$100,'24e'!$H$7:$H$100,$A321,'24e'!$I$7:$I$100,2)+SUMIFS('24f'!$N$7:$N$100,'24f'!$H$7:$H$100,$A321,'24f'!$I$7:$I$100,2)+SUMIFS('24g'!$N$7:$N$100,'24g'!$H$7:$H$100,$A321,'24g'!$I$7:$I$100,2)+SUMIFS('24h'!$N$7:$N$100,'24h'!$H$7:$H$100,$A321,'24h'!$I$7:$I$100,2)+SUMIFS('24i'!$N$7:$N$100,'24i'!$H$7:$H$100,$A321,'24i'!$I$7:$I$100,2)+SUMIFS('25'!$N$7:$N$100,'25'!$H$7:$H$100,$A321,'25'!$I$7:$I$100,2)+SUMIFS('26'!$N$7:$N$100,'26'!$H$7:$H$100,$A321,'26'!$I$7:$I$100,2)+SUMIFS('26a'!$N$7:$N$100,'26a'!$H$7:$H$100,$A321,'26a'!$I$7:$I$100,2)+SUMIFS('27'!$N$7:$N$100,'27'!$H$7:$H$100,$A321,'27'!$I$7:$I$100,2)+SUMIFS('27a'!$N$7:$N$100,'27a'!$H$7:$H$100,$A321,'27a'!$I$7:$I$100,2)+SUMIFS('28'!$N$7:$N$100,'28'!$H$7:$H$100,$A321,'28'!$I$7:$I$100,2)+SUMIFS('29'!$N$7:$N$100,'29'!$H$7:$H$100,$A321,'29'!$I$7:$I$100,2)</f>
        <v>0</v>
      </c>
      <c r="E321" s="1315">
        <f>SUMIFS('12'!$N$7:$N$100,'12'!$H$7:$H$100,$A321,'12'!$I$7:$I$100,"")+SUMIFS('13'!$N$7:$N$100,'13'!$H$7:$H$100,$A321,'13'!$I$7:$I$100,"")+SUMIFS('14'!$N$7:$N$100,'14'!$H$7:$H$100,$A321,'14'!$I$7:$I$100,"")+SUMIFS('15'!$N$7:$N$100,'15'!$H$7:$H$100,$A321,'15'!$I$7:$I$100,"")+SUMIFS('15a'!$N$7:$N$100,'15a'!$H$7:$H$100,$A321,'15a'!$I$7:$I$100,"")+SUMIFS('15b'!$N$7:$N$100,'15b'!$H$7:$H$100,$A321,'15b'!$I$7:$I$100,"")+SUMIFS('15c'!$N$7:$N$100,'15c'!$H$7:$H$100,$A321,'15c'!$I$7:$I$100,"")+SUMIFS('15d'!$N$7:$N$100,'15d'!$H$7:$H$100,$A321,'15d'!$I$7:$I$100,"")+SUMIFS('15e'!$N$7:$N$100,'15e'!$H$7:$H$100,$A321,'15e'!$I$7:$I$100,"")+SUMIFS('15f'!$N$7:$N$100,'15f'!$H$7:$H$100,$A321,'15f'!$I$7:$I$100,"")+SUMIFS('15g'!$N$7:$N$100,'15g'!$H$7:$H$100,$A321,'15g'!$I$7:$I$100,"")+SUMIFS('15h'!$N$7:$N$100,'15h'!$H$7:$H$100,$A321,'15h'!$I$7:$I$100,"")+SUMIFS('15i'!$N$7:$N$100,'15i'!$H$7:$H$100,$A321,'15i'!$I$7:$I$100,"")+SUMIFS('15j'!$N$7:$N$100,'15j'!$H$7:$H$100,$A321,'15j'!$I$7:$I$100,"")+SUMIFS('15k'!$N$7:$N$100,'15k'!$H$7:$H$100,$A321,'15k'!$I$7:$I$100,"")+SUMIFS('15l'!$N$7:$N$100,'15l'!$H$7:$H$100,$A321,'15l'!$I$7:$I$100,"")+SUMIFS('15m'!$N$7:$N$100,'15m'!$H$7:$H$100,$A321,'15m'!$I$7:$I$100,"")+SUMIFS('15n'!$N$7:$N$100,'15n'!$H$7:$H$100,$A321,'15n'!$I$7:$I$100,"")+SUMIFS('16'!$N$7:$N$100,'16'!$H$7:$H$100,$A321,'16'!$I$7:$I$100,"")+SUMIFS('16a'!$N$7:$N$100,'16a'!$H$7:$H$100,$A321,'16a'!$I$7:$I$100,"")+SUMIFS('17'!$N$7:$N$100,'17'!$H$7:$H$100,$A321,'17'!$I$7:$I$100,"")+SUMIFS('17a'!$N$7:$N$100,'17a'!$H$7:$H$100,$A321,'17a'!$I$7:$I$100,"")+SUMIFS('18'!$N$7:$N$100,'18'!$H$7:$H$100,$A321,'18'!$I$7:$I$100,"")+SUMIFS('18a'!$N$7:$N$100,'18a'!$H$7:$H$100,$A321,'18a'!$I$7:$I$100,"")
+SUMIFS('19'!$N$7:$N$100,'19'!$H$7:$H$100,$A321,'19'!$I$7:$I$100,"")+SUMIFS('20'!$N$7:$N$100,'20'!$H$7:$H$100,$A321,'20'!$I$7:$I$100,"")+SUMIFS('20a'!$N$7:$N$100,'20a'!$H$7:$H$100,$A321,'20a'!$I$7:$I$100,"")+SUMIFS('21'!$N$7:$N$100,'21'!$H$7:$H$100,$A321,'21'!$I$7:$I$100,"")+SUMIFS('22'!$N$7:$N$100,'22'!$H$7:$H$100,$A321,'22'!$I$7:$I$100,"")+SUMIFS('22a'!$N$7:$N$100,'22a'!$H$7:$H$100,$A321,'22a'!$I$7:$I$100,"")+SUMIFS('22b'!$N$7:$N$100,'22b'!$H$7:$H$100,$A321,'22b'!$I$7:$I$100,"")+SUMIFS('23'!$N$7:$N$100,'23'!$H$7:$H$100,$A321,'23'!$I$7:$I$100,"")+SUMIFS('24'!$N$7:$N$100,'24'!$H$7:$H$100,$A321,'24'!$I$7:$I$100,"")+SUMIFS('24a'!$N$7:$N$100,'24a'!$H$7:$H$100,$A321,'24a'!$I$7:$I$100,"")+SUMIFS('24b'!$N$7:$N$100,'24b'!$H$7:$H$100,$A321,'24b'!$I$7:$I$100,"")+SUMIFS('24c'!$N$7:$N$100,'24c'!$H$7:$H$100,$A321,'24c'!$I$7:$I$100,"")+SUMIFS('24d'!$N$7:$N$100,'24d'!$H$7:$H$100,$A321,'24d'!$I$7:$I$100,"")+SUMIFS('24e'!$N$7:$N$100,'24e'!$H$7:$H$100,$A321,'24e'!$I$7:$I$100,"")+SUMIFS('24f'!$N$7:$N$100,'24f'!$H$7:$H$100,$A321,'24f'!$I$7:$I$100,"")+SUMIFS('24g'!$N$7:$N$100,'24g'!$H$7:$H$100,$A321,'24g'!$I$7:$I$100,"")+SUMIFS('24h'!$N$7:$N$100,'24h'!$H$7:$H$100,$A321,'24h'!$I$7:$I$100,"")+SUMIFS('24i'!$N$7:$N$100,'24i'!$H$7:$H$100,$A321,'24i'!$I$7:$I$100,"")+SUMIFS('25'!$N$7:$N$100,'25'!$H$7:$H$100,$A321,'25'!$I$7:$I$100,"")+SUMIFS('26'!$N$7:$N$100,'26'!$H$7:$H$100,$A321,'26'!$I$7:$I$100,"")+SUMIFS('26a'!$N$7:$N$100,'26a'!$H$7:$H$100,$A321,'26a'!$I$7:$I$100,"")+SUMIFS('27'!$N$7:$N$100,'27'!$H$7:$H$100,$A321,'27'!$I$7:$I$100,"")+SUMIFS('27a'!$N$7:$N$100,'27a'!$H$7:$H$100,$A321,'27a'!$I$7:$I$100,"")+SUMIFS('28'!$N$7:$N$100,'28'!$H$7:$H$100,$A321,'28'!$I$7:$I$100,"")+SUMIFS('29'!$N$7:$N$100,'29'!$H$7:$H$100,$A321,'29'!$I$7:$I$100,"")</f>
        <v>0</v>
      </c>
      <c r="F321" s="1296">
        <f t="shared" si="40"/>
        <v>0</v>
      </c>
      <c r="G321" s="1295">
        <f>SUMIFS('12'!$J$7:$J$100,'12'!$H$7:$H$100,$A321,'12'!$I$7:$I$100,1)+SUMIFS('13'!$J$7:$J$100,'13'!$H$7:$H$100,$A321,'13'!$I$7:$I$100,1)+SUMIFS('14'!$J$7:$J$100,'14'!$H$7:$H$100,$A321,'14'!$I$7:$I$100,1)+SUMIFS('15'!$J$7:$J$100,'15'!$H$7:$H$100,$A321,'15'!$I$7:$I$100,1)+SUMIFS('15a'!$J$7:$J$100,'15a'!$H$7:$H$100,$A321,'15a'!$I$7:$I$100,1)+SUMIFS('15b'!$J$7:$J$100,'15b'!$H$7:$H$100,$A321,'15b'!$I$7:$I$100,1)+SUMIFS('15c'!$J$7:$J$100,'15c'!$H$7:$H$100,$A321,'15c'!$I$7:$I$100,1)+SUMIFS('15d'!$J$7:$J$100,'15d'!$H$7:$H$100,$A321,'15d'!$I$7:$I$100,1)+SUMIFS('15e'!$J$7:$J$100,'15e'!$H$7:$H$100,$A321,'15e'!$I$7:$I$100,1)+SUMIFS('15f'!$J$7:$J$100,'15f'!$H$7:$H$100,$A321,'15f'!$I$7:$I$100,1)+SUMIFS('15g'!$J$7:$J$100,'15g'!$H$7:$H$100,$A321,'15g'!$I$7:$I$100,1)+SUMIFS('15h'!$J$7:$J$100,'15h'!$H$7:$H$100,$A321,'15h'!$I$7:$I$100,1)+SUMIFS('15i'!$J$7:$J$100,'15i'!$H$7:$H$100,$A321,'15i'!$I$7:$I$100,1)+SUMIFS('15j'!$J$7:$J$100,'15j'!$H$7:$H$100,$A321,'15j'!$I$7:$I$100,1)+SUMIFS('15k'!$J$7:$J$100,'15k'!$H$7:$H$100,$A321,'15k'!$I$7:$I$100,1)+SUMIFS('15l'!$J$7:$J$100,'15l'!$H$7:$H$100,$A321,'15l'!$I$7:$I$100,1)+SUMIFS('15m'!$J$7:$J$100,'15m'!$H$7:$H$100,$A321,'15m'!$I$7:$I$100,1)+SUMIFS('15n'!$J$7:$J$100,'15n'!$H$7:$H$100,$A321,'15n'!$I$7:$I$100,1)+SUMIFS('16'!$J$7:$J$100,'16'!$H$7:$H$100,$A321,'16'!$I$7:$I$100,1)+SUMIFS('16a'!$J$7:$J$100,'16a'!$H$7:$H$100,$A321,'16a'!$I$7:$I$100,1)+SUMIFS('17'!$J$7:$J$100,'17'!$H$7:$H$100,$A321,'17'!$I$7:$I$100,1)+SUMIFS('17a'!$J$7:$J$100,'17a'!$H$7:$H$100,$A321,'17a'!$I$7:$I$100,1)+SUMIFS('18'!$J$7:$J$100,'18'!$H$7:$H$100,$A321,'18'!$I$7:$I$100,1)+SUMIFS('18a'!$J$7:$J$100,'18a'!$H$7:$H$100,$A321,'18a'!$I$7:$I$100,1)
+SUMIFS('19'!$J$7:$J$100,'19'!$H$7:$H$100,$A321,'19'!$I$7:$I$100,1)+SUMIFS('20'!$J$7:$J$100,'20'!$H$7:$H$100,$A321,'20'!$I$7:$I$100,1)+SUMIFS('20a'!$J$7:$J$100,'20a'!$H$7:$H$100,$A321,'20a'!$I$7:$I$100,1)+SUMIFS('21'!$J$7:$J$100,'21'!$H$7:$H$100,$A321,'21'!$I$7:$I$100,1)+SUMIFS('22'!$J$7:$J$100,'22'!$H$7:$H$100,$A321,'22'!$I$7:$I$100,1)+SUMIFS('22a'!$J$7:$J$100,'22a'!$H$7:$H$100,$A321,'22a'!$I$7:$I$100,1)+SUMIFS('22b'!$J$7:$J$100,'22b'!$H$7:$H$100,$A321,'22b'!$I$7:$I$100,1)+SUMIFS('23'!$J$7:$J$100,'23'!$H$7:$H$100,$A321,'23'!$I$7:$I$100,1)+SUMIFS('24'!$J$7:$J$100,'24'!$H$7:$H$100,$A321,'24'!$I$7:$I$100,1)+SUMIFS('24a'!$J$7:$J$100,'24a'!$H$7:$H$100,$A321,'24a'!$I$7:$I$100,1)+SUMIFS('24b'!$J$7:$J$100,'24b'!$H$7:$H$100,$A321,'24b'!$I$7:$I$100,1)+SUMIFS('24c'!$J$7:$J$100,'24c'!$H$7:$H$100,$A321,'24c'!$I$7:$I$100,1)+SUMIFS('24d'!$J$7:$J$100,'24d'!$H$7:$H$100,$A321,'24d'!$I$7:$I$100,1)+SUMIFS('24e'!$J$7:$J$100,'24e'!$H$7:$H$100,$A321,'24e'!$I$7:$I$100,1)+SUMIFS('24f'!$J$7:$J$100,'24f'!$H$7:$H$100,$A321,'24f'!$I$7:$I$100,1)+SUMIFS('24g'!$J$7:$J$100,'24g'!$H$7:$H$100,$A321,'24g'!$I$7:$I$100,1)+SUMIFS('24h'!$J$7:$J$100,'24h'!$H$7:$H$100,$A321,'24h'!$I$7:$I$100,1)+SUMIFS('24i'!$J$7:$J$100,'24i'!$H$7:$H$100,$A321,'24i'!$I$7:$I$100,1)+SUMIFS('25'!$J$7:$J$100,'25'!$H$7:$H$100,$A321,'25'!$I$7:$I$100,1)+SUMIFS('26'!$J$7:$J$100,'26'!$H$7:$H$100,$A321,'26'!$I$7:$I$100,1)+SUMIFS('26a'!$J$7:$J$100,'26a'!$H$7:$H$100,$A321,'26a'!$I$7:$I$100,1)+SUMIFS('27'!$J$7:$J$100,'27'!$H$7:$H$100,$A321,'27'!$I$7:$I$100,1)+SUMIFS('27a'!$J$7:$J$100,'27a'!$H$7:$H$100,$A321,'27a'!$I$7:$I$100,1)+SUMIFS('28'!$J$7:$J$100,'28'!$H$7:$H$100,$A321,'28'!$I$7:$I$100,1)+SUMIFS('29'!$J$7:$J$100,'29'!$H$7:$H$100,$A321,'29'!$I$7:$I$100,1)</f>
        <v>0</v>
      </c>
      <c r="H321" s="1315">
        <f>SUMIFS('12'!$J$7:$J$100,'12'!$H$7:$H$100,$A321,'12'!$I$7:$I$100,2)+SUMIFS('13'!$J$7:$J$100,'13'!$H$7:$H$100,$A321,'13'!$I$7:$I$100,2)+SUMIFS('14'!$J$7:$J$100,'14'!$H$7:$H$100,$A321,'14'!$I$7:$I$100,2)+SUMIFS('15'!$J$7:$J$100,'15'!$H$7:$H$100,$A321,'15'!$I$7:$I$100,2)+SUMIFS('15a'!$J$7:$J$100,'15a'!$H$7:$H$100,$A321,'15a'!$I$7:$I$100,2)+SUMIFS('15b'!$J$7:$J$100,'15b'!$H$7:$H$100,$A321,'15b'!$I$7:$I$100,2)+SUMIFS('15c'!$J$7:$J$100,'15c'!$H$7:$H$100,$A321,'15c'!$I$7:$I$100,2)+SUMIFS('15d'!$J$7:$J$100,'15d'!$H$7:$H$100,$A321,'15d'!$I$7:$I$100,2)+SUMIFS('15e'!$J$7:$J$100,'15e'!$H$7:$H$100,$A321,'15e'!$I$7:$I$100,2)+SUMIFS('15f'!$J$7:$J$100,'15f'!$H$7:$H$100,$A321,'15f'!$I$7:$I$100,2)+SUMIFS('15g'!$J$7:$J$100,'15g'!$H$7:$H$100,$A321,'15g'!$I$7:$I$100,2)+SUMIFS('15h'!$J$7:$J$100,'15h'!$H$7:$H$100,$A321,'15h'!$I$7:$I$100,2)+SUMIFS('15i'!$J$7:$J$100,'15i'!$H$7:$H$100,$A321,'15i'!$I$7:$I$100,2)+SUMIFS('15j'!$J$7:$J$100,'15j'!$H$7:$H$100,$A321,'15j'!$I$7:$I$100,2)+SUMIFS('15k'!$J$7:$J$100,'15k'!$H$7:$H$100,$A321,'15k'!$I$7:$I$100,2)+SUMIFS('15l'!$J$7:$J$100,'15l'!$H$7:$H$100,$A321,'15l'!$I$7:$I$100,2)+SUMIFS('15m'!$J$7:$J$100,'15m'!$H$7:$H$100,$A321,'15m'!$I$7:$I$100,2)+SUMIFS('15n'!$J$7:$J$100,'15n'!$H$7:$H$100,$A321,'15n'!$I$7:$I$100,2)+SUMIFS('16'!$J$7:$J$100,'16'!$H$7:$H$100,$A321,'16'!$I$7:$I$100,2)+SUMIFS('16a'!$J$7:$J$100,'16a'!$H$7:$H$100,$A321,'16a'!$I$7:$I$100,2)+SUMIFS('17'!$J$7:$J$100,'17'!$H$7:$H$100,$A321,'17'!$I$7:$I$100,2)+SUMIFS('17a'!$J$7:$J$100,'17a'!$H$7:$H$100,$A321,'17a'!$I$7:$I$100,2)+SUMIFS('18'!$J$7:$J$100,'18'!$H$7:$H$100,$A321,'18'!$I$7:$I$100,2)+SUMIFS('18a'!$J$7:$J$100,'18a'!$H$7:$H$100,$A321,'18a'!$I$7:$I$100,2)
+SUMIFS('19'!$J$7:$J$100,'19'!$H$7:$H$100,$A321,'19'!$I$7:$I$100,2)+SUMIFS('20'!$J$7:$J$100,'20'!$H$7:$H$100,$A321,'20'!$I$7:$I$100,2)+SUMIFS('20a'!$J$7:$J$100,'20a'!$H$7:$H$100,$A321,'20a'!$I$7:$I$100,2)+SUMIFS('21'!$J$7:$J$100,'21'!$H$7:$H$100,$A321,'21'!$I$7:$I$100,2)+SUMIFS('22'!$J$7:$J$100,'22'!$H$7:$H$100,$A321,'22'!$I$7:$I$100,2)+SUMIFS('22a'!$J$7:$J$100,'22a'!$H$7:$H$100,$A321,'22a'!$I$7:$I$100,2)+SUMIFS('22b'!$J$7:$J$100,'22b'!$H$7:$H$100,$A321,'22b'!$I$7:$I$100,2)+SUMIFS('23'!$J$7:$J$100,'23'!$H$7:$H$100,$A321,'23'!$I$7:$I$100,2)+SUMIFS('24'!$J$7:$J$100,'24'!$H$7:$H$100,$A321,'24'!$I$7:$I$100,2)+SUMIFS('24a'!$J$7:$J$100,'24a'!$H$7:$H$100,$A321,'24a'!$I$7:$I$100,2)+SUMIFS('24b'!$J$7:$J$100,'24b'!$H$7:$H$100,$A321,'24b'!$I$7:$I$100,2)+SUMIFS('24c'!$J$7:$J$100,'24c'!$H$7:$H$100,$A321,'24c'!$I$7:$I$100,2)+SUMIFS('24d'!$J$7:$J$100,'24d'!$H$7:$H$100,$A321,'24d'!$I$7:$I$100,2)+SUMIFS('24e'!$J$7:$J$100,'24e'!$H$7:$H$100,$A321,'24e'!$I$7:$I$100,2)+SUMIFS('24f'!$J$7:$J$100,'24f'!$H$7:$H$100,$A321,'24f'!$I$7:$I$100,2)+SUMIFS('24g'!$J$7:$J$100,'24g'!$H$7:$H$100,$A321,'24g'!$I$7:$I$100,2)+SUMIFS('24h'!$J$7:$J$100,'24h'!$H$7:$H$100,$A321,'24h'!$I$7:$I$100,2)+SUMIFS('24i'!$J$7:$J$100,'24i'!$H$7:$H$100,$A321,'24i'!$I$7:$I$100,2)+SUMIFS('25'!$J$7:$J$100,'25'!$H$7:$H$100,$A321,'25'!$I$7:$I$100,2)+SUMIFS('26'!$J$7:$J$100,'26'!$H$7:$H$100,$A321,'26'!$I$7:$I$100,2)+SUMIFS('26a'!$J$7:$J$100,'26a'!$H$7:$H$100,$A321,'26a'!$I$7:$I$100,2)+SUMIFS('27'!$J$7:$J$100,'27'!$H$7:$H$100,$A321,'27'!$I$7:$I$100,2)+SUMIFS('27a'!$J$7:$J$100,'27a'!$H$7:$H$100,$A321,'27a'!$I$7:$I$100,2)+SUMIFS('28'!$J$7:$J$100,'28'!$H$7:$H$100,$A321,'28'!$I$7:$I$100,2)+SUMIFS('29'!$J$7:$J$100,'29'!$H$7:$H$100,$A321,'29'!$I$7:$I$100,2)</f>
        <v>0</v>
      </c>
      <c r="I321" s="1315">
        <f>SUMIFS('12'!$J$7:$J$100,'12'!$H$7:$H$100,$A321,'12'!$I$7:$I$100,"")+SUMIFS('13'!$J$7:$J$100,'13'!$H$7:$H$100,$A321,'13'!$I$7:$I$100,"")+SUMIFS('14'!$J$7:$J$100,'14'!$H$7:$H$100,$A321,'14'!$I$7:$I$100,"")+SUMIFS('15'!$J$7:$J$100,'15'!$H$7:$H$100,$A321,'15'!$I$7:$I$100,"")+SUMIFS('15a'!$J$7:$J$100,'15a'!$H$7:$H$100,$A321,'15a'!$I$7:$I$100,"")+SUMIFS('15b'!$J$7:$J$100,'15b'!$H$7:$H$100,$A321,'15b'!$I$7:$I$100,"")+SUMIFS('15c'!$J$7:$J$100,'15c'!$H$7:$H$100,$A321,'15c'!$I$7:$I$100,"")+SUMIFS('15d'!$J$7:$J$100,'15d'!$H$7:$H$100,$A321,'15d'!$I$7:$I$100,"")+SUMIFS('15e'!$J$7:$J$100,'15e'!$H$7:$H$100,$A321,'15e'!$I$7:$I$100,"")+SUMIFS('15f'!$J$7:$J$100,'15f'!$H$7:$H$100,$A321,'15f'!$I$7:$I$100,"")+SUMIFS('15g'!$J$7:$J$100,'15g'!$H$7:$H$100,$A321,'15g'!$I$7:$I$100,"")+SUMIFS('15h'!$J$7:$J$100,'15h'!$H$7:$H$100,$A321,'15h'!$I$7:$I$100,"")+SUMIFS('15i'!$J$7:$J$100,'15i'!$H$7:$H$100,$A321,'15i'!$I$7:$I$100,"")+SUMIFS('15j'!$J$7:$J$100,'15j'!$H$7:$H$100,$A321,'15j'!$I$7:$I$100,"")+SUMIFS('15k'!$J$7:$J$100,'15k'!$H$7:$H$100,$A321,'15k'!$I$7:$I$100,"")+SUMIFS('15l'!$J$7:$J$100,'15l'!$H$7:$H$100,$A321,'15l'!$I$7:$I$100,"")+SUMIFS('15m'!$J$7:$J$100,'15m'!$H$7:$H$100,$A321,'15m'!$I$7:$I$100,"")+SUMIFS('15n'!$J$7:$J$100,'15n'!$H$7:$H$100,$A321,'15n'!$I$7:$I$100,"")+SUMIFS('16'!$J$7:$J$100,'16'!$H$7:$H$100,$A321,'16'!$I$7:$I$100,"")+SUMIFS('16a'!$J$7:$J$100,'16a'!$H$7:$H$100,$A321,'16a'!$I$7:$I$100,"")+SUMIFS('17'!$J$7:$J$100,'17'!$H$7:$H$100,$A321,'17'!$I$7:$I$100,"")+SUMIFS('17a'!$J$7:$J$100,'17a'!$H$7:$H$100,$A321,'17a'!$I$7:$I$100,"")+SUMIFS('18'!$J$7:$J$100,'18'!$H$7:$H$100,$A321,'18'!$I$7:$I$100,"")+SUMIFS('18a'!$J$7:$J$100,'18a'!$H$7:$H$100,$A321,'18a'!$I$7:$I$100,"")
+SUMIFS('19'!$J$7:$J$100,'19'!$H$7:$H$100,$A321,'19'!$I$7:$I$100,"")+SUMIFS('20'!$J$7:$J$100,'20'!$H$7:$H$100,$A321,'20'!$I$7:$I$100,"")+SUMIFS('20a'!$J$7:$J$100,'20a'!$H$7:$H$100,$A321,'20a'!$I$7:$I$100,"")+SUMIFS('21'!$J$7:$J$100,'21'!$H$7:$H$100,$A321,'21'!$I$7:$I$100,"")+SUMIFS('22'!$J$7:$J$100,'22'!$H$7:$H$100,$A321,'22'!$I$7:$I$100,"")+SUMIFS('22a'!$J$7:$J$100,'22a'!$H$7:$H$100,$A321,'22a'!$I$7:$I$100,"")+SUMIFS('22b'!$J$7:$J$100,'22b'!$H$7:$H$100,$A321,'22b'!$I$7:$I$100,"")+SUMIFS('23'!$J$7:$J$100,'23'!$H$7:$H$100,$A321,'23'!$I$7:$I$100,"")+SUMIFS('24'!$J$7:$J$100,'24'!$H$7:$H$100,$A321,'24'!$I$7:$I$100,"")+SUMIFS('24a'!$J$7:$J$100,'24a'!$H$7:$H$100,$A321,'24a'!$I$7:$I$100,"")+SUMIFS('24b'!$J$7:$J$100,'24b'!$H$7:$H$100,$A321,'24b'!$I$7:$I$100,"")+SUMIFS('24c'!$J$7:$J$100,'24c'!$H$7:$H$100,$A321,'24c'!$I$7:$I$100,"")+SUMIFS('24d'!$J$7:$J$100,'24d'!$H$7:$H$100,$A321,'24d'!$I$7:$I$100,"")+SUMIFS('24e'!$J$7:$J$100,'24e'!$H$7:$H$100,$A321,'24e'!$I$7:$I$100,"")+SUMIFS('24f'!$J$7:$J$100,'24f'!$H$7:$H$100,$A321,'24f'!$I$7:$I$100,"")+SUMIFS('24g'!$J$7:$J$100,'24g'!$H$7:$H$100,$A321,'24g'!$I$7:$I$100,"")+SUMIFS('24h'!$J$7:$J$100,'24h'!$H$7:$H$100,$A321,'24h'!$I$7:$I$100,"")+SUMIFS('24i'!$J$7:$J$100,'24i'!$H$7:$H$100,$A321,'24i'!$I$7:$I$100,"")+SUMIFS('25'!$J$7:$J$100,'25'!$H$7:$H$100,$A321,'25'!$I$7:$I$100,"")+SUMIFS('26'!$J$7:$J$100,'26'!$H$7:$H$100,$A321,'26'!$I$7:$I$100,"")+SUMIFS('26a'!$J$7:$J$100,'26a'!$H$7:$H$100,$A321,'26a'!$I$7:$I$100,"")+SUMIFS('27'!$J$7:$J$100,'27'!$H$7:$H$100,$A321,'27'!$I$7:$I$100,"")+SUMIFS('27a'!$J$7:$J$100,'27a'!$H$7:$H$100,$A321,'27a'!$I$7:$I$100,"")+SUMIFS('28'!$J$7:$J$100,'28'!$H$7:$H$100,$A321,'28'!$I$7:$I$100,"")+SUMIFS('29'!$J$7:$J$100,'29'!$H$7:$H$100,$A321,'29'!$I$7:$I$100,"")</f>
        <v>0</v>
      </c>
      <c r="J321" s="1296">
        <f t="shared" si="41"/>
        <v>0</v>
      </c>
      <c r="K321"/>
      <c r="L321"/>
      <c r="M321"/>
      <c r="N321"/>
      <c r="O321"/>
      <c r="P321"/>
      <c r="Q321"/>
      <c r="R321"/>
      <c r="S321" s="1307">
        <f t="shared" si="30"/>
        <v>0</v>
      </c>
      <c r="T321"/>
    </row>
    <row r="322" spans="1:20" x14ac:dyDescent="0.2">
      <c r="A322"/>
      <c r="B322" s="1289" t="str">
        <f>"Total- "&amp;A307</f>
        <v>Total- Unclassified</v>
      </c>
      <c r="C322" s="1297">
        <f t="shared" ref="C322:J322" si="42">SUM(C308:C309,C315:C321)</f>
        <v>0</v>
      </c>
      <c r="D322" s="1290">
        <f t="shared" si="42"/>
        <v>0</v>
      </c>
      <c r="E322" s="1290">
        <f t="shared" si="42"/>
        <v>0</v>
      </c>
      <c r="F322" s="1298">
        <f t="shared" si="42"/>
        <v>0</v>
      </c>
      <c r="G322" s="1297">
        <f t="shared" si="42"/>
        <v>0</v>
      </c>
      <c r="H322" s="1290">
        <f t="shared" si="42"/>
        <v>500</v>
      </c>
      <c r="I322" s="1290">
        <f t="shared" si="42"/>
        <v>0</v>
      </c>
      <c r="J322" s="1298">
        <f t="shared" si="42"/>
        <v>500</v>
      </c>
      <c r="K322"/>
      <c r="L322"/>
      <c r="M322"/>
      <c r="N322"/>
      <c r="O322"/>
      <c r="P322"/>
      <c r="Q322"/>
      <c r="R322"/>
      <c r="S322" s="1307"/>
      <c r="T322"/>
    </row>
    <row r="323" spans="1:20" x14ac:dyDescent="0.2">
      <c r="A323"/>
      <c r="B323"/>
      <c r="C323" s="292"/>
      <c r="D323"/>
      <c r="E323"/>
      <c r="F323" s="345"/>
      <c r="G323" s="292"/>
      <c r="H323"/>
      <c r="I323"/>
      <c r="J323" s="345"/>
      <c r="K323"/>
      <c r="L323"/>
      <c r="M323"/>
      <c r="N323"/>
      <c r="O323"/>
      <c r="P323"/>
      <c r="Q323"/>
      <c r="R323"/>
      <c r="S323" s="1307"/>
      <c r="T323"/>
    </row>
    <row r="324" spans="1:20" x14ac:dyDescent="0.2">
      <c r="A324" s="106" t="s">
        <v>5448</v>
      </c>
      <c r="B324" s="5"/>
      <c r="C324" s="1299"/>
      <c r="D324" s="523"/>
      <c r="E324" s="5"/>
      <c r="F324" s="1322"/>
      <c r="G324" s="1299"/>
      <c r="H324" s="523"/>
      <c r="I324" s="5"/>
      <c r="J324" s="1322"/>
      <c r="K324"/>
      <c r="L324"/>
      <c r="M324"/>
      <c r="N324"/>
      <c r="O324"/>
      <c r="P324"/>
      <c r="Q324"/>
      <c r="R324"/>
      <c r="S324" s="1307"/>
      <c r="T324"/>
    </row>
    <row r="325" spans="1:20" x14ac:dyDescent="0.2">
      <c r="A325" t="s">
        <v>5198</v>
      </c>
      <c r="B325" t="s">
        <v>5537</v>
      </c>
      <c r="C325" s="1295">
        <f>SUMIFS('12'!$N$7:$N$100,'12'!$H$7:$H$100,$A325,'12'!$I$7:$I$100,1)+SUMIFS('13'!$N$7:$N$100,'13'!$H$7:$H$100,$A325,'13'!$I$7:$I$100,1)+SUMIFS('14'!$N$7:$N$100,'14'!$H$7:$H$100,$A325,'14'!$I$7:$I$100,1)+SUMIFS('15'!$N$7:$N$100,'15'!$H$7:$H$100,$A325,'15'!$I$7:$I$100,1)+SUMIFS('15a'!$N$7:$N$100,'15a'!$H$7:$H$100,$A325,'15a'!$I$7:$I$100,1)+SUMIFS('15b'!$N$7:$N$100,'15b'!$H$7:$H$100,$A325,'15b'!$I$7:$I$100,1)+SUMIFS('15c'!$N$7:$N$100,'15c'!$H$7:$H$100,$A325,'15c'!$I$7:$I$100,1)+SUMIFS('15d'!$N$7:$N$100,'15d'!$H$7:$H$100,$A325,'15d'!$I$7:$I$100,1)+SUMIFS('15e'!$N$7:$N$100,'15e'!$H$7:$H$100,$A325,'15e'!$I$7:$I$100,1)+SUMIFS('15f'!$N$7:$N$100,'15f'!$H$7:$H$100,$A325,'15f'!$I$7:$I$100,1)+SUMIFS('15g'!$N$7:$N$100,'15g'!$H$7:$H$100,$A325,'15g'!$I$7:$I$100,1)+SUMIFS('15h'!$N$7:$N$100,'15h'!$H$7:$H$100,$A325,'15h'!$I$7:$I$100,1)+SUMIFS('15i'!$N$7:$N$100,'15i'!$H$7:$H$100,$A325,'15i'!$I$7:$I$100,1)+SUMIFS('15j'!$N$7:$N$100,'15j'!$H$7:$H$100,$A325,'15j'!$I$7:$I$100,1)+SUMIFS('15k'!$N$7:$N$100,'15k'!$H$7:$H$100,$A325,'15k'!$I$7:$I$100,1)+SUMIFS('15l'!$N$7:$N$100,'15l'!$H$7:$H$100,$A325,'15l'!$I$7:$I$100,1)+SUMIFS('15m'!$N$7:$N$100,'15m'!$H$7:$H$100,$A325,'15m'!$I$7:$I$100,1)+SUMIFS('15n'!$N$7:$N$100,'15n'!$H$7:$H$100,$A325,'15n'!$I$7:$I$100,1)+SUMIFS('16'!$N$7:$N$100,'16'!$H$7:$H$100,$A325,'16'!$I$7:$I$100,1)+SUMIFS('16a'!$N$7:$N$100,'16a'!$H$7:$H$100,$A325,'16a'!$I$7:$I$100,1)+SUMIFS('17'!$N$7:$N$100,'17'!$H$7:$H$100,$A325,'17'!$I$7:$I$100,1)+SUMIFS('17a'!$N$7:$N$100,'17a'!$H$7:$H$100,$A325,'17a'!$I$7:$I$100,1)+SUMIFS('18'!$N$7:$N$100,'18'!$H$7:$H$100,$A325,'18'!$I$7:$I$100,1)+SUMIFS('18a'!$N$7:$N$100,'18a'!$H$7:$H$100,$A325,'18a'!$I$7:$I$100,1)
+SUMIFS('19'!$N$7:$N$100,'19'!$H$7:$H$100,$A325,'19'!$I$7:$I$100,1)+SUMIFS('20'!$N$7:$N$100,'20'!$H$7:$H$100,$A325,'20'!$I$7:$I$100,1)+SUMIFS('20a'!$N$7:$N$100,'20a'!$H$7:$H$100,$A325,'20a'!$I$7:$I$100,1)+SUMIFS('21'!$N$7:$N$100,'21'!$H$7:$H$100,$A325,'21'!$I$7:$I$100,1)+SUMIFS('22'!$N$7:$N$100,'22'!$H$7:$H$100,$A325,'22'!$I$7:$I$100,1)+SUMIFS('22a'!$N$7:$N$100,'22a'!$H$7:$H$100,$A325,'22a'!$I$7:$I$100,1)+SUMIFS('22b'!$N$7:$N$100,'22b'!$H$7:$H$100,$A325,'22b'!$I$7:$I$100,1)+SUMIFS('23'!$N$7:$N$100,'23'!$H$7:$H$100,$A325,'23'!$I$7:$I$100,1)+SUMIFS('24'!$N$7:$N$100,'24'!$H$7:$H$100,$A325,'24'!$I$7:$I$100,1)+SUMIFS('24a'!$N$7:$N$100,'24a'!$H$7:$H$100,$A325,'24a'!$I$7:$I$100,1)+SUMIFS('24b'!$N$7:$N$100,'24b'!$H$7:$H$100,$A325,'24b'!$I$7:$I$100,1)+SUMIFS('24c'!$N$7:$N$100,'24c'!$H$7:$H$100,$A325,'24c'!$I$7:$I$100,1)+SUMIFS('24d'!$N$7:$N$100,'24d'!$H$7:$H$100,$A325,'24d'!$I$7:$I$100,1)+SUMIFS('24e'!$N$7:$N$100,'24e'!$H$7:$H$100,$A325,'24e'!$I$7:$I$100,1)+SUMIFS('24f'!$N$7:$N$100,'24f'!$H$7:$H$100,$A325,'24f'!$I$7:$I$100,1)+SUMIFS('24g'!$N$7:$N$100,'24g'!$H$7:$H$100,$A325,'24g'!$I$7:$I$100,1)+SUMIFS('24h'!$N$7:$N$100,'24h'!$H$7:$H$100,$A325,'24h'!$I$7:$I$100,1)+SUMIFS('24i'!$N$7:$N$100,'24i'!$H$7:$H$100,$A325,'24i'!$I$7:$I$100,1)+SUMIFS('25'!$N$7:$N$100,'25'!$H$7:$H$100,$A325,'25'!$I$7:$I$100,1)+SUMIFS('26'!$N$7:$N$100,'26'!$H$7:$H$100,$A325,'26'!$I$7:$I$100,1)+SUMIFS('26a'!$N$7:$N$100,'26a'!$H$7:$H$100,$A325,'26a'!$I$7:$I$100,1)+SUMIFS('27'!$N$7:$N$100,'27'!$H$7:$H$100,$A325,'27'!$I$7:$I$100,1)+SUMIFS('27a'!$N$7:$N$100,'27a'!$H$7:$H$100,$A325,'27a'!$I$7:$I$100,1)+SUMIFS('28'!$N$7:$N$100,'28'!$H$7:$H$100,$A325,'28'!$I$7:$I$100,1)+SUMIFS('29'!$N$7:$N$100,'29'!$H$7:$H$100,$A325,'29'!$I$7:$I$100,1)</f>
        <v>0</v>
      </c>
      <c r="D325" s="1315">
        <f>SUMIFS('12'!$N$7:$N$100,'12'!$H$7:$H$100,$A325,'12'!$I$7:$I$100,2)+SUMIFS('13'!$N$7:$N$100,'13'!$H$7:$H$100,$A325,'13'!$I$7:$I$100,2)+SUMIFS('14'!$N$7:$N$100,'14'!$H$7:$H$100,$A325,'14'!$I$7:$I$100,2)+SUMIFS('15'!$N$7:$N$100,'15'!$H$7:$H$100,$A325,'15'!$I$7:$I$100,2)+SUMIFS('15a'!$N$7:$N$100,'15a'!$H$7:$H$100,$A325,'15a'!$I$7:$I$100,2)+SUMIFS('15b'!$N$7:$N$100,'15b'!$H$7:$H$100,$A325,'15b'!$I$7:$I$100,2)+SUMIFS('15c'!$N$7:$N$100,'15c'!$H$7:$H$100,$A325,'15c'!$I$7:$I$100,2)+SUMIFS('15d'!$N$7:$N$100,'15d'!$H$7:$H$100,$A325,'15d'!$I$7:$I$100,2)+SUMIFS('15e'!$N$7:$N$100,'15e'!$H$7:$H$100,$A325,'15e'!$I$7:$I$100,2)+SUMIFS('15f'!$N$7:$N$100,'15f'!$H$7:$H$100,$A325,'15f'!$I$7:$I$100,2)+SUMIFS('15g'!$N$7:$N$100,'15g'!$H$7:$H$100,$A325,'15g'!$I$7:$I$100,2)+SUMIFS('15h'!$N$7:$N$100,'15h'!$H$7:$H$100,$A325,'15h'!$I$7:$I$100,2)+SUMIFS('15i'!$N$7:$N$100,'15i'!$H$7:$H$100,$A325,'15i'!$I$7:$I$100,2)+SUMIFS('15j'!$N$7:$N$100,'15j'!$H$7:$H$100,$A325,'15j'!$I$7:$I$100,2)+SUMIFS('15k'!$N$7:$N$100,'15k'!$H$7:$H$100,$A325,'15k'!$I$7:$I$100,2)+SUMIFS('15l'!$N$7:$N$100,'15l'!$H$7:$H$100,$A325,'15l'!$I$7:$I$100,2)+SUMIFS('15m'!$N$7:$N$100,'15m'!$H$7:$H$100,$A325,'15m'!$I$7:$I$100,2)+SUMIFS('15n'!$N$7:$N$100,'15n'!$H$7:$H$100,$A325,'15n'!$I$7:$I$100,2)+SUMIFS('16'!$N$7:$N$100,'16'!$H$7:$H$100,$A325,'16'!$I$7:$I$100,2)+SUMIFS('16a'!$N$7:$N$100,'16a'!$H$7:$H$100,$A325,'16a'!$I$7:$I$100,2)+SUMIFS('17'!$N$7:$N$100,'17'!$H$7:$H$100,$A325,'17'!$I$7:$I$100,2)+SUMIFS('17a'!$N$7:$N$100,'17a'!$H$7:$H$100,$A325,'17a'!$I$7:$I$100,2)+SUMIFS('18'!$N$7:$N$100,'18'!$H$7:$H$100,$A325,'18'!$I$7:$I$100,2)+SUMIFS('18a'!$N$7:$N$100,'18a'!$H$7:$H$100,$A325,'18a'!$I$7:$I$100,2)
+SUMIFS('19'!$N$7:$N$100,'19'!$H$7:$H$100,$A325,'19'!$I$7:$I$100,2)+SUMIFS('20'!$N$7:$N$100,'20'!$H$7:$H$100,$A325,'20'!$I$7:$I$100,2)+SUMIFS('20a'!$N$7:$N$100,'20a'!$H$7:$H$100,$A325,'20a'!$I$7:$I$100,2)+SUMIFS('21'!$N$7:$N$100,'21'!$H$7:$H$100,$A325,'21'!$I$7:$I$100,2)+SUMIFS('22'!$N$7:$N$100,'22'!$H$7:$H$100,$A325,'22'!$I$7:$I$100,2)+SUMIFS('22a'!$N$7:$N$100,'22a'!$H$7:$H$100,$A325,'22a'!$I$7:$I$100,2)+SUMIFS('22b'!$N$7:$N$100,'22b'!$H$7:$H$100,$A325,'22b'!$I$7:$I$100,2)+SUMIFS('23'!$N$7:$N$100,'23'!$H$7:$H$100,$A325,'23'!$I$7:$I$100,2)+SUMIFS('24'!$N$7:$N$100,'24'!$H$7:$H$100,$A325,'24'!$I$7:$I$100,2)+SUMIFS('24a'!$N$7:$N$100,'24a'!$H$7:$H$100,$A325,'24a'!$I$7:$I$100,2)+SUMIFS('24b'!$N$7:$N$100,'24b'!$H$7:$H$100,$A325,'24b'!$I$7:$I$100,2)+SUMIFS('24c'!$N$7:$N$100,'24c'!$H$7:$H$100,$A325,'24c'!$I$7:$I$100,2)+SUMIFS('24d'!$N$7:$N$100,'24d'!$H$7:$H$100,$A325,'24d'!$I$7:$I$100,2)+SUMIFS('24e'!$N$7:$N$100,'24e'!$H$7:$H$100,$A325,'24e'!$I$7:$I$100,2)+SUMIFS('24f'!$N$7:$N$100,'24f'!$H$7:$H$100,$A325,'24f'!$I$7:$I$100,2)+SUMIFS('24g'!$N$7:$N$100,'24g'!$H$7:$H$100,$A325,'24g'!$I$7:$I$100,2)+SUMIFS('24h'!$N$7:$N$100,'24h'!$H$7:$H$100,$A325,'24h'!$I$7:$I$100,2)+SUMIFS('24i'!$N$7:$N$100,'24i'!$H$7:$H$100,$A325,'24i'!$I$7:$I$100,2)+SUMIFS('25'!$N$7:$N$100,'25'!$H$7:$H$100,$A325,'25'!$I$7:$I$100,2)+SUMIFS('26'!$N$7:$N$100,'26'!$H$7:$H$100,$A325,'26'!$I$7:$I$100,2)+SUMIFS('26a'!$N$7:$N$100,'26a'!$H$7:$H$100,$A325,'26a'!$I$7:$I$100,2)+SUMIFS('27'!$N$7:$N$100,'27'!$H$7:$H$100,$A325,'27'!$I$7:$I$100,2)+SUMIFS('27a'!$N$7:$N$100,'27a'!$H$7:$H$100,$A325,'27a'!$I$7:$I$100,2)+SUMIFS('28'!$N$7:$N$100,'28'!$H$7:$H$100,$A325,'28'!$I$7:$I$100,2)+SUMIFS('29'!$N$7:$N$100,'29'!$H$7:$H$100,$A325,'29'!$I$7:$I$100,2)</f>
        <v>4163.3100000000004</v>
      </c>
      <c r="E325" s="1315">
        <f>SUMIFS('12'!$N$7:$N$100,'12'!$H$7:$H$100,$A325,'12'!$I$7:$I$100,"")+SUMIFS('13'!$N$7:$N$100,'13'!$H$7:$H$100,$A325,'13'!$I$7:$I$100,"")+SUMIFS('14'!$N$7:$N$100,'14'!$H$7:$H$100,$A325,'14'!$I$7:$I$100,"")+SUMIFS('15'!$N$7:$N$100,'15'!$H$7:$H$100,$A325,'15'!$I$7:$I$100,"")+SUMIFS('15a'!$N$7:$N$100,'15a'!$H$7:$H$100,$A325,'15a'!$I$7:$I$100,"")+SUMIFS('15b'!$N$7:$N$100,'15b'!$H$7:$H$100,$A325,'15b'!$I$7:$I$100,"")+SUMIFS('15c'!$N$7:$N$100,'15c'!$H$7:$H$100,$A325,'15c'!$I$7:$I$100,"")+SUMIFS('15d'!$N$7:$N$100,'15d'!$H$7:$H$100,$A325,'15d'!$I$7:$I$100,"")+SUMIFS('15e'!$N$7:$N$100,'15e'!$H$7:$H$100,$A325,'15e'!$I$7:$I$100,"")+SUMIFS('15f'!$N$7:$N$100,'15f'!$H$7:$H$100,$A325,'15f'!$I$7:$I$100,"")+SUMIFS('15g'!$N$7:$N$100,'15g'!$H$7:$H$100,$A325,'15g'!$I$7:$I$100,"")+SUMIFS('15h'!$N$7:$N$100,'15h'!$H$7:$H$100,$A325,'15h'!$I$7:$I$100,"")+SUMIFS('15i'!$N$7:$N$100,'15i'!$H$7:$H$100,$A325,'15i'!$I$7:$I$100,"")+SUMIFS('15j'!$N$7:$N$100,'15j'!$H$7:$H$100,$A325,'15j'!$I$7:$I$100,"")+SUMIFS('15k'!$N$7:$N$100,'15k'!$H$7:$H$100,$A325,'15k'!$I$7:$I$100,"")+SUMIFS('15l'!$N$7:$N$100,'15l'!$H$7:$H$100,$A325,'15l'!$I$7:$I$100,"")+SUMIFS('15m'!$N$7:$N$100,'15m'!$H$7:$H$100,$A325,'15m'!$I$7:$I$100,"")+SUMIFS('15n'!$N$7:$N$100,'15n'!$H$7:$H$100,$A325,'15n'!$I$7:$I$100,"")+SUMIFS('16'!$N$7:$N$100,'16'!$H$7:$H$100,$A325,'16'!$I$7:$I$100,"")+SUMIFS('16a'!$N$7:$N$100,'16a'!$H$7:$H$100,$A325,'16a'!$I$7:$I$100,"")+SUMIFS('17'!$N$7:$N$100,'17'!$H$7:$H$100,$A325,'17'!$I$7:$I$100,"")+SUMIFS('17a'!$N$7:$N$100,'17a'!$H$7:$H$100,$A325,'17a'!$I$7:$I$100,"")+SUMIFS('18'!$N$7:$N$100,'18'!$H$7:$H$100,$A325,'18'!$I$7:$I$100,"")+SUMIFS('18a'!$N$7:$N$100,'18a'!$H$7:$H$100,$A325,'18a'!$I$7:$I$100,"")
+SUMIFS('19'!$N$7:$N$100,'19'!$H$7:$H$100,$A325,'19'!$I$7:$I$100,"")+SUMIFS('20'!$N$7:$N$100,'20'!$H$7:$H$100,$A325,'20'!$I$7:$I$100,"")+SUMIFS('20a'!$N$7:$N$100,'20a'!$H$7:$H$100,$A325,'20a'!$I$7:$I$100,"")+SUMIFS('21'!$N$7:$N$100,'21'!$H$7:$H$100,$A325,'21'!$I$7:$I$100,"")+SUMIFS('22'!$N$7:$N$100,'22'!$H$7:$H$100,$A325,'22'!$I$7:$I$100,"")+SUMIFS('22a'!$N$7:$N$100,'22a'!$H$7:$H$100,$A325,'22a'!$I$7:$I$100,"")+SUMIFS('22b'!$N$7:$N$100,'22b'!$H$7:$H$100,$A325,'22b'!$I$7:$I$100,"")+SUMIFS('23'!$N$7:$N$100,'23'!$H$7:$H$100,$A325,'23'!$I$7:$I$100,"")+SUMIFS('24'!$N$7:$N$100,'24'!$H$7:$H$100,$A325,'24'!$I$7:$I$100,"")+SUMIFS('24a'!$N$7:$N$100,'24a'!$H$7:$H$100,$A325,'24a'!$I$7:$I$100,"")+SUMIFS('24b'!$N$7:$N$100,'24b'!$H$7:$H$100,$A325,'24b'!$I$7:$I$100,"")+SUMIFS('24c'!$N$7:$N$100,'24c'!$H$7:$H$100,$A325,'24c'!$I$7:$I$100,"")+SUMIFS('24d'!$N$7:$N$100,'24d'!$H$7:$H$100,$A325,'24d'!$I$7:$I$100,"")+SUMIFS('24e'!$N$7:$N$100,'24e'!$H$7:$H$100,$A325,'24e'!$I$7:$I$100,"")+SUMIFS('24f'!$N$7:$N$100,'24f'!$H$7:$H$100,$A325,'24f'!$I$7:$I$100,"")+SUMIFS('24g'!$N$7:$N$100,'24g'!$H$7:$H$100,$A325,'24g'!$I$7:$I$100,"")+SUMIFS('24h'!$N$7:$N$100,'24h'!$H$7:$H$100,$A325,'24h'!$I$7:$I$100,"")+SUMIFS('24i'!$N$7:$N$100,'24i'!$H$7:$H$100,$A325,'24i'!$I$7:$I$100,"")+SUMIFS('25'!$N$7:$N$100,'25'!$H$7:$H$100,$A325,'25'!$I$7:$I$100,"")+SUMIFS('26'!$N$7:$N$100,'26'!$H$7:$H$100,$A325,'26'!$I$7:$I$100,"")+SUMIFS('26a'!$N$7:$N$100,'26a'!$H$7:$H$100,$A325,'26a'!$I$7:$I$100,"")+SUMIFS('27'!$N$7:$N$100,'27'!$H$7:$H$100,$A325,'27'!$I$7:$I$100,"")+SUMIFS('27a'!$N$7:$N$100,'27a'!$H$7:$H$100,$A325,'27a'!$I$7:$I$100,"")+SUMIFS('28'!$N$7:$N$100,'28'!$H$7:$H$100,$A325,'28'!$I$7:$I$100,"")+SUMIFS('29'!$N$7:$N$100,'29'!$H$7:$H$100,$A325,'29'!$I$7:$I$100,"")</f>
        <v>0</v>
      </c>
      <c r="F325" s="1296">
        <f t="shared" ref="F325:F334" si="43">SUM(C325:E325)</f>
        <v>4163.3100000000004</v>
      </c>
      <c r="G325" s="1295">
        <f>SUMIFS('12'!$J$7:$J$100,'12'!$H$7:$H$100,$A325,'12'!$I$7:$I$100,1)+SUMIFS('13'!$J$7:$J$100,'13'!$H$7:$H$100,$A325,'13'!$I$7:$I$100,1)+SUMIFS('14'!$J$7:$J$100,'14'!$H$7:$H$100,$A325,'14'!$I$7:$I$100,1)+SUMIFS('15'!$J$7:$J$100,'15'!$H$7:$H$100,$A325,'15'!$I$7:$I$100,1)+SUMIFS('15a'!$J$7:$J$100,'15a'!$H$7:$H$100,$A325,'15a'!$I$7:$I$100,1)+SUMIFS('15b'!$J$7:$J$100,'15b'!$H$7:$H$100,$A325,'15b'!$I$7:$I$100,1)+SUMIFS('15c'!$J$7:$J$100,'15c'!$H$7:$H$100,$A325,'15c'!$I$7:$I$100,1)+SUMIFS('15d'!$J$7:$J$100,'15d'!$H$7:$H$100,$A325,'15d'!$I$7:$I$100,1)+SUMIFS('15e'!$J$7:$J$100,'15e'!$H$7:$H$100,$A325,'15e'!$I$7:$I$100,1)+SUMIFS('15f'!$J$7:$J$100,'15f'!$H$7:$H$100,$A325,'15f'!$I$7:$I$100,1)+SUMIFS('15g'!$J$7:$J$100,'15g'!$H$7:$H$100,$A325,'15g'!$I$7:$I$100,1)+SUMIFS('15h'!$J$7:$J$100,'15h'!$H$7:$H$100,$A325,'15h'!$I$7:$I$100,1)+SUMIFS('15i'!$J$7:$J$100,'15i'!$H$7:$H$100,$A325,'15i'!$I$7:$I$100,1)+SUMIFS('15j'!$J$7:$J$100,'15j'!$H$7:$H$100,$A325,'15j'!$I$7:$I$100,1)+SUMIFS('15k'!$J$7:$J$100,'15k'!$H$7:$H$100,$A325,'15k'!$I$7:$I$100,1)+SUMIFS('15l'!$J$7:$J$100,'15l'!$H$7:$H$100,$A325,'15l'!$I$7:$I$100,1)+SUMIFS('15m'!$J$7:$J$100,'15m'!$H$7:$H$100,$A325,'15m'!$I$7:$I$100,1)+SUMIFS('15n'!$J$7:$J$100,'15n'!$H$7:$H$100,$A325,'15n'!$I$7:$I$100,1)+SUMIFS('16'!$J$7:$J$100,'16'!$H$7:$H$100,$A325,'16'!$I$7:$I$100,1)+SUMIFS('16a'!$J$7:$J$100,'16a'!$H$7:$H$100,$A325,'16a'!$I$7:$I$100,1)+SUMIFS('17'!$J$7:$J$100,'17'!$H$7:$H$100,$A325,'17'!$I$7:$I$100,1)+SUMIFS('17a'!$J$7:$J$100,'17a'!$H$7:$H$100,$A325,'17a'!$I$7:$I$100,1)+SUMIFS('18'!$J$7:$J$100,'18'!$H$7:$H$100,$A325,'18'!$I$7:$I$100,1)+SUMIFS('18a'!$J$7:$J$100,'18a'!$H$7:$H$100,$A325,'18a'!$I$7:$I$100,1)
+SUMIFS('19'!$J$7:$J$100,'19'!$H$7:$H$100,$A325,'19'!$I$7:$I$100,1)+SUMIFS('20'!$J$7:$J$100,'20'!$H$7:$H$100,$A325,'20'!$I$7:$I$100,1)+SUMIFS('20a'!$J$7:$J$100,'20a'!$H$7:$H$100,$A325,'20a'!$I$7:$I$100,1)+SUMIFS('21'!$J$7:$J$100,'21'!$H$7:$H$100,$A325,'21'!$I$7:$I$100,1)+SUMIFS('22'!$J$7:$J$100,'22'!$H$7:$H$100,$A325,'22'!$I$7:$I$100,1)+SUMIFS('22a'!$J$7:$J$100,'22a'!$H$7:$H$100,$A325,'22a'!$I$7:$I$100,1)+SUMIFS('22b'!$J$7:$J$100,'22b'!$H$7:$H$100,$A325,'22b'!$I$7:$I$100,1)+SUMIFS('23'!$J$7:$J$100,'23'!$H$7:$H$100,$A325,'23'!$I$7:$I$100,1)+SUMIFS('24'!$J$7:$J$100,'24'!$H$7:$H$100,$A325,'24'!$I$7:$I$100,1)+SUMIFS('24a'!$J$7:$J$100,'24a'!$H$7:$H$100,$A325,'24a'!$I$7:$I$100,1)+SUMIFS('24b'!$J$7:$J$100,'24b'!$H$7:$H$100,$A325,'24b'!$I$7:$I$100,1)+SUMIFS('24c'!$J$7:$J$100,'24c'!$H$7:$H$100,$A325,'24c'!$I$7:$I$100,1)+SUMIFS('24d'!$J$7:$J$100,'24d'!$H$7:$H$100,$A325,'24d'!$I$7:$I$100,1)+SUMIFS('24e'!$J$7:$J$100,'24e'!$H$7:$H$100,$A325,'24e'!$I$7:$I$100,1)+SUMIFS('24f'!$J$7:$J$100,'24f'!$H$7:$H$100,$A325,'24f'!$I$7:$I$100,1)+SUMIFS('24g'!$J$7:$J$100,'24g'!$H$7:$H$100,$A325,'24g'!$I$7:$I$100,1)+SUMIFS('24h'!$J$7:$J$100,'24h'!$H$7:$H$100,$A325,'24h'!$I$7:$I$100,1)+SUMIFS('24i'!$J$7:$J$100,'24i'!$H$7:$H$100,$A325,'24i'!$I$7:$I$100,1)+SUMIFS('25'!$J$7:$J$100,'25'!$H$7:$H$100,$A325,'25'!$I$7:$I$100,1)+SUMIFS('26'!$J$7:$J$100,'26'!$H$7:$H$100,$A325,'26'!$I$7:$I$100,1)+SUMIFS('26a'!$J$7:$J$100,'26a'!$H$7:$H$100,$A325,'26a'!$I$7:$I$100,1)+SUMIFS('27'!$J$7:$J$100,'27'!$H$7:$H$100,$A325,'27'!$I$7:$I$100,1)+SUMIFS('27a'!$J$7:$J$100,'27a'!$H$7:$H$100,$A325,'27a'!$I$7:$I$100,1)+SUMIFS('28'!$J$7:$J$100,'28'!$H$7:$H$100,$A325,'28'!$I$7:$I$100,1)+SUMIFS('29'!$J$7:$J$100,'29'!$H$7:$H$100,$A325,'29'!$I$7:$I$100,1)</f>
        <v>0</v>
      </c>
      <c r="H325" s="1315">
        <f>SUMIFS('12'!$J$7:$J$100,'12'!$H$7:$H$100,$A325,'12'!$I$7:$I$100,2)+SUMIFS('13'!$J$7:$J$100,'13'!$H$7:$H$100,$A325,'13'!$I$7:$I$100,2)+SUMIFS('14'!$J$7:$J$100,'14'!$H$7:$H$100,$A325,'14'!$I$7:$I$100,2)+SUMIFS('15'!$J$7:$J$100,'15'!$H$7:$H$100,$A325,'15'!$I$7:$I$100,2)+SUMIFS('15a'!$J$7:$J$100,'15a'!$H$7:$H$100,$A325,'15a'!$I$7:$I$100,2)+SUMIFS('15b'!$J$7:$J$100,'15b'!$H$7:$H$100,$A325,'15b'!$I$7:$I$100,2)+SUMIFS('15c'!$J$7:$J$100,'15c'!$H$7:$H$100,$A325,'15c'!$I$7:$I$100,2)+SUMIFS('15d'!$J$7:$J$100,'15d'!$H$7:$H$100,$A325,'15d'!$I$7:$I$100,2)+SUMIFS('15e'!$J$7:$J$100,'15e'!$H$7:$H$100,$A325,'15e'!$I$7:$I$100,2)+SUMIFS('15f'!$J$7:$J$100,'15f'!$H$7:$H$100,$A325,'15f'!$I$7:$I$100,2)+SUMIFS('15g'!$J$7:$J$100,'15g'!$H$7:$H$100,$A325,'15g'!$I$7:$I$100,2)+SUMIFS('15h'!$J$7:$J$100,'15h'!$H$7:$H$100,$A325,'15h'!$I$7:$I$100,2)+SUMIFS('15i'!$J$7:$J$100,'15i'!$H$7:$H$100,$A325,'15i'!$I$7:$I$100,2)+SUMIFS('15j'!$J$7:$J$100,'15j'!$H$7:$H$100,$A325,'15j'!$I$7:$I$100,2)+SUMIFS('15k'!$J$7:$J$100,'15k'!$H$7:$H$100,$A325,'15k'!$I$7:$I$100,2)+SUMIFS('15l'!$J$7:$J$100,'15l'!$H$7:$H$100,$A325,'15l'!$I$7:$I$100,2)+SUMIFS('15m'!$J$7:$J$100,'15m'!$H$7:$H$100,$A325,'15m'!$I$7:$I$100,2)+SUMIFS('15n'!$J$7:$J$100,'15n'!$H$7:$H$100,$A325,'15n'!$I$7:$I$100,2)+SUMIFS('16'!$J$7:$J$100,'16'!$H$7:$H$100,$A325,'16'!$I$7:$I$100,2)+SUMIFS('16a'!$J$7:$J$100,'16a'!$H$7:$H$100,$A325,'16a'!$I$7:$I$100,2)+SUMIFS('17'!$J$7:$J$100,'17'!$H$7:$H$100,$A325,'17'!$I$7:$I$100,2)+SUMIFS('17a'!$J$7:$J$100,'17a'!$H$7:$H$100,$A325,'17a'!$I$7:$I$100,2)+SUMIFS('18'!$J$7:$J$100,'18'!$H$7:$H$100,$A325,'18'!$I$7:$I$100,2)+SUMIFS('18a'!$J$7:$J$100,'18a'!$H$7:$H$100,$A325,'18a'!$I$7:$I$100,2)
+SUMIFS('19'!$J$7:$J$100,'19'!$H$7:$H$100,$A325,'19'!$I$7:$I$100,2)+SUMIFS('20'!$J$7:$J$100,'20'!$H$7:$H$100,$A325,'20'!$I$7:$I$100,2)+SUMIFS('20a'!$J$7:$J$100,'20a'!$H$7:$H$100,$A325,'20a'!$I$7:$I$100,2)+SUMIFS('21'!$J$7:$J$100,'21'!$H$7:$H$100,$A325,'21'!$I$7:$I$100,2)+SUMIFS('22'!$J$7:$J$100,'22'!$H$7:$H$100,$A325,'22'!$I$7:$I$100,2)+SUMIFS('22a'!$J$7:$J$100,'22a'!$H$7:$H$100,$A325,'22a'!$I$7:$I$100,2)+SUMIFS('22b'!$J$7:$J$100,'22b'!$H$7:$H$100,$A325,'22b'!$I$7:$I$100,2)+SUMIFS('23'!$J$7:$J$100,'23'!$H$7:$H$100,$A325,'23'!$I$7:$I$100,2)+SUMIFS('24'!$J$7:$J$100,'24'!$H$7:$H$100,$A325,'24'!$I$7:$I$100,2)+SUMIFS('24a'!$J$7:$J$100,'24a'!$H$7:$H$100,$A325,'24a'!$I$7:$I$100,2)+SUMIFS('24b'!$J$7:$J$100,'24b'!$H$7:$H$100,$A325,'24b'!$I$7:$I$100,2)+SUMIFS('24c'!$J$7:$J$100,'24c'!$H$7:$H$100,$A325,'24c'!$I$7:$I$100,2)+SUMIFS('24d'!$J$7:$J$100,'24d'!$H$7:$H$100,$A325,'24d'!$I$7:$I$100,2)+SUMIFS('24e'!$J$7:$J$100,'24e'!$H$7:$H$100,$A325,'24e'!$I$7:$I$100,2)+SUMIFS('24f'!$J$7:$J$100,'24f'!$H$7:$H$100,$A325,'24f'!$I$7:$I$100,2)+SUMIFS('24g'!$J$7:$J$100,'24g'!$H$7:$H$100,$A325,'24g'!$I$7:$I$100,2)+SUMIFS('24h'!$J$7:$J$100,'24h'!$H$7:$H$100,$A325,'24h'!$I$7:$I$100,2)+SUMIFS('24i'!$J$7:$J$100,'24i'!$H$7:$H$100,$A325,'24i'!$I$7:$I$100,2)+SUMIFS('25'!$J$7:$J$100,'25'!$H$7:$H$100,$A325,'25'!$I$7:$I$100,2)+SUMIFS('26'!$J$7:$J$100,'26'!$H$7:$H$100,$A325,'26'!$I$7:$I$100,2)+SUMIFS('26a'!$J$7:$J$100,'26a'!$H$7:$H$100,$A325,'26a'!$I$7:$I$100,2)+SUMIFS('27'!$J$7:$J$100,'27'!$H$7:$H$100,$A325,'27'!$I$7:$I$100,2)+SUMIFS('27a'!$J$7:$J$100,'27a'!$H$7:$H$100,$A325,'27a'!$I$7:$I$100,2)+SUMIFS('28'!$J$7:$J$100,'28'!$H$7:$H$100,$A325,'28'!$I$7:$I$100,2)+SUMIFS('29'!$J$7:$J$100,'29'!$H$7:$H$100,$A325,'29'!$I$7:$I$100,2)</f>
        <v>6367.25</v>
      </c>
      <c r="I325" s="1315">
        <f>SUMIFS('12'!$J$7:$J$100,'12'!$H$7:$H$100,$A325,'12'!$I$7:$I$100,"")+SUMIFS('13'!$J$7:$J$100,'13'!$H$7:$H$100,$A325,'13'!$I$7:$I$100,"")+SUMIFS('14'!$J$7:$J$100,'14'!$H$7:$H$100,$A325,'14'!$I$7:$I$100,"")+SUMIFS('15'!$J$7:$J$100,'15'!$H$7:$H$100,$A325,'15'!$I$7:$I$100,"")+SUMIFS('15a'!$J$7:$J$100,'15a'!$H$7:$H$100,$A325,'15a'!$I$7:$I$100,"")+SUMIFS('15b'!$J$7:$J$100,'15b'!$H$7:$H$100,$A325,'15b'!$I$7:$I$100,"")+SUMIFS('15c'!$J$7:$J$100,'15c'!$H$7:$H$100,$A325,'15c'!$I$7:$I$100,"")+SUMIFS('15d'!$J$7:$J$100,'15d'!$H$7:$H$100,$A325,'15d'!$I$7:$I$100,"")+SUMIFS('15e'!$J$7:$J$100,'15e'!$H$7:$H$100,$A325,'15e'!$I$7:$I$100,"")+SUMIFS('15f'!$J$7:$J$100,'15f'!$H$7:$H$100,$A325,'15f'!$I$7:$I$100,"")+SUMIFS('15g'!$J$7:$J$100,'15g'!$H$7:$H$100,$A325,'15g'!$I$7:$I$100,"")+SUMIFS('15h'!$J$7:$J$100,'15h'!$H$7:$H$100,$A325,'15h'!$I$7:$I$100,"")+SUMIFS('15i'!$J$7:$J$100,'15i'!$H$7:$H$100,$A325,'15i'!$I$7:$I$100,"")+SUMIFS('15j'!$J$7:$J$100,'15j'!$H$7:$H$100,$A325,'15j'!$I$7:$I$100,"")+SUMIFS('15k'!$J$7:$J$100,'15k'!$H$7:$H$100,$A325,'15k'!$I$7:$I$100,"")+SUMIFS('15l'!$J$7:$J$100,'15l'!$H$7:$H$100,$A325,'15l'!$I$7:$I$100,"")+SUMIFS('15m'!$J$7:$J$100,'15m'!$H$7:$H$100,$A325,'15m'!$I$7:$I$100,"")+SUMIFS('15n'!$J$7:$J$100,'15n'!$H$7:$H$100,$A325,'15n'!$I$7:$I$100,"")+SUMIFS('16'!$J$7:$J$100,'16'!$H$7:$H$100,$A325,'16'!$I$7:$I$100,"")+SUMIFS('16a'!$J$7:$J$100,'16a'!$H$7:$H$100,$A325,'16a'!$I$7:$I$100,"")+SUMIFS('17'!$J$7:$J$100,'17'!$H$7:$H$100,$A325,'17'!$I$7:$I$100,"")+SUMIFS('17a'!$J$7:$J$100,'17a'!$H$7:$H$100,$A325,'17a'!$I$7:$I$100,"")+SUMIFS('18'!$J$7:$J$100,'18'!$H$7:$H$100,$A325,'18'!$I$7:$I$100,"")+SUMIFS('18a'!$J$7:$J$100,'18a'!$H$7:$H$100,$A325,'18a'!$I$7:$I$100,"")
+SUMIFS('19'!$J$7:$J$100,'19'!$H$7:$H$100,$A325,'19'!$I$7:$I$100,"")+SUMIFS('20'!$J$7:$J$100,'20'!$H$7:$H$100,$A325,'20'!$I$7:$I$100,"")+SUMIFS('20a'!$J$7:$J$100,'20a'!$H$7:$H$100,$A325,'20a'!$I$7:$I$100,"")+SUMIFS('21'!$J$7:$J$100,'21'!$H$7:$H$100,$A325,'21'!$I$7:$I$100,"")+SUMIFS('22'!$J$7:$J$100,'22'!$H$7:$H$100,$A325,'22'!$I$7:$I$100,"")+SUMIFS('22a'!$J$7:$J$100,'22a'!$H$7:$H$100,$A325,'22a'!$I$7:$I$100,"")+SUMIFS('22b'!$J$7:$J$100,'22b'!$H$7:$H$100,$A325,'22b'!$I$7:$I$100,"")+SUMIFS('23'!$J$7:$J$100,'23'!$H$7:$H$100,$A325,'23'!$I$7:$I$100,"")+SUMIFS('24'!$J$7:$J$100,'24'!$H$7:$H$100,$A325,'24'!$I$7:$I$100,"")+SUMIFS('24a'!$J$7:$J$100,'24a'!$H$7:$H$100,$A325,'24a'!$I$7:$I$100,"")+SUMIFS('24b'!$J$7:$J$100,'24b'!$H$7:$H$100,$A325,'24b'!$I$7:$I$100,"")+SUMIFS('24c'!$J$7:$J$100,'24c'!$H$7:$H$100,$A325,'24c'!$I$7:$I$100,"")+SUMIFS('24d'!$J$7:$J$100,'24d'!$H$7:$H$100,$A325,'24d'!$I$7:$I$100,"")+SUMIFS('24e'!$J$7:$J$100,'24e'!$H$7:$H$100,$A325,'24e'!$I$7:$I$100,"")+SUMIFS('24f'!$J$7:$J$100,'24f'!$H$7:$H$100,$A325,'24f'!$I$7:$I$100,"")+SUMIFS('24g'!$J$7:$J$100,'24g'!$H$7:$H$100,$A325,'24g'!$I$7:$I$100,"")+SUMIFS('24h'!$J$7:$J$100,'24h'!$H$7:$H$100,$A325,'24h'!$I$7:$I$100,"")+SUMIFS('24i'!$J$7:$J$100,'24i'!$H$7:$H$100,$A325,'24i'!$I$7:$I$100,"")+SUMIFS('25'!$J$7:$J$100,'25'!$H$7:$H$100,$A325,'25'!$I$7:$I$100,"")+SUMIFS('26'!$J$7:$J$100,'26'!$H$7:$H$100,$A325,'26'!$I$7:$I$100,"")+SUMIFS('26a'!$J$7:$J$100,'26a'!$H$7:$H$100,$A325,'26a'!$I$7:$I$100,"")+SUMIFS('27'!$J$7:$J$100,'27'!$H$7:$H$100,$A325,'27'!$I$7:$I$100,"")+SUMIFS('27a'!$J$7:$J$100,'27a'!$H$7:$H$100,$A325,'27a'!$I$7:$I$100,"")+SUMIFS('28'!$J$7:$J$100,'28'!$H$7:$H$100,$A325,'28'!$I$7:$I$100,"")+SUMIFS('29'!$J$7:$J$100,'29'!$H$7:$H$100,$A325,'29'!$I$7:$I$100,"")</f>
        <v>0</v>
      </c>
      <c r="J325" s="1296">
        <f t="shared" ref="J325:J334" si="44">SUM(G325:I325)</f>
        <v>6367.25</v>
      </c>
      <c r="K325"/>
      <c r="L325"/>
      <c r="M325"/>
      <c r="N325"/>
      <c r="O325"/>
      <c r="P325"/>
      <c r="Q325"/>
      <c r="R325"/>
      <c r="S325" s="1307">
        <f t="shared" si="30"/>
        <v>21061.120000000003</v>
      </c>
      <c r="T325"/>
    </row>
    <row r="326" spans="1:20" x14ac:dyDescent="0.2">
      <c r="A326" t="s">
        <v>5199</v>
      </c>
      <c r="B326" t="s">
        <v>5538</v>
      </c>
      <c r="C326" s="1295">
        <f>SUMIFS('12'!$N$7:$N$100,'12'!$H$7:$H$100,$A326,'12'!$I$7:$I$100,1)+SUMIFS('13'!$N$7:$N$100,'13'!$H$7:$H$100,$A326,'13'!$I$7:$I$100,1)+SUMIFS('14'!$N$7:$N$100,'14'!$H$7:$H$100,$A326,'14'!$I$7:$I$100,1)+SUMIFS('15'!$N$7:$N$100,'15'!$H$7:$H$100,$A326,'15'!$I$7:$I$100,1)+SUMIFS('15a'!$N$7:$N$100,'15a'!$H$7:$H$100,$A326,'15a'!$I$7:$I$100,1)+SUMIFS('15b'!$N$7:$N$100,'15b'!$H$7:$H$100,$A326,'15b'!$I$7:$I$100,1)+SUMIFS('15c'!$N$7:$N$100,'15c'!$H$7:$H$100,$A326,'15c'!$I$7:$I$100,1)+SUMIFS('15d'!$N$7:$N$100,'15d'!$H$7:$H$100,$A326,'15d'!$I$7:$I$100,1)+SUMIFS('15e'!$N$7:$N$100,'15e'!$H$7:$H$100,$A326,'15e'!$I$7:$I$100,1)+SUMIFS('15f'!$N$7:$N$100,'15f'!$H$7:$H$100,$A326,'15f'!$I$7:$I$100,1)+SUMIFS('15g'!$N$7:$N$100,'15g'!$H$7:$H$100,$A326,'15g'!$I$7:$I$100,1)+SUMIFS('15h'!$N$7:$N$100,'15h'!$H$7:$H$100,$A326,'15h'!$I$7:$I$100,1)+SUMIFS('15i'!$N$7:$N$100,'15i'!$H$7:$H$100,$A326,'15i'!$I$7:$I$100,1)+SUMIFS('15j'!$N$7:$N$100,'15j'!$H$7:$H$100,$A326,'15j'!$I$7:$I$100,1)+SUMIFS('15k'!$N$7:$N$100,'15k'!$H$7:$H$100,$A326,'15k'!$I$7:$I$100,1)+SUMIFS('15l'!$N$7:$N$100,'15l'!$H$7:$H$100,$A326,'15l'!$I$7:$I$100,1)+SUMIFS('15m'!$N$7:$N$100,'15m'!$H$7:$H$100,$A326,'15m'!$I$7:$I$100,1)+SUMIFS('15n'!$N$7:$N$100,'15n'!$H$7:$H$100,$A326,'15n'!$I$7:$I$100,1)+SUMIFS('16'!$N$7:$N$100,'16'!$H$7:$H$100,$A326,'16'!$I$7:$I$100,1)+SUMIFS('16a'!$N$7:$N$100,'16a'!$H$7:$H$100,$A326,'16a'!$I$7:$I$100,1)+SUMIFS('17'!$N$7:$N$100,'17'!$H$7:$H$100,$A326,'17'!$I$7:$I$100,1)+SUMIFS('17a'!$N$7:$N$100,'17a'!$H$7:$H$100,$A326,'17a'!$I$7:$I$100,1)+SUMIFS('18'!$N$7:$N$100,'18'!$H$7:$H$100,$A326,'18'!$I$7:$I$100,1)+SUMIFS('18a'!$N$7:$N$100,'18a'!$H$7:$H$100,$A326,'18a'!$I$7:$I$100,1)
+SUMIFS('19'!$N$7:$N$100,'19'!$H$7:$H$100,$A326,'19'!$I$7:$I$100,1)+SUMIFS('20'!$N$7:$N$100,'20'!$H$7:$H$100,$A326,'20'!$I$7:$I$100,1)+SUMIFS('20a'!$N$7:$N$100,'20a'!$H$7:$H$100,$A326,'20a'!$I$7:$I$100,1)+SUMIFS('21'!$N$7:$N$100,'21'!$H$7:$H$100,$A326,'21'!$I$7:$I$100,1)+SUMIFS('22'!$N$7:$N$100,'22'!$H$7:$H$100,$A326,'22'!$I$7:$I$100,1)+SUMIFS('22a'!$N$7:$N$100,'22a'!$H$7:$H$100,$A326,'22a'!$I$7:$I$100,1)+SUMIFS('22b'!$N$7:$N$100,'22b'!$H$7:$H$100,$A326,'22b'!$I$7:$I$100,1)+SUMIFS('23'!$N$7:$N$100,'23'!$H$7:$H$100,$A326,'23'!$I$7:$I$100,1)+SUMIFS('24'!$N$7:$N$100,'24'!$H$7:$H$100,$A326,'24'!$I$7:$I$100,1)+SUMIFS('24a'!$N$7:$N$100,'24a'!$H$7:$H$100,$A326,'24a'!$I$7:$I$100,1)+SUMIFS('24b'!$N$7:$N$100,'24b'!$H$7:$H$100,$A326,'24b'!$I$7:$I$100,1)+SUMIFS('24c'!$N$7:$N$100,'24c'!$H$7:$H$100,$A326,'24c'!$I$7:$I$100,1)+SUMIFS('24d'!$N$7:$N$100,'24d'!$H$7:$H$100,$A326,'24d'!$I$7:$I$100,1)+SUMIFS('24e'!$N$7:$N$100,'24e'!$H$7:$H$100,$A326,'24e'!$I$7:$I$100,1)+SUMIFS('24f'!$N$7:$N$100,'24f'!$H$7:$H$100,$A326,'24f'!$I$7:$I$100,1)+SUMIFS('24g'!$N$7:$N$100,'24g'!$H$7:$H$100,$A326,'24g'!$I$7:$I$100,1)+SUMIFS('24h'!$N$7:$N$100,'24h'!$H$7:$H$100,$A326,'24h'!$I$7:$I$100,1)+SUMIFS('24i'!$N$7:$N$100,'24i'!$H$7:$H$100,$A326,'24i'!$I$7:$I$100,1)+SUMIFS('25'!$N$7:$N$100,'25'!$H$7:$H$100,$A326,'25'!$I$7:$I$100,1)+SUMIFS('26'!$N$7:$N$100,'26'!$H$7:$H$100,$A326,'26'!$I$7:$I$100,1)+SUMIFS('26a'!$N$7:$N$100,'26a'!$H$7:$H$100,$A326,'26a'!$I$7:$I$100,1)+SUMIFS('27'!$N$7:$N$100,'27'!$H$7:$H$100,$A326,'27'!$I$7:$I$100,1)+SUMIFS('27a'!$N$7:$N$100,'27a'!$H$7:$H$100,$A326,'27a'!$I$7:$I$100,1)+SUMIFS('28'!$N$7:$N$100,'28'!$H$7:$H$100,$A326,'28'!$I$7:$I$100,1)+SUMIFS('29'!$N$7:$N$100,'29'!$H$7:$H$100,$A326,'29'!$I$7:$I$100,1)</f>
        <v>0</v>
      </c>
      <c r="D326" s="1315">
        <f>SUMIFS('12'!$N$7:$N$100,'12'!$H$7:$H$100,$A326,'12'!$I$7:$I$100,2)+SUMIFS('13'!$N$7:$N$100,'13'!$H$7:$H$100,$A326,'13'!$I$7:$I$100,2)+SUMIFS('14'!$N$7:$N$100,'14'!$H$7:$H$100,$A326,'14'!$I$7:$I$100,2)+SUMIFS('15'!$N$7:$N$100,'15'!$H$7:$H$100,$A326,'15'!$I$7:$I$100,2)+SUMIFS('15a'!$N$7:$N$100,'15a'!$H$7:$H$100,$A326,'15a'!$I$7:$I$100,2)+SUMIFS('15b'!$N$7:$N$100,'15b'!$H$7:$H$100,$A326,'15b'!$I$7:$I$100,2)+SUMIFS('15c'!$N$7:$N$100,'15c'!$H$7:$H$100,$A326,'15c'!$I$7:$I$100,2)+SUMIFS('15d'!$N$7:$N$100,'15d'!$H$7:$H$100,$A326,'15d'!$I$7:$I$100,2)+SUMIFS('15e'!$N$7:$N$100,'15e'!$H$7:$H$100,$A326,'15e'!$I$7:$I$100,2)+SUMIFS('15f'!$N$7:$N$100,'15f'!$H$7:$H$100,$A326,'15f'!$I$7:$I$100,2)+SUMIFS('15g'!$N$7:$N$100,'15g'!$H$7:$H$100,$A326,'15g'!$I$7:$I$100,2)+SUMIFS('15h'!$N$7:$N$100,'15h'!$H$7:$H$100,$A326,'15h'!$I$7:$I$100,2)+SUMIFS('15i'!$N$7:$N$100,'15i'!$H$7:$H$100,$A326,'15i'!$I$7:$I$100,2)+SUMIFS('15j'!$N$7:$N$100,'15j'!$H$7:$H$100,$A326,'15j'!$I$7:$I$100,2)+SUMIFS('15k'!$N$7:$N$100,'15k'!$H$7:$H$100,$A326,'15k'!$I$7:$I$100,2)+SUMIFS('15l'!$N$7:$N$100,'15l'!$H$7:$H$100,$A326,'15l'!$I$7:$I$100,2)+SUMIFS('15m'!$N$7:$N$100,'15m'!$H$7:$H$100,$A326,'15m'!$I$7:$I$100,2)+SUMIFS('15n'!$N$7:$N$100,'15n'!$H$7:$H$100,$A326,'15n'!$I$7:$I$100,2)+SUMIFS('16'!$N$7:$N$100,'16'!$H$7:$H$100,$A326,'16'!$I$7:$I$100,2)+SUMIFS('16a'!$N$7:$N$100,'16a'!$H$7:$H$100,$A326,'16a'!$I$7:$I$100,2)+SUMIFS('17'!$N$7:$N$100,'17'!$H$7:$H$100,$A326,'17'!$I$7:$I$100,2)+SUMIFS('17a'!$N$7:$N$100,'17a'!$H$7:$H$100,$A326,'17a'!$I$7:$I$100,2)+SUMIFS('18'!$N$7:$N$100,'18'!$H$7:$H$100,$A326,'18'!$I$7:$I$100,2)+SUMIFS('18a'!$N$7:$N$100,'18a'!$H$7:$H$100,$A326,'18a'!$I$7:$I$100,2)
+SUMIFS('19'!$N$7:$N$100,'19'!$H$7:$H$100,$A326,'19'!$I$7:$I$100,2)+SUMIFS('20'!$N$7:$N$100,'20'!$H$7:$H$100,$A326,'20'!$I$7:$I$100,2)+SUMIFS('20a'!$N$7:$N$100,'20a'!$H$7:$H$100,$A326,'20a'!$I$7:$I$100,2)+SUMIFS('21'!$N$7:$N$100,'21'!$H$7:$H$100,$A326,'21'!$I$7:$I$100,2)+SUMIFS('22'!$N$7:$N$100,'22'!$H$7:$H$100,$A326,'22'!$I$7:$I$100,2)+SUMIFS('22a'!$N$7:$N$100,'22a'!$H$7:$H$100,$A326,'22a'!$I$7:$I$100,2)+SUMIFS('22b'!$N$7:$N$100,'22b'!$H$7:$H$100,$A326,'22b'!$I$7:$I$100,2)+SUMIFS('23'!$N$7:$N$100,'23'!$H$7:$H$100,$A326,'23'!$I$7:$I$100,2)+SUMIFS('24'!$N$7:$N$100,'24'!$H$7:$H$100,$A326,'24'!$I$7:$I$100,2)+SUMIFS('24a'!$N$7:$N$100,'24a'!$H$7:$H$100,$A326,'24a'!$I$7:$I$100,2)+SUMIFS('24b'!$N$7:$N$100,'24b'!$H$7:$H$100,$A326,'24b'!$I$7:$I$100,2)+SUMIFS('24c'!$N$7:$N$100,'24c'!$H$7:$H$100,$A326,'24c'!$I$7:$I$100,2)+SUMIFS('24d'!$N$7:$N$100,'24d'!$H$7:$H$100,$A326,'24d'!$I$7:$I$100,2)+SUMIFS('24e'!$N$7:$N$100,'24e'!$H$7:$H$100,$A326,'24e'!$I$7:$I$100,2)+SUMIFS('24f'!$N$7:$N$100,'24f'!$H$7:$H$100,$A326,'24f'!$I$7:$I$100,2)+SUMIFS('24g'!$N$7:$N$100,'24g'!$H$7:$H$100,$A326,'24g'!$I$7:$I$100,2)+SUMIFS('24h'!$N$7:$N$100,'24h'!$H$7:$H$100,$A326,'24h'!$I$7:$I$100,2)+SUMIFS('24i'!$N$7:$N$100,'24i'!$H$7:$H$100,$A326,'24i'!$I$7:$I$100,2)+SUMIFS('25'!$N$7:$N$100,'25'!$H$7:$H$100,$A326,'25'!$I$7:$I$100,2)+SUMIFS('26'!$N$7:$N$100,'26'!$H$7:$H$100,$A326,'26'!$I$7:$I$100,2)+SUMIFS('26a'!$N$7:$N$100,'26a'!$H$7:$H$100,$A326,'26a'!$I$7:$I$100,2)+SUMIFS('27'!$N$7:$N$100,'27'!$H$7:$H$100,$A326,'27'!$I$7:$I$100,2)+SUMIFS('27a'!$N$7:$N$100,'27a'!$H$7:$H$100,$A326,'27a'!$I$7:$I$100,2)+SUMIFS('28'!$N$7:$N$100,'28'!$H$7:$H$100,$A326,'28'!$I$7:$I$100,2)+SUMIFS('29'!$N$7:$N$100,'29'!$H$7:$H$100,$A326,'29'!$I$7:$I$100,2)</f>
        <v>9882.61</v>
      </c>
      <c r="E326" s="1315">
        <f>SUMIFS('12'!$N$7:$N$100,'12'!$H$7:$H$100,$A326,'12'!$I$7:$I$100,"")+SUMIFS('13'!$N$7:$N$100,'13'!$H$7:$H$100,$A326,'13'!$I$7:$I$100,"")+SUMIFS('14'!$N$7:$N$100,'14'!$H$7:$H$100,$A326,'14'!$I$7:$I$100,"")+SUMIFS('15'!$N$7:$N$100,'15'!$H$7:$H$100,$A326,'15'!$I$7:$I$100,"")+SUMIFS('15a'!$N$7:$N$100,'15a'!$H$7:$H$100,$A326,'15a'!$I$7:$I$100,"")+SUMIFS('15b'!$N$7:$N$100,'15b'!$H$7:$H$100,$A326,'15b'!$I$7:$I$100,"")+SUMIFS('15c'!$N$7:$N$100,'15c'!$H$7:$H$100,$A326,'15c'!$I$7:$I$100,"")+SUMIFS('15d'!$N$7:$N$100,'15d'!$H$7:$H$100,$A326,'15d'!$I$7:$I$100,"")+SUMIFS('15e'!$N$7:$N$100,'15e'!$H$7:$H$100,$A326,'15e'!$I$7:$I$100,"")+SUMIFS('15f'!$N$7:$N$100,'15f'!$H$7:$H$100,$A326,'15f'!$I$7:$I$100,"")+SUMIFS('15g'!$N$7:$N$100,'15g'!$H$7:$H$100,$A326,'15g'!$I$7:$I$100,"")+SUMIFS('15h'!$N$7:$N$100,'15h'!$H$7:$H$100,$A326,'15h'!$I$7:$I$100,"")+SUMIFS('15i'!$N$7:$N$100,'15i'!$H$7:$H$100,$A326,'15i'!$I$7:$I$100,"")+SUMIFS('15j'!$N$7:$N$100,'15j'!$H$7:$H$100,$A326,'15j'!$I$7:$I$100,"")+SUMIFS('15k'!$N$7:$N$100,'15k'!$H$7:$H$100,$A326,'15k'!$I$7:$I$100,"")+SUMIFS('15l'!$N$7:$N$100,'15l'!$H$7:$H$100,$A326,'15l'!$I$7:$I$100,"")+SUMIFS('15m'!$N$7:$N$100,'15m'!$H$7:$H$100,$A326,'15m'!$I$7:$I$100,"")+SUMIFS('15n'!$N$7:$N$100,'15n'!$H$7:$H$100,$A326,'15n'!$I$7:$I$100,"")+SUMIFS('16'!$N$7:$N$100,'16'!$H$7:$H$100,$A326,'16'!$I$7:$I$100,"")+SUMIFS('16a'!$N$7:$N$100,'16a'!$H$7:$H$100,$A326,'16a'!$I$7:$I$100,"")+SUMIFS('17'!$N$7:$N$100,'17'!$H$7:$H$100,$A326,'17'!$I$7:$I$100,"")+SUMIFS('17a'!$N$7:$N$100,'17a'!$H$7:$H$100,$A326,'17a'!$I$7:$I$100,"")+SUMIFS('18'!$N$7:$N$100,'18'!$H$7:$H$100,$A326,'18'!$I$7:$I$100,"")+SUMIFS('18a'!$N$7:$N$100,'18a'!$H$7:$H$100,$A326,'18a'!$I$7:$I$100,"")
+SUMIFS('19'!$N$7:$N$100,'19'!$H$7:$H$100,$A326,'19'!$I$7:$I$100,"")+SUMIFS('20'!$N$7:$N$100,'20'!$H$7:$H$100,$A326,'20'!$I$7:$I$100,"")+SUMIFS('20a'!$N$7:$N$100,'20a'!$H$7:$H$100,$A326,'20a'!$I$7:$I$100,"")+SUMIFS('21'!$N$7:$N$100,'21'!$H$7:$H$100,$A326,'21'!$I$7:$I$100,"")+SUMIFS('22'!$N$7:$N$100,'22'!$H$7:$H$100,$A326,'22'!$I$7:$I$100,"")+SUMIFS('22a'!$N$7:$N$100,'22a'!$H$7:$H$100,$A326,'22a'!$I$7:$I$100,"")+SUMIFS('22b'!$N$7:$N$100,'22b'!$H$7:$H$100,$A326,'22b'!$I$7:$I$100,"")+SUMIFS('23'!$N$7:$N$100,'23'!$H$7:$H$100,$A326,'23'!$I$7:$I$100,"")+SUMIFS('24'!$N$7:$N$100,'24'!$H$7:$H$100,$A326,'24'!$I$7:$I$100,"")+SUMIFS('24a'!$N$7:$N$100,'24a'!$H$7:$H$100,$A326,'24a'!$I$7:$I$100,"")+SUMIFS('24b'!$N$7:$N$100,'24b'!$H$7:$H$100,$A326,'24b'!$I$7:$I$100,"")+SUMIFS('24c'!$N$7:$N$100,'24c'!$H$7:$H$100,$A326,'24c'!$I$7:$I$100,"")+SUMIFS('24d'!$N$7:$N$100,'24d'!$H$7:$H$100,$A326,'24d'!$I$7:$I$100,"")+SUMIFS('24e'!$N$7:$N$100,'24e'!$H$7:$H$100,$A326,'24e'!$I$7:$I$100,"")+SUMIFS('24f'!$N$7:$N$100,'24f'!$H$7:$H$100,$A326,'24f'!$I$7:$I$100,"")+SUMIFS('24g'!$N$7:$N$100,'24g'!$H$7:$H$100,$A326,'24g'!$I$7:$I$100,"")+SUMIFS('24h'!$N$7:$N$100,'24h'!$H$7:$H$100,$A326,'24h'!$I$7:$I$100,"")+SUMIFS('24i'!$N$7:$N$100,'24i'!$H$7:$H$100,$A326,'24i'!$I$7:$I$100,"")+SUMIFS('25'!$N$7:$N$100,'25'!$H$7:$H$100,$A326,'25'!$I$7:$I$100,"")+SUMIFS('26'!$N$7:$N$100,'26'!$H$7:$H$100,$A326,'26'!$I$7:$I$100,"")+SUMIFS('26a'!$N$7:$N$100,'26a'!$H$7:$H$100,$A326,'26a'!$I$7:$I$100,"")+SUMIFS('27'!$N$7:$N$100,'27'!$H$7:$H$100,$A326,'27'!$I$7:$I$100,"")+SUMIFS('27a'!$N$7:$N$100,'27a'!$H$7:$H$100,$A326,'27a'!$I$7:$I$100,"")+SUMIFS('28'!$N$7:$N$100,'28'!$H$7:$H$100,$A326,'28'!$I$7:$I$100,"")+SUMIFS('29'!$N$7:$N$100,'29'!$H$7:$H$100,$A326,'29'!$I$7:$I$100,"")</f>
        <v>0</v>
      </c>
      <c r="F326" s="1296">
        <f t="shared" si="43"/>
        <v>9882.61</v>
      </c>
      <c r="G326" s="1295">
        <f>SUMIFS('12'!$J$7:$J$100,'12'!$H$7:$H$100,$A326,'12'!$I$7:$I$100,1)+SUMIFS('13'!$J$7:$J$100,'13'!$H$7:$H$100,$A326,'13'!$I$7:$I$100,1)+SUMIFS('14'!$J$7:$J$100,'14'!$H$7:$H$100,$A326,'14'!$I$7:$I$100,1)+SUMIFS('15'!$J$7:$J$100,'15'!$H$7:$H$100,$A326,'15'!$I$7:$I$100,1)+SUMIFS('15a'!$J$7:$J$100,'15a'!$H$7:$H$100,$A326,'15a'!$I$7:$I$100,1)+SUMIFS('15b'!$J$7:$J$100,'15b'!$H$7:$H$100,$A326,'15b'!$I$7:$I$100,1)+SUMIFS('15c'!$J$7:$J$100,'15c'!$H$7:$H$100,$A326,'15c'!$I$7:$I$100,1)+SUMIFS('15d'!$J$7:$J$100,'15d'!$H$7:$H$100,$A326,'15d'!$I$7:$I$100,1)+SUMIFS('15e'!$J$7:$J$100,'15e'!$H$7:$H$100,$A326,'15e'!$I$7:$I$100,1)+SUMIFS('15f'!$J$7:$J$100,'15f'!$H$7:$H$100,$A326,'15f'!$I$7:$I$100,1)+SUMIFS('15g'!$J$7:$J$100,'15g'!$H$7:$H$100,$A326,'15g'!$I$7:$I$100,1)+SUMIFS('15h'!$J$7:$J$100,'15h'!$H$7:$H$100,$A326,'15h'!$I$7:$I$100,1)+SUMIFS('15i'!$J$7:$J$100,'15i'!$H$7:$H$100,$A326,'15i'!$I$7:$I$100,1)+SUMIFS('15j'!$J$7:$J$100,'15j'!$H$7:$H$100,$A326,'15j'!$I$7:$I$100,1)+SUMIFS('15k'!$J$7:$J$100,'15k'!$H$7:$H$100,$A326,'15k'!$I$7:$I$100,1)+SUMIFS('15l'!$J$7:$J$100,'15l'!$H$7:$H$100,$A326,'15l'!$I$7:$I$100,1)+SUMIFS('15m'!$J$7:$J$100,'15m'!$H$7:$H$100,$A326,'15m'!$I$7:$I$100,1)+SUMIFS('15n'!$J$7:$J$100,'15n'!$H$7:$H$100,$A326,'15n'!$I$7:$I$100,1)+SUMIFS('16'!$J$7:$J$100,'16'!$H$7:$H$100,$A326,'16'!$I$7:$I$100,1)+SUMIFS('16a'!$J$7:$J$100,'16a'!$H$7:$H$100,$A326,'16a'!$I$7:$I$100,1)+SUMIFS('17'!$J$7:$J$100,'17'!$H$7:$H$100,$A326,'17'!$I$7:$I$100,1)+SUMIFS('17a'!$J$7:$J$100,'17a'!$H$7:$H$100,$A326,'17a'!$I$7:$I$100,1)+SUMIFS('18'!$J$7:$J$100,'18'!$H$7:$H$100,$A326,'18'!$I$7:$I$100,1)+SUMIFS('18a'!$J$7:$J$100,'18a'!$H$7:$H$100,$A326,'18a'!$I$7:$I$100,1)
+SUMIFS('19'!$J$7:$J$100,'19'!$H$7:$H$100,$A326,'19'!$I$7:$I$100,1)+SUMIFS('20'!$J$7:$J$100,'20'!$H$7:$H$100,$A326,'20'!$I$7:$I$100,1)+SUMIFS('20a'!$J$7:$J$100,'20a'!$H$7:$H$100,$A326,'20a'!$I$7:$I$100,1)+SUMIFS('21'!$J$7:$J$100,'21'!$H$7:$H$100,$A326,'21'!$I$7:$I$100,1)+SUMIFS('22'!$J$7:$J$100,'22'!$H$7:$H$100,$A326,'22'!$I$7:$I$100,1)+SUMIFS('22a'!$J$7:$J$100,'22a'!$H$7:$H$100,$A326,'22a'!$I$7:$I$100,1)+SUMIFS('22b'!$J$7:$J$100,'22b'!$H$7:$H$100,$A326,'22b'!$I$7:$I$100,1)+SUMIFS('23'!$J$7:$J$100,'23'!$H$7:$H$100,$A326,'23'!$I$7:$I$100,1)+SUMIFS('24'!$J$7:$J$100,'24'!$H$7:$H$100,$A326,'24'!$I$7:$I$100,1)+SUMIFS('24a'!$J$7:$J$100,'24a'!$H$7:$H$100,$A326,'24a'!$I$7:$I$100,1)+SUMIFS('24b'!$J$7:$J$100,'24b'!$H$7:$H$100,$A326,'24b'!$I$7:$I$100,1)+SUMIFS('24c'!$J$7:$J$100,'24c'!$H$7:$H$100,$A326,'24c'!$I$7:$I$100,1)+SUMIFS('24d'!$J$7:$J$100,'24d'!$H$7:$H$100,$A326,'24d'!$I$7:$I$100,1)+SUMIFS('24e'!$J$7:$J$100,'24e'!$H$7:$H$100,$A326,'24e'!$I$7:$I$100,1)+SUMIFS('24f'!$J$7:$J$100,'24f'!$H$7:$H$100,$A326,'24f'!$I$7:$I$100,1)+SUMIFS('24g'!$J$7:$J$100,'24g'!$H$7:$H$100,$A326,'24g'!$I$7:$I$100,1)+SUMIFS('24h'!$J$7:$J$100,'24h'!$H$7:$H$100,$A326,'24h'!$I$7:$I$100,1)+SUMIFS('24i'!$J$7:$J$100,'24i'!$H$7:$H$100,$A326,'24i'!$I$7:$I$100,1)+SUMIFS('25'!$J$7:$J$100,'25'!$H$7:$H$100,$A326,'25'!$I$7:$I$100,1)+SUMIFS('26'!$J$7:$J$100,'26'!$H$7:$H$100,$A326,'26'!$I$7:$I$100,1)+SUMIFS('26a'!$J$7:$J$100,'26a'!$H$7:$H$100,$A326,'26a'!$I$7:$I$100,1)+SUMIFS('27'!$J$7:$J$100,'27'!$H$7:$H$100,$A326,'27'!$I$7:$I$100,1)+SUMIFS('27a'!$J$7:$J$100,'27a'!$H$7:$H$100,$A326,'27a'!$I$7:$I$100,1)+SUMIFS('28'!$J$7:$J$100,'28'!$H$7:$H$100,$A326,'28'!$I$7:$I$100,1)+SUMIFS('29'!$J$7:$J$100,'29'!$H$7:$H$100,$A326,'29'!$I$7:$I$100,1)</f>
        <v>0</v>
      </c>
      <c r="H326" s="1315">
        <f>SUMIFS('12'!$J$7:$J$100,'12'!$H$7:$H$100,$A326,'12'!$I$7:$I$100,2)+SUMIFS('13'!$J$7:$J$100,'13'!$H$7:$H$100,$A326,'13'!$I$7:$I$100,2)+SUMIFS('14'!$J$7:$J$100,'14'!$H$7:$H$100,$A326,'14'!$I$7:$I$100,2)+SUMIFS('15'!$J$7:$J$100,'15'!$H$7:$H$100,$A326,'15'!$I$7:$I$100,2)+SUMIFS('15a'!$J$7:$J$100,'15a'!$H$7:$H$100,$A326,'15a'!$I$7:$I$100,2)+SUMIFS('15b'!$J$7:$J$100,'15b'!$H$7:$H$100,$A326,'15b'!$I$7:$I$100,2)+SUMIFS('15c'!$J$7:$J$100,'15c'!$H$7:$H$100,$A326,'15c'!$I$7:$I$100,2)+SUMIFS('15d'!$J$7:$J$100,'15d'!$H$7:$H$100,$A326,'15d'!$I$7:$I$100,2)+SUMIFS('15e'!$J$7:$J$100,'15e'!$H$7:$H$100,$A326,'15e'!$I$7:$I$100,2)+SUMIFS('15f'!$J$7:$J$100,'15f'!$H$7:$H$100,$A326,'15f'!$I$7:$I$100,2)+SUMIFS('15g'!$J$7:$J$100,'15g'!$H$7:$H$100,$A326,'15g'!$I$7:$I$100,2)+SUMIFS('15h'!$J$7:$J$100,'15h'!$H$7:$H$100,$A326,'15h'!$I$7:$I$100,2)+SUMIFS('15i'!$J$7:$J$100,'15i'!$H$7:$H$100,$A326,'15i'!$I$7:$I$100,2)+SUMIFS('15j'!$J$7:$J$100,'15j'!$H$7:$H$100,$A326,'15j'!$I$7:$I$100,2)+SUMIFS('15k'!$J$7:$J$100,'15k'!$H$7:$H$100,$A326,'15k'!$I$7:$I$100,2)+SUMIFS('15l'!$J$7:$J$100,'15l'!$H$7:$H$100,$A326,'15l'!$I$7:$I$100,2)+SUMIFS('15m'!$J$7:$J$100,'15m'!$H$7:$H$100,$A326,'15m'!$I$7:$I$100,2)+SUMIFS('15n'!$J$7:$J$100,'15n'!$H$7:$H$100,$A326,'15n'!$I$7:$I$100,2)+SUMIFS('16'!$J$7:$J$100,'16'!$H$7:$H$100,$A326,'16'!$I$7:$I$100,2)+SUMIFS('16a'!$J$7:$J$100,'16a'!$H$7:$H$100,$A326,'16a'!$I$7:$I$100,2)+SUMIFS('17'!$J$7:$J$100,'17'!$H$7:$H$100,$A326,'17'!$I$7:$I$100,2)+SUMIFS('17a'!$J$7:$J$100,'17a'!$H$7:$H$100,$A326,'17a'!$I$7:$I$100,2)+SUMIFS('18'!$J$7:$J$100,'18'!$H$7:$H$100,$A326,'18'!$I$7:$I$100,2)+SUMIFS('18a'!$J$7:$J$100,'18a'!$H$7:$H$100,$A326,'18a'!$I$7:$I$100,2)
+SUMIFS('19'!$J$7:$J$100,'19'!$H$7:$H$100,$A326,'19'!$I$7:$I$100,2)+SUMIFS('20'!$J$7:$J$100,'20'!$H$7:$H$100,$A326,'20'!$I$7:$I$100,2)+SUMIFS('20a'!$J$7:$J$100,'20a'!$H$7:$H$100,$A326,'20a'!$I$7:$I$100,2)+SUMIFS('21'!$J$7:$J$100,'21'!$H$7:$H$100,$A326,'21'!$I$7:$I$100,2)+SUMIFS('22'!$J$7:$J$100,'22'!$H$7:$H$100,$A326,'22'!$I$7:$I$100,2)+SUMIFS('22a'!$J$7:$J$100,'22a'!$H$7:$H$100,$A326,'22a'!$I$7:$I$100,2)+SUMIFS('22b'!$J$7:$J$100,'22b'!$H$7:$H$100,$A326,'22b'!$I$7:$I$100,2)+SUMIFS('23'!$J$7:$J$100,'23'!$H$7:$H$100,$A326,'23'!$I$7:$I$100,2)+SUMIFS('24'!$J$7:$J$100,'24'!$H$7:$H$100,$A326,'24'!$I$7:$I$100,2)+SUMIFS('24a'!$J$7:$J$100,'24a'!$H$7:$H$100,$A326,'24a'!$I$7:$I$100,2)+SUMIFS('24b'!$J$7:$J$100,'24b'!$H$7:$H$100,$A326,'24b'!$I$7:$I$100,2)+SUMIFS('24c'!$J$7:$J$100,'24c'!$H$7:$H$100,$A326,'24c'!$I$7:$I$100,2)+SUMIFS('24d'!$J$7:$J$100,'24d'!$H$7:$H$100,$A326,'24d'!$I$7:$I$100,2)+SUMIFS('24e'!$J$7:$J$100,'24e'!$H$7:$H$100,$A326,'24e'!$I$7:$I$100,2)+SUMIFS('24f'!$J$7:$J$100,'24f'!$H$7:$H$100,$A326,'24f'!$I$7:$I$100,2)+SUMIFS('24g'!$J$7:$J$100,'24g'!$H$7:$H$100,$A326,'24g'!$I$7:$I$100,2)+SUMIFS('24h'!$J$7:$J$100,'24h'!$H$7:$H$100,$A326,'24h'!$I$7:$I$100,2)+SUMIFS('24i'!$J$7:$J$100,'24i'!$H$7:$H$100,$A326,'24i'!$I$7:$I$100,2)+SUMIFS('25'!$J$7:$J$100,'25'!$H$7:$H$100,$A326,'25'!$I$7:$I$100,2)+SUMIFS('26'!$J$7:$J$100,'26'!$H$7:$H$100,$A326,'26'!$I$7:$I$100,2)+SUMIFS('26a'!$J$7:$J$100,'26a'!$H$7:$H$100,$A326,'26a'!$I$7:$I$100,2)+SUMIFS('27'!$J$7:$J$100,'27'!$H$7:$H$100,$A326,'27'!$I$7:$I$100,2)+SUMIFS('27a'!$J$7:$J$100,'27a'!$H$7:$H$100,$A326,'27a'!$I$7:$I$100,2)+SUMIFS('28'!$J$7:$J$100,'28'!$H$7:$H$100,$A326,'28'!$I$7:$I$100,2)+SUMIFS('29'!$J$7:$J$100,'29'!$H$7:$H$100,$A326,'29'!$I$7:$I$100,2)</f>
        <v>10404</v>
      </c>
      <c r="I326" s="1315">
        <f>SUMIFS('12'!$J$7:$J$100,'12'!$H$7:$H$100,$A326,'12'!$I$7:$I$100,"")+SUMIFS('13'!$J$7:$J$100,'13'!$H$7:$H$100,$A326,'13'!$I$7:$I$100,"")+SUMIFS('14'!$J$7:$J$100,'14'!$H$7:$H$100,$A326,'14'!$I$7:$I$100,"")+SUMIFS('15'!$J$7:$J$100,'15'!$H$7:$H$100,$A326,'15'!$I$7:$I$100,"")+SUMIFS('15a'!$J$7:$J$100,'15a'!$H$7:$H$100,$A326,'15a'!$I$7:$I$100,"")+SUMIFS('15b'!$J$7:$J$100,'15b'!$H$7:$H$100,$A326,'15b'!$I$7:$I$100,"")+SUMIFS('15c'!$J$7:$J$100,'15c'!$H$7:$H$100,$A326,'15c'!$I$7:$I$100,"")+SUMIFS('15d'!$J$7:$J$100,'15d'!$H$7:$H$100,$A326,'15d'!$I$7:$I$100,"")+SUMIFS('15e'!$J$7:$J$100,'15e'!$H$7:$H$100,$A326,'15e'!$I$7:$I$100,"")+SUMIFS('15f'!$J$7:$J$100,'15f'!$H$7:$H$100,$A326,'15f'!$I$7:$I$100,"")+SUMIFS('15g'!$J$7:$J$100,'15g'!$H$7:$H$100,$A326,'15g'!$I$7:$I$100,"")+SUMIFS('15h'!$J$7:$J$100,'15h'!$H$7:$H$100,$A326,'15h'!$I$7:$I$100,"")+SUMIFS('15i'!$J$7:$J$100,'15i'!$H$7:$H$100,$A326,'15i'!$I$7:$I$100,"")+SUMIFS('15j'!$J$7:$J$100,'15j'!$H$7:$H$100,$A326,'15j'!$I$7:$I$100,"")+SUMIFS('15k'!$J$7:$J$100,'15k'!$H$7:$H$100,$A326,'15k'!$I$7:$I$100,"")+SUMIFS('15l'!$J$7:$J$100,'15l'!$H$7:$H$100,$A326,'15l'!$I$7:$I$100,"")+SUMIFS('15m'!$J$7:$J$100,'15m'!$H$7:$H$100,$A326,'15m'!$I$7:$I$100,"")+SUMIFS('15n'!$J$7:$J$100,'15n'!$H$7:$H$100,$A326,'15n'!$I$7:$I$100,"")+SUMIFS('16'!$J$7:$J$100,'16'!$H$7:$H$100,$A326,'16'!$I$7:$I$100,"")+SUMIFS('16a'!$J$7:$J$100,'16a'!$H$7:$H$100,$A326,'16a'!$I$7:$I$100,"")+SUMIFS('17'!$J$7:$J$100,'17'!$H$7:$H$100,$A326,'17'!$I$7:$I$100,"")+SUMIFS('17a'!$J$7:$J$100,'17a'!$H$7:$H$100,$A326,'17a'!$I$7:$I$100,"")+SUMIFS('18'!$J$7:$J$100,'18'!$H$7:$H$100,$A326,'18'!$I$7:$I$100,"")+SUMIFS('18a'!$J$7:$J$100,'18a'!$H$7:$H$100,$A326,'18a'!$I$7:$I$100,"")
+SUMIFS('19'!$J$7:$J$100,'19'!$H$7:$H$100,$A326,'19'!$I$7:$I$100,"")+SUMIFS('20'!$J$7:$J$100,'20'!$H$7:$H$100,$A326,'20'!$I$7:$I$100,"")+SUMIFS('20a'!$J$7:$J$100,'20a'!$H$7:$H$100,$A326,'20a'!$I$7:$I$100,"")+SUMIFS('21'!$J$7:$J$100,'21'!$H$7:$H$100,$A326,'21'!$I$7:$I$100,"")+SUMIFS('22'!$J$7:$J$100,'22'!$H$7:$H$100,$A326,'22'!$I$7:$I$100,"")+SUMIFS('22a'!$J$7:$J$100,'22a'!$H$7:$H$100,$A326,'22a'!$I$7:$I$100,"")+SUMIFS('22b'!$J$7:$J$100,'22b'!$H$7:$H$100,$A326,'22b'!$I$7:$I$100,"")+SUMIFS('23'!$J$7:$J$100,'23'!$H$7:$H$100,$A326,'23'!$I$7:$I$100,"")+SUMIFS('24'!$J$7:$J$100,'24'!$H$7:$H$100,$A326,'24'!$I$7:$I$100,"")+SUMIFS('24a'!$J$7:$J$100,'24a'!$H$7:$H$100,$A326,'24a'!$I$7:$I$100,"")+SUMIFS('24b'!$J$7:$J$100,'24b'!$H$7:$H$100,$A326,'24b'!$I$7:$I$100,"")+SUMIFS('24c'!$J$7:$J$100,'24c'!$H$7:$H$100,$A326,'24c'!$I$7:$I$100,"")+SUMIFS('24d'!$J$7:$J$100,'24d'!$H$7:$H$100,$A326,'24d'!$I$7:$I$100,"")+SUMIFS('24e'!$J$7:$J$100,'24e'!$H$7:$H$100,$A326,'24e'!$I$7:$I$100,"")+SUMIFS('24f'!$J$7:$J$100,'24f'!$H$7:$H$100,$A326,'24f'!$I$7:$I$100,"")+SUMIFS('24g'!$J$7:$J$100,'24g'!$H$7:$H$100,$A326,'24g'!$I$7:$I$100,"")+SUMIFS('24h'!$J$7:$J$100,'24h'!$H$7:$H$100,$A326,'24h'!$I$7:$I$100,"")+SUMIFS('24i'!$J$7:$J$100,'24i'!$H$7:$H$100,$A326,'24i'!$I$7:$I$100,"")+SUMIFS('25'!$J$7:$J$100,'25'!$H$7:$H$100,$A326,'25'!$I$7:$I$100,"")+SUMIFS('26'!$J$7:$J$100,'26'!$H$7:$H$100,$A326,'26'!$I$7:$I$100,"")+SUMIFS('26a'!$J$7:$J$100,'26a'!$H$7:$H$100,$A326,'26a'!$I$7:$I$100,"")+SUMIFS('27'!$J$7:$J$100,'27'!$H$7:$H$100,$A326,'27'!$I$7:$I$100,"")+SUMIFS('27a'!$J$7:$J$100,'27a'!$H$7:$H$100,$A326,'27a'!$I$7:$I$100,"")+SUMIFS('28'!$J$7:$J$100,'28'!$H$7:$H$100,$A326,'28'!$I$7:$I$100,"")+SUMIFS('29'!$J$7:$J$100,'29'!$H$7:$H$100,$A326,'29'!$I$7:$I$100,"")</f>
        <v>0</v>
      </c>
      <c r="J326" s="1296">
        <f t="shared" si="44"/>
        <v>10404</v>
      </c>
      <c r="K326"/>
      <c r="L326"/>
      <c r="M326"/>
      <c r="N326"/>
      <c r="O326"/>
      <c r="P326"/>
      <c r="Q326"/>
      <c r="R326"/>
      <c r="S326" s="1307">
        <f t="shared" si="30"/>
        <v>40573.22</v>
      </c>
      <c r="T326"/>
    </row>
    <row r="327" spans="1:20" x14ac:dyDescent="0.2">
      <c r="A327" t="s">
        <v>5200</v>
      </c>
      <c r="B327" t="s">
        <v>5539</v>
      </c>
      <c r="C327" s="1295">
        <f>SUMIFS('12'!$N$7:$N$100,'12'!$H$7:$H$100,$A327,'12'!$I$7:$I$100,1)+SUMIFS('13'!$N$7:$N$100,'13'!$H$7:$H$100,$A327,'13'!$I$7:$I$100,1)+SUMIFS('14'!$N$7:$N$100,'14'!$H$7:$H$100,$A327,'14'!$I$7:$I$100,1)+SUMIFS('15'!$N$7:$N$100,'15'!$H$7:$H$100,$A327,'15'!$I$7:$I$100,1)+SUMIFS('15a'!$N$7:$N$100,'15a'!$H$7:$H$100,$A327,'15a'!$I$7:$I$100,1)+SUMIFS('15b'!$N$7:$N$100,'15b'!$H$7:$H$100,$A327,'15b'!$I$7:$I$100,1)+SUMIFS('15c'!$N$7:$N$100,'15c'!$H$7:$H$100,$A327,'15c'!$I$7:$I$100,1)+SUMIFS('15d'!$N$7:$N$100,'15d'!$H$7:$H$100,$A327,'15d'!$I$7:$I$100,1)+SUMIFS('15e'!$N$7:$N$100,'15e'!$H$7:$H$100,$A327,'15e'!$I$7:$I$100,1)+SUMIFS('15f'!$N$7:$N$100,'15f'!$H$7:$H$100,$A327,'15f'!$I$7:$I$100,1)+SUMIFS('15g'!$N$7:$N$100,'15g'!$H$7:$H$100,$A327,'15g'!$I$7:$I$100,1)+SUMIFS('15h'!$N$7:$N$100,'15h'!$H$7:$H$100,$A327,'15h'!$I$7:$I$100,1)+SUMIFS('15i'!$N$7:$N$100,'15i'!$H$7:$H$100,$A327,'15i'!$I$7:$I$100,1)+SUMIFS('15j'!$N$7:$N$100,'15j'!$H$7:$H$100,$A327,'15j'!$I$7:$I$100,1)+SUMIFS('15k'!$N$7:$N$100,'15k'!$H$7:$H$100,$A327,'15k'!$I$7:$I$100,1)+SUMIFS('15l'!$N$7:$N$100,'15l'!$H$7:$H$100,$A327,'15l'!$I$7:$I$100,1)+SUMIFS('15m'!$N$7:$N$100,'15m'!$H$7:$H$100,$A327,'15m'!$I$7:$I$100,1)+SUMIFS('15n'!$N$7:$N$100,'15n'!$H$7:$H$100,$A327,'15n'!$I$7:$I$100,1)+SUMIFS('16'!$N$7:$N$100,'16'!$H$7:$H$100,$A327,'16'!$I$7:$I$100,1)+SUMIFS('16a'!$N$7:$N$100,'16a'!$H$7:$H$100,$A327,'16a'!$I$7:$I$100,1)+SUMIFS('17'!$N$7:$N$100,'17'!$H$7:$H$100,$A327,'17'!$I$7:$I$100,1)+SUMIFS('17a'!$N$7:$N$100,'17a'!$H$7:$H$100,$A327,'17a'!$I$7:$I$100,1)+SUMIFS('18'!$N$7:$N$100,'18'!$H$7:$H$100,$A327,'18'!$I$7:$I$100,1)+SUMIFS('18a'!$N$7:$N$100,'18a'!$H$7:$H$100,$A327,'18a'!$I$7:$I$100,1)
+SUMIFS('19'!$N$7:$N$100,'19'!$H$7:$H$100,$A327,'19'!$I$7:$I$100,1)+SUMIFS('20'!$N$7:$N$100,'20'!$H$7:$H$100,$A327,'20'!$I$7:$I$100,1)+SUMIFS('20a'!$N$7:$N$100,'20a'!$H$7:$H$100,$A327,'20a'!$I$7:$I$100,1)+SUMIFS('21'!$N$7:$N$100,'21'!$H$7:$H$100,$A327,'21'!$I$7:$I$100,1)+SUMIFS('22'!$N$7:$N$100,'22'!$H$7:$H$100,$A327,'22'!$I$7:$I$100,1)+SUMIFS('22a'!$N$7:$N$100,'22a'!$H$7:$H$100,$A327,'22a'!$I$7:$I$100,1)+SUMIFS('22b'!$N$7:$N$100,'22b'!$H$7:$H$100,$A327,'22b'!$I$7:$I$100,1)+SUMIFS('23'!$N$7:$N$100,'23'!$H$7:$H$100,$A327,'23'!$I$7:$I$100,1)+SUMIFS('24'!$N$7:$N$100,'24'!$H$7:$H$100,$A327,'24'!$I$7:$I$100,1)+SUMIFS('24a'!$N$7:$N$100,'24a'!$H$7:$H$100,$A327,'24a'!$I$7:$I$100,1)+SUMIFS('24b'!$N$7:$N$100,'24b'!$H$7:$H$100,$A327,'24b'!$I$7:$I$100,1)+SUMIFS('24c'!$N$7:$N$100,'24c'!$H$7:$H$100,$A327,'24c'!$I$7:$I$100,1)+SUMIFS('24d'!$N$7:$N$100,'24d'!$H$7:$H$100,$A327,'24d'!$I$7:$I$100,1)+SUMIFS('24e'!$N$7:$N$100,'24e'!$H$7:$H$100,$A327,'24e'!$I$7:$I$100,1)+SUMIFS('24f'!$N$7:$N$100,'24f'!$H$7:$H$100,$A327,'24f'!$I$7:$I$100,1)+SUMIFS('24g'!$N$7:$N$100,'24g'!$H$7:$H$100,$A327,'24g'!$I$7:$I$100,1)+SUMIFS('24h'!$N$7:$N$100,'24h'!$H$7:$H$100,$A327,'24h'!$I$7:$I$100,1)+SUMIFS('24i'!$N$7:$N$100,'24i'!$H$7:$H$100,$A327,'24i'!$I$7:$I$100,1)+SUMIFS('25'!$N$7:$N$100,'25'!$H$7:$H$100,$A327,'25'!$I$7:$I$100,1)+SUMIFS('26'!$N$7:$N$100,'26'!$H$7:$H$100,$A327,'26'!$I$7:$I$100,1)+SUMIFS('26a'!$N$7:$N$100,'26a'!$H$7:$H$100,$A327,'26a'!$I$7:$I$100,1)+SUMIFS('27'!$N$7:$N$100,'27'!$H$7:$H$100,$A327,'27'!$I$7:$I$100,1)+SUMIFS('27a'!$N$7:$N$100,'27a'!$H$7:$H$100,$A327,'27a'!$I$7:$I$100,1)+SUMIFS('28'!$N$7:$N$100,'28'!$H$7:$H$100,$A327,'28'!$I$7:$I$100,1)+SUMIFS('29'!$N$7:$N$100,'29'!$H$7:$H$100,$A327,'29'!$I$7:$I$100,1)</f>
        <v>0</v>
      </c>
      <c r="D327" s="1315">
        <f>SUMIFS('12'!$N$7:$N$100,'12'!$H$7:$H$100,$A327,'12'!$I$7:$I$100,2)+SUMIFS('13'!$N$7:$N$100,'13'!$H$7:$H$100,$A327,'13'!$I$7:$I$100,2)+SUMIFS('14'!$N$7:$N$100,'14'!$H$7:$H$100,$A327,'14'!$I$7:$I$100,2)+SUMIFS('15'!$N$7:$N$100,'15'!$H$7:$H$100,$A327,'15'!$I$7:$I$100,2)+SUMIFS('15a'!$N$7:$N$100,'15a'!$H$7:$H$100,$A327,'15a'!$I$7:$I$100,2)+SUMIFS('15b'!$N$7:$N$100,'15b'!$H$7:$H$100,$A327,'15b'!$I$7:$I$100,2)+SUMIFS('15c'!$N$7:$N$100,'15c'!$H$7:$H$100,$A327,'15c'!$I$7:$I$100,2)+SUMIFS('15d'!$N$7:$N$100,'15d'!$H$7:$H$100,$A327,'15d'!$I$7:$I$100,2)+SUMIFS('15e'!$N$7:$N$100,'15e'!$H$7:$H$100,$A327,'15e'!$I$7:$I$100,2)+SUMIFS('15f'!$N$7:$N$100,'15f'!$H$7:$H$100,$A327,'15f'!$I$7:$I$100,2)+SUMIFS('15g'!$N$7:$N$100,'15g'!$H$7:$H$100,$A327,'15g'!$I$7:$I$100,2)+SUMIFS('15h'!$N$7:$N$100,'15h'!$H$7:$H$100,$A327,'15h'!$I$7:$I$100,2)+SUMIFS('15i'!$N$7:$N$100,'15i'!$H$7:$H$100,$A327,'15i'!$I$7:$I$100,2)+SUMIFS('15j'!$N$7:$N$100,'15j'!$H$7:$H$100,$A327,'15j'!$I$7:$I$100,2)+SUMIFS('15k'!$N$7:$N$100,'15k'!$H$7:$H$100,$A327,'15k'!$I$7:$I$100,2)+SUMIFS('15l'!$N$7:$N$100,'15l'!$H$7:$H$100,$A327,'15l'!$I$7:$I$100,2)+SUMIFS('15m'!$N$7:$N$100,'15m'!$H$7:$H$100,$A327,'15m'!$I$7:$I$100,2)+SUMIFS('15n'!$N$7:$N$100,'15n'!$H$7:$H$100,$A327,'15n'!$I$7:$I$100,2)+SUMIFS('16'!$N$7:$N$100,'16'!$H$7:$H$100,$A327,'16'!$I$7:$I$100,2)+SUMIFS('16a'!$N$7:$N$100,'16a'!$H$7:$H$100,$A327,'16a'!$I$7:$I$100,2)+SUMIFS('17'!$N$7:$N$100,'17'!$H$7:$H$100,$A327,'17'!$I$7:$I$100,2)+SUMIFS('17a'!$N$7:$N$100,'17a'!$H$7:$H$100,$A327,'17a'!$I$7:$I$100,2)+SUMIFS('18'!$N$7:$N$100,'18'!$H$7:$H$100,$A327,'18'!$I$7:$I$100,2)+SUMIFS('18a'!$N$7:$N$100,'18a'!$H$7:$H$100,$A327,'18a'!$I$7:$I$100,2)
+SUMIFS('19'!$N$7:$N$100,'19'!$H$7:$H$100,$A327,'19'!$I$7:$I$100,2)+SUMIFS('20'!$N$7:$N$100,'20'!$H$7:$H$100,$A327,'20'!$I$7:$I$100,2)+SUMIFS('20a'!$N$7:$N$100,'20a'!$H$7:$H$100,$A327,'20a'!$I$7:$I$100,2)+SUMIFS('21'!$N$7:$N$100,'21'!$H$7:$H$100,$A327,'21'!$I$7:$I$100,2)+SUMIFS('22'!$N$7:$N$100,'22'!$H$7:$H$100,$A327,'22'!$I$7:$I$100,2)+SUMIFS('22a'!$N$7:$N$100,'22a'!$H$7:$H$100,$A327,'22a'!$I$7:$I$100,2)+SUMIFS('22b'!$N$7:$N$100,'22b'!$H$7:$H$100,$A327,'22b'!$I$7:$I$100,2)+SUMIFS('23'!$N$7:$N$100,'23'!$H$7:$H$100,$A327,'23'!$I$7:$I$100,2)+SUMIFS('24'!$N$7:$N$100,'24'!$H$7:$H$100,$A327,'24'!$I$7:$I$100,2)+SUMIFS('24a'!$N$7:$N$100,'24a'!$H$7:$H$100,$A327,'24a'!$I$7:$I$100,2)+SUMIFS('24b'!$N$7:$N$100,'24b'!$H$7:$H$100,$A327,'24b'!$I$7:$I$100,2)+SUMIFS('24c'!$N$7:$N$100,'24c'!$H$7:$H$100,$A327,'24c'!$I$7:$I$100,2)+SUMIFS('24d'!$N$7:$N$100,'24d'!$H$7:$H$100,$A327,'24d'!$I$7:$I$100,2)+SUMIFS('24e'!$N$7:$N$100,'24e'!$H$7:$H$100,$A327,'24e'!$I$7:$I$100,2)+SUMIFS('24f'!$N$7:$N$100,'24f'!$H$7:$H$100,$A327,'24f'!$I$7:$I$100,2)+SUMIFS('24g'!$N$7:$N$100,'24g'!$H$7:$H$100,$A327,'24g'!$I$7:$I$100,2)+SUMIFS('24h'!$N$7:$N$100,'24h'!$H$7:$H$100,$A327,'24h'!$I$7:$I$100,2)+SUMIFS('24i'!$N$7:$N$100,'24i'!$H$7:$H$100,$A327,'24i'!$I$7:$I$100,2)+SUMIFS('25'!$N$7:$N$100,'25'!$H$7:$H$100,$A327,'25'!$I$7:$I$100,2)+SUMIFS('26'!$N$7:$N$100,'26'!$H$7:$H$100,$A327,'26'!$I$7:$I$100,2)+SUMIFS('26a'!$N$7:$N$100,'26a'!$H$7:$H$100,$A327,'26a'!$I$7:$I$100,2)+SUMIFS('27'!$N$7:$N$100,'27'!$H$7:$H$100,$A327,'27'!$I$7:$I$100,2)+SUMIFS('27a'!$N$7:$N$100,'27a'!$H$7:$H$100,$A327,'27a'!$I$7:$I$100,2)+SUMIFS('28'!$N$7:$N$100,'28'!$H$7:$H$100,$A327,'28'!$I$7:$I$100,2)+SUMIFS('29'!$N$7:$N$100,'29'!$H$7:$H$100,$A327,'29'!$I$7:$I$100,2)</f>
        <v>4181.54</v>
      </c>
      <c r="E327" s="1315">
        <f>SUMIFS('12'!$N$7:$N$100,'12'!$H$7:$H$100,$A327,'12'!$I$7:$I$100,"")+SUMIFS('13'!$N$7:$N$100,'13'!$H$7:$H$100,$A327,'13'!$I$7:$I$100,"")+SUMIFS('14'!$N$7:$N$100,'14'!$H$7:$H$100,$A327,'14'!$I$7:$I$100,"")+SUMIFS('15'!$N$7:$N$100,'15'!$H$7:$H$100,$A327,'15'!$I$7:$I$100,"")+SUMIFS('15a'!$N$7:$N$100,'15a'!$H$7:$H$100,$A327,'15a'!$I$7:$I$100,"")+SUMIFS('15b'!$N$7:$N$100,'15b'!$H$7:$H$100,$A327,'15b'!$I$7:$I$100,"")+SUMIFS('15c'!$N$7:$N$100,'15c'!$H$7:$H$100,$A327,'15c'!$I$7:$I$100,"")+SUMIFS('15d'!$N$7:$N$100,'15d'!$H$7:$H$100,$A327,'15d'!$I$7:$I$100,"")+SUMIFS('15e'!$N$7:$N$100,'15e'!$H$7:$H$100,$A327,'15e'!$I$7:$I$100,"")+SUMIFS('15f'!$N$7:$N$100,'15f'!$H$7:$H$100,$A327,'15f'!$I$7:$I$100,"")+SUMIFS('15g'!$N$7:$N$100,'15g'!$H$7:$H$100,$A327,'15g'!$I$7:$I$100,"")+SUMIFS('15h'!$N$7:$N$100,'15h'!$H$7:$H$100,$A327,'15h'!$I$7:$I$100,"")+SUMIFS('15i'!$N$7:$N$100,'15i'!$H$7:$H$100,$A327,'15i'!$I$7:$I$100,"")+SUMIFS('15j'!$N$7:$N$100,'15j'!$H$7:$H$100,$A327,'15j'!$I$7:$I$100,"")+SUMIFS('15k'!$N$7:$N$100,'15k'!$H$7:$H$100,$A327,'15k'!$I$7:$I$100,"")+SUMIFS('15l'!$N$7:$N$100,'15l'!$H$7:$H$100,$A327,'15l'!$I$7:$I$100,"")+SUMIFS('15m'!$N$7:$N$100,'15m'!$H$7:$H$100,$A327,'15m'!$I$7:$I$100,"")+SUMIFS('15n'!$N$7:$N$100,'15n'!$H$7:$H$100,$A327,'15n'!$I$7:$I$100,"")+SUMIFS('16'!$N$7:$N$100,'16'!$H$7:$H$100,$A327,'16'!$I$7:$I$100,"")+SUMIFS('16a'!$N$7:$N$100,'16a'!$H$7:$H$100,$A327,'16a'!$I$7:$I$100,"")+SUMIFS('17'!$N$7:$N$100,'17'!$H$7:$H$100,$A327,'17'!$I$7:$I$100,"")+SUMIFS('17a'!$N$7:$N$100,'17a'!$H$7:$H$100,$A327,'17a'!$I$7:$I$100,"")+SUMIFS('18'!$N$7:$N$100,'18'!$H$7:$H$100,$A327,'18'!$I$7:$I$100,"")+SUMIFS('18a'!$N$7:$N$100,'18a'!$H$7:$H$100,$A327,'18a'!$I$7:$I$100,"")
+SUMIFS('19'!$N$7:$N$100,'19'!$H$7:$H$100,$A327,'19'!$I$7:$I$100,"")+SUMIFS('20'!$N$7:$N$100,'20'!$H$7:$H$100,$A327,'20'!$I$7:$I$100,"")+SUMIFS('20a'!$N$7:$N$100,'20a'!$H$7:$H$100,$A327,'20a'!$I$7:$I$100,"")+SUMIFS('21'!$N$7:$N$100,'21'!$H$7:$H$100,$A327,'21'!$I$7:$I$100,"")+SUMIFS('22'!$N$7:$N$100,'22'!$H$7:$H$100,$A327,'22'!$I$7:$I$100,"")+SUMIFS('22a'!$N$7:$N$100,'22a'!$H$7:$H$100,$A327,'22a'!$I$7:$I$100,"")+SUMIFS('22b'!$N$7:$N$100,'22b'!$H$7:$H$100,$A327,'22b'!$I$7:$I$100,"")+SUMIFS('23'!$N$7:$N$100,'23'!$H$7:$H$100,$A327,'23'!$I$7:$I$100,"")+SUMIFS('24'!$N$7:$N$100,'24'!$H$7:$H$100,$A327,'24'!$I$7:$I$100,"")+SUMIFS('24a'!$N$7:$N$100,'24a'!$H$7:$H$100,$A327,'24a'!$I$7:$I$100,"")+SUMIFS('24b'!$N$7:$N$100,'24b'!$H$7:$H$100,$A327,'24b'!$I$7:$I$100,"")+SUMIFS('24c'!$N$7:$N$100,'24c'!$H$7:$H$100,$A327,'24c'!$I$7:$I$100,"")+SUMIFS('24d'!$N$7:$N$100,'24d'!$H$7:$H$100,$A327,'24d'!$I$7:$I$100,"")+SUMIFS('24e'!$N$7:$N$100,'24e'!$H$7:$H$100,$A327,'24e'!$I$7:$I$100,"")+SUMIFS('24f'!$N$7:$N$100,'24f'!$H$7:$H$100,$A327,'24f'!$I$7:$I$100,"")+SUMIFS('24g'!$N$7:$N$100,'24g'!$H$7:$H$100,$A327,'24g'!$I$7:$I$100,"")+SUMIFS('24h'!$N$7:$N$100,'24h'!$H$7:$H$100,$A327,'24h'!$I$7:$I$100,"")+SUMIFS('24i'!$N$7:$N$100,'24i'!$H$7:$H$100,$A327,'24i'!$I$7:$I$100,"")+SUMIFS('25'!$N$7:$N$100,'25'!$H$7:$H$100,$A327,'25'!$I$7:$I$100,"")+SUMIFS('26'!$N$7:$N$100,'26'!$H$7:$H$100,$A327,'26'!$I$7:$I$100,"")+SUMIFS('26a'!$N$7:$N$100,'26a'!$H$7:$H$100,$A327,'26a'!$I$7:$I$100,"")+SUMIFS('27'!$N$7:$N$100,'27'!$H$7:$H$100,$A327,'27'!$I$7:$I$100,"")+SUMIFS('27a'!$N$7:$N$100,'27a'!$H$7:$H$100,$A327,'27a'!$I$7:$I$100,"")+SUMIFS('28'!$N$7:$N$100,'28'!$H$7:$H$100,$A327,'28'!$I$7:$I$100,"")+SUMIFS('29'!$N$7:$N$100,'29'!$H$7:$H$100,$A327,'29'!$I$7:$I$100,"")</f>
        <v>0</v>
      </c>
      <c r="F327" s="1296">
        <f t="shared" si="43"/>
        <v>4181.54</v>
      </c>
      <c r="G327" s="1295">
        <f>SUMIFS('12'!$J$7:$J$100,'12'!$H$7:$H$100,$A327,'12'!$I$7:$I$100,1)+SUMIFS('13'!$J$7:$J$100,'13'!$H$7:$H$100,$A327,'13'!$I$7:$I$100,1)+SUMIFS('14'!$J$7:$J$100,'14'!$H$7:$H$100,$A327,'14'!$I$7:$I$100,1)+SUMIFS('15'!$J$7:$J$100,'15'!$H$7:$H$100,$A327,'15'!$I$7:$I$100,1)+SUMIFS('15a'!$J$7:$J$100,'15a'!$H$7:$H$100,$A327,'15a'!$I$7:$I$100,1)+SUMIFS('15b'!$J$7:$J$100,'15b'!$H$7:$H$100,$A327,'15b'!$I$7:$I$100,1)+SUMIFS('15c'!$J$7:$J$100,'15c'!$H$7:$H$100,$A327,'15c'!$I$7:$I$100,1)+SUMIFS('15d'!$J$7:$J$100,'15d'!$H$7:$H$100,$A327,'15d'!$I$7:$I$100,1)+SUMIFS('15e'!$J$7:$J$100,'15e'!$H$7:$H$100,$A327,'15e'!$I$7:$I$100,1)+SUMIFS('15f'!$J$7:$J$100,'15f'!$H$7:$H$100,$A327,'15f'!$I$7:$I$100,1)+SUMIFS('15g'!$J$7:$J$100,'15g'!$H$7:$H$100,$A327,'15g'!$I$7:$I$100,1)+SUMIFS('15h'!$J$7:$J$100,'15h'!$H$7:$H$100,$A327,'15h'!$I$7:$I$100,1)+SUMIFS('15i'!$J$7:$J$100,'15i'!$H$7:$H$100,$A327,'15i'!$I$7:$I$100,1)+SUMIFS('15j'!$J$7:$J$100,'15j'!$H$7:$H$100,$A327,'15j'!$I$7:$I$100,1)+SUMIFS('15k'!$J$7:$J$100,'15k'!$H$7:$H$100,$A327,'15k'!$I$7:$I$100,1)+SUMIFS('15l'!$J$7:$J$100,'15l'!$H$7:$H$100,$A327,'15l'!$I$7:$I$100,1)+SUMIFS('15m'!$J$7:$J$100,'15m'!$H$7:$H$100,$A327,'15m'!$I$7:$I$100,1)+SUMIFS('15n'!$J$7:$J$100,'15n'!$H$7:$H$100,$A327,'15n'!$I$7:$I$100,1)+SUMIFS('16'!$J$7:$J$100,'16'!$H$7:$H$100,$A327,'16'!$I$7:$I$100,1)+SUMIFS('16a'!$J$7:$J$100,'16a'!$H$7:$H$100,$A327,'16a'!$I$7:$I$100,1)+SUMIFS('17'!$J$7:$J$100,'17'!$H$7:$H$100,$A327,'17'!$I$7:$I$100,1)+SUMIFS('17a'!$J$7:$J$100,'17a'!$H$7:$H$100,$A327,'17a'!$I$7:$I$100,1)+SUMIFS('18'!$J$7:$J$100,'18'!$H$7:$H$100,$A327,'18'!$I$7:$I$100,1)+SUMIFS('18a'!$J$7:$J$100,'18a'!$H$7:$H$100,$A327,'18a'!$I$7:$I$100,1)
+SUMIFS('19'!$J$7:$J$100,'19'!$H$7:$H$100,$A327,'19'!$I$7:$I$100,1)+SUMIFS('20'!$J$7:$J$100,'20'!$H$7:$H$100,$A327,'20'!$I$7:$I$100,1)+SUMIFS('20a'!$J$7:$J$100,'20a'!$H$7:$H$100,$A327,'20a'!$I$7:$I$100,1)+SUMIFS('21'!$J$7:$J$100,'21'!$H$7:$H$100,$A327,'21'!$I$7:$I$100,1)+SUMIFS('22'!$J$7:$J$100,'22'!$H$7:$H$100,$A327,'22'!$I$7:$I$100,1)+SUMIFS('22a'!$J$7:$J$100,'22a'!$H$7:$H$100,$A327,'22a'!$I$7:$I$100,1)+SUMIFS('22b'!$J$7:$J$100,'22b'!$H$7:$H$100,$A327,'22b'!$I$7:$I$100,1)+SUMIFS('23'!$J$7:$J$100,'23'!$H$7:$H$100,$A327,'23'!$I$7:$I$100,1)+SUMIFS('24'!$J$7:$J$100,'24'!$H$7:$H$100,$A327,'24'!$I$7:$I$100,1)+SUMIFS('24a'!$J$7:$J$100,'24a'!$H$7:$H$100,$A327,'24a'!$I$7:$I$100,1)+SUMIFS('24b'!$J$7:$J$100,'24b'!$H$7:$H$100,$A327,'24b'!$I$7:$I$100,1)+SUMIFS('24c'!$J$7:$J$100,'24c'!$H$7:$H$100,$A327,'24c'!$I$7:$I$100,1)+SUMIFS('24d'!$J$7:$J$100,'24d'!$H$7:$H$100,$A327,'24d'!$I$7:$I$100,1)+SUMIFS('24e'!$J$7:$J$100,'24e'!$H$7:$H$100,$A327,'24e'!$I$7:$I$100,1)+SUMIFS('24f'!$J$7:$J$100,'24f'!$H$7:$H$100,$A327,'24f'!$I$7:$I$100,1)+SUMIFS('24g'!$J$7:$J$100,'24g'!$H$7:$H$100,$A327,'24g'!$I$7:$I$100,1)+SUMIFS('24h'!$J$7:$J$100,'24h'!$H$7:$H$100,$A327,'24h'!$I$7:$I$100,1)+SUMIFS('24i'!$J$7:$J$100,'24i'!$H$7:$H$100,$A327,'24i'!$I$7:$I$100,1)+SUMIFS('25'!$J$7:$J$100,'25'!$H$7:$H$100,$A327,'25'!$I$7:$I$100,1)+SUMIFS('26'!$J$7:$J$100,'26'!$H$7:$H$100,$A327,'26'!$I$7:$I$100,1)+SUMIFS('26a'!$J$7:$J$100,'26a'!$H$7:$H$100,$A327,'26a'!$I$7:$I$100,1)+SUMIFS('27'!$J$7:$J$100,'27'!$H$7:$H$100,$A327,'27'!$I$7:$I$100,1)+SUMIFS('27a'!$J$7:$J$100,'27a'!$H$7:$H$100,$A327,'27a'!$I$7:$I$100,1)+SUMIFS('28'!$J$7:$J$100,'28'!$H$7:$H$100,$A327,'28'!$I$7:$I$100,1)+SUMIFS('29'!$J$7:$J$100,'29'!$H$7:$H$100,$A327,'29'!$I$7:$I$100,1)</f>
        <v>0</v>
      </c>
      <c r="H327" s="1315">
        <f>SUMIFS('12'!$J$7:$J$100,'12'!$H$7:$H$100,$A327,'12'!$I$7:$I$100,2)+SUMIFS('13'!$J$7:$J$100,'13'!$H$7:$H$100,$A327,'13'!$I$7:$I$100,2)+SUMIFS('14'!$J$7:$J$100,'14'!$H$7:$H$100,$A327,'14'!$I$7:$I$100,2)+SUMIFS('15'!$J$7:$J$100,'15'!$H$7:$H$100,$A327,'15'!$I$7:$I$100,2)+SUMIFS('15a'!$J$7:$J$100,'15a'!$H$7:$H$100,$A327,'15a'!$I$7:$I$100,2)+SUMIFS('15b'!$J$7:$J$100,'15b'!$H$7:$H$100,$A327,'15b'!$I$7:$I$100,2)+SUMIFS('15c'!$J$7:$J$100,'15c'!$H$7:$H$100,$A327,'15c'!$I$7:$I$100,2)+SUMIFS('15d'!$J$7:$J$100,'15d'!$H$7:$H$100,$A327,'15d'!$I$7:$I$100,2)+SUMIFS('15e'!$J$7:$J$100,'15e'!$H$7:$H$100,$A327,'15e'!$I$7:$I$100,2)+SUMIFS('15f'!$J$7:$J$100,'15f'!$H$7:$H$100,$A327,'15f'!$I$7:$I$100,2)+SUMIFS('15g'!$J$7:$J$100,'15g'!$H$7:$H$100,$A327,'15g'!$I$7:$I$100,2)+SUMIFS('15h'!$J$7:$J$100,'15h'!$H$7:$H$100,$A327,'15h'!$I$7:$I$100,2)+SUMIFS('15i'!$J$7:$J$100,'15i'!$H$7:$H$100,$A327,'15i'!$I$7:$I$100,2)+SUMIFS('15j'!$J$7:$J$100,'15j'!$H$7:$H$100,$A327,'15j'!$I$7:$I$100,2)+SUMIFS('15k'!$J$7:$J$100,'15k'!$H$7:$H$100,$A327,'15k'!$I$7:$I$100,2)+SUMIFS('15l'!$J$7:$J$100,'15l'!$H$7:$H$100,$A327,'15l'!$I$7:$I$100,2)+SUMIFS('15m'!$J$7:$J$100,'15m'!$H$7:$H$100,$A327,'15m'!$I$7:$I$100,2)+SUMIFS('15n'!$J$7:$J$100,'15n'!$H$7:$H$100,$A327,'15n'!$I$7:$I$100,2)+SUMIFS('16'!$J$7:$J$100,'16'!$H$7:$H$100,$A327,'16'!$I$7:$I$100,2)+SUMIFS('16a'!$J$7:$J$100,'16a'!$H$7:$H$100,$A327,'16a'!$I$7:$I$100,2)+SUMIFS('17'!$J$7:$J$100,'17'!$H$7:$H$100,$A327,'17'!$I$7:$I$100,2)+SUMIFS('17a'!$J$7:$J$100,'17a'!$H$7:$H$100,$A327,'17a'!$I$7:$I$100,2)+SUMIFS('18'!$J$7:$J$100,'18'!$H$7:$H$100,$A327,'18'!$I$7:$I$100,2)+SUMIFS('18a'!$J$7:$J$100,'18a'!$H$7:$H$100,$A327,'18a'!$I$7:$I$100,2)
+SUMIFS('19'!$J$7:$J$100,'19'!$H$7:$H$100,$A327,'19'!$I$7:$I$100,2)+SUMIFS('20'!$J$7:$J$100,'20'!$H$7:$H$100,$A327,'20'!$I$7:$I$100,2)+SUMIFS('20a'!$J$7:$J$100,'20a'!$H$7:$H$100,$A327,'20a'!$I$7:$I$100,2)+SUMIFS('21'!$J$7:$J$100,'21'!$H$7:$H$100,$A327,'21'!$I$7:$I$100,2)+SUMIFS('22'!$J$7:$J$100,'22'!$H$7:$H$100,$A327,'22'!$I$7:$I$100,2)+SUMIFS('22a'!$J$7:$J$100,'22a'!$H$7:$H$100,$A327,'22a'!$I$7:$I$100,2)+SUMIFS('22b'!$J$7:$J$100,'22b'!$H$7:$H$100,$A327,'22b'!$I$7:$I$100,2)+SUMIFS('23'!$J$7:$J$100,'23'!$H$7:$H$100,$A327,'23'!$I$7:$I$100,2)+SUMIFS('24'!$J$7:$J$100,'24'!$H$7:$H$100,$A327,'24'!$I$7:$I$100,2)+SUMIFS('24a'!$J$7:$J$100,'24a'!$H$7:$H$100,$A327,'24a'!$I$7:$I$100,2)+SUMIFS('24b'!$J$7:$J$100,'24b'!$H$7:$H$100,$A327,'24b'!$I$7:$I$100,2)+SUMIFS('24c'!$J$7:$J$100,'24c'!$H$7:$H$100,$A327,'24c'!$I$7:$I$100,2)+SUMIFS('24d'!$J$7:$J$100,'24d'!$H$7:$H$100,$A327,'24d'!$I$7:$I$100,2)+SUMIFS('24e'!$J$7:$J$100,'24e'!$H$7:$H$100,$A327,'24e'!$I$7:$I$100,2)+SUMIFS('24f'!$J$7:$J$100,'24f'!$H$7:$H$100,$A327,'24f'!$I$7:$I$100,2)+SUMIFS('24g'!$J$7:$J$100,'24g'!$H$7:$H$100,$A327,'24g'!$I$7:$I$100,2)+SUMIFS('24h'!$J$7:$J$100,'24h'!$H$7:$H$100,$A327,'24h'!$I$7:$I$100,2)+SUMIFS('24i'!$J$7:$J$100,'24i'!$H$7:$H$100,$A327,'24i'!$I$7:$I$100,2)+SUMIFS('25'!$J$7:$J$100,'25'!$H$7:$H$100,$A327,'25'!$I$7:$I$100,2)+SUMIFS('26'!$J$7:$J$100,'26'!$H$7:$H$100,$A327,'26'!$I$7:$I$100,2)+SUMIFS('26a'!$J$7:$J$100,'26a'!$H$7:$H$100,$A327,'26a'!$I$7:$I$100,2)+SUMIFS('27'!$J$7:$J$100,'27'!$H$7:$H$100,$A327,'27'!$I$7:$I$100,2)+SUMIFS('27a'!$J$7:$J$100,'27a'!$H$7:$H$100,$A327,'27a'!$I$7:$I$100,2)+SUMIFS('28'!$J$7:$J$100,'28'!$H$7:$H$100,$A327,'28'!$I$7:$I$100,2)+SUMIFS('29'!$J$7:$J$100,'29'!$H$7:$H$100,$A327,'29'!$I$7:$I$100,2)</f>
        <v>4890.92</v>
      </c>
      <c r="I327" s="1315">
        <f>SUMIFS('12'!$J$7:$J$100,'12'!$H$7:$H$100,$A327,'12'!$I$7:$I$100,"")+SUMIFS('13'!$J$7:$J$100,'13'!$H$7:$H$100,$A327,'13'!$I$7:$I$100,"")+SUMIFS('14'!$J$7:$J$100,'14'!$H$7:$H$100,$A327,'14'!$I$7:$I$100,"")+SUMIFS('15'!$J$7:$J$100,'15'!$H$7:$H$100,$A327,'15'!$I$7:$I$100,"")+SUMIFS('15a'!$J$7:$J$100,'15a'!$H$7:$H$100,$A327,'15a'!$I$7:$I$100,"")+SUMIFS('15b'!$J$7:$J$100,'15b'!$H$7:$H$100,$A327,'15b'!$I$7:$I$100,"")+SUMIFS('15c'!$J$7:$J$100,'15c'!$H$7:$H$100,$A327,'15c'!$I$7:$I$100,"")+SUMIFS('15d'!$J$7:$J$100,'15d'!$H$7:$H$100,$A327,'15d'!$I$7:$I$100,"")+SUMIFS('15e'!$J$7:$J$100,'15e'!$H$7:$H$100,$A327,'15e'!$I$7:$I$100,"")+SUMIFS('15f'!$J$7:$J$100,'15f'!$H$7:$H$100,$A327,'15f'!$I$7:$I$100,"")+SUMIFS('15g'!$J$7:$J$100,'15g'!$H$7:$H$100,$A327,'15g'!$I$7:$I$100,"")+SUMIFS('15h'!$J$7:$J$100,'15h'!$H$7:$H$100,$A327,'15h'!$I$7:$I$100,"")+SUMIFS('15i'!$J$7:$J$100,'15i'!$H$7:$H$100,$A327,'15i'!$I$7:$I$100,"")+SUMIFS('15j'!$J$7:$J$100,'15j'!$H$7:$H$100,$A327,'15j'!$I$7:$I$100,"")+SUMIFS('15k'!$J$7:$J$100,'15k'!$H$7:$H$100,$A327,'15k'!$I$7:$I$100,"")+SUMIFS('15l'!$J$7:$J$100,'15l'!$H$7:$H$100,$A327,'15l'!$I$7:$I$100,"")+SUMIFS('15m'!$J$7:$J$100,'15m'!$H$7:$H$100,$A327,'15m'!$I$7:$I$100,"")+SUMIFS('15n'!$J$7:$J$100,'15n'!$H$7:$H$100,$A327,'15n'!$I$7:$I$100,"")+SUMIFS('16'!$J$7:$J$100,'16'!$H$7:$H$100,$A327,'16'!$I$7:$I$100,"")+SUMIFS('16a'!$J$7:$J$100,'16a'!$H$7:$H$100,$A327,'16a'!$I$7:$I$100,"")+SUMIFS('17'!$J$7:$J$100,'17'!$H$7:$H$100,$A327,'17'!$I$7:$I$100,"")+SUMIFS('17a'!$J$7:$J$100,'17a'!$H$7:$H$100,$A327,'17a'!$I$7:$I$100,"")+SUMIFS('18'!$J$7:$J$100,'18'!$H$7:$H$100,$A327,'18'!$I$7:$I$100,"")+SUMIFS('18a'!$J$7:$J$100,'18a'!$H$7:$H$100,$A327,'18a'!$I$7:$I$100,"")
+SUMIFS('19'!$J$7:$J$100,'19'!$H$7:$H$100,$A327,'19'!$I$7:$I$100,"")+SUMIFS('20'!$J$7:$J$100,'20'!$H$7:$H$100,$A327,'20'!$I$7:$I$100,"")+SUMIFS('20a'!$J$7:$J$100,'20a'!$H$7:$H$100,$A327,'20a'!$I$7:$I$100,"")+SUMIFS('21'!$J$7:$J$100,'21'!$H$7:$H$100,$A327,'21'!$I$7:$I$100,"")+SUMIFS('22'!$J$7:$J$100,'22'!$H$7:$H$100,$A327,'22'!$I$7:$I$100,"")+SUMIFS('22a'!$J$7:$J$100,'22a'!$H$7:$H$100,$A327,'22a'!$I$7:$I$100,"")+SUMIFS('22b'!$J$7:$J$100,'22b'!$H$7:$H$100,$A327,'22b'!$I$7:$I$100,"")+SUMIFS('23'!$J$7:$J$100,'23'!$H$7:$H$100,$A327,'23'!$I$7:$I$100,"")+SUMIFS('24'!$J$7:$J$100,'24'!$H$7:$H$100,$A327,'24'!$I$7:$I$100,"")+SUMIFS('24a'!$J$7:$J$100,'24a'!$H$7:$H$100,$A327,'24a'!$I$7:$I$100,"")+SUMIFS('24b'!$J$7:$J$100,'24b'!$H$7:$H$100,$A327,'24b'!$I$7:$I$100,"")+SUMIFS('24c'!$J$7:$J$100,'24c'!$H$7:$H$100,$A327,'24c'!$I$7:$I$100,"")+SUMIFS('24d'!$J$7:$J$100,'24d'!$H$7:$H$100,$A327,'24d'!$I$7:$I$100,"")+SUMIFS('24e'!$J$7:$J$100,'24e'!$H$7:$H$100,$A327,'24e'!$I$7:$I$100,"")+SUMIFS('24f'!$J$7:$J$100,'24f'!$H$7:$H$100,$A327,'24f'!$I$7:$I$100,"")+SUMIFS('24g'!$J$7:$J$100,'24g'!$H$7:$H$100,$A327,'24g'!$I$7:$I$100,"")+SUMIFS('24h'!$J$7:$J$100,'24h'!$H$7:$H$100,$A327,'24h'!$I$7:$I$100,"")+SUMIFS('24i'!$J$7:$J$100,'24i'!$H$7:$H$100,$A327,'24i'!$I$7:$I$100,"")+SUMIFS('25'!$J$7:$J$100,'25'!$H$7:$H$100,$A327,'25'!$I$7:$I$100,"")+SUMIFS('26'!$J$7:$J$100,'26'!$H$7:$H$100,$A327,'26'!$I$7:$I$100,"")+SUMIFS('26a'!$J$7:$J$100,'26a'!$H$7:$H$100,$A327,'26a'!$I$7:$I$100,"")+SUMIFS('27'!$J$7:$J$100,'27'!$H$7:$H$100,$A327,'27'!$I$7:$I$100,"")+SUMIFS('27a'!$J$7:$J$100,'27a'!$H$7:$H$100,$A327,'27a'!$I$7:$I$100,"")+SUMIFS('28'!$J$7:$J$100,'28'!$H$7:$H$100,$A327,'28'!$I$7:$I$100,"")+SUMIFS('29'!$J$7:$J$100,'29'!$H$7:$H$100,$A327,'29'!$I$7:$I$100,"")</f>
        <v>0</v>
      </c>
      <c r="J327" s="1296">
        <f t="shared" si="44"/>
        <v>4890.92</v>
      </c>
      <c r="K327"/>
      <c r="L327"/>
      <c r="M327"/>
      <c r="N327"/>
      <c r="O327"/>
      <c r="P327"/>
      <c r="Q327"/>
      <c r="R327"/>
      <c r="S327" s="1307">
        <f t="shared" si="30"/>
        <v>18144.919999999998</v>
      </c>
      <c r="T327"/>
    </row>
    <row r="328" spans="1:20" x14ac:dyDescent="0.2">
      <c r="A328" t="s">
        <v>5201</v>
      </c>
      <c r="B328" t="s">
        <v>5540</v>
      </c>
      <c r="C328" s="1295">
        <f>SUMIFS('12'!$N$7:$N$100,'12'!$H$7:$H$100,$A328,'12'!$I$7:$I$100,1)+SUMIFS('13'!$N$7:$N$100,'13'!$H$7:$H$100,$A328,'13'!$I$7:$I$100,1)+SUMIFS('14'!$N$7:$N$100,'14'!$H$7:$H$100,$A328,'14'!$I$7:$I$100,1)+SUMIFS('15'!$N$7:$N$100,'15'!$H$7:$H$100,$A328,'15'!$I$7:$I$100,1)+SUMIFS('15a'!$N$7:$N$100,'15a'!$H$7:$H$100,$A328,'15a'!$I$7:$I$100,1)+SUMIFS('15b'!$N$7:$N$100,'15b'!$H$7:$H$100,$A328,'15b'!$I$7:$I$100,1)+SUMIFS('15c'!$N$7:$N$100,'15c'!$H$7:$H$100,$A328,'15c'!$I$7:$I$100,1)+SUMIFS('15d'!$N$7:$N$100,'15d'!$H$7:$H$100,$A328,'15d'!$I$7:$I$100,1)+SUMIFS('15e'!$N$7:$N$100,'15e'!$H$7:$H$100,$A328,'15e'!$I$7:$I$100,1)+SUMIFS('15f'!$N$7:$N$100,'15f'!$H$7:$H$100,$A328,'15f'!$I$7:$I$100,1)+SUMIFS('15g'!$N$7:$N$100,'15g'!$H$7:$H$100,$A328,'15g'!$I$7:$I$100,1)+SUMIFS('15h'!$N$7:$N$100,'15h'!$H$7:$H$100,$A328,'15h'!$I$7:$I$100,1)+SUMIFS('15i'!$N$7:$N$100,'15i'!$H$7:$H$100,$A328,'15i'!$I$7:$I$100,1)+SUMIFS('15j'!$N$7:$N$100,'15j'!$H$7:$H$100,$A328,'15j'!$I$7:$I$100,1)+SUMIFS('15k'!$N$7:$N$100,'15k'!$H$7:$H$100,$A328,'15k'!$I$7:$I$100,1)+SUMIFS('15l'!$N$7:$N$100,'15l'!$H$7:$H$100,$A328,'15l'!$I$7:$I$100,1)+SUMIFS('15m'!$N$7:$N$100,'15m'!$H$7:$H$100,$A328,'15m'!$I$7:$I$100,1)+SUMIFS('15n'!$N$7:$N$100,'15n'!$H$7:$H$100,$A328,'15n'!$I$7:$I$100,1)+SUMIFS('16'!$N$7:$N$100,'16'!$H$7:$H$100,$A328,'16'!$I$7:$I$100,1)+SUMIFS('16a'!$N$7:$N$100,'16a'!$H$7:$H$100,$A328,'16a'!$I$7:$I$100,1)+SUMIFS('17'!$N$7:$N$100,'17'!$H$7:$H$100,$A328,'17'!$I$7:$I$100,1)+SUMIFS('17a'!$N$7:$N$100,'17a'!$H$7:$H$100,$A328,'17a'!$I$7:$I$100,1)+SUMIFS('18'!$N$7:$N$100,'18'!$H$7:$H$100,$A328,'18'!$I$7:$I$100,1)+SUMIFS('18a'!$N$7:$N$100,'18a'!$H$7:$H$100,$A328,'18a'!$I$7:$I$100,1)
+SUMIFS('19'!$N$7:$N$100,'19'!$H$7:$H$100,$A328,'19'!$I$7:$I$100,1)+SUMIFS('20'!$N$7:$N$100,'20'!$H$7:$H$100,$A328,'20'!$I$7:$I$100,1)+SUMIFS('20a'!$N$7:$N$100,'20a'!$H$7:$H$100,$A328,'20a'!$I$7:$I$100,1)+SUMIFS('21'!$N$7:$N$100,'21'!$H$7:$H$100,$A328,'21'!$I$7:$I$100,1)+SUMIFS('22'!$N$7:$N$100,'22'!$H$7:$H$100,$A328,'22'!$I$7:$I$100,1)+SUMIFS('22a'!$N$7:$N$100,'22a'!$H$7:$H$100,$A328,'22a'!$I$7:$I$100,1)+SUMIFS('22b'!$N$7:$N$100,'22b'!$H$7:$H$100,$A328,'22b'!$I$7:$I$100,1)+SUMIFS('23'!$N$7:$N$100,'23'!$H$7:$H$100,$A328,'23'!$I$7:$I$100,1)+SUMIFS('24'!$N$7:$N$100,'24'!$H$7:$H$100,$A328,'24'!$I$7:$I$100,1)+SUMIFS('24a'!$N$7:$N$100,'24a'!$H$7:$H$100,$A328,'24a'!$I$7:$I$100,1)+SUMIFS('24b'!$N$7:$N$100,'24b'!$H$7:$H$100,$A328,'24b'!$I$7:$I$100,1)+SUMIFS('24c'!$N$7:$N$100,'24c'!$H$7:$H$100,$A328,'24c'!$I$7:$I$100,1)+SUMIFS('24d'!$N$7:$N$100,'24d'!$H$7:$H$100,$A328,'24d'!$I$7:$I$100,1)+SUMIFS('24e'!$N$7:$N$100,'24e'!$H$7:$H$100,$A328,'24e'!$I$7:$I$100,1)+SUMIFS('24f'!$N$7:$N$100,'24f'!$H$7:$H$100,$A328,'24f'!$I$7:$I$100,1)+SUMIFS('24g'!$N$7:$N$100,'24g'!$H$7:$H$100,$A328,'24g'!$I$7:$I$100,1)+SUMIFS('24h'!$N$7:$N$100,'24h'!$H$7:$H$100,$A328,'24h'!$I$7:$I$100,1)+SUMIFS('24i'!$N$7:$N$100,'24i'!$H$7:$H$100,$A328,'24i'!$I$7:$I$100,1)+SUMIFS('25'!$N$7:$N$100,'25'!$H$7:$H$100,$A328,'25'!$I$7:$I$100,1)+SUMIFS('26'!$N$7:$N$100,'26'!$H$7:$H$100,$A328,'26'!$I$7:$I$100,1)+SUMIFS('26a'!$N$7:$N$100,'26a'!$H$7:$H$100,$A328,'26a'!$I$7:$I$100,1)+SUMIFS('27'!$N$7:$N$100,'27'!$H$7:$H$100,$A328,'27'!$I$7:$I$100,1)+SUMIFS('27a'!$N$7:$N$100,'27a'!$H$7:$H$100,$A328,'27a'!$I$7:$I$100,1)+SUMIFS('28'!$N$7:$N$100,'28'!$H$7:$H$100,$A328,'28'!$I$7:$I$100,1)+SUMIFS('29'!$N$7:$N$100,'29'!$H$7:$H$100,$A328,'29'!$I$7:$I$100,1)</f>
        <v>0</v>
      </c>
      <c r="D328" s="1315">
        <f>SUMIFS('12'!$N$7:$N$100,'12'!$H$7:$H$100,$A328,'12'!$I$7:$I$100,2)+SUMIFS('13'!$N$7:$N$100,'13'!$H$7:$H$100,$A328,'13'!$I$7:$I$100,2)+SUMIFS('14'!$N$7:$N$100,'14'!$H$7:$H$100,$A328,'14'!$I$7:$I$100,2)+SUMIFS('15'!$N$7:$N$100,'15'!$H$7:$H$100,$A328,'15'!$I$7:$I$100,2)+SUMIFS('15a'!$N$7:$N$100,'15a'!$H$7:$H$100,$A328,'15a'!$I$7:$I$100,2)+SUMIFS('15b'!$N$7:$N$100,'15b'!$H$7:$H$100,$A328,'15b'!$I$7:$I$100,2)+SUMIFS('15c'!$N$7:$N$100,'15c'!$H$7:$H$100,$A328,'15c'!$I$7:$I$100,2)+SUMIFS('15d'!$N$7:$N$100,'15d'!$H$7:$H$100,$A328,'15d'!$I$7:$I$100,2)+SUMIFS('15e'!$N$7:$N$100,'15e'!$H$7:$H$100,$A328,'15e'!$I$7:$I$100,2)+SUMIFS('15f'!$N$7:$N$100,'15f'!$H$7:$H$100,$A328,'15f'!$I$7:$I$100,2)+SUMIFS('15g'!$N$7:$N$100,'15g'!$H$7:$H$100,$A328,'15g'!$I$7:$I$100,2)+SUMIFS('15h'!$N$7:$N$100,'15h'!$H$7:$H$100,$A328,'15h'!$I$7:$I$100,2)+SUMIFS('15i'!$N$7:$N$100,'15i'!$H$7:$H$100,$A328,'15i'!$I$7:$I$100,2)+SUMIFS('15j'!$N$7:$N$100,'15j'!$H$7:$H$100,$A328,'15j'!$I$7:$I$100,2)+SUMIFS('15k'!$N$7:$N$100,'15k'!$H$7:$H$100,$A328,'15k'!$I$7:$I$100,2)+SUMIFS('15l'!$N$7:$N$100,'15l'!$H$7:$H$100,$A328,'15l'!$I$7:$I$100,2)+SUMIFS('15m'!$N$7:$N$100,'15m'!$H$7:$H$100,$A328,'15m'!$I$7:$I$100,2)+SUMIFS('15n'!$N$7:$N$100,'15n'!$H$7:$H$100,$A328,'15n'!$I$7:$I$100,2)+SUMIFS('16'!$N$7:$N$100,'16'!$H$7:$H$100,$A328,'16'!$I$7:$I$100,2)+SUMIFS('16a'!$N$7:$N$100,'16a'!$H$7:$H$100,$A328,'16a'!$I$7:$I$100,2)+SUMIFS('17'!$N$7:$N$100,'17'!$H$7:$H$100,$A328,'17'!$I$7:$I$100,2)+SUMIFS('17a'!$N$7:$N$100,'17a'!$H$7:$H$100,$A328,'17a'!$I$7:$I$100,2)+SUMIFS('18'!$N$7:$N$100,'18'!$H$7:$H$100,$A328,'18'!$I$7:$I$100,2)+SUMIFS('18a'!$N$7:$N$100,'18a'!$H$7:$H$100,$A328,'18a'!$I$7:$I$100,2)
+SUMIFS('19'!$N$7:$N$100,'19'!$H$7:$H$100,$A328,'19'!$I$7:$I$100,2)+SUMIFS('20'!$N$7:$N$100,'20'!$H$7:$H$100,$A328,'20'!$I$7:$I$100,2)+SUMIFS('20a'!$N$7:$N$100,'20a'!$H$7:$H$100,$A328,'20a'!$I$7:$I$100,2)+SUMIFS('21'!$N$7:$N$100,'21'!$H$7:$H$100,$A328,'21'!$I$7:$I$100,2)+SUMIFS('22'!$N$7:$N$100,'22'!$H$7:$H$100,$A328,'22'!$I$7:$I$100,2)+SUMIFS('22a'!$N$7:$N$100,'22a'!$H$7:$H$100,$A328,'22a'!$I$7:$I$100,2)+SUMIFS('22b'!$N$7:$N$100,'22b'!$H$7:$H$100,$A328,'22b'!$I$7:$I$100,2)+SUMIFS('23'!$N$7:$N$100,'23'!$H$7:$H$100,$A328,'23'!$I$7:$I$100,2)+SUMIFS('24'!$N$7:$N$100,'24'!$H$7:$H$100,$A328,'24'!$I$7:$I$100,2)+SUMIFS('24a'!$N$7:$N$100,'24a'!$H$7:$H$100,$A328,'24a'!$I$7:$I$100,2)+SUMIFS('24b'!$N$7:$N$100,'24b'!$H$7:$H$100,$A328,'24b'!$I$7:$I$100,2)+SUMIFS('24c'!$N$7:$N$100,'24c'!$H$7:$H$100,$A328,'24c'!$I$7:$I$100,2)+SUMIFS('24d'!$N$7:$N$100,'24d'!$H$7:$H$100,$A328,'24d'!$I$7:$I$100,2)+SUMIFS('24e'!$N$7:$N$100,'24e'!$H$7:$H$100,$A328,'24e'!$I$7:$I$100,2)+SUMIFS('24f'!$N$7:$N$100,'24f'!$H$7:$H$100,$A328,'24f'!$I$7:$I$100,2)+SUMIFS('24g'!$N$7:$N$100,'24g'!$H$7:$H$100,$A328,'24g'!$I$7:$I$100,2)+SUMIFS('24h'!$N$7:$N$100,'24h'!$H$7:$H$100,$A328,'24h'!$I$7:$I$100,2)+SUMIFS('24i'!$N$7:$N$100,'24i'!$H$7:$H$100,$A328,'24i'!$I$7:$I$100,2)+SUMIFS('25'!$N$7:$N$100,'25'!$H$7:$H$100,$A328,'25'!$I$7:$I$100,2)+SUMIFS('26'!$N$7:$N$100,'26'!$H$7:$H$100,$A328,'26'!$I$7:$I$100,2)+SUMIFS('26a'!$N$7:$N$100,'26a'!$H$7:$H$100,$A328,'26a'!$I$7:$I$100,2)+SUMIFS('27'!$N$7:$N$100,'27'!$H$7:$H$100,$A328,'27'!$I$7:$I$100,2)+SUMIFS('27a'!$N$7:$N$100,'27a'!$H$7:$H$100,$A328,'27a'!$I$7:$I$100,2)+SUMIFS('28'!$N$7:$N$100,'28'!$H$7:$H$100,$A328,'28'!$I$7:$I$100,2)+SUMIFS('29'!$N$7:$N$100,'29'!$H$7:$H$100,$A328,'29'!$I$7:$I$100,2)</f>
        <v>0</v>
      </c>
      <c r="E328" s="1315">
        <f>SUMIFS('12'!$N$7:$N$100,'12'!$H$7:$H$100,$A328,'12'!$I$7:$I$100,"")+SUMIFS('13'!$N$7:$N$100,'13'!$H$7:$H$100,$A328,'13'!$I$7:$I$100,"")+SUMIFS('14'!$N$7:$N$100,'14'!$H$7:$H$100,$A328,'14'!$I$7:$I$100,"")+SUMIFS('15'!$N$7:$N$100,'15'!$H$7:$H$100,$A328,'15'!$I$7:$I$100,"")+SUMIFS('15a'!$N$7:$N$100,'15a'!$H$7:$H$100,$A328,'15a'!$I$7:$I$100,"")+SUMIFS('15b'!$N$7:$N$100,'15b'!$H$7:$H$100,$A328,'15b'!$I$7:$I$100,"")+SUMIFS('15c'!$N$7:$N$100,'15c'!$H$7:$H$100,$A328,'15c'!$I$7:$I$100,"")+SUMIFS('15d'!$N$7:$N$100,'15d'!$H$7:$H$100,$A328,'15d'!$I$7:$I$100,"")+SUMIFS('15e'!$N$7:$N$100,'15e'!$H$7:$H$100,$A328,'15e'!$I$7:$I$100,"")+SUMIFS('15f'!$N$7:$N$100,'15f'!$H$7:$H$100,$A328,'15f'!$I$7:$I$100,"")+SUMIFS('15g'!$N$7:$N$100,'15g'!$H$7:$H$100,$A328,'15g'!$I$7:$I$100,"")+SUMIFS('15h'!$N$7:$N$100,'15h'!$H$7:$H$100,$A328,'15h'!$I$7:$I$100,"")+SUMIFS('15i'!$N$7:$N$100,'15i'!$H$7:$H$100,$A328,'15i'!$I$7:$I$100,"")+SUMIFS('15j'!$N$7:$N$100,'15j'!$H$7:$H$100,$A328,'15j'!$I$7:$I$100,"")+SUMIFS('15k'!$N$7:$N$100,'15k'!$H$7:$H$100,$A328,'15k'!$I$7:$I$100,"")+SUMIFS('15l'!$N$7:$N$100,'15l'!$H$7:$H$100,$A328,'15l'!$I$7:$I$100,"")+SUMIFS('15m'!$N$7:$N$100,'15m'!$H$7:$H$100,$A328,'15m'!$I$7:$I$100,"")+SUMIFS('15n'!$N$7:$N$100,'15n'!$H$7:$H$100,$A328,'15n'!$I$7:$I$100,"")+SUMIFS('16'!$N$7:$N$100,'16'!$H$7:$H$100,$A328,'16'!$I$7:$I$100,"")+SUMIFS('16a'!$N$7:$N$100,'16a'!$H$7:$H$100,$A328,'16a'!$I$7:$I$100,"")+SUMIFS('17'!$N$7:$N$100,'17'!$H$7:$H$100,$A328,'17'!$I$7:$I$100,"")+SUMIFS('17a'!$N$7:$N$100,'17a'!$H$7:$H$100,$A328,'17a'!$I$7:$I$100,"")+SUMIFS('18'!$N$7:$N$100,'18'!$H$7:$H$100,$A328,'18'!$I$7:$I$100,"")+SUMIFS('18a'!$N$7:$N$100,'18a'!$H$7:$H$100,$A328,'18a'!$I$7:$I$100,"")
+SUMIFS('19'!$N$7:$N$100,'19'!$H$7:$H$100,$A328,'19'!$I$7:$I$100,"")+SUMIFS('20'!$N$7:$N$100,'20'!$H$7:$H$100,$A328,'20'!$I$7:$I$100,"")+SUMIFS('20a'!$N$7:$N$100,'20a'!$H$7:$H$100,$A328,'20a'!$I$7:$I$100,"")+SUMIFS('21'!$N$7:$N$100,'21'!$H$7:$H$100,$A328,'21'!$I$7:$I$100,"")+SUMIFS('22'!$N$7:$N$100,'22'!$H$7:$H$100,$A328,'22'!$I$7:$I$100,"")+SUMIFS('22a'!$N$7:$N$100,'22a'!$H$7:$H$100,$A328,'22a'!$I$7:$I$100,"")+SUMIFS('22b'!$N$7:$N$100,'22b'!$H$7:$H$100,$A328,'22b'!$I$7:$I$100,"")+SUMIFS('23'!$N$7:$N$100,'23'!$H$7:$H$100,$A328,'23'!$I$7:$I$100,"")+SUMIFS('24'!$N$7:$N$100,'24'!$H$7:$H$100,$A328,'24'!$I$7:$I$100,"")+SUMIFS('24a'!$N$7:$N$100,'24a'!$H$7:$H$100,$A328,'24a'!$I$7:$I$100,"")+SUMIFS('24b'!$N$7:$N$100,'24b'!$H$7:$H$100,$A328,'24b'!$I$7:$I$100,"")+SUMIFS('24c'!$N$7:$N$100,'24c'!$H$7:$H$100,$A328,'24c'!$I$7:$I$100,"")+SUMIFS('24d'!$N$7:$N$100,'24d'!$H$7:$H$100,$A328,'24d'!$I$7:$I$100,"")+SUMIFS('24e'!$N$7:$N$100,'24e'!$H$7:$H$100,$A328,'24e'!$I$7:$I$100,"")+SUMIFS('24f'!$N$7:$N$100,'24f'!$H$7:$H$100,$A328,'24f'!$I$7:$I$100,"")+SUMIFS('24g'!$N$7:$N$100,'24g'!$H$7:$H$100,$A328,'24g'!$I$7:$I$100,"")+SUMIFS('24h'!$N$7:$N$100,'24h'!$H$7:$H$100,$A328,'24h'!$I$7:$I$100,"")+SUMIFS('24i'!$N$7:$N$100,'24i'!$H$7:$H$100,$A328,'24i'!$I$7:$I$100,"")+SUMIFS('25'!$N$7:$N$100,'25'!$H$7:$H$100,$A328,'25'!$I$7:$I$100,"")+SUMIFS('26'!$N$7:$N$100,'26'!$H$7:$H$100,$A328,'26'!$I$7:$I$100,"")+SUMIFS('26a'!$N$7:$N$100,'26a'!$H$7:$H$100,$A328,'26a'!$I$7:$I$100,"")+SUMIFS('27'!$N$7:$N$100,'27'!$H$7:$H$100,$A328,'27'!$I$7:$I$100,"")+SUMIFS('27a'!$N$7:$N$100,'27a'!$H$7:$H$100,$A328,'27a'!$I$7:$I$100,"")+SUMIFS('28'!$N$7:$N$100,'28'!$H$7:$H$100,$A328,'28'!$I$7:$I$100,"")+SUMIFS('29'!$N$7:$N$100,'29'!$H$7:$H$100,$A328,'29'!$I$7:$I$100,"")</f>
        <v>0</v>
      </c>
      <c r="F328" s="1296">
        <f t="shared" si="43"/>
        <v>0</v>
      </c>
      <c r="G328" s="1295">
        <f>SUMIFS('12'!$J$7:$J$100,'12'!$H$7:$H$100,$A328,'12'!$I$7:$I$100,1)+SUMIFS('13'!$J$7:$J$100,'13'!$H$7:$H$100,$A328,'13'!$I$7:$I$100,1)+SUMIFS('14'!$J$7:$J$100,'14'!$H$7:$H$100,$A328,'14'!$I$7:$I$100,1)+SUMIFS('15'!$J$7:$J$100,'15'!$H$7:$H$100,$A328,'15'!$I$7:$I$100,1)+SUMIFS('15a'!$J$7:$J$100,'15a'!$H$7:$H$100,$A328,'15a'!$I$7:$I$100,1)+SUMIFS('15b'!$J$7:$J$100,'15b'!$H$7:$H$100,$A328,'15b'!$I$7:$I$100,1)+SUMIFS('15c'!$J$7:$J$100,'15c'!$H$7:$H$100,$A328,'15c'!$I$7:$I$100,1)+SUMIFS('15d'!$J$7:$J$100,'15d'!$H$7:$H$100,$A328,'15d'!$I$7:$I$100,1)+SUMIFS('15e'!$J$7:$J$100,'15e'!$H$7:$H$100,$A328,'15e'!$I$7:$I$100,1)+SUMIFS('15f'!$J$7:$J$100,'15f'!$H$7:$H$100,$A328,'15f'!$I$7:$I$100,1)+SUMIFS('15g'!$J$7:$J$100,'15g'!$H$7:$H$100,$A328,'15g'!$I$7:$I$100,1)+SUMIFS('15h'!$J$7:$J$100,'15h'!$H$7:$H$100,$A328,'15h'!$I$7:$I$100,1)+SUMIFS('15i'!$J$7:$J$100,'15i'!$H$7:$H$100,$A328,'15i'!$I$7:$I$100,1)+SUMIFS('15j'!$J$7:$J$100,'15j'!$H$7:$H$100,$A328,'15j'!$I$7:$I$100,1)+SUMIFS('15k'!$J$7:$J$100,'15k'!$H$7:$H$100,$A328,'15k'!$I$7:$I$100,1)+SUMIFS('15l'!$J$7:$J$100,'15l'!$H$7:$H$100,$A328,'15l'!$I$7:$I$100,1)+SUMIFS('15m'!$J$7:$J$100,'15m'!$H$7:$H$100,$A328,'15m'!$I$7:$I$100,1)+SUMIFS('15n'!$J$7:$J$100,'15n'!$H$7:$H$100,$A328,'15n'!$I$7:$I$100,1)+SUMIFS('16'!$J$7:$J$100,'16'!$H$7:$H$100,$A328,'16'!$I$7:$I$100,1)+SUMIFS('16a'!$J$7:$J$100,'16a'!$H$7:$H$100,$A328,'16a'!$I$7:$I$100,1)+SUMIFS('17'!$J$7:$J$100,'17'!$H$7:$H$100,$A328,'17'!$I$7:$I$100,1)+SUMIFS('17a'!$J$7:$J$100,'17a'!$H$7:$H$100,$A328,'17a'!$I$7:$I$100,1)+SUMIFS('18'!$J$7:$J$100,'18'!$H$7:$H$100,$A328,'18'!$I$7:$I$100,1)+SUMIFS('18a'!$J$7:$J$100,'18a'!$H$7:$H$100,$A328,'18a'!$I$7:$I$100,1)
+SUMIFS('19'!$J$7:$J$100,'19'!$H$7:$H$100,$A328,'19'!$I$7:$I$100,1)+SUMIFS('20'!$J$7:$J$100,'20'!$H$7:$H$100,$A328,'20'!$I$7:$I$100,1)+SUMIFS('20a'!$J$7:$J$100,'20a'!$H$7:$H$100,$A328,'20a'!$I$7:$I$100,1)+SUMIFS('21'!$J$7:$J$100,'21'!$H$7:$H$100,$A328,'21'!$I$7:$I$100,1)+SUMIFS('22'!$J$7:$J$100,'22'!$H$7:$H$100,$A328,'22'!$I$7:$I$100,1)+SUMIFS('22a'!$J$7:$J$100,'22a'!$H$7:$H$100,$A328,'22a'!$I$7:$I$100,1)+SUMIFS('22b'!$J$7:$J$100,'22b'!$H$7:$H$100,$A328,'22b'!$I$7:$I$100,1)+SUMIFS('23'!$J$7:$J$100,'23'!$H$7:$H$100,$A328,'23'!$I$7:$I$100,1)+SUMIFS('24'!$J$7:$J$100,'24'!$H$7:$H$100,$A328,'24'!$I$7:$I$100,1)+SUMIFS('24a'!$J$7:$J$100,'24a'!$H$7:$H$100,$A328,'24a'!$I$7:$I$100,1)+SUMIFS('24b'!$J$7:$J$100,'24b'!$H$7:$H$100,$A328,'24b'!$I$7:$I$100,1)+SUMIFS('24c'!$J$7:$J$100,'24c'!$H$7:$H$100,$A328,'24c'!$I$7:$I$100,1)+SUMIFS('24d'!$J$7:$J$100,'24d'!$H$7:$H$100,$A328,'24d'!$I$7:$I$100,1)+SUMIFS('24e'!$J$7:$J$100,'24e'!$H$7:$H$100,$A328,'24e'!$I$7:$I$100,1)+SUMIFS('24f'!$J$7:$J$100,'24f'!$H$7:$H$100,$A328,'24f'!$I$7:$I$100,1)+SUMIFS('24g'!$J$7:$J$100,'24g'!$H$7:$H$100,$A328,'24g'!$I$7:$I$100,1)+SUMIFS('24h'!$J$7:$J$100,'24h'!$H$7:$H$100,$A328,'24h'!$I$7:$I$100,1)+SUMIFS('24i'!$J$7:$J$100,'24i'!$H$7:$H$100,$A328,'24i'!$I$7:$I$100,1)+SUMIFS('25'!$J$7:$J$100,'25'!$H$7:$H$100,$A328,'25'!$I$7:$I$100,1)+SUMIFS('26'!$J$7:$J$100,'26'!$H$7:$H$100,$A328,'26'!$I$7:$I$100,1)+SUMIFS('26a'!$J$7:$J$100,'26a'!$H$7:$H$100,$A328,'26a'!$I$7:$I$100,1)+SUMIFS('27'!$J$7:$J$100,'27'!$H$7:$H$100,$A328,'27'!$I$7:$I$100,1)+SUMIFS('27a'!$J$7:$J$100,'27a'!$H$7:$H$100,$A328,'27a'!$I$7:$I$100,1)+SUMIFS('28'!$J$7:$J$100,'28'!$H$7:$H$100,$A328,'28'!$I$7:$I$100,1)+SUMIFS('29'!$J$7:$J$100,'29'!$H$7:$H$100,$A328,'29'!$I$7:$I$100,1)</f>
        <v>0</v>
      </c>
      <c r="H328" s="1315">
        <f>SUMIFS('12'!$J$7:$J$100,'12'!$H$7:$H$100,$A328,'12'!$I$7:$I$100,2)+SUMIFS('13'!$J$7:$J$100,'13'!$H$7:$H$100,$A328,'13'!$I$7:$I$100,2)+SUMIFS('14'!$J$7:$J$100,'14'!$H$7:$H$100,$A328,'14'!$I$7:$I$100,2)+SUMIFS('15'!$J$7:$J$100,'15'!$H$7:$H$100,$A328,'15'!$I$7:$I$100,2)+SUMIFS('15a'!$J$7:$J$100,'15a'!$H$7:$H$100,$A328,'15a'!$I$7:$I$100,2)+SUMIFS('15b'!$J$7:$J$100,'15b'!$H$7:$H$100,$A328,'15b'!$I$7:$I$100,2)+SUMIFS('15c'!$J$7:$J$100,'15c'!$H$7:$H$100,$A328,'15c'!$I$7:$I$100,2)+SUMIFS('15d'!$J$7:$J$100,'15d'!$H$7:$H$100,$A328,'15d'!$I$7:$I$100,2)+SUMIFS('15e'!$J$7:$J$100,'15e'!$H$7:$H$100,$A328,'15e'!$I$7:$I$100,2)+SUMIFS('15f'!$J$7:$J$100,'15f'!$H$7:$H$100,$A328,'15f'!$I$7:$I$100,2)+SUMIFS('15g'!$J$7:$J$100,'15g'!$H$7:$H$100,$A328,'15g'!$I$7:$I$100,2)+SUMIFS('15h'!$J$7:$J$100,'15h'!$H$7:$H$100,$A328,'15h'!$I$7:$I$100,2)+SUMIFS('15i'!$J$7:$J$100,'15i'!$H$7:$H$100,$A328,'15i'!$I$7:$I$100,2)+SUMIFS('15j'!$J$7:$J$100,'15j'!$H$7:$H$100,$A328,'15j'!$I$7:$I$100,2)+SUMIFS('15k'!$J$7:$J$100,'15k'!$H$7:$H$100,$A328,'15k'!$I$7:$I$100,2)+SUMIFS('15l'!$J$7:$J$100,'15l'!$H$7:$H$100,$A328,'15l'!$I$7:$I$100,2)+SUMIFS('15m'!$J$7:$J$100,'15m'!$H$7:$H$100,$A328,'15m'!$I$7:$I$100,2)+SUMIFS('15n'!$J$7:$J$100,'15n'!$H$7:$H$100,$A328,'15n'!$I$7:$I$100,2)+SUMIFS('16'!$J$7:$J$100,'16'!$H$7:$H$100,$A328,'16'!$I$7:$I$100,2)+SUMIFS('16a'!$J$7:$J$100,'16a'!$H$7:$H$100,$A328,'16a'!$I$7:$I$100,2)+SUMIFS('17'!$J$7:$J$100,'17'!$H$7:$H$100,$A328,'17'!$I$7:$I$100,2)+SUMIFS('17a'!$J$7:$J$100,'17a'!$H$7:$H$100,$A328,'17a'!$I$7:$I$100,2)+SUMIFS('18'!$J$7:$J$100,'18'!$H$7:$H$100,$A328,'18'!$I$7:$I$100,2)+SUMIFS('18a'!$J$7:$J$100,'18a'!$H$7:$H$100,$A328,'18a'!$I$7:$I$100,2)
+SUMIFS('19'!$J$7:$J$100,'19'!$H$7:$H$100,$A328,'19'!$I$7:$I$100,2)+SUMIFS('20'!$J$7:$J$100,'20'!$H$7:$H$100,$A328,'20'!$I$7:$I$100,2)+SUMIFS('20a'!$J$7:$J$100,'20a'!$H$7:$H$100,$A328,'20a'!$I$7:$I$100,2)+SUMIFS('21'!$J$7:$J$100,'21'!$H$7:$H$100,$A328,'21'!$I$7:$I$100,2)+SUMIFS('22'!$J$7:$J$100,'22'!$H$7:$H$100,$A328,'22'!$I$7:$I$100,2)+SUMIFS('22a'!$J$7:$J$100,'22a'!$H$7:$H$100,$A328,'22a'!$I$7:$I$100,2)+SUMIFS('22b'!$J$7:$J$100,'22b'!$H$7:$H$100,$A328,'22b'!$I$7:$I$100,2)+SUMIFS('23'!$J$7:$J$100,'23'!$H$7:$H$100,$A328,'23'!$I$7:$I$100,2)+SUMIFS('24'!$J$7:$J$100,'24'!$H$7:$H$100,$A328,'24'!$I$7:$I$100,2)+SUMIFS('24a'!$J$7:$J$100,'24a'!$H$7:$H$100,$A328,'24a'!$I$7:$I$100,2)+SUMIFS('24b'!$J$7:$J$100,'24b'!$H$7:$H$100,$A328,'24b'!$I$7:$I$100,2)+SUMIFS('24c'!$J$7:$J$100,'24c'!$H$7:$H$100,$A328,'24c'!$I$7:$I$100,2)+SUMIFS('24d'!$J$7:$J$100,'24d'!$H$7:$H$100,$A328,'24d'!$I$7:$I$100,2)+SUMIFS('24e'!$J$7:$J$100,'24e'!$H$7:$H$100,$A328,'24e'!$I$7:$I$100,2)+SUMIFS('24f'!$J$7:$J$100,'24f'!$H$7:$H$100,$A328,'24f'!$I$7:$I$100,2)+SUMIFS('24g'!$J$7:$J$100,'24g'!$H$7:$H$100,$A328,'24g'!$I$7:$I$100,2)+SUMIFS('24h'!$J$7:$J$100,'24h'!$H$7:$H$100,$A328,'24h'!$I$7:$I$100,2)+SUMIFS('24i'!$J$7:$J$100,'24i'!$H$7:$H$100,$A328,'24i'!$I$7:$I$100,2)+SUMIFS('25'!$J$7:$J$100,'25'!$H$7:$H$100,$A328,'25'!$I$7:$I$100,2)+SUMIFS('26'!$J$7:$J$100,'26'!$H$7:$H$100,$A328,'26'!$I$7:$I$100,2)+SUMIFS('26a'!$J$7:$J$100,'26a'!$H$7:$H$100,$A328,'26a'!$I$7:$I$100,2)+SUMIFS('27'!$J$7:$J$100,'27'!$H$7:$H$100,$A328,'27'!$I$7:$I$100,2)+SUMIFS('27a'!$J$7:$J$100,'27a'!$H$7:$H$100,$A328,'27a'!$I$7:$I$100,2)+SUMIFS('28'!$J$7:$J$100,'28'!$H$7:$H$100,$A328,'28'!$I$7:$I$100,2)+SUMIFS('29'!$J$7:$J$100,'29'!$H$7:$H$100,$A328,'29'!$I$7:$I$100,2)</f>
        <v>0</v>
      </c>
      <c r="I328" s="1315">
        <f>SUMIFS('12'!$J$7:$J$100,'12'!$H$7:$H$100,$A328,'12'!$I$7:$I$100,"")+SUMIFS('13'!$J$7:$J$100,'13'!$H$7:$H$100,$A328,'13'!$I$7:$I$100,"")+SUMIFS('14'!$J$7:$J$100,'14'!$H$7:$H$100,$A328,'14'!$I$7:$I$100,"")+SUMIFS('15'!$J$7:$J$100,'15'!$H$7:$H$100,$A328,'15'!$I$7:$I$100,"")+SUMIFS('15a'!$J$7:$J$100,'15a'!$H$7:$H$100,$A328,'15a'!$I$7:$I$100,"")+SUMIFS('15b'!$J$7:$J$100,'15b'!$H$7:$H$100,$A328,'15b'!$I$7:$I$100,"")+SUMIFS('15c'!$J$7:$J$100,'15c'!$H$7:$H$100,$A328,'15c'!$I$7:$I$100,"")+SUMIFS('15d'!$J$7:$J$100,'15d'!$H$7:$H$100,$A328,'15d'!$I$7:$I$100,"")+SUMIFS('15e'!$J$7:$J$100,'15e'!$H$7:$H$100,$A328,'15e'!$I$7:$I$100,"")+SUMIFS('15f'!$J$7:$J$100,'15f'!$H$7:$H$100,$A328,'15f'!$I$7:$I$100,"")+SUMIFS('15g'!$J$7:$J$100,'15g'!$H$7:$H$100,$A328,'15g'!$I$7:$I$100,"")+SUMIFS('15h'!$J$7:$J$100,'15h'!$H$7:$H$100,$A328,'15h'!$I$7:$I$100,"")+SUMIFS('15i'!$J$7:$J$100,'15i'!$H$7:$H$100,$A328,'15i'!$I$7:$I$100,"")+SUMIFS('15j'!$J$7:$J$100,'15j'!$H$7:$H$100,$A328,'15j'!$I$7:$I$100,"")+SUMIFS('15k'!$J$7:$J$100,'15k'!$H$7:$H$100,$A328,'15k'!$I$7:$I$100,"")+SUMIFS('15l'!$J$7:$J$100,'15l'!$H$7:$H$100,$A328,'15l'!$I$7:$I$100,"")+SUMIFS('15m'!$J$7:$J$100,'15m'!$H$7:$H$100,$A328,'15m'!$I$7:$I$100,"")+SUMIFS('15n'!$J$7:$J$100,'15n'!$H$7:$H$100,$A328,'15n'!$I$7:$I$100,"")+SUMIFS('16'!$J$7:$J$100,'16'!$H$7:$H$100,$A328,'16'!$I$7:$I$100,"")+SUMIFS('16a'!$J$7:$J$100,'16a'!$H$7:$H$100,$A328,'16a'!$I$7:$I$100,"")+SUMIFS('17'!$J$7:$J$100,'17'!$H$7:$H$100,$A328,'17'!$I$7:$I$100,"")+SUMIFS('17a'!$J$7:$J$100,'17a'!$H$7:$H$100,$A328,'17a'!$I$7:$I$100,"")+SUMIFS('18'!$J$7:$J$100,'18'!$H$7:$H$100,$A328,'18'!$I$7:$I$100,"")+SUMIFS('18a'!$J$7:$J$100,'18a'!$H$7:$H$100,$A328,'18a'!$I$7:$I$100,"")
+SUMIFS('19'!$J$7:$J$100,'19'!$H$7:$H$100,$A328,'19'!$I$7:$I$100,"")+SUMIFS('20'!$J$7:$J$100,'20'!$H$7:$H$100,$A328,'20'!$I$7:$I$100,"")+SUMIFS('20a'!$J$7:$J$100,'20a'!$H$7:$H$100,$A328,'20a'!$I$7:$I$100,"")+SUMIFS('21'!$J$7:$J$100,'21'!$H$7:$H$100,$A328,'21'!$I$7:$I$100,"")+SUMIFS('22'!$J$7:$J$100,'22'!$H$7:$H$100,$A328,'22'!$I$7:$I$100,"")+SUMIFS('22a'!$J$7:$J$100,'22a'!$H$7:$H$100,$A328,'22a'!$I$7:$I$100,"")+SUMIFS('22b'!$J$7:$J$100,'22b'!$H$7:$H$100,$A328,'22b'!$I$7:$I$100,"")+SUMIFS('23'!$J$7:$J$100,'23'!$H$7:$H$100,$A328,'23'!$I$7:$I$100,"")+SUMIFS('24'!$J$7:$J$100,'24'!$H$7:$H$100,$A328,'24'!$I$7:$I$100,"")+SUMIFS('24a'!$J$7:$J$100,'24a'!$H$7:$H$100,$A328,'24a'!$I$7:$I$100,"")+SUMIFS('24b'!$J$7:$J$100,'24b'!$H$7:$H$100,$A328,'24b'!$I$7:$I$100,"")+SUMIFS('24c'!$J$7:$J$100,'24c'!$H$7:$H$100,$A328,'24c'!$I$7:$I$100,"")+SUMIFS('24d'!$J$7:$J$100,'24d'!$H$7:$H$100,$A328,'24d'!$I$7:$I$100,"")+SUMIFS('24e'!$J$7:$J$100,'24e'!$H$7:$H$100,$A328,'24e'!$I$7:$I$100,"")+SUMIFS('24f'!$J$7:$J$100,'24f'!$H$7:$H$100,$A328,'24f'!$I$7:$I$100,"")+SUMIFS('24g'!$J$7:$J$100,'24g'!$H$7:$H$100,$A328,'24g'!$I$7:$I$100,"")+SUMIFS('24h'!$J$7:$J$100,'24h'!$H$7:$H$100,$A328,'24h'!$I$7:$I$100,"")+SUMIFS('24i'!$J$7:$J$100,'24i'!$H$7:$H$100,$A328,'24i'!$I$7:$I$100,"")+SUMIFS('25'!$J$7:$J$100,'25'!$H$7:$H$100,$A328,'25'!$I$7:$I$100,"")+SUMIFS('26'!$J$7:$J$100,'26'!$H$7:$H$100,$A328,'26'!$I$7:$I$100,"")+SUMIFS('26a'!$J$7:$J$100,'26a'!$H$7:$H$100,$A328,'26a'!$I$7:$I$100,"")+SUMIFS('27'!$J$7:$J$100,'27'!$H$7:$H$100,$A328,'27'!$I$7:$I$100,"")+SUMIFS('27a'!$J$7:$J$100,'27a'!$H$7:$H$100,$A328,'27a'!$I$7:$I$100,"")+SUMIFS('28'!$J$7:$J$100,'28'!$H$7:$H$100,$A328,'28'!$I$7:$I$100,"")+SUMIFS('29'!$J$7:$J$100,'29'!$H$7:$H$100,$A328,'29'!$I$7:$I$100,"")</f>
        <v>0</v>
      </c>
      <c r="J328" s="1296">
        <f t="shared" si="44"/>
        <v>0</v>
      </c>
      <c r="K328"/>
      <c r="L328"/>
      <c r="M328"/>
      <c r="N328"/>
      <c r="O328"/>
      <c r="P328"/>
      <c r="Q328"/>
      <c r="R328"/>
      <c r="S328" s="1307">
        <f t="shared" si="30"/>
        <v>0</v>
      </c>
      <c r="T328"/>
    </row>
    <row r="329" spans="1:20" x14ac:dyDescent="0.2">
      <c r="A329" t="s">
        <v>5282</v>
      </c>
      <c r="B329" t="s">
        <v>5541</v>
      </c>
      <c r="C329" s="1295">
        <f>SUMIFS('12'!$N$7:$N$100,'12'!$H$7:$H$100,$A329,'12'!$I$7:$I$100,1)+SUMIFS('13'!$N$7:$N$100,'13'!$H$7:$H$100,$A329,'13'!$I$7:$I$100,1)+SUMIFS('14'!$N$7:$N$100,'14'!$H$7:$H$100,$A329,'14'!$I$7:$I$100,1)+SUMIFS('15'!$N$7:$N$100,'15'!$H$7:$H$100,$A329,'15'!$I$7:$I$100,1)+SUMIFS('15a'!$N$7:$N$100,'15a'!$H$7:$H$100,$A329,'15a'!$I$7:$I$100,1)+SUMIFS('15b'!$N$7:$N$100,'15b'!$H$7:$H$100,$A329,'15b'!$I$7:$I$100,1)+SUMIFS('15c'!$N$7:$N$100,'15c'!$H$7:$H$100,$A329,'15c'!$I$7:$I$100,1)+SUMIFS('15d'!$N$7:$N$100,'15d'!$H$7:$H$100,$A329,'15d'!$I$7:$I$100,1)+SUMIFS('15e'!$N$7:$N$100,'15e'!$H$7:$H$100,$A329,'15e'!$I$7:$I$100,1)+SUMIFS('15f'!$N$7:$N$100,'15f'!$H$7:$H$100,$A329,'15f'!$I$7:$I$100,1)+SUMIFS('15g'!$N$7:$N$100,'15g'!$H$7:$H$100,$A329,'15g'!$I$7:$I$100,1)+SUMIFS('15h'!$N$7:$N$100,'15h'!$H$7:$H$100,$A329,'15h'!$I$7:$I$100,1)+SUMIFS('15i'!$N$7:$N$100,'15i'!$H$7:$H$100,$A329,'15i'!$I$7:$I$100,1)+SUMIFS('15j'!$N$7:$N$100,'15j'!$H$7:$H$100,$A329,'15j'!$I$7:$I$100,1)+SUMIFS('15k'!$N$7:$N$100,'15k'!$H$7:$H$100,$A329,'15k'!$I$7:$I$100,1)+SUMIFS('15l'!$N$7:$N$100,'15l'!$H$7:$H$100,$A329,'15l'!$I$7:$I$100,1)+SUMIFS('15m'!$N$7:$N$100,'15m'!$H$7:$H$100,$A329,'15m'!$I$7:$I$100,1)+SUMIFS('15n'!$N$7:$N$100,'15n'!$H$7:$H$100,$A329,'15n'!$I$7:$I$100,1)+SUMIFS('16'!$N$7:$N$100,'16'!$H$7:$H$100,$A329,'16'!$I$7:$I$100,1)+SUMIFS('16a'!$N$7:$N$100,'16a'!$H$7:$H$100,$A329,'16a'!$I$7:$I$100,1)+SUMIFS('17'!$N$7:$N$100,'17'!$H$7:$H$100,$A329,'17'!$I$7:$I$100,1)+SUMIFS('17a'!$N$7:$N$100,'17a'!$H$7:$H$100,$A329,'17a'!$I$7:$I$100,1)+SUMIFS('18'!$N$7:$N$100,'18'!$H$7:$H$100,$A329,'18'!$I$7:$I$100,1)+SUMIFS('18a'!$N$7:$N$100,'18a'!$H$7:$H$100,$A329,'18a'!$I$7:$I$100,1)
+SUMIFS('19'!$N$7:$N$100,'19'!$H$7:$H$100,$A329,'19'!$I$7:$I$100,1)+SUMIFS('20'!$N$7:$N$100,'20'!$H$7:$H$100,$A329,'20'!$I$7:$I$100,1)+SUMIFS('20a'!$N$7:$N$100,'20a'!$H$7:$H$100,$A329,'20a'!$I$7:$I$100,1)+SUMIFS('21'!$N$7:$N$100,'21'!$H$7:$H$100,$A329,'21'!$I$7:$I$100,1)+SUMIFS('22'!$N$7:$N$100,'22'!$H$7:$H$100,$A329,'22'!$I$7:$I$100,1)+SUMIFS('22a'!$N$7:$N$100,'22a'!$H$7:$H$100,$A329,'22a'!$I$7:$I$100,1)+SUMIFS('22b'!$N$7:$N$100,'22b'!$H$7:$H$100,$A329,'22b'!$I$7:$I$100,1)+SUMIFS('23'!$N$7:$N$100,'23'!$H$7:$H$100,$A329,'23'!$I$7:$I$100,1)+SUMIFS('24'!$N$7:$N$100,'24'!$H$7:$H$100,$A329,'24'!$I$7:$I$100,1)+SUMIFS('24a'!$N$7:$N$100,'24a'!$H$7:$H$100,$A329,'24a'!$I$7:$I$100,1)+SUMIFS('24b'!$N$7:$N$100,'24b'!$H$7:$H$100,$A329,'24b'!$I$7:$I$100,1)+SUMIFS('24c'!$N$7:$N$100,'24c'!$H$7:$H$100,$A329,'24c'!$I$7:$I$100,1)+SUMIFS('24d'!$N$7:$N$100,'24d'!$H$7:$H$100,$A329,'24d'!$I$7:$I$100,1)+SUMIFS('24e'!$N$7:$N$100,'24e'!$H$7:$H$100,$A329,'24e'!$I$7:$I$100,1)+SUMIFS('24f'!$N$7:$N$100,'24f'!$H$7:$H$100,$A329,'24f'!$I$7:$I$100,1)+SUMIFS('24g'!$N$7:$N$100,'24g'!$H$7:$H$100,$A329,'24g'!$I$7:$I$100,1)+SUMIFS('24h'!$N$7:$N$100,'24h'!$H$7:$H$100,$A329,'24h'!$I$7:$I$100,1)+SUMIFS('24i'!$N$7:$N$100,'24i'!$H$7:$H$100,$A329,'24i'!$I$7:$I$100,1)+SUMIFS('25'!$N$7:$N$100,'25'!$H$7:$H$100,$A329,'25'!$I$7:$I$100,1)+SUMIFS('26'!$N$7:$N$100,'26'!$H$7:$H$100,$A329,'26'!$I$7:$I$100,1)+SUMIFS('26a'!$N$7:$N$100,'26a'!$H$7:$H$100,$A329,'26a'!$I$7:$I$100,1)+SUMIFS('27'!$N$7:$N$100,'27'!$H$7:$H$100,$A329,'27'!$I$7:$I$100,1)+SUMIFS('27a'!$N$7:$N$100,'27a'!$H$7:$H$100,$A329,'27a'!$I$7:$I$100,1)+SUMIFS('28'!$N$7:$N$100,'28'!$H$7:$H$100,$A329,'28'!$I$7:$I$100,1)+SUMIFS('29'!$N$7:$N$100,'29'!$H$7:$H$100,$A329,'29'!$I$7:$I$100,1)</f>
        <v>0</v>
      </c>
      <c r="D329" s="1315">
        <f>SUMIFS('12'!$N$7:$N$100,'12'!$H$7:$H$100,$A329,'12'!$I$7:$I$100,2)+SUMIFS('13'!$N$7:$N$100,'13'!$H$7:$H$100,$A329,'13'!$I$7:$I$100,2)+SUMIFS('14'!$N$7:$N$100,'14'!$H$7:$H$100,$A329,'14'!$I$7:$I$100,2)+SUMIFS('15'!$N$7:$N$100,'15'!$H$7:$H$100,$A329,'15'!$I$7:$I$100,2)+SUMIFS('15a'!$N$7:$N$100,'15a'!$H$7:$H$100,$A329,'15a'!$I$7:$I$100,2)+SUMIFS('15b'!$N$7:$N$100,'15b'!$H$7:$H$100,$A329,'15b'!$I$7:$I$100,2)+SUMIFS('15c'!$N$7:$N$100,'15c'!$H$7:$H$100,$A329,'15c'!$I$7:$I$100,2)+SUMIFS('15d'!$N$7:$N$100,'15d'!$H$7:$H$100,$A329,'15d'!$I$7:$I$100,2)+SUMIFS('15e'!$N$7:$N$100,'15e'!$H$7:$H$100,$A329,'15e'!$I$7:$I$100,2)+SUMIFS('15f'!$N$7:$N$100,'15f'!$H$7:$H$100,$A329,'15f'!$I$7:$I$100,2)+SUMIFS('15g'!$N$7:$N$100,'15g'!$H$7:$H$100,$A329,'15g'!$I$7:$I$100,2)+SUMIFS('15h'!$N$7:$N$100,'15h'!$H$7:$H$100,$A329,'15h'!$I$7:$I$100,2)+SUMIFS('15i'!$N$7:$N$100,'15i'!$H$7:$H$100,$A329,'15i'!$I$7:$I$100,2)+SUMIFS('15j'!$N$7:$N$100,'15j'!$H$7:$H$100,$A329,'15j'!$I$7:$I$100,2)+SUMIFS('15k'!$N$7:$N$100,'15k'!$H$7:$H$100,$A329,'15k'!$I$7:$I$100,2)+SUMIFS('15l'!$N$7:$N$100,'15l'!$H$7:$H$100,$A329,'15l'!$I$7:$I$100,2)+SUMIFS('15m'!$N$7:$N$100,'15m'!$H$7:$H$100,$A329,'15m'!$I$7:$I$100,2)+SUMIFS('15n'!$N$7:$N$100,'15n'!$H$7:$H$100,$A329,'15n'!$I$7:$I$100,2)+SUMIFS('16'!$N$7:$N$100,'16'!$H$7:$H$100,$A329,'16'!$I$7:$I$100,2)+SUMIFS('16a'!$N$7:$N$100,'16a'!$H$7:$H$100,$A329,'16a'!$I$7:$I$100,2)+SUMIFS('17'!$N$7:$N$100,'17'!$H$7:$H$100,$A329,'17'!$I$7:$I$100,2)+SUMIFS('17a'!$N$7:$N$100,'17a'!$H$7:$H$100,$A329,'17a'!$I$7:$I$100,2)+SUMIFS('18'!$N$7:$N$100,'18'!$H$7:$H$100,$A329,'18'!$I$7:$I$100,2)+SUMIFS('18a'!$N$7:$N$100,'18a'!$H$7:$H$100,$A329,'18a'!$I$7:$I$100,2)
+SUMIFS('19'!$N$7:$N$100,'19'!$H$7:$H$100,$A329,'19'!$I$7:$I$100,2)+SUMIFS('20'!$N$7:$N$100,'20'!$H$7:$H$100,$A329,'20'!$I$7:$I$100,2)+SUMIFS('20a'!$N$7:$N$100,'20a'!$H$7:$H$100,$A329,'20a'!$I$7:$I$100,2)+SUMIFS('21'!$N$7:$N$100,'21'!$H$7:$H$100,$A329,'21'!$I$7:$I$100,2)+SUMIFS('22'!$N$7:$N$100,'22'!$H$7:$H$100,$A329,'22'!$I$7:$I$100,2)+SUMIFS('22a'!$N$7:$N$100,'22a'!$H$7:$H$100,$A329,'22a'!$I$7:$I$100,2)+SUMIFS('22b'!$N$7:$N$100,'22b'!$H$7:$H$100,$A329,'22b'!$I$7:$I$100,2)+SUMIFS('23'!$N$7:$N$100,'23'!$H$7:$H$100,$A329,'23'!$I$7:$I$100,2)+SUMIFS('24'!$N$7:$N$100,'24'!$H$7:$H$100,$A329,'24'!$I$7:$I$100,2)+SUMIFS('24a'!$N$7:$N$100,'24a'!$H$7:$H$100,$A329,'24a'!$I$7:$I$100,2)+SUMIFS('24b'!$N$7:$N$100,'24b'!$H$7:$H$100,$A329,'24b'!$I$7:$I$100,2)+SUMIFS('24c'!$N$7:$N$100,'24c'!$H$7:$H$100,$A329,'24c'!$I$7:$I$100,2)+SUMIFS('24d'!$N$7:$N$100,'24d'!$H$7:$H$100,$A329,'24d'!$I$7:$I$100,2)+SUMIFS('24e'!$N$7:$N$100,'24e'!$H$7:$H$100,$A329,'24e'!$I$7:$I$100,2)+SUMIFS('24f'!$N$7:$N$100,'24f'!$H$7:$H$100,$A329,'24f'!$I$7:$I$100,2)+SUMIFS('24g'!$N$7:$N$100,'24g'!$H$7:$H$100,$A329,'24g'!$I$7:$I$100,2)+SUMIFS('24h'!$N$7:$N$100,'24h'!$H$7:$H$100,$A329,'24h'!$I$7:$I$100,2)+SUMIFS('24i'!$N$7:$N$100,'24i'!$H$7:$H$100,$A329,'24i'!$I$7:$I$100,2)+SUMIFS('25'!$N$7:$N$100,'25'!$H$7:$H$100,$A329,'25'!$I$7:$I$100,2)+SUMIFS('26'!$N$7:$N$100,'26'!$H$7:$H$100,$A329,'26'!$I$7:$I$100,2)+SUMIFS('26a'!$N$7:$N$100,'26a'!$H$7:$H$100,$A329,'26a'!$I$7:$I$100,2)+SUMIFS('27'!$N$7:$N$100,'27'!$H$7:$H$100,$A329,'27'!$I$7:$I$100,2)+SUMIFS('27a'!$N$7:$N$100,'27a'!$H$7:$H$100,$A329,'27a'!$I$7:$I$100,2)+SUMIFS('28'!$N$7:$N$100,'28'!$H$7:$H$100,$A329,'28'!$I$7:$I$100,2)+SUMIFS('29'!$N$7:$N$100,'29'!$H$7:$H$100,$A329,'29'!$I$7:$I$100,2)</f>
        <v>0</v>
      </c>
      <c r="E329" s="1315">
        <f>SUMIFS('12'!$N$7:$N$100,'12'!$H$7:$H$100,$A329,'12'!$I$7:$I$100,"")+SUMIFS('13'!$N$7:$N$100,'13'!$H$7:$H$100,$A329,'13'!$I$7:$I$100,"")+SUMIFS('14'!$N$7:$N$100,'14'!$H$7:$H$100,$A329,'14'!$I$7:$I$100,"")+SUMIFS('15'!$N$7:$N$100,'15'!$H$7:$H$100,$A329,'15'!$I$7:$I$100,"")+SUMIFS('15a'!$N$7:$N$100,'15a'!$H$7:$H$100,$A329,'15a'!$I$7:$I$100,"")+SUMIFS('15b'!$N$7:$N$100,'15b'!$H$7:$H$100,$A329,'15b'!$I$7:$I$100,"")+SUMIFS('15c'!$N$7:$N$100,'15c'!$H$7:$H$100,$A329,'15c'!$I$7:$I$100,"")+SUMIFS('15d'!$N$7:$N$100,'15d'!$H$7:$H$100,$A329,'15d'!$I$7:$I$100,"")+SUMIFS('15e'!$N$7:$N$100,'15e'!$H$7:$H$100,$A329,'15e'!$I$7:$I$100,"")+SUMIFS('15f'!$N$7:$N$100,'15f'!$H$7:$H$100,$A329,'15f'!$I$7:$I$100,"")+SUMIFS('15g'!$N$7:$N$100,'15g'!$H$7:$H$100,$A329,'15g'!$I$7:$I$100,"")+SUMIFS('15h'!$N$7:$N$100,'15h'!$H$7:$H$100,$A329,'15h'!$I$7:$I$100,"")+SUMIFS('15i'!$N$7:$N$100,'15i'!$H$7:$H$100,$A329,'15i'!$I$7:$I$100,"")+SUMIFS('15j'!$N$7:$N$100,'15j'!$H$7:$H$100,$A329,'15j'!$I$7:$I$100,"")+SUMIFS('15k'!$N$7:$N$100,'15k'!$H$7:$H$100,$A329,'15k'!$I$7:$I$100,"")+SUMIFS('15l'!$N$7:$N$100,'15l'!$H$7:$H$100,$A329,'15l'!$I$7:$I$100,"")+SUMIFS('15m'!$N$7:$N$100,'15m'!$H$7:$H$100,$A329,'15m'!$I$7:$I$100,"")+SUMIFS('15n'!$N$7:$N$100,'15n'!$H$7:$H$100,$A329,'15n'!$I$7:$I$100,"")+SUMIFS('16'!$N$7:$N$100,'16'!$H$7:$H$100,$A329,'16'!$I$7:$I$100,"")+SUMIFS('16a'!$N$7:$N$100,'16a'!$H$7:$H$100,$A329,'16a'!$I$7:$I$100,"")+SUMIFS('17'!$N$7:$N$100,'17'!$H$7:$H$100,$A329,'17'!$I$7:$I$100,"")+SUMIFS('17a'!$N$7:$N$100,'17a'!$H$7:$H$100,$A329,'17a'!$I$7:$I$100,"")+SUMIFS('18'!$N$7:$N$100,'18'!$H$7:$H$100,$A329,'18'!$I$7:$I$100,"")+SUMIFS('18a'!$N$7:$N$100,'18a'!$H$7:$H$100,$A329,'18a'!$I$7:$I$100,"")
+SUMIFS('19'!$N$7:$N$100,'19'!$H$7:$H$100,$A329,'19'!$I$7:$I$100,"")+SUMIFS('20'!$N$7:$N$100,'20'!$H$7:$H$100,$A329,'20'!$I$7:$I$100,"")+SUMIFS('20a'!$N$7:$N$100,'20a'!$H$7:$H$100,$A329,'20a'!$I$7:$I$100,"")+SUMIFS('21'!$N$7:$N$100,'21'!$H$7:$H$100,$A329,'21'!$I$7:$I$100,"")+SUMIFS('22'!$N$7:$N$100,'22'!$H$7:$H$100,$A329,'22'!$I$7:$I$100,"")+SUMIFS('22a'!$N$7:$N$100,'22a'!$H$7:$H$100,$A329,'22a'!$I$7:$I$100,"")+SUMIFS('22b'!$N$7:$N$100,'22b'!$H$7:$H$100,$A329,'22b'!$I$7:$I$100,"")+SUMIFS('23'!$N$7:$N$100,'23'!$H$7:$H$100,$A329,'23'!$I$7:$I$100,"")+SUMIFS('24'!$N$7:$N$100,'24'!$H$7:$H$100,$A329,'24'!$I$7:$I$100,"")+SUMIFS('24a'!$N$7:$N$100,'24a'!$H$7:$H$100,$A329,'24a'!$I$7:$I$100,"")+SUMIFS('24b'!$N$7:$N$100,'24b'!$H$7:$H$100,$A329,'24b'!$I$7:$I$100,"")+SUMIFS('24c'!$N$7:$N$100,'24c'!$H$7:$H$100,$A329,'24c'!$I$7:$I$100,"")+SUMIFS('24d'!$N$7:$N$100,'24d'!$H$7:$H$100,$A329,'24d'!$I$7:$I$100,"")+SUMIFS('24e'!$N$7:$N$100,'24e'!$H$7:$H$100,$A329,'24e'!$I$7:$I$100,"")+SUMIFS('24f'!$N$7:$N$100,'24f'!$H$7:$H$100,$A329,'24f'!$I$7:$I$100,"")+SUMIFS('24g'!$N$7:$N$100,'24g'!$H$7:$H$100,$A329,'24g'!$I$7:$I$100,"")+SUMIFS('24h'!$N$7:$N$100,'24h'!$H$7:$H$100,$A329,'24h'!$I$7:$I$100,"")+SUMIFS('24i'!$N$7:$N$100,'24i'!$H$7:$H$100,$A329,'24i'!$I$7:$I$100,"")+SUMIFS('25'!$N$7:$N$100,'25'!$H$7:$H$100,$A329,'25'!$I$7:$I$100,"")+SUMIFS('26'!$N$7:$N$100,'26'!$H$7:$H$100,$A329,'26'!$I$7:$I$100,"")+SUMIFS('26a'!$N$7:$N$100,'26a'!$H$7:$H$100,$A329,'26a'!$I$7:$I$100,"")+SUMIFS('27'!$N$7:$N$100,'27'!$H$7:$H$100,$A329,'27'!$I$7:$I$100,"")+SUMIFS('27a'!$N$7:$N$100,'27a'!$H$7:$H$100,$A329,'27a'!$I$7:$I$100,"")+SUMIFS('28'!$N$7:$N$100,'28'!$H$7:$H$100,$A329,'28'!$I$7:$I$100,"")+SUMIFS('29'!$N$7:$N$100,'29'!$H$7:$H$100,$A329,'29'!$I$7:$I$100,"")</f>
        <v>0</v>
      </c>
      <c r="F329" s="1296">
        <f t="shared" si="43"/>
        <v>0</v>
      </c>
      <c r="G329" s="1295">
        <f>SUMIFS('12'!$J$7:$J$100,'12'!$H$7:$H$100,$A329,'12'!$I$7:$I$100,1)+SUMIFS('13'!$J$7:$J$100,'13'!$H$7:$H$100,$A329,'13'!$I$7:$I$100,1)+SUMIFS('14'!$J$7:$J$100,'14'!$H$7:$H$100,$A329,'14'!$I$7:$I$100,1)+SUMIFS('15'!$J$7:$J$100,'15'!$H$7:$H$100,$A329,'15'!$I$7:$I$100,1)+SUMIFS('15a'!$J$7:$J$100,'15a'!$H$7:$H$100,$A329,'15a'!$I$7:$I$100,1)+SUMIFS('15b'!$J$7:$J$100,'15b'!$H$7:$H$100,$A329,'15b'!$I$7:$I$100,1)+SUMIFS('15c'!$J$7:$J$100,'15c'!$H$7:$H$100,$A329,'15c'!$I$7:$I$100,1)+SUMIFS('15d'!$J$7:$J$100,'15d'!$H$7:$H$100,$A329,'15d'!$I$7:$I$100,1)+SUMIFS('15e'!$J$7:$J$100,'15e'!$H$7:$H$100,$A329,'15e'!$I$7:$I$100,1)+SUMIFS('15f'!$J$7:$J$100,'15f'!$H$7:$H$100,$A329,'15f'!$I$7:$I$100,1)+SUMIFS('15g'!$J$7:$J$100,'15g'!$H$7:$H$100,$A329,'15g'!$I$7:$I$100,1)+SUMIFS('15h'!$J$7:$J$100,'15h'!$H$7:$H$100,$A329,'15h'!$I$7:$I$100,1)+SUMIFS('15i'!$J$7:$J$100,'15i'!$H$7:$H$100,$A329,'15i'!$I$7:$I$100,1)+SUMIFS('15j'!$J$7:$J$100,'15j'!$H$7:$H$100,$A329,'15j'!$I$7:$I$100,1)+SUMIFS('15k'!$J$7:$J$100,'15k'!$H$7:$H$100,$A329,'15k'!$I$7:$I$100,1)+SUMIFS('15l'!$J$7:$J$100,'15l'!$H$7:$H$100,$A329,'15l'!$I$7:$I$100,1)+SUMIFS('15m'!$J$7:$J$100,'15m'!$H$7:$H$100,$A329,'15m'!$I$7:$I$100,1)+SUMIFS('15n'!$J$7:$J$100,'15n'!$H$7:$H$100,$A329,'15n'!$I$7:$I$100,1)+SUMIFS('16'!$J$7:$J$100,'16'!$H$7:$H$100,$A329,'16'!$I$7:$I$100,1)+SUMIFS('16a'!$J$7:$J$100,'16a'!$H$7:$H$100,$A329,'16a'!$I$7:$I$100,1)+SUMIFS('17'!$J$7:$J$100,'17'!$H$7:$H$100,$A329,'17'!$I$7:$I$100,1)+SUMIFS('17a'!$J$7:$J$100,'17a'!$H$7:$H$100,$A329,'17a'!$I$7:$I$100,1)+SUMIFS('18'!$J$7:$J$100,'18'!$H$7:$H$100,$A329,'18'!$I$7:$I$100,1)+SUMIFS('18a'!$J$7:$J$100,'18a'!$H$7:$H$100,$A329,'18a'!$I$7:$I$100,1)
+SUMIFS('19'!$J$7:$J$100,'19'!$H$7:$H$100,$A329,'19'!$I$7:$I$100,1)+SUMIFS('20'!$J$7:$J$100,'20'!$H$7:$H$100,$A329,'20'!$I$7:$I$100,1)+SUMIFS('20a'!$J$7:$J$100,'20a'!$H$7:$H$100,$A329,'20a'!$I$7:$I$100,1)+SUMIFS('21'!$J$7:$J$100,'21'!$H$7:$H$100,$A329,'21'!$I$7:$I$100,1)+SUMIFS('22'!$J$7:$J$100,'22'!$H$7:$H$100,$A329,'22'!$I$7:$I$100,1)+SUMIFS('22a'!$J$7:$J$100,'22a'!$H$7:$H$100,$A329,'22a'!$I$7:$I$100,1)+SUMIFS('22b'!$J$7:$J$100,'22b'!$H$7:$H$100,$A329,'22b'!$I$7:$I$100,1)+SUMIFS('23'!$J$7:$J$100,'23'!$H$7:$H$100,$A329,'23'!$I$7:$I$100,1)+SUMIFS('24'!$J$7:$J$100,'24'!$H$7:$H$100,$A329,'24'!$I$7:$I$100,1)+SUMIFS('24a'!$J$7:$J$100,'24a'!$H$7:$H$100,$A329,'24a'!$I$7:$I$100,1)+SUMIFS('24b'!$J$7:$J$100,'24b'!$H$7:$H$100,$A329,'24b'!$I$7:$I$100,1)+SUMIFS('24c'!$J$7:$J$100,'24c'!$H$7:$H$100,$A329,'24c'!$I$7:$I$100,1)+SUMIFS('24d'!$J$7:$J$100,'24d'!$H$7:$H$100,$A329,'24d'!$I$7:$I$100,1)+SUMIFS('24e'!$J$7:$J$100,'24e'!$H$7:$H$100,$A329,'24e'!$I$7:$I$100,1)+SUMIFS('24f'!$J$7:$J$100,'24f'!$H$7:$H$100,$A329,'24f'!$I$7:$I$100,1)+SUMIFS('24g'!$J$7:$J$100,'24g'!$H$7:$H$100,$A329,'24g'!$I$7:$I$100,1)+SUMIFS('24h'!$J$7:$J$100,'24h'!$H$7:$H$100,$A329,'24h'!$I$7:$I$100,1)+SUMIFS('24i'!$J$7:$J$100,'24i'!$H$7:$H$100,$A329,'24i'!$I$7:$I$100,1)+SUMIFS('25'!$J$7:$J$100,'25'!$H$7:$H$100,$A329,'25'!$I$7:$I$100,1)+SUMIFS('26'!$J$7:$J$100,'26'!$H$7:$H$100,$A329,'26'!$I$7:$I$100,1)+SUMIFS('26a'!$J$7:$J$100,'26a'!$H$7:$H$100,$A329,'26a'!$I$7:$I$100,1)+SUMIFS('27'!$J$7:$J$100,'27'!$H$7:$H$100,$A329,'27'!$I$7:$I$100,1)+SUMIFS('27a'!$J$7:$J$100,'27a'!$H$7:$H$100,$A329,'27a'!$I$7:$I$100,1)+SUMIFS('28'!$J$7:$J$100,'28'!$H$7:$H$100,$A329,'28'!$I$7:$I$100,1)+SUMIFS('29'!$J$7:$J$100,'29'!$H$7:$H$100,$A329,'29'!$I$7:$I$100,1)</f>
        <v>0</v>
      </c>
      <c r="H329" s="1315">
        <f>SUMIFS('12'!$J$7:$J$100,'12'!$H$7:$H$100,$A329,'12'!$I$7:$I$100,2)+SUMIFS('13'!$J$7:$J$100,'13'!$H$7:$H$100,$A329,'13'!$I$7:$I$100,2)+SUMIFS('14'!$J$7:$J$100,'14'!$H$7:$H$100,$A329,'14'!$I$7:$I$100,2)+SUMIFS('15'!$J$7:$J$100,'15'!$H$7:$H$100,$A329,'15'!$I$7:$I$100,2)+SUMIFS('15a'!$J$7:$J$100,'15a'!$H$7:$H$100,$A329,'15a'!$I$7:$I$100,2)+SUMIFS('15b'!$J$7:$J$100,'15b'!$H$7:$H$100,$A329,'15b'!$I$7:$I$100,2)+SUMIFS('15c'!$J$7:$J$100,'15c'!$H$7:$H$100,$A329,'15c'!$I$7:$I$100,2)+SUMIFS('15d'!$J$7:$J$100,'15d'!$H$7:$H$100,$A329,'15d'!$I$7:$I$100,2)+SUMIFS('15e'!$J$7:$J$100,'15e'!$H$7:$H$100,$A329,'15e'!$I$7:$I$100,2)+SUMIFS('15f'!$J$7:$J$100,'15f'!$H$7:$H$100,$A329,'15f'!$I$7:$I$100,2)+SUMIFS('15g'!$J$7:$J$100,'15g'!$H$7:$H$100,$A329,'15g'!$I$7:$I$100,2)+SUMIFS('15h'!$J$7:$J$100,'15h'!$H$7:$H$100,$A329,'15h'!$I$7:$I$100,2)+SUMIFS('15i'!$J$7:$J$100,'15i'!$H$7:$H$100,$A329,'15i'!$I$7:$I$100,2)+SUMIFS('15j'!$J$7:$J$100,'15j'!$H$7:$H$100,$A329,'15j'!$I$7:$I$100,2)+SUMIFS('15k'!$J$7:$J$100,'15k'!$H$7:$H$100,$A329,'15k'!$I$7:$I$100,2)+SUMIFS('15l'!$J$7:$J$100,'15l'!$H$7:$H$100,$A329,'15l'!$I$7:$I$100,2)+SUMIFS('15m'!$J$7:$J$100,'15m'!$H$7:$H$100,$A329,'15m'!$I$7:$I$100,2)+SUMIFS('15n'!$J$7:$J$100,'15n'!$H$7:$H$100,$A329,'15n'!$I$7:$I$100,2)+SUMIFS('16'!$J$7:$J$100,'16'!$H$7:$H$100,$A329,'16'!$I$7:$I$100,2)+SUMIFS('16a'!$J$7:$J$100,'16a'!$H$7:$H$100,$A329,'16a'!$I$7:$I$100,2)+SUMIFS('17'!$J$7:$J$100,'17'!$H$7:$H$100,$A329,'17'!$I$7:$I$100,2)+SUMIFS('17a'!$J$7:$J$100,'17a'!$H$7:$H$100,$A329,'17a'!$I$7:$I$100,2)+SUMIFS('18'!$J$7:$J$100,'18'!$H$7:$H$100,$A329,'18'!$I$7:$I$100,2)+SUMIFS('18a'!$J$7:$J$100,'18a'!$H$7:$H$100,$A329,'18a'!$I$7:$I$100,2)
+SUMIFS('19'!$J$7:$J$100,'19'!$H$7:$H$100,$A329,'19'!$I$7:$I$100,2)+SUMIFS('20'!$J$7:$J$100,'20'!$H$7:$H$100,$A329,'20'!$I$7:$I$100,2)+SUMIFS('20a'!$J$7:$J$100,'20a'!$H$7:$H$100,$A329,'20a'!$I$7:$I$100,2)+SUMIFS('21'!$J$7:$J$100,'21'!$H$7:$H$100,$A329,'21'!$I$7:$I$100,2)+SUMIFS('22'!$J$7:$J$100,'22'!$H$7:$H$100,$A329,'22'!$I$7:$I$100,2)+SUMIFS('22a'!$J$7:$J$100,'22a'!$H$7:$H$100,$A329,'22a'!$I$7:$I$100,2)+SUMIFS('22b'!$J$7:$J$100,'22b'!$H$7:$H$100,$A329,'22b'!$I$7:$I$100,2)+SUMIFS('23'!$J$7:$J$100,'23'!$H$7:$H$100,$A329,'23'!$I$7:$I$100,2)+SUMIFS('24'!$J$7:$J$100,'24'!$H$7:$H$100,$A329,'24'!$I$7:$I$100,2)+SUMIFS('24a'!$J$7:$J$100,'24a'!$H$7:$H$100,$A329,'24a'!$I$7:$I$100,2)+SUMIFS('24b'!$J$7:$J$100,'24b'!$H$7:$H$100,$A329,'24b'!$I$7:$I$100,2)+SUMIFS('24c'!$J$7:$J$100,'24c'!$H$7:$H$100,$A329,'24c'!$I$7:$I$100,2)+SUMIFS('24d'!$J$7:$J$100,'24d'!$H$7:$H$100,$A329,'24d'!$I$7:$I$100,2)+SUMIFS('24e'!$J$7:$J$100,'24e'!$H$7:$H$100,$A329,'24e'!$I$7:$I$100,2)+SUMIFS('24f'!$J$7:$J$100,'24f'!$H$7:$H$100,$A329,'24f'!$I$7:$I$100,2)+SUMIFS('24g'!$J$7:$J$100,'24g'!$H$7:$H$100,$A329,'24g'!$I$7:$I$100,2)+SUMIFS('24h'!$J$7:$J$100,'24h'!$H$7:$H$100,$A329,'24h'!$I$7:$I$100,2)+SUMIFS('24i'!$J$7:$J$100,'24i'!$H$7:$H$100,$A329,'24i'!$I$7:$I$100,2)+SUMIFS('25'!$J$7:$J$100,'25'!$H$7:$H$100,$A329,'25'!$I$7:$I$100,2)+SUMIFS('26'!$J$7:$J$100,'26'!$H$7:$H$100,$A329,'26'!$I$7:$I$100,2)+SUMIFS('26a'!$J$7:$J$100,'26a'!$H$7:$H$100,$A329,'26a'!$I$7:$I$100,2)+SUMIFS('27'!$J$7:$J$100,'27'!$H$7:$H$100,$A329,'27'!$I$7:$I$100,2)+SUMIFS('27a'!$J$7:$J$100,'27a'!$H$7:$H$100,$A329,'27a'!$I$7:$I$100,2)+SUMIFS('28'!$J$7:$J$100,'28'!$H$7:$H$100,$A329,'28'!$I$7:$I$100,2)+SUMIFS('29'!$J$7:$J$100,'29'!$H$7:$H$100,$A329,'29'!$I$7:$I$100,2)</f>
        <v>0</v>
      </c>
      <c r="I329" s="1315">
        <f>SUMIFS('12'!$J$7:$J$100,'12'!$H$7:$H$100,$A329,'12'!$I$7:$I$100,"")+SUMIFS('13'!$J$7:$J$100,'13'!$H$7:$H$100,$A329,'13'!$I$7:$I$100,"")+SUMIFS('14'!$J$7:$J$100,'14'!$H$7:$H$100,$A329,'14'!$I$7:$I$100,"")+SUMIFS('15'!$J$7:$J$100,'15'!$H$7:$H$100,$A329,'15'!$I$7:$I$100,"")+SUMIFS('15a'!$J$7:$J$100,'15a'!$H$7:$H$100,$A329,'15a'!$I$7:$I$100,"")+SUMIFS('15b'!$J$7:$J$100,'15b'!$H$7:$H$100,$A329,'15b'!$I$7:$I$100,"")+SUMIFS('15c'!$J$7:$J$100,'15c'!$H$7:$H$100,$A329,'15c'!$I$7:$I$100,"")+SUMIFS('15d'!$J$7:$J$100,'15d'!$H$7:$H$100,$A329,'15d'!$I$7:$I$100,"")+SUMIFS('15e'!$J$7:$J$100,'15e'!$H$7:$H$100,$A329,'15e'!$I$7:$I$100,"")+SUMIFS('15f'!$J$7:$J$100,'15f'!$H$7:$H$100,$A329,'15f'!$I$7:$I$100,"")+SUMIFS('15g'!$J$7:$J$100,'15g'!$H$7:$H$100,$A329,'15g'!$I$7:$I$100,"")+SUMIFS('15h'!$J$7:$J$100,'15h'!$H$7:$H$100,$A329,'15h'!$I$7:$I$100,"")+SUMIFS('15i'!$J$7:$J$100,'15i'!$H$7:$H$100,$A329,'15i'!$I$7:$I$100,"")+SUMIFS('15j'!$J$7:$J$100,'15j'!$H$7:$H$100,$A329,'15j'!$I$7:$I$100,"")+SUMIFS('15k'!$J$7:$J$100,'15k'!$H$7:$H$100,$A329,'15k'!$I$7:$I$100,"")+SUMIFS('15l'!$J$7:$J$100,'15l'!$H$7:$H$100,$A329,'15l'!$I$7:$I$100,"")+SUMIFS('15m'!$J$7:$J$100,'15m'!$H$7:$H$100,$A329,'15m'!$I$7:$I$100,"")+SUMIFS('15n'!$J$7:$J$100,'15n'!$H$7:$H$100,$A329,'15n'!$I$7:$I$100,"")+SUMIFS('16'!$J$7:$J$100,'16'!$H$7:$H$100,$A329,'16'!$I$7:$I$100,"")+SUMIFS('16a'!$J$7:$J$100,'16a'!$H$7:$H$100,$A329,'16a'!$I$7:$I$100,"")+SUMIFS('17'!$J$7:$J$100,'17'!$H$7:$H$100,$A329,'17'!$I$7:$I$100,"")+SUMIFS('17a'!$J$7:$J$100,'17a'!$H$7:$H$100,$A329,'17a'!$I$7:$I$100,"")+SUMIFS('18'!$J$7:$J$100,'18'!$H$7:$H$100,$A329,'18'!$I$7:$I$100,"")+SUMIFS('18a'!$J$7:$J$100,'18a'!$H$7:$H$100,$A329,'18a'!$I$7:$I$100,"")
+SUMIFS('19'!$J$7:$J$100,'19'!$H$7:$H$100,$A329,'19'!$I$7:$I$100,"")+SUMIFS('20'!$J$7:$J$100,'20'!$H$7:$H$100,$A329,'20'!$I$7:$I$100,"")+SUMIFS('20a'!$J$7:$J$100,'20a'!$H$7:$H$100,$A329,'20a'!$I$7:$I$100,"")+SUMIFS('21'!$J$7:$J$100,'21'!$H$7:$H$100,$A329,'21'!$I$7:$I$100,"")+SUMIFS('22'!$J$7:$J$100,'22'!$H$7:$H$100,$A329,'22'!$I$7:$I$100,"")+SUMIFS('22a'!$J$7:$J$100,'22a'!$H$7:$H$100,$A329,'22a'!$I$7:$I$100,"")+SUMIFS('22b'!$J$7:$J$100,'22b'!$H$7:$H$100,$A329,'22b'!$I$7:$I$100,"")+SUMIFS('23'!$J$7:$J$100,'23'!$H$7:$H$100,$A329,'23'!$I$7:$I$100,"")+SUMIFS('24'!$J$7:$J$100,'24'!$H$7:$H$100,$A329,'24'!$I$7:$I$100,"")+SUMIFS('24a'!$J$7:$J$100,'24a'!$H$7:$H$100,$A329,'24a'!$I$7:$I$100,"")+SUMIFS('24b'!$J$7:$J$100,'24b'!$H$7:$H$100,$A329,'24b'!$I$7:$I$100,"")+SUMIFS('24c'!$J$7:$J$100,'24c'!$H$7:$H$100,$A329,'24c'!$I$7:$I$100,"")+SUMIFS('24d'!$J$7:$J$100,'24d'!$H$7:$H$100,$A329,'24d'!$I$7:$I$100,"")+SUMIFS('24e'!$J$7:$J$100,'24e'!$H$7:$H$100,$A329,'24e'!$I$7:$I$100,"")+SUMIFS('24f'!$J$7:$J$100,'24f'!$H$7:$H$100,$A329,'24f'!$I$7:$I$100,"")+SUMIFS('24g'!$J$7:$J$100,'24g'!$H$7:$H$100,$A329,'24g'!$I$7:$I$100,"")+SUMIFS('24h'!$J$7:$J$100,'24h'!$H$7:$H$100,$A329,'24h'!$I$7:$I$100,"")+SUMIFS('24i'!$J$7:$J$100,'24i'!$H$7:$H$100,$A329,'24i'!$I$7:$I$100,"")+SUMIFS('25'!$J$7:$J$100,'25'!$H$7:$H$100,$A329,'25'!$I$7:$I$100,"")+SUMIFS('26'!$J$7:$J$100,'26'!$H$7:$H$100,$A329,'26'!$I$7:$I$100,"")+SUMIFS('26a'!$J$7:$J$100,'26a'!$H$7:$H$100,$A329,'26a'!$I$7:$I$100,"")+SUMIFS('27'!$J$7:$J$100,'27'!$H$7:$H$100,$A329,'27'!$I$7:$I$100,"")+SUMIFS('27a'!$J$7:$J$100,'27a'!$H$7:$H$100,$A329,'27a'!$I$7:$I$100,"")+SUMIFS('28'!$J$7:$J$100,'28'!$H$7:$H$100,$A329,'28'!$I$7:$I$100,"")+SUMIFS('29'!$J$7:$J$100,'29'!$H$7:$H$100,$A329,'29'!$I$7:$I$100,"")</f>
        <v>0</v>
      </c>
      <c r="J329" s="1296">
        <f t="shared" si="44"/>
        <v>0</v>
      </c>
      <c r="K329"/>
      <c r="L329"/>
      <c r="M329"/>
      <c r="N329"/>
      <c r="O329"/>
      <c r="P329"/>
      <c r="Q329"/>
      <c r="R329"/>
      <c r="S329" s="1307">
        <f t="shared" si="30"/>
        <v>0</v>
      </c>
      <c r="T329"/>
    </row>
    <row r="330" spans="1:20" x14ac:dyDescent="0.2">
      <c r="A330" t="s">
        <v>5202</v>
      </c>
      <c r="B330" t="s">
        <v>5542</v>
      </c>
      <c r="C330" s="1295">
        <f>SUMIFS('12'!$N$7:$N$100,'12'!$H$7:$H$100,$A330,'12'!$I$7:$I$100,1)+SUMIFS('13'!$N$7:$N$100,'13'!$H$7:$H$100,$A330,'13'!$I$7:$I$100,1)+SUMIFS('14'!$N$7:$N$100,'14'!$H$7:$H$100,$A330,'14'!$I$7:$I$100,1)+SUMIFS('15'!$N$7:$N$100,'15'!$H$7:$H$100,$A330,'15'!$I$7:$I$100,1)+SUMIFS('15a'!$N$7:$N$100,'15a'!$H$7:$H$100,$A330,'15a'!$I$7:$I$100,1)+SUMIFS('15b'!$N$7:$N$100,'15b'!$H$7:$H$100,$A330,'15b'!$I$7:$I$100,1)+SUMIFS('15c'!$N$7:$N$100,'15c'!$H$7:$H$100,$A330,'15c'!$I$7:$I$100,1)+SUMIFS('15d'!$N$7:$N$100,'15d'!$H$7:$H$100,$A330,'15d'!$I$7:$I$100,1)+SUMIFS('15e'!$N$7:$N$100,'15e'!$H$7:$H$100,$A330,'15e'!$I$7:$I$100,1)+SUMIFS('15f'!$N$7:$N$100,'15f'!$H$7:$H$100,$A330,'15f'!$I$7:$I$100,1)+SUMIFS('15g'!$N$7:$N$100,'15g'!$H$7:$H$100,$A330,'15g'!$I$7:$I$100,1)+SUMIFS('15h'!$N$7:$N$100,'15h'!$H$7:$H$100,$A330,'15h'!$I$7:$I$100,1)+SUMIFS('15i'!$N$7:$N$100,'15i'!$H$7:$H$100,$A330,'15i'!$I$7:$I$100,1)+SUMIFS('15j'!$N$7:$N$100,'15j'!$H$7:$H$100,$A330,'15j'!$I$7:$I$100,1)+SUMIFS('15k'!$N$7:$N$100,'15k'!$H$7:$H$100,$A330,'15k'!$I$7:$I$100,1)+SUMIFS('15l'!$N$7:$N$100,'15l'!$H$7:$H$100,$A330,'15l'!$I$7:$I$100,1)+SUMIFS('15m'!$N$7:$N$100,'15m'!$H$7:$H$100,$A330,'15m'!$I$7:$I$100,1)+SUMIFS('15n'!$N$7:$N$100,'15n'!$H$7:$H$100,$A330,'15n'!$I$7:$I$100,1)+SUMIFS('16'!$N$7:$N$100,'16'!$H$7:$H$100,$A330,'16'!$I$7:$I$100,1)+SUMIFS('16a'!$N$7:$N$100,'16a'!$H$7:$H$100,$A330,'16a'!$I$7:$I$100,1)+SUMIFS('17'!$N$7:$N$100,'17'!$H$7:$H$100,$A330,'17'!$I$7:$I$100,1)+SUMIFS('17a'!$N$7:$N$100,'17a'!$H$7:$H$100,$A330,'17a'!$I$7:$I$100,1)+SUMIFS('18'!$N$7:$N$100,'18'!$H$7:$H$100,$A330,'18'!$I$7:$I$100,1)+SUMIFS('18a'!$N$7:$N$100,'18a'!$H$7:$H$100,$A330,'18a'!$I$7:$I$100,1)
+SUMIFS('19'!$N$7:$N$100,'19'!$H$7:$H$100,$A330,'19'!$I$7:$I$100,1)+SUMIFS('20'!$N$7:$N$100,'20'!$H$7:$H$100,$A330,'20'!$I$7:$I$100,1)+SUMIFS('20a'!$N$7:$N$100,'20a'!$H$7:$H$100,$A330,'20a'!$I$7:$I$100,1)+SUMIFS('21'!$N$7:$N$100,'21'!$H$7:$H$100,$A330,'21'!$I$7:$I$100,1)+SUMIFS('22'!$N$7:$N$100,'22'!$H$7:$H$100,$A330,'22'!$I$7:$I$100,1)+SUMIFS('22a'!$N$7:$N$100,'22a'!$H$7:$H$100,$A330,'22a'!$I$7:$I$100,1)+SUMIFS('22b'!$N$7:$N$100,'22b'!$H$7:$H$100,$A330,'22b'!$I$7:$I$100,1)+SUMIFS('23'!$N$7:$N$100,'23'!$H$7:$H$100,$A330,'23'!$I$7:$I$100,1)+SUMIFS('24'!$N$7:$N$100,'24'!$H$7:$H$100,$A330,'24'!$I$7:$I$100,1)+SUMIFS('24a'!$N$7:$N$100,'24a'!$H$7:$H$100,$A330,'24a'!$I$7:$I$100,1)+SUMIFS('24b'!$N$7:$N$100,'24b'!$H$7:$H$100,$A330,'24b'!$I$7:$I$100,1)+SUMIFS('24c'!$N$7:$N$100,'24c'!$H$7:$H$100,$A330,'24c'!$I$7:$I$100,1)+SUMIFS('24d'!$N$7:$N$100,'24d'!$H$7:$H$100,$A330,'24d'!$I$7:$I$100,1)+SUMIFS('24e'!$N$7:$N$100,'24e'!$H$7:$H$100,$A330,'24e'!$I$7:$I$100,1)+SUMIFS('24f'!$N$7:$N$100,'24f'!$H$7:$H$100,$A330,'24f'!$I$7:$I$100,1)+SUMIFS('24g'!$N$7:$N$100,'24g'!$H$7:$H$100,$A330,'24g'!$I$7:$I$100,1)+SUMIFS('24h'!$N$7:$N$100,'24h'!$H$7:$H$100,$A330,'24h'!$I$7:$I$100,1)+SUMIFS('24i'!$N$7:$N$100,'24i'!$H$7:$H$100,$A330,'24i'!$I$7:$I$100,1)+SUMIFS('25'!$N$7:$N$100,'25'!$H$7:$H$100,$A330,'25'!$I$7:$I$100,1)+SUMIFS('26'!$N$7:$N$100,'26'!$H$7:$H$100,$A330,'26'!$I$7:$I$100,1)+SUMIFS('26a'!$N$7:$N$100,'26a'!$H$7:$H$100,$A330,'26a'!$I$7:$I$100,1)+SUMIFS('27'!$N$7:$N$100,'27'!$H$7:$H$100,$A330,'27'!$I$7:$I$100,1)+SUMIFS('27a'!$N$7:$N$100,'27a'!$H$7:$H$100,$A330,'27a'!$I$7:$I$100,1)+SUMIFS('28'!$N$7:$N$100,'28'!$H$7:$H$100,$A330,'28'!$I$7:$I$100,1)+SUMIFS('29'!$N$7:$N$100,'29'!$H$7:$H$100,$A330,'29'!$I$7:$I$100,1)</f>
        <v>0</v>
      </c>
      <c r="D330" s="1315">
        <f>SUMIFS('12'!$N$7:$N$100,'12'!$H$7:$H$100,$A330,'12'!$I$7:$I$100,2)+SUMIFS('13'!$N$7:$N$100,'13'!$H$7:$H$100,$A330,'13'!$I$7:$I$100,2)+SUMIFS('14'!$N$7:$N$100,'14'!$H$7:$H$100,$A330,'14'!$I$7:$I$100,2)+SUMIFS('15'!$N$7:$N$100,'15'!$H$7:$H$100,$A330,'15'!$I$7:$I$100,2)+SUMIFS('15a'!$N$7:$N$100,'15a'!$H$7:$H$100,$A330,'15a'!$I$7:$I$100,2)+SUMIFS('15b'!$N$7:$N$100,'15b'!$H$7:$H$100,$A330,'15b'!$I$7:$I$100,2)+SUMIFS('15c'!$N$7:$N$100,'15c'!$H$7:$H$100,$A330,'15c'!$I$7:$I$100,2)+SUMIFS('15d'!$N$7:$N$100,'15d'!$H$7:$H$100,$A330,'15d'!$I$7:$I$100,2)+SUMIFS('15e'!$N$7:$N$100,'15e'!$H$7:$H$100,$A330,'15e'!$I$7:$I$100,2)+SUMIFS('15f'!$N$7:$N$100,'15f'!$H$7:$H$100,$A330,'15f'!$I$7:$I$100,2)+SUMIFS('15g'!$N$7:$N$100,'15g'!$H$7:$H$100,$A330,'15g'!$I$7:$I$100,2)+SUMIFS('15h'!$N$7:$N$100,'15h'!$H$7:$H$100,$A330,'15h'!$I$7:$I$100,2)+SUMIFS('15i'!$N$7:$N$100,'15i'!$H$7:$H$100,$A330,'15i'!$I$7:$I$100,2)+SUMIFS('15j'!$N$7:$N$100,'15j'!$H$7:$H$100,$A330,'15j'!$I$7:$I$100,2)+SUMIFS('15k'!$N$7:$N$100,'15k'!$H$7:$H$100,$A330,'15k'!$I$7:$I$100,2)+SUMIFS('15l'!$N$7:$N$100,'15l'!$H$7:$H$100,$A330,'15l'!$I$7:$I$100,2)+SUMIFS('15m'!$N$7:$N$100,'15m'!$H$7:$H$100,$A330,'15m'!$I$7:$I$100,2)+SUMIFS('15n'!$N$7:$N$100,'15n'!$H$7:$H$100,$A330,'15n'!$I$7:$I$100,2)+SUMIFS('16'!$N$7:$N$100,'16'!$H$7:$H$100,$A330,'16'!$I$7:$I$100,2)+SUMIFS('16a'!$N$7:$N$100,'16a'!$H$7:$H$100,$A330,'16a'!$I$7:$I$100,2)+SUMIFS('17'!$N$7:$N$100,'17'!$H$7:$H$100,$A330,'17'!$I$7:$I$100,2)+SUMIFS('17a'!$N$7:$N$100,'17a'!$H$7:$H$100,$A330,'17a'!$I$7:$I$100,2)+SUMIFS('18'!$N$7:$N$100,'18'!$H$7:$H$100,$A330,'18'!$I$7:$I$100,2)+SUMIFS('18a'!$N$7:$N$100,'18a'!$H$7:$H$100,$A330,'18a'!$I$7:$I$100,2)
+SUMIFS('19'!$N$7:$N$100,'19'!$H$7:$H$100,$A330,'19'!$I$7:$I$100,2)+SUMIFS('20'!$N$7:$N$100,'20'!$H$7:$H$100,$A330,'20'!$I$7:$I$100,2)+SUMIFS('20a'!$N$7:$N$100,'20a'!$H$7:$H$100,$A330,'20a'!$I$7:$I$100,2)+SUMIFS('21'!$N$7:$N$100,'21'!$H$7:$H$100,$A330,'21'!$I$7:$I$100,2)+SUMIFS('22'!$N$7:$N$100,'22'!$H$7:$H$100,$A330,'22'!$I$7:$I$100,2)+SUMIFS('22a'!$N$7:$N$100,'22a'!$H$7:$H$100,$A330,'22a'!$I$7:$I$100,2)+SUMIFS('22b'!$N$7:$N$100,'22b'!$H$7:$H$100,$A330,'22b'!$I$7:$I$100,2)+SUMIFS('23'!$N$7:$N$100,'23'!$H$7:$H$100,$A330,'23'!$I$7:$I$100,2)+SUMIFS('24'!$N$7:$N$100,'24'!$H$7:$H$100,$A330,'24'!$I$7:$I$100,2)+SUMIFS('24a'!$N$7:$N$100,'24a'!$H$7:$H$100,$A330,'24a'!$I$7:$I$100,2)+SUMIFS('24b'!$N$7:$N$100,'24b'!$H$7:$H$100,$A330,'24b'!$I$7:$I$100,2)+SUMIFS('24c'!$N$7:$N$100,'24c'!$H$7:$H$100,$A330,'24c'!$I$7:$I$100,2)+SUMIFS('24d'!$N$7:$N$100,'24d'!$H$7:$H$100,$A330,'24d'!$I$7:$I$100,2)+SUMIFS('24e'!$N$7:$N$100,'24e'!$H$7:$H$100,$A330,'24e'!$I$7:$I$100,2)+SUMIFS('24f'!$N$7:$N$100,'24f'!$H$7:$H$100,$A330,'24f'!$I$7:$I$100,2)+SUMIFS('24g'!$N$7:$N$100,'24g'!$H$7:$H$100,$A330,'24g'!$I$7:$I$100,2)+SUMIFS('24h'!$N$7:$N$100,'24h'!$H$7:$H$100,$A330,'24h'!$I$7:$I$100,2)+SUMIFS('24i'!$N$7:$N$100,'24i'!$H$7:$H$100,$A330,'24i'!$I$7:$I$100,2)+SUMIFS('25'!$N$7:$N$100,'25'!$H$7:$H$100,$A330,'25'!$I$7:$I$100,2)+SUMIFS('26'!$N$7:$N$100,'26'!$H$7:$H$100,$A330,'26'!$I$7:$I$100,2)+SUMIFS('26a'!$N$7:$N$100,'26a'!$H$7:$H$100,$A330,'26a'!$I$7:$I$100,2)+SUMIFS('27'!$N$7:$N$100,'27'!$H$7:$H$100,$A330,'27'!$I$7:$I$100,2)+SUMIFS('27a'!$N$7:$N$100,'27a'!$H$7:$H$100,$A330,'27a'!$I$7:$I$100,2)+SUMIFS('28'!$N$7:$N$100,'28'!$H$7:$H$100,$A330,'28'!$I$7:$I$100,2)+SUMIFS('29'!$N$7:$N$100,'29'!$H$7:$H$100,$A330,'29'!$I$7:$I$100,2)</f>
        <v>1768.64</v>
      </c>
      <c r="E330" s="1315">
        <f>SUMIFS('12'!$N$7:$N$100,'12'!$H$7:$H$100,$A330,'12'!$I$7:$I$100,"")+SUMIFS('13'!$N$7:$N$100,'13'!$H$7:$H$100,$A330,'13'!$I$7:$I$100,"")+SUMIFS('14'!$N$7:$N$100,'14'!$H$7:$H$100,$A330,'14'!$I$7:$I$100,"")+SUMIFS('15'!$N$7:$N$100,'15'!$H$7:$H$100,$A330,'15'!$I$7:$I$100,"")+SUMIFS('15a'!$N$7:$N$100,'15a'!$H$7:$H$100,$A330,'15a'!$I$7:$I$100,"")+SUMIFS('15b'!$N$7:$N$100,'15b'!$H$7:$H$100,$A330,'15b'!$I$7:$I$100,"")+SUMIFS('15c'!$N$7:$N$100,'15c'!$H$7:$H$100,$A330,'15c'!$I$7:$I$100,"")+SUMIFS('15d'!$N$7:$N$100,'15d'!$H$7:$H$100,$A330,'15d'!$I$7:$I$100,"")+SUMIFS('15e'!$N$7:$N$100,'15e'!$H$7:$H$100,$A330,'15e'!$I$7:$I$100,"")+SUMIFS('15f'!$N$7:$N$100,'15f'!$H$7:$H$100,$A330,'15f'!$I$7:$I$100,"")+SUMIFS('15g'!$N$7:$N$100,'15g'!$H$7:$H$100,$A330,'15g'!$I$7:$I$100,"")+SUMIFS('15h'!$N$7:$N$100,'15h'!$H$7:$H$100,$A330,'15h'!$I$7:$I$100,"")+SUMIFS('15i'!$N$7:$N$100,'15i'!$H$7:$H$100,$A330,'15i'!$I$7:$I$100,"")+SUMIFS('15j'!$N$7:$N$100,'15j'!$H$7:$H$100,$A330,'15j'!$I$7:$I$100,"")+SUMIFS('15k'!$N$7:$N$100,'15k'!$H$7:$H$100,$A330,'15k'!$I$7:$I$100,"")+SUMIFS('15l'!$N$7:$N$100,'15l'!$H$7:$H$100,$A330,'15l'!$I$7:$I$100,"")+SUMIFS('15m'!$N$7:$N$100,'15m'!$H$7:$H$100,$A330,'15m'!$I$7:$I$100,"")+SUMIFS('15n'!$N$7:$N$100,'15n'!$H$7:$H$100,$A330,'15n'!$I$7:$I$100,"")+SUMIFS('16'!$N$7:$N$100,'16'!$H$7:$H$100,$A330,'16'!$I$7:$I$100,"")+SUMIFS('16a'!$N$7:$N$100,'16a'!$H$7:$H$100,$A330,'16a'!$I$7:$I$100,"")+SUMIFS('17'!$N$7:$N$100,'17'!$H$7:$H$100,$A330,'17'!$I$7:$I$100,"")+SUMIFS('17a'!$N$7:$N$100,'17a'!$H$7:$H$100,$A330,'17a'!$I$7:$I$100,"")+SUMIFS('18'!$N$7:$N$100,'18'!$H$7:$H$100,$A330,'18'!$I$7:$I$100,"")+SUMIFS('18a'!$N$7:$N$100,'18a'!$H$7:$H$100,$A330,'18a'!$I$7:$I$100,"")
+SUMIFS('19'!$N$7:$N$100,'19'!$H$7:$H$100,$A330,'19'!$I$7:$I$100,"")+SUMIFS('20'!$N$7:$N$100,'20'!$H$7:$H$100,$A330,'20'!$I$7:$I$100,"")+SUMIFS('20a'!$N$7:$N$100,'20a'!$H$7:$H$100,$A330,'20a'!$I$7:$I$100,"")+SUMIFS('21'!$N$7:$N$100,'21'!$H$7:$H$100,$A330,'21'!$I$7:$I$100,"")+SUMIFS('22'!$N$7:$N$100,'22'!$H$7:$H$100,$A330,'22'!$I$7:$I$100,"")+SUMIFS('22a'!$N$7:$N$100,'22a'!$H$7:$H$100,$A330,'22a'!$I$7:$I$100,"")+SUMIFS('22b'!$N$7:$N$100,'22b'!$H$7:$H$100,$A330,'22b'!$I$7:$I$100,"")+SUMIFS('23'!$N$7:$N$100,'23'!$H$7:$H$100,$A330,'23'!$I$7:$I$100,"")+SUMIFS('24'!$N$7:$N$100,'24'!$H$7:$H$100,$A330,'24'!$I$7:$I$100,"")+SUMIFS('24a'!$N$7:$N$100,'24a'!$H$7:$H$100,$A330,'24a'!$I$7:$I$100,"")+SUMIFS('24b'!$N$7:$N$100,'24b'!$H$7:$H$100,$A330,'24b'!$I$7:$I$100,"")+SUMIFS('24c'!$N$7:$N$100,'24c'!$H$7:$H$100,$A330,'24c'!$I$7:$I$100,"")+SUMIFS('24d'!$N$7:$N$100,'24d'!$H$7:$H$100,$A330,'24d'!$I$7:$I$100,"")+SUMIFS('24e'!$N$7:$N$100,'24e'!$H$7:$H$100,$A330,'24e'!$I$7:$I$100,"")+SUMIFS('24f'!$N$7:$N$100,'24f'!$H$7:$H$100,$A330,'24f'!$I$7:$I$100,"")+SUMIFS('24g'!$N$7:$N$100,'24g'!$H$7:$H$100,$A330,'24g'!$I$7:$I$100,"")+SUMIFS('24h'!$N$7:$N$100,'24h'!$H$7:$H$100,$A330,'24h'!$I$7:$I$100,"")+SUMIFS('24i'!$N$7:$N$100,'24i'!$H$7:$H$100,$A330,'24i'!$I$7:$I$100,"")+SUMIFS('25'!$N$7:$N$100,'25'!$H$7:$H$100,$A330,'25'!$I$7:$I$100,"")+SUMIFS('26'!$N$7:$N$100,'26'!$H$7:$H$100,$A330,'26'!$I$7:$I$100,"")+SUMIFS('26a'!$N$7:$N$100,'26a'!$H$7:$H$100,$A330,'26a'!$I$7:$I$100,"")+SUMIFS('27'!$N$7:$N$100,'27'!$H$7:$H$100,$A330,'27'!$I$7:$I$100,"")+SUMIFS('27a'!$N$7:$N$100,'27a'!$H$7:$H$100,$A330,'27a'!$I$7:$I$100,"")+SUMIFS('28'!$N$7:$N$100,'28'!$H$7:$H$100,$A330,'28'!$I$7:$I$100,"")+SUMIFS('29'!$N$7:$N$100,'29'!$H$7:$H$100,$A330,'29'!$I$7:$I$100,"")</f>
        <v>0</v>
      </c>
      <c r="F330" s="1296">
        <f t="shared" si="43"/>
        <v>1768.64</v>
      </c>
      <c r="G330" s="1295">
        <f>SUMIFS('12'!$J$7:$J$100,'12'!$H$7:$H$100,$A330,'12'!$I$7:$I$100,1)+SUMIFS('13'!$J$7:$J$100,'13'!$H$7:$H$100,$A330,'13'!$I$7:$I$100,1)+SUMIFS('14'!$J$7:$J$100,'14'!$H$7:$H$100,$A330,'14'!$I$7:$I$100,1)+SUMIFS('15'!$J$7:$J$100,'15'!$H$7:$H$100,$A330,'15'!$I$7:$I$100,1)+SUMIFS('15a'!$J$7:$J$100,'15a'!$H$7:$H$100,$A330,'15a'!$I$7:$I$100,1)+SUMIFS('15b'!$J$7:$J$100,'15b'!$H$7:$H$100,$A330,'15b'!$I$7:$I$100,1)+SUMIFS('15c'!$J$7:$J$100,'15c'!$H$7:$H$100,$A330,'15c'!$I$7:$I$100,1)+SUMIFS('15d'!$J$7:$J$100,'15d'!$H$7:$H$100,$A330,'15d'!$I$7:$I$100,1)+SUMIFS('15e'!$J$7:$J$100,'15e'!$H$7:$H$100,$A330,'15e'!$I$7:$I$100,1)+SUMIFS('15f'!$J$7:$J$100,'15f'!$H$7:$H$100,$A330,'15f'!$I$7:$I$100,1)+SUMIFS('15g'!$J$7:$J$100,'15g'!$H$7:$H$100,$A330,'15g'!$I$7:$I$100,1)+SUMIFS('15h'!$J$7:$J$100,'15h'!$H$7:$H$100,$A330,'15h'!$I$7:$I$100,1)+SUMIFS('15i'!$J$7:$J$100,'15i'!$H$7:$H$100,$A330,'15i'!$I$7:$I$100,1)+SUMIFS('15j'!$J$7:$J$100,'15j'!$H$7:$H$100,$A330,'15j'!$I$7:$I$100,1)+SUMIFS('15k'!$J$7:$J$100,'15k'!$H$7:$H$100,$A330,'15k'!$I$7:$I$100,1)+SUMIFS('15l'!$J$7:$J$100,'15l'!$H$7:$H$100,$A330,'15l'!$I$7:$I$100,1)+SUMIFS('15m'!$J$7:$J$100,'15m'!$H$7:$H$100,$A330,'15m'!$I$7:$I$100,1)+SUMIFS('15n'!$J$7:$J$100,'15n'!$H$7:$H$100,$A330,'15n'!$I$7:$I$100,1)+SUMIFS('16'!$J$7:$J$100,'16'!$H$7:$H$100,$A330,'16'!$I$7:$I$100,1)+SUMIFS('16a'!$J$7:$J$100,'16a'!$H$7:$H$100,$A330,'16a'!$I$7:$I$100,1)+SUMIFS('17'!$J$7:$J$100,'17'!$H$7:$H$100,$A330,'17'!$I$7:$I$100,1)+SUMIFS('17a'!$J$7:$J$100,'17a'!$H$7:$H$100,$A330,'17a'!$I$7:$I$100,1)+SUMIFS('18'!$J$7:$J$100,'18'!$H$7:$H$100,$A330,'18'!$I$7:$I$100,1)+SUMIFS('18a'!$J$7:$J$100,'18a'!$H$7:$H$100,$A330,'18a'!$I$7:$I$100,1)
+SUMIFS('19'!$J$7:$J$100,'19'!$H$7:$H$100,$A330,'19'!$I$7:$I$100,1)+SUMIFS('20'!$J$7:$J$100,'20'!$H$7:$H$100,$A330,'20'!$I$7:$I$100,1)+SUMIFS('20a'!$J$7:$J$100,'20a'!$H$7:$H$100,$A330,'20a'!$I$7:$I$100,1)+SUMIFS('21'!$J$7:$J$100,'21'!$H$7:$H$100,$A330,'21'!$I$7:$I$100,1)+SUMIFS('22'!$J$7:$J$100,'22'!$H$7:$H$100,$A330,'22'!$I$7:$I$100,1)+SUMIFS('22a'!$J$7:$J$100,'22a'!$H$7:$H$100,$A330,'22a'!$I$7:$I$100,1)+SUMIFS('22b'!$J$7:$J$100,'22b'!$H$7:$H$100,$A330,'22b'!$I$7:$I$100,1)+SUMIFS('23'!$J$7:$J$100,'23'!$H$7:$H$100,$A330,'23'!$I$7:$I$100,1)+SUMIFS('24'!$J$7:$J$100,'24'!$H$7:$H$100,$A330,'24'!$I$7:$I$100,1)+SUMIFS('24a'!$J$7:$J$100,'24a'!$H$7:$H$100,$A330,'24a'!$I$7:$I$100,1)+SUMIFS('24b'!$J$7:$J$100,'24b'!$H$7:$H$100,$A330,'24b'!$I$7:$I$100,1)+SUMIFS('24c'!$J$7:$J$100,'24c'!$H$7:$H$100,$A330,'24c'!$I$7:$I$100,1)+SUMIFS('24d'!$J$7:$J$100,'24d'!$H$7:$H$100,$A330,'24d'!$I$7:$I$100,1)+SUMIFS('24e'!$J$7:$J$100,'24e'!$H$7:$H$100,$A330,'24e'!$I$7:$I$100,1)+SUMIFS('24f'!$J$7:$J$100,'24f'!$H$7:$H$100,$A330,'24f'!$I$7:$I$100,1)+SUMIFS('24g'!$J$7:$J$100,'24g'!$H$7:$H$100,$A330,'24g'!$I$7:$I$100,1)+SUMIFS('24h'!$J$7:$J$100,'24h'!$H$7:$H$100,$A330,'24h'!$I$7:$I$100,1)+SUMIFS('24i'!$J$7:$J$100,'24i'!$H$7:$H$100,$A330,'24i'!$I$7:$I$100,1)+SUMIFS('25'!$J$7:$J$100,'25'!$H$7:$H$100,$A330,'25'!$I$7:$I$100,1)+SUMIFS('26'!$J$7:$J$100,'26'!$H$7:$H$100,$A330,'26'!$I$7:$I$100,1)+SUMIFS('26a'!$J$7:$J$100,'26a'!$H$7:$H$100,$A330,'26a'!$I$7:$I$100,1)+SUMIFS('27'!$J$7:$J$100,'27'!$H$7:$H$100,$A330,'27'!$I$7:$I$100,1)+SUMIFS('27a'!$J$7:$J$100,'27a'!$H$7:$H$100,$A330,'27a'!$I$7:$I$100,1)+SUMIFS('28'!$J$7:$J$100,'28'!$H$7:$H$100,$A330,'28'!$I$7:$I$100,1)+SUMIFS('29'!$J$7:$J$100,'29'!$H$7:$H$100,$A330,'29'!$I$7:$I$100,1)</f>
        <v>0</v>
      </c>
      <c r="H330" s="1315">
        <f>SUMIFS('12'!$J$7:$J$100,'12'!$H$7:$H$100,$A330,'12'!$I$7:$I$100,2)+SUMIFS('13'!$J$7:$J$100,'13'!$H$7:$H$100,$A330,'13'!$I$7:$I$100,2)+SUMIFS('14'!$J$7:$J$100,'14'!$H$7:$H$100,$A330,'14'!$I$7:$I$100,2)+SUMIFS('15'!$J$7:$J$100,'15'!$H$7:$H$100,$A330,'15'!$I$7:$I$100,2)+SUMIFS('15a'!$J$7:$J$100,'15a'!$H$7:$H$100,$A330,'15a'!$I$7:$I$100,2)+SUMIFS('15b'!$J$7:$J$100,'15b'!$H$7:$H$100,$A330,'15b'!$I$7:$I$100,2)+SUMIFS('15c'!$J$7:$J$100,'15c'!$H$7:$H$100,$A330,'15c'!$I$7:$I$100,2)+SUMIFS('15d'!$J$7:$J$100,'15d'!$H$7:$H$100,$A330,'15d'!$I$7:$I$100,2)+SUMIFS('15e'!$J$7:$J$100,'15e'!$H$7:$H$100,$A330,'15e'!$I$7:$I$100,2)+SUMIFS('15f'!$J$7:$J$100,'15f'!$H$7:$H$100,$A330,'15f'!$I$7:$I$100,2)+SUMIFS('15g'!$J$7:$J$100,'15g'!$H$7:$H$100,$A330,'15g'!$I$7:$I$100,2)+SUMIFS('15h'!$J$7:$J$100,'15h'!$H$7:$H$100,$A330,'15h'!$I$7:$I$100,2)+SUMIFS('15i'!$J$7:$J$100,'15i'!$H$7:$H$100,$A330,'15i'!$I$7:$I$100,2)+SUMIFS('15j'!$J$7:$J$100,'15j'!$H$7:$H$100,$A330,'15j'!$I$7:$I$100,2)+SUMIFS('15k'!$J$7:$J$100,'15k'!$H$7:$H$100,$A330,'15k'!$I$7:$I$100,2)+SUMIFS('15l'!$J$7:$J$100,'15l'!$H$7:$H$100,$A330,'15l'!$I$7:$I$100,2)+SUMIFS('15m'!$J$7:$J$100,'15m'!$H$7:$H$100,$A330,'15m'!$I$7:$I$100,2)+SUMIFS('15n'!$J$7:$J$100,'15n'!$H$7:$H$100,$A330,'15n'!$I$7:$I$100,2)+SUMIFS('16'!$J$7:$J$100,'16'!$H$7:$H$100,$A330,'16'!$I$7:$I$100,2)+SUMIFS('16a'!$J$7:$J$100,'16a'!$H$7:$H$100,$A330,'16a'!$I$7:$I$100,2)+SUMIFS('17'!$J$7:$J$100,'17'!$H$7:$H$100,$A330,'17'!$I$7:$I$100,2)+SUMIFS('17a'!$J$7:$J$100,'17a'!$H$7:$H$100,$A330,'17a'!$I$7:$I$100,2)+SUMIFS('18'!$J$7:$J$100,'18'!$H$7:$H$100,$A330,'18'!$I$7:$I$100,2)+SUMIFS('18a'!$J$7:$J$100,'18a'!$H$7:$H$100,$A330,'18a'!$I$7:$I$100,2)
+SUMIFS('19'!$J$7:$J$100,'19'!$H$7:$H$100,$A330,'19'!$I$7:$I$100,2)+SUMIFS('20'!$J$7:$J$100,'20'!$H$7:$H$100,$A330,'20'!$I$7:$I$100,2)+SUMIFS('20a'!$J$7:$J$100,'20a'!$H$7:$H$100,$A330,'20a'!$I$7:$I$100,2)+SUMIFS('21'!$J$7:$J$100,'21'!$H$7:$H$100,$A330,'21'!$I$7:$I$100,2)+SUMIFS('22'!$J$7:$J$100,'22'!$H$7:$H$100,$A330,'22'!$I$7:$I$100,2)+SUMIFS('22a'!$J$7:$J$100,'22a'!$H$7:$H$100,$A330,'22a'!$I$7:$I$100,2)+SUMIFS('22b'!$J$7:$J$100,'22b'!$H$7:$H$100,$A330,'22b'!$I$7:$I$100,2)+SUMIFS('23'!$J$7:$J$100,'23'!$H$7:$H$100,$A330,'23'!$I$7:$I$100,2)+SUMIFS('24'!$J$7:$J$100,'24'!$H$7:$H$100,$A330,'24'!$I$7:$I$100,2)+SUMIFS('24a'!$J$7:$J$100,'24a'!$H$7:$H$100,$A330,'24a'!$I$7:$I$100,2)+SUMIFS('24b'!$J$7:$J$100,'24b'!$H$7:$H$100,$A330,'24b'!$I$7:$I$100,2)+SUMIFS('24c'!$J$7:$J$100,'24c'!$H$7:$H$100,$A330,'24c'!$I$7:$I$100,2)+SUMIFS('24d'!$J$7:$J$100,'24d'!$H$7:$H$100,$A330,'24d'!$I$7:$I$100,2)+SUMIFS('24e'!$J$7:$J$100,'24e'!$H$7:$H$100,$A330,'24e'!$I$7:$I$100,2)+SUMIFS('24f'!$J$7:$J$100,'24f'!$H$7:$H$100,$A330,'24f'!$I$7:$I$100,2)+SUMIFS('24g'!$J$7:$J$100,'24g'!$H$7:$H$100,$A330,'24g'!$I$7:$I$100,2)+SUMIFS('24h'!$J$7:$J$100,'24h'!$H$7:$H$100,$A330,'24h'!$I$7:$I$100,2)+SUMIFS('24i'!$J$7:$J$100,'24i'!$H$7:$H$100,$A330,'24i'!$I$7:$I$100,2)+SUMIFS('25'!$J$7:$J$100,'25'!$H$7:$H$100,$A330,'25'!$I$7:$I$100,2)+SUMIFS('26'!$J$7:$J$100,'26'!$H$7:$H$100,$A330,'26'!$I$7:$I$100,2)+SUMIFS('26a'!$J$7:$J$100,'26a'!$H$7:$H$100,$A330,'26a'!$I$7:$I$100,2)+SUMIFS('27'!$J$7:$J$100,'27'!$H$7:$H$100,$A330,'27'!$I$7:$I$100,2)+SUMIFS('27a'!$J$7:$J$100,'27a'!$H$7:$H$100,$A330,'27a'!$I$7:$I$100,2)+SUMIFS('28'!$J$7:$J$100,'28'!$H$7:$H$100,$A330,'28'!$I$7:$I$100,2)+SUMIFS('29'!$J$7:$J$100,'29'!$H$7:$H$100,$A330,'29'!$I$7:$I$100,2)</f>
        <v>5360.14</v>
      </c>
      <c r="I330" s="1315">
        <f>SUMIFS('12'!$J$7:$J$100,'12'!$H$7:$H$100,$A330,'12'!$I$7:$I$100,"")+SUMIFS('13'!$J$7:$J$100,'13'!$H$7:$H$100,$A330,'13'!$I$7:$I$100,"")+SUMIFS('14'!$J$7:$J$100,'14'!$H$7:$H$100,$A330,'14'!$I$7:$I$100,"")+SUMIFS('15'!$J$7:$J$100,'15'!$H$7:$H$100,$A330,'15'!$I$7:$I$100,"")+SUMIFS('15a'!$J$7:$J$100,'15a'!$H$7:$H$100,$A330,'15a'!$I$7:$I$100,"")+SUMIFS('15b'!$J$7:$J$100,'15b'!$H$7:$H$100,$A330,'15b'!$I$7:$I$100,"")+SUMIFS('15c'!$J$7:$J$100,'15c'!$H$7:$H$100,$A330,'15c'!$I$7:$I$100,"")+SUMIFS('15d'!$J$7:$J$100,'15d'!$H$7:$H$100,$A330,'15d'!$I$7:$I$100,"")+SUMIFS('15e'!$J$7:$J$100,'15e'!$H$7:$H$100,$A330,'15e'!$I$7:$I$100,"")+SUMIFS('15f'!$J$7:$J$100,'15f'!$H$7:$H$100,$A330,'15f'!$I$7:$I$100,"")+SUMIFS('15g'!$J$7:$J$100,'15g'!$H$7:$H$100,$A330,'15g'!$I$7:$I$100,"")+SUMIFS('15h'!$J$7:$J$100,'15h'!$H$7:$H$100,$A330,'15h'!$I$7:$I$100,"")+SUMIFS('15i'!$J$7:$J$100,'15i'!$H$7:$H$100,$A330,'15i'!$I$7:$I$100,"")+SUMIFS('15j'!$J$7:$J$100,'15j'!$H$7:$H$100,$A330,'15j'!$I$7:$I$100,"")+SUMIFS('15k'!$J$7:$J$100,'15k'!$H$7:$H$100,$A330,'15k'!$I$7:$I$100,"")+SUMIFS('15l'!$J$7:$J$100,'15l'!$H$7:$H$100,$A330,'15l'!$I$7:$I$100,"")+SUMIFS('15m'!$J$7:$J$100,'15m'!$H$7:$H$100,$A330,'15m'!$I$7:$I$100,"")+SUMIFS('15n'!$J$7:$J$100,'15n'!$H$7:$H$100,$A330,'15n'!$I$7:$I$100,"")+SUMIFS('16'!$J$7:$J$100,'16'!$H$7:$H$100,$A330,'16'!$I$7:$I$100,"")+SUMIFS('16a'!$J$7:$J$100,'16a'!$H$7:$H$100,$A330,'16a'!$I$7:$I$100,"")+SUMIFS('17'!$J$7:$J$100,'17'!$H$7:$H$100,$A330,'17'!$I$7:$I$100,"")+SUMIFS('17a'!$J$7:$J$100,'17a'!$H$7:$H$100,$A330,'17a'!$I$7:$I$100,"")+SUMIFS('18'!$J$7:$J$100,'18'!$H$7:$H$100,$A330,'18'!$I$7:$I$100,"")+SUMIFS('18a'!$J$7:$J$100,'18a'!$H$7:$H$100,$A330,'18a'!$I$7:$I$100,"")
+SUMIFS('19'!$J$7:$J$100,'19'!$H$7:$H$100,$A330,'19'!$I$7:$I$100,"")+SUMIFS('20'!$J$7:$J$100,'20'!$H$7:$H$100,$A330,'20'!$I$7:$I$100,"")+SUMIFS('20a'!$J$7:$J$100,'20a'!$H$7:$H$100,$A330,'20a'!$I$7:$I$100,"")+SUMIFS('21'!$J$7:$J$100,'21'!$H$7:$H$100,$A330,'21'!$I$7:$I$100,"")+SUMIFS('22'!$J$7:$J$100,'22'!$H$7:$H$100,$A330,'22'!$I$7:$I$100,"")+SUMIFS('22a'!$J$7:$J$100,'22a'!$H$7:$H$100,$A330,'22a'!$I$7:$I$100,"")+SUMIFS('22b'!$J$7:$J$100,'22b'!$H$7:$H$100,$A330,'22b'!$I$7:$I$100,"")+SUMIFS('23'!$J$7:$J$100,'23'!$H$7:$H$100,$A330,'23'!$I$7:$I$100,"")+SUMIFS('24'!$J$7:$J$100,'24'!$H$7:$H$100,$A330,'24'!$I$7:$I$100,"")+SUMIFS('24a'!$J$7:$J$100,'24a'!$H$7:$H$100,$A330,'24a'!$I$7:$I$100,"")+SUMIFS('24b'!$J$7:$J$100,'24b'!$H$7:$H$100,$A330,'24b'!$I$7:$I$100,"")+SUMIFS('24c'!$J$7:$J$100,'24c'!$H$7:$H$100,$A330,'24c'!$I$7:$I$100,"")+SUMIFS('24d'!$J$7:$J$100,'24d'!$H$7:$H$100,$A330,'24d'!$I$7:$I$100,"")+SUMIFS('24e'!$J$7:$J$100,'24e'!$H$7:$H$100,$A330,'24e'!$I$7:$I$100,"")+SUMIFS('24f'!$J$7:$J$100,'24f'!$H$7:$H$100,$A330,'24f'!$I$7:$I$100,"")+SUMIFS('24g'!$J$7:$J$100,'24g'!$H$7:$H$100,$A330,'24g'!$I$7:$I$100,"")+SUMIFS('24h'!$J$7:$J$100,'24h'!$H$7:$H$100,$A330,'24h'!$I$7:$I$100,"")+SUMIFS('24i'!$J$7:$J$100,'24i'!$H$7:$H$100,$A330,'24i'!$I$7:$I$100,"")+SUMIFS('25'!$J$7:$J$100,'25'!$H$7:$H$100,$A330,'25'!$I$7:$I$100,"")+SUMIFS('26'!$J$7:$J$100,'26'!$H$7:$H$100,$A330,'26'!$I$7:$I$100,"")+SUMIFS('26a'!$J$7:$J$100,'26a'!$H$7:$H$100,$A330,'26a'!$I$7:$I$100,"")+SUMIFS('27'!$J$7:$J$100,'27'!$H$7:$H$100,$A330,'27'!$I$7:$I$100,"")+SUMIFS('27a'!$J$7:$J$100,'27a'!$H$7:$H$100,$A330,'27a'!$I$7:$I$100,"")+SUMIFS('28'!$J$7:$J$100,'28'!$H$7:$H$100,$A330,'28'!$I$7:$I$100,"")+SUMIFS('29'!$J$7:$J$100,'29'!$H$7:$H$100,$A330,'29'!$I$7:$I$100,"")</f>
        <v>0</v>
      </c>
      <c r="J330" s="1296">
        <f t="shared" si="44"/>
        <v>5360.14</v>
      </c>
      <c r="K330"/>
      <c r="L330"/>
      <c r="M330"/>
      <c r="N330"/>
      <c r="O330"/>
      <c r="P330"/>
      <c r="Q330"/>
      <c r="R330"/>
      <c r="S330" s="1307">
        <f t="shared" si="30"/>
        <v>14257.560000000001</v>
      </c>
      <c r="T330"/>
    </row>
    <row r="331" spans="1:20" x14ac:dyDescent="0.2">
      <c r="A331" t="s">
        <v>5283</v>
      </c>
      <c r="B331" t="s">
        <v>5543</v>
      </c>
      <c r="C331" s="1295">
        <f>SUMIFS('12'!$N$7:$N$100,'12'!$H$7:$H$100,$A331,'12'!$I$7:$I$100,1)+SUMIFS('13'!$N$7:$N$100,'13'!$H$7:$H$100,$A331,'13'!$I$7:$I$100,1)+SUMIFS('14'!$N$7:$N$100,'14'!$H$7:$H$100,$A331,'14'!$I$7:$I$100,1)+SUMIFS('15'!$N$7:$N$100,'15'!$H$7:$H$100,$A331,'15'!$I$7:$I$100,1)+SUMIFS('15a'!$N$7:$N$100,'15a'!$H$7:$H$100,$A331,'15a'!$I$7:$I$100,1)+SUMIFS('15b'!$N$7:$N$100,'15b'!$H$7:$H$100,$A331,'15b'!$I$7:$I$100,1)+SUMIFS('15c'!$N$7:$N$100,'15c'!$H$7:$H$100,$A331,'15c'!$I$7:$I$100,1)+SUMIFS('15d'!$N$7:$N$100,'15d'!$H$7:$H$100,$A331,'15d'!$I$7:$I$100,1)+SUMIFS('15e'!$N$7:$N$100,'15e'!$H$7:$H$100,$A331,'15e'!$I$7:$I$100,1)+SUMIFS('15f'!$N$7:$N$100,'15f'!$H$7:$H$100,$A331,'15f'!$I$7:$I$100,1)+SUMIFS('15g'!$N$7:$N$100,'15g'!$H$7:$H$100,$A331,'15g'!$I$7:$I$100,1)+SUMIFS('15h'!$N$7:$N$100,'15h'!$H$7:$H$100,$A331,'15h'!$I$7:$I$100,1)+SUMIFS('15i'!$N$7:$N$100,'15i'!$H$7:$H$100,$A331,'15i'!$I$7:$I$100,1)+SUMIFS('15j'!$N$7:$N$100,'15j'!$H$7:$H$100,$A331,'15j'!$I$7:$I$100,1)+SUMIFS('15k'!$N$7:$N$100,'15k'!$H$7:$H$100,$A331,'15k'!$I$7:$I$100,1)+SUMIFS('15l'!$N$7:$N$100,'15l'!$H$7:$H$100,$A331,'15l'!$I$7:$I$100,1)+SUMIFS('15m'!$N$7:$N$100,'15m'!$H$7:$H$100,$A331,'15m'!$I$7:$I$100,1)+SUMIFS('15n'!$N$7:$N$100,'15n'!$H$7:$H$100,$A331,'15n'!$I$7:$I$100,1)+SUMIFS('16'!$N$7:$N$100,'16'!$H$7:$H$100,$A331,'16'!$I$7:$I$100,1)+SUMIFS('16a'!$N$7:$N$100,'16a'!$H$7:$H$100,$A331,'16a'!$I$7:$I$100,1)+SUMIFS('17'!$N$7:$N$100,'17'!$H$7:$H$100,$A331,'17'!$I$7:$I$100,1)+SUMIFS('17a'!$N$7:$N$100,'17a'!$H$7:$H$100,$A331,'17a'!$I$7:$I$100,1)+SUMIFS('18'!$N$7:$N$100,'18'!$H$7:$H$100,$A331,'18'!$I$7:$I$100,1)+SUMIFS('18a'!$N$7:$N$100,'18a'!$H$7:$H$100,$A331,'18a'!$I$7:$I$100,1)
+SUMIFS('19'!$N$7:$N$100,'19'!$H$7:$H$100,$A331,'19'!$I$7:$I$100,1)+SUMIFS('20'!$N$7:$N$100,'20'!$H$7:$H$100,$A331,'20'!$I$7:$I$100,1)+SUMIFS('20a'!$N$7:$N$100,'20a'!$H$7:$H$100,$A331,'20a'!$I$7:$I$100,1)+SUMIFS('21'!$N$7:$N$100,'21'!$H$7:$H$100,$A331,'21'!$I$7:$I$100,1)+SUMIFS('22'!$N$7:$N$100,'22'!$H$7:$H$100,$A331,'22'!$I$7:$I$100,1)+SUMIFS('22a'!$N$7:$N$100,'22a'!$H$7:$H$100,$A331,'22a'!$I$7:$I$100,1)+SUMIFS('22b'!$N$7:$N$100,'22b'!$H$7:$H$100,$A331,'22b'!$I$7:$I$100,1)+SUMIFS('23'!$N$7:$N$100,'23'!$H$7:$H$100,$A331,'23'!$I$7:$I$100,1)+SUMIFS('24'!$N$7:$N$100,'24'!$H$7:$H$100,$A331,'24'!$I$7:$I$100,1)+SUMIFS('24a'!$N$7:$N$100,'24a'!$H$7:$H$100,$A331,'24a'!$I$7:$I$100,1)+SUMIFS('24b'!$N$7:$N$100,'24b'!$H$7:$H$100,$A331,'24b'!$I$7:$I$100,1)+SUMIFS('24c'!$N$7:$N$100,'24c'!$H$7:$H$100,$A331,'24c'!$I$7:$I$100,1)+SUMIFS('24d'!$N$7:$N$100,'24d'!$H$7:$H$100,$A331,'24d'!$I$7:$I$100,1)+SUMIFS('24e'!$N$7:$N$100,'24e'!$H$7:$H$100,$A331,'24e'!$I$7:$I$100,1)+SUMIFS('24f'!$N$7:$N$100,'24f'!$H$7:$H$100,$A331,'24f'!$I$7:$I$100,1)+SUMIFS('24g'!$N$7:$N$100,'24g'!$H$7:$H$100,$A331,'24g'!$I$7:$I$100,1)+SUMIFS('24h'!$N$7:$N$100,'24h'!$H$7:$H$100,$A331,'24h'!$I$7:$I$100,1)+SUMIFS('24i'!$N$7:$N$100,'24i'!$H$7:$H$100,$A331,'24i'!$I$7:$I$100,1)+SUMIFS('25'!$N$7:$N$100,'25'!$H$7:$H$100,$A331,'25'!$I$7:$I$100,1)+SUMIFS('26'!$N$7:$N$100,'26'!$H$7:$H$100,$A331,'26'!$I$7:$I$100,1)+SUMIFS('26a'!$N$7:$N$100,'26a'!$H$7:$H$100,$A331,'26a'!$I$7:$I$100,1)+SUMIFS('27'!$N$7:$N$100,'27'!$H$7:$H$100,$A331,'27'!$I$7:$I$100,1)+SUMIFS('27a'!$N$7:$N$100,'27a'!$H$7:$H$100,$A331,'27a'!$I$7:$I$100,1)+SUMIFS('28'!$N$7:$N$100,'28'!$H$7:$H$100,$A331,'28'!$I$7:$I$100,1)+SUMIFS('29'!$N$7:$N$100,'29'!$H$7:$H$100,$A331,'29'!$I$7:$I$100,1)</f>
        <v>0</v>
      </c>
      <c r="D331" s="1315">
        <f>SUMIFS('12'!$N$7:$N$100,'12'!$H$7:$H$100,$A331,'12'!$I$7:$I$100,2)+SUMIFS('13'!$N$7:$N$100,'13'!$H$7:$H$100,$A331,'13'!$I$7:$I$100,2)+SUMIFS('14'!$N$7:$N$100,'14'!$H$7:$H$100,$A331,'14'!$I$7:$I$100,2)+SUMIFS('15'!$N$7:$N$100,'15'!$H$7:$H$100,$A331,'15'!$I$7:$I$100,2)+SUMIFS('15a'!$N$7:$N$100,'15a'!$H$7:$H$100,$A331,'15a'!$I$7:$I$100,2)+SUMIFS('15b'!$N$7:$N$100,'15b'!$H$7:$H$100,$A331,'15b'!$I$7:$I$100,2)+SUMIFS('15c'!$N$7:$N$100,'15c'!$H$7:$H$100,$A331,'15c'!$I$7:$I$100,2)+SUMIFS('15d'!$N$7:$N$100,'15d'!$H$7:$H$100,$A331,'15d'!$I$7:$I$100,2)+SUMIFS('15e'!$N$7:$N$100,'15e'!$H$7:$H$100,$A331,'15e'!$I$7:$I$100,2)+SUMIFS('15f'!$N$7:$N$100,'15f'!$H$7:$H$100,$A331,'15f'!$I$7:$I$100,2)+SUMIFS('15g'!$N$7:$N$100,'15g'!$H$7:$H$100,$A331,'15g'!$I$7:$I$100,2)+SUMIFS('15h'!$N$7:$N$100,'15h'!$H$7:$H$100,$A331,'15h'!$I$7:$I$100,2)+SUMIFS('15i'!$N$7:$N$100,'15i'!$H$7:$H$100,$A331,'15i'!$I$7:$I$100,2)+SUMIFS('15j'!$N$7:$N$100,'15j'!$H$7:$H$100,$A331,'15j'!$I$7:$I$100,2)+SUMIFS('15k'!$N$7:$N$100,'15k'!$H$7:$H$100,$A331,'15k'!$I$7:$I$100,2)+SUMIFS('15l'!$N$7:$N$100,'15l'!$H$7:$H$100,$A331,'15l'!$I$7:$I$100,2)+SUMIFS('15m'!$N$7:$N$100,'15m'!$H$7:$H$100,$A331,'15m'!$I$7:$I$100,2)+SUMIFS('15n'!$N$7:$N$100,'15n'!$H$7:$H$100,$A331,'15n'!$I$7:$I$100,2)+SUMIFS('16'!$N$7:$N$100,'16'!$H$7:$H$100,$A331,'16'!$I$7:$I$100,2)+SUMIFS('16a'!$N$7:$N$100,'16a'!$H$7:$H$100,$A331,'16a'!$I$7:$I$100,2)+SUMIFS('17'!$N$7:$N$100,'17'!$H$7:$H$100,$A331,'17'!$I$7:$I$100,2)+SUMIFS('17a'!$N$7:$N$100,'17a'!$H$7:$H$100,$A331,'17a'!$I$7:$I$100,2)+SUMIFS('18'!$N$7:$N$100,'18'!$H$7:$H$100,$A331,'18'!$I$7:$I$100,2)+SUMIFS('18a'!$N$7:$N$100,'18a'!$H$7:$H$100,$A331,'18a'!$I$7:$I$100,2)
+SUMIFS('19'!$N$7:$N$100,'19'!$H$7:$H$100,$A331,'19'!$I$7:$I$100,2)+SUMIFS('20'!$N$7:$N$100,'20'!$H$7:$H$100,$A331,'20'!$I$7:$I$100,2)+SUMIFS('20a'!$N$7:$N$100,'20a'!$H$7:$H$100,$A331,'20a'!$I$7:$I$100,2)+SUMIFS('21'!$N$7:$N$100,'21'!$H$7:$H$100,$A331,'21'!$I$7:$I$100,2)+SUMIFS('22'!$N$7:$N$100,'22'!$H$7:$H$100,$A331,'22'!$I$7:$I$100,2)+SUMIFS('22a'!$N$7:$N$100,'22a'!$H$7:$H$100,$A331,'22a'!$I$7:$I$100,2)+SUMIFS('22b'!$N$7:$N$100,'22b'!$H$7:$H$100,$A331,'22b'!$I$7:$I$100,2)+SUMIFS('23'!$N$7:$N$100,'23'!$H$7:$H$100,$A331,'23'!$I$7:$I$100,2)+SUMIFS('24'!$N$7:$N$100,'24'!$H$7:$H$100,$A331,'24'!$I$7:$I$100,2)+SUMIFS('24a'!$N$7:$N$100,'24a'!$H$7:$H$100,$A331,'24a'!$I$7:$I$100,2)+SUMIFS('24b'!$N$7:$N$100,'24b'!$H$7:$H$100,$A331,'24b'!$I$7:$I$100,2)+SUMIFS('24c'!$N$7:$N$100,'24c'!$H$7:$H$100,$A331,'24c'!$I$7:$I$100,2)+SUMIFS('24d'!$N$7:$N$100,'24d'!$H$7:$H$100,$A331,'24d'!$I$7:$I$100,2)+SUMIFS('24e'!$N$7:$N$100,'24e'!$H$7:$H$100,$A331,'24e'!$I$7:$I$100,2)+SUMIFS('24f'!$N$7:$N$100,'24f'!$H$7:$H$100,$A331,'24f'!$I$7:$I$100,2)+SUMIFS('24g'!$N$7:$N$100,'24g'!$H$7:$H$100,$A331,'24g'!$I$7:$I$100,2)+SUMIFS('24h'!$N$7:$N$100,'24h'!$H$7:$H$100,$A331,'24h'!$I$7:$I$100,2)+SUMIFS('24i'!$N$7:$N$100,'24i'!$H$7:$H$100,$A331,'24i'!$I$7:$I$100,2)+SUMIFS('25'!$N$7:$N$100,'25'!$H$7:$H$100,$A331,'25'!$I$7:$I$100,2)+SUMIFS('26'!$N$7:$N$100,'26'!$H$7:$H$100,$A331,'26'!$I$7:$I$100,2)+SUMIFS('26a'!$N$7:$N$100,'26a'!$H$7:$H$100,$A331,'26a'!$I$7:$I$100,2)+SUMIFS('27'!$N$7:$N$100,'27'!$H$7:$H$100,$A331,'27'!$I$7:$I$100,2)+SUMIFS('27a'!$N$7:$N$100,'27a'!$H$7:$H$100,$A331,'27a'!$I$7:$I$100,2)+SUMIFS('28'!$N$7:$N$100,'28'!$H$7:$H$100,$A331,'28'!$I$7:$I$100,2)+SUMIFS('29'!$N$7:$N$100,'29'!$H$7:$H$100,$A331,'29'!$I$7:$I$100,2)</f>
        <v>0</v>
      </c>
      <c r="E331" s="1315">
        <f>SUMIFS('12'!$N$7:$N$100,'12'!$H$7:$H$100,$A331,'12'!$I$7:$I$100,"")+SUMIFS('13'!$N$7:$N$100,'13'!$H$7:$H$100,$A331,'13'!$I$7:$I$100,"")+SUMIFS('14'!$N$7:$N$100,'14'!$H$7:$H$100,$A331,'14'!$I$7:$I$100,"")+SUMIFS('15'!$N$7:$N$100,'15'!$H$7:$H$100,$A331,'15'!$I$7:$I$100,"")+SUMIFS('15a'!$N$7:$N$100,'15a'!$H$7:$H$100,$A331,'15a'!$I$7:$I$100,"")+SUMIFS('15b'!$N$7:$N$100,'15b'!$H$7:$H$100,$A331,'15b'!$I$7:$I$100,"")+SUMIFS('15c'!$N$7:$N$100,'15c'!$H$7:$H$100,$A331,'15c'!$I$7:$I$100,"")+SUMIFS('15d'!$N$7:$N$100,'15d'!$H$7:$H$100,$A331,'15d'!$I$7:$I$100,"")+SUMIFS('15e'!$N$7:$N$100,'15e'!$H$7:$H$100,$A331,'15e'!$I$7:$I$100,"")+SUMIFS('15f'!$N$7:$N$100,'15f'!$H$7:$H$100,$A331,'15f'!$I$7:$I$100,"")+SUMIFS('15g'!$N$7:$N$100,'15g'!$H$7:$H$100,$A331,'15g'!$I$7:$I$100,"")+SUMIFS('15h'!$N$7:$N$100,'15h'!$H$7:$H$100,$A331,'15h'!$I$7:$I$100,"")+SUMIFS('15i'!$N$7:$N$100,'15i'!$H$7:$H$100,$A331,'15i'!$I$7:$I$100,"")+SUMIFS('15j'!$N$7:$N$100,'15j'!$H$7:$H$100,$A331,'15j'!$I$7:$I$100,"")+SUMIFS('15k'!$N$7:$N$100,'15k'!$H$7:$H$100,$A331,'15k'!$I$7:$I$100,"")+SUMIFS('15l'!$N$7:$N$100,'15l'!$H$7:$H$100,$A331,'15l'!$I$7:$I$100,"")+SUMIFS('15m'!$N$7:$N$100,'15m'!$H$7:$H$100,$A331,'15m'!$I$7:$I$100,"")+SUMIFS('15n'!$N$7:$N$100,'15n'!$H$7:$H$100,$A331,'15n'!$I$7:$I$100,"")+SUMIFS('16'!$N$7:$N$100,'16'!$H$7:$H$100,$A331,'16'!$I$7:$I$100,"")+SUMIFS('16a'!$N$7:$N$100,'16a'!$H$7:$H$100,$A331,'16a'!$I$7:$I$100,"")+SUMIFS('17'!$N$7:$N$100,'17'!$H$7:$H$100,$A331,'17'!$I$7:$I$100,"")+SUMIFS('17a'!$N$7:$N$100,'17a'!$H$7:$H$100,$A331,'17a'!$I$7:$I$100,"")+SUMIFS('18'!$N$7:$N$100,'18'!$H$7:$H$100,$A331,'18'!$I$7:$I$100,"")+SUMIFS('18a'!$N$7:$N$100,'18a'!$H$7:$H$100,$A331,'18a'!$I$7:$I$100,"")
+SUMIFS('19'!$N$7:$N$100,'19'!$H$7:$H$100,$A331,'19'!$I$7:$I$100,"")+SUMIFS('20'!$N$7:$N$100,'20'!$H$7:$H$100,$A331,'20'!$I$7:$I$100,"")+SUMIFS('20a'!$N$7:$N$100,'20a'!$H$7:$H$100,$A331,'20a'!$I$7:$I$100,"")+SUMIFS('21'!$N$7:$N$100,'21'!$H$7:$H$100,$A331,'21'!$I$7:$I$100,"")+SUMIFS('22'!$N$7:$N$100,'22'!$H$7:$H$100,$A331,'22'!$I$7:$I$100,"")+SUMIFS('22a'!$N$7:$N$100,'22a'!$H$7:$H$100,$A331,'22a'!$I$7:$I$100,"")+SUMIFS('22b'!$N$7:$N$100,'22b'!$H$7:$H$100,$A331,'22b'!$I$7:$I$100,"")+SUMIFS('23'!$N$7:$N$100,'23'!$H$7:$H$100,$A331,'23'!$I$7:$I$100,"")+SUMIFS('24'!$N$7:$N$100,'24'!$H$7:$H$100,$A331,'24'!$I$7:$I$100,"")+SUMIFS('24a'!$N$7:$N$100,'24a'!$H$7:$H$100,$A331,'24a'!$I$7:$I$100,"")+SUMIFS('24b'!$N$7:$N$100,'24b'!$H$7:$H$100,$A331,'24b'!$I$7:$I$100,"")+SUMIFS('24c'!$N$7:$N$100,'24c'!$H$7:$H$100,$A331,'24c'!$I$7:$I$100,"")+SUMIFS('24d'!$N$7:$N$100,'24d'!$H$7:$H$100,$A331,'24d'!$I$7:$I$100,"")+SUMIFS('24e'!$N$7:$N$100,'24e'!$H$7:$H$100,$A331,'24e'!$I$7:$I$100,"")+SUMIFS('24f'!$N$7:$N$100,'24f'!$H$7:$H$100,$A331,'24f'!$I$7:$I$100,"")+SUMIFS('24g'!$N$7:$N$100,'24g'!$H$7:$H$100,$A331,'24g'!$I$7:$I$100,"")+SUMIFS('24h'!$N$7:$N$100,'24h'!$H$7:$H$100,$A331,'24h'!$I$7:$I$100,"")+SUMIFS('24i'!$N$7:$N$100,'24i'!$H$7:$H$100,$A331,'24i'!$I$7:$I$100,"")+SUMIFS('25'!$N$7:$N$100,'25'!$H$7:$H$100,$A331,'25'!$I$7:$I$100,"")+SUMIFS('26'!$N$7:$N$100,'26'!$H$7:$H$100,$A331,'26'!$I$7:$I$100,"")+SUMIFS('26a'!$N$7:$N$100,'26a'!$H$7:$H$100,$A331,'26a'!$I$7:$I$100,"")+SUMIFS('27'!$N$7:$N$100,'27'!$H$7:$H$100,$A331,'27'!$I$7:$I$100,"")+SUMIFS('27a'!$N$7:$N$100,'27a'!$H$7:$H$100,$A331,'27a'!$I$7:$I$100,"")+SUMIFS('28'!$N$7:$N$100,'28'!$H$7:$H$100,$A331,'28'!$I$7:$I$100,"")+SUMIFS('29'!$N$7:$N$100,'29'!$H$7:$H$100,$A331,'29'!$I$7:$I$100,"")</f>
        <v>0</v>
      </c>
      <c r="F331" s="1296">
        <f t="shared" si="43"/>
        <v>0</v>
      </c>
      <c r="G331" s="1295">
        <f>SUMIFS('12'!$J$7:$J$100,'12'!$H$7:$H$100,$A331,'12'!$I$7:$I$100,1)+SUMIFS('13'!$J$7:$J$100,'13'!$H$7:$H$100,$A331,'13'!$I$7:$I$100,1)+SUMIFS('14'!$J$7:$J$100,'14'!$H$7:$H$100,$A331,'14'!$I$7:$I$100,1)+SUMIFS('15'!$J$7:$J$100,'15'!$H$7:$H$100,$A331,'15'!$I$7:$I$100,1)+SUMIFS('15a'!$J$7:$J$100,'15a'!$H$7:$H$100,$A331,'15a'!$I$7:$I$100,1)+SUMIFS('15b'!$J$7:$J$100,'15b'!$H$7:$H$100,$A331,'15b'!$I$7:$I$100,1)+SUMIFS('15c'!$J$7:$J$100,'15c'!$H$7:$H$100,$A331,'15c'!$I$7:$I$100,1)+SUMIFS('15d'!$J$7:$J$100,'15d'!$H$7:$H$100,$A331,'15d'!$I$7:$I$100,1)+SUMIFS('15e'!$J$7:$J$100,'15e'!$H$7:$H$100,$A331,'15e'!$I$7:$I$100,1)+SUMIFS('15f'!$J$7:$J$100,'15f'!$H$7:$H$100,$A331,'15f'!$I$7:$I$100,1)+SUMIFS('15g'!$J$7:$J$100,'15g'!$H$7:$H$100,$A331,'15g'!$I$7:$I$100,1)+SUMIFS('15h'!$J$7:$J$100,'15h'!$H$7:$H$100,$A331,'15h'!$I$7:$I$100,1)+SUMIFS('15i'!$J$7:$J$100,'15i'!$H$7:$H$100,$A331,'15i'!$I$7:$I$100,1)+SUMIFS('15j'!$J$7:$J$100,'15j'!$H$7:$H$100,$A331,'15j'!$I$7:$I$100,1)+SUMIFS('15k'!$J$7:$J$100,'15k'!$H$7:$H$100,$A331,'15k'!$I$7:$I$100,1)+SUMIFS('15l'!$J$7:$J$100,'15l'!$H$7:$H$100,$A331,'15l'!$I$7:$I$100,1)+SUMIFS('15m'!$J$7:$J$100,'15m'!$H$7:$H$100,$A331,'15m'!$I$7:$I$100,1)+SUMIFS('15n'!$J$7:$J$100,'15n'!$H$7:$H$100,$A331,'15n'!$I$7:$I$100,1)+SUMIFS('16'!$J$7:$J$100,'16'!$H$7:$H$100,$A331,'16'!$I$7:$I$100,1)+SUMIFS('16a'!$J$7:$J$100,'16a'!$H$7:$H$100,$A331,'16a'!$I$7:$I$100,1)+SUMIFS('17'!$J$7:$J$100,'17'!$H$7:$H$100,$A331,'17'!$I$7:$I$100,1)+SUMIFS('17a'!$J$7:$J$100,'17a'!$H$7:$H$100,$A331,'17a'!$I$7:$I$100,1)+SUMIFS('18'!$J$7:$J$100,'18'!$H$7:$H$100,$A331,'18'!$I$7:$I$100,1)+SUMIFS('18a'!$J$7:$J$100,'18a'!$H$7:$H$100,$A331,'18a'!$I$7:$I$100,1)
+SUMIFS('19'!$J$7:$J$100,'19'!$H$7:$H$100,$A331,'19'!$I$7:$I$100,1)+SUMIFS('20'!$J$7:$J$100,'20'!$H$7:$H$100,$A331,'20'!$I$7:$I$100,1)+SUMIFS('20a'!$J$7:$J$100,'20a'!$H$7:$H$100,$A331,'20a'!$I$7:$I$100,1)+SUMIFS('21'!$J$7:$J$100,'21'!$H$7:$H$100,$A331,'21'!$I$7:$I$100,1)+SUMIFS('22'!$J$7:$J$100,'22'!$H$7:$H$100,$A331,'22'!$I$7:$I$100,1)+SUMIFS('22a'!$J$7:$J$100,'22a'!$H$7:$H$100,$A331,'22a'!$I$7:$I$100,1)+SUMIFS('22b'!$J$7:$J$100,'22b'!$H$7:$H$100,$A331,'22b'!$I$7:$I$100,1)+SUMIFS('23'!$J$7:$J$100,'23'!$H$7:$H$100,$A331,'23'!$I$7:$I$100,1)+SUMIFS('24'!$J$7:$J$100,'24'!$H$7:$H$100,$A331,'24'!$I$7:$I$100,1)+SUMIFS('24a'!$J$7:$J$100,'24a'!$H$7:$H$100,$A331,'24a'!$I$7:$I$100,1)+SUMIFS('24b'!$J$7:$J$100,'24b'!$H$7:$H$100,$A331,'24b'!$I$7:$I$100,1)+SUMIFS('24c'!$J$7:$J$100,'24c'!$H$7:$H$100,$A331,'24c'!$I$7:$I$100,1)+SUMIFS('24d'!$J$7:$J$100,'24d'!$H$7:$H$100,$A331,'24d'!$I$7:$I$100,1)+SUMIFS('24e'!$J$7:$J$100,'24e'!$H$7:$H$100,$A331,'24e'!$I$7:$I$100,1)+SUMIFS('24f'!$J$7:$J$100,'24f'!$H$7:$H$100,$A331,'24f'!$I$7:$I$100,1)+SUMIFS('24g'!$J$7:$J$100,'24g'!$H$7:$H$100,$A331,'24g'!$I$7:$I$100,1)+SUMIFS('24h'!$J$7:$J$100,'24h'!$H$7:$H$100,$A331,'24h'!$I$7:$I$100,1)+SUMIFS('24i'!$J$7:$J$100,'24i'!$H$7:$H$100,$A331,'24i'!$I$7:$I$100,1)+SUMIFS('25'!$J$7:$J$100,'25'!$H$7:$H$100,$A331,'25'!$I$7:$I$100,1)+SUMIFS('26'!$J$7:$J$100,'26'!$H$7:$H$100,$A331,'26'!$I$7:$I$100,1)+SUMIFS('26a'!$J$7:$J$100,'26a'!$H$7:$H$100,$A331,'26a'!$I$7:$I$100,1)+SUMIFS('27'!$J$7:$J$100,'27'!$H$7:$H$100,$A331,'27'!$I$7:$I$100,1)+SUMIFS('27a'!$J$7:$J$100,'27a'!$H$7:$H$100,$A331,'27a'!$I$7:$I$100,1)+SUMIFS('28'!$J$7:$J$100,'28'!$H$7:$H$100,$A331,'28'!$I$7:$I$100,1)+SUMIFS('29'!$J$7:$J$100,'29'!$H$7:$H$100,$A331,'29'!$I$7:$I$100,1)</f>
        <v>0</v>
      </c>
      <c r="H331" s="1315">
        <f>SUMIFS('12'!$J$7:$J$100,'12'!$H$7:$H$100,$A331,'12'!$I$7:$I$100,2)+SUMIFS('13'!$J$7:$J$100,'13'!$H$7:$H$100,$A331,'13'!$I$7:$I$100,2)+SUMIFS('14'!$J$7:$J$100,'14'!$H$7:$H$100,$A331,'14'!$I$7:$I$100,2)+SUMIFS('15'!$J$7:$J$100,'15'!$H$7:$H$100,$A331,'15'!$I$7:$I$100,2)+SUMIFS('15a'!$J$7:$J$100,'15a'!$H$7:$H$100,$A331,'15a'!$I$7:$I$100,2)+SUMIFS('15b'!$J$7:$J$100,'15b'!$H$7:$H$100,$A331,'15b'!$I$7:$I$100,2)+SUMIFS('15c'!$J$7:$J$100,'15c'!$H$7:$H$100,$A331,'15c'!$I$7:$I$100,2)+SUMIFS('15d'!$J$7:$J$100,'15d'!$H$7:$H$100,$A331,'15d'!$I$7:$I$100,2)+SUMIFS('15e'!$J$7:$J$100,'15e'!$H$7:$H$100,$A331,'15e'!$I$7:$I$100,2)+SUMIFS('15f'!$J$7:$J$100,'15f'!$H$7:$H$100,$A331,'15f'!$I$7:$I$100,2)+SUMIFS('15g'!$J$7:$J$100,'15g'!$H$7:$H$100,$A331,'15g'!$I$7:$I$100,2)+SUMIFS('15h'!$J$7:$J$100,'15h'!$H$7:$H$100,$A331,'15h'!$I$7:$I$100,2)+SUMIFS('15i'!$J$7:$J$100,'15i'!$H$7:$H$100,$A331,'15i'!$I$7:$I$100,2)+SUMIFS('15j'!$J$7:$J$100,'15j'!$H$7:$H$100,$A331,'15j'!$I$7:$I$100,2)+SUMIFS('15k'!$J$7:$J$100,'15k'!$H$7:$H$100,$A331,'15k'!$I$7:$I$100,2)+SUMIFS('15l'!$J$7:$J$100,'15l'!$H$7:$H$100,$A331,'15l'!$I$7:$I$100,2)+SUMIFS('15m'!$J$7:$J$100,'15m'!$H$7:$H$100,$A331,'15m'!$I$7:$I$100,2)+SUMIFS('15n'!$J$7:$J$100,'15n'!$H$7:$H$100,$A331,'15n'!$I$7:$I$100,2)+SUMIFS('16'!$J$7:$J$100,'16'!$H$7:$H$100,$A331,'16'!$I$7:$I$100,2)+SUMIFS('16a'!$J$7:$J$100,'16a'!$H$7:$H$100,$A331,'16a'!$I$7:$I$100,2)+SUMIFS('17'!$J$7:$J$100,'17'!$H$7:$H$100,$A331,'17'!$I$7:$I$100,2)+SUMIFS('17a'!$J$7:$J$100,'17a'!$H$7:$H$100,$A331,'17a'!$I$7:$I$100,2)+SUMIFS('18'!$J$7:$J$100,'18'!$H$7:$H$100,$A331,'18'!$I$7:$I$100,2)+SUMIFS('18a'!$J$7:$J$100,'18a'!$H$7:$H$100,$A331,'18a'!$I$7:$I$100,2)
+SUMIFS('19'!$J$7:$J$100,'19'!$H$7:$H$100,$A331,'19'!$I$7:$I$100,2)+SUMIFS('20'!$J$7:$J$100,'20'!$H$7:$H$100,$A331,'20'!$I$7:$I$100,2)+SUMIFS('20a'!$J$7:$J$100,'20a'!$H$7:$H$100,$A331,'20a'!$I$7:$I$100,2)+SUMIFS('21'!$J$7:$J$100,'21'!$H$7:$H$100,$A331,'21'!$I$7:$I$100,2)+SUMIFS('22'!$J$7:$J$100,'22'!$H$7:$H$100,$A331,'22'!$I$7:$I$100,2)+SUMIFS('22a'!$J$7:$J$100,'22a'!$H$7:$H$100,$A331,'22a'!$I$7:$I$100,2)+SUMIFS('22b'!$J$7:$J$100,'22b'!$H$7:$H$100,$A331,'22b'!$I$7:$I$100,2)+SUMIFS('23'!$J$7:$J$100,'23'!$H$7:$H$100,$A331,'23'!$I$7:$I$100,2)+SUMIFS('24'!$J$7:$J$100,'24'!$H$7:$H$100,$A331,'24'!$I$7:$I$100,2)+SUMIFS('24a'!$J$7:$J$100,'24a'!$H$7:$H$100,$A331,'24a'!$I$7:$I$100,2)+SUMIFS('24b'!$J$7:$J$100,'24b'!$H$7:$H$100,$A331,'24b'!$I$7:$I$100,2)+SUMIFS('24c'!$J$7:$J$100,'24c'!$H$7:$H$100,$A331,'24c'!$I$7:$I$100,2)+SUMIFS('24d'!$J$7:$J$100,'24d'!$H$7:$H$100,$A331,'24d'!$I$7:$I$100,2)+SUMIFS('24e'!$J$7:$J$100,'24e'!$H$7:$H$100,$A331,'24e'!$I$7:$I$100,2)+SUMIFS('24f'!$J$7:$J$100,'24f'!$H$7:$H$100,$A331,'24f'!$I$7:$I$100,2)+SUMIFS('24g'!$J$7:$J$100,'24g'!$H$7:$H$100,$A331,'24g'!$I$7:$I$100,2)+SUMIFS('24h'!$J$7:$J$100,'24h'!$H$7:$H$100,$A331,'24h'!$I$7:$I$100,2)+SUMIFS('24i'!$J$7:$J$100,'24i'!$H$7:$H$100,$A331,'24i'!$I$7:$I$100,2)+SUMIFS('25'!$J$7:$J$100,'25'!$H$7:$H$100,$A331,'25'!$I$7:$I$100,2)+SUMIFS('26'!$J$7:$J$100,'26'!$H$7:$H$100,$A331,'26'!$I$7:$I$100,2)+SUMIFS('26a'!$J$7:$J$100,'26a'!$H$7:$H$100,$A331,'26a'!$I$7:$I$100,2)+SUMIFS('27'!$J$7:$J$100,'27'!$H$7:$H$100,$A331,'27'!$I$7:$I$100,2)+SUMIFS('27a'!$J$7:$J$100,'27a'!$H$7:$H$100,$A331,'27a'!$I$7:$I$100,2)+SUMIFS('28'!$J$7:$J$100,'28'!$H$7:$H$100,$A331,'28'!$I$7:$I$100,2)+SUMIFS('29'!$J$7:$J$100,'29'!$H$7:$H$100,$A331,'29'!$I$7:$I$100,2)</f>
        <v>0</v>
      </c>
      <c r="I331" s="1315">
        <f>SUMIFS('12'!$J$7:$J$100,'12'!$H$7:$H$100,$A331,'12'!$I$7:$I$100,"")+SUMIFS('13'!$J$7:$J$100,'13'!$H$7:$H$100,$A331,'13'!$I$7:$I$100,"")+SUMIFS('14'!$J$7:$J$100,'14'!$H$7:$H$100,$A331,'14'!$I$7:$I$100,"")+SUMIFS('15'!$J$7:$J$100,'15'!$H$7:$H$100,$A331,'15'!$I$7:$I$100,"")+SUMIFS('15a'!$J$7:$J$100,'15a'!$H$7:$H$100,$A331,'15a'!$I$7:$I$100,"")+SUMIFS('15b'!$J$7:$J$100,'15b'!$H$7:$H$100,$A331,'15b'!$I$7:$I$100,"")+SUMIFS('15c'!$J$7:$J$100,'15c'!$H$7:$H$100,$A331,'15c'!$I$7:$I$100,"")+SUMIFS('15d'!$J$7:$J$100,'15d'!$H$7:$H$100,$A331,'15d'!$I$7:$I$100,"")+SUMIFS('15e'!$J$7:$J$100,'15e'!$H$7:$H$100,$A331,'15e'!$I$7:$I$100,"")+SUMIFS('15f'!$J$7:$J$100,'15f'!$H$7:$H$100,$A331,'15f'!$I$7:$I$100,"")+SUMIFS('15g'!$J$7:$J$100,'15g'!$H$7:$H$100,$A331,'15g'!$I$7:$I$100,"")+SUMIFS('15h'!$J$7:$J$100,'15h'!$H$7:$H$100,$A331,'15h'!$I$7:$I$100,"")+SUMIFS('15i'!$J$7:$J$100,'15i'!$H$7:$H$100,$A331,'15i'!$I$7:$I$100,"")+SUMIFS('15j'!$J$7:$J$100,'15j'!$H$7:$H$100,$A331,'15j'!$I$7:$I$100,"")+SUMIFS('15k'!$J$7:$J$100,'15k'!$H$7:$H$100,$A331,'15k'!$I$7:$I$100,"")+SUMIFS('15l'!$J$7:$J$100,'15l'!$H$7:$H$100,$A331,'15l'!$I$7:$I$100,"")+SUMIFS('15m'!$J$7:$J$100,'15m'!$H$7:$H$100,$A331,'15m'!$I$7:$I$100,"")+SUMIFS('15n'!$J$7:$J$100,'15n'!$H$7:$H$100,$A331,'15n'!$I$7:$I$100,"")+SUMIFS('16'!$J$7:$J$100,'16'!$H$7:$H$100,$A331,'16'!$I$7:$I$100,"")+SUMIFS('16a'!$J$7:$J$100,'16a'!$H$7:$H$100,$A331,'16a'!$I$7:$I$100,"")+SUMIFS('17'!$J$7:$J$100,'17'!$H$7:$H$100,$A331,'17'!$I$7:$I$100,"")+SUMIFS('17a'!$J$7:$J$100,'17a'!$H$7:$H$100,$A331,'17a'!$I$7:$I$100,"")+SUMIFS('18'!$J$7:$J$100,'18'!$H$7:$H$100,$A331,'18'!$I$7:$I$100,"")+SUMIFS('18a'!$J$7:$J$100,'18a'!$H$7:$H$100,$A331,'18a'!$I$7:$I$100,"")
+SUMIFS('19'!$J$7:$J$100,'19'!$H$7:$H$100,$A331,'19'!$I$7:$I$100,"")+SUMIFS('20'!$J$7:$J$100,'20'!$H$7:$H$100,$A331,'20'!$I$7:$I$100,"")+SUMIFS('20a'!$J$7:$J$100,'20a'!$H$7:$H$100,$A331,'20a'!$I$7:$I$100,"")+SUMIFS('21'!$J$7:$J$100,'21'!$H$7:$H$100,$A331,'21'!$I$7:$I$100,"")+SUMIFS('22'!$J$7:$J$100,'22'!$H$7:$H$100,$A331,'22'!$I$7:$I$100,"")+SUMIFS('22a'!$J$7:$J$100,'22a'!$H$7:$H$100,$A331,'22a'!$I$7:$I$100,"")+SUMIFS('22b'!$J$7:$J$100,'22b'!$H$7:$H$100,$A331,'22b'!$I$7:$I$100,"")+SUMIFS('23'!$J$7:$J$100,'23'!$H$7:$H$100,$A331,'23'!$I$7:$I$100,"")+SUMIFS('24'!$J$7:$J$100,'24'!$H$7:$H$100,$A331,'24'!$I$7:$I$100,"")+SUMIFS('24a'!$J$7:$J$100,'24a'!$H$7:$H$100,$A331,'24a'!$I$7:$I$100,"")+SUMIFS('24b'!$J$7:$J$100,'24b'!$H$7:$H$100,$A331,'24b'!$I$7:$I$100,"")+SUMIFS('24c'!$J$7:$J$100,'24c'!$H$7:$H$100,$A331,'24c'!$I$7:$I$100,"")+SUMIFS('24d'!$J$7:$J$100,'24d'!$H$7:$H$100,$A331,'24d'!$I$7:$I$100,"")+SUMIFS('24e'!$J$7:$J$100,'24e'!$H$7:$H$100,$A331,'24e'!$I$7:$I$100,"")+SUMIFS('24f'!$J$7:$J$100,'24f'!$H$7:$H$100,$A331,'24f'!$I$7:$I$100,"")+SUMIFS('24g'!$J$7:$J$100,'24g'!$H$7:$H$100,$A331,'24g'!$I$7:$I$100,"")+SUMIFS('24h'!$J$7:$J$100,'24h'!$H$7:$H$100,$A331,'24h'!$I$7:$I$100,"")+SUMIFS('24i'!$J$7:$J$100,'24i'!$H$7:$H$100,$A331,'24i'!$I$7:$I$100,"")+SUMIFS('25'!$J$7:$J$100,'25'!$H$7:$H$100,$A331,'25'!$I$7:$I$100,"")+SUMIFS('26'!$J$7:$J$100,'26'!$H$7:$H$100,$A331,'26'!$I$7:$I$100,"")+SUMIFS('26a'!$J$7:$J$100,'26a'!$H$7:$H$100,$A331,'26a'!$I$7:$I$100,"")+SUMIFS('27'!$J$7:$J$100,'27'!$H$7:$H$100,$A331,'27'!$I$7:$I$100,"")+SUMIFS('27a'!$J$7:$J$100,'27a'!$H$7:$H$100,$A331,'27a'!$I$7:$I$100,"")+SUMIFS('28'!$J$7:$J$100,'28'!$H$7:$H$100,$A331,'28'!$I$7:$I$100,"")+SUMIFS('29'!$J$7:$J$100,'29'!$H$7:$H$100,$A331,'29'!$I$7:$I$100,"")</f>
        <v>0</v>
      </c>
      <c r="J331" s="1296">
        <f t="shared" si="44"/>
        <v>0</v>
      </c>
      <c r="K331"/>
      <c r="L331"/>
      <c r="M331"/>
      <c r="N331"/>
      <c r="O331"/>
      <c r="P331"/>
      <c r="Q331"/>
      <c r="R331"/>
      <c r="S331" s="1307">
        <f t="shared" si="30"/>
        <v>0</v>
      </c>
      <c r="T331"/>
    </row>
    <row r="332" spans="1:20" x14ac:dyDescent="0.2">
      <c r="A332" t="s">
        <v>5203</v>
      </c>
      <c r="B332" t="s">
        <v>5544</v>
      </c>
      <c r="C332" s="1295">
        <f>SUMIFS('12'!$N$7:$N$100,'12'!$H$7:$H$100,$A332,'12'!$I$7:$I$100,1)+SUMIFS('13'!$N$7:$N$100,'13'!$H$7:$H$100,$A332,'13'!$I$7:$I$100,1)+SUMIFS('14'!$N$7:$N$100,'14'!$H$7:$H$100,$A332,'14'!$I$7:$I$100,1)+SUMIFS('15'!$N$7:$N$100,'15'!$H$7:$H$100,$A332,'15'!$I$7:$I$100,1)+SUMIFS('15a'!$N$7:$N$100,'15a'!$H$7:$H$100,$A332,'15a'!$I$7:$I$100,1)+SUMIFS('15b'!$N$7:$N$100,'15b'!$H$7:$H$100,$A332,'15b'!$I$7:$I$100,1)+SUMIFS('15c'!$N$7:$N$100,'15c'!$H$7:$H$100,$A332,'15c'!$I$7:$I$100,1)+SUMIFS('15d'!$N$7:$N$100,'15d'!$H$7:$H$100,$A332,'15d'!$I$7:$I$100,1)+SUMIFS('15e'!$N$7:$N$100,'15e'!$H$7:$H$100,$A332,'15e'!$I$7:$I$100,1)+SUMIFS('15f'!$N$7:$N$100,'15f'!$H$7:$H$100,$A332,'15f'!$I$7:$I$100,1)+SUMIFS('15g'!$N$7:$N$100,'15g'!$H$7:$H$100,$A332,'15g'!$I$7:$I$100,1)+SUMIFS('15h'!$N$7:$N$100,'15h'!$H$7:$H$100,$A332,'15h'!$I$7:$I$100,1)+SUMIFS('15i'!$N$7:$N$100,'15i'!$H$7:$H$100,$A332,'15i'!$I$7:$I$100,1)+SUMIFS('15j'!$N$7:$N$100,'15j'!$H$7:$H$100,$A332,'15j'!$I$7:$I$100,1)+SUMIFS('15k'!$N$7:$N$100,'15k'!$H$7:$H$100,$A332,'15k'!$I$7:$I$100,1)+SUMIFS('15l'!$N$7:$N$100,'15l'!$H$7:$H$100,$A332,'15l'!$I$7:$I$100,1)+SUMIFS('15m'!$N$7:$N$100,'15m'!$H$7:$H$100,$A332,'15m'!$I$7:$I$100,1)+SUMIFS('15n'!$N$7:$N$100,'15n'!$H$7:$H$100,$A332,'15n'!$I$7:$I$100,1)+SUMIFS('16'!$N$7:$N$100,'16'!$H$7:$H$100,$A332,'16'!$I$7:$I$100,1)+SUMIFS('16a'!$N$7:$N$100,'16a'!$H$7:$H$100,$A332,'16a'!$I$7:$I$100,1)+SUMIFS('17'!$N$7:$N$100,'17'!$H$7:$H$100,$A332,'17'!$I$7:$I$100,1)+SUMIFS('17a'!$N$7:$N$100,'17a'!$H$7:$H$100,$A332,'17a'!$I$7:$I$100,1)+SUMIFS('18'!$N$7:$N$100,'18'!$H$7:$H$100,$A332,'18'!$I$7:$I$100,1)+SUMIFS('18a'!$N$7:$N$100,'18a'!$H$7:$H$100,$A332,'18a'!$I$7:$I$100,1)
+SUMIFS('19'!$N$7:$N$100,'19'!$H$7:$H$100,$A332,'19'!$I$7:$I$100,1)+SUMIFS('20'!$N$7:$N$100,'20'!$H$7:$H$100,$A332,'20'!$I$7:$I$100,1)+SUMIFS('20a'!$N$7:$N$100,'20a'!$H$7:$H$100,$A332,'20a'!$I$7:$I$100,1)+SUMIFS('21'!$N$7:$N$100,'21'!$H$7:$H$100,$A332,'21'!$I$7:$I$100,1)+SUMIFS('22'!$N$7:$N$100,'22'!$H$7:$H$100,$A332,'22'!$I$7:$I$100,1)+SUMIFS('22a'!$N$7:$N$100,'22a'!$H$7:$H$100,$A332,'22a'!$I$7:$I$100,1)+SUMIFS('22b'!$N$7:$N$100,'22b'!$H$7:$H$100,$A332,'22b'!$I$7:$I$100,1)+SUMIFS('23'!$N$7:$N$100,'23'!$H$7:$H$100,$A332,'23'!$I$7:$I$100,1)+SUMIFS('24'!$N$7:$N$100,'24'!$H$7:$H$100,$A332,'24'!$I$7:$I$100,1)+SUMIFS('24a'!$N$7:$N$100,'24a'!$H$7:$H$100,$A332,'24a'!$I$7:$I$100,1)+SUMIFS('24b'!$N$7:$N$100,'24b'!$H$7:$H$100,$A332,'24b'!$I$7:$I$100,1)+SUMIFS('24c'!$N$7:$N$100,'24c'!$H$7:$H$100,$A332,'24c'!$I$7:$I$100,1)+SUMIFS('24d'!$N$7:$N$100,'24d'!$H$7:$H$100,$A332,'24d'!$I$7:$I$100,1)+SUMIFS('24e'!$N$7:$N$100,'24e'!$H$7:$H$100,$A332,'24e'!$I$7:$I$100,1)+SUMIFS('24f'!$N$7:$N$100,'24f'!$H$7:$H$100,$A332,'24f'!$I$7:$I$100,1)+SUMIFS('24g'!$N$7:$N$100,'24g'!$H$7:$H$100,$A332,'24g'!$I$7:$I$100,1)+SUMIFS('24h'!$N$7:$N$100,'24h'!$H$7:$H$100,$A332,'24h'!$I$7:$I$100,1)+SUMIFS('24i'!$N$7:$N$100,'24i'!$H$7:$H$100,$A332,'24i'!$I$7:$I$100,1)+SUMIFS('25'!$N$7:$N$100,'25'!$H$7:$H$100,$A332,'25'!$I$7:$I$100,1)+SUMIFS('26'!$N$7:$N$100,'26'!$H$7:$H$100,$A332,'26'!$I$7:$I$100,1)+SUMIFS('26a'!$N$7:$N$100,'26a'!$H$7:$H$100,$A332,'26a'!$I$7:$I$100,1)+SUMIFS('27'!$N$7:$N$100,'27'!$H$7:$H$100,$A332,'27'!$I$7:$I$100,1)+SUMIFS('27a'!$N$7:$N$100,'27a'!$H$7:$H$100,$A332,'27a'!$I$7:$I$100,1)+SUMIFS('28'!$N$7:$N$100,'28'!$H$7:$H$100,$A332,'28'!$I$7:$I$100,1)+SUMIFS('29'!$N$7:$N$100,'29'!$H$7:$H$100,$A332,'29'!$I$7:$I$100,1)</f>
        <v>0</v>
      </c>
      <c r="D332" s="1315">
        <f>SUMIFS('12'!$N$7:$N$100,'12'!$H$7:$H$100,$A332,'12'!$I$7:$I$100,2)+SUMIFS('13'!$N$7:$N$100,'13'!$H$7:$H$100,$A332,'13'!$I$7:$I$100,2)+SUMIFS('14'!$N$7:$N$100,'14'!$H$7:$H$100,$A332,'14'!$I$7:$I$100,2)+SUMIFS('15'!$N$7:$N$100,'15'!$H$7:$H$100,$A332,'15'!$I$7:$I$100,2)+SUMIFS('15a'!$N$7:$N$100,'15a'!$H$7:$H$100,$A332,'15a'!$I$7:$I$100,2)+SUMIFS('15b'!$N$7:$N$100,'15b'!$H$7:$H$100,$A332,'15b'!$I$7:$I$100,2)+SUMIFS('15c'!$N$7:$N$100,'15c'!$H$7:$H$100,$A332,'15c'!$I$7:$I$100,2)+SUMIFS('15d'!$N$7:$N$100,'15d'!$H$7:$H$100,$A332,'15d'!$I$7:$I$100,2)+SUMIFS('15e'!$N$7:$N$100,'15e'!$H$7:$H$100,$A332,'15e'!$I$7:$I$100,2)+SUMIFS('15f'!$N$7:$N$100,'15f'!$H$7:$H$100,$A332,'15f'!$I$7:$I$100,2)+SUMIFS('15g'!$N$7:$N$100,'15g'!$H$7:$H$100,$A332,'15g'!$I$7:$I$100,2)+SUMIFS('15h'!$N$7:$N$100,'15h'!$H$7:$H$100,$A332,'15h'!$I$7:$I$100,2)+SUMIFS('15i'!$N$7:$N$100,'15i'!$H$7:$H$100,$A332,'15i'!$I$7:$I$100,2)+SUMIFS('15j'!$N$7:$N$100,'15j'!$H$7:$H$100,$A332,'15j'!$I$7:$I$100,2)+SUMIFS('15k'!$N$7:$N$100,'15k'!$H$7:$H$100,$A332,'15k'!$I$7:$I$100,2)+SUMIFS('15l'!$N$7:$N$100,'15l'!$H$7:$H$100,$A332,'15l'!$I$7:$I$100,2)+SUMIFS('15m'!$N$7:$N$100,'15m'!$H$7:$H$100,$A332,'15m'!$I$7:$I$100,2)+SUMIFS('15n'!$N$7:$N$100,'15n'!$H$7:$H$100,$A332,'15n'!$I$7:$I$100,2)+SUMIFS('16'!$N$7:$N$100,'16'!$H$7:$H$100,$A332,'16'!$I$7:$I$100,2)+SUMIFS('16a'!$N$7:$N$100,'16a'!$H$7:$H$100,$A332,'16a'!$I$7:$I$100,2)+SUMIFS('17'!$N$7:$N$100,'17'!$H$7:$H$100,$A332,'17'!$I$7:$I$100,2)+SUMIFS('17a'!$N$7:$N$100,'17a'!$H$7:$H$100,$A332,'17a'!$I$7:$I$100,2)+SUMIFS('18'!$N$7:$N$100,'18'!$H$7:$H$100,$A332,'18'!$I$7:$I$100,2)+SUMIFS('18a'!$N$7:$N$100,'18a'!$H$7:$H$100,$A332,'18a'!$I$7:$I$100,2)
+SUMIFS('19'!$N$7:$N$100,'19'!$H$7:$H$100,$A332,'19'!$I$7:$I$100,2)+SUMIFS('20'!$N$7:$N$100,'20'!$H$7:$H$100,$A332,'20'!$I$7:$I$100,2)+SUMIFS('20a'!$N$7:$N$100,'20a'!$H$7:$H$100,$A332,'20a'!$I$7:$I$100,2)+SUMIFS('21'!$N$7:$N$100,'21'!$H$7:$H$100,$A332,'21'!$I$7:$I$100,2)+SUMIFS('22'!$N$7:$N$100,'22'!$H$7:$H$100,$A332,'22'!$I$7:$I$100,2)+SUMIFS('22a'!$N$7:$N$100,'22a'!$H$7:$H$100,$A332,'22a'!$I$7:$I$100,2)+SUMIFS('22b'!$N$7:$N$100,'22b'!$H$7:$H$100,$A332,'22b'!$I$7:$I$100,2)+SUMIFS('23'!$N$7:$N$100,'23'!$H$7:$H$100,$A332,'23'!$I$7:$I$100,2)+SUMIFS('24'!$N$7:$N$100,'24'!$H$7:$H$100,$A332,'24'!$I$7:$I$100,2)+SUMIFS('24a'!$N$7:$N$100,'24a'!$H$7:$H$100,$A332,'24a'!$I$7:$I$100,2)+SUMIFS('24b'!$N$7:$N$100,'24b'!$H$7:$H$100,$A332,'24b'!$I$7:$I$100,2)+SUMIFS('24c'!$N$7:$N$100,'24c'!$H$7:$H$100,$A332,'24c'!$I$7:$I$100,2)+SUMIFS('24d'!$N$7:$N$100,'24d'!$H$7:$H$100,$A332,'24d'!$I$7:$I$100,2)+SUMIFS('24e'!$N$7:$N$100,'24e'!$H$7:$H$100,$A332,'24e'!$I$7:$I$100,2)+SUMIFS('24f'!$N$7:$N$100,'24f'!$H$7:$H$100,$A332,'24f'!$I$7:$I$100,2)+SUMIFS('24g'!$N$7:$N$100,'24g'!$H$7:$H$100,$A332,'24g'!$I$7:$I$100,2)+SUMIFS('24h'!$N$7:$N$100,'24h'!$H$7:$H$100,$A332,'24h'!$I$7:$I$100,2)+SUMIFS('24i'!$N$7:$N$100,'24i'!$H$7:$H$100,$A332,'24i'!$I$7:$I$100,2)+SUMIFS('25'!$N$7:$N$100,'25'!$H$7:$H$100,$A332,'25'!$I$7:$I$100,2)+SUMIFS('26'!$N$7:$N$100,'26'!$H$7:$H$100,$A332,'26'!$I$7:$I$100,2)+SUMIFS('26a'!$N$7:$N$100,'26a'!$H$7:$H$100,$A332,'26a'!$I$7:$I$100,2)+SUMIFS('27'!$N$7:$N$100,'27'!$H$7:$H$100,$A332,'27'!$I$7:$I$100,2)+SUMIFS('27a'!$N$7:$N$100,'27a'!$H$7:$H$100,$A332,'27a'!$I$7:$I$100,2)+SUMIFS('28'!$N$7:$N$100,'28'!$H$7:$H$100,$A332,'28'!$I$7:$I$100,2)+SUMIFS('29'!$N$7:$N$100,'29'!$H$7:$H$100,$A332,'29'!$I$7:$I$100,2)</f>
        <v>0</v>
      </c>
      <c r="E332" s="1315">
        <f>SUMIFS('12'!$N$7:$N$100,'12'!$H$7:$H$100,$A332,'12'!$I$7:$I$100,"")+SUMIFS('13'!$N$7:$N$100,'13'!$H$7:$H$100,$A332,'13'!$I$7:$I$100,"")+SUMIFS('14'!$N$7:$N$100,'14'!$H$7:$H$100,$A332,'14'!$I$7:$I$100,"")+SUMIFS('15'!$N$7:$N$100,'15'!$H$7:$H$100,$A332,'15'!$I$7:$I$100,"")+SUMIFS('15a'!$N$7:$N$100,'15a'!$H$7:$H$100,$A332,'15a'!$I$7:$I$100,"")+SUMIFS('15b'!$N$7:$N$100,'15b'!$H$7:$H$100,$A332,'15b'!$I$7:$I$100,"")+SUMIFS('15c'!$N$7:$N$100,'15c'!$H$7:$H$100,$A332,'15c'!$I$7:$I$100,"")+SUMIFS('15d'!$N$7:$N$100,'15d'!$H$7:$H$100,$A332,'15d'!$I$7:$I$100,"")+SUMIFS('15e'!$N$7:$N$100,'15e'!$H$7:$H$100,$A332,'15e'!$I$7:$I$100,"")+SUMIFS('15f'!$N$7:$N$100,'15f'!$H$7:$H$100,$A332,'15f'!$I$7:$I$100,"")+SUMIFS('15g'!$N$7:$N$100,'15g'!$H$7:$H$100,$A332,'15g'!$I$7:$I$100,"")+SUMIFS('15h'!$N$7:$N$100,'15h'!$H$7:$H$100,$A332,'15h'!$I$7:$I$100,"")+SUMIFS('15i'!$N$7:$N$100,'15i'!$H$7:$H$100,$A332,'15i'!$I$7:$I$100,"")+SUMIFS('15j'!$N$7:$N$100,'15j'!$H$7:$H$100,$A332,'15j'!$I$7:$I$100,"")+SUMIFS('15k'!$N$7:$N$100,'15k'!$H$7:$H$100,$A332,'15k'!$I$7:$I$100,"")+SUMIFS('15l'!$N$7:$N$100,'15l'!$H$7:$H$100,$A332,'15l'!$I$7:$I$100,"")+SUMIFS('15m'!$N$7:$N$100,'15m'!$H$7:$H$100,$A332,'15m'!$I$7:$I$100,"")+SUMIFS('15n'!$N$7:$N$100,'15n'!$H$7:$H$100,$A332,'15n'!$I$7:$I$100,"")+SUMIFS('16'!$N$7:$N$100,'16'!$H$7:$H$100,$A332,'16'!$I$7:$I$100,"")+SUMIFS('16a'!$N$7:$N$100,'16a'!$H$7:$H$100,$A332,'16a'!$I$7:$I$100,"")+SUMIFS('17'!$N$7:$N$100,'17'!$H$7:$H$100,$A332,'17'!$I$7:$I$100,"")+SUMIFS('17a'!$N$7:$N$100,'17a'!$H$7:$H$100,$A332,'17a'!$I$7:$I$100,"")+SUMIFS('18'!$N$7:$N$100,'18'!$H$7:$H$100,$A332,'18'!$I$7:$I$100,"")+SUMIFS('18a'!$N$7:$N$100,'18a'!$H$7:$H$100,$A332,'18a'!$I$7:$I$100,"")
+SUMIFS('19'!$N$7:$N$100,'19'!$H$7:$H$100,$A332,'19'!$I$7:$I$100,"")+SUMIFS('20'!$N$7:$N$100,'20'!$H$7:$H$100,$A332,'20'!$I$7:$I$100,"")+SUMIFS('20a'!$N$7:$N$100,'20a'!$H$7:$H$100,$A332,'20a'!$I$7:$I$100,"")+SUMIFS('21'!$N$7:$N$100,'21'!$H$7:$H$100,$A332,'21'!$I$7:$I$100,"")+SUMIFS('22'!$N$7:$N$100,'22'!$H$7:$H$100,$A332,'22'!$I$7:$I$100,"")+SUMIFS('22a'!$N$7:$N$100,'22a'!$H$7:$H$100,$A332,'22a'!$I$7:$I$100,"")+SUMIFS('22b'!$N$7:$N$100,'22b'!$H$7:$H$100,$A332,'22b'!$I$7:$I$100,"")+SUMIFS('23'!$N$7:$N$100,'23'!$H$7:$H$100,$A332,'23'!$I$7:$I$100,"")+SUMIFS('24'!$N$7:$N$100,'24'!$H$7:$H$100,$A332,'24'!$I$7:$I$100,"")+SUMIFS('24a'!$N$7:$N$100,'24a'!$H$7:$H$100,$A332,'24a'!$I$7:$I$100,"")+SUMIFS('24b'!$N$7:$N$100,'24b'!$H$7:$H$100,$A332,'24b'!$I$7:$I$100,"")+SUMIFS('24c'!$N$7:$N$100,'24c'!$H$7:$H$100,$A332,'24c'!$I$7:$I$100,"")+SUMIFS('24d'!$N$7:$N$100,'24d'!$H$7:$H$100,$A332,'24d'!$I$7:$I$100,"")+SUMIFS('24e'!$N$7:$N$100,'24e'!$H$7:$H$100,$A332,'24e'!$I$7:$I$100,"")+SUMIFS('24f'!$N$7:$N$100,'24f'!$H$7:$H$100,$A332,'24f'!$I$7:$I$100,"")+SUMIFS('24g'!$N$7:$N$100,'24g'!$H$7:$H$100,$A332,'24g'!$I$7:$I$100,"")+SUMIFS('24h'!$N$7:$N$100,'24h'!$H$7:$H$100,$A332,'24h'!$I$7:$I$100,"")+SUMIFS('24i'!$N$7:$N$100,'24i'!$H$7:$H$100,$A332,'24i'!$I$7:$I$100,"")+SUMIFS('25'!$N$7:$N$100,'25'!$H$7:$H$100,$A332,'25'!$I$7:$I$100,"")+SUMIFS('26'!$N$7:$N$100,'26'!$H$7:$H$100,$A332,'26'!$I$7:$I$100,"")+SUMIFS('26a'!$N$7:$N$100,'26a'!$H$7:$H$100,$A332,'26a'!$I$7:$I$100,"")+SUMIFS('27'!$N$7:$N$100,'27'!$H$7:$H$100,$A332,'27'!$I$7:$I$100,"")+SUMIFS('27a'!$N$7:$N$100,'27a'!$H$7:$H$100,$A332,'27a'!$I$7:$I$100,"")+SUMIFS('28'!$N$7:$N$100,'28'!$H$7:$H$100,$A332,'28'!$I$7:$I$100,"")+SUMIFS('29'!$N$7:$N$100,'29'!$H$7:$H$100,$A332,'29'!$I$7:$I$100,"")</f>
        <v>0</v>
      </c>
      <c r="F332" s="1296">
        <f t="shared" si="43"/>
        <v>0</v>
      </c>
      <c r="G332" s="1295">
        <f>SUMIFS('12'!$J$7:$J$100,'12'!$H$7:$H$100,$A332,'12'!$I$7:$I$100,1)+SUMIFS('13'!$J$7:$J$100,'13'!$H$7:$H$100,$A332,'13'!$I$7:$I$100,1)+SUMIFS('14'!$J$7:$J$100,'14'!$H$7:$H$100,$A332,'14'!$I$7:$I$100,1)+SUMIFS('15'!$J$7:$J$100,'15'!$H$7:$H$100,$A332,'15'!$I$7:$I$100,1)+SUMIFS('15a'!$J$7:$J$100,'15a'!$H$7:$H$100,$A332,'15a'!$I$7:$I$100,1)+SUMIFS('15b'!$J$7:$J$100,'15b'!$H$7:$H$100,$A332,'15b'!$I$7:$I$100,1)+SUMIFS('15c'!$J$7:$J$100,'15c'!$H$7:$H$100,$A332,'15c'!$I$7:$I$100,1)+SUMIFS('15d'!$J$7:$J$100,'15d'!$H$7:$H$100,$A332,'15d'!$I$7:$I$100,1)+SUMIFS('15e'!$J$7:$J$100,'15e'!$H$7:$H$100,$A332,'15e'!$I$7:$I$100,1)+SUMIFS('15f'!$J$7:$J$100,'15f'!$H$7:$H$100,$A332,'15f'!$I$7:$I$100,1)+SUMIFS('15g'!$J$7:$J$100,'15g'!$H$7:$H$100,$A332,'15g'!$I$7:$I$100,1)+SUMIFS('15h'!$J$7:$J$100,'15h'!$H$7:$H$100,$A332,'15h'!$I$7:$I$100,1)+SUMIFS('15i'!$J$7:$J$100,'15i'!$H$7:$H$100,$A332,'15i'!$I$7:$I$100,1)+SUMIFS('15j'!$J$7:$J$100,'15j'!$H$7:$H$100,$A332,'15j'!$I$7:$I$100,1)+SUMIFS('15k'!$J$7:$J$100,'15k'!$H$7:$H$100,$A332,'15k'!$I$7:$I$100,1)+SUMIFS('15l'!$J$7:$J$100,'15l'!$H$7:$H$100,$A332,'15l'!$I$7:$I$100,1)+SUMIFS('15m'!$J$7:$J$100,'15m'!$H$7:$H$100,$A332,'15m'!$I$7:$I$100,1)+SUMIFS('15n'!$J$7:$J$100,'15n'!$H$7:$H$100,$A332,'15n'!$I$7:$I$100,1)+SUMIFS('16'!$J$7:$J$100,'16'!$H$7:$H$100,$A332,'16'!$I$7:$I$100,1)+SUMIFS('16a'!$J$7:$J$100,'16a'!$H$7:$H$100,$A332,'16a'!$I$7:$I$100,1)+SUMIFS('17'!$J$7:$J$100,'17'!$H$7:$H$100,$A332,'17'!$I$7:$I$100,1)+SUMIFS('17a'!$J$7:$J$100,'17a'!$H$7:$H$100,$A332,'17a'!$I$7:$I$100,1)+SUMIFS('18'!$J$7:$J$100,'18'!$H$7:$H$100,$A332,'18'!$I$7:$I$100,1)+SUMIFS('18a'!$J$7:$J$100,'18a'!$H$7:$H$100,$A332,'18a'!$I$7:$I$100,1)
+SUMIFS('19'!$J$7:$J$100,'19'!$H$7:$H$100,$A332,'19'!$I$7:$I$100,1)+SUMIFS('20'!$J$7:$J$100,'20'!$H$7:$H$100,$A332,'20'!$I$7:$I$100,1)+SUMIFS('20a'!$J$7:$J$100,'20a'!$H$7:$H$100,$A332,'20a'!$I$7:$I$100,1)+SUMIFS('21'!$J$7:$J$100,'21'!$H$7:$H$100,$A332,'21'!$I$7:$I$100,1)+SUMIFS('22'!$J$7:$J$100,'22'!$H$7:$H$100,$A332,'22'!$I$7:$I$100,1)+SUMIFS('22a'!$J$7:$J$100,'22a'!$H$7:$H$100,$A332,'22a'!$I$7:$I$100,1)+SUMIFS('22b'!$J$7:$J$100,'22b'!$H$7:$H$100,$A332,'22b'!$I$7:$I$100,1)+SUMIFS('23'!$J$7:$J$100,'23'!$H$7:$H$100,$A332,'23'!$I$7:$I$100,1)+SUMIFS('24'!$J$7:$J$100,'24'!$H$7:$H$100,$A332,'24'!$I$7:$I$100,1)+SUMIFS('24a'!$J$7:$J$100,'24a'!$H$7:$H$100,$A332,'24a'!$I$7:$I$100,1)+SUMIFS('24b'!$J$7:$J$100,'24b'!$H$7:$H$100,$A332,'24b'!$I$7:$I$100,1)+SUMIFS('24c'!$J$7:$J$100,'24c'!$H$7:$H$100,$A332,'24c'!$I$7:$I$100,1)+SUMIFS('24d'!$J$7:$J$100,'24d'!$H$7:$H$100,$A332,'24d'!$I$7:$I$100,1)+SUMIFS('24e'!$J$7:$J$100,'24e'!$H$7:$H$100,$A332,'24e'!$I$7:$I$100,1)+SUMIFS('24f'!$J$7:$J$100,'24f'!$H$7:$H$100,$A332,'24f'!$I$7:$I$100,1)+SUMIFS('24g'!$J$7:$J$100,'24g'!$H$7:$H$100,$A332,'24g'!$I$7:$I$100,1)+SUMIFS('24h'!$J$7:$J$100,'24h'!$H$7:$H$100,$A332,'24h'!$I$7:$I$100,1)+SUMIFS('24i'!$J$7:$J$100,'24i'!$H$7:$H$100,$A332,'24i'!$I$7:$I$100,1)+SUMIFS('25'!$J$7:$J$100,'25'!$H$7:$H$100,$A332,'25'!$I$7:$I$100,1)+SUMIFS('26'!$J$7:$J$100,'26'!$H$7:$H$100,$A332,'26'!$I$7:$I$100,1)+SUMIFS('26a'!$J$7:$J$100,'26a'!$H$7:$H$100,$A332,'26a'!$I$7:$I$100,1)+SUMIFS('27'!$J$7:$J$100,'27'!$H$7:$H$100,$A332,'27'!$I$7:$I$100,1)+SUMIFS('27a'!$J$7:$J$100,'27a'!$H$7:$H$100,$A332,'27a'!$I$7:$I$100,1)+SUMIFS('28'!$J$7:$J$100,'28'!$H$7:$H$100,$A332,'28'!$I$7:$I$100,1)+SUMIFS('29'!$J$7:$J$100,'29'!$H$7:$H$100,$A332,'29'!$I$7:$I$100,1)</f>
        <v>0</v>
      </c>
      <c r="H332" s="1315">
        <f>SUMIFS('12'!$J$7:$J$100,'12'!$H$7:$H$100,$A332,'12'!$I$7:$I$100,2)+SUMIFS('13'!$J$7:$J$100,'13'!$H$7:$H$100,$A332,'13'!$I$7:$I$100,2)+SUMIFS('14'!$J$7:$J$100,'14'!$H$7:$H$100,$A332,'14'!$I$7:$I$100,2)+SUMIFS('15'!$J$7:$J$100,'15'!$H$7:$H$100,$A332,'15'!$I$7:$I$100,2)+SUMIFS('15a'!$J$7:$J$100,'15a'!$H$7:$H$100,$A332,'15a'!$I$7:$I$100,2)+SUMIFS('15b'!$J$7:$J$100,'15b'!$H$7:$H$100,$A332,'15b'!$I$7:$I$100,2)+SUMIFS('15c'!$J$7:$J$100,'15c'!$H$7:$H$100,$A332,'15c'!$I$7:$I$100,2)+SUMIFS('15d'!$J$7:$J$100,'15d'!$H$7:$H$100,$A332,'15d'!$I$7:$I$100,2)+SUMIFS('15e'!$J$7:$J$100,'15e'!$H$7:$H$100,$A332,'15e'!$I$7:$I$100,2)+SUMIFS('15f'!$J$7:$J$100,'15f'!$H$7:$H$100,$A332,'15f'!$I$7:$I$100,2)+SUMIFS('15g'!$J$7:$J$100,'15g'!$H$7:$H$100,$A332,'15g'!$I$7:$I$100,2)+SUMIFS('15h'!$J$7:$J$100,'15h'!$H$7:$H$100,$A332,'15h'!$I$7:$I$100,2)+SUMIFS('15i'!$J$7:$J$100,'15i'!$H$7:$H$100,$A332,'15i'!$I$7:$I$100,2)+SUMIFS('15j'!$J$7:$J$100,'15j'!$H$7:$H$100,$A332,'15j'!$I$7:$I$100,2)+SUMIFS('15k'!$J$7:$J$100,'15k'!$H$7:$H$100,$A332,'15k'!$I$7:$I$100,2)+SUMIFS('15l'!$J$7:$J$100,'15l'!$H$7:$H$100,$A332,'15l'!$I$7:$I$100,2)+SUMIFS('15m'!$J$7:$J$100,'15m'!$H$7:$H$100,$A332,'15m'!$I$7:$I$100,2)+SUMIFS('15n'!$J$7:$J$100,'15n'!$H$7:$H$100,$A332,'15n'!$I$7:$I$100,2)+SUMIFS('16'!$J$7:$J$100,'16'!$H$7:$H$100,$A332,'16'!$I$7:$I$100,2)+SUMIFS('16a'!$J$7:$J$100,'16a'!$H$7:$H$100,$A332,'16a'!$I$7:$I$100,2)+SUMIFS('17'!$J$7:$J$100,'17'!$H$7:$H$100,$A332,'17'!$I$7:$I$100,2)+SUMIFS('17a'!$J$7:$J$100,'17a'!$H$7:$H$100,$A332,'17a'!$I$7:$I$100,2)+SUMIFS('18'!$J$7:$J$100,'18'!$H$7:$H$100,$A332,'18'!$I$7:$I$100,2)+SUMIFS('18a'!$J$7:$J$100,'18a'!$H$7:$H$100,$A332,'18a'!$I$7:$I$100,2)
+SUMIFS('19'!$J$7:$J$100,'19'!$H$7:$H$100,$A332,'19'!$I$7:$I$100,2)+SUMIFS('20'!$J$7:$J$100,'20'!$H$7:$H$100,$A332,'20'!$I$7:$I$100,2)+SUMIFS('20a'!$J$7:$J$100,'20a'!$H$7:$H$100,$A332,'20a'!$I$7:$I$100,2)+SUMIFS('21'!$J$7:$J$100,'21'!$H$7:$H$100,$A332,'21'!$I$7:$I$100,2)+SUMIFS('22'!$J$7:$J$100,'22'!$H$7:$H$100,$A332,'22'!$I$7:$I$100,2)+SUMIFS('22a'!$J$7:$J$100,'22a'!$H$7:$H$100,$A332,'22a'!$I$7:$I$100,2)+SUMIFS('22b'!$J$7:$J$100,'22b'!$H$7:$H$100,$A332,'22b'!$I$7:$I$100,2)+SUMIFS('23'!$J$7:$J$100,'23'!$H$7:$H$100,$A332,'23'!$I$7:$I$100,2)+SUMIFS('24'!$J$7:$J$100,'24'!$H$7:$H$100,$A332,'24'!$I$7:$I$100,2)+SUMIFS('24a'!$J$7:$J$100,'24a'!$H$7:$H$100,$A332,'24a'!$I$7:$I$100,2)+SUMIFS('24b'!$J$7:$J$100,'24b'!$H$7:$H$100,$A332,'24b'!$I$7:$I$100,2)+SUMIFS('24c'!$J$7:$J$100,'24c'!$H$7:$H$100,$A332,'24c'!$I$7:$I$100,2)+SUMIFS('24d'!$J$7:$J$100,'24d'!$H$7:$H$100,$A332,'24d'!$I$7:$I$100,2)+SUMIFS('24e'!$J$7:$J$100,'24e'!$H$7:$H$100,$A332,'24e'!$I$7:$I$100,2)+SUMIFS('24f'!$J$7:$J$100,'24f'!$H$7:$H$100,$A332,'24f'!$I$7:$I$100,2)+SUMIFS('24g'!$J$7:$J$100,'24g'!$H$7:$H$100,$A332,'24g'!$I$7:$I$100,2)+SUMIFS('24h'!$J$7:$J$100,'24h'!$H$7:$H$100,$A332,'24h'!$I$7:$I$100,2)+SUMIFS('24i'!$J$7:$J$100,'24i'!$H$7:$H$100,$A332,'24i'!$I$7:$I$100,2)+SUMIFS('25'!$J$7:$J$100,'25'!$H$7:$H$100,$A332,'25'!$I$7:$I$100,2)+SUMIFS('26'!$J$7:$J$100,'26'!$H$7:$H$100,$A332,'26'!$I$7:$I$100,2)+SUMIFS('26a'!$J$7:$J$100,'26a'!$H$7:$H$100,$A332,'26a'!$I$7:$I$100,2)+SUMIFS('27'!$J$7:$J$100,'27'!$H$7:$H$100,$A332,'27'!$I$7:$I$100,2)+SUMIFS('27a'!$J$7:$J$100,'27a'!$H$7:$H$100,$A332,'27a'!$I$7:$I$100,2)+SUMIFS('28'!$J$7:$J$100,'28'!$H$7:$H$100,$A332,'28'!$I$7:$I$100,2)+SUMIFS('29'!$J$7:$J$100,'29'!$H$7:$H$100,$A332,'29'!$I$7:$I$100,2)</f>
        <v>0</v>
      </c>
      <c r="I332" s="1315">
        <f>SUMIFS('12'!$J$7:$J$100,'12'!$H$7:$H$100,$A332,'12'!$I$7:$I$100,"")+SUMIFS('13'!$J$7:$J$100,'13'!$H$7:$H$100,$A332,'13'!$I$7:$I$100,"")+SUMIFS('14'!$J$7:$J$100,'14'!$H$7:$H$100,$A332,'14'!$I$7:$I$100,"")+SUMIFS('15'!$J$7:$J$100,'15'!$H$7:$H$100,$A332,'15'!$I$7:$I$100,"")+SUMIFS('15a'!$J$7:$J$100,'15a'!$H$7:$H$100,$A332,'15a'!$I$7:$I$100,"")+SUMIFS('15b'!$J$7:$J$100,'15b'!$H$7:$H$100,$A332,'15b'!$I$7:$I$100,"")+SUMIFS('15c'!$J$7:$J$100,'15c'!$H$7:$H$100,$A332,'15c'!$I$7:$I$100,"")+SUMIFS('15d'!$J$7:$J$100,'15d'!$H$7:$H$100,$A332,'15d'!$I$7:$I$100,"")+SUMIFS('15e'!$J$7:$J$100,'15e'!$H$7:$H$100,$A332,'15e'!$I$7:$I$100,"")+SUMIFS('15f'!$J$7:$J$100,'15f'!$H$7:$H$100,$A332,'15f'!$I$7:$I$100,"")+SUMIFS('15g'!$J$7:$J$100,'15g'!$H$7:$H$100,$A332,'15g'!$I$7:$I$100,"")+SUMIFS('15h'!$J$7:$J$100,'15h'!$H$7:$H$100,$A332,'15h'!$I$7:$I$100,"")+SUMIFS('15i'!$J$7:$J$100,'15i'!$H$7:$H$100,$A332,'15i'!$I$7:$I$100,"")+SUMIFS('15j'!$J$7:$J$100,'15j'!$H$7:$H$100,$A332,'15j'!$I$7:$I$100,"")+SUMIFS('15k'!$J$7:$J$100,'15k'!$H$7:$H$100,$A332,'15k'!$I$7:$I$100,"")+SUMIFS('15l'!$J$7:$J$100,'15l'!$H$7:$H$100,$A332,'15l'!$I$7:$I$100,"")+SUMIFS('15m'!$J$7:$J$100,'15m'!$H$7:$H$100,$A332,'15m'!$I$7:$I$100,"")+SUMIFS('15n'!$J$7:$J$100,'15n'!$H$7:$H$100,$A332,'15n'!$I$7:$I$100,"")+SUMIFS('16'!$J$7:$J$100,'16'!$H$7:$H$100,$A332,'16'!$I$7:$I$100,"")+SUMIFS('16a'!$J$7:$J$100,'16a'!$H$7:$H$100,$A332,'16a'!$I$7:$I$100,"")+SUMIFS('17'!$J$7:$J$100,'17'!$H$7:$H$100,$A332,'17'!$I$7:$I$100,"")+SUMIFS('17a'!$J$7:$J$100,'17a'!$H$7:$H$100,$A332,'17a'!$I$7:$I$100,"")+SUMIFS('18'!$J$7:$J$100,'18'!$H$7:$H$100,$A332,'18'!$I$7:$I$100,"")+SUMIFS('18a'!$J$7:$J$100,'18a'!$H$7:$H$100,$A332,'18a'!$I$7:$I$100,"")
+SUMIFS('19'!$J$7:$J$100,'19'!$H$7:$H$100,$A332,'19'!$I$7:$I$100,"")+SUMIFS('20'!$J$7:$J$100,'20'!$H$7:$H$100,$A332,'20'!$I$7:$I$100,"")+SUMIFS('20a'!$J$7:$J$100,'20a'!$H$7:$H$100,$A332,'20a'!$I$7:$I$100,"")+SUMIFS('21'!$J$7:$J$100,'21'!$H$7:$H$100,$A332,'21'!$I$7:$I$100,"")+SUMIFS('22'!$J$7:$J$100,'22'!$H$7:$H$100,$A332,'22'!$I$7:$I$100,"")+SUMIFS('22a'!$J$7:$J$100,'22a'!$H$7:$H$100,$A332,'22a'!$I$7:$I$100,"")+SUMIFS('22b'!$J$7:$J$100,'22b'!$H$7:$H$100,$A332,'22b'!$I$7:$I$100,"")+SUMIFS('23'!$J$7:$J$100,'23'!$H$7:$H$100,$A332,'23'!$I$7:$I$100,"")+SUMIFS('24'!$J$7:$J$100,'24'!$H$7:$H$100,$A332,'24'!$I$7:$I$100,"")+SUMIFS('24a'!$J$7:$J$100,'24a'!$H$7:$H$100,$A332,'24a'!$I$7:$I$100,"")+SUMIFS('24b'!$J$7:$J$100,'24b'!$H$7:$H$100,$A332,'24b'!$I$7:$I$100,"")+SUMIFS('24c'!$J$7:$J$100,'24c'!$H$7:$H$100,$A332,'24c'!$I$7:$I$100,"")+SUMIFS('24d'!$J$7:$J$100,'24d'!$H$7:$H$100,$A332,'24d'!$I$7:$I$100,"")+SUMIFS('24e'!$J$7:$J$100,'24e'!$H$7:$H$100,$A332,'24e'!$I$7:$I$100,"")+SUMIFS('24f'!$J$7:$J$100,'24f'!$H$7:$H$100,$A332,'24f'!$I$7:$I$100,"")+SUMIFS('24g'!$J$7:$J$100,'24g'!$H$7:$H$100,$A332,'24g'!$I$7:$I$100,"")+SUMIFS('24h'!$J$7:$J$100,'24h'!$H$7:$H$100,$A332,'24h'!$I$7:$I$100,"")+SUMIFS('24i'!$J$7:$J$100,'24i'!$H$7:$H$100,$A332,'24i'!$I$7:$I$100,"")+SUMIFS('25'!$J$7:$J$100,'25'!$H$7:$H$100,$A332,'25'!$I$7:$I$100,"")+SUMIFS('26'!$J$7:$J$100,'26'!$H$7:$H$100,$A332,'26'!$I$7:$I$100,"")+SUMIFS('26a'!$J$7:$J$100,'26a'!$H$7:$H$100,$A332,'26a'!$I$7:$I$100,"")+SUMIFS('27'!$J$7:$J$100,'27'!$H$7:$H$100,$A332,'27'!$I$7:$I$100,"")+SUMIFS('27a'!$J$7:$J$100,'27a'!$H$7:$H$100,$A332,'27a'!$I$7:$I$100,"")+SUMIFS('28'!$J$7:$J$100,'28'!$H$7:$H$100,$A332,'28'!$I$7:$I$100,"")+SUMIFS('29'!$J$7:$J$100,'29'!$H$7:$H$100,$A332,'29'!$I$7:$I$100,"")</f>
        <v>0</v>
      </c>
      <c r="J332" s="1296">
        <f t="shared" si="44"/>
        <v>0</v>
      </c>
      <c r="K332"/>
      <c r="L332"/>
      <c r="M332"/>
      <c r="N332"/>
      <c r="O332"/>
      <c r="P332"/>
      <c r="Q332"/>
      <c r="R332"/>
      <c r="S332" s="1307">
        <f t="shared" si="30"/>
        <v>0</v>
      </c>
      <c r="T332"/>
    </row>
    <row r="333" spans="1:20" x14ac:dyDescent="0.2">
      <c r="A333" t="s">
        <v>5121</v>
      </c>
      <c r="B333" t="s">
        <v>5545</v>
      </c>
      <c r="C333" s="1295">
        <f>SUMIFS('12'!$N$7:$N$100,'12'!$H$7:$H$100,$A333,'12'!$I$7:$I$100,1)+SUMIFS('13'!$N$7:$N$100,'13'!$H$7:$H$100,$A333,'13'!$I$7:$I$100,1)+SUMIFS('14'!$N$7:$N$100,'14'!$H$7:$H$100,$A333,'14'!$I$7:$I$100,1)+SUMIFS('15'!$N$7:$N$100,'15'!$H$7:$H$100,$A333,'15'!$I$7:$I$100,1)+SUMIFS('15a'!$N$7:$N$100,'15a'!$H$7:$H$100,$A333,'15a'!$I$7:$I$100,1)+SUMIFS('15b'!$N$7:$N$100,'15b'!$H$7:$H$100,$A333,'15b'!$I$7:$I$100,1)+SUMIFS('15c'!$N$7:$N$100,'15c'!$H$7:$H$100,$A333,'15c'!$I$7:$I$100,1)+SUMIFS('15d'!$N$7:$N$100,'15d'!$H$7:$H$100,$A333,'15d'!$I$7:$I$100,1)+SUMIFS('15e'!$N$7:$N$100,'15e'!$H$7:$H$100,$A333,'15e'!$I$7:$I$100,1)+SUMIFS('15f'!$N$7:$N$100,'15f'!$H$7:$H$100,$A333,'15f'!$I$7:$I$100,1)+SUMIFS('15g'!$N$7:$N$100,'15g'!$H$7:$H$100,$A333,'15g'!$I$7:$I$100,1)+SUMIFS('15h'!$N$7:$N$100,'15h'!$H$7:$H$100,$A333,'15h'!$I$7:$I$100,1)+SUMIFS('15i'!$N$7:$N$100,'15i'!$H$7:$H$100,$A333,'15i'!$I$7:$I$100,1)+SUMIFS('15j'!$N$7:$N$100,'15j'!$H$7:$H$100,$A333,'15j'!$I$7:$I$100,1)+SUMIFS('15k'!$N$7:$N$100,'15k'!$H$7:$H$100,$A333,'15k'!$I$7:$I$100,1)+SUMIFS('15l'!$N$7:$N$100,'15l'!$H$7:$H$100,$A333,'15l'!$I$7:$I$100,1)+SUMIFS('15m'!$N$7:$N$100,'15m'!$H$7:$H$100,$A333,'15m'!$I$7:$I$100,1)+SUMIFS('15n'!$N$7:$N$100,'15n'!$H$7:$H$100,$A333,'15n'!$I$7:$I$100,1)+SUMIFS('16'!$N$7:$N$100,'16'!$H$7:$H$100,$A333,'16'!$I$7:$I$100,1)+SUMIFS('16a'!$N$7:$N$100,'16a'!$H$7:$H$100,$A333,'16a'!$I$7:$I$100,1)+SUMIFS('17'!$N$7:$N$100,'17'!$H$7:$H$100,$A333,'17'!$I$7:$I$100,1)+SUMIFS('17a'!$N$7:$N$100,'17a'!$H$7:$H$100,$A333,'17a'!$I$7:$I$100,1)+SUMIFS('18'!$N$7:$N$100,'18'!$H$7:$H$100,$A333,'18'!$I$7:$I$100,1)+SUMIFS('18a'!$N$7:$N$100,'18a'!$H$7:$H$100,$A333,'18a'!$I$7:$I$100,1)
+SUMIFS('19'!$N$7:$N$100,'19'!$H$7:$H$100,$A333,'19'!$I$7:$I$100,1)+SUMIFS('20'!$N$7:$N$100,'20'!$H$7:$H$100,$A333,'20'!$I$7:$I$100,1)+SUMIFS('20a'!$N$7:$N$100,'20a'!$H$7:$H$100,$A333,'20a'!$I$7:$I$100,1)+SUMIFS('21'!$N$7:$N$100,'21'!$H$7:$H$100,$A333,'21'!$I$7:$I$100,1)+SUMIFS('22'!$N$7:$N$100,'22'!$H$7:$H$100,$A333,'22'!$I$7:$I$100,1)+SUMIFS('22a'!$N$7:$N$100,'22a'!$H$7:$H$100,$A333,'22a'!$I$7:$I$100,1)+SUMIFS('22b'!$N$7:$N$100,'22b'!$H$7:$H$100,$A333,'22b'!$I$7:$I$100,1)+SUMIFS('23'!$N$7:$N$100,'23'!$H$7:$H$100,$A333,'23'!$I$7:$I$100,1)+SUMIFS('24'!$N$7:$N$100,'24'!$H$7:$H$100,$A333,'24'!$I$7:$I$100,1)+SUMIFS('24a'!$N$7:$N$100,'24a'!$H$7:$H$100,$A333,'24a'!$I$7:$I$100,1)+SUMIFS('24b'!$N$7:$N$100,'24b'!$H$7:$H$100,$A333,'24b'!$I$7:$I$100,1)+SUMIFS('24c'!$N$7:$N$100,'24c'!$H$7:$H$100,$A333,'24c'!$I$7:$I$100,1)+SUMIFS('24d'!$N$7:$N$100,'24d'!$H$7:$H$100,$A333,'24d'!$I$7:$I$100,1)+SUMIFS('24e'!$N$7:$N$100,'24e'!$H$7:$H$100,$A333,'24e'!$I$7:$I$100,1)+SUMIFS('24f'!$N$7:$N$100,'24f'!$H$7:$H$100,$A333,'24f'!$I$7:$I$100,1)+SUMIFS('24g'!$N$7:$N$100,'24g'!$H$7:$H$100,$A333,'24g'!$I$7:$I$100,1)+SUMIFS('24h'!$N$7:$N$100,'24h'!$H$7:$H$100,$A333,'24h'!$I$7:$I$100,1)+SUMIFS('24i'!$N$7:$N$100,'24i'!$H$7:$H$100,$A333,'24i'!$I$7:$I$100,1)+SUMIFS('25'!$N$7:$N$100,'25'!$H$7:$H$100,$A333,'25'!$I$7:$I$100,1)+SUMIFS('26'!$N$7:$N$100,'26'!$H$7:$H$100,$A333,'26'!$I$7:$I$100,1)+SUMIFS('26a'!$N$7:$N$100,'26a'!$H$7:$H$100,$A333,'26a'!$I$7:$I$100,1)+SUMIFS('27'!$N$7:$N$100,'27'!$H$7:$H$100,$A333,'27'!$I$7:$I$100,1)+SUMIFS('27a'!$N$7:$N$100,'27a'!$H$7:$H$100,$A333,'27a'!$I$7:$I$100,1)+SUMIFS('28'!$N$7:$N$100,'28'!$H$7:$H$100,$A333,'28'!$I$7:$I$100,1)+SUMIFS('29'!$N$7:$N$100,'29'!$H$7:$H$100,$A333,'29'!$I$7:$I$100,1)</f>
        <v>0</v>
      </c>
      <c r="D333" s="1315">
        <f>SUMIFS('12'!$N$7:$N$100,'12'!$H$7:$H$100,$A333,'12'!$I$7:$I$100,2)+SUMIFS('13'!$N$7:$N$100,'13'!$H$7:$H$100,$A333,'13'!$I$7:$I$100,2)+SUMIFS('14'!$N$7:$N$100,'14'!$H$7:$H$100,$A333,'14'!$I$7:$I$100,2)+SUMIFS('15'!$N$7:$N$100,'15'!$H$7:$H$100,$A333,'15'!$I$7:$I$100,2)+SUMIFS('15a'!$N$7:$N$100,'15a'!$H$7:$H$100,$A333,'15a'!$I$7:$I$100,2)+SUMIFS('15b'!$N$7:$N$100,'15b'!$H$7:$H$100,$A333,'15b'!$I$7:$I$100,2)+SUMIFS('15c'!$N$7:$N$100,'15c'!$H$7:$H$100,$A333,'15c'!$I$7:$I$100,2)+SUMIFS('15d'!$N$7:$N$100,'15d'!$H$7:$H$100,$A333,'15d'!$I$7:$I$100,2)+SUMIFS('15e'!$N$7:$N$100,'15e'!$H$7:$H$100,$A333,'15e'!$I$7:$I$100,2)+SUMIFS('15f'!$N$7:$N$100,'15f'!$H$7:$H$100,$A333,'15f'!$I$7:$I$100,2)+SUMIFS('15g'!$N$7:$N$100,'15g'!$H$7:$H$100,$A333,'15g'!$I$7:$I$100,2)+SUMIFS('15h'!$N$7:$N$100,'15h'!$H$7:$H$100,$A333,'15h'!$I$7:$I$100,2)+SUMIFS('15i'!$N$7:$N$100,'15i'!$H$7:$H$100,$A333,'15i'!$I$7:$I$100,2)+SUMIFS('15j'!$N$7:$N$100,'15j'!$H$7:$H$100,$A333,'15j'!$I$7:$I$100,2)+SUMIFS('15k'!$N$7:$N$100,'15k'!$H$7:$H$100,$A333,'15k'!$I$7:$I$100,2)+SUMIFS('15l'!$N$7:$N$100,'15l'!$H$7:$H$100,$A333,'15l'!$I$7:$I$100,2)+SUMIFS('15m'!$N$7:$N$100,'15m'!$H$7:$H$100,$A333,'15m'!$I$7:$I$100,2)+SUMIFS('15n'!$N$7:$N$100,'15n'!$H$7:$H$100,$A333,'15n'!$I$7:$I$100,2)+SUMIFS('16'!$N$7:$N$100,'16'!$H$7:$H$100,$A333,'16'!$I$7:$I$100,2)+SUMIFS('16a'!$N$7:$N$100,'16a'!$H$7:$H$100,$A333,'16a'!$I$7:$I$100,2)+SUMIFS('17'!$N$7:$N$100,'17'!$H$7:$H$100,$A333,'17'!$I$7:$I$100,2)+SUMIFS('17a'!$N$7:$N$100,'17a'!$H$7:$H$100,$A333,'17a'!$I$7:$I$100,2)+SUMIFS('18'!$N$7:$N$100,'18'!$H$7:$H$100,$A333,'18'!$I$7:$I$100,2)+SUMIFS('18a'!$N$7:$N$100,'18a'!$H$7:$H$100,$A333,'18a'!$I$7:$I$100,2)
+SUMIFS('19'!$N$7:$N$100,'19'!$H$7:$H$100,$A333,'19'!$I$7:$I$100,2)+SUMIFS('20'!$N$7:$N$100,'20'!$H$7:$H$100,$A333,'20'!$I$7:$I$100,2)+SUMIFS('20a'!$N$7:$N$100,'20a'!$H$7:$H$100,$A333,'20a'!$I$7:$I$100,2)+SUMIFS('21'!$N$7:$N$100,'21'!$H$7:$H$100,$A333,'21'!$I$7:$I$100,2)+SUMIFS('22'!$N$7:$N$100,'22'!$H$7:$H$100,$A333,'22'!$I$7:$I$100,2)+SUMIFS('22a'!$N$7:$N$100,'22a'!$H$7:$H$100,$A333,'22a'!$I$7:$I$100,2)+SUMIFS('22b'!$N$7:$N$100,'22b'!$H$7:$H$100,$A333,'22b'!$I$7:$I$100,2)+SUMIFS('23'!$N$7:$N$100,'23'!$H$7:$H$100,$A333,'23'!$I$7:$I$100,2)+SUMIFS('24'!$N$7:$N$100,'24'!$H$7:$H$100,$A333,'24'!$I$7:$I$100,2)+SUMIFS('24a'!$N$7:$N$100,'24a'!$H$7:$H$100,$A333,'24a'!$I$7:$I$100,2)+SUMIFS('24b'!$N$7:$N$100,'24b'!$H$7:$H$100,$A333,'24b'!$I$7:$I$100,2)+SUMIFS('24c'!$N$7:$N$100,'24c'!$H$7:$H$100,$A333,'24c'!$I$7:$I$100,2)+SUMIFS('24d'!$N$7:$N$100,'24d'!$H$7:$H$100,$A333,'24d'!$I$7:$I$100,2)+SUMIFS('24e'!$N$7:$N$100,'24e'!$H$7:$H$100,$A333,'24e'!$I$7:$I$100,2)+SUMIFS('24f'!$N$7:$N$100,'24f'!$H$7:$H$100,$A333,'24f'!$I$7:$I$100,2)+SUMIFS('24g'!$N$7:$N$100,'24g'!$H$7:$H$100,$A333,'24g'!$I$7:$I$100,2)+SUMIFS('24h'!$N$7:$N$100,'24h'!$H$7:$H$100,$A333,'24h'!$I$7:$I$100,2)+SUMIFS('24i'!$N$7:$N$100,'24i'!$H$7:$H$100,$A333,'24i'!$I$7:$I$100,2)+SUMIFS('25'!$N$7:$N$100,'25'!$H$7:$H$100,$A333,'25'!$I$7:$I$100,2)+SUMIFS('26'!$N$7:$N$100,'26'!$H$7:$H$100,$A333,'26'!$I$7:$I$100,2)+SUMIFS('26a'!$N$7:$N$100,'26a'!$H$7:$H$100,$A333,'26a'!$I$7:$I$100,2)+SUMIFS('27'!$N$7:$N$100,'27'!$H$7:$H$100,$A333,'27'!$I$7:$I$100,2)+SUMIFS('27a'!$N$7:$N$100,'27a'!$H$7:$H$100,$A333,'27a'!$I$7:$I$100,2)+SUMIFS('28'!$N$7:$N$100,'28'!$H$7:$H$100,$A333,'28'!$I$7:$I$100,2)+SUMIFS('29'!$N$7:$N$100,'29'!$H$7:$H$100,$A333,'29'!$I$7:$I$100,2)</f>
        <v>0</v>
      </c>
      <c r="E333" s="1315">
        <f>SUMIFS('12'!$N$7:$N$100,'12'!$H$7:$H$100,$A333,'12'!$I$7:$I$100,"")+SUMIFS('13'!$N$7:$N$100,'13'!$H$7:$H$100,$A333,'13'!$I$7:$I$100,"")+SUMIFS('14'!$N$7:$N$100,'14'!$H$7:$H$100,$A333,'14'!$I$7:$I$100,"")+SUMIFS('15'!$N$7:$N$100,'15'!$H$7:$H$100,$A333,'15'!$I$7:$I$100,"")+SUMIFS('15a'!$N$7:$N$100,'15a'!$H$7:$H$100,$A333,'15a'!$I$7:$I$100,"")+SUMIFS('15b'!$N$7:$N$100,'15b'!$H$7:$H$100,$A333,'15b'!$I$7:$I$100,"")+SUMIFS('15c'!$N$7:$N$100,'15c'!$H$7:$H$100,$A333,'15c'!$I$7:$I$100,"")+SUMIFS('15d'!$N$7:$N$100,'15d'!$H$7:$H$100,$A333,'15d'!$I$7:$I$100,"")+SUMIFS('15e'!$N$7:$N$100,'15e'!$H$7:$H$100,$A333,'15e'!$I$7:$I$100,"")+SUMIFS('15f'!$N$7:$N$100,'15f'!$H$7:$H$100,$A333,'15f'!$I$7:$I$100,"")+SUMIFS('15g'!$N$7:$N$100,'15g'!$H$7:$H$100,$A333,'15g'!$I$7:$I$100,"")+SUMIFS('15h'!$N$7:$N$100,'15h'!$H$7:$H$100,$A333,'15h'!$I$7:$I$100,"")+SUMIFS('15i'!$N$7:$N$100,'15i'!$H$7:$H$100,$A333,'15i'!$I$7:$I$100,"")+SUMIFS('15j'!$N$7:$N$100,'15j'!$H$7:$H$100,$A333,'15j'!$I$7:$I$100,"")+SUMIFS('15k'!$N$7:$N$100,'15k'!$H$7:$H$100,$A333,'15k'!$I$7:$I$100,"")+SUMIFS('15l'!$N$7:$N$100,'15l'!$H$7:$H$100,$A333,'15l'!$I$7:$I$100,"")+SUMIFS('15m'!$N$7:$N$100,'15m'!$H$7:$H$100,$A333,'15m'!$I$7:$I$100,"")+SUMIFS('15n'!$N$7:$N$100,'15n'!$H$7:$H$100,$A333,'15n'!$I$7:$I$100,"")+SUMIFS('16'!$N$7:$N$100,'16'!$H$7:$H$100,$A333,'16'!$I$7:$I$100,"")+SUMIFS('16a'!$N$7:$N$100,'16a'!$H$7:$H$100,$A333,'16a'!$I$7:$I$100,"")+SUMIFS('17'!$N$7:$N$100,'17'!$H$7:$H$100,$A333,'17'!$I$7:$I$100,"")+SUMIFS('17a'!$N$7:$N$100,'17a'!$H$7:$H$100,$A333,'17a'!$I$7:$I$100,"")+SUMIFS('18'!$N$7:$N$100,'18'!$H$7:$H$100,$A333,'18'!$I$7:$I$100,"")+SUMIFS('18a'!$N$7:$N$100,'18a'!$H$7:$H$100,$A333,'18a'!$I$7:$I$100,"")
+SUMIFS('19'!$N$7:$N$100,'19'!$H$7:$H$100,$A333,'19'!$I$7:$I$100,"")+SUMIFS('20'!$N$7:$N$100,'20'!$H$7:$H$100,$A333,'20'!$I$7:$I$100,"")+SUMIFS('20a'!$N$7:$N$100,'20a'!$H$7:$H$100,$A333,'20a'!$I$7:$I$100,"")+SUMIFS('21'!$N$7:$N$100,'21'!$H$7:$H$100,$A333,'21'!$I$7:$I$100,"")+SUMIFS('22'!$N$7:$N$100,'22'!$H$7:$H$100,$A333,'22'!$I$7:$I$100,"")+SUMIFS('22a'!$N$7:$N$100,'22a'!$H$7:$H$100,$A333,'22a'!$I$7:$I$100,"")+SUMIFS('22b'!$N$7:$N$100,'22b'!$H$7:$H$100,$A333,'22b'!$I$7:$I$100,"")+SUMIFS('23'!$N$7:$N$100,'23'!$H$7:$H$100,$A333,'23'!$I$7:$I$100,"")+SUMIFS('24'!$N$7:$N$100,'24'!$H$7:$H$100,$A333,'24'!$I$7:$I$100,"")+SUMIFS('24a'!$N$7:$N$100,'24a'!$H$7:$H$100,$A333,'24a'!$I$7:$I$100,"")+SUMIFS('24b'!$N$7:$N$100,'24b'!$H$7:$H$100,$A333,'24b'!$I$7:$I$100,"")+SUMIFS('24c'!$N$7:$N$100,'24c'!$H$7:$H$100,$A333,'24c'!$I$7:$I$100,"")+SUMIFS('24d'!$N$7:$N$100,'24d'!$H$7:$H$100,$A333,'24d'!$I$7:$I$100,"")+SUMIFS('24e'!$N$7:$N$100,'24e'!$H$7:$H$100,$A333,'24e'!$I$7:$I$100,"")+SUMIFS('24f'!$N$7:$N$100,'24f'!$H$7:$H$100,$A333,'24f'!$I$7:$I$100,"")+SUMIFS('24g'!$N$7:$N$100,'24g'!$H$7:$H$100,$A333,'24g'!$I$7:$I$100,"")+SUMIFS('24h'!$N$7:$N$100,'24h'!$H$7:$H$100,$A333,'24h'!$I$7:$I$100,"")+SUMIFS('24i'!$N$7:$N$100,'24i'!$H$7:$H$100,$A333,'24i'!$I$7:$I$100,"")+SUMIFS('25'!$N$7:$N$100,'25'!$H$7:$H$100,$A333,'25'!$I$7:$I$100,"")+SUMIFS('26'!$N$7:$N$100,'26'!$H$7:$H$100,$A333,'26'!$I$7:$I$100,"")+SUMIFS('26a'!$N$7:$N$100,'26a'!$H$7:$H$100,$A333,'26a'!$I$7:$I$100,"")+SUMIFS('27'!$N$7:$N$100,'27'!$H$7:$H$100,$A333,'27'!$I$7:$I$100,"")+SUMIFS('27a'!$N$7:$N$100,'27a'!$H$7:$H$100,$A333,'27a'!$I$7:$I$100,"")+SUMIFS('28'!$N$7:$N$100,'28'!$H$7:$H$100,$A333,'28'!$I$7:$I$100,"")+SUMIFS('29'!$N$7:$N$100,'29'!$H$7:$H$100,$A333,'29'!$I$7:$I$100,"")</f>
        <v>0</v>
      </c>
      <c r="F333" s="1296">
        <f t="shared" si="43"/>
        <v>0</v>
      </c>
      <c r="G333" s="1295">
        <f>SUMIFS('12'!$J$7:$J$100,'12'!$H$7:$H$100,$A333,'12'!$I$7:$I$100,1)+SUMIFS('13'!$J$7:$J$100,'13'!$H$7:$H$100,$A333,'13'!$I$7:$I$100,1)+SUMIFS('14'!$J$7:$J$100,'14'!$H$7:$H$100,$A333,'14'!$I$7:$I$100,1)+SUMIFS('15'!$J$7:$J$100,'15'!$H$7:$H$100,$A333,'15'!$I$7:$I$100,1)+SUMIFS('15a'!$J$7:$J$100,'15a'!$H$7:$H$100,$A333,'15a'!$I$7:$I$100,1)+SUMIFS('15b'!$J$7:$J$100,'15b'!$H$7:$H$100,$A333,'15b'!$I$7:$I$100,1)+SUMIFS('15c'!$J$7:$J$100,'15c'!$H$7:$H$100,$A333,'15c'!$I$7:$I$100,1)+SUMIFS('15d'!$J$7:$J$100,'15d'!$H$7:$H$100,$A333,'15d'!$I$7:$I$100,1)+SUMIFS('15e'!$J$7:$J$100,'15e'!$H$7:$H$100,$A333,'15e'!$I$7:$I$100,1)+SUMIFS('15f'!$J$7:$J$100,'15f'!$H$7:$H$100,$A333,'15f'!$I$7:$I$100,1)+SUMIFS('15g'!$J$7:$J$100,'15g'!$H$7:$H$100,$A333,'15g'!$I$7:$I$100,1)+SUMIFS('15h'!$J$7:$J$100,'15h'!$H$7:$H$100,$A333,'15h'!$I$7:$I$100,1)+SUMIFS('15i'!$J$7:$J$100,'15i'!$H$7:$H$100,$A333,'15i'!$I$7:$I$100,1)+SUMIFS('15j'!$J$7:$J$100,'15j'!$H$7:$H$100,$A333,'15j'!$I$7:$I$100,1)+SUMIFS('15k'!$J$7:$J$100,'15k'!$H$7:$H$100,$A333,'15k'!$I$7:$I$100,1)+SUMIFS('15l'!$J$7:$J$100,'15l'!$H$7:$H$100,$A333,'15l'!$I$7:$I$100,1)+SUMIFS('15m'!$J$7:$J$100,'15m'!$H$7:$H$100,$A333,'15m'!$I$7:$I$100,1)+SUMIFS('15n'!$J$7:$J$100,'15n'!$H$7:$H$100,$A333,'15n'!$I$7:$I$100,1)+SUMIFS('16'!$J$7:$J$100,'16'!$H$7:$H$100,$A333,'16'!$I$7:$I$100,1)+SUMIFS('16a'!$J$7:$J$100,'16a'!$H$7:$H$100,$A333,'16a'!$I$7:$I$100,1)+SUMIFS('17'!$J$7:$J$100,'17'!$H$7:$H$100,$A333,'17'!$I$7:$I$100,1)+SUMIFS('17a'!$J$7:$J$100,'17a'!$H$7:$H$100,$A333,'17a'!$I$7:$I$100,1)+SUMIFS('18'!$J$7:$J$100,'18'!$H$7:$H$100,$A333,'18'!$I$7:$I$100,1)+SUMIFS('18a'!$J$7:$J$100,'18a'!$H$7:$H$100,$A333,'18a'!$I$7:$I$100,1)
+SUMIFS('19'!$J$7:$J$100,'19'!$H$7:$H$100,$A333,'19'!$I$7:$I$100,1)+SUMIFS('20'!$J$7:$J$100,'20'!$H$7:$H$100,$A333,'20'!$I$7:$I$100,1)+SUMIFS('20a'!$J$7:$J$100,'20a'!$H$7:$H$100,$A333,'20a'!$I$7:$I$100,1)+SUMIFS('21'!$J$7:$J$100,'21'!$H$7:$H$100,$A333,'21'!$I$7:$I$100,1)+SUMIFS('22'!$J$7:$J$100,'22'!$H$7:$H$100,$A333,'22'!$I$7:$I$100,1)+SUMIFS('22a'!$J$7:$J$100,'22a'!$H$7:$H$100,$A333,'22a'!$I$7:$I$100,1)+SUMIFS('22b'!$J$7:$J$100,'22b'!$H$7:$H$100,$A333,'22b'!$I$7:$I$100,1)+SUMIFS('23'!$J$7:$J$100,'23'!$H$7:$H$100,$A333,'23'!$I$7:$I$100,1)+SUMIFS('24'!$J$7:$J$100,'24'!$H$7:$H$100,$A333,'24'!$I$7:$I$100,1)+SUMIFS('24a'!$J$7:$J$100,'24a'!$H$7:$H$100,$A333,'24a'!$I$7:$I$100,1)+SUMIFS('24b'!$J$7:$J$100,'24b'!$H$7:$H$100,$A333,'24b'!$I$7:$I$100,1)+SUMIFS('24c'!$J$7:$J$100,'24c'!$H$7:$H$100,$A333,'24c'!$I$7:$I$100,1)+SUMIFS('24d'!$J$7:$J$100,'24d'!$H$7:$H$100,$A333,'24d'!$I$7:$I$100,1)+SUMIFS('24e'!$J$7:$J$100,'24e'!$H$7:$H$100,$A333,'24e'!$I$7:$I$100,1)+SUMIFS('24f'!$J$7:$J$100,'24f'!$H$7:$H$100,$A333,'24f'!$I$7:$I$100,1)+SUMIFS('24g'!$J$7:$J$100,'24g'!$H$7:$H$100,$A333,'24g'!$I$7:$I$100,1)+SUMIFS('24h'!$J$7:$J$100,'24h'!$H$7:$H$100,$A333,'24h'!$I$7:$I$100,1)+SUMIFS('24i'!$J$7:$J$100,'24i'!$H$7:$H$100,$A333,'24i'!$I$7:$I$100,1)+SUMIFS('25'!$J$7:$J$100,'25'!$H$7:$H$100,$A333,'25'!$I$7:$I$100,1)+SUMIFS('26'!$J$7:$J$100,'26'!$H$7:$H$100,$A333,'26'!$I$7:$I$100,1)+SUMIFS('26a'!$J$7:$J$100,'26a'!$H$7:$H$100,$A333,'26a'!$I$7:$I$100,1)+SUMIFS('27'!$J$7:$J$100,'27'!$H$7:$H$100,$A333,'27'!$I$7:$I$100,1)+SUMIFS('27a'!$J$7:$J$100,'27a'!$H$7:$H$100,$A333,'27a'!$I$7:$I$100,1)+SUMIFS('28'!$J$7:$J$100,'28'!$H$7:$H$100,$A333,'28'!$I$7:$I$100,1)+SUMIFS('29'!$J$7:$J$100,'29'!$H$7:$H$100,$A333,'29'!$I$7:$I$100,1)</f>
        <v>0</v>
      </c>
      <c r="H333" s="1315">
        <f>SUMIFS('12'!$J$7:$J$100,'12'!$H$7:$H$100,$A333,'12'!$I$7:$I$100,2)+SUMIFS('13'!$J$7:$J$100,'13'!$H$7:$H$100,$A333,'13'!$I$7:$I$100,2)+SUMIFS('14'!$J$7:$J$100,'14'!$H$7:$H$100,$A333,'14'!$I$7:$I$100,2)+SUMIFS('15'!$J$7:$J$100,'15'!$H$7:$H$100,$A333,'15'!$I$7:$I$100,2)+SUMIFS('15a'!$J$7:$J$100,'15a'!$H$7:$H$100,$A333,'15a'!$I$7:$I$100,2)+SUMIFS('15b'!$J$7:$J$100,'15b'!$H$7:$H$100,$A333,'15b'!$I$7:$I$100,2)+SUMIFS('15c'!$J$7:$J$100,'15c'!$H$7:$H$100,$A333,'15c'!$I$7:$I$100,2)+SUMIFS('15d'!$J$7:$J$100,'15d'!$H$7:$H$100,$A333,'15d'!$I$7:$I$100,2)+SUMIFS('15e'!$J$7:$J$100,'15e'!$H$7:$H$100,$A333,'15e'!$I$7:$I$100,2)+SUMIFS('15f'!$J$7:$J$100,'15f'!$H$7:$H$100,$A333,'15f'!$I$7:$I$100,2)+SUMIFS('15g'!$J$7:$J$100,'15g'!$H$7:$H$100,$A333,'15g'!$I$7:$I$100,2)+SUMIFS('15h'!$J$7:$J$100,'15h'!$H$7:$H$100,$A333,'15h'!$I$7:$I$100,2)+SUMIFS('15i'!$J$7:$J$100,'15i'!$H$7:$H$100,$A333,'15i'!$I$7:$I$100,2)+SUMIFS('15j'!$J$7:$J$100,'15j'!$H$7:$H$100,$A333,'15j'!$I$7:$I$100,2)+SUMIFS('15k'!$J$7:$J$100,'15k'!$H$7:$H$100,$A333,'15k'!$I$7:$I$100,2)+SUMIFS('15l'!$J$7:$J$100,'15l'!$H$7:$H$100,$A333,'15l'!$I$7:$I$100,2)+SUMIFS('15m'!$J$7:$J$100,'15m'!$H$7:$H$100,$A333,'15m'!$I$7:$I$100,2)+SUMIFS('15n'!$J$7:$J$100,'15n'!$H$7:$H$100,$A333,'15n'!$I$7:$I$100,2)+SUMIFS('16'!$J$7:$J$100,'16'!$H$7:$H$100,$A333,'16'!$I$7:$I$100,2)+SUMIFS('16a'!$J$7:$J$100,'16a'!$H$7:$H$100,$A333,'16a'!$I$7:$I$100,2)+SUMIFS('17'!$J$7:$J$100,'17'!$H$7:$H$100,$A333,'17'!$I$7:$I$100,2)+SUMIFS('17a'!$J$7:$J$100,'17a'!$H$7:$H$100,$A333,'17a'!$I$7:$I$100,2)+SUMIFS('18'!$J$7:$J$100,'18'!$H$7:$H$100,$A333,'18'!$I$7:$I$100,2)+SUMIFS('18a'!$J$7:$J$100,'18a'!$H$7:$H$100,$A333,'18a'!$I$7:$I$100,2)
+SUMIFS('19'!$J$7:$J$100,'19'!$H$7:$H$100,$A333,'19'!$I$7:$I$100,2)+SUMIFS('20'!$J$7:$J$100,'20'!$H$7:$H$100,$A333,'20'!$I$7:$I$100,2)+SUMIFS('20a'!$J$7:$J$100,'20a'!$H$7:$H$100,$A333,'20a'!$I$7:$I$100,2)+SUMIFS('21'!$J$7:$J$100,'21'!$H$7:$H$100,$A333,'21'!$I$7:$I$100,2)+SUMIFS('22'!$J$7:$J$100,'22'!$H$7:$H$100,$A333,'22'!$I$7:$I$100,2)+SUMIFS('22a'!$J$7:$J$100,'22a'!$H$7:$H$100,$A333,'22a'!$I$7:$I$100,2)+SUMIFS('22b'!$J$7:$J$100,'22b'!$H$7:$H$100,$A333,'22b'!$I$7:$I$100,2)+SUMIFS('23'!$J$7:$J$100,'23'!$H$7:$H$100,$A333,'23'!$I$7:$I$100,2)+SUMIFS('24'!$J$7:$J$100,'24'!$H$7:$H$100,$A333,'24'!$I$7:$I$100,2)+SUMIFS('24a'!$J$7:$J$100,'24a'!$H$7:$H$100,$A333,'24a'!$I$7:$I$100,2)+SUMIFS('24b'!$J$7:$J$100,'24b'!$H$7:$H$100,$A333,'24b'!$I$7:$I$100,2)+SUMIFS('24c'!$J$7:$J$100,'24c'!$H$7:$H$100,$A333,'24c'!$I$7:$I$100,2)+SUMIFS('24d'!$J$7:$J$100,'24d'!$H$7:$H$100,$A333,'24d'!$I$7:$I$100,2)+SUMIFS('24e'!$J$7:$J$100,'24e'!$H$7:$H$100,$A333,'24e'!$I$7:$I$100,2)+SUMIFS('24f'!$J$7:$J$100,'24f'!$H$7:$H$100,$A333,'24f'!$I$7:$I$100,2)+SUMIFS('24g'!$J$7:$J$100,'24g'!$H$7:$H$100,$A333,'24g'!$I$7:$I$100,2)+SUMIFS('24h'!$J$7:$J$100,'24h'!$H$7:$H$100,$A333,'24h'!$I$7:$I$100,2)+SUMIFS('24i'!$J$7:$J$100,'24i'!$H$7:$H$100,$A333,'24i'!$I$7:$I$100,2)+SUMIFS('25'!$J$7:$J$100,'25'!$H$7:$H$100,$A333,'25'!$I$7:$I$100,2)+SUMIFS('26'!$J$7:$J$100,'26'!$H$7:$H$100,$A333,'26'!$I$7:$I$100,2)+SUMIFS('26a'!$J$7:$J$100,'26a'!$H$7:$H$100,$A333,'26a'!$I$7:$I$100,2)+SUMIFS('27'!$J$7:$J$100,'27'!$H$7:$H$100,$A333,'27'!$I$7:$I$100,2)+SUMIFS('27a'!$J$7:$J$100,'27a'!$H$7:$H$100,$A333,'27a'!$I$7:$I$100,2)+SUMIFS('28'!$J$7:$J$100,'28'!$H$7:$H$100,$A333,'28'!$I$7:$I$100,2)+SUMIFS('29'!$J$7:$J$100,'29'!$H$7:$H$100,$A333,'29'!$I$7:$I$100,2)</f>
        <v>0</v>
      </c>
      <c r="I333" s="1315">
        <f>SUMIFS('12'!$J$7:$J$100,'12'!$H$7:$H$100,$A333,'12'!$I$7:$I$100,"")+SUMIFS('13'!$J$7:$J$100,'13'!$H$7:$H$100,$A333,'13'!$I$7:$I$100,"")+SUMIFS('14'!$J$7:$J$100,'14'!$H$7:$H$100,$A333,'14'!$I$7:$I$100,"")+SUMIFS('15'!$J$7:$J$100,'15'!$H$7:$H$100,$A333,'15'!$I$7:$I$100,"")+SUMIFS('15a'!$J$7:$J$100,'15a'!$H$7:$H$100,$A333,'15a'!$I$7:$I$100,"")+SUMIFS('15b'!$J$7:$J$100,'15b'!$H$7:$H$100,$A333,'15b'!$I$7:$I$100,"")+SUMIFS('15c'!$J$7:$J$100,'15c'!$H$7:$H$100,$A333,'15c'!$I$7:$I$100,"")+SUMIFS('15d'!$J$7:$J$100,'15d'!$H$7:$H$100,$A333,'15d'!$I$7:$I$100,"")+SUMIFS('15e'!$J$7:$J$100,'15e'!$H$7:$H$100,$A333,'15e'!$I$7:$I$100,"")+SUMIFS('15f'!$J$7:$J$100,'15f'!$H$7:$H$100,$A333,'15f'!$I$7:$I$100,"")+SUMIFS('15g'!$J$7:$J$100,'15g'!$H$7:$H$100,$A333,'15g'!$I$7:$I$100,"")+SUMIFS('15h'!$J$7:$J$100,'15h'!$H$7:$H$100,$A333,'15h'!$I$7:$I$100,"")+SUMIFS('15i'!$J$7:$J$100,'15i'!$H$7:$H$100,$A333,'15i'!$I$7:$I$100,"")+SUMIFS('15j'!$J$7:$J$100,'15j'!$H$7:$H$100,$A333,'15j'!$I$7:$I$100,"")+SUMIFS('15k'!$J$7:$J$100,'15k'!$H$7:$H$100,$A333,'15k'!$I$7:$I$100,"")+SUMIFS('15l'!$J$7:$J$100,'15l'!$H$7:$H$100,$A333,'15l'!$I$7:$I$100,"")+SUMIFS('15m'!$J$7:$J$100,'15m'!$H$7:$H$100,$A333,'15m'!$I$7:$I$100,"")+SUMIFS('15n'!$J$7:$J$100,'15n'!$H$7:$H$100,$A333,'15n'!$I$7:$I$100,"")+SUMIFS('16'!$J$7:$J$100,'16'!$H$7:$H$100,$A333,'16'!$I$7:$I$100,"")+SUMIFS('16a'!$J$7:$J$100,'16a'!$H$7:$H$100,$A333,'16a'!$I$7:$I$100,"")+SUMIFS('17'!$J$7:$J$100,'17'!$H$7:$H$100,$A333,'17'!$I$7:$I$100,"")+SUMIFS('17a'!$J$7:$J$100,'17a'!$H$7:$H$100,$A333,'17a'!$I$7:$I$100,"")+SUMIFS('18'!$J$7:$J$100,'18'!$H$7:$H$100,$A333,'18'!$I$7:$I$100,"")+SUMIFS('18a'!$J$7:$J$100,'18a'!$H$7:$H$100,$A333,'18a'!$I$7:$I$100,"")
+SUMIFS('19'!$J$7:$J$100,'19'!$H$7:$H$100,$A333,'19'!$I$7:$I$100,"")+SUMIFS('20'!$J$7:$J$100,'20'!$H$7:$H$100,$A333,'20'!$I$7:$I$100,"")+SUMIFS('20a'!$J$7:$J$100,'20a'!$H$7:$H$100,$A333,'20a'!$I$7:$I$100,"")+SUMIFS('21'!$J$7:$J$100,'21'!$H$7:$H$100,$A333,'21'!$I$7:$I$100,"")+SUMIFS('22'!$J$7:$J$100,'22'!$H$7:$H$100,$A333,'22'!$I$7:$I$100,"")+SUMIFS('22a'!$J$7:$J$100,'22a'!$H$7:$H$100,$A333,'22a'!$I$7:$I$100,"")+SUMIFS('22b'!$J$7:$J$100,'22b'!$H$7:$H$100,$A333,'22b'!$I$7:$I$100,"")+SUMIFS('23'!$J$7:$J$100,'23'!$H$7:$H$100,$A333,'23'!$I$7:$I$100,"")+SUMIFS('24'!$J$7:$J$100,'24'!$H$7:$H$100,$A333,'24'!$I$7:$I$100,"")+SUMIFS('24a'!$J$7:$J$100,'24a'!$H$7:$H$100,$A333,'24a'!$I$7:$I$100,"")+SUMIFS('24b'!$J$7:$J$100,'24b'!$H$7:$H$100,$A333,'24b'!$I$7:$I$100,"")+SUMIFS('24c'!$J$7:$J$100,'24c'!$H$7:$H$100,$A333,'24c'!$I$7:$I$100,"")+SUMIFS('24d'!$J$7:$J$100,'24d'!$H$7:$H$100,$A333,'24d'!$I$7:$I$100,"")+SUMIFS('24e'!$J$7:$J$100,'24e'!$H$7:$H$100,$A333,'24e'!$I$7:$I$100,"")+SUMIFS('24f'!$J$7:$J$100,'24f'!$H$7:$H$100,$A333,'24f'!$I$7:$I$100,"")+SUMIFS('24g'!$J$7:$J$100,'24g'!$H$7:$H$100,$A333,'24g'!$I$7:$I$100,"")+SUMIFS('24h'!$J$7:$J$100,'24h'!$H$7:$H$100,$A333,'24h'!$I$7:$I$100,"")+SUMIFS('24i'!$J$7:$J$100,'24i'!$H$7:$H$100,$A333,'24i'!$I$7:$I$100,"")+SUMIFS('25'!$J$7:$J$100,'25'!$H$7:$H$100,$A333,'25'!$I$7:$I$100,"")+SUMIFS('26'!$J$7:$J$100,'26'!$H$7:$H$100,$A333,'26'!$I$7:$I$100,"")+SUMIFS('26a'!$J$7:$J$100,'26a'!$H$7:$H$100,$A333,'26a'!$I$7:$I$100,"")+SUMIFS('27'!$J$7:$J$100,'27'!$H$7:$H$100,$A333,'27'!$I$7:$I$100,"")+SUMIFS('27a'!$J$7:$J$100,'27a'!$H$7:$H$100,$A333,'27a'!$I$7:$I$100,"")+SUMIFS('28'!$J$7:$J$100,'28'!$H$7:$H$100,$A333,'28'!$I$7:$I$100,"")+SUMIFS('29'!$J$7:$J$100,'29'!$H$7:$H$100,$A333,'29'!$I$7:$I$100,"")</f>
        <v>0</v>
      </c>
      <c r="J333" s="1296">
        <f t="shared" si="44"/>
        <v>0</v>
      </c>
      <c r="K333"/>
      <c r="L333"/>
      <c r="M333"/>
      <c r="N333"/>
      <c r="O333"/>
      <c r="P333"/>
      <c r="Q333"/>
      <c r="R333"/>
      <c r="S333" s="1307">
        <f t="shared" si="30"/>
        <v>0</v>
      </c>
      <c r="T333"/>
    </row>
    <row r="334" spans="1:20" x14ac:dyDescent="0.2">
      <c r="A334" t="s">
        <v>5204</v>
      </c>
      <c r="B334" s="784" t="s">
        <v>5595</v>
      </c>
      <c r="C334" s="1295">
        <f>SUMIFS('12'!$N$7:$N$100,'12'!$H$7:$H$100,$A334,'12'!$I$7:$I$100,1)+SUMIFS('13'!$N$7:$N$100,'13'!$H$7:$H$100,$A334,'13'!$I$7:$I$100,1)+SUMIFS('14'!$N$7:$N$100,'14'!$H$7:$H$100,$A334,'14'!$I$7:$I$100,1)+SUMIFS('15'!$N$7:$N$100,'15'!$H$7:$H$100,$A334,'15'!$I$7:$I$100,1)+SUMIFS('15a'!$N$7:$N$100,'15a'!$H$7:$H$100,$A334,'15a'!$I$7:$I$100,1)+SUMIFS('15b'!$N$7:$N$100,'15b'!$H$7:$H$100,$A334,'15b'!$I$7:$I$100,1)+SUMIFS('15c'!$N$7:$N$100,'15c'!$H$7:$H$100,$A334,'15c'!$I$7:$I$100,1)+SUMIFS('15d'!$N$7:$N$100,'15d'!$H$7:$H$100,$A334,'15d'!$I$7:$I$100,1)+SUMIFS('15e'!$N$7:$N$100,'15e'!$H$7:$H$100,$A334,'15e'!$I$7:$I$100,1)+SUMIFS('15f'!$N$7:$N$100,'15f'!$H$7:$H$100,$A334,'15f'!$I$7:$I$100,1)+SUMIFS('15g'!$N$7:$N$100,'15g'!$H$7:$H$100,$A334,'15g'!$I$7:$I$100,1)+SUMIFS('15h'!$N$7:$N$100,'15h'!$H$7:$H$100,$A334,'15h'!$I$7:$I$100,1)+SUMIFS('15i'!$N$7:$N$100,'15i'!$H$7:$H$100,$A334,'15i'!$I$7:$I$100,1)+SUMIFS('15j'!$N$7:$N$100,'15j'!$H$7:$H$100,$A334,'15j'!$I$7:$I$100,1)+SUMIFS('15k'!$N$7:$N$100,'15k'!$H$7:$H$100,$A334,'15k'!$I$7:$I$100,1)+SUMIFS('15l'!$N$7:$N$100,'15l'!$H$7:$H$100,$A334,'15l'!$I$7:$I$100,1)+SUMIFS('15m'!$N$7:$N$100,'15m'!$H$7:$H$100,$A334,'15m'!$I$7:$I$100,1)+SUMIFS('15n'!$N$7:$N$100,'15n'!$H$7:$H$100,$A334,'15n'!$I$7:$I$100,1)+SUMIFS('16'!$N$7:$N$100,'16'!$H$7:$H$100,$A334,'16'!$I$7:$I$100,1)+SUMIFS('16a'!$N$7:$N$100,'16a'!$H$7:$H$100,$A334,'16a'!$I$7:$I$100,1)+SUMIFS('17'!$N$7:$N$100,'17'!$H$7:$H$100,$A334,'17'!$I$7:$I$100,1)+SUMIFS('17a'!$N$7:$N$100,'17a'!$H$7:$H$100,$A334,'17a'!$I$7:$I$100,1)+SUMIFS('18'!$N$7:$N$100,'18'!$H$7:$H$100,$A334,'18'!$I$7:$I$100,1)+SUMIFS('18a'!$N$7:$N$100,'18a'!$H$7:$H$100,$A334,'18a'!$I$7:$I$100,1)
+SUMIFS('19'!$N$7:$N$100,'19'!$H$7:$H$100,$A334,'19'!$I$7:$I$100,1)+SUMIFS('20'!$N$7:$N$100,'20'!$H$7:$H$100,$A334,'20'!$I$7:$I$100,1)+SUMIFS('20a'!$N$7:$N$100,'20a'!$H$7:$H$100,$A334,'20a'!$I$7:$I$100,1)+SUMIFS('21'!$N$7:$N$100,'21'!$H$7:$H$100,$A334,'21'!$I$7:$I$100,1)+SUMIFS('22'!$N$7:$N$100,'22'!$H$7:$H$100,$A334,'22'!$I$7:$I$100,1)+SUMIFS('22a'!$N$7:$N$100,'22a'!$H$7:$H$100,$A334,'22a'!$I$7:$I$100,1)+SUMIFS('22b'!$N$7:$N$100,'22b'!$H$7:$H$100,$A334,'22b'!$I$7:$I$100,1)+SUMIFS('23'!$N$7:$N$100,'23'!$H$7:$H$100,$A334,'23'!$I$7:$I$100,1)+SUMIFS('24'!$N$7:$N$100,'24'!$H$7:$H$100,$A334,'24'!$I$7:$I$100,1)+SUMIFS('24a'!$N$7:$N$100,'24a'!$H$7:$H$100,$A334,'24a'!$I$7:$I$100,1)+SUMIFS('24b'!$N$7:$N$100,'24b'!$H$7:$H$100,$A334,'24b'!$I$7:$I$100,1)+SUMIFS('24c'!$N$7:$N$100,'24c'!$H$7:$H$100,$A334,'24c'!$I$7:$I$100,1)+SUMIFS('24d'!$N$7:$N$100,'24d'!$H$7:$H$100,$A334,'24d'!$I$7:$I$100,1)+SUMIFS('24e'!$N$7:$N$100,'24e'!$H$7:$H$100,$A334,'24e'!$I$7:$I$100,1)+SUMIFS('24f'!$N$7:$N$100,'24f'!$H$7:$H$100,$A334,'24f'!$I$7:$I$100,1)+SUMIFS('24g'!$N$7:$N$100,'24g'!$H$7:$H$100,$A334,'24g'!$I$7:$I$100,1)+SUMIFS('24h'!$N$7:$N$100,'24h'!$H$7:$H$100,$A334,'24h'!$I$7:$I$100,1)+SUMIFS('24i'!$N$7:$N$100,'24i'!$H$7:$H$100,$A334,'24i'!$I$7:$I$100,1)+SUMIFS('25'!$N$7:$N$100,'25'!$H$7:$H$100,$A334,'25'!$I$7:$I$100,1)+SUMIFS('26'!$N$7:$N$100,'26'!$H$7:$H$100,$A334,'26'!$I$7:$I$100,1)+SUMIFS('26a'!$N$7:$N$100,'26a'!$H$7:$H$100,$A334,'26a'!$I$7:$I$100,1)+SUMIFS('27'!$N$7:$N$100,'27'!$H$7:$H$100,$A334,'27'!$I$7:$I$100,1)+SUMIFS('27a'!$N$7:$N$100,'27a'!$H$7:$H$100,$A334,'27a'!$I$7:$I$100,1)+SUMIFS('28'!$N$7:$N$100,'28'!$H$7:$H$100,$A334,'28'!$I$7:$I$100,1)+SUMIFS('29'!$N$7:$N$100,'29'!$H$7:$H$100,$A334,'29'!$I$7:$I$100,1)</f>
        <v>0</v>
      </c>
      <c r="D334" s="1315">
        <f>SUMIFS('12'!$N$7:$N$100,'12'!$H$7:$H$100,$A334,'12'!$I$7:$I$100,2)+SUMIFS('13'!$N$7:$N$100,'13'!$H$7:$H$100,$A334,'13'!$I$7:$I$100,2)+SUMIFS('14'!$N$7:$N$100,'14'!$H$7:$H$100,$A334,'14'!$I$7:$I$100,2)+SUMIFS('15'!$N$7:$N$100,'15'!$H$7:$H$100,$A334,'15'!$I$7:$I$100,2)+SUMIFS('15a'!$N$7:$N$100,'15a'!$H$7:$H$100,$A334,'15a'!$I$7:$I$100,2)+SUMIFS('15b'!$N$7:$N$100,'15b'!$H$7:$H$100,$A334,'15b'!$I$7:$I$100,2)+SUMIFS('15c'!$N$7:$N$100,'15c'!$H$7:$H$100,$A334,'15c'!$I$7:$I$100,2)+SUMIFS('15d'!$N$7:$N$100,'15d'!$H$7:$H$100,$A334,'15d'!$I$7:$I$100,2)+SUMIFS('15e'!$N$7:$N$100,'15e'!$H$7:$H$100,$A334,'15e'!$I$7:$I$100,2)+SUMIFS('15f'!$N$7:$N$100,'15f'!$H$7:$H$100,$A334,'15f'!$I$7:$I$100,2)+SUMIFS('15g'!$N$7:$N$100,'15g'!$H$7:$H$100,$A334,'15g'!$I$7:$I$100,2)+SUMIFS('15h'!$N$7:$N$100,'15h'!$H$7:$H$100,$A334,'15h'!$I$7:$I$100,2)+SUMIFS('15i'!$N$7:$N$100,'15i'!$H$7:$H$100,$A334,'15i'!$I$7:$I$100,2)+SUMIFS('15j'!$N$7:$N$100,'15j'!$H$7:$H$100,$A334,'15j'!$I$7:$I$100,2)+SUMIFS('15k'!$N$7:$N$100,'15k'!$H$7:$H$100,$A334,'15k'!$I$7:$I$100,2)+SUMIFS('15l'!$N$7:$N$100,'15l'!$H$7:$H$100,$A334,'15l'!$I$7:$I$100,2)+SUMIFS('15m'!$N$7:$N$100,'15m'!$H$7:$H$100,$A334,'15m'!$I$7:$I$100,2)+SUMIFS('15n'!$N$7:$N$100,'15n'!$H$7:$H$100,$A334,'15n'!$I$7:$I$100,2)+SUMIFS('16'!$N$7:$N$100,'16'!$H$7:$H$100,$A334,'16'!$I$7:$I$100,2)+SUMIFS('16a'!$N$7:$N$100,'16a'!$H$7:$H$100,$A334,'16a'!$I$7:$I$100,2)+SUMIFS('17'!$N$7:$N$100,'17'!$H$7:$H$100,$A334,'17'!$I$7:$I$100,2)+SUMIFS('17a'!$N$7:$N$100,'17a'!$H$7:$H$100,$A334,'17a'!$I$7:$I$100,2)+SUMIFS('18'!$N$7:$N$100,'18'!$H$7:$H$100,$A334,'18'!$I$7:$I$100,2)+SUMIFS('18a'!$N$7:$N$100,'18a'!$H$7:$H$100,$A334,'18a'!$I$7:$I$100,2)
+SUMIFS('19'!$N$7:$N$100,'19'!$H$7:$H$100,$A334,'19'!$I$7:$I$100,2)+SUMIFS('20'!$N$7:$N$100,'20'!$H$7:$H$100,$A334,'20'!$I$7:$I$100,2)+SUMIFS('20a'!$N$7:$N$100,'20a'!$H$7:$H$100,$A334,'20a'!$I$7:$I$100,2)+SUMIFS('21'!$N$7:$N$100,'21'!$H$7:$H$100,$A334,'21'!$I$7:$I$100,2)+SUMIFS('22'!$N$7:$N$100,'22'!$H$7:$H$100,$A334,'22'!$I$7:$I$100,2)+SUMIFS('22a'!$N$7:$N$100,'22a'!$H$7:$H$100,$A334,'22a'!$I$7:$I$100,2)+SUMIFS('22b'!$N$7:$N$100,'22b'!$H$7:$H$100,$A334,'22b'!$I$7:$I$100,2)+SUMIFS('23'!$N$7:$N$100,'23'!$H$7:$H$100,$A334,'23'!$I$7:$I$100,2)+SUMIFS('24'!$N$7:$N$100,'24'!$H$7:$H$100,$A334,'24'!$I$7:$I$100,2)+SUMIFS('24a'!$N$7:$N$100,'24a'!$H$7:$H$100,$A334,'24a'!$I$7:$I$100,2)+SUMIFS('24b'!$N$7:$N$100,'24b'!$H$7:$H$100,$A334,'24b'!$I$7:$I$100,2)+SUMIFS('24c'!$N$7:$N$100,'24c'!$H$7:$H$100,$A334,'24c'!$I$7:$I$100,2)+SUMIFS('24d'!$N$7:$N$100,'24d'!$H$7:$H$100,$A334,'24d'!$I$7:$I$100,2)+SUMIFS('24e'!$N$7:$N$100,'24e'!$H$7:$H$100,$A334,'24e'!$I$7:$I$100,2)+SUMIFS('24f'!$N$7:$N$100,'24f'!$H$7:$H$100,$A334,'24f'!$I$7:$I$100,2)+SUMIFS('24g'!$N$7:$N$100,'24g'!$H$7:$H$100,$A334,'24g'!$I$7:$I$100,2)+SUMIFS('24h'!$N$7:$N$100,'24h'!$H$7:$H$100,$A334,'24h'!$I$7:$I$100,2)+SUMIFS('24i'!$N$7:$N$100,'24i'!$H$7:$H$100,$A334,'24i'!$I$7:$I$100,2)+SUMIFS('25'!$N$7:$N$100,'25'!$H$7:$H$100,$A334,'25'!$I$7:$I$100,2)+SUMIFS('26'!$N$7:$N$100,'26'!$H$7:$H$100,$A334,'26'!$I$7:$I$100,2)+SUMIFS('26a'!$N$7:$N$100,'26a'!$H$7:$H$100,$A334,'26a'!$I$7:$I$100,2)+SUMIFS('27'!$N$7:$N$100,'27'!$H$7:$H$100,$A334,'27'!$I$7:$I$100,2)+SUMIFS('27a'!$N$7:$N$100,'27a'!$H$7:$H$100,$A334,'27a'!$I$7:$I$100,2)+SUMIFS('28'!$N$7:$N$100,'28'!$H$7:$H$100,$A334,'28'!$I$7:$I$100,2)+SUMIFS('29'!$N$7:$N$100,'29'!$H$7:$H$100,$A334,'29'!$I$7:$I$100,2)</f>
        <v>0</v>
      </c>
      <c r="E334" s="1315">
        <f>SUMIFS('12'!$N$7:$N$100,'12'!$H$7:$H$100,$A334,'12'!$I$7:$I$100,"")+SUMIFS('13'!$N$7:$N$100,'13'!$H$7:$H$100,$A334,'13'!$I$7:$I$100,"")+SUMIFS('14'!$N$7:$N$100,'14'!$H$7:$H$100,$A334,'14'!$I$7:$I$100,"")+SUMIFS('15'!$N$7:$N$100,'15'!$H$7:$H$100,$A334,'15'!$I$7:$I$100,"")+SUMIFS('15a'!$N$7:$N$100,'15a'!$H$7:$H$100,$A334,'15a'!$I$7:$I$100,"")+SUMIFS('15b'!$N$7:$N$100,'15b'!$H$7:$H$100,$A334,'15b'!$I$7:$I$100,"")+SUMIFS('15c'!$N$7:$N$100,'15c'!$H$7:$H$100,$A334,'15c'!$I$7:$I$100,"")+SUMIFS('15d'!$N$7:$N$100,'15d'!$H$7:$H$100,$A334,'15d'!$I$7:$I$100,"")+SUMIFS('15e'!$N$7:$N$100,'15e'!$H$7:$H$100,$A334,'15e'!$I$7:$I$100,"")+SUMIFS('15f'!$N$7:$N$100,'15f'!$H$7:$H$100,$A334,'15f'!$I$7:$I$100,"")+SUMIFS('15g'!$N$7:$N$100,'15g'!$H$7:$H$100,$A334,'15g'!$I$7:$I$100,"")+SUMIFS('15h'!$N$7:$N$100,'15h'!$H$7:$H$100,$A334,'15h'!$I$7:$I$100,"")+SUMIFS('15i'!$N$7:$N$100,'15i'!$H$7:$H$100,$A334,'15i'!$I$7:$I$100,"")+SUMIFS('15j'!$N$7:$N$100,'15j'!$H$7:$H$100,$A334,'15j'!$I$7:$I$100,"")+SUMIFS('15k'!$N$7:$N$100,'15k'!$H$7:$H$100,$A334,'15k'!$I$7:$I$100,"")+SUMIFS('15l'!$N$7:$N$100,'15l'!$H$7:$H$100,$A334,'15l'!$I$7:$I$100,"")+SUMIFS('15m'!$N$7:$N$100,'15m'!$H$7:$H$100,$A334,'15m'!$I$7:$I$100,"")+SUMIFS('15n'!$N$7:$N$100,'15n'!$H$7:$H$100,$A334,'15n'!$I$7:$I$100,"")+SUMIFS('16'!$N$7:$N$100,'16'!$H$7:$H$100,$A334,'16'!$I$7:$I$100,"")+SUMIFS('16a'!$N$7:$N$100,'16a'!$H$7:$H$100,$A334,'16a'!$I$7:$I$100,"")+SUMIFS('17'!$N$7:$N$100,'17'!$H$7:$H$100,$A334,'17'!$I$7:$I$100,"")+SUMIFS('17a'!$N$7:$N$100,'17a'!$H$7:$H$100,$A334,'17a'!$I$7:$I$100,"")+SUMIFS('18'!$N$7:$N$100,'18'!$H$7:$H$100,$A334,'18'!$I$7:$I$100,"")+SUMIFS('18a'!$N$7:$N$100,'18a'!$H$7:$H$100,$A334,'18a'!$I$7:$I$100,"")
+SUMIFS('19'!$N$7:$N$100,'19'!$H$7:$H$100,$A334,'19'!$I$7:$I$100,"")+SUMIFS('20'!$N$7:$N$100,'20'!$H$7:$H$100,$A334,'20'!$I$7:$I$100,"")+SUMIFS('20a'!$N$7:$N$100,'20a'!$H$7:$H$100,$A334,'20a'!$I$7:$I$100,"")+SUMIFS('21'!$N$7:$N$100,'21'!$H$7:$H$100,$A334,'21'!$I$7:$I$100,"")+SUMIFS('22'!$N$7:$N$100,'22'!$H$7:$H$100,$A334,'22'!$I$7:$I$100,"")+SUMIFS('22a'!$N$7:$N$100,'22a'!$H$7:$H$100,$A334,'22a'!$I$7:$I$100,"")+SUMIFS('22b'!$N$7:$N$100,'22b'!$H$7:$H$100,$A334,'22b'!$I$7:$I$100,"")+SUMIFS('23'!$N$7:$N$100,'23'!$H$7:$H$100,$A334,'23'!$I$7:$I$100,"")+SUMIFS('24'!$N$7:$N$100,'24'!$H$7:$H$100,$A334,'24'!$I$7:$I$100,"")+SUMIFS('24a'!$N$7:$N$100,'24a'!$H$7:$H$100,$A334,'24a'!$I$7:$I$100,"")+SUMIFS('24b'!$N$7:$N$100,'24b'!$H$7:$H$100,$A334,'24b'!$I$7:$I$100,"")+SUMIFS('24c'!$N$7:$N$100,'24c'!$H$7:$H$100,$A334,'24c'!$I$7:$I$100,"")+SUMIFS('24d'!$N$7:$N$100,'24d'!$H$7:$H$100,$A334,'24d'!$I$7:$I$100,"")+SUMIFS('24e'!$N$7:$N$100,'24e'!$H$7:$H$100,$A334,'24e'!$I$7:$I$100,"")+SUMIFS('24f'!$N$7:$N$100,'24f'!$H$7:$H$100,$A334,'24f'!$I$7:$I$100,"")+SUMIFS('24g'!$N$7:$N$100,'24g'!$H$7:$H$100,$A334,'24g'!$I$7:$I$100,"")+SUMIFS('24h'!$N$7:$N$100,'24h'!$H$7:$H$100,$A334,'24h'!$I$7:$I$100,"")+SUMIFS('24i'!$N$7:$N$100,'24i'!$H$7:$H$100,$A334,'24i'!$I$7:$I$100,"")+SUMIFS('25'!$N$7:$N$100,'25'!$H$7:$H$100,$A334,'25'!$I$7:$I$100,"")+SUMIFS('26'!$N$7:$N$100,'26'!$H$7:$H$100,$A334,'26'!$I$7:$I$100,"")+SUMIFS('26a'!$N$7:$N$100,'26a'!$H$7:$H$100,$A334,'26a'!$I$7:$I$100,"")+SUMIFS('27'!$N$7:$N$100,'27'!$H$7:$H$100,$A334,'27'!$I$7:$I$100,"")+SUMIFS('27a'!$N$7:$N$100,'27a'!$H$7:$H$100,$A334,'27a'!$I$7:$I$100,"")+SUMIFS('28'!$N$7:$N$100,'28'!$H$7:$H$100,$A334,'28'!$I$7:$I$100,"")+SUMIFS('29'!$N$7:$N$100,'29'!$H$7:$H$100,$A334,'29'!$I$7:$I$100,"")</f>
        <v>0</v>
      </c>
      <c r="F334" s="1296">
        <f t="shared" si="43"/>
        <v>0</v>
      </c>
      <c r="G334" s="1295">
        <f>SUMIFS('12'!$J$7:$J$100,'12'!$H$7:$H$100,$A334,'12'!$I$7:$I$100,1)+SUMIFS('13'!$J$7:$J$100,'13'!$H$7:$H$100,$A334,'13'!$I$7:$I$100,1)+SUMIFS('14'!$J$7:$J$100,'14'!$H$7:$H$100,$A334,'14'!$I$7:$I$100,1)+SUMIFS('15'!$J$7:$J$100,'15'!$H$7:$H$100,$A334,'15'!$I$7:$I$100,1)+SUMIFS('15a'!$J$7:$J$100,'15a'!$H$7:$H$100,$A334,'15a'!$I$7:$I$100,1)+SUMIFS('15b'!$J$7:$J$100,'15b'!$H$7:$H$100,$A334,'15b'!$I$7:$I$100,1)+SUMIFS('15c'!$J$7:$J$100,'15c'!$H$7:$H$100,$A334,'15c'!$I$7:$I$100,1)+SUMIFS('15d'!$J$7:$J$100,'15d'!$H$7:$H$100,$A334,'15d'!$I$7:$I$100,1)+SUMIFS('15e'!$J$7:$J$100,'15e'!$H$7:$H$100,$A334,'15e'!$I$7:$I$100,1)+SUMIFS('15f'!$J$7:$J$100,'15f'!$H$7:$H$100,$A334,'15f'!$I$7:$I$100,1)+SUMIFS('15g'!$J$7:$J$100,'15g'!$H$7:$H$100,$A334,'15g'!$I$7:$I$100,1)+SUMIFS('15h'!$J$7:$J$100,'15h'!$H$7:$H$100,$A334,'15h'!$I$7:$I$100,1)+SUMIFS('15i'!$J$7:$J$100,'15i'!$H$7:$H$100,$A334,'15i'!$I$7:$I$100,1)+SUMIFS('15j'!$J$7:$J$100,'15j'!$H$7:$H$100,$A334,'15j'!$I$7:$I$100,1)+SUMIFS('15k'!$J$7:$J$100,'15k'!$H$7:$H$100,$A334,'15k'!$I$7:$I$100,1)+SUMIFS('15l'!$J$7:$J$100,'15l'!$H$7:$H$100,$A334,'15l'!$I$7:$I$100,1)+SUMIFS('15m'!$J$7:$J$100,'15m'!$H$7:$H$100,$A334,'15m'!$I$7:$I$100,1)+SUMIFS('15n'!$J$7:$J$100,'15n'!$H$7:$H$100,$A334,'15n'!$I$7:$I$100,1)+SUMIFS('16'!$J$7:$J$100,'16'!$H$7:$H$100,$A334,'16'!$I$7:$I$100,1)+SUMIFS('16a'!$J$7:$J$100,'16a'!$H$7:$H$100,$A334,'16a'!$I$7:$I$100,1)+SUMIFS('17'!$J$7:$J$100,'17'!$H$7:$H$100,$A334,'17'!$I$7:$I$100,1)+SUMIFS('17a'!$J$7:$J$100,'17a'!$H$7:$H$100,$A334,'17a'!$I$7:$I$100,1)+SUMIFS('18'!$J$7:$J$100,'18'!$H$7:$H$100,$A334,'18'!$I$7:$I$100,1)+SUMIFS('18a'!$J$7:$J$100,'18a'!$H$7:$H$100,$A334,'18a'!$I$7:$I$100,1)
+SUMIFS('19'!$J$7:$J$100,'19'!$H$7:$H$100,$A334,'19'!$I$7:$I$100,1)+SUMIFS('20'!$J$7:$J$100,'20'!$H$7:$H$100,$A334,'20'!$I$7:$I$100,1)+SUMIFS('20a'!$J$7:$J$100,'20a'!$H$7:$H$100,$A334,'20a'!$I$7:$I$100,1)+SUMIFS('21'!$J$7:$J$100,'21'!$H$7:$H$100,$A334,'21'!$I$7:$I$100,1)+SUMIFS('22'!$J$7:$J$100,'22'!$H$7:$H$100,$A334,'22'!$I$7:$I$100,1)+SUMIFS('22a'!$J$7:$J$100,'22a'!$H$7:$H$100,$A334,'22a'!$I$7:$I$100,1)+SUMIFS('22b'!$J$7:$J$100,'22b'!$H$7:$H$100,$A334,'22b'!$I$7:$I$100,1)+SUMIFS('23'!$J$7:$J$100,'23'!$H$7:$H$100,$A334,'23'!$I$7:$I$100,1)+SUMIFS('24'!$J$7:$J$100,'24'!$H$7:$H$100,$A334,'24'!$I$7:$I$100,1)+SUMIFS('24a'!$J$7:$J$100,'24a'!$H$7:$H$100,$A334,'24a'!$I$7:$I$100,1)+SUMIFS('24b'!$J$7:$J$100,'24b'!$H$7:$H$100,$A334,'24b'!$I$7:$I$100,1)+SUMIFS('24c'!$J$7:$J$100,'24c'!$H$7:$H$100,$A334,'24c'!$I$7:$I$100,1)+SUMIFS('24d'!$J$7:$J$100,'24d'!$H$7:$H$100,$A334,'24d'!$I$7:$I$100,1)+SUMIFS('24e'!$J$7:$J$100,'24e'!$H$7:$H$100,$A334,'24e'!$I$7:$I$100,1)+SUMIFS('24f'!$J$7:$J$100,'24f'!$H$7:$H$100,$A334,'24f'!$I$7:$I$100,1)+SUMIFS('24g'!$J$7:$J$100,'24g'!$H$7:$H$100,$A334,'24g'!$I$7:$I$100,1)+SUMIFS('24h'!$J$7:$J$100,'24h'!$H$7:$H$100,$A334,'24h'!$I$7:$I$100,1)+SUMIFS('24i'!$J$7:$J$100,'24i'!$H$7:$H$100,$A334,'24i'!$I$7:$I$100,1)+SUMIFS('25'!$J$7:$J$100,'25'!$H$7:$H$100,$A334,'25'!$I$7:$I$100,1)+SUMIFS('26'!$J$7:$J$100,'26'!$H$7:$H$100,$A334,'26'!$I$7:$I$100,1)+SUMIFS('26a'!$J$7:$J$100,'26a'!$H$7:$H$100,$A334,'26a'!$I$7:$I$100,1)+SUMIFS('27'!$J$7:$J$100,'27'!$H$7:$H$100,$A334,'27'!$I$7:$I$100,1)+SUMIFS('27a'!$J$7:$J$100,'27a'!$H$7:$H$100,$A334,'27a'!$I$7:$I$100,1)+SUMIFS('28'!$J$7:$J$100,'28'!$H$7:$H$100,$A334,'28'!$I$7:$I$100,1)+SUMIFS('29'!$J$7:$J$100,'29'!$H$7:$H$100,$A334,'29'!$I$7:$I$100,1)</f>
        <v>0</v>
      </c>
      <c r="H334" s="1315">
        <f>SUMIFS('12'!$J$7:$J$100,'12'!$H$7:$H$100,$A334,'12'!$I$7:$I$100,2)+SUMIFS('13'!$J$7:$J$100,'13'!$H$7:$H$100,$A334,'13'!$I$7:$I$100,2)+SUMIFS('14'!$J$7:$J$100,'14'!$H$7:$H$100,$A334,'14'!$I$7:$I$100,2)+SUMIFS('15'!$J$7:$J$100,'15'!$H$7:$H$100,$A334,'15'!$I$7:$I$100,2)+SUMIFS('15a'!$J$7:$J$100,'15a'!$H$7:$H$100,$A334,'15a'!$I$7:$I$100,2)+SUMIFS('15b'!$J$7:$J$100,'15b'!$H$7:$H$100,$A334,'15b'!$I$7:$I$100,2)+SUMIFS('15c'!$J$7:$J$100,'15c'!$H$7:$H$100,$A334,'15c'!$I$7:$I$100,2)+SUMIFS('15d'!$J$7:$J$100,'15d'!$H$7:$H$100,$A334,'15d'!$I$7:$I$100,2)+SUMIFS('15e'!$J$7:$J$100,'15e'!$H$7:$H$100,$A334,'15e'!$I$7:$I$100,2)+SUMIFS('15f'!$J$7:$J$100,'15f'!$H$7:$H$100,$A334,'15f'!$I$7:$I$100,2)+SUMIFS('15g'!$J$7:$J$100,'15g'!$H$7:$H$100,$A334,'15g'!$I$7:$I$100,2)+SUMIFS('15h'!$J$7:$J$100,'15h'!$H$7:$H$100,$A334,'15h'!$I$7:$I$100,2)+SUMIFS('15i'!$J$7:$J$100,'15i'!$H$7:$H$100,$A334,'15i'!$I$7:$I$100,2)+SUMIFS('15j'!$J$7:$J$100,'15j'!$H$7:$H$100,$A334,'15j'!$I$7:$I$100,2)+SUMIFS('15k'!$J$7:$J$100,'15k'!$H$7:$H$100,$A334,'15k'!$I$7:$I$100,2)+SUMIFS('15l'!$J$7:$J$100,'15l'!$H$7:$H$100,$A334,'15l'!$I$7:$I$100,2)+SUMIFS('15m'!$J$7:$J$100,'15m'!$H$7:$H$100,$A334,'15m'!$I$7:$I$100,2)+SUMIFS('15n'!$J$7:$J$100,'15n'!$H$7:$H$100,$A334,'15n'!$I$7:$I$100,2)+SUMIFS('16'!$J$7:$J$100,'16'!$H$7:$H$100,$A334,'16'!$I$7:$I$100,2)+SUMIFS('16a'!$J$7:$J$100,'16a'!$H$7:$H$100,$A334,'16a'!$I$7:$I$100,2)+SUMIFS('17'!$J$7:$J$100,'17'!$H$7:$H$100,$A334,'17'!$I$7:$I$100,2)+SUMIFS('17a'!$J$7:$J$100,'17a'!$H$7:$H$100,$A334,'17a'!$I$7:$I$100,2)+SUMIFS('18'!$J$7:$J$100,'18'!$H$7:$H$100,$A334,'18'!$I$7:$I$100,2)+SUMIFS('18a'!$J$7:$J$100,'18a'!$H$7:$H$100,$A334,'18a'!$I$7:$I$100,2)
+SUMIFS('19'!$J$7:$J$100,'19'!$H$7:$H$100,$A334,'19'!$I$7:$I$100,2)+SUMIFS('20'!$J$7:$J$100,'20'!$H$7:$H$100,$A334,'20'!$I$7:$I$100,2)+SUMIFS('20a'!$J$7:$J$100,'20a'!$H$7:$H$100,$A334,'20a'!$I$7:$I$100,2)+SUMIFS('21'!$J$7:$J$100,'21'!$H$7:$H$100,$A334,'21'!$I$7:$I$100,2)+SUMIFS('22'!$J$7:$J$100,'22'!$H$7:$H$100,$A334,'22'!$I$7:$I$100,2)+SUMIFS('22a'!$J$7:$J$100,'22a'!$H$7:$H$100,$A334,'22a'!$I$7:$I$100,2)+SUMIFS('22b'!$J$7:$J$100,'22b'!$H$7:$H$100,$A334,'22b'!$I$7:$I$100,2)+SUMIFS('23'!$J$7:$J$100,'23'!$H$7:$H$100,$A334,'23'!$I$7:$I$100,2)+SUMIFS('24'!$J$7:$J$100,'24'!$H$7:$H$100,$A334,'24'!$I$7:$I$100,2)+SUMIFS('24a'!$J$7:$J$100,'24a'!$H$7:$H$100,$A334,'24a'!$I$7:$I$100,2)+SUMIFS('24b'!$J$7:$J$100,'24b'!$H$7:$H$100,$A334,'24b'!$I$7:$I$100,2)+SUMIFS('24c'!$J$7:$J$100,'24c'!$H$7:$H$100,$A334,'24c'!$I$7:$I$100,2)+SUMIFS('24d'!$J$7:$J$100,'24d'!$H$7:$H$100,$A334,'24d'!$I$7:$I$100,2)+SUMIFS('24e'!$J$7:$J$100,'24e'!$H$7:$H$100,$A334,'24e'!$I$7:$I$100,2)+SUMIFS('24f'!$J$7:$J$100,'24f'!$H$7:$H$100,$A334,'24f'!$I$7:$I$100,2)+SUMIFS('24g'!$J$7:$J$100,'24g'!$H$7:$H$100,$A334,'24g'!$I$7:$I$100,2)+SUMIFS('24h'!$J$7:$J$100,'24h'!$H$7:$H$100,$A334,'24h'!$I$7:$I$100,2)+SUMIFS('24i'!$J$7:$J$100,'24i'!$H$7:$H$100,$A334,'24i'!$I$7:$I$100,2)+SUMIFS('25'!$J$7:$J$100,'25'!$H$7:$H$100,$A334,'25'!$I$7:$I$100,2)+SUMIFS('26'!$J$7:$J$100,'26'!$H$7:$H$100,$A334,'26'!$I$7:$I$100,2)+SUMIFS('26a'!$J$7:$J$100,'26a'!$H$7:$H$100,$A334,'26a'!$I$7:$I$100,2)+SUMIFS('27'!$J$7:$J$100,'27'!$H$7:$H$100,$A334,'27'!$I$7:$I$100,2)+SUMIFS('27a'!$J$7:$J$100,'27a'!$H$7:$H$100,$A334,'27a'!$I$7:$I$100,2)+SUMIFS('28'!$J$7:$J$100,'28'!$H$7:$H$100,$A334,'28'!$I$7:$I$100,2)+SUMIFS('29'!$J$7:$J$100,'29'!$H$7:$H$100,$A334,'29'!$I$7:$I$100,2)</f>
        <v>0</v>
      </c>
      <c r="I334" s="1315">
        <f>SUMIFS('12'!$J$7:$J$100,'12'!$H$7:$H$100,$A334,'12'!$I$7:$I$100,"")+SUMIFS('13'!$J$7:$J$100,'13'!$H$7:$H$100,$A334,'13'!$I$7:$I$100,"")+SUMIFS('14'!$J$7:$J$100,'14'!$H$7:$H$100,$A334,'14'!$I$7:$I$100,"")+SUMIFS('15'!$J$7:$J$100,'15'!$H$7:$H$100,$A334,'15'!$I$7:$I$100,"")+SUMIFS('15a'!$J$7:$J$100,'15a'!$H$7:$H$100,$A334,'15a'!$I$7:$I$100,"")+SUMIFS('15b'!$J$7:$J$100,'15b'!$H$7:$H$100,$A334,'15b'!$I$7:$I$100,"")+SUMIFS('15c'!$J$7:$J$100,'15c'!$H$7:$H$100,$A334,'15c'!$I$7:$I$100,"")+SUMIFS('15d'!$J$7:$J$100,'15d'!$H$7:$H$100,$A334,'15d'!$I$7:$I$100,"")+SUMIFS('15e'!$J$7:$J$100,'15e'!$H$7:$H$100,$A334,'15e'!$I$7:$I$100,"")+SUMIFS('15f'!$J$7:$J$100,'15f'!$H$7:$H$100,$A334,'15f'!$I$7:$I$100,"")+SUMIFS('15g'!$J$7:$J$100,'15g'!$H$7:$H$100,$A334,'15g'!$I$7:$I$100,"")+SUMIFS('15h'!$J$7:$J$100,'15h'!$H$7:$H$100,$A334,'15h'!$I$7:$I$100,"")+SUMIFS('15i'!$J$7:$J$100,'15i'!$H$7:$H$100,$A334,'15i'!$I$7:$I$100,"")+SUMIFS('15j'!$J$7:$J$100,'15j'!$H$7:$H$100,$A334,'15j'!$I$7:$I$100,"")+SUMIFS('15k'!$J$7:$J$100,'15k'!$H$7:$H$100,$A334,'15k'!$I$7:$I$100,"")+SUMIFS('15l'!$J$7:$J$100,'15l'!$H$7:$H$100,$A334,'15l'!$I$7:$I$100,"")+SUMIFS('15m'!$J$7:$J$100,'15m'!$H$7:$H$100,$A334,'15m'!$I$7:$I$100,"")+SUMIFS('15n'!$J$7:$J$100,'15n'!$H$7:$H$100,$A334,'15n'!$I$7:$I$100,"")+SUMIFS('16'!$J$7:$J$100,'16'!$H$7:$H$100,$A334,'16'!$I$7:$I$100,"")+SUMIFS('16a'!$J$7:$J$100,'16a'!$H$7:$H$100,$A334,'16a'!$I$7:$I$100,"")+SUMIFS('17'!$J$7:$J$100,'17'!$H$7:$H$100,$A334,'17'!$I$7:$I$100,"")+SUMIFS('17a'!$J$7:$J$100,'17a'!$H$7:$H$100,$A334,'17a'!$I$7:$I$100,"")+SUMIFS('18'!$J$7:$J$100,'18'!$H$7:$H$100,$A334,'18'!$I$7:$I$100,"")+SUMIFS('18a'!$J$7:$J$100,'18a'!$H$7:$H$100,$A334,'18a'!$I$7:$I$100,"")
+SUMIFS('19'!$J$7:$J$100,'19'!$H$7:$H$100,$A334,'19'!$I$7:$I$100,"")+SUMIFS('20'!$J$7:$J$100,'20'!$H$7:$H$100,$A334,'20'!$I$7:$I$100,"")+SUMIFS('20a'!$J$7:$J$100,'20a'!$H$7:$H$100,$A334,'20a'!$I$7:$I$100,"")+SUMIFS('21'!$J$7:$J$100,'21'!$H$7:$H$100,$A334,'21'!$I$7:$I$100,"")+SUMIFS('22'!$J$7:$J$100,'22'!$H$7:$H$100,$A334,'22'!$I$7:$I$100,"")+SUMIFS('22a'!$J$7:$J$100,'22a'!$H$7:$H$100,$A334,'22a'!$I$7:$I$100,"")+SUMIFS('22b'!$J$7:$J$100,'22b'!$H$7:$H$100,$A334,'22b'!$I$7:$I$100,"")+SUMIFS('23'!$J$7:$J$100,'23'!$H$7:$H$100,$A334,'23'!$I$7:$I$100,"")+SUMIFS('24'!$J$7:$J$100,'24'!$H$7:$H$100,$A334,'24'!$I$7:$I$100,"")+SUMIFS('24a'!$J$7:$J$100,'24a'!$H$7:$H$100,$A334,'24a'!$I$7:$I$100,"")+SUMIFS('24b'!$J$7:$J$100,'24b'!$H$7:$H$100,$A334,'24b'!$I$7:$I$100,"")+SUMIFS('24c'!$J$7:$J$100,'24c'!$H$7:$H$100,$A334,'24c'!$I$7:$I$100,"")+SUMIFS('24d'!$J$7:$J$100,'24d'!$H$7:$H$100,$A334,'24d'!$I$7:$I$100,"")+SUMIFS('24e'!$J$7:$J$100,'24e'!$H$7:$H$100,$A334,'24e'!$I$7:$I$100,"")+SUMIFS('24f'!$J$7:$J$100,'24f'!$H$7:$H$100,$A334,'24f'!$I$7:$I$100,"")+SUMIFS('24g'!$J$7:$J$100,'24g'!$H$7:$H$100,$A334,'24g'!$I$7:$I$100,"")+SUMIFS('24h'!$J$7:$J$100,'24h'!$H$7:$H$100,$A334,'24h'!$I$7:$I$100,"")+SUMIFS('24i'!$J$7:$J$100,'24i'!$H$7:$H$100,$A334,'24i'!$I$7:$I$100,"")+SUMIFS('25'!$J$7:$J$100,'25'!$H$7:$H$100,$A334,'25'!$I$7:$I$100,"")+SUMIFS('26'!$J$7:$J$100,'26'!$H$7:$H$100,$A334,'26'!$I$7:$I$100,"")+SUMIFS('26a'!$J$7:$J$100,'26a'!$H$7:$H$100,$A334,'26a'!$I$7:$I$100,"")+SUMIFS('27'!$J$7:$J$100,'27'!$H$7:$H$100,$A334,'27'!$I$7:$I$100,"")+SUMIFS('27a'!$J$7:$J$100,'27a'!$H$7:$H$100,$A334,'27a'!$I$7:$I$100,"")+SUMIFS('28'!$J$7:$J$100,'28'!$H$7:$H$100,$A334,'28'!$I$7:$I$100,"")+SUMIFS('29'!$J$7:$J$100,'29'!$H$7:$H$100,$A334,'29'!$I$7:$I$100,"")</f>
        <v>0</v>
      </c>
      <c r="J334" s="1296">
        <f t="shared" si="44"/>
        <v>0</v>
      </c>
      <c r="K334"/>
      <c r="L334"/>
      <c r="M334"/>
      <c r="N334"/>
      <c r="O334"/>
      <c r="P334"/>
      <c r="Q334"/>
      <c r="R334"/>
      <c r="S334" s="1307">
        <f t="shared" si="30"/>
        <v>0</v>
      </c>
      <c r="T334"/>
    </row>
    <row r="335" spans="1:20" x14ac:dyDescent="0.2">
      <c r="A335"/>
      <c r="B335" s="1289" t="str">
        <f>"Total- "&amp;A324</f>
        <v>Total- Utilities and Bulk Purchases</v>
      </c>
      <c r="C335" s="1297">
        <f>SUM(C325:C334)</f>
        <v>0</v>
      </c>
      <c r="D335" s="1290">
        <f t="shared" ref="D335:I335" si="45">SUM(D325:D334)</f>
        <v>19996.100000000002</v>
      </c>
      <c r="E335" s="1290">
        <f t="shared" si="45"/>
        <v>0</v>
      </c>
      <c r="F335" s="1298">
        <f t="shared" si="45"/>
        <v>19996.100000000002</v>
      </c>
      <c r="G335" s="1297">
        <f t="shared" si="45"/>
        <v>0</v>
      </c>
      <c r="H335" s="1290">
        <f t="shared" si="45"/>
        <v>27022.309999999998</v>
      </c>
      <c r="I335" s="1290">
        <f t="shared" si="45"/>
        <v>0</v>
      </c>
      <c r="J335" s="1298">
        <f>SUM(J325:J334)</f>
        <v>27022.309999999998</v>
      </c>
      <c r="K335"/>
      <c r="L335"/>
      <c r="M335"/>
      <c r="N335"/>
      <c r="O335"/>
      <c r="P335"/>
      <c r="Q335"/>
      <c r="R335"/>
      <c r="S335" s="1307"/>
      <c r="T335"/>
    </row>
    <row r="336" spans="1:20" x14ac:dyDescent="0.2">
      <c r="A336"/>
      <c r="B336"/>
      <c r="C336" s="292"/>
      <c r="D336"/>
      <c r="E336"/>
      <c r="F336" s="345"/>
      <c r="G336" s="292"/>
      <c r="H336"/>
      <c r="I336"/>
      <c r="J336" s="345"/>
      <c r="K336"/>
      <c r="L336"/>
      <c r="M336"/>
      <c r="N336"/>
      <c r="O336"/>
      <c r="P336"/>
      <c r="Q336"/>
      <c r="R336"/>
      <c r="S336" s="1307"/>
      <c r="T336"/>
    </row>
    <row r="337" spans="1:20" x14ac:dyDescent="0.2">
      <c r="A337" s="106" t="s">
        <v>5449</v>
      </c>
      <c r="B337" s="5"/>
      <c r="C337" s="1299"/>
      <c r="D337" s="523"/>
      <c r="E337" s="5"/>
      <c r="F337" s="1322"/>
      <c r="G337" s="1299"/>
      <c r="H337" s="523"/>
      <c r="I337" s="5"/>
      <c r="J337" s="1322"/>
      <c r="K337"/>
      <c r="L337"/>
      <c r="M337"/>
      <c r="N337"/>
      <c r="O337"/>
      <c r="P337"/>
      <c r="Q337"/>
      <c r="R337"/>
      <c r="S337" s="1307"/>
      <c r="T337"/>
    </row>
    <row r="338" spans="1:20" x14ac:dyDescent="0.2">
      <c r="A338" t="s">
        <v>5123</v>
      </c>
      <c r="B338" s="784" t="s">
        <v>5587</v>
      </c>
      <c r="C338" s="1295">
        <f>SUMIFS('12'!$N$7:$N$100,'12'!$H$7:$H$100,$A338,'12'!$I$7:$I$100,1)+SUMIFS('13'!$N$7:$N$100,'13'!$H$7:$H$100,$A338,'13'!$I$7:$I$100,1)+SUMIFS('14'!$N$7:$N$100,'14'!$H$7:$H$100,$A338,'14'!$I$7:$I$100,1)+SUMIFS('15'!$N$7:$N$100,'15'!$H$7:$H$100,$A338,'15'!$I$7:$I$100,1)+SUMIFS('15a'!$N$7:$N$100,'15a'!$H$7:$H$100,$A338,'15a'!$I$7:$I$100,1)+SUMIFS('15b'!$N$7:$N$100,'15b'!$H$7:$H$100,$A338,'15b'!$I$7:$I$100,1)+SUMIFS('15c'!$N$7:$N$100,'15c'!$H$7:$H$100,$A338,'15c'!$I$7:$I$100,1)+SUMIFS('15d'!$N$7:$N$100,'15d'!$H$7:$H$100,$A338,'15d'!$I$7:$I$100,1)+SUMIFS('15e'!$N$7:$N$100,'15e'!$H$7:$H$100,$A338,'15e'!$I$7:$I$100,1)+SUMIFS('15f'!$N$7:$N$100,'15f'!$H$7:$H$100,$A338,'15f'!$I$7:$I$100,1)+SUMIFS('15g'!$N$7:$N$100,'15g'!$H$7:$H$100,$A338,'15g'!$I$7:$I$100,1)+SUMIFS('15h'!$N$7:$N$100,'15h'!$H$7:$H$100,$A338,'15h'!$I$7:$I$100,1)+SUMIFS('15i'!$N$7:$N$100,'15i'!$H$7:$H$100,$A338,'15i'!$I$7:$I$100,1)+SUMIFS('15j'!$N$7:$N$100,'15j'!$H$7:$H$100,$A338,'15j'!$I$7:$I$100,1)+SUMIFS('15k'!$N$7:$N$100,'15k'!$H$7:$H$100,$A338,'15k'!$I$7:$I$100,1)+SUMIFS('15l'!$N$7:$N$100,'15l'!$H$7:$H$100,$A338,'15l'!$I$7:$I$100,1)+SUMIFS('15m'!$N$7:$N$100,'15m'!$H$7:$H$100,$A338,'15m'!$I$7:$I$100,1)+SUMIFS('15n'!$N$7:$N$100,'15n'!$H$7:$H$100,$A338,'15n'!$I$7:$I$100,1)+SUMIFS('16'!$N$7:$N$100,'16'!$H$7:$H$100,$A338,'16'!$I$7:$I$100,1)+SUMIFS('16a'!$N$7:$N$100,'16a'!$H$7:$H$100,$A338,'16a'!$I$7:$I$100,1)+SUMIFS('17'!$N$7:$N$100,'17'!$H$7:$H$100,$A338,'17'!$I$7:$I$100,1)+SUMIFS('17a'!$N$7:$N$100,'17a'!$H$7:$H$100,$A338,'17a'!$I$7:$I$100,1)+SUMIFS('18'!$N$7:$N$100,'18'!$H$7:$H$100,$A338,'18'!$I$7:$I$100,1)+SUMIFS('18a'!$N$7:$N$100,'18a'!$H$7:$H$100,$A338,'18a'!$I$7:$I$100,1)
+SUMIFS('19'!$N$7:$N$100,'19'!$H$7:$H$100,$A338,'19'!$I$7:$I$100,1)+SUMIFS('20'!$N$7:$N$100,'20'!$H$7:$H$100,$A338,'20'!$I$7:$I$100,1)+SUMIFS('20a'!$N$7:$N$100,'20a'!$H$7:$H$100,$A338,'20a'!$I$7:$I$100,1)+SUMIFS('21'!$N$7:$N$100,'21'!$H$7:$H$100,$A338,'21'!$I$7:$I$100,1)+SUMIFS('22'!$N$7:$N$100,'22'!$H$7:$H$100,$A338,'22'!$I$7:$I$100,1)+SUMIFS('22a'!$N$7:$N$100,'22a'!$H$7:$H$100,$A338,'22a'!$I$7:$I$100,1)+SUMIFS('22b'!$N$7:$N$100,'22b'!$H$7:$H$100,$A338,'22b'!$I$7:$I$100,1)+SUMIFS('23'!$N$7:$N$100,'23'!$H$7:$H$100,$A338,'23'!$I$7:$I$100,1)+SUMIFS('24'!$N$7:$N$100,'24'!$H$7:$H$100,$A338,'24'!$I$7:$I$100,1)+SUMIFS('24a'!$N$7:$N$100,'24a'!$H$7:$H$100,$A338,'24a'!$I$7:$I$100,1)+SUMIFS('24b'!$N$7:$N$100,'24b'!$H$7:$H$100,$A338,'24b'!$I$7:$I$100,1)+SUMIFS('24c'!$N$7:$N$100,'24c'!$H$7:$H$100,$A338,'24c'!$I$7:$I$100,1)+SUMIFS('24d'!$N$7:$N$100,'24d'!$H$7:$H$100,$A338,'24d'!$I$7:$I$100,1)+SUMIFS('24e'!$N$7:$N$100,'24e'!$H$7:$H$100,$A338,'24e'!$I$7:$I$100,1)+SUMIFS('24f'!$N$7:$N$100,'24f'!$H$7:$H$100,$A338,'24f'!$I$7:$I$100,1)+SUMIFS('24g'!$N$7:$N$100,'24g'!$H$7:$H$100,$A338,'24g'!$I$7:$I$100,1)+SUMIFS('24h'!$N$7:$N$100,'24h'!$H$7:$H$100,$A338,'24h'!$I$7:$I$100,1)+SUMIFS('24i'!$N$7:$N$100,'24i'!$H$7:$H$100,$A338,'24i'!$I$7:$I$100,1)+SUMIFS('25'!$N$7:$N$100,'25'!$H$7:$H$100,$A338,'25'!$I$7:$I$100,1)+SUMIFS('26'!$N$7:$N$100,'26'!$H$7:$H$100,$A338,'26'!$I$7:$I$100,1)+SUMIFS('26a'!$N$7:$N$100,'26a'!$H$7:$H$100,$A338,'26a'!$I$7:$I$100,1)+SUMIFS('27'!$N$7:$N$100,'27'!$H$7:$H$100,$A338,'27'!$I$7:$I$100,1)+SUMIFS('27a'!$N$7:$N$100,'27a'!$H$7:$H$100,$A338,'27a'!$I$7:$I$100,1)+SUMIFS('28'!$N$7:$N$100,'28'!$H$7:$H$100,$A338,'28'!$I$7:$I$100,1)+SUMIFS('29'!$N$7:$N$100,'29'!$H$7:$H$100,$A338,'29'!$I$7:$I$100,1)</f>
        <v>0</v>
      </c>
      <c r="D338" s="1315">
        <f>SUMIFS('12'!$N$7:$N$100,'12'!$H$7:$H$100,$A338,'12'!$I$7:$I$100,2)+SUMIFS('13'!$N$7:$N$100,'13'!$H$7:$H$100,$A338,'13'!$I$7:$I$100,2)+SUMIFS('14'!$N$7:$N$100,'14'!$H$7:$H$100,$A338,'14'!$I$7:$I$100,2)+SUMIFS('15'!$N$7:$N$100,'15'!$H$7:$H$100,$A338,'15'!$I$7:$I$100,2)+SUMIFS('15a'!$N$7:$N$100,'15a'!$H$7:$H$100,$A338,'15a'!$I$7:$I$100,2)+SUMIFS('15b'!$N$7:$N$100,'15b'!$H$7:$H$100,$A338,'15b'!$I$7:$I$100,2)+SUMIFS('15c'!$N$7:$N$100,'15c'!$H$7:$H$100,$A338,'15c'!$I$7:$I$100,2)+SUMIFS('15d'!$N$7:$N$100,'15d'!$H$7:$H$100,$A338,'15d'!$I$7:$I$100,2)+SUMIFS('15e'!$N$7:$N$100,'15e'!$H$7:$H$100,$A338,'15e'!$I$7:$I$100,2)+SUMIFS('15f'!$N$7:$N$100,'15f'!$H$7:$H$100,$A338,'15f'!$I$7:$I$100,2)+SUMIFS('15g'!$N$7:$N$100,'15g'!$H$7:$H$100,$A338,'15g'!$I$7:$I$100,2)+SUMIFS('15h'!$N$7:$N$100,'15h'!$H$7:$H$100,$A338,'15h'!$I$7:$I$100,2)+SUMIFS('15i'!$N$7:$N$100,'15i'!$H$7:$H$100,$A338,'15i'!$I$7:$I$100,2)+SUMIFS('15j'!$N$7:$N$100,'15j'!$H$7:$H$100,$A338,'15j'!$I$7:$I$100,2)+SUMIFS('15k'!$N$7:$N$100,'15k'!$H$7:$H$100,$A338,'15k'!$I$7:$I$100,2)+SUMIFS('15l'!$N$7:$N$100,'15l'!$H$7:$H$100,$A338,'15l'!$I$7:$I$100,2)+SUMIFS('15m'!$N$7:$N$100,'15m'!$H$7:$H$100,$A338,'15m'!$I$7:$I$100,2)+SUMIFS('15n'!$N$7:$N$100,'15n'!$H$7:$H$100,$A338,'15n'!$I$7:$I$100,2)+SUMIFS('16'!$N$7:$N$100,'16'!$H$7:$H$100,$A338,'16'!$I$7:$I$100,2)+SUMIFS('16a'!$N$7:$N$100,'16a'!$H$7:$H$100,$A338,'16a'!$I$7:$I$100,2)+SUMIFS('17'!$N$7:$N$100,'17'!$H$7:$H$100,$A338,'17'!$I$7:$I$100,2)+SUMIFS('17a'!$N$7:$N$100,'17a'!$H$7:$H$100,$A338,'17a'!$I$7:$I$100,2)+SUMIFS('18'!$N$7:$N$100,'18'!$H$7:$H$100,$A338,'18'!$I$7:$I$100,2)+SUMIFS('18a'!$N$7:$N$100,'18a'!$H$7:$H$100,$A338,'18a'!$I$7:$I$100,2)
+SUMIFS('19'!$N$7:$N$100,'19'!$H$7:$H$100,$A338,'19'!$I$7:$I$100,2)+SUMIFS('20'!$N$7:$N$100,'20'!$H$7:$H$100,$A338,'20'!$I$7:$I$100,2)+SUMIFS('20a'!$N$7:$N$100,'20a'!$H$7:$H$100,$A338,'20a'!$I$7:$I$100,2)+SUMIFS('21'!$N$7:$N$100,'21'!$H$7:$H$100,$A338,'21'!$I$7:$I$100,2)+SUMIFS('22'!$N$7:$N$100,'22'!$H$7:$H$100,$A338,'22'!$I$7:$I$100,2)+SUMIFS('22a'!$N$7:$N$100,'22a'!$H$7:$H$100,$A338,'22a'!$I$7:$I$100,2)+SUMIFS('22b'!$N$7:$N$100,'22b'!$H$7:$H$100,$A338,'22b'!$I$7:$I$100,2)+SUMIFS('23'!$N$7:$N$100,'23'!$H$7:$H$100,$A338,'23'!$I$7:$I$100,2)+SUMIFS('24'!$N$7:$N$100,'24'!$H$7:$H$100,$A338,'24'!$I$7:$I$100,2)+SUMIFS('24a'!$N$7:$N$100,'24a'!$H$7:$H$100,$A338,'24a'!$I$7:$I$100,2)+SUMIFS('24b'!$N$7:$N$100,'24b'!$H$7:$H$100,$A338,'24b'!$I$7:$I$100,2)+SUMIFS('24c'!$N$7:$N$100,'24c'!$H$7:$H$100,$A338,'24c'!$I$7:$I$100,2)+SUMIFS('24d'!$N$7:$N$100,'24d'!$H$7:$H$100,$A338,'24d'!$I$7:$I$100,2)+SUMIFS('24e'!$N$7:$N$100,'24e'!$H$7:$H$100,$A338,'24e'!$I$7:$I$100,2)+SUMIFS('24f'!$N$7:$N$100,'24f'!$H$7:$H$100,$A338,'24f'!$I$7:$I$100,2)+SUMIFS('24g'!$N$7:$N$100,'24g'!$H$7:$H$100,$A338,'24g'!$I$7:$I$100,2)+SUMIFS('24h'!$N$7:$N$100,'24h'!$H$7:$H$100,$A338,'24h'!$I$7:$I$100,2)+SUMIFS('24i'!$N$7:$N$100,'24i'!$H$7:$H$100,$A338,'24i'!$I$7:$I$100,2)+SUMIFS('25'!$N$7:$N$100,'25'!$H$7:$H$100,$A338,'25'!$I$7:$I$100,2)+SUMIFS('26'!$N$7:$N$100,'26'!$H$7:$H$100,$A338,'26'!$I$7:$I$100,2)+SUMIFS('26a'!$N$7:$N$100,'26a'!$H$7:$H$100,$A338,'26a'!$I$7:$I$100,2)+SUMIFS('27'!$N$7:$N$100,'27'!$H$7:$H$100,$A338,'27'!$I$7:$I$100,2)+SUMIFS('27a'!$N$7:$N$100,'27a'!$H$7:$H$100,$A338,'27a'!$I$7:$I$100,2)+SUMIFS('28'!$N$7:$N$100,'28'!$H$7:$H$100,$A338,'28'!$I$7:$I$100,2)+SUMIFS('29'!$N$7:$N$100,'29'!$H$7:$H$100,$A338,'29'!$I$7:$I$100,2)</f>
        <v>33018.44</v>
      </c>
      <c r="E338" s="1315">
        <f>SUMIFS('12'!$N$7:$N$100,'12'!$H$7:$H$100,$A338,'12'!$I$7:$I$100,"")+SUMIFS('13'!$N$7:$N$100,'13'!$H$7:$H$100,$A338,'13'!$I$7:$I$100,"")+SUMIFS('14'!$N$7:$N$100,'14'!$H$7:$H$100,$A338,'14'!$I$7:$I$100,"")+SUMIFS('15'!$N$7:$N$100,'15'!$H$7:$H$100,$A338,'15'!$I$7:$I$100,"")+SUMIFS('15a'!$N$7:$N$100,'15a'!$H$7:$H$100,$A338,'15a'!$I$7:$I$100,"")+SUMIFS('15b'!$N$7:$N$100,'15b'!$H$7:$H$100,$A338,'15b'!$I$7:$I$100,"")+SUMIFS('15c'!$N$7:$N$100,'15c'!$H$7:$H$100,$A338,'15c'!$I$7:$I$100,"")+SUMIFS('15d'!$N$7:$N$100,'15d'!$H$7:$H$100,$A338,'15d'!$I$7:$I$100,"")+SUMIFS('15e'!$N$7:$N$100,'15e'!$H$7:$H$100,$A338,'15e'!$I$7:$I$100,"")+SUMIFS('15f'!$N$7:$N$100,'15f'!$H$7:$H$100,$A338,'15f'!$I$7:$I$100,"")+SUMIFS('15g'!$N$7:$N$100,'15g'!$H$7:$H$100,$A338,'15g'!$I$7:$I$100,"")+SUMIFS('15h'!$N$7:$N$100,'15h'!$H$7:$H$100,$A338,'15h'!$I$7:$I$100,"")+SUMIFS('15i'!$N$7:$N$100,'15i'!$H$7:$H$100,$A338,'15i'!$I$7:$I$100,"")+SUMIFS('15j'!$N$7:$N$100,'15j'!$H$7:$H$100,$A338,'15j'!$I$7:$I$100,"")+SUMIFS('15k'!$N$7:$N$100,'15k'!$H$7:$H$100,$A338,'15k'!$I$7:$I$100,"")+SUMIFS('15l'!$N$7:$N$100,'15l'!$H$7:$H$100,$A338,'15l'!$I$7:$I$100,"")+SUMIFS('15m'!$N$7:$N$100,'15m'!$H$7:$H$100,$A338,'15m'!$I$7:$I$100,"")+SUMIFS('15n'!$N$7:$N$100,'15n'!$H$7:$H$100,$A338,'15n'!$I$7:$I$100,"")+SUMIFS('16'!$N$7:$N$100,'16'!$H$7:$H$100,$A338,'16'!$I$7:$I$100,"")+SUMIFS('16a'!$N$7:$N$100,'16a'!$H$7:$H$100,$A338,'16a'!$I$7:$I$100,"")+SUMIFS('17'!$N$7:$N$100,'17'!$H$7:$H$100,$A338,'17'!$I$7:$I$100,"")+SUMIFS('17a'!$N$7:$N$100,'17a'!$H$7:$H$100,$A338,'17a'!$I$7:$I$100,"")+SUMIFS('18'!$N$7:$N$100,'18'!$H$7:$H$100,$A338,'18'!$I$7:$I$100,"")+SUMIFS('18a'!$N$7:$N$100,'18a'!$H$7:$H$100,$A338,'18a'!$I$7:$I$100,"")
+SUMIFS('19'!$N$7:$N$100,'19'!$H$7:$H$100,$A338,'19'!$I$7:$I$100,"")+SUMIFS('20'!$N$7:$N$100,'20'!$H$7:$H$100,$A338,'20'!$I$7:$I$100,"")+SUMIFS('20a'!$N$7:$N$100,'20a'!$H$7:$H$100,$A338,'20a'!$I$7:$I$100,"")+SUMIFS('21'!$N$7:$N$100,'21'!$H$7:$H$100,$A338,'21'!$I$7:$I$100,"")+SUMIFS('22'!$N$7:$N$100,'22'!$H$7:$H$100,$A338,'22'!$I$7:$I$100,"")+SUMIFS('22a'!$N$7:$N$100,'22a'!$H$7:$H$100,$A338,'22a'!$I$7:$I$100,"")+SUMIFS('22b'!$N$7:$N$100,'22b'!$H$7:$H$100,$A338,'22b'!$I$7:$I$100,"")+SUMIFS('23'!$N$7:$N$100,'23'!$H$7:$H$100,$A338,'23'!$I$7:$I$100,"")+SUMIFS('24'!$N$7:$N$100,'24'!$H$7:$H$100,$A338,'24'!$I$7:$I$100,"")+SUMIFS('24a'!$N$7:$N$100,'24a'!$H$7:$H$100,$A338,'24a'!$I$7:$I$100,"")+SUMIFS('24b'!$N$7:$N$100,'24b'!$H$7:$H$100,$A338,'24b'!$I$7:$I$100,"")+SUMIFS('24c'!$N$7:$N$100,'24c'!$H$7:$H$100,$A338,'24c'!$I$7:$I$100,"")+SUMIFS('24d'!$N$7:$N$100,'24d'!$H$7:$H$100,$A338,'24d'!$I$7:$I$100,"")+SUMIFS('24e'!$N$7:$N$100,'24e'!$H$7:$H$100,$A338,'24e'!$I$7:$I$100,"")+SUMIFS('24f'!$N$7:$N$100,'24f'!$H$7:$H$100,$A338,'24f'!$I$7:$I$100,"")+SUMIFS('24g'!$N$7:$N$100,'24g'!$H$7:$H$100,$A338,'24g'!$I$7:$I$100,"")+SUMIFS('24h'!$N$7:$N$100,'24h'!$H$7:$H$100,$A338,'24h'!$I$7:$I$100,"")+SUMIFS('24i'!$N$7:$N$100,'24i'!$H$7:$H$100,$A338,'24i'!$I$7:$I$100,"")+SUMIFS('25'!$N$7:$N$100,'25'!$H$7:$H$100,$A338,'25'!$I$7:$I$100,"")+SUMIFS('26'!$N$7:$N$100,'26'!$H$7:$H$100,$A338,'26'!$I$7:$I$100,"")+SUMIFS('26a'!$N$7:$N$100,'26a'!$H$7:$H$100,$A338,'26a'!$I$7:$I$100,"")+SUMIFS('27'!$N$7:$N$100,'27'!$H$7:$H$100,$A338,'27'!$I$7:$I$100,"")+SUMIFS('27a'!$N$7:$N$100,'27a'!$H$7:$H$100,$A338,'27a'!$I$7:$I$100,"")+SUMIFS('28'!$N$7:$N$100,'28'!$H$7:$H$100,$A338,'28'!$I$7:$I$100,"")+SUMIFS('29'!$N$7:$N$100,'29'!$H$7:$H$100,$A338,'29'!$I$7:$I$100,"")</f>
        <v>0</v>
      </c>
      <c r="F338" s="1296">
        <f>SUM(C338:E338)</f>
        <v>33018.44</v>
      </c>
      <c r="G338" s="1295">
        <f>SUMIFS('12'!$J$7:$J$100,'12'!$H$7:$H$100,$A338,'12'!$I$7:$I$100,1)+SUMIFS('13'!$J$7:$J$100,'13'!$H$7:$H$100,$A338,'13'!$I$7:$I$100,1)+SUMIFS('14'!$J$7:$J$100,'14'!$H$7:$H$100,$A338,'14'!$I$7:$I$100,1)+SUMIFS('15'!$J$7:$J$100,'15'!$H$7:$H$100,$A338,'15'!$I$7:$I$100,1)+SUMIFS('15a'!$J$7:$J$100,'15a'!$H$7:$H$100,$A338,'15a'!$I$7:$I$100,1)+SUMIFS('15b'!$J$7:$J$100,'15b'!$H$7:$H$100,$A338,'15b'!$I$7:$I$100,1)+SUMIFS('15c'!$J$7:$J$100,'15c'!$H$7:$H$100,$A338,'15c'!$I$7:$I$100,1)+SUMIFS('15d'!$J$7:$J$100,'15d'!$H$7:$H$100,$A338,'15d'!$I$7:$I$100,1)+SUMIFS('15e'!$J$7:$J$100,'15e'!$H$7:$H$100,$A338,'15e'!$I$7:$I$100,1)+SUMIFS('15f'!$J$7:$J$100,'15f'!$H$7:$H$100,$A338,'15f'!$I$7:$I$100,1)+SUMIFS('15g'!$J$7:$J$100,'15g'!$H$7:$H$100,$A338,'15g'!$I$7:$I$100,1)+SUMIFS('15h'!$J$7:$J$100,'15h'!$H$7:$H$100,$A338,'15h'!$I$7:$I$100,1)+SUMIFS('15i'!$J$7:$J$100,'15i'!$H$7:$H$100,$A338,'15i'!$I$7:$I$100,1)+SUMIFS('15j'!$J$7:$J$100,'15j'!$H$7:$H$100,$A338,'15j'!$I$7:$I$100,1)+SUMIFS('15k'!$J$7:$J$100,'15k'!$H$7:$H$100,$A338,'15k'!$I$7:$I$100,1)+SUMIFS('15l'!$J$7:$J$100,'15l'!$H$7:$H$100,$A338,'15l'!$I$7:$I$100,1)+SUMIFS('15m'!$J$7:$J$100,'15m'!$H$7:$H$100,$A338,'15m'!$I$7:$I$100,1)+SUMIFS('15n'!$J$7:$J$100,'15n'!$H$7:$H$100,$A338,'15n'!$I$7:$I$100,1)+SUMIFS('16'!$J$7:$J$100,'16'!$H$7:$H$100,$A338,'16'!$I$7:$I$100,1)+SUMIFS('16a'!$J$7:$J$100,'16a'!$H$7:$H$100,$A338,'16a'!$I$7:$I$100,1)+SUMIFS('17'!$J$7:$J$100,'17'!$H$7:$H$100,$A338,'17'!$I$7:$I$100,1)+SUMIFS('17a'!$J$7:$J$100,'17a'!$H$7:$H$100,$A338,'17a'!$I$7:$I$100,1)+SUMIFS('18'!$J$7:$J$100,'18'!$H$7:$H$100,$A338,'18'!$I$7:$I$100,1)+SUMIFS('18a'!$J$7:$J$100,'18a'!$H$7:$H$100,$A338,'18a'!$I$7:$I$100,1)
+SUMIFS('19'!$J$7:$J$100,'19'!$H$7:$H$100,$A338,'19'!$I$7:$I$100,1)+SUMIFS('20'!$J$7:$J$100,'20'!$H$7:$H$100,$A338,'20'!$I$7:$I$100,1)+SUMIFS('20a'!$J$7:$J$100,'20a'!$H$7:$H$100,$A338,'20a'!$I$7:$I$100,1)+SUMIFS('21'!$J$7:$J$100,'21'!$H$7:$H$100,$A338,'21'!$I$7:$I$100,1)+SUMIFS('22'!$J$7:$J$100,'22'!$H$7:$H$100,$A338,'22'!$I$7:$I$100,1)+SUMIFS('22a'!$J$7:$J$100,'22a'!$H$7:$H$100,$A338,'22a'!$I$7:$I$100,1)+SUMIFS('22b'!$J$7:$J$100,'22b'!$H$7:$H$100,$A338,'22b'!$I$7:$I$100,1)+SUMIFS('23'!$J$7:$J$100,'23'!$H$7:$H$100,$A338,'23'!$I$7:$I$100,1)+SUMIFS('24'!$J$7:$J$100,'24'!$H$7:$H$100,$A338,'24'!$I$7:$I$100,1)+SUMIFS('24a'!$J$7:$J$100,'24a'!$H$7:$H$100,$A338,'24a'!$I$7:$I$100,1)+SUMIFS('24b'!$J$7:$J$100,'24b'!$H$7:$H$100,$A338,'24b'!$I$7:$I$100,1)+SUMIFS('24c'!$J$7:$J$100,'24c'!$H$7:$H$100,$A338,'24c'!$I$7:$I$100,1)+SUMIFS('24d'!$J$7:$J$100,'24d'!$H$7:$H$100,$A338,'24d'!$I$7:$I$100,1)+SUMIFS('24e'!$J$7:$J$100,'24e'!$H$7:$H$100,$A338,'24e'!$I$7:$I$100,1)+SUMIFS('24f'!$J$7:$J$100,'24f'!$H$7:$H$100,$A338,'24f'!$I$7:$I$100,1)+SUMIFS('24g'!$J$7:$J$100,'24g'!$H$7:$H$100,$A338,'24g'!$I$7:$I$100,1)+SUMIFS('24h'!$J$7:$J$100,'24h'!$H$7:$H$100,$A338,'24h'!$I$7:$I$100,1)+SUMIFS('24i'!$J$7:$J$100,'24i'!$H$7:$H$100,$A338,'24i'!$I$7:$I$100,1)+SUMIFS('25'!$J$7:$J$100,'25'!$H$7:$H$100,$A338,'25'!$I$7:$I$100,1)+SUMIFS('26'!$J$7:$J$100,'26'!$H$7:$H$100,$A338,'26'!$I$7:$I$100,1)+SUMIFS('26a'!$J$7:$J$100,'26a'!$H$7:$H$100,$A338,'26a'!$I$7:$I$100,1)+SUMIFS('27'!$J$7:$J$100,'27'!$H$7:$H$100,$A338,'27'!$I$7:$I$100,1)+SUMIFS('27a'!$J$7:$J$100,'27a'!$H$7:$H$100,$A338,'27a'!$I$7:$I$100,1)+SUMIFS('28'!$J$7:$J$100,'28'!$H$7:$H$100,$A338,'28'!$I$7:$I$100,1)+SUMIFS('29'!$J$7:$J$100,'29'!$H$7:$H$100,$A338,'29'!$I$7:$I$100,1)</f>
        <v>0</v>
      </c>
      <c r="H338" s="1315">
        <f>SUMIFS('12'!$J$7:$J$100,'12'!$H$7:$H$100,$A338,'12'!$I$7:$I$100,2)+SUMIFS('13'!$J$7:$J$100,'13'!$H$7:$H$100,$A338,'13'!$I$7:$I$100,2)+SUMIFS('14'!$J$7:$J$100,'14'!$H$7:$H$100,$A338,'14'!$I$7:$I$100,2)+SUMIFS('15'!$J$7:$J$100,'15'!$H$7:$H$100,$A338,'15'!$I$7:$I$100,2)+SUMIFS('15a'!$J$7:$J$100,'15a'!$H$7:$H$100,$A338,'15a'!$I$7:$I$100,2)+SUMIFS('15b'!$J$7:$J$100,'15b'!$H$7:$H$100,$A338,'15b'!$I$7:$I$100,2)+SUMIFS('15c'!$J$7:$J$100,'15c'!$H$7:$H$100,$A338,'15c'!$I$7:$I$100,2)+SUMIFS('15d'!$J$7:$J$100,'15d'!$H$7:$H$100,$A338,'15d'!$I$7:$I$100,2)+SUMIFS('15e'!$J$7:$J$100,'15e'!$H$7:$H$100,$A338,'15e'!$I$7:$I$100,2)+SUMIFS('15f'!$J$7:$J$100,'15f'!$H$7:$H$100,$A338,'15f'!$I$7:$I$100,2)+SUMIFS('15g'!$J$7:$J$100,'15g'!$H$7:$H$100,$A338,'15g'!$I$7:$I$100,2)+SUMIFS('15h'!$J$7:$J$100,'15h'!$H$7:$H$100,$A338,'15h'!$I$7:$I$100,2)+SUMIFS('15i'!$J$7:$J$100,'15i'!$H$7:$H$100,$A338,'15i'!$I$7:$I$100,2)+SUMIFS('15j'!$J$7:$J$100,'15j'!$H$7:$H$100,$A338,'15j'!$I$7:$I$100,2)+SUMIFS('15k'!$J$7:$J$100,'15k'!$H$7:$H$100,$A338,'15k'!$I$7:$I$100,2)+SUMIFS('15l'!$J$7:$J$100,'15l'!$H$7:$H$100,$A338,'15l'!$I$7:$I$100,2)+SUMIFS('15m'!$J$7:$J$100,'15m'!$H$7:$H$100,$A338,'15m'!$I$7:$I$100,2)+SUMIFS('15n'!$J$7:$J$100,'15n'!$H$7:$H$100,$A338,'15n'!$I$7:$I$100,2)+SUMIFS('16'!$J$7:$J$100,'16'!$H$7:$H$100,$A338,'16'!$I$7:$I$100,2)+SUMIFS('16a'!$J$7:$J$100,'16a'!$H$7:$H$100,$A338,'16a'!$I$7:$I$100,2)+SUMIFS('17'!$J$7:$J$100,'17'!$H$7:$H$100,$A338,'17'!$I$7:$I$100,2)+SUMIFS('17a'!$J$7:$J$100,'17a'!$H$7:$H$100,$A338,'17a'!$I$7:$I$100,2)+SUMIFS('18'!$J$7:$J$100,'18'!$H$7:$H$100,$A338,'18'!$I$7:$I$100,2)+SUMIFS('18a'!$J$7:$J$100,'18a'!$H$7:$H$100,$A338,'18a'!$I$7:$I$100,2)
+SUMIFS('19'!$J$7:$J$100,'19'!$H$7:$H$100,$A338,'19'!$I$7:$I$100,2)+SUMIFS('20'!$J$7:$J$100,'20'!$H$7:$H$100,$A338,'20'!$I$7:$I$100,2)+SUMIFS('20a'!$J$7:$J$100,'20a'!$H$7:$H$100,$A338,'20a'!$I$7:$I$100,2)+SUMIFS('21'!$J$7:$J$100,'21'!$H$7:$H$100,$A338,'21'!$I$7:$I$100,2)+SUMIFS('22'!$J$7:$J$100,'22'!$H$7:$H$100,$A338,'22'!$I$7:$I$100,2)+SUMIFS('22a'!$J$7:$J$100,'22a'!$H$7:$H$100,$A338,'22a'!$I$7:$I$100,2)+SUMIFS('22b'!$J$7:$J$100,'22b'!$H$7:$H$100,$A338,'22b'!$I$7:$I$100,2)+SUMIFS('23'!$J$7:$J$100,'23'!$H$7:$H$100,$A338,'23'!$I$7:$I$100,2)+SUMIFS('24'!$J$7:$J$100,'24'!$H$7:$H$100,$A338,'24'!$I$7:$I$100,2)+SUMIFS('24a'!$J$7:$J$100,'24a'!$H$7:$H$100,$A338,'24a'!$I$7:$I$100,2)+SUMIFS('24b'!$J$7:$J$100,'24b'!$H$7:$H$100,$A338,'24b'!$I$7:$I$100,2)+SUMIFS('24c'!$J$7:$J$100,'24c'!$H$7:$H$100,$A338,'24c'!$I$7:$I$100,2)+SUMIFS('24d'!$J$7:$J$100,'24d'!$H$7:$H$100,$A338,'24d'!$I$7:$I$100,2)+SUMIFS('24e'!$J$7:$J$100,'24e'!$H$7:$H$100,$A338,'24e'!$I$7:$I$100,2)+SUMIFS('24f'!$J$7:$J$100,'24f'!$H$7:$H$100,$A338,'24f'!$I$7:$I$100,2)+SUMIFS('24g'!$J$7:$J$100,'24g'!$H$7:$H$100,$A338,'24g'!$I$7:$I$100,2)+SUMIFS('24h'!$J$7:$J$100,'24h'!$H$7:$H$100,$A338,'24h'!$I$7:$I$100,2)+SUMIFS('24i'!$J$7:$J$100,'24i'!$H$7:$H$100,$A338,'24i'!$I$7:$I$100,2)+SUMIFS('25'!$J$7:$J$100,'25'!$H$7:$H$100,$A338,'25'!$I$7:$I$100,2)+SUMIFS('26'!$J$7:$J$100,'26'!$H$7:$H$100,$A338,'26'!$I$7:$I$100,2)+SUMIFS('26a'!$J$7:$J$100,'26a'!$H$7:$H$100,$A338,'26a'!$I$7:$I$100,2)+SUMIFS('27'!$J$7:$J$100,'27'!$H$7:$H$100,$A338,'27'!$I$7:$I$100,2)+SUMIFS('27a'!$J$7:$J$100,'27a'!$H$7:$H$100,$A338,'27a'!$I$7:$I$100,2)+SUMIFS('28'!$J$7:$J$100,'28'!$H$7:$H$100,$A338,'28'!$I$7:$I$100,2)+SUMIFS('29'!$J$7:$J$100,'29'!$H$7:$H$100,$A338,'29'!$I$7:$I$100,2)</f>
        <v>38000</v>
      </c>
      <c r="I338" s="1315">
        <f>SUMIFS('12'!$J$7:$J$100,'12'!$H$7:$H$100,$A338,'12'!$I$7:$I$100,"")+SUMIFS('13'!$J$7:$J$100,'13'!$H$7:$H$100,$A338,'13'!$I$7:$I$100,"")+SUMIFS('14'!$J$7:$J$100,'14'!$H$7:$H$100,$A338,'14'!$I$7:$I$100,"")+SUMIFS('15'!$J$7:$J$100,'15'!$H$7:$H$100,$A338,'15'!$I$7:$I$100,"")+SUMIFS('15a'!$J$7:$J$100,'15a'!$H$7:$H$100,$A338,'15a'!$I$7:$I$100,"")+SUMIFS('15b'!$J$7:$J$100,'15b'!$H$7:$H$100,$A338,'15b'!$I$7:$I$100,"")+SUMIFS('15c'!$J$7:$J$100,'15c'!$H$7:$H$100,$A338,'15c'!$I$7:$I$100,"")+SUMIFS('15d'!$J$7:$J$100,'15d'!$H$7:$H$100,$A338,'15d'!$I$7:$I$100,"")+SUMIFS('15e'!$J$7:$J$100,'15e'!$H$7:$H$100,$A338,'15e'!$I$7:$I$100,"")+SUMIFS('15f'!$J$7:$J$100,'15f'!$H$7:$H$100,$A338,'15f'!$I$7:$I$100,"")+SUMIFS('15g'!$J$7:$J$100,'15g'!$H$7:$H$100,$A338,'15g'!$I$7:$I$100,"")+SUMIFS('15h'!$J$7:$J$100,'15h'!$H$7:$H$100,$A338,'15h'!$I$7:$I$100,"")+SUMIFS('15i'!$J$7:$J$100,'15i'!$H$7:$H$100,$A338,'15i'!$I$7:$I$100,"")+SUMIFS('15j'!$J$7:$J$100,'15j'!$H$7:$H$100,$A338,'15j'!$I$7:$I$100,"")+SUMIFS('15k'!$J$7:$J$100,'15k'!$H$7:$H$100,$A338,'15k'!$I$7:$I$100,"")+SUMIFS('15l'!$J$7:$J$100,'15l'!$H$7:$H$100,$A338,'15l'!$I$7:$I$100,"")+SUMIFS('15m'!$J$7:$J$100,'15m'!$H$7:$H$100,$A338,'15m'!$I$7:$I$100,"")+SUMIFS('15n'!$J$7:$J$100,'15n'!$H$7:$H$100,$A338,'15n'!$I$7:$I$100,"")+SUMIFS('16'!$J$7:$J$100,'16'!$H$7:$H$100,$A338,'16'!$I$7:$I$100,"")+SUMIFS('16a'!$J$7:$J$100,'16a'!$H$7:$H$100,$A338,'16a'!$I$7:$I$100,"")+SUMIFS('17'!$J$7:$J$100,'17'!$H$7:$H$100,$A338,'17'!$I$7:$I$100,"")+SUMIFS('17a'!$J$7:$J$100,'17a'!$H$7:$H$100,$A338,'17a'!$I$7:$I$100,"")+SUMIFS('18'!$J$7:$J$100,'18'!$H$7:$H$100,$A338,'18'!$I$7:$I$100,"")+SUMIFS('18a'!$J$7:$J$100,'18a'!$H$7:$H$100,$A338,'18a'!$I$7:$I$100,"")
+SUMIFS('19'!$J$7:$J$100,'19'!$H$7:$H$100,$A338,'19'!$I$7:$I$100,"")+SUMIFS('20'!$J$7:$J$100,'20'!$H$7:$H$100,$A338,'20'!$I$7:$I$100,"")+SUMIFS('20a'!$J$7:$J$100,'20a'!$H$7:$H$100,$A338,'20a'!$I$7:$I$100,"")+SUMIFS('21'!$J$7:$J$100,'21'!$H$7:$H$100,$A338,'21'!$I$7:$I$100,"")+SUMIFS('22'!$J$7:$J$100,'22'!$H$7:$H$100,$A338,'22'!$I$7:$I$100,"")+SUMIFS('22a'!$J$7:$J$100,'22a'!$H$7:$H$100,$A338,'22a'!$I$7:$I$100,"")+SUMIFS('22b'!$J$7:$J$100,'22b'!$H$7:$H$100,$A338,'22b'!$I$7:$I$100,"")+SUMIFS('23'!$J$7:$J$100,'23'!$H$7:$H$100,$A338,'23'!$I$7:$I$100,"")+SUMIFS('24'!$J$7:$J$100,'24'!$H$7:$H$100,$A338,'24'!$I$7:$I$100,"")+SUMIFS('24a'!$J$7:$J$100,'24a'!$H$7:$H$100,$A338,'24a'!$I$7:$I$100,"")+SUMIFS('24b'!$J$7:$J$100,'24b'!$H$7:$H$100,$A338,'24b'!$I$7:$I$100,"")+SUMIFS('24c'!$J$7:$J$100,'24c'!$H$7:$H$100,$A338,'24c'!$I$7:$I$100,"")+SUMIFS('24d'!$J$7:$J$100,'24d'!$H$7:$H$100,$A338,'24d'!$I$7:$I$100,"")+SUMIFS('24e'!$J$7:$J$100,'24e'!$H$7:$H$100,$A338,'24e'!$I$7:$I$100,"")+SUMIFS('24f'!$J$7:$J$100,'24f'!$H$7:$H$100,$A338,'24f'!$I$7:$I$100,"")+SUMIFS('24g'!$J$7:$J$100,'24g'!$H$7:$H$100,$A338,'24g'!$I$7:$I$100,"")+SUMIFS('24h'!$J$7:$J$100,'24h'!$H$7:$H$100,$A338,'24h'!$I$7:$I$100,"")+SUMIFS('24i'!$J$7:$J$100,'24i'!$H$7:$H$100,$A338,'24i'!$I$7:$I$100,"")+SUMIFS('25'!$J$7:$J$100,'25'!$H$7:$H$100,$A338,'25'!$I$7:$I$100,"")+SUMIFS('26'!$J$7:$J$100,'26'!$H$7:$H$100,$A338,'26'!$I$7:$I$100,"")+SUMIFS('26a'!$J$7:$J$100,'26a'!$H$7:$H$100,$A338,'26a'!$I$7:$I$100,"")+SUMIFS('27'!$J$7:$J$100,'27'!$H$7:$H$100,$A338,'27'!$I$7:$I$100,"")+SUMIFS('27a'!$J$7:$J$100,'27a'!$H$7:$H$100,$A338,'27a'!$I$7:$I$100,"")+SUMIFS('28'!$J$7:$J$100,'28'!$H$7:$H$100,$A338,'28'!$I$7:$I$100,"")+SUMIFS('29'!$J$7:$J$100,'29'!$H$7:$H$100,$A338,'29'!$I$7:$I$100,"")</f>
        <v>0</v>
      </c>
      <c r="J338" s="1296">
        <f>SUM(G338:I338)</f>
        <v>38000</v>
      </c>
      <c r="K338"/>
      <c r="L338"/>
      <c r="M338"/>
      <c r="N338"/>
      <c r="O338"/>
      <c r="P338"/>
      <c r="Q338"/>
      <c r="R338"/>
      <c r="S338" s="1307">
        <f t="shared" si="30"/>
        <v>142036.88</v>
      </c>
      <c r="T338"/>
    </row>
    <row r="339" spans="1:20" x14ac:dyDescent="0.2">
      <c r="A339"/>
      <c r="B339" s="1289" t="str">
        <f>"Total- "&amp;A337</f>
        <v>Total- Recycling and Landfill</v>
      </c>
      <c r="C339" s="1297">
        <f>C338</f>
        <v>0</v>
      </c>
      <c r="D339" s="1290">
        <f t="shared" ref="D339:J339" si="46">D338</f>
        <v>33018.44</v>
      </c>
      <c r="E339" s="1290">
        <f t="shared" si="46"/>
        <v>0</v>
      </c>
      <c r="F339" s="1298">
        <f t="shared" si="46"/>
        <v>33018.44</v>
      </c>
      <c r="G339" s="1297">
        <f t="shared" si="46"/>
        <v>0</v>
      </c>
      <c r="H339" s="1290">
        <f t="shared" si="46"/>
        <v>38000</v>
      </c>
      <c r="I339" s="1290">
        <f t="shared" si="46"/>
        <v>0</v>
      </c>
      <c r="J339" s="1298">
        <f t="shared" si="46"/>
        <v>38000</v>
      </c>
      <c r="K339"/>
      <c r="L339"/>
      <c r="M339"/>
      <c r="N339"/>
      <c r="O339"/>
      <c r="P339"/>
      <c r="Q339"/>
      <c r="R339"/>
      <c r="S339" s="1307"/>
      <c r="T339"/>
    </row>
    <row r="340" spans="1:20" x14ac:dyDescent="0.2">
      <c r="A340"/>
      <c r="B340"/>
      <c r="C340" s="292"/>
      <c r="D340"/>
      <c r="E340"/>
      <c r="F340" s="345"/>
      <c r="G340" s="292"/>
      <c r="H340"/>
      <c r="I340"/>
      <c r="J340" s="345"/>
      <c r="K340"/>
      <c r="L340"/>
      <c r="M340"/>
      <c r="N340"/>
      <c r="O340"/>
      <c r="P340"/>
      <c r="Q340"/>
      <c r="R340"/>
      <c r="S340" s="1307"/>
      <c r="T340"/>
    </row>
    <row r="341" spans="1:20" x14ac:dyDescent="0.2">
      <c r="A341" s="106" t="s">
        <v>508</v>
      </c>
      <c r="B341" s="5"/>
      <c r="C341" s="1299"/>
      <c r="D341" s="523"/>
      <c r="E341" s="5"/>
      <c r="F341" s="1322"/>
      <c r="G341" s="1299"/>
      <c r="H341" s="523"/>
      <c r="I341" s="5"/>
      <c r="J341" s="1322"/>
      <c r="K341"/>
      <c r="L341"/>
      <c r="M341"/>
      <c r="N341"/>
      <c r="O341"/>
      <c r="P341"/>
      <c r="Q341"/>
      <c r="R341"/>
      <c r="S341" s="1307"/>
      <c r="T341"/>
    </row>
    <row r="342" spans="1:20" x14ac:dyDescent="0.2">
      <c r="A342" t="s">
        <v>5461</v>
      </c>
      <c r="B342" t="s">
        <v>508</v>
      </c>
      <c r="C342" s="1295">
        <f>SUMIFS('12'!$N$7:$N$100,'12'!$H$7:$H$100,$A342,'12'!$I$7:$I$100,1)+SUMIFS('13'!$N$7:$N$100,'13'!$H$7:$H$100,$A342,'13'!$I$7:$I$100,1)+SUMIFS('14'!$N$7:$N$100,'14'!$H$7:$H$100,$A342,'14'!$I$7:$I$100,1)+SUMIFS('15'!$N$7:$N$100,'15'!$H$7:$H$100,$A342,'15'!$I$7:$I$100,1)+SUMIFS('15a'!$N$7:$N$100,'15a'!$H$7:$H$100,$A342,'15a'!$I$7:$I$100,1)+SUMIFS('15b'!$N$7:$N$100,'15b'!$H$7:$H$100,$A342,'15b'!$I$7:$I$100,1)+SUMIFS('15c'!$N$7:$N$100,'15c'!$H$7:$H$100,$A342,'15c'!$I$7:$I$100,1)+SUMIFS('15d'!$N$7:$N$100,'15d'!$H$7:$H$100,$A342,'15d'!$I$7:$I$100,1)+SUMIFS('15e'!$N$7:$N$100,'15e'!$H$7:$H$100,$A342,'15e'!$I$7:$I$100,1)+SUMIFS('15f'!$N$7:$N$100,'15f'!$H$7:$H$100,$A342,'15f'!$I$7:$I$100,1)+SUMIFS('15g'!$N$7:$N$100,'15g'!$H$7:$H$100,$A342,'15g'!$I$7:$I$100,1)+SUMIFS('15h'!$N$7:$N$100,'15h'!$H$7:$H$100,$A342,'15h'!$I$7:$I$100,1)+SUMIFS('15i'!$N$7:$N$100,'15i'!$H$7:$H$100,$A342,'15i'!$I$7:$I$100,1)+SUMIFS('15j'!$N$7:$N$100,'15j'!$H$7:$H$100,$A342,'15j'!$I$7:$I$100,1)+SUMIFS('15k'!$N$7:$N$100,'15k'!$H$7:$H$100,$A342,'15k'!$I$7:$I$100,1)+SUMIFS('15l'!$N$7:$N$100,'15l'!$H$7:$H$100,$A342,'15l'!$I$7:$I$100,1)+SUMIFS('15m'!$N$7:$N$100,'15m'!$H$7:$H$100,$A342,'15m'!$I$7:$I$100,1)+SUMIFS('15n'!$N$7:$N$100,'15n'!$H$7:$H$100,$A342,'15n'!$I$7:$I$100,1)+SUMIFS('16'!$N$7:$N$100,'16'!$H$7:$H$100,$A342,'16'!$I$7:$I$100,1)+SUMIFS('16a'!$N$7:$N$100,'16a'!$H$7:$H$100,$A342,'16a'!$I$7:$I$100,1)+SUMIFS('17'!$N$7:$N$100,'17'!$H$7:$H$100,$A342,'17'!$I$7:$I$100,1)+SUMIFS('17a'!$N$7:$N$100,'17a'!$H$7:$H$100,$A342,'17a'!$I$7:$I$100,1)+SUMIFS('18'!$N$7:$N$100,'18'!$H$7:$H$100,$A342,'18'!$I$7:$I$100,1)+SUMIFS('18a'!$N$7:$N$100,'18a'!$H$7:$H$100,$A342,'18a'!$I$7:$I$100,1)
+SUMIFS('19'!$N$7:$N$100,'19'!$H$7:$H$100,$A342,'19'!$I$7:$I$100,1)+SUMIFS('20'!$N$7:$N$100,'20'!$H$7:$H$100,$A342,'20'!$I$7:$I$100,1)+SUMIFS('20a'!$N$7:$N$100,'20a'!$H$7:$H$100,$A342,'20a'!$I$7:$I$100,1)+SUMIFS('21'!$N$7:$N$100,'21'!$H$7:$H$100,$A342,'21'!$I$7:$I$100,1)+SUMIFS('22'!$N$7:$N$100,'22'!$H$7:$H$100,$A342,'22'!$I$7:$I$100,1)+SUMIFS('22a'!$N$7:$N$100,'22a'!$H$7:$H$100,$A342,'22a'!$I$7:$I$100,1)+SUMIFS('22b'!$N$7:$N$100,'22b'!$H$7:$H$100,$A342,'22b'!$I$7:$I$100,1)+SUMIFS('23'!$N$7:$N$100,'23'!$H$7:$H$100,$A342,'23'!$I$7:$I$100,1)+SUMIFS('24'!$N$7:$N$100,'24'!$H$7:$H$100,$A342,'24'!$I$7:$I$100,1)+SUMIFS('24a'!$N$7:$N$100,'24a'!$H$7:$H$100,$A342,'24a'!$I$7:$I$100,1)+SUMIFS('24b'!$N$7:$N$100,'24b'!$H$7:$H$100,$A342,'24b'!$I$7:$I$100,1)+SUMIFS('24c'!$N$7:$N$100,'24c'!$H$7:$H$100,$A342,'24c'!$I$7:$I$100,1)+SUMIFS('24d'!$N$7:$N$100,'24d'!$H$7:$H$100,$A342,'24d'!$I$7:$I$100,1)+SUMIFS('24e'!$N$7:$N$100,'24e'!$H$7:$H$100,$A342,'24e'!$I$7:$I$100,1)+SUMIFS('24f'!$N$7:$N$100,'24f'!$H$7:$H$100,$A342,'24f'!$I$7:$I$100,1)+SUMIFS('24g'!$N$7:$N$100,'24g'!$H$7:$H$100,$A342,'24g'!$I$7:$I$100,1)+SUMIFS('24h'!$N$7:$N$100,'24h'!$H$7:$H$100,$A342,'24h'!$I$7:$I$100,1)+SUMIFS('24i'!$N$7:$N$100,'24i'!$H$7:$H$100,$A342,'24i'!$I$7:$I$100,1)+SUMIFS('25'!$N$7:$N$100,'25'!$H$7:$H$100,$A342,'25'!$I$7:$I$100,1)+SUMIFS('26'!$N$7:$N$100,'26'!$H$7:$H$100,$A342,'26'!$I$7:$I$100,1)+SUMIFS('26a'!$N$7:$N$100,'26a'!$H$7:$H$100,$A342,'26a'!$I$7:$I$100,1)+SUMIFS('27'!$N$7:$N$100,'27'!$H$7:$H$100,$A342,'27'!$I$7:$I$100,1)+SUMIFS('27a'!$N$7:$N$100,'27a'!$H$7:$H$100,$A342,'27a'!$I$7:$I$100,1)+SUMIFS('28'!$N$7:$N$100,'28'!$H$7:$H$100,$A342,'28'!$I$7:$I$100,1)+SUMIFS('29'!$N$7:$N$100,'29'!$H$7:$H$100,$A342,'29'!$I$7:$I$100,1)</f>
        <v>0</v>
      </c>
      <c r="D342" s="1315">
        <f>SUMIFS('12'!$N$7:$N$100,'12'!$H$7:$H$100,$A342,'12'!$I$7:$I$100,2)+SUMIFS('13'!$N$7:$N$100,'13'!$H$7:$H$100,$A342,'13'!$I$7:$I$100,2)+SUMIFS('14'!$N$7:$N$100,'14'!$H$7:$H$100,$A342,'14'!$I$7:$I$100,2)+SUMIFS('15'!$N$7:$N$100,'15'!$H$7:$H$100,$A342,'15'!$I$7:$I$100,2)+SUMIFS('15a'!$N$7:$N$100,'15a'!$H$7:$H$100,$A342,'15a'!$I$7:$I$100,2)+SUMIFS('15b'!$N$7:$N$100,'15b'!$H$7:$H$100,$A342,'15b'!$I$7:$I$100,2)+SUMIFS('15c'!$N$7:$N$100,'15c'!$H$7:$H$100,$A342,'15c'!$I$7:$I$100,2)+SUMIFS('15d'!$N$7:$N$100,'15d'!$H$7:$H$100,$A342,'15d'!$I$7:$I$100,2)+SUMIFS('15e'!$N$7:$N$100,'15e'!$H$7:$H$100,$A342,'15e'!$I$7:$I$100,2)+SUMIFS('15f'!$N$7:$N$100,'15f'!$H$7:$H$100,$A342,'15f'!$I$7:$I$100,2)+SUMIFS('15g'!$N$7:$N$100,'15g'!$H$7:$H$100,$A342,'15g'!$I$7:$I$100,2)+SUMIFS('15h'!$N$7:$N$100,'15h'!$H$7:$H$100,$A342,'15h'!$I$7:$I$100,2)+SUMIFS('15i'!$N$7:$N$100,'15i'!$H$7:$H$100,$A342,'15i'!$I$7:$I$100,2)+SUMIFS('15j'!$N$7:$N$100,'15j'!$H$7:$H$100,$A342,'15j'!$I$7:$I$100,2)+SUMIFS('15k'!$N$7:$N$100,'15k'!$H$7:$H$100,$A342,'15k'!$I$7:$I$100,2)+SUMIFS('15l'!$N$7:$N$100,'15l'!$H$7:$H$100,$A342,'15l'!$I$7:$I$100,2)+SUMIFS('15m'!$N$7:$N$100,'15m'!$H$7:$H$100,$A342,'15m'!$I$7:$I$100,2)+SUMIFS('15n'!$N$7:$N$100,'15n'!$H$7:$H$100,$A342,'15n'!$I$7:$I$100,2)+SUMIFS('16'!$N$7:$N$100,'16'!$H$7:$H$100,$A342,'16'!$I$7:$I$100,2)+SUMIFS('16a'!$N$7:$N$100,'16a'!$H$7:$H$100,$A342,'16a'!$I$7:$I$100,2)+SUMIFS('17'!$N$7:$N$100,'17'!$H$7:$H$100,$A342,'17'!$I$7:$I$100,2)+SUMIFS('17a'!$N$7:$N$100,'17a'!$H$7:$H$100,$A342,'17a'!$I$7:$I$100,2)+SUMIFS('18'!$N$7:$N$100,'18'!$H$7:$H$100,$A342,'18'!$I$7:$I$100,2)+SUMIFS('18a'!$N$7:$N$100,'18a'!$H$7:$H$100,$A342,'18a'!$I$7:$I$100,2)
+SUMIFS('19'!$N$7:$N$100,'19'!$H$7:$H$100,$A342,'19'!$I$7:$I$100,2)+SUMIFS('20'!$N$7:$N$100,'20'!$H$7:$H$100,$A342,'20'!$I$7:$I$100,2)+SUMIFS('20a'!$N$7:$N$100,'20a'!$H$7:$H$100,$A342,'20a'!$I$7:$I$100,2)+SUMIFS('21'!$N$7:$N$100,'21'!$H$7:$H$100,$A342,'21'!$I$7:$I$100,2)+SUMIFS('22'!$N$7:$N$100,'22'!$H$7:$H$100,$A342,'22'!$I$7:$I$100,2)+SUMIFS('22a'!$N$7:$N$100,'22a'!$H$7:$H$100,$A342,'22a'!$I$7:$I$100,2)+SUMIFS('22b'!$N$7:$N$100,'22b'!$H$7:$H$100,$A342,'22b'!$I$7:$I$100,2)+SUMIFS('23'!$N$7:$N$100,'23'!$H$7:$H$100,$A342,'23'!$I$7:$I$100,2)+SUMIFS('24'!$N$7:$N$100,'24'!$H$7:$H$100,$A342,'24'!$I$7:$I$100,2)+SUMIFS('24a'!$N$7:$N$100,'24a'!$H$7:$H$100,$A342,'24a'!$I$7:$I$100,2)+SUMIFS('24b'!$N$7:$N$100,'24b'!$H$7:$H$100,$A342,'24b'!$I$7:$I$100,2)+SUMIFS('24c'!$N$7:$N$100,'24c'!$H$7:$H$100,$A342,'24c'!$I$7:$I$100,2)+SUMIFS('24d'!$N$7:$N$100,'24d'!$H$7:$H$100,$A342,'24d'!$I$7:$I$100,2)+SUMIFS('24e'!$N$7:$N$100,'24e'!$H$7:$H$100,$A342,'24e'!$I$7:$I$100,2)+SUMIFS('24f'!$N$7:$N$100,'24f'!$H$7:$H$100,$A342,'24f'!$I$7:$I$100,2)+SUMIFS('24g'!$N$7:$N$100,'24g'!$H$7:$H$100,$A342,'24g'!$I$7:$I$100,2)+SUMIFS('24h'!$N$7:$N$100,'24h'!$H$7:$H$100,$A342,'24h'!$I$7:$I$100,2)+SUMIFS('24i'!$N$7:$N$100,'24i'!$H$7:$H$100,$A342,'24i'!$I$7:$I$100,2)+SUMIFS('25'!$N$7:$N$100,'25'!$H$7:$H$100,$A342,'25'!$I$7:$I$100,2)+SUMIFS('26'!$N$7:$N$100,'26'!$H$7:$H$100,$A342,'26'!$I$7:$I$100,2)+SUMIFS('26a'!$N$7:$N$100,'26a'!$H$7:$H$100,$A342,'26a'!$I$7:$I$100,2)+SUMIFS('27'!$N$7:$N$100,'27'!$H$7:$H$100,$A342,'27'!$I$7:$I$100,2)+SUMIFS('27a'!$N$7:$N$100,'27a'!$H$7:$H$100,$A342,'27a'!$I$7:$I$100,2)+SUMIFS('28'!$N$7:$N$100,'28'!$H$7:$H$100,$A342,'28'!$I$7:$I$100,2)+SUMIFS('29'!$N$7:$N$100,'29'!$H$7:$H$100,$A342,'29'!$I$7:$I$100,2)</f>
        <v>0</v>
      </c>
      <c r="E342" s="1315">
        <f>SUMIFS('12'!$N$7:$N$100,'12'!$H$7:$H$100,$A342,'12'!$I$7:$I$100,"")+SUMIFS('13'!$N$7:$N$100,'13'!$H$7:$H$100,$A342,'13'!$I$7:$I$100,"")+SUMIFS('14'!$N$7:$N$100,'14'!$H$7:$H$100,$A342,'14'!$I$7:$I$100,"")+SUMIFS('15'!$N$7:$N$100,'15'!$H$7:$H$100,$A342,'15'!$I$7:$I$100,"")+SUMIFS('15a'!$N$7:$N$100,'15a'!$H$7:$H$100,$A342,'15a'!$I$7:$I$100,"")+SUMIFS('15b'!$N$7:$N$100,'15b'!$H$7:$H$100,$A342,'15b'!$I$7:$I$100,"")+SUMIFS('15c'!$N$7:$N$100,'15c'!$H$7:$H$100,$A342,'15c'!$I$7:$I$100,"")+SUMIFS('15d'!$N$7:$N$100,'15d'!$H$7:$H$100,$A342,'15d'!$I$7:$I$100,"")+SUMIFS('15e'!$N$7:$N$100,'15e'!$H$7:$H$100,$A342,'15e'!$I$7:$I$100,"")+SUMIFS('15f'!$N$7:$N$100,'15f'!$H$7:$H$100,$A342,'15f'!$I$7:$I$100,"")+SUMIFS('15g'!$N$7:$N$100,'15g'!$H$7:$H$100,$A342,'15g'!$I$7:$I$100,"")+SUMIFS('15h'!$N$7:$N$100,'15h'!$H$7:$H$100,$A342,'15h'!$I$7:$I$100,"")+SUMIFS('15i'!$N$7:$N$100,'15i'!$H$7:$H$100,$A342,'15i'!$I$7:$I$100,"")+SUMIFS('15j'!$N$7:$N$100,'15j'!$H$7:$H$100,$A342,'15j'!$I$7:$I$100,"")+SUMIFS('15k'!$N$7:$N$100,'15k'!$H$7:$H$100,$A342,'15k'!$I$7:$I$100,"")+SUMIFS('15l'!$N$7:$N$100,'15l'!$H$7:$H$100,$A342,'15l'!$I$7:$I$100,"")+SUMIFS('15m'!$N$7:$N$100,'15m'!$H$7:$H$100,$A342,'15m'!$I$7:$I$100,"")+SUMIFS('15n'!$N$7:$N$100,'15n'!$H$7:$H$100,$A342,'15n'!$I$7:$I$100,"")+SUMIFS('16'!$N$7:$N$100,'16'!$H$7:$H$100,$A342,'16'!$I$7:$I$100,"")+SUMIFS('16a'!$N$7:$N$100,'16a'!$H$7:$H$100,$A342,'16a'!$I$7:$I$100,"")+SUMIFS('17'!$N$7:$N$100,'17'!$H$7:$H$100,$A342,'17'!$I$7:$I$100,"")+SUMIFS('17a'!$N$7:$N$100,'17a'!$H$7:$H$100,$A342,'17a'!$I$7:$I$100,"")+SUMIFS('18'!$N$7:$N$100,'18'!$H$7:$H$100,$A342,'18'!$I$7:$I$100,"")+SUMIFS('18a'!$N$7:$N$100,'18a'!$H$7:$H$100,$A342,'18a'!$I$7:$I$100,"")
+SUMIFS('19'!$N$7:$N$100,'19'!$H$7:$H$100,$A342,'19'!$I$7:$I$100,"")+SUMIFS('20'!$N$7:$N$100,'20'!$H$7:$H$100,$A342,'20'!$I$7:$I$100,"")+SUMIFS('20a'!$N$7:$N$100,'20a'!$H$7:$H$100,$A342,'20a'!$I$7:$I$100,"")+SUMIFS('21'!$N$7:$N$100,'21'!$H$7:$H$100,$A342,'21'!$I$7:$I$100,"")+SUMIFS('22'!$N$7:$N$100,'22'!$H$7:$H$100,$A342,'22'!$I$7:$I$100,"")+SUMIFS('22a'!$N$7:$N$100,'22a'!$H$7:$H$100,$A342,'22a'!$I$7:$I$100,"")+SUMIFS('22b'!$N$7:$N$100,'22b'!$H$7:$H$100,$A342,'22b'!$I$7:$I$100,"")+SUMIFS('23'!$N$7:$N$100,'23'!$H$7:$H$100,$A342,'23'!$I$7:$I$100,"")+SUMIFS('24'!$N$7:$N$100,'24'!$H$7:$H$100,$A342,'24'!$I$7:$I$100,"")+SUMIFS('24a'!$N$7:$N$100,'24a'!$H$7:$H$100,$A342,'24a'!$I$7:$I$100,"")+SUMIFS('24b'!$N$7:$N$100,'24b'!$H$7:$H$100,$A342,'24b'!$I$7:$I$100,"")+SUMIFS('24c'!$N$7:$N$100,'24c'!$H$7:$H$100,$A342,'24c'!$I$7:$I$100,"")+SUMIFS('24d'!$N$7:$N$100,'24d'!$H$7:$H$100,$A342,'24d'!$I$7:$I$100,"")+SUMIFS('24e'!$N$7:$N$100,'24e'!$H$7:$H$100,$A342,'24e'!$I$7:$I$100,"")+SUMIFS('24f'!$N$7:$N$100,'24f'!$H$7:$H$100,$A342,'24f'!$I$7:$I$100,"")+SUMIFS('24g'!$N$7:$N$100,'24g'!$H$7:$H$100,$A342,'24g'!$I$7:$I$100,"")+SUMIFS('24h'!$N$7:$N$100,'24h'!$H$7:$H$100,$A342,'24h'!$I$7:$I$100,"")+SUMIFS('24i'!$N$7:$N$100,'24i'!$H$7:$H$100,$A342,'24i'!$I$7:$I$100,"")+SUMIFS('25'!$N$7:$N$100,'25'!$H$7:$H$100,$A342,'25'!$I$7:$I$100,"")+SUMIFS('26'!$N$7:$N$100,'26'!$H$7:$H$100,$A342,'26'!$I$7:$I$100,"")+SUMIFS('26a'!$N$7:$N$100,'26a'!$H$7:$H$100,$A342,'26a'!$I$7:$I$100,"")+SUMIFS('27'!$N$7:$N$100,'27'!$H$7:$H$100,$A342,'27'!$I$7:$I$100,"")+SUMIFS('27a'!$N$7:$N$100,'27a'!$H$7:$H$100,$A342,'27a'!$I$7:$I$100,"")+SUMIFS('28'!$N$7:$N$100,'28'!$H$7:$H$100,$A342,'28'!$I$7:$I$100,"")+SUMIFS('29'!$N$7:$N$100,'29'!$H$7:$H$100,$A342,'29'!$I$7:$I$100,"")</f>
        <v>0</v>
      </c>
      <c r="F342" s="1296">
        <f>SUM(C342:E342)</f>
        <v>0</v>
      </c>
      <c r="G342" s="1295">
        <f>SUMIFS('12'!$J$7:$J$100,'12'!$H$7:$H$100,$A342,'12'!$I$7:$I$100,1)+SUMIFS('13'!$J$7:$J$100,'13'!$H$7:$H$100,$A342,'13'!$I$7:$I$100,1)+SUMIFS('14'!$J$7:$J$100,'14'!$H$7:$H$100,$A342,'14'!$I$7:$I$100,1)+SUMIFS('15'!$J$7:$J$100,'15'!$H$7:$H$100,$A342,'15'!$I$7:$I$100,1)+SUMIFS('15a'!$J$7:$J$100,'15a'!$H$7:$H$100,$A342,'15a'!$I$7:$I$100,1)+SUMIFS('15b'!$J$7:$J$100,'15b'!$H$7:$H$100,$A342,'15b'!$I$7:$I$100,1)+SUMIFS('15c'!$J$7:$J$100,'15c'!$H$7:$H$100,$A342,'15c'!$I$7:$I$100,1)+SUMIFS('15d'!$J$7:$J$100,'15d'!$H$7:$H$100,$A342,'15d'!$I$7:$I$100,1)+SUMIFS('15e'!$J$7:$J$100,'15e'!$H$7:$H$100,$A342,'15e'!$I$7:$I$100,1)+SUMIFS('15f'!$J$7:$J$100,'15f'!$H$7:$H$100,$A342,'15f'!$I$7:$I$100,1)+SUMIFS('15g'!$J$7:$J$100,'15g'!$H$7:$H$100,$A342,'15g'!$I$7:$I$100,1)+SUMIFS('15h'!$J$7:$J$100,'15h'!$H$7:$H$100,$A342,'15h'!$I$7:$I$100,1)+SUMIFS('15i'!$J$7:$J$100,'15i'!$H$7:$H$100,$A342,'15i'!$I$7:$I$100,1)+SUMIFS('15j'!$J$7:$J$100,'15j'!$H$7:$H$100,$A342,'15j'!$I$7:$I$100,1)+SUMIFS('15k'!$J$7:$J$100,'15k'!$H$7:$H$100,$A342,'15k'!$I$7:$I$100,1)+SUMIFS('15l'!$J$7:$J$100,'15l'!$H$7:$H$100,$A342,'15l'!$I$7:$I$100,1)+SUMIFS('15m'!$J$7:$J$100,'15m'!$H$7:$H$100,$A342,'15m'!$I$7:$I$100,1)+SUMIFS('15n'!$J$7:$J$100,'15n'!$H$7:$H$100,$A342,'15n'!$I$7:$I$100,1)+SUMIFS('16'!$J$7:$J$100,'16'!$H$7:$H$100,$A342,'16'!$I$7:$I$100,1)+SUMIFS('16a'!$J$7:$J$100,'16a'!$H$7:$H$100,$A342,'16a'!$I$7:$I$100,1)+SUMIFS('17'!$J$7:$J$100,'17'!$H$7:$H$100,$A342,'17'!$I$7:$I$100,1)+SUMIFS('17a'!$J$7:$J$100,'17a'!$H$7:$H$100,$A342,'17a'!$I$7:$I$100,1)+SUMIFS('18'!$J$7:$J$100,'18'!$H$7:$H$100,$A342,'18'!$I$7:$I$100,1)+SUMIFS('18a'!$J$7:$J$100,'18a'!$H$7:$H$100,$A342,'18a'!$I$7:$I$100,1)
+SUMIFS('19'!$J$7:$J$100,'19'!$H$7:$H$100,$A342,'19'!$I$7:$I$100,1)+SUMIFS('20'!$J$7:$J$100,'20'!$H$7:$H$100,$A342,'20'!$I$7:$I$100,1)+SUMIFS('20a'!$J$7:$J$100,'20a'!$H$7:$H$100,$A342,'20a'!$I$7:$I$100,1)+SUMIFS('21'!$J$7:$J$100,'21'!$H$7:$H$100,$A342,'21'!$I$7:$I$100,1)+SUMIFS('22'!$J$7:$J$100,'22'!$H$7:$H$100,$A342,'22'!$I$7:$I$100,1)+SUMIFS('22a'!$J$7:$J$100,'22a'!$H$7:$H$100,$A342,'22a'!$I$7:$I$100,1)+SUMIFS('22b'!$J$7:$J$100,'22b'!$H$7:$H$100,$A342,'22b'!$I$7:$I$100,1)+SUMIFS('23'!$J$7:$J$100,'23'!$H$7:$H$100,$A342,'23'!$I$7:$I$100,1)+SUMIFS('24'!$J$7:$J$100,'24'!$H$7:$H$100,$A342,'24'!$I$7:$I$100,1)+SUMIFS('24a'!$J$7:$J$100,'24a'!$H$7:$H$100,$A342,'24a'!$I$7:$I$100,1)+SUMIFS('24b'!$J$7:$J$100,'24b'!$H$7:$H$100,$A342,'24b'!$I$7:$I$100,1)+SUMIFS('24c'!$J$7:$J$100,'24c'!$H$7:$H$100,$A342,'24c'!$I$7:$I$100,1)+SUMIFS('24d'!$J$7:$J$100,'24d'!$H$7:$H$100,$A342,'24d'!$I$7:$I$100,1)+SUMIFS('24e'!$J$7:$J$100,'24e'!$H$7:$H$100,$A342,'24e'!$I$7:$I$100,1)+SUMIFS('24f'!$J$7:$J$100,'24f'!$H$7:$H$100,$A342,'24f'!$I$7:$I$100,1)+SUMIFS('24g'!$J$7:$J$100,'24g'!$H$7:$H$100,$A342,'24g'!$I$7:$I$100,1)+SUMIFS('24h'!$J$7:$J$100,'24h'!$H$7:$H$100,$A342,'24h'!$I$7:$I$100,1)+SUMIFS('24i'!$J$7:$J$100,'24i'!$H$7:$H$100,$A342,'24i'!$I$7:$I$100,1)+SUMIFS('25'!$J$7:$J$100,'25'!$H$7:$H$100,$A342,'25'!$I$7:$I$100,1)+SUMIFS('26'!$J$7:$J$100,'26'!$H$7:$H$100,$A342,'26'!$I$7:$I$100,1)+SUMIFS('26a'!$J$7:$J$100,'26a'!$H$7:$H$100,$A342,'26a'!$I$7:$I$100,1)+SUMIFS('27'!$J$7:$J$100,'27'!$H$7:$H$100,$A342,'27'!$I$7:$I$100,1)+SUMIFS('27a'!$J$7:$J$100,'27a'!$H$7:$H$100,$A342,'27a'!$I$7:$I$100,1)+SUMIFS('28'!$J$7:$J$100,'28'!$H$7:$H$100,$A342,'28'!$I$7:$I$100,1)+SUMIFS('29'!$J$7:$J$100,'29'!$H$7:$H$100,$A342,'29'!$I$7:$I$100,1)</f>
        <v>0</v>
      </c>
      <c r="H342" s="1315">
        <f>SUMIFS('12'!$J$7:$J$100,'12'!$H$7:$H$100,$A342,'12'!$I$7:$I$100,2)+SUMIFS('13'!$J$7:$J$100,'13'!$H$7:$H$100,$A342,'13'!$I$7:$I$100,2)+SUMIFS('14'!$J$7:$J$100,'14'!$H$7:$H$100,$A342,'14'!$I$7:$I$100,2)+SUMIFS('15'!$J$7:$J$100,'15'!$H$7:$H$100,$A342,'15'!$I$7:$I$100,2)+SUMIFS('15a'!$J$7:$J$100,'15a'!$H$7:$H$100,$A342,'15a'!$I$7:$I$100,2)+SUMIFS('15b'!$J$7:$J$100,'15b'!$H$7:$H$100,$A342,'15b'!$I$7:$I$100,2)+SUMIFS('15c'!$J$7:$J$100,'15c'!$H$7:$H$100,$A342,'15c'!$I$7:$I$100,2)+SUMIFS('15d'!$J$7:$J$100,'15d'!$H$7:$H$100,$A342,'15d'!$I$7:$I$100,2)+SUMIFS('15e'!$J$7:$J$100,'15e'!$H$7:$H$100,$A342,'15e'!$I$7:$I$100,2)+SUMIFS('15f'!$J$7:$J$100,'15f'!$H$7:$H$100,$A342,'15f'!$I$7:$I$100,2)+SUMIFS('15g'!$J$7:$J$100,'15g'!$H$7:$H$100,$A342,'15g'!$I$7:$I$100,2)+SUMIFS('15h'!$J$7:$J$100,'15h'!$H$7:$H$100,$A342,'15h'!$I$7:$I$100,2)+SUMIFS('15i'!$J$7:$J$100,'15i'!$H$7:$H$100,$A342,'15i'!$I$7:$I$100,2)+SUMIFS('15j'!$J$7:$J$100,'15j'!$H$7:$H$100,$A342,'15j'!$I$7:$I$100,2)+SUMIFS('15k'!$J$7:$J$100,'15k'!$H$7:$H$100,$A342,'15k'!$I$7:$I$100,2)+SUMIFS('15l'!$J$7:$J$100,'15l'!$H$7:$H$100,$A342,'15l'!$I$7:$I$100,2)+SUMIFS('15m'!$J$7:$J$100,'15m'!$H$7:$H$100,$A342,'15m'!$I$7:$I$100,2)+SUMIFS('15n'!$J$7:$J$100,'15n'!$H$7:$H$100,$A342,'15n'!$I$7:$I$100,2)+SUMIFS('16'!$J$7:$J$100,'16'!$H$7:$H$100,$A342,'16'!$I$7:$I$100,2)+SUMIFS('16a'!$J$7:$J$100,'16a'!$H$7:$H$100,$A342,'16a'!$I$7:$I$100,2)+SUMIFS('17'!$J$7:$J$100,'17'!$H$7:$H$100,$A342,'17'!$I$7:$I$100,2)+SUMIFS('17a'!$J$7:$J$100,'17a'!$H$7:$H$100,$A342,'17a'!$I$7:$I$100,2)+SUMIFS('18'!$J$7:$J$100,'18'!$H$7:$H$100,$A342,'18'!$I$7:$I$100,2)+SUMIFS('18a'!$J$7:$J$100,'18a'!$H$7:$H$100,$A342,'18a'!$I$7:$I$100,2)
+SUMIFS('19'!$J$7:$J$100,'19'!$H$7:$H$100,$A342,'19'!$I$7:$I$100,2)+SUMIFS('20'!$J$7:$J$100,'20'!$H$7:$H$100,$A342,'20'!$I$7:$I$100,2)+SUMIFS('20a'!$J$7:$J$100,'20a'!$H$7:$H$100,$A342,'20a'!$I$7:$I$100,2)+SUMIFS('21'!$J$7:$J$100,'21'!$H$7:$H$100,$A342,'21'!$I$7:$I$100,2)+SUMIFS('22'!$J$7:$J$100,'22'!$H$7:$H$100,$A342,'22'!$I$7:$I$100,2)+SUMIFS('22a'!$J$7:$J$100,'22a'!$H$7:$H$100,$A342,'22a'!$I$7:$I$100,2)+SUMIFS('22b'!$J$7:$J$100,'22b'!$H$7:$H$100,$A342,'22b'!$I$7:$I$100,2)+SUMIFS('23'!$J$7:$J$100,'23'!$H$7:$H$100,$A342,'23'!$I$7:$I$100,2)+SUMIFS('24'!$J$7:$J$100,'24'!$H$7:$H$100,$A342,'24'!$I$7:$I$100,2)+SUMIFS('24a'!$J$7:$J$100,'24a'!$H$7:$H$100,$A342,'24a'!$I$7:$I$100,2)+SUMIFS('24b'!$J$7:$J$100,'24b'!$H$7:$H$100,$A342,'24b'!$I$7:$I$100,2)+SUMIFS('24c'!$J$7:$J$100,'24c'!$H$7:$H$100,$A342,'24c'!$I$7:$I$100,2)+SUMIFS('24d'!$J$7:$J$100,'24d'!$H$7:$H$100,$A342,'24d'!$I$7:$I$100,2)+SUMIFS('24e'!$J$7:$J$100,'24e'!$H$7:$H$100,$A342,'24e'!$I$7:$I$100,2)+SUMIFS('24f'!$J$7:$J$100,'24f'!$H$7:$H$100,$A342,'24f'!$I$7:$I$100,2)+SUMIFS('24g'!$J$7:$J$100,'24g'!$H$7:$H$100,$A342,'24g'!$I$7:$I$100,2)+SUMIFS('24h'!$J$7:$J$100,'24h'!$H$7:$H$100,$A342,'24h'!$I$7:$I$100,2)+SUMIFS('24i'!$J$7:$J$100,'24i'!$H$7:$H$100,$A342,'24i'!$I$7:$I$100,2)+SUMIFS('25'!$J$7:$J$100,'25'!$H$7:$H$100,$A342,'25'!$I$7:$I$100,2)+SUMIFS('26'!$J$7:$J$100,'26'!$H$7:$H$100,$A342,'26'!$I$7:$I$100,2)+SUMIFS('26a'!$J$7:$J$100,'26a'!$H$7:$H$100,$A342,'26a'!$I$7:$I$100,2)+SUMIFS('27'!$J$7:$J$100,'27'!$H$7:$H$100,$A342,'27'!$I$7:$I$100,2)+SUMIFS('27a'!$J$7:$J$100,'27a'!$H$7:$H$100,$A342,'27a'!$I$7:$I$100,2)+SUMIFS('28'!$J$7:$J$100,'28'!$H$7:$H$100,$A342,'28'!$I$7:$I$100,2)+SUMIFS('29'!$J$7:$J$100,'29'!$H$7:$H$100,$A342,'29'!$I$7:$I$100,2)</f>
        <v>0</v>
      </c>
      <c r="I342" s="1315">
        <f>SUMIFS('12'!$J$7:$J$100,'12'!$H$7:$H$100,$A342,'12'!$I$7:$I$100,"")+SUMIFS('13'!$J$7:$J$100,'13'!$H$7:$H$100,$A342,'13'!$I$7:$I$100,"")+SUMIFS('14'!$J$7:$J$100,'14'!$H$7:$H$100,$A342,'14'!$I$7:$I$100,"")+SUMIFS('15'!$J$7:$J$100,'15'!$H$7:$H$100,$A342,'15'!$I$7:$I$100,"")+SUMIFS('15a'!$J$7:$J$100,'15a'!$H$7:$H$100,$A342,'15a'!$I$7:$I$100,"")+SUMIFS('15b'!$J$7:$J$100,'15b'!$H$7:$H$100,$A342,'15b'!$I$7:$I$100,"")+SUMIFS('15c'!$J$7:$J$100,'15c'!$H$7:$H$100,$A342,'15c'!$I$7:$I$100,"")+SUMIFS('15d'!$J$7:$J$100,'15d'!$H$7:$H$100,$A342,'15d'!$I$7:$I$100,"")+SUMIFS('15e'!$J$7:$J$100,'15e'!$H$7:$H$100,$A342,'15e'!$I$7:$I$100,"")+SUMIFS('15f'!$J$7:$J$100,'15f'!$H$7:$H$100,$A342,'15f'!$I$7:$I$100,"")+SUMIFS('15g'!$J$7:$J$100,'15g'!$H$7:$H$100,$A342,'15g'!$I$7:$I$100,"")+SUMIFS('15h'!$J$7:$J$100,'15h'!$H$7:$H$100,$A342,'15h'!$I$7:$I$100,"")+SUMIFS('15i'!$J$7:$J$100,'15i'!$H$7:$H$100,$A342,'15i'!$I$7:$I$100,"")+SUMIFS('15j'!$J$7:$J$100,'15j'!$H$7:$H$100,$A342,'15j'!$I$7:$I$100,"")+SUMIFS('15k'!$J$7:$J$100,'15k'!$H$7:$H$100,$A342,'15k'!$I$7:$I$100,"")+SUMIFS('15l'!$J$7:$J$100,'15l'!$H$7:$H$100,$A342,'15l'!$I$7:$I$100,"")+SUMIFS('15m'!$J$7:$J$100,'15m'!$H$7:$H$100,$A342,'15m'!$I$7:$I$100,"")+SUMIFS('15n'!$J$7:$J$100,'15n'!$H$7:$H$100,$A342,'15n'!$I$7:$I$100,"")+SUMIFS('16'!$J$7:$J$100,'16'!$H$7:$H$100,$A342,'16'!$I$7:$I$100,"")+SUMIFS('16a'!$J$7:$J$100,'16a'!$H$7:$H$100,$A342,'16a'!$I$7:$I$100,"")+SUMIFS('17'!$J$7:$J$100,'17'!$H$7:$H$100,$A342,'17'!$I$7:$I$100,"")+SUMIFS('17a'!$J$7:$J$100,'17a'!$H$7:$H$100,$A342,'17a'!$I$7:$I$100,"")+SUMIFS('18'!$J$7:$J$100,'18'!$H$7:$H$100,$A342,'18'!$I$7:$I$100,"")+SUMIFS('18a'!$J$7:$J$100,'18a'!$H$7:$H$100,$A342,'18a'!$I$7:$I$100,"")
+SUMIFS('19'!$J$7:$J$100,'19'!$H$7:$H$100,$A342,'19'!$I$7:$I$100,"")+SUMIFS('20'!$J$7:$J$100,'20'!$H$7:$H$100,$A342,'20'!$I$7:$I$100,"")+SUMIFS('20a'!$J$7:$J$100,'20a'!$H$7:$H$100,$A342,'20a'!$I$7:$I$100,"")+SUMIFS('21'!$J$7:$J$100,'21'!$H$7:$H$100,$A342,'21'!$I$7:$I$100,"")+SUMIFS('22'!$J$7:$J$100,'22'!$H$7:$H$100,$A342,'22'!$I$7:$I$100,"")+SUMIFS('22a'!$J$7:$J$100,'22a'!$H$7:$H$100,$A342,'22a'!$I$7:$I$100,"")+SUMIFS('22b'!$J$7:$J$100,'22b'!$H$7:$H$100,$A342,'22b'!$I$7:$I$100,"")+SUMIFS('23'!$J$7:$J$100,'23'!$H$7:$H$100,$A342,'23'!$I$7:$I$100,"")+SUMIFS('24'!$J$7:$J$100,'24'!$H$7:$H$100,$A342,'24'!$I$7:$I$100,"")+SUMIFS('24a'!$J$7:$J$100,'24a'!$H$7:$H$100,$A342,'24a'!$I$7:$I$100,"")+SUMIFS('24b'!$J$7:$J$100,'24b'!$H$7:$H$100,$A342,'24b'!$I$7:$I$100,"")+SUMIFS('24c'!$J$7:$J$100,'24c'!$H$7:$H$100,$A342,'24c'!$I$7:$I$100,"")+SUMIFS('24d'!$J$7:$J$100,'24d'!$H$7:$H$100,$A342,'24d'!$I$7:$I$100,"")+SUMIFS('24e'!$J$7:$J$100,'24e'!$H$7:$H$100,$A342,'24e'!$I$7:$I$100,"")+SUMIFS('24f'!$J$7:$J$100,'24f'!$H$7:$H$100,$A342,'24f'!$I$7:$I$100,"")+SUMIFS('24g'!$J$7:$J$100,'24g'!$H$7:$H$100,$A342,'24g'!$I$7:$I$100,"")+SUMIFS('24h'!$J$7:$J$100,'24h'!$H$7:$H$100,$A342,'24h'!$I$7:$I$100,"")+SUMIFS('24i'!$J$7:$J$100,'24i'!$H$7:$H$100,$A342,'24i'!$I$7:$I$100,"")+SUMIFS('25'!$J$7:$J$100,'25'!$H$7:$H$100,$A342,'25'!$I$7:$I$100,"")+SUMIFS('26'!$J$7:$J$100,'26'!$H$7:$H$100,$A342,'26'!$I$7:$I$100,"")+SUMIFS('26a'!$J$7:$J$100,'26a'!$H$7:$H$100,$A342,'26a'!$I$7:$I$100,"")+SUMIFS('27'!$J$7:$J$100,'27'!$H$7:$H$100,$A342,'27'!$I$7:$I$100,"")+SUMIFS('27a'!$J$7:$J$100,'27a'!$H$7:$H$100,$A342,'27a'!$I$7:$I$100,"")+SUMIFS('28'!$J$7:$J$100,'28'!$H$7:$H$100,$A342,'28'!$I$7:$I$100,"")+SUMIFS('29'!$J$7:$J$100,'29'!$H$7:$H$100,$A342,'29'!$I$7:$I$100,"")</f>
        <v>0</v>
      </c>
      <c r="J342" s="1296">
        <f>SUM(G342:I342)</f>
        <v>0</v>
      </c>
      <c r="K342"/>
      <c r="L342"/>
      <c r="M342"/>
      <c r="N342"/>
      <c r="O342"/>
      <c r="P342"/>
      <c r="Q342"/>
      <c r="R342"/>
      <c r="S342" s="1307">
        <f t="shared" si="30"/>
        <v>0</v>
      </c>
      <c r="T342"/>
    </row>
    <row r="343" spans="1:20" x14ac:dyDescent="0.2">
      <c r="A343"/>
      <c r="B343" s="1289" t="str">
        <f>"Total- "&amp;A341</f>
        <v>Total- Additional Appropriations Offset by Revenues</v>
      </c>
      <c r="C343" s="1297">
        <f>C342</f>
        <v>0</v>
      </c>
      <c r="D343" s="1290">
        <f t="shared" ref="D343:J343" si="47">D342</f>
        <v>0</v>
      </c>
      <c r="E343" s="1290">
        <f t="shared" si="47"/>
        <v>0</v>
      </c>
      <c r="F343" s="1298">
        <f t="shared" si="47"/>
        <v>0</v>
      </c>
      <c r="G343" s="1297">
        <f t="shared" si="47"/>
        <v>0</v>
      </c>
      <c r="H343" s="1290">
        <f t="shared" si="47"/>
        <v>0</v>
      </c>
      <c r="I343" s="1290">
        <f t="shared" si="47"/>
        <v>0</v>
      </c>
      <c r="J343" s="1298">
        <f t="shared" si="47"/>
        <v>0</v>
      </c>
      <c r="K343"/>
      <c r="L343"/>
      <c r="M343"/>
      <c r="N343"/>
      <c r="O343"/>
      <c r="P343"/>
      <c r="Q343"/>
      <c r="R343"/>
      <c r="S343" s="1307"/>
      <c r="T343"/>
    </row>
    <row r="344" spans="1:20" x14ac:dyDescent="0.2">
      <c r="A344"/>
      <c r="B344"/>
      <c r="C344" s="292"/>
      <c r="D344"/>
      <c r="E344"/>
      <c r="F344" s="345"/>
      <c r="G344" s="292"/>
      <c r="H344"/>
      <c r="I344"/>
      <c r="J344" s="345"/>
      <c r="K344"/>
      <c r="L344"/>
      <c r="M344"/>
      <c r="N344"/>
      <c r="O344"/>
      <c r="P344"/>
      <c r="Q344"/>
      <c r="R344"/>
      <c r="S344" s="1307"/>
      <c r="T344"/>
    </row>
    <row r="345" spans="1:20" x14ac:dyDescent="0.2">
      <c r="A345" s="106" t="s">
        <v>208</v>
      </c>
      <c r="B345" s="5"/>
      <c r="C345" s="1299"/>
      <c r="D345" s="523"/>
      <c r="E345" s="5"/>
      <c r="F345" s="1322"/>
      <c r="G345" s="1299"/>
      <c r="H345" s="523"/>
      <c r="I345" s="5"/>
      <c r="J345" s="1322"/>
      <c r="K345"/>
      <c r="L345"/>
      <c r="M345"/>
      <c r="N345"/>
      <c r="O345"/>
      <c r="P345"/>
      <c r="Q345"/>
      <c r="R345"/>
      <c r="S345" s="1307"/>
      <c r="T345"/>
    </row>
    <row r="346" spans="1:20" x14ac:dyDescent="0.2">
      <c r="A346" t="s">
        <v>534</v>
      </c>
      <c r="B346" t="s">
        <v>208</v>
      </c>
      <c r="C346" s="1295">
        <f>SUMIFS('12'!$N$7:$N$100,'12'!$H$7:$H$100,$A346,'12'!$I$7:$I$100,1)+SUMIFS('13'!$N$7:$N$100,'13'!$H$7:$H$100,$A346,'13'!$I$7:$I$100,1)+SUMIFS('14'!$N$7:$N$100,'14'!$H$7:$H$100,$A346,'14'!$I$7:$I$100,1)+SUMIFS('15'!$N$7:$N$100,'15'!$H$7:$H$100,$A346,'15'!$I$7:$I$100,1)+SUMIFS('15a'!$N$7:$N$100,'15a'!$H$7:$H$100,$A346,'15a'!$I$7:$I$100,1)+SUMIFS('15b'!$N$7:$N$100,'15b'!$H$7:$H$100,$A346,'15b'!$I$7:$I$100,1)+SUMIFS('15c'!$N$7:$N$100,'15c'!$H$7:$H$100,$A346,'15c'!$I$7:$I$100,1)+SUMIFS('15d'!$N$7:$N$100,'15d'!$H$7:$H$100,$A346,'15d'!$I$7:$I$100,1)+SUMIFS('15e'!$N$7:$N$100,'15e'!$H$7:$H$100,$A346,'15e'!$I$7:$I$100,1)+SUMIFS('15f'!$N$7:$N$100,'15f'!$H$7:$H$100,$A346,'15f'!$I$7:$I$100,1)+SUMIFS('15g'!$N$7:$N$100,'15g'!$H$7:$H$100,$A346,'15g'!$I$7:$I$100,1)+SUMIFS('15h'!$N$7:$N$100,'15h'!$H$7:$H$100,$A346,'15h'!$I$7:$I$100,1)+SUMIFS('15i'!$N$7:$N$100,'15i'!$H$7:$H$100,$A346,'15i'!$I$7:$I$100,1)+SUMIFS('15j'!$N$7:$N$100,'15j'!$H$7:$H$100,$A346,'15j'!$I$7:$I$100,1)+SUMIFS('15k'!$N$7:$N$100,'15k'!$H$7:$H$100,$A346,'15k'!$I$7:$I$100,1)+SUMIFS('15l'!$N$7:$N$100,'15l'!$H$7:$H$100,$A346,'15l'!$I$7:$I$100,1)+SUMIFS('15m'!$N$7:$N$100,'15m'!$H$7:$H$100,$A346,'15m'!$I$7:$I$100,1)+SUMIFS('15n'!$N$7:$N$100,'15n'!$H$7:$H$100,$A346,'15n'!$I$7:$I$100,1)+SUMIFS('16'!$N$7:$N$100,'16'!$H$7:$H$100,$A346,'16'!$I$7:$I$100,1)+SUMIFS('16a'!$N$7:$N$100,'16a'!$H$7:$H$100,$A346,'16a'!$I$7:$I$100,1)+SUMIFS('17'!$N$7:$N$100,'17'!$H$7:$H$100,$A346,'17'!$I$7:$I$100,1)+SUMIFS('17a'!$N$7:$N$100,'17a'!$H$7:$H$100,$A346,'17a'!$I$7:$I$100,1)+SUMIFS('18'!$N$7:$N$100,'18'!$H$7:$H$100,$A346,'18'!$I$7:$I$100,1)+SUMIFS('18a'!$N$7:$N$100,'18a'!$H$7:$H$100,$A346,'18a'!$I$7:$I$100,1)
+SUMIFS('19'!$N$7:$N$100,'19'!$H$7:$H$100,$A346,'19'!$I$7:$I$100,1)+SUMIFS('20'!$N$7:$N$100,'20'!$H$7:$H$100,$A346,'20'!$I$7:$I$100,1)+SUMIFS('20a'!$N$7:$N$100,'20a'!$H$7:$H$100,$A346,'20a'!$I$7:$I$100,1)+SUMIFS('21'!$N$7:$N$100,'21'!$H$7:$H$100,$A346,'21'!$I$7:$I$100,1)+SUMIFS('22'!$N$7:$N$100,'22'!$H$7:$H$100,$A346,'22'!$I$7:$I$100,1)+SUMIFS('22a'!$N$7:$N$100,'22a'!$H$7:$H$100,$A346,'22a'!$I$7:$I$100,1)+SUMIFS('22b'!$N$7:$N$100,'22b'!$H$7:$H$100,$A346,'22b'!$I$7:$I$100,1)+SUMIFS('23'!$N$7:$N$100,'23'!$H$7:$H$100,$A346,'23'!$I$7:$I$100,1)+SUMIFS('24'!$N$7:$N$100,'24'!$H$7:$H$100,$A346,'24'!$I$7:$I$100,1)+SUMIFS('24a'!$N$7:$N$100,'24a'!$H$7:$H$100,$A346,'24a'!$I$7:$I$100,1)+SUMIFS('24b'!$N$7:$N$100,'24b'!$H$7:$H$100,$A346,'24b'!$I$7:$I$100,1)+SUMIFS('24c'!$N$7:$N$100,'24c'!$H$7:$H$100,$A346,'24c'!$I$7:$I$100,1)+SUMIFS('24d'!$N$7:$N$100,'24d'!$H$7:$H$100,$A346,'24d'!$I$7:$I$100,1)+SUMIFS('24e'!$N$7:$N$100,'24e'!$H$7:$H$100,$A346,'24e'!$I$7:$I$100,1)+SUMIFS('24f'!$N$7:$N$100,'24f'!$H$7:$H$100,$A346,'24f'!$I$7:$I$100,1)+SUMIFS('24g'!$N$7:$N$100,'24g'!$H$7:$H$100,$A346,'24g'!$I$7:$I$100,1)+SUMIFS('24h'!$N$7:$N$100,'24h'!$H$7:$H$100,$A346,'24h'!$I$7:$I$100,1)+SUMIFS('24i'!$N$7:$N$100,'24i'!$H$7:$H$100,$A346,'24i'!$I$7:$I$100,1)+SUMIFS('25'!$N$7:$N$100,'25'!$H$7:$H$100,$A346,'25'!$I$7:$I$100,1)+SUMIFS('26'!$N$7:$N$100,'26'!$H$7:$H$100,$A346,'26'!$I$7:$I$100,1)+SUMIFS('26a'!$N$7:$N$100,'26a'!$H$7:$H$100,$A346,'26a'!$I$7:$I$100,1)+SUMIFS('27'!$N$7:$N$100,'27'!$H$7:$H$100,$A346,'27'!$I$7:$I$100,1)+SUMIFS('27a'!$N$7:$N$100,'27a'!$H$7:$H$100,$A346,'27a'!$I$7:$I$100,1)+SUMIFS('28'!$N$7:$N$100,'28'!$H$7:$H$100,$A346,'28'!$I$7:$I$100,1)+SUMIFS('29'!$N$7:$N$100,'29'!$H$7:$H$100,$A346,'29'!$I$7:$I$100,1)</f>
        <v>0</v>
      </c>
      <c r="D346" s="1315">
        <f>SUMIFS('12'!$N$7:$N$100,'12'!$H$7:$H$100,$A346,'12'!$I$7:$I$100,2)+SUMIFS('13'!$N$7:$N$100,'13'!$H$7:$H$100,$A346,'13'!$I$7:$I$100,2)+SUMIFS('14'!$N$7:$N$100,'14'!$H$7:$H$100,$A346,'14'!$I$7:$I$100,2)+SUMIFS('15'!$N$7:$N$100,'15'!$H$7:$H$100,$A346,'15'!$I$7:$I$100,2)+SUMIFS('15a'!$N$7:$N$100,'15a'!$H$7:$H$100,$A346,'15a'!$I$7:$I$100,2)+SUMIFS('15b'!$N$7:$N$100,'15b'!$H$7:$H$100,$A346,'15b'!$I$7:$I$100,2)+SUMIFS('15c'!$N$7:$N$100,'15c'!$H$7:$H$100,$A346,'15c'!$I$7:$I$100,2)+SUMIFS('15d'!$N$7:$N$100,'15d'!$H$7:$H$100,$A346,'15d'!$I$7:$I$100,2)+SUMIFS('15e'!$N$7:$N$100,'15e'!$H$7:$H$100,$A346,'15e'!$I$7:$I$100,2)+SUMIFS('15f'!$N$7:$N$100,'15f'!$H$7:$H$100,$A346,'15f'!$I$7:$I$100,2)+SUMIFS('15g'!$N$7:$N$100,'15g'!$H$7:$H$100,$A346,'15g'!$I$7:$I$100,2)+SUMIFS('15h'!$N$7:$N$100,'15h'!$H$7:$H$100,$A346,'15h'!$I$7:$I$100,2)+SUMIFS('15i'!$N$7:$N$100,'15i'!$H$7:$H$100,$A346,'15i'!$I$7:$I$100,2)+SUMIFS('15j'!$N$7:$N$100,'15j'!$H$7:$H$100,$A346,'15j'!$I$7:$I$100,2)+SUMIFS('15k'!$N$7:$N$100,'15k'!$H$7:$H$100,$A346,'15k'!$I$7:$I$100,2)+SUMIFS('15l'!$N$7:$N$100,'15l'!$H$7:$H$100,$A346,'15l'!$I$7:$I$100,2)+SUMIFS('15m'!$N$7:$N$100,'15m'!$H$7:$H$100,$A346,'15m'!$I$7:$I$100,2)+SUMIFS('15n'!$N$7:$N$100,'15n'!$H$7:$H$100,$A346,'15n'!$I$7:$I$100,2)+SUMIFS('16'!$N$7:$N$100,'16'!$H$7:$H$100,$A346,'16'!$I$7:$I$100,2)+SUMIFS('16a'!$N$7:$N$100,'16a'!$H$7:$H$100,$A346,'16a'!$I$7:$I$100,2)+SUMIFS('17'!$N$7:$N$100,'17'!$H$7:$H$100,$A346,'17'!$I$7:$I$100,2)+SUMIFS('17a'!$N$7:$N$100,'17a'!$H$7:$H$100,$A346,'17a'!$I$7:$I$100,2)+SUMIFS('18'!$N$7:$N$100,'18'!$H$7:$H$100,$A346,'18'!$I$7:$I$100,2)+SUMIFS('18a'!$N$7:$N$100,'18a'!$H$7:$H$100,$A346,'18a'!$I$7:$I$100,2)
+SUMIFS('19'!$N$7:$N$100,'19'!$H$7:$H$100,$A346,'19'!$I$7:$I$100,2)+SUMIFS('20'!$N$7:$N$100,'20'!$H$7:$H$100,$A346,'20'!$I$7:$I$100,2)+SUMIFS('20a'!$N$7:$N$100,'20a'!$H$7:$H$100,$A346,'20a'!$I$7:$I$100,2)+SUMIFS('21'!$N$7:$N$100,'21'!$H$7:$H$100,$A346,'21'!$I$7:$I$100,2)+SUMIFS('22'!$N$7:$N$100,'22'!$H$7:$H$100,$A346,'22'!$I$7:$I$100,2)+SUMIFS('22a'!$N$7:$N$100,'22a'!$H$7:$H$100,$A346,'22a'!$I$7:$I$100,2)+SUMIFS('22b'!$N$7:$N$100,'22b'!$H$7:$H$100,$A346,'22b'!$I$7:$I$100,2)+SUMIFS('23'!$N$7:$N$100,'23'!$H$7:$H$100,$A346,'23'!$I$7:$I$100,2)+SUMIFS('24'!$N$7:$N$100,'24'!$H$7:$H$100,$A346,'24'!$I$7:$I$100,2)+SUMIFS('24a'!$N$7:$N$100,'24a'!$H$7:$H$100,$A346,'24a'!$I$7:$I$100,2)+SUMIFS('24b'!$N$7:$N$100,'24b'!$H$7:$H$100,$A346,'24b'!$I$7:$I$100,2)+SUMIFS('24c'!$N$7:$N$100,'24c'!$H$7:$H$100,$A346,'24c'!$I$7:$I$100,2)+SUMIFS('24d'!$N$7:$N$100,'24d'!$H$7:$H$100,$A346,'24d'!$I$7:$I$100,2)+SUMIFS('24e'!$N$7:$N$100,'24e'!$H$7:$H$100,$A346,'24e'!$I$7:$I$100,2)+SUMIFS('24f'!$N$7:$N$100,'24f'!$H$7:$H$100,$A346,'24f'!$I$7:$I$100,2)+SUMIFS('24g'!$N$7:$N$100,'24g'!$H$7:$H$100,$A346,'24g'!$I$7:$I$100,2)+SUMIFS('24h'!$N$7:$N$100,'24h'!$H$7:$H$100,$A346,'24h'!$I$7:$I$100,2)+SUMIFS('24i'!$N$7:$N$100,'24i'!$H$7:$H$100,$A346,'24i'!$I$7:$I$100,2)+SUMIFS('25'!$N$7:$N$100,'25'!$H$7:$H$100,$A346,'25'!$I$7:$I$100,2)+SUMIFS('26'!$N$7:$N$100,'26'!$H$7:$H$100,$A346,'26'!$I$7:$I$100,2)+SUMIFS('26a'!$N$7:$N$100,'26a'!$H$7:$H$100,$A346,'26a'!$I$7:$I$100,2)+SUMIFS('27'!$N$7:$N$100,'27'!$H$7:$H$100,$A346,'27'!$I$7:$I$100,2)+SUMIFS('27a'!$N$7:$N$100,'27a'!$H$7:$H$100,$A346,'27a'!$I$7:$I$100,2)+SUMIFS('28'!$N$7:$N$100,'28'!$H$7:$H$100,$A346,'28'!$I$7:$I$100,2)+SUMIFS('29'!$N$7:$N$100,'29'!$H$7:$H$100,$A346,'29'!$I$7:$I$100,2)</f>
        <v>0</v>
      </c>
      <c r="E346" s="1315">
        <f>SUMIFS('12'!$N$7:$N$100,'12'!$H$7:$H$100,$A346,'12'!$I$7:$I$100,"")+SUMIFS('13'!$N$7:$N$100,'13'!$H$7:$H$100,$A346,'13'!$I$7:$I$100,"")+SUMIFS('14'!$N$7:$N$100,'14'!$H$7:$H$100,$A346,'14'!$I$7:$I$100,"")+SUMIFS('15'!$N$7:$N$100,'15'!$H$7:$H$100,$A346,'15'!$I$7:$I$100,"")+SUMIFS('15a'!$N$7:$N$100,'15a'!$H$7:$H$100,$A346,'15a'!$I$7:$I$100,"")+SUMIFS('15b'!$N$7:$N$100,'15b'!$H$7:$H$100,$A346,'15b'!$I$7:$I$100,"")+SUMIFS('15c'!$N$7:$N$100,'15c'!$H$7:$H$100,$A346,'15c'!$I$7:$I$100,"")+SUMIFS('15d'!$N$7:$N$100,'15d'!$H$7:$H$100,$A346,'15d'!$I$7:$I$100,"")+SUMIFS('15e'!$N$7:$N$100,'15e'!$H$7:$H$100,$A346,'15e'!$I$7:$I$100,"")+SUMIFS('15f'!$N$7:$N$100,'15f'!$H$7:$H$100,$A346,'15f'!$I$7:$I$100,"")+SUMIFS('15g'!$N$7:$N$100,'15g'!$H$7:$H$100,$A346,'15g'!$I$7:$I$100,"")+SUMIFS('15h'!$N$7:$N$100,'15h'!$H$7:$H$100,$A346,'15h'!$I$7:$I$100,"")+SUMIFS('15i'!$N$7:$N$100,'15i'!$H$7:$H$100,$A346,'15i'!$I$7:$I$100,"")+SUMIFS('15j'!$N$7:$N$100,'15j'!$H$7:$H$100,$A346,'15j'!$I$7:$I$100,"")+SUMIFS('15k'!$N$7:$N$100,'15k'!$H$7:$H$100,$A346,'15k'!$I$7:$I$100,"")+SUMIFS('15l'!$N$7:$N$100,'15l'!$H$7:$H$100,$A346,'15l'!$I$7:$I$100,"")+SUMIFS('15m'!$N$7:$N$100,'15m'!$H$7:$H$100,$A346,'15m'!$I$7:$I$100,"")+SUMIFS('15n'!$N$7:$N$100,'15n'!$H$7:$H$100,$A346,'15n'!$I$7:$I$100,"")+SUMIFS('16'!$N$7:$N$100,'16'!$H$7:$H$100,$A346,'16'!$I$7:$I$100,"")+SUMIFS('16a'!$N$7:$N$100,'16a'!$H$7:$H$100,$A346,'16a'!$I$7:$I$100,"")+SUMIFS('17'!$N$7:$N$100,'17'!$H$7:$H$100,$A346,'17'!$I$7:$I$100,"")+SUMIFS('17a'!$N$7:$N$100,'17a'!$H$7:$H$100,$A346,'17a'!$I$7:$I$100,"")+SUMIFS('18'!$N$7:$N$100,'18'!$H$7:$H$100,$A346,'18'!$I$7:$I$100,"")+SUMIFS('18a'!$N$7:$N$100,'18a'!$H$7:$H$100,$A346,'18a'!$I$7:$I$100,"")
+SUMIFS('19'!$N$7:$N$100,'19'!$H$7:$H$100,$A346,'19'!$I$7:$I$100,"")+SUMIFS('20'!$N$7:$N$100,'20'!$H$7:$H$100,$A346,'20'!$I$7:$I$100,"")+SUMIFS('20a'!$N$7:$N$100,'20a'!$H$7:$H$100,$A346,'20a'!$I$7:$I$100,"")+SUMIFS('21'!$N$7:$N$100,'21'!$H$7:$H$100,$A346,'21'!$I$7:$I$100,"")+SUMIFS('22'!$N$7:$N$100,'22'!$H$7:$H$100,$A346,'22'!$I$7:$I$100,"")+SUMIFS('22a'!$N$7:$N$100,'22a'!$H$7:$H$100,$A346,'22a'!$I$7:$I$100,"")+SUMIFS('22b'!$N$7:$N$100,'22b'!$H$7:$H$100,$A346,'22b'!$I$7:$I$100,"")+SUMIFS('23'!$N$7:$N$100,'23'!$H$7:$H$100,$A346,'23'!$I$7:$I$100,"")+SUMIFS('24'!$N$7:$N$100,'24'!$H$7:$H$100,$A346,'24'!$I$7:$I$100,"")+SUMIFS('24a'!$N$7:$N$100,'24a'!$H$7:$H$100,$A346,'24a'!$I$7:$I$100,"")+SUMIFS('24b'!$N$7:$N$100,'24b'!$H$7:$H$100,$A346,'24b'!$I$7:$I$100,"")+SUMIFS('24c'!$N$7:$N$100,'24c'!$H$7:$H$100,$A346,'24c'!$I$7:$I$100,"")+SUMIFS('24d'!$N$7:$N$100,'24d'!$H$7:$H$100,$A346,'24d'!$I$7:$I$100,"")+SUMIFS('24e'!$N$7:$N$100,'24e'!$H$7:$H$100,$A346,'24e'!$I$7:$I$100,"")+SUMIFS('24f'!$N$7:$N$100,'24f'!$H$7:$H$100,$A346,'24f'!$I$7:$I$100,"")+SUMIFS('24g'!$N$7:$N$100,'24g'!$H$7:$H$100,$A346,'24g'!$I$7:$I$100,"")+SUMIFS('24h'!$N$7:$N$100,'24h'!$H$7:$H$100,$A346,'24h'!$I$7:$I$100,"")+SUMIFS('24i'!$N$7:$N$100,'24i'!$H$7:$H$100,$A346,'24i'!$I$7:$I$100,"")+SUMIFS('25'!$N$7:$N$100,'25'!$H$7:$H$100,$A346,'25'!$I$7:$I$100,"")+SUMIFS('26'!$N$7:$N$100,'26'!$H$7:$H$100,$A346,'26'!$I$7:$I$100,"")+SUMIFS('26a'!$N$7:$N$100,'26a'!$H$7:$H$100,$A346,'26a'!$I$7:$I$100,"")+SUMIFS('27'!$N$7:$N$100,'27'!$H$7:$H$100,$A346,'27'!$I$7:$I$100,"")+SUMIFS('27a'!$N$7:$N$100,'27a'!$H$7:$H$100,$A346,'27a'!$I$7:$I$100,"")+SUMIFS('28'!$N$7:$N$100,'28'!$H$7:$H$100,$A346,'28'!$I$7:$I$100,"")+SUMIFS('29'!$N$7:$N$100,'29'!$H$7:$H$100,$A346,'29'!$I$7:$I$100,"")</f>
        <v>0</v>
      </c>
      <c r="F346" s="1296">
        <f>SUM(C346:E346)</f>
        <v>0</v>
      </c>
      <c r="G346" s="1295">
        <f>SUMIFS('12'!$J$7:$J$100,'12'!$H$7:$H$100,$A346,'12'!$I$7:$I$100,1)+SUMIFS('13'!$J$7:$J$100,'13'!$H$7:$H$100,$A346,'13'!$I$7:$I$100,1)+SUMIFS('14'!$J$7:$J$100,'14'!$H$7:$H$100,$A346,'14'!$I$7:$I$100,1)+SUMIFS('15'!$J$7:$J$100,'15'!$H$7:$H$100,$A346,'15'!$I$7:$I$100,1)+SUMIFS('15a'!$J$7:$J$100,'15a'!$H$7:$H$100,$A346,'15a'!$I$7:$I$100,1)+SUMIFS('15b'!$J$7:$J$100,'15b'!$H$7:$H$100,$A346,'15b'!$I$7:$I$100,1)+SUMIFS('15c'!$J$7:$J$100,'15c'!$H$7:$H$100,$A346,'15c'!$I$7:$I$100,1)+SUMIFS('15d'!$J$7:$J$100,'15d'!$H$7:$H$100,$A346,'15d'!$I$7:$I$100,1)+SUMIFS('15e'!$J$7:$J$100,'15e'!$H$7:$H$100,$A346,'15e'!$I$7:$I$100,1)+SUMIFS('15f'!$J$7:$J$100,'15f'!$H$7:$H$100,$A346,'15f'!$I$7:$I$100,1)+SUMIFS('15g'!$J$7:$J$100,'15g'!$H$7:$H$100,$A346,'15g'!$I$7:$I$100,1)+SUMIFS('15h'!$J$7:$J$100,'15h'!$H$7:$H$100,$A346,'15h'!$I$7:$I$100,1)+SUMIFS('15i'!$J$7:$J$100,'15i'!$H$7:$H$100,$A346,'15i'!$I$7:$I$100,1)+SUMIFS('15j'!$J$7:$J$100,'15j'!$H$7:$H$100,$A346,'15j'!$I$7:$I$100,1)+SUMIFS('15k'!$J$7:$J$100,'15k'!$H$7:$H$100,$A346,'15k'!$I$7:$I$100,1)+SUMIFS('15l'!$J$7:$J$100,'15l'!$H$7:$H$100,$A346,'15l'!$I$7:$I$100,1)+SUMIFS('15m'!$J$7:$J$100,'15m'!$H$7:$H$100,$A346,'15m'!$I$7:$I$100,1)+SUMIFS('15n'!$J$7:$J$100,'15n'!$H$7:$H$100,$A346,'15n'!$I$7:$I$100,1)+SUMIFS('16'!$J$7:$J$100,'16'!$H$7:$H$100,$A346,'16'!$I$7:$I$100,1)+SUMIFS('16a'!$J$7:$J$100,'16a'!$H$7:$H$100,$A346,'16a'!$I$7:$I$100,1)+SUMIFS('17'!$J$7:$J$100,'17'!$H$7:$H$100,$A346,'17'!$I$7:$I$100,1)+SUMIFS('17a'!$J$7:$J$100,'17a'!$H$7:$H$100,$A346,'17a'!$I$7:$I$100,1)+SUMIFS('18'!$J$7:$J$100,'18'!$H$7:$H$100,$A346,'18'!$I$7:$I$100,1)+SUMIFS('18a'!$J$7:$J$100,'18a'!$H$7:$H$100,$A346,'18a'!$I$7:$I$100,1)
+SUMIFS('19'!$J$7:$J$100,'19'!$H$7:$H$100,$A346,'19'!$I$7:$I$100,1)+SUMIFS('20'!$J$7:$J$100,'20'!$H$7:$H$100,$A346,'20'!$I$7:$I$100,1)+SUMIFS('20a'!$J$7:$J$100,'20a'!$H$7:$H$100,$A346,'20a'!$I$7:$I$100,1)+SUMIFS('21'!$J$7:$J$100,'21'!$H$7:$H$100,$A346,'21'!$I$7:$I$100,1)+SUMIFS('22'!$J$7:$J$100,'22'!$H$7:$H$100,$A346,'22'!$I$7:$I$100,1)+SUMIFS('22a'!$J$7:$J$100,'22a'!$H$7:$H$100,$A346,'22a'!$I$7:$I$100,1)+SUMIFS('22b'!$J$7:$J$100,'22b'!$H$7:$H$100,$A346,'22b'!$I$7:$I$100,1)+SUMIFS('23'!$J$7:$J$100,'23'!$H$7:$H$100,$A346,'23'!$I$7:$I$100,1)+SUMIFS('24'!$J$7:$J$100,'24'!$H$7:$H$100,$A346,'24'!$I$7:$I$100,1)+SUMIFS('24a'!$J$7:$J$100,'24a'!$H$7:$H$100,$A346,'24a'!$I$7:$I$100,1)+SUMIFS('24b'!$J$7:$J$100,'24b'!$H$7:$H$100,$A346,'24b'!$I$7:$I$100,1)+SUMIFS('24c'!$J$7:$J$100,'24c'!$H$7:$H$100,$A346,'24c'!$I$7:$I$100,1)+SUMIFS('24d'!$J$7:$J$100,'24d'!$H$7:$H$100,$A346,'24d'!$I$7:$I$100,1)+SUMIFS('24e'!$J$7:$J$100,'24e'!$H$7:$H$100,$A346,'24e'!$I$7:$I$100,1)+SUMIFS('24f'!$J$7:$J$100,'24f'!$H$7:$H$100,$A346,'24f'!$I$7:$I$100,1)+SUMIFS('24g'!$J$7:$J$100,'24g'!$H$7:$H$100,$A346,'24g'!$I$7:$I$100,1)+SUMIFS('24h'!$J$7:$J$100,'24h'!$H$7:$H$100,$A346,'24h'!$I$7:$I$100,1)+SUMIFS('24i'!$J$7:$J$100,'24i'!$H$7:$H$100,$A346,'24i'!$I$7:$I$100,1)+SUMIFS('25'!$J$7:$J$100,'25'!$H$7:$H$100,$A346,'25'!$I$7:$I$100,1)+SUMIFS('26'!$J$7:$J$100,'26'!$H$7:$H$100,$A346,'26'!$I$7:$I$100,1)+SUMIFS('26a'!$J$7:$J$100,'26a'!$H$7:$H$100,$A346,'26a'!$I$7:$I$100,1)+SUMIFS('27'!$J$7:$J$100,'27'!$H$7:$H$100,$A346,'27'!$I$7:$I$100,1)+SUMIFS('27a'!$J$7:$J$100,'27a'!$H$7:$H$100,$A346,'27a'!$I$7:$I$100,1)+SUMIFS('28'!$J$7:$J$100,'28'!$H$7:$H$100,$A346,'28'!$I$7:$I$100,1)+SUMIFS('29'!$J$7:$J$100,'29'!$H$7:$H$100,$A346,'29'!$I$7:$I$100,1)</f>
        <v>0</v>
      </c>
      <c r="H346" s="1315">
        <f>SUMIFS('12'!$J$7:$J$100,'12'!$H$7:$H$100,$A346,'12'!$I$7:$I$100,2)+SUMIFS('13'!$J$7:$J$100,'13'!$H$7:$H$100,$A346,'13'!$I$7:$I$100,2)+SUMIFS('14'!$J$7:$J$100,'14'!$H$7:$H$100,$A346,'14'!$I$7:$I$100,2)+SUMIFS('15'!$J$7:$J$100,'15'!$H$7:$H$100,$A346,'15'!$I$7:$I$100,2)+SUMIFS('15a'!$J$7:$J$100,'15a'!$H$7:$H$100,$A346,'15a'!$I$7:$I$100,2)+SUMIFS('15b'!$J$7:$J$100,'15b'!$H$7:$H$100,$A346,'15b'!$I$7:$I$100,2)+SUMIFS('15c'!$J$7:$J$100,'15c'!$H$7:$H$100,$A346,'15c'!$I$7:$I$100,2)+SUMIFS('15d'!$J$7:$J$100,'15d'!$H$7:$H$100,$A346,'15d'!$I$7:$I$100,2)+SUMIFS('15e'!$J$7:$J$100,'15e'!$H$7:$H$100,$A346,'15e'!$I$7:$I$100,2)+SUMIFS('15f'!$J$7:$J$100,'15f'!$H$7:$H$100,$A346,'15f'!$I$7:$I$100,2)+SUMIFS('15g'!$J$7:$J$100,'15g'!$H$7:$H$100,$A346,'15g'!$I$7:$I$100,2)+SUMIFS('15h'!$J$7:$J$100,'15h'!$H$7:$H$100,$A346,'15h'!$I$7:$I$100,2)+SUMIFS('15i'!$J$7:$J$100,'15i'!$H$7:$H$100,$A346,'15i'!$I$7:$I$100,2)+SUMIFS('15j'!$J$7:$J$100,'15j'!$H$7:$H$100,$A346,'15j'!$I$7:$I$100,2)+SUMIFS('15k'!$J$7:$J$100,'15k'!$H$7:$H$100,$A346,'15k'!$I$7:$I$100,2)+SUMIFS('15l'!$J$7:$J$100,'15l'!$H$7:$H$100,$A346,'15l'!$I$7:$I$100,2)+SUMIFS('15m'!$J$7:$J$100,'15m'!$H$7:$H$100,$A346,'15m'!$I$7:$I$100,2)+SUMIFS('15n'!$J$7:$J$100,'15n'!$H$7:$H$100,$A346,'15n'!$I$7:$I$100,2)+SUMIFS('16'!$J$7:$J$100,'16'!$H$7:$H$100,$A346,'16'!$I$7:$I$100,2)+SUMIFS('16a'!$J$7:$J$100,'16a'!$H$7:$H$100,$A346,'16a'!$I$7:$I$100,2)+SUMIFS('17'!$J$7:$J$100,'17'!$H$7:$H$100,$A346,'17'!$I$7:$I$100,2)+SUMIFS('17a'!$J$7:$J$100,'17a'!$H$7:$H$100,$A346,'17a'!$I$7:$I$100,2)+SUMIFS('18'!$J$7:$J$100,'18'!$H$7:$H$100,$A346,'18'!$I$7:$I$100,2)+SUMIFS('18a'!$J$7:$J$100,'18a'!$H$7:$H$100,$A346,'18a'!$I$7:$I$100,2)
+SUMIFS('19'!$J$7:$J$100,'19'!$H$7:$H$100,$A346,'19'!$I$7:$I$100,2)+SUMIFS('20'!$J$7:$J$100,'20'!$H$7:$H$100,$A346,'20'!$I$7:$I$100,2)+SUMIFS('20a'!$J$7:$J$100,'20a'!$H$7:$H$100,$A346,'20a'!$I$7:$I$100,2)+SUMIFS('21'!$J$7:$J$100,'21'!$H$7:$H$100,$A346,'21'!$I$7:$I$100,2)+SUMIFS('22'!$J$7:$J$100,'22'!$H$7:$H$100,$A346,'22'!$I$7:$I$100,2)+SUMIFS('22a'!$J$7:$J$100,'22a'!$H$7:$H$100,$A346,'22a'!$I$7:$I$100,2)+SUMIFS('22b'!$J$7:$J$100,'22b'!$H$7:$H$100,$A346,'22b'!$I$7:$I$100,2)+SUMIFS('23'!$J$7:$J$100,'23'!$H$7:$H$100,$A346,'23'!$I$7:$I$100,2)+SUMIFS('24'!$J$7:$J$100,'24'!$H$7:$H$100,$A346,'24'!$I$7:$I$100,2)+SUMIFS('24a'!$J$7:$J$100,'24a'!$H$7:$H$100,$A346,'24a'!$I$7:$I$100,2)+SUMIFS('24b'!$J$7:$J$100,'24b'!$H$7:$H$100,$A346,'24b'!$I$7:$I$100,2)+SUMIFS('24c'!$J$7:$J$100,'24c'!$H$7:$H$100,$A346,'24c'!$I$7:$I$100,2)+SUMIFS('24d'!$J$7:$J$100,'24d'!$H$7:$H$100,$A346,'24d'!$I$7:$I$100,2)+SUMIFS('24e'!$J$7:$J$100,'24e'!$H$7:$H$100,$A346,'24e'!$I$7:$I$100,2)+SUMIFS('24f'!$J$7:$J$100,'24f'!$H$7:$H$100,$A346,'24f'!$I$7:$I$100,2)+SUMIFS('24g'!$J$7:$J$100,'24g'!$H$7:$H$100,$A346,'24g'!$I$7:$I$100,2)+SUMIFS('24h'!$J$7:$J$100,'24h'!$H$7:$H$100,$A346,'24h'!$I$7:$I$100,2)+SUMIFS('24i'!$J$7:$J$100,'24i'!$H$7:$H$100,$A346,'24i'!$I$7:$I$100,2)+SUMIFS('25'!$J$7:$J$100,'25'!$H$7:$H$100,$A346,'25'!$I$7:$I$100,2)+SUMIFS('26'!$J$7:$J$100,'26'!$H$7:$H$100,$A346,'26'!$I$7:$I$100,2)+SUMIFS('26a'!$J$7:$J$100,'26a'!$H$7:$H$100,$A346,'26a'!$I$7:$I$100,2)+SUMIFS('27'!$J$7:$J$100,'27'!$H$7:$H$100,$A346,'27'!$I$7:$I$100,2)+SUMIFS('27a'!$J$7:$J$100,'27a'!$H$7:$H$100,$A346,'27a'!$I$7:$I$100,2)+SUMIFS('28'!$J$7:$J$100,'28'!$H$7:$H$100,$A346,'28'!$I$7:$I$100,2)+SUMIFS('29'!$J$7:$J$100,'29'!$H$7:$H$100,$A346,'29'!$I$7:$I$100,2)</f>
        <v>0</v>
      </c>
      <c r="I346" s="1315">
        <f>SUMIFS('12'!$J$7:$J$100,'12'!$H$7:$H$100,$A346,'12'!$I$7:$I$100,"")+SUMIFS('13'!$J$7:$J$100,'13'!$H$7:$H$100,$A346,'13'!$I$7:$I$100,"")+SUMIFS('14'!$J$7:$J$100,'14'!$H$7:$H$100,$A346,'14'!$I$7:$I$100,"")+SUMIFS('15'!$J$7:$J$100,'15'!$H$7:$H$100,$A346,'15'!$I$7:$I$100,"")+SUMIFS('15a'!$J$7:$J$100,'15a'!$H$7:$H$100,$A346,'15a'!$I$7:$I$100,"")+SUMIFS('15b'!$J$7:$J$100,'15b'!$H$7:$H$100,$A346,'15b'!$I$7:$I$100,"")+SUMIFS('15c'!$J$7:$J$100,'15c'!$H$7:$H$100,$A346,'15c'!$I$7:$I$100,"")+SUMIFS('15d'!$J$7:$J$100,'15d'!$H$7:$H$100,$A346,'15d'!$I$7:$I$100,"")+SUMIFS('15e'!$J$7:$J$100,'15e'!$H$7:$H$100,$A346,'15e'!$I$7:$I$100,"")+SUMIFS('15f'!$J$7:$J$100,'15f'!$H$7:$H$100,$A346,'15f'!$I$7:$I$100,"")+SUMIFS('15g'!$J$7:$J$100,'15g'!$H$7:$H$100,$A346,'15g'!$I$7:$I$100,"")+SUMIFS('15h'!$J$7:$J$100,'15h'!$H$7:$H$100,$A346,'15h'!$I$7:$I$100,"")+SUMIFS('15i'!$J$7:$J$100,'15i'!$H$7:$H$100,$A346,'15i'!$I$7:$I$100,"")+SUMIFS('15j'!$J$7:$J$100,'15j'!$H$7:$H$100,$A346,'15j'!$I$7:$I$100,"")+SUMIFS('15k'!$J$7:$J$100,'15k'!$H$7:$H$100,$A346,'15k'!$I$7:$I$100,"")+SUMIFS('15l'!$J$7:$J$100,'15l'!$H$7:$H$100,$A346,'15l'!$I$7:$I$100,"")+SUMIFS('15m'!$J$7:$J$100,'15m'!$H$7:$H$100,$A346,'15m'!$I$7:$I$100,"")+SUMIFS('15n'!$J$7:$J$100,'15n'!$H$7:$H$100,$A346,'15n'!$I$7:$I$100,"")+SUMIFS('16'!$J$7:$J$100,'16'!$H$7:$H$100,$A346,'16'!$I$7:$I$100,"")+SUMIFS('16a'!$J$7:$J$100,'16a'!$H$7:$H$100,$A346,'16a'!$I$7:$I$100,"")+SUMIFS('17'!$J$7:$J$100,'17'!$H$7:$H$100,$A346,'17'!$I$7:$I$100,"")+SUMIFS('17a'!$J$7:$J$100,'17a'!$H$7:$H$100,$A346,'17a'!$I$7:$I$100,"")+SUMIFS('18'!$J$7:$J$100,'18'!$H$7:$H$100,$A346,'18'!$I$7:$I$100,"")+SUMIFS('18a'!$J$7:$J$100,'18a'!$H$7:$H$100,$A346,'18a'!$I$7:$I$100,"")
+SUMIFS('19'!$J$7:$J$100,'19'!$H$7:$H$100,$A346,'19'!$I$7:$I$100,"")+SUMIFS('20'!$J$7:$J$100,'20'!$H$7:$H$100,$A346,'20'!$I$7:$I$100,"")+SUMIFS('20a'!$J$7:$J$100,'20a'!$H$7:$H$100,$A346,'20a'!$I$7:$I$100,"")+SUMIFS('21'!$J$7:$J$100,'21'!$H$7:$H$100,$A346,'21'!$I$7:$I$100,"")+SUMIFS('22'!$J$7:$J$100,'22'!$H$7:$H$100,$A346,'22'!$I$7:$I$100,"")+SUMIFS('22a'!$J$7:$J$100,'22a'!$H$7:$H$100,$A346,'22a'!$I$7:$I$100,"")+SUMIFS('22b'!$J$7:$J$100,'22b'!$H$7:$H$100,$A346,'22b'!$I$7:$I$100,"")+SUMIFS('23'!$J$7:$J$100,'23'!$H$7:$H$100,$A346,'23'!$I$7:$I$100,"")+SUMIFS('24'!$J$7:$J$100,'24'!$H$7:$H$100,$A346,'24'!$I$7:$I$100,"")+SUMIFS('24a'!$J$7:$J$100,'24a'!$H$7:$H$100,$A346,'24a'!$I$7:$I$100,"")+SUMIFS('24b'!$J$7:$J$100,'24b'!$H$7:$H$100,$A346,'24b'!$I$7:$I$100,"")+SUMIFS('24c'!$J$7:$J$100,'24c'!$H$7:$H$100,$A346,'24c'!$I$7:$I$100,"")+SUMIFS('24d'!$J$7:$J$100,'24d'!$H$7:$H$100,$A346,'24d'!$I$7:$I$100,"")+SUMIFS('24e'!$J$7:$J$100,'24e'!$H$7:$H$100,$A346,'24e'!$I$7:$I$100,"")+SUMIFS('24f'!$J$7:$J$100,'24f'!$H$7:$H$100,$A346,'24f'!$I$7:$I$100,"")+SUMIFS('24g'!$J$7:$J$100,'24g'!$H$7:$H$100,$A346,'24g'!$I$7:$I$100,"")+SUMIFS('24h'!$J$7:$J$100,'24h'!$H$7:$H$100,$A346,'24h'!$I$7:$I$100,"")+SUMIFS('24i'!$J$7:$J$100,'24i'!$H$7:$H$100,$A346,'24i'!$I$7:$I$100,"")+SUMIFS('25'!$J$7:$J$100,'25'!$H$7:$H$100,$A346,'25'!$I$7:$I$100,"")+SUMIFS('26'!$J$7:$J$100,'26'!$H$7:$H$100,$A346,'26'!$I$7:$I$100,"")+SUMIFS('26a'!$J$7:$J$100,'26a'!$H$7:$H$100,$A346,'26a'!$I$7:$I$100,"")+SUMIFS('27'!$J$7:$J$100,'27'!$H$7:$H$100,$A346,'27'!$I$7:$I$100,"")+SUMIFS('27a'!$J$7:$J$100,'27a'!$H$7:$H$100,$A346,'27a'!$I$7:$I$100,"")+SUMIFS('28'!$J$7:$J$100,'28'!$H$7:$H$100,$A346,'28'!$I$7:$I$100,"")+SUMIFS('29'!$J$7:$J$100,'29'!$H$7:$H$100,$A346,'29'!$I$7:$I$100,"")</f>
        <v>0</v>
      </c>
      <c r="J346" s="1296">
        <f>SUM(G346:I346)</f>
        <v>0</v>
      </c>
      <c r="K346"/>
      <c r="L346"/>
      <c r="M346"/>
      <c r="N346"/>
      <c r="O346"/>
      <c r="P346"/>
      <c r="Q346"/>
      <c r="R346"/>
      <c r="S346" s="1307">
        <f t="shared" ref="S346:S407" si="48">SUM(C346:J346)</f>
        <v>0</v>
      </c>
      <c r="T346"/>
    </row>
    <row r="347" spans="1:20" x14ac:dyDescent="0.2">
      <c r="A347"/>
      <c r="B347" s="1289" t="str">
        <f>"Total- "&amp;A345</f>
        <v>Total- Contingent</v>
      </c>
      <c r="C347" s="1297">
        <f>C346</f>
        <v>0</v>
      </c>
      <c r="D347" s="1290">
        <f t="shared" ref="D347:J347" si="49">D346</f>
        <v>0</v>
      </c>
      <c r="E347" s="1290">
        <f t="shared" si="49"/>
        <v>0</v>
      </c>
      <c r="F347" s="1298">
        <f t="shared" si="49"/>
        <v>0</v>
      </c>
      <c r="G347" s="1297">
        <f t="shared" si="49"/>
        <v>0</v>
      </c>
      <c r="H347" s="1290">
        <f t="shared" si="49"/>
        <v>0</v>
      </c>
      <c r="I347" s="1290">
        <f t="shared" si="49"/>
        <v>0</v>
      </c>
      <c r="J347" s="1298">
        <f t="shared" si="49"/>
        <v>0</v>
      </c>
      <c r="K347"/>
      <c r="L347"/>
      <c r="M347"/>
      <c r="N347"/>
      <c r="O347"/>
      <c r="P347"/>
      <c r="Q347"/>
      <c r="R347"/>
      <c r="S347" s="1307"/>
      <c r="T347"/>
    </row>
    <row r="348" spans="1:20" x14ac:dyDescent="0.2">
      <c r="A348"/>
      <c r="B348"/>
      <c r="C348" s="292"/>
      <c r="D348"/>
      <c r="E348"/>
      <c r="F348" s="345"/>
      <c r="G348" s="292"/>
      <c r="H348"/>
      <c r="I348"/>
      <c r="J348" s="345"/>
      <c r="K348"/>
      <c r="L348"/>
      <c r="M348"/>
      <c r="N348"/>
      <c r="O348"/>
      <c r="P348"/>
      <c r="Q348"/>
      <c r="R348"/>
      <c r="S348" s="1307"/>
      <c r="T348"/>
    </row>
    <row r="349" spans="1:20" x14ac:dyDescent="0.2">
      <c r="A349" s="106" t="s">
        <v>5450</v>
      </c>
      <c r="B349" s="5"/>
      <c r="C349" s="1299"/>
      <c r="D349" s="523"/>
      <c r="E349" s="5"/>
      <c r="F349" s="1322"/>
      <c r="G349" s="1299"/>
      <c r="H349" s="523"/>
      <c r="I349" s="5"/>
      <c r="J349" s="1322"/>
      <c r="K349"/>
      <c r="L349"/>
      <c r="M349"/>
      <c r="N349"/>
      <c r="O349"/>
      <c r="P349"/>
      <c r="Q349"/>
      <c r="R349"/>
      <c r="S349" s="1307"/>
      <c r="T349"/>
    </row>
    <row r="350" spans="1:20" x14ac:dyDescent="0.2">
      <c r="A350" t="s">
        <v>536</v>
      </c>
      <c r="B350" t="s">
        <v>5546</v>
      </c>
      <c r="C350" s="1295">
        <f>SUMIFS('12'!$N$7:$N$100,'12'!$H$7:$H$100,$A350,'12'!$I$7:$I$100,1)+SUMIFS('13'!$N$7:$N$100,'13'!$H$7:$H$100,$A350,'13'!$I$7:$I$100,1)+SUMIFS('14'!$N$7:$N$100,'14'!$H$7:$H$100,$A350,'14'!$I$7:$I$100,1)+SUMIFS('15'!$N$7:$N$100,'15'!$H$7:$H$100,$A350,'15'!$I$7:$I$100,1)+SUMIFS('15a'!$N$7:$N$100,'15a'!$H$7:$H$100,$A350,'15a'!$I$7:$I$100,1)+SUMIFS('15b'!$N$7:$N$100,'15b'!$H$7:$H$100,$A350,'15b'!$I$7:$I$100,1)+SUMIFS('15c'!$N$7:$N$100,'15c'!$H$7:$H$100,$A350,'15c'!$I$7:$I$100,1)+SUMIFS('15d'!$N$7:$N$100,'15d'!$H$7:$H$100,$A350,'15d'!$I$7:$I$100,1)+SUMIFS('15e'!$N$7:$N$100,'15e'!$H$7:$H$100,$A350,'15e'!$I$7:$I$100,1)+SUMIFS('15f'!$N$7:$N$100,'15f'!$H$7:$H$100,$A350,'15f'!$I$7:$I$100,1)+SUMIFS('15g'!$N$7:$N$100,'15g'!$H$7:$H$100,$A350,'15g'!$I$7:$I$100,1)+SUMIFS('15h'!$N$7:$N$100,'15h'!$H$7:$H$100,$A350,'15h'!$I$7:$I$100,1)+SUMIFS('15i'!$N$7:$N$100,'15i'!$H$7:$H$100,$A350,'15i'!$I$7:$I$100,1)+SUMIFS('15j'!$N$7:$N$100,'15j'!$H$7:$H$100,$A350,'15j'!$I$7:$I$100,1)+SUMIFS('15k'!$N$7:$N$100,'15k'!$H$7:$H$100,$A350,'15k'!$I$7:$I$100,1)+SUMIFS('15l'!$N$7:$N$100,'15l'!$H$7:$H$100,$A350,'15l'!$I$7:$I$100,1)+SUMIFS('15m'!$N$7:$N$100,'15m'!$H$7:$H$100,$A350,'15m'!$I$7:$I$100,1)+SUMIFS('15n'!$N$7:$N$100,'15n'!$H$7:$H$100,$A350,'15n'!$I$7:$I$100,1)+SUMIFS('16'!$N$7:$N$100,'16'!$H$7:$H$100,$A350,'16'!$I$7:$I$100,1)+SUMIFS('16a'!$N$7:$N$100,'16a'!$H$7:$H$100,$A350,'16a'!$I$7:$I$100,1)+SUMIFS('17'!$N$7:$N$100,'17'!$H$7:$H$100,$A350,'17'!$I$7:$I$100,1)+SUMIFS('17a'!$N$7:$N$100,'17a'!$H$7:$H$100,$A350,'17a'!$I$7:$I$100,1)+SUMIFS('18'!$N$7:$N$100,'18'!$H$7:$H$100,$A350,'18'!$I$7:$I$100,1)+SUMIFS('18a'!$N$7:$N$100,'18a'!$H$7:$H$100,$A350,'18a'!$I$7:$I$100,1)
+SUMIFS('19'!$N$7:$N$100,'19'!$H$7:$H$100,$A350,'19'!$I$7:$I$100,1)+SUMIFS('20'!$N$7:$N$100,'20'!$H$7:$H$100,$A350,'20'!$I$7:$I$100,1)+SUMIFS('20a'!$N$7:$N$100,'20a'!$H$7:$H$100,$A350,'20a'!$I$7:$I$100,1)+SUMIFS('21'!$N$7:$N$100,'21'!$H$7:$H$100,$A350,'21'!$I$7:$I$100,1)+SUMIFS('22'!$N$7:$N$100,'22'!$H$7:$H$100,$A350,'22'!$I$7:$I$100,1)+SUMIFS('22a'!$N$7:$N$100,'22a'!$H$7:$H$100,$A350,'22a'!$I$7:$I$100,1)+SUMIFS('22b'!$N$7:$N$100,'22b'!$H$7:$H$100,$A350,'22b'!$I$7:$I$100,1)+SUMIFS('23'!$N$7:$N$100,'23'!$H$7:$H$100,$A350,'23'!$I$7:$I$100,1)+SUMIFS('24'!$N$7:$N$100,'24'!$H$7:$H$100,$A350,'24'!$I$7:$I$100,1)+SUMIFS('24a'!$N$7:$N$100,'24a'!$H$7:$H$100,$A350,'24a'!$I$7:$I$100,1)+SUMIFS('24b'!$N$7:$N$100,'24b'!$H$7:$H$100,$A350,'24b'!$I$7:$I$100,1)+SUMIFS('24c'!$N$7:$N$100,'24c'!$H$7:$H$100,$A350,'24c'!$I$7:$I$100,1)+SUMIFS('24d'!$N$7:$N$100,'24d'!$H$7:$H$100,$A350,'24d'!$I$7:$I$100,1)+SUMIFS('24e'!$N$7:$N$100,'24e'!$H$7:$H$100,$A350,'24e'!$I$7:$I$100,1)+SUMIFS('24f'!$N$7:$N$100,'24f'!$H$7:$H$100,$A350,'24f'!$I$7:$I$100,1)+SUMIFS('24g'!$N$7:$N$100,'24g'!$H$7:$H$100,$A350,'24g'!$I$7:$I$100,1)+SUMIFS('24h'!$N$7:$N$100,'24h'!$H$7:$H$100,$A350,'24h'!$I$7:$I$100,1)+SUMIFS('24i'!$N$7:$N$100,'24i'!$H$7:$H$100,$A350,'24i'!$I$7:$I$100,1)+SUMIFS('25'!$N$7:$N$100,'25'!$H$7:$H$100,$A350,'25'!$I$7:$I$100,1)+SUMIFS('26'!$N$7:$N$100,'26'!$H$7:$H$100,$A350,'26'!$I$7:$I$100,1)+SUMIFS('26a'!$N$7:$N$100,'26a'!$H$7:$H$100,$A350,'26a'!$I$7:$I$100,1)+SUMIFS('27'!$N$7:$N$100,'27'!$H$7:$H$100,$A350,'27'!$I$7:$I$100,1)+SUMIFS('27a'!$N$7:$N$100,'27a'!$H$7:$H$100,$A350,'27a'!$I$7:$I$100,1)+SUMIFS('28'!$N$7:$N$100,'28'!$H$7:$H$100,$A350,'28'!$I$7:$I$100,1)+SUMIFS('29'!$N$7:$N$100,'29'!$H$7:$H$100,$A350,'29'!$I$7:$I$100,1)</f>
        <v>0</v>
      </c>
      <c r="D350" s="1315">
        <f>SUMIFS('12'!$N$7:$N$100,'12'!$H$7:$H$100,$A350,'12'!$I$7:$I$100,2)+SUMIFS('13'!$N$7:$N$100,'13'!$H$7:$H$100,$A350,'13'!$I$7:$I$100,2)+SUMIFS('14'!$N$7:$N$100,'14'!$H$7:$H$100,$A350,'14'!$I$7:$I$100,2)+SUMIFS('15'!$N$7:$N$100,'15'!$H$7:$H$100,$A350,'15'!$I$7:$I$100,2)+SUMIFS('15a'!$N$7:$N$100,'15a'!$H$7:$H$100,$A350,'15a'!$I$7:$I$100,2)+SUMIFS('15b'!$N$7:$N$100,'15b'!$H$7:$H$100,$A350,'15b'!$I$7:$I$100,2)+SUMIFS('15c'!$N$7:$N$100,'15c'!$H$7:$H$100,$A350,'15c'!$I$7:$I$100,2)+SUMIFS('15d'!$N$7:$N$100,'15d'!$H$7:$H$100,$A350,'15d'!$I$7:$I$100,2)+SUMIFS('15e'!$N$7:$N$100,'15e'!$H$7:$H$100,$A350,'15e'!$I$7:$I$100,2)+SUMIFS('15f'!$N$7:$N$100,'15f'!$H$7:$H$100,$A350,'15f'!$I$7:$I$100,2)+SUMIFS('15g'!$N$7:$N$100,'15g'!$H$7:$H$100,$A350,'15g'!$I$7:$I$100,2)+SUMIFS('15h'!$N$7:$N$100,'15h'!$H$7:$H$100,$A350,'15h'!$I$7:$I$100,2)+SUMIFS('15i'!$N$7:$N$100,'15i'!$H$7:$H$100,$A350,'15i'!$I$7:$I$100,2)+SUMIFS('15j'!$N$7:$N$100,'15j'!$H$7:$H$100,$A350,'15j'!$I$7:$I$100,2)+SUMIFS('15k'!$N$7:$N$100,'15k'!$H$7:$H$100,$A350,'15k'!$I$7:$I$100,2)+SUMIFS('15l'!$N$7:$N$100,'15l'!$H$7:$H$100,$A350,'15l'!$I$7:$I$100,2)+SUMIFS('15m'!$N$7:$N$100,'15m'!$H$7:$H$100,$A350,'15m'!$I$7:$I$100,2)+SUMIFS('15n'!$N$7:$N$100,'15n'!$H$7:$H$100,$A350,'15n'!$I$7:$I$100,2)+SUMIFS('16'!$N$7:$N$100,'16'!$H$7:$H$100,$A350,'16'!$I$7:$I$100,2)+SUMIFS('16a'!$N$7:$N$100,'16a'!$H$7:$H$100,$A350,'16a'!$I$7:$I$100,2)+SUMIFS('17'!$N$7:$N$100,'17'!$H$7:$H$100,$A350,'17'!$I$7:$I$100,2)+SUMIFS('17a'!$N$7:$N$100,'17a'!$H$7:$H$100,$A350,'17a'!$I$7:$I$100,2)+SUMIFS('18'!$N$7:$N$100,'18'!$H$7:$H$100,$A350,'18'!$I$7:$I$100,2)+SUMIFS('18a'!$N$7:$N$100,'18a'!$H$7:$H$100,$A350,'18a'!$I$7:$I$100,2)
+SUMIFS('19'!$N$7:$N$100,'19'!$H$7:$H$100,$A350,'19'!$I$7:$I$100,2)+SUMIFS('20'!$N$7:$N$100,'20'!$H$7:$H$100,$A350,'20'!$I$7:$I$100,2)+SUMIFS('20a'!$N$7:$N$100,'20a'!$H$7:$H$100,$A350,'20a'!$I$7:$I$100,2)+SUMIFS('21'!$N$7:$N$100,'21'!$H$7:$H$100,$A350,'21'!$I$7:$I$100,2)+SUMIFS('22'!$N$7:$N$100,'22'!$H$7:$H$100,$A350,'22'!$I$7:$I$100,2)+SUMIFS('22a'!$N$7:$N$100,'22a'!$H$7:$H$100,$A350,'22a'!$I$7:$I$100,2)+SUMIFS('22b'!$N$7:$N$100,'22b'!$H$7:$H$100,$A350,'22b'!$I$7:$I$100,2)+SUMIFS('23'!$N$7:$N$100,'23'!$H$7:$H$100,$A350,'23'!$I$7:$I$100,2)+SUMIFS('24'!$N$7:$N$100,'24'!$H$7:$H$100,$A350,'24'!$I$7:$I$100,2)+SUMIFS('24a'!$N$7:$N$100,'24a'!$H$7:$H$100,$A350,'24a'!$I$7:$I$100,2)+SUMIFS('24b'!$N$7:$N$100,'24b'!$H$7:$H$100,$A350,'24b'!$I$7:$I$100,2)+SUMIFS('24c'!$N$7:$N$100,'24c'!$H$7:$H$100,$A350,'24c'!$I$7:$I$100,2)+SUMIFS('24d'!$N$7:$N$100,'24d'!$H$7:$H$100,$A350,'24d'!$I$7:$I$100,2)+SUMIFS('24e'!$N$7:$N$100,'24e'!$H$7:$H$100,$A350,'24e'!$I$7:$I$100,2)+SUMIFS('24f'!$N$7:$N$100,'24f'!$H$7:$H$100,$A350,'24f'!$I$7:$I$100,2)+SUMIFS('24g'!$N$7:$N$100,'24g'!$H$7:$H$100,$A350,'24g'!$I$7:$I$100,2)+SUMIFS('24h'!$N$7:$N$100,'24h'!$H$7:$H$100,$A350,'24h'!$I$7:$I$100,2)+SUMIFS('24i'!$N$7:$N$100,'24i'!$H$7:$H$100,$A350,'24i'!$I$7:$I$100,2)+SUMIFS('25'!$N$7:$N$100,'25'!$H$7:$H$100,$A350,'25'!$I$7:$I$100,2)+SUMIFS('26'!$N$7:$N$100,'26'!$H$7:$H$100,$A350,'26'!$I$7:$I$100,2)+SUMIFS('26a'!$N$7:$N$100,'26a'!$H$7:$H$100,$A350,'26a'!$I$7:$I$100,2)+SUMIFS('27'!$N$7:$N$100,'27'!$H$7:$H$100,$A350,'27'!$I$7:$I$100,2)+SUMIFS('27a'!$N$7:$N$100,'27a'!$H$7:$H$100,$A350,'27a'!$I$7:$I$100,2)+SUMIFS('28'!$N$7:$N$100,'28'!$H$7:$H$100,$A350,'28'!$I$7:$I$100,2)+SUMIFS('29'!$N$7:$N$100,'29'!$H$7:$H$100,$A350,'29'!$I$7:$I$100,2)</f>
        <v>0</v>
      </c>
      <c r="E350" s="1315">
        <f>SUMIFS('12'!$N$7:$N$100,'12'!$H$7:$H$100,$A350,'12'!$I$7:$I$100,"")+SUMIFS('13'!$N$7:$N$100,'13'!$H$7:$H$100,$A350,'13'!$I$7:$I$100,"")+SUMIFS('14'!$N$7:$N$100,'14'!$H$7:$H$100,$A350,'14'!$I$7:$I$100,"")+SUMIFS('15'!$N$7:$N$100,'15'!$H$7:$H$100,$A350,'15'!$I$7:$I$100,"")+SUMIFS('15a'!$N$7:$N$100,'15a'!$H$7:$H$100,$A350,'15a'!$I$7:$I$100,"")+SUMIFS('15b'!$N$7:$N$100,'15b'!$H$7:$H$100,$A350,'15b'!$I$7:$I$100,"")+SUMIFS('15c'!$N$7:$N$100,'15c'!$H$7:$H$100,$A350,'15c'!$I$7:$I$100,"")+SUMIFS('15d'!$N$7:$N$100,'15d'!$H$7:$H$100,$A350,'15d'!$I$7:$I$100,"")+SUMIFS('15e'!$N$7:$N$100,'15e'!$H$7:$H$100,$A350,'15e'!$I$7:$I$100,"")+SUMIFS('15f'!$N$7:$N$100,'15f'!$H$7:$H$100,$A350,'15f'!$I$7:$I$100,"")+SUMIFS('15g'!$N$7:$N$100,'15g'!$H$7:$H$100,$A350,'15g'!$I$7:$I$100,"")+SUMIFS('15h'!$N$7:$N$100,'15h'!$H$7:$H$100,$A350,'15h'!$I$7:$I$100,"")+SUMIFS('15i'!$N$7:$N$100,'15i'!$H$7:$H$100,$A350,'15i'!$I$7:$I$100,"")+SUMIFS('15j'!$N$7:$N$100,'15j'!$H$7:$H$100,$A350,'15j'!$I$7:$I$100,"")+SUMIFS('15k'!$N$7:$N$100,'15k'!$H$7:$H$100,$A350,'15k'!$I$7:$I$100,"")+SUMIFS('15l'!$N$7:$N$100,'15l'!$H$7:$H$100,$A350,'15l'!$I$7:$I$100,"")+SUMIFS('15m'!$N$7:$N$100,'15m'!$H$7:$H$100,$A350,'15m'!$I$7:$I$100,"")+SUMIFS('15n'!$N$7:$N$100,'15n'!$H$7:$H$100,$A350,'15n'!$I$7:$I$100,"")+SUMIFS('16'!$N$7:$N$100,'16'!$H$7:$H$100,$A350,'16'!$I$7:$I$100,"")+SUMIFS('16a'!$N$7:$N$100,'16a'!$H$7:$H$100,$A350,'16a'!$I$7:$I$100,"")+SUMIFS('17'!$N$7:$N$100,'17'!$H$7:$H$100,$A350,'17'!$I$7:$I$100,"")+SUMIFS('17a'!$N$7:$N$100,'17a'!$H$7:$H$100,$A350,'17a'!$I$7:$I$100,"")+SUMIFS('18'!$N$7:$N$100,'18'!$H$7:$H$100,$A350,'18'!$I$7:$I$100,"")+SUMIFS('18a'!$N$7:$N$100,'18a'!$H$7:$H$100,$A350,'18a'!$I$7:$I$100,"")
+SUMIFS('19'!$N$7:$N$100,'19'!$H$7:$H$100,$A350,'19'!$I$7:$I$100,"")+SUMIFS('20'!$N$7:$N$100,'20'!$H$7:$H$100,$A350,'20'!$I$7:$I$100,"")+SUMIFS('20a'!$N$7:$N$100,'20a'!$H$7:$H$100,$A350,'20a'!$I$7:$I$100,"")+SUMIFS('21'!$N$7:$N$100,'21'!$H$7:$H$100,$A350,'21'!$I$7:$I$100,"")+SUMIFS('22'!$N$7:$N$100,'22'!$H$7:$H$100,$A350,'22'!$I$7:$I$100,"")+SUMIFS('22a'!$N$7:$N$100,'22a'!$H$7:$H$100,$A350,'22a'!$I$7:$I$100,"")+SUMIFS('22b'!$N$7:$N$100,'22b'!$H$7:$H$100,$A350,'22b'!$I$7:$I$100,"")+SUMIFS('23'!$N$7:$N$100,'23'!$H$7:$H$100,$A350,'23'!$I$7:$I$100,"")+SUMIFS('24'!$N$7:$N$100,'24'!$H$7:$H$100,$A350,'24'!$I$7:$I$100,"")+SUMIFS('24a'!$N$7:$N$100,'24a'!$H$7:$H$100,$A350,'24a'!$I$7:$I$100,"")+SUMIFS('24b'!$N$7:$N$100,'24b'!$H$7:$H$100,$A350,'24b'!$I$7:$I$100,"")+SUMIFS('24c'!$N$7:$N$100,'24c'!$H$7:$H$100,$A350,'24c'!$I$7:$I$100,"")+SUMIFS('24d'!$N$7:$N$100,'24d'!$H$7:$H$100,$A350,'24d'!$I$7:$I$100,"")+SUMIFS('24e'!$N$7:$N$100,'24e'!$H$7:$H$100,$A350,'24e'!$I$7:$I$100,"")+SUMIFS('24f'!$N$7:$N$100,'24f'!$H$7:$H$100,$A350,'24f'!$I$7:$I$100,"")+SUMIFS('24g'!$N$7:$N$100,'24g'!$H$7:$H$100,$A350,'24g'!$I$7:$I$100,"")+SUMIFS('24h'!$N$7:$N$100,'24h'!$H$7:$H$100,$A350,'24h'!$I$7:$I$100,"")+SUMIFS('24i'!$N$7:$N$100,'24i'!$H$7:$H$100,$A350,'24i'!$I$7:$I$100,"")+SUMIFS('25'!$N$7:$N$100,'25'!$H$7:$H$100,$A350,'25'!$I$7:$I$100,"")+SUMIFS('26'!$N$7:$N$100,'26'!$H$7:$H$100,$A350,'26'!$I$7:$I$100,"")+SUMIFS('26a'!$N$7:$N$100,'26a'!$H$7:$H$100,$A350,'26a'!$I$7:$I$100,"")+SUMIFS('27'!$N$7:$N$100,'27'!$H$7:$H$100,$A350,'27'!$I$7:$I$100,"")+SUMIFS('27a'!$N$7:$N$100,'27a'!$H$7:$H$100,$A350,'27a'!$I$7:$I$100,"")+SUMIFS('28'!$N$7:$N$100,'28'!$H$7:$H$100,$A350,'28'!$I$7:$I$100,"")+SUMIFS('29'!$N$7:$N$100,'29'!$H$7:$H$100,$A350,'29'!$I$7:$I$100,"")</f>
        <v>1720</v>
      </c>
      <c r="F350" s="1296">
        <f t="shared" ref="F350:F356" si="50">SUM(C350:E350)</f>
        <v>1720</v>
      </c>
      <c r="G350" s="1295">
        <f>SUMIFS('12'!$J$7:$J$100,'12'!$H$7:$H$100,$A350,'12'!$I$7:$I$100,1)+SUMIFS('13'!$J$7:$J$100,'13'!$H$7:$H$100,$A350,'13'!$I$7:$I$100,1)+SUMIFS('14'!$J$7:$J$100,'14'!$H$7:$H$100,$A350,'14'!$I$7:$I$100,1)+SUMIFS('15'!$J$7:$J$100,'15'!$H$7:$H$100,$A350,'15'!$I$7:$I$100,1)+SUMIFS('15a'!$J$7:$J$100,'15a'!$H$7:$H$100,$A350,'15a'!$I$7:$I$100,1)+SUMIFS('15b'!$J$7:$J$100,'15b'!$H$7:$H$100,$A350,'15b'!$I$7:$I$100,1)+SUMIFS('15c'!$J$7:$J$100,'15c'!$H$7:$H$100,$A350,'15c'!$I$7:$I$100,1)+SUMIFS('15d'!$J$7:$J$100,'15d'!$H$7:$H$100,$A350,'15d'!$I$7:$I$100,1)+SUMIFS('15e'!$J$7:$J$100,'15e'!$H$7:$H$100,$A350,'15e'!$I$7:$I$100,1)+SUMIFS('15f'!$J$7:$J$100,'15f'!$H$7:$H$100,$A350,'15f'!$I$7:$I$100,1)+SUMIFS('15g'!$J$7:$J$100,'15g'!$H$7:$H$100,$A350,'15g'!$I$7:$I$100,1)+SUMIFS('15h'!$J$7:$J$100,'15h'!$H$7:$H$100,$A350,'15h'!$I$7:$I$100,1)+SUMIFS('15i'!$J$7:$J$100,'15i'!$H$7:$H$100,$A350,'15i'!$I$7:$I$100,1)+SUMIFS('15j'!$J$7:$J$100,'15j'!$H$7:$H$100,$A350,'15j'!$I$7:$I$100,1)+SUMIFS('15k'!$J$7:$J$100,'15k'!$H$7:$H$100,$A350,'15k'!$I$7:$I$100,1)+SUMIFS('15l'!$J$7:$J$100,'15l'!$H$7:$H$100,$A350,'15l'!$I$7:$I$100,1)+SUMIFS('15m'!$J$7:$J$100,'15m'!$H$7:$H$100,$A350,'15m'!$I$7:$I$100,1)+SUMIFS('15n'!$J$7:$J$100,'15n'!$H$7:$H$100,$A350,'15n'!$I$7:$I$100,1)+SUMIFS('16'!$J$7:$J$100,'16'!$H$7:$H$100,$A350,'16'!$I$7:$I$100,1)+SUMIFS('16a'!$J$7:$J$100,'16a'!$H$7:$H$100,$A350,'16a'!$I$7:$I$100,1)+SUMIFS('17'!$J$7:$J$100,'17'!$H$7:$H$100,$A350,'17'!$I$7:$I$100,1)+SUMIFS('17a'!$J$7:$J$100,'17a'!$H$7:$H$100,$A350,'17a'!$I$7:$I$100,1)+SUMIFS('18'!$J$7:$J$100,'18'!$H$7:$H$100,$A350,'18'!$I$7:$I$100,1)+SUMIFS('18a'!$J$7:$J$100,'18a'!$H$7:$H$100,$A350,'18a'!$I$7:$I$100,1)
+SUMIFS('19'!$J$7:$J$100,'19'!$H$7:$H$100,$A350,'19'!$I$7:$I$100,1)+SUMIFS('20'!$J$7:$J$100,'20'!$H$7:$H$100,$A350,'20'!$I$7:$I$100,1)+SUMIFS('20a'!$J$7:$J$100,'20a'!$H$7:$H$100,$A350,'20a'!$I$7:$I$100,1)+SUMIFS('21'!$J$7:$J$100,'21'!$H$7:$H$100,$A350,'21'!$I$7:$I$100,1)+SUMIFS('22'!$J$7:$J$100,'22'!$H$7:$H$100,$A350,'22'!$I$7:$I$100,1)+SUMIFS('22a'!$J$7:$J$100,'22a'!$H$7:$H$100,$A350,'22a'!$I$7:$I$100,1)+SUMIFS('22b'!$J$7:$J$100,'22b'!$H$7:$H$100,$A350,'22b'!$I$7:$I$100,1)+SUMIFS('23'!$J$7:$J$100,'23'!$H$7:$H$100,$A350,'23'!$I$7:$I$100,1)+SUMIFS('24'!$J$7:$J$100,'24'!$H$7:$H$100,$A350,'24'!$I$7:$I$100,1)+SUMIFS('24a'!$J$7:$J$100,'24a'!$H$7:$H$100,$A350,'24a'!$I$7:$I$100,1)+SUMIFS('24b'!$J$7:$J$100,'24b'!$H$7:$H$100,$A350,'24b'!$I$7:$I$100,1)+SUMIFS('24c'!$J$7:$J$100,'24c'!$H$7:$H$100,$A350,'24c'!$I$7:$I$100,1)+SUMIFS('24d'!$J$7:$J$100,'24d'!$H$7:$H$100,$A350,'24d'!$I$7:$I$100,1)+SUMIFS('24e'!$J$7:$J$100,'24e'!$H$7:$H$100,$A350,'24e'!$I$7:$I$100,1)+SUMIFS('24f'!$J$7:$J$100,'24f'!$H$7:$H$100,$A350,'24f'!$I$7:$I$100,1)+SUMIFS('24g'!$J$7:$J$100,'24g'!$H$7:$H$100,$A350,'24g'!$I$7:$I$100,1)+SUMIFS('24h'!$J$7:$J$100,'24h'!$H$7:$H$100,$A350,'24h'!$I$7:$I$100,1)+SUMIFS('24i'!$J$7:$J$100,'24i'!$H$7:$H$100,$A350,'24i'!$I$7:$I$100,1)+SUMIFS('25'!$J$7:$J$100,'25'!$H$7:$H$100,$A350,'25'!$I$7:$I$100,1)+SUMIFS('26'!$J$7:$J$100,'26'!$H$7:$H$100,$A350,'26'!$I$7:$I$100,1)+SUMIFS('26a'!$J$7:$J$100,'26a'!$H$7:$H$100,$A350,'26a'!$I$7:$I$100,1)+SUMIFS('27'!$J$7:$J$100,'27'!$H$7:$H$100,$A350,'27'!$I$7:$I$100,1)+SUMIFS('27a'!$J$7:$J$100,'27a'!$H$7:$H$100,$A350,'27a'!$I$7:$I$100,1)+SUMIFS('28'!$J$7:$J$100,'28'!$H$7:$H$100,$A350,'28'!$I$7:$I$100,1)+SUMIFS('29'!$J$7:$J$100,'29'!$H$7:$H$100,$A350,'29'!$I$7:$I$100,1)</f>
        <v>0</v>
      </c>
      <c r="H350" s="1315">
        <f>SUMIFS('12'!$J$7:$J$100,'12'!$H$7:$H$100,$A350,'12'!$I$7:$I$100,2)+SUMIFS('13'!$J$7:$J$100,'13'!$H$7:$H$100,$A350,'13'!$I$7:$I$100,2)+SUMIFS('14'!$J$7:$J$100,'14'!$H$7:$H$100,$A350,'14'!$I$7:$I$100,2)+SUMIFS('15'!$J$7:$J$100,'15'!$H$7:$H$100,$A350,'15'!$I$7:$I$100,2)+SUMIFS('15a'!$J$7:$J$100,'15a'!$H$7:$H$100,$A350,'15a'!$I$7:$I$100,2)+SUMIFS('15b'!$J$7:$J$100,'15b'!$H$7:$H$100,$A350,'15b'!$I$7:$I$100,2)+SUMIFS('15c'!$J$7:$J$100,'15c'!$H$7:$H$100,$A350,'15c'!$I$7:$I$100,2)+SUMIFS('15d'!$J$7:$J$100,'15d'!$H$7:$H$100,$A350,'15d'!$I$7:$I$100,2)+SUMIFS('15e'!$J$7:$J$100,'15e'!$H$7:$H$100,$A350,'15e'!$I$7:$I$100,2)+SUMIFS('15f'!$J$7:$J$100,'15f'!$H$7:$H$100,$A350,'15f'!$I$7:$I$100,2)+SUMIFS('15g'!$J$7:$J$100,'15g'!$H$7:$H$100,$A350,'15g'!$I$7:$I$100,2)+SUMIFS('15h'!$J$7:$J$100,'15h'!$H$7:$H$100,$A350,'15h'!$I$7:$I$100,2)+SUMIFS('15i'!$J$7:$J$100,'15i'!$H$7:$H$100,$A350,'15i'!$I$7:$I$100,2)+SUMIFS('15j'!$J$7:$J$100,'15j'!$H$7:$H$100,$A350,'15j'!$I$7:$I$100,2)+SUMIFS('15k'!$J$7:$J$100,'15k'!$H$7:$H$100,$A350,'15k'!$I$7:$I$100,2)+SUMIFS('15l'!$J$7:$J$100,'15l'!$H$7:$H$100,$A350,'15l'!$I$7:$I$100,2)+SUMIFS('15m'!$J$7:$J$100,'15m'!$H$7:$H$100,$A350,'15m'!$I$7:$I$100,2)+SUMIFS('15n'!$J$7:$J$100,'15n'!$H$7:$H$100,$A350,'15n'!$I$7:$I$100,2)+SUMIFS('16'!$J$7:$J$100,'16'!$H$7:$H$100,$A350,'16'!$I$7:$I$100,2)+SUMIFS('16a'!$J$7:$J$100,'16a'!$H$7:$H$100,$A350,'16a'!$I$7:$I$100,2)+SUMIFS('17'!$J$7:$J$100,'17'!$H$7:$H$100,$A350,'17'!$I$7:$I$100,2)+SUMIFS('17a'!$J$7:$J$100,'17a'!$H$7:$H$100,$A350,'17a'!$I$7:$I$100,2)+SUMIFS('18'!$J$7:$J$100,'18'!$H$7:$H$100,$A350,'18'!$I$7:$I$100,2)+SUMIFS('18a'!$J$7:$J$100,'18a'!$H$7:$H$100,$A350,'18a'!$I$7:$I$100,2)
+SUMIFS('19'!$J$7:$J$100,'19'!$H$7:$H$100,$A350,'19'!$I$7:$I$100,2)+SUMIFS('20'!$J$7:$J$100,'20'!$H$7:$H$100,$A350,'20'!$I$7:$I$100,2)+SUMIFS('20a'!$J$7:$J$100,'20a'!$H$7:$H$100,$A350,'20a'!$I$7:$I$100,2)+SUMIFS('21'!$J$7:$J$100,'21'!$H$7:$H$100,$A350,'21'!$I$7:$I$100,2)+SUMIFS('22'!$J$7:$J$100,'22'!$H$7:$H$100,$A350,'22'!$I$7:$I$100,2)+SUMIFS('22a'!$J$7:$J$100,'22a'!$H$7:$H$100,$A350,'22a'!$I$7:$I$100,2)+SUMIFS('22b'!$J$7:$J$100,'22b'!$H$7:$H$100,$A350,'22b'!$I$7:$I$100,2)+SUMIFS('23'!$J$7:$J$100,'23'!$H$7:$H$100,$A350,'23'!$I$7:$I$100,2)+SUMIFS('24'!$J$7:$J$100,'24'!$H$7:$H$100,$A350,'24'!$I$7:$I$100,2)+SUMIFS('24a'!$J$7:$J$100,'24a'!$H$7:$H$100,$A350,'24a'!$I$7:$I$100,2)+SUMIFS('24b'!$J$7:$J$100,'24b'!$H$7:$H$100,$A350,'24b'!$I$7:$I$100,2)+SUMIFS('24c'!$J$7:$J$100,'24c'!$H$7:$H$100,$A350,'24c'!$I$7:$I$100,2)+SUMIFS('24d'!$J$7:$J$100,'24d'!$H$7:$H$100,$A350,'24d'!$I$7:$I$100,2)+SUMIFS('24e'!$J$7:$J$100,'24e'!$H$7:$H$100,$A350,'24e'!$I$7:$I$100,2)+SUMIFS('24f'!$J$7:$J$100,'24f'!$H$7:$H$100,$A350,'24f'!$I$7:$I$100,2)+SUMIFS('24g'!$J$7:$J$100,'24g'!$H$7:$H$100,$A350,'24g'!$I$7:$I$100,2)+SUMIFS('24h'!$J$7:$J$100,'24h'!$H$7:$H$100,$A350,'24h'!$I$7:$I$100,2)+SUMIFS('24i'!$J$7:$J$100,'24i'!$H$7:$H$100,$A350,'24i'!$I$7:$I$100,2)+SUMIFS('25'!$J$7:$J$100,'25'!$H$7:$H$100,$A350,'25'!$I$7:$I$100,2)+SUMIFS('26'!$J$7:$J$100,'26'!$H$7:$H$100,$A350,'26'!$I$7:$I$100,2)+SUMIFS('26a'!$J$7:$J$100,'26a'!$H$7:$H$100,$A350,'26a'!$I$7:$I$100,2)+SUMIFS('27'!$J$7:$J$100,'27'!$H$7:$H$100,$A350,'27'!$I$7:$I$100,2)+SUMIFS('27a'!$J$7:$J$100,'27a'!$H$7:$H$100,$A350,'27a'!$I$7:$I$100,2)+SUMIFS('28'!$J$7:$J$100,'28'!$H$7:$H$100,$A350,'28'!$I$7:$I$100,2)+SUMIFS('29'!$J$7:$J$100,'29'!$H$7:$H$100,$A350,'29'!$I$7:$I$100,2)</f>
        <v>0</v>
      </c>
      <c r="I350" s="1315">
        <f>SUMIFS('12'!$J$7:$J$100,'12'!$H$7:$H$100,$A350,'12'!$I$7:$I$100,"")+SUMIFS('13'!$J$7:$J$100,'13'!$H$7:$H$100,$A350,'13'!$I$7:$I$100,"")+SUMIFS('14'!$J$7:$J$100,'14'!$H$7:$H$100,$A350,'14'!$I$7:$I$100,"")+SUMIFS('15'!$J$7:$J$100,'15'!$H$7:$H$100,$A350,'15'!$I$7:$I$100,"")+SUMIFS('15a'!$J$7:$J$100,'15a'!$H$7:$H$100,$A350,'15a'!$I$7:$I$100,"")+SUMIFS('15b'!$J$7:$J$100,'15b'!$H$7:$H$100,$A350,'15b'!$I$7:$I$100,"")+SUMIFS('15c'!$J$7:$J$100,'15c'!$H$7:$H$100,$A350,'15c'!$I$7:$I$100,"")+SUMIFS('15d'!$J$7:$J$100,'15d'!$H$7:$H$100,$A350,'15d'!$I$7:$I$100,"")+SUMIFS('15e'!$J$7:$J$100,'15e'!$H$7:$H$100,$A350,'15e'!$I$7:$I$100,"")+SUMIFS('15f'!$J$7:$J$100,'15f'!$H$7:$H$100,$A350,'15f'!$I$7:$I$100,"")+SUMIFS('15g'!$J$7:$J$100,'15g'!$H$7:$H$100,$A350,'15g'!$I$7:$I$100,"")+SUMIFS('15h'!$J$7:$J$100,'15h'!$H$7:$H$100,$A350,'15h'!$I$7:$I$100,"")+SUMIFS('15i'!$J$7:$J$100,'15i'!$H$7:$H$100,$A350,'15i'!$I$7:$I$100,"")+SUMIFS('15j'!$J$7:$J$100,'15j'!$H$7:$H$100,$A350,'15j'!$I$7:$I$100,"")+SUMIFS('15k'!$J$7:$J$100,'15k'!$H$7:$H$100,$A350,'15k'!$I$7:$I$100,"")+SUMIFS('15l'!$J$7:$J$100,'15l'!$H$7:$H$100,$A350,'15l'!$I$7:$I$100,"")+SUMIFS('15m'!$J$7:$J$100,'15m'!$H$7:$H$100,$A350,'15m'!$I$7:$I$100,"")+SUMIFS('15n'!$J$7:$J$100,'15n'!$H$7:$H$100,$A350,'15n'!$I$7:$I$100,"")+SUMIFS('16'!$J$7:$J$100,'16'!$H$7:$H$100,$A350,'16'!$I$7:$I$100,"")+SUMIFS('16a'!$J$7:$J$100,'16a'!$H$7:$H$100,$A350,'16a'!$I$7:$I$100,"")+SUMIFS('17'!$J$7:$J$100,'17'!$H$7:$H$100,$A350,'17'!$I$7:$I$100,"")+SUMIFS('17a'!$J$7:$J$100,'17a'!$H$7:$H$100,$A350,'17a'!$I$7:$I$100,"")+SUMIFS('18'!$J$7:$J$100,'18'!$H$7:$H$100,$A350,'18'!$I$7:$I$100,"")+SUMIFS('18a'!$J$7:$J$100,'18a'!$H$7:$H$100,$A350,'18a'!$I$7:$I$100,"")
+SUMIFS('19'!$J$7:$J$100,'19'!$H$7:$H$100,$A350,'19'!$I$7:$I$100,"")+SUMIFS('20'!$J$7:$J$100,'20'!$H$7:$H$100,$A350,'20'!$I$7:$I$100,"")+SUMIFS('20a'!$J$7:$J$100,'20a'!$H$7:$H$100,$A350,'20a'!$I$7:$I$100,"")+SUMIFS('21'!$J$7:$J$100,'21'!$H$7:$H$100,$A350,'21'!$I$7:$I$100,"")+SUMIFS('22'!$J$7:$J$100,'22'!$H$7:$H$100,$A350,'22'!$I$7:$I$100,"")+SUMIFS('22a'!$J$7:$J$100,'22a'!$H$7:$H$100,$A350,'22a'!$I$7:$I$100,"")+SUMIFS('22b'!$J$7:$J$100,'22b'!$H$7:$H$100,$A350,'22b'!$I$7:$I$100,"")+SUMIFS('23'!$J$7:$J$100,'23'!$H$7:$H$100,$A350,'23'!$I$7:$I$100,"")+SUMIFS('24'!$J$7:$J$100,'24'!$H$7:$H$100,$A350,'24'!$I$7:$I$100,"")+SUMIFS('24a'!$J$7:$J$100,'24a'!$H$7:$H$100,$A350,'24a'!$I$7:$I$100,"")+SUMIFS('24b'!$J$7:$J$100,'24b'!$H$7:$H$100,$A350,'24b'!$I$7:$I$100,"")+SUMIFS('24c'!$J$7:$J$100,'24c'!$H$7:$H$100,$A350,'24c'!$I$7:$I$100,"")+SUMIFS('24d'!$J$7:$J$100,'24d'!$H$7:$H$100,$A350,'24d'!$I$7:$I$100,"")+SUMIFS('24e'!$J$7:$J$100,'24e'!$H$7:$H$100,$A350,'24e'!$I$7:$I$100,"")+SUMIFS('24f'!$J$7:$J$100,'24f'!$H$7:$H$100,$A350,'24f'!$I$7:$I$100,"")+SUMIFS('24g'!$J$7:$J$100,'24g'!$H$7:$H$100,$A350,'24g'!$I$7:$I$100,"")+SUMIFS('24h'!$J$7:$J$100,'24h'!$H$7:$H$100,$A350,'24h'!$I$7:$I$100,"")+SUMIFS('24i'!$J$7:$J$100,'24i'!$H$7:$H$100,$A350,'24i'!$I$7:$I$100,"")+SUMIFS('25'!$J$7:$J$100,'25'!$H$7:$H$100,$A350,'25'!$I$7:$I$100,"")+SUMIFS('26'!$J$7:$J$100,'26'!$H$7:$H$100,$A350,'26'!$I$7:$I$100,"")+SUMIFS('26a'!$J$7:$J$100,'26a'!$H$7:$H$100,$A350,'26a'!$I$7:$I$100,"")+SUMIFS('27'!$J$7:$J$100,'27'!$H$7:$H$100,$A350,'27'!$I$7:$I$100,"")+SUMIFS('27a'!$J$7:$J$100,'27a'!$H$7:$H$100,$A350,'27a'!$I$7:$I$100,"")+SUMIFS('28'!$J$7:$J$100,'28'!$H$7:$H$100,$A350,'28'!$I$7:$I$100,"")+SUMIFS('29'!$J$7:$J$100,'29'!$H$7:$H$100,$A350,'29'!$I$7:$I$100,"")</f>
        <v>1720</v>
      </c>
      <c r="J350" s="1296">
        <f t="shared" ref="J350:J356" si="51">SUM(G350:I350)</f>
        <v>1720</v>
      </c>
      <c r="K350"/>
      <c r="L350"/>
      <c r="M350"/>
      <c r="N350"/>
      <c r="O350"/>
      <c r="P350"/>
      <c r="Q350"/>
      <c r="R350"/>
      <c r="S350" s="1307">
        <f t="shared" si="48"/>
        <v>6880</v>
      </c>
      <c r="T350"/>
    </row>
    <row r="351" spans="1:20" x14ac:dyDescent="0.2">
      <c r="A351" t="s">
        <v>537</v>
      </c>
      <c r="B351" t="s">
        <v>905</v>
      </c>
      <c r="C351" s="1295">
        <f>SUMIFS('12'!$N$7:$N$100,'12'!$H$7:$H$100,$A351,'12'!$I$7:$I$100,1)+SUMIFS('13'!$N$7:$N$100,'13'!$H$7:$H$100,$A351,'13'!$I$7:$I$100,1)+SUMIFS('14'!$N$7:$N$100,'14'!$H$7:$H$100,$A351,'14'!$I$7:$I$100,1)+SUMIFS('15'!$N$7:$N$100,'15'!$H$7:$H$100,$A351,'15'!$I$7:$I$100,1)+SUMIFS('15a'!$N$7:$N$100,'15a'!$H$7:$H$100,$A351,'15a'!$I$7:$I$100,1)+SUMIFS('15b'!$N$7:$N$100,'15b'!$H$7:$H$100,$A351,'15b'!$I$7:$I$100,1)+SUMIFS('15c'!$N$7:$N$100,'15c'!$H$7:$H$100,$A351,'15c'!$I$7:$I$100,1)+SUMIFS('15d'!$N$7:$N$100,'15d'!$H$7:$H$100,$A351,'15d'!$I$7:$I$100,1)+SUMIFS('15e'!$N$7:$N$100,'15e'!$H$7:$H$100,$A351,'15e'!$I$7:$I$100,1)+SUMIFS('15f'!$N$7:$N$100,'15f'!$H$7:$H$100,$A351,'15f'!$I$7:$I$100,1)+SUMIFS('15g'!$N$7:$N$100,'15g'!$H$7:$H$100,$A351,'15g'!$I$7:$I$100,1)+SUMIFS('15h'!$N$7:$N$100,'15h'!$H$7:$H$100,$A351,'15h'!$I$7:$I$100,1)+SUMIFS('15i'!$N$7:$N$100,'15i'!$H$7:$H$100,$A351,'15i'!$I$7:$I$100,1)+SUMIFS('15j'!$N$7:$N$100,'15j'!$H$7:$H$100,$A351,'15j'!$I$7:$I$100,1)+SUMIFS('15k'!$N$7:$N$100,'15k'!$H$7:$H$100,$A351,'15k'!$I$7:$I$100,1)+SUMIFS('15l'!$N$7:$N$100,'15l'!$H$7:$H$100,$A351,'15l'!$I$7:$I$100,1)+SUMIFS('15m'!$N$7:$N$100,'15m'!$H$7:$H$100,$A351,'15m'!$I$7:$I$100,1)+SUMIFS('15n'!$N$7:$N$100,'15n'!$H$7:$H$100,$A351,'15n'!$I$7:$I$100,1)+SUMIFS('16'!$N$7:$N$100,'16'!$H$7:$H$100,$A351,'16'!$I$7:$I$100,1)+SUMIFS('16a'!$N$7:$N$100,'16a'!$H$7:$H$100,$A351,'16a'!$I$7:$I$100,1)+SUMIFS('17'!$N$7:$N$100,'17'!$H$7:$H$100,$A351,'17'!$I$7:$I$100,1)+SUMIFS('17a'!$N$7:$N$100,'17a'!$H$7:$H$100,$A351,'17a'!$I$7:$I$100,1)+SUMIFS('18'!$N$7:$N$100,'18'!$H$7:$H$100,$A351,'18'!$I$7:$I$100,1)+SUMIFS('18a'!$N$7:$N$100,'18a'!$H$7:$H$100,$A351,'18a'!$I$7:$I$100,1)
+SUMIFS('19'!$N$7:$N$100,'19'!$H$7:$H$100,$A351,'19'!$I$7:$I$100,1)+SUMIFS('20'!$N$7:$N$100,'20'!$H$7:$H$100,$A351,'20'!$I$7:$I$100,1)+SUMIFS('20a'!$N$7:$N$100,'20a'!$H$7:$H$100,$A351,'20a'!$I$7:$I$100,1)+SUMIFS('21'!$N$7:$N$100,'21'!$H$7:$H$100,$A351,'21'!$I$7:$I$100,1)+SUMIFS('22'!$N$7:$N$100,'22'!$H$7:$H$100,$A351,'22'!$I$7:$I$100,1)+SUMIFS('22a'!$N$7:$N$100,'22a'!$H$7:$H$100,$A351,'22a'!$I$7:$I$100,1)+SUMIFS('22b'!$N$7:$N$100,'22b'!$H$7:$H$100,$A351,'22b'!$I$7:$I$100,1)+SUMIFS('23'!$N$7:$N$100,'23'!$H$7:$H$100,$A351,'23'!$I$7:$I$100,1)+SUMIFS('24'!$N$7:$N$100,'24'!$H$7:$H$100,$A351,'24'!$I$7:$I$100,1)+SUMIFS('24a'!$N$7:$N$100,'24a'!$H$7:$H$100,$A351,'24a'!$I$7:$I$100,1)+SUMIFS('24b'!$N$7:$N$100,'24b'!$H$7:$H$100,$A351,'24b'!$I$7:$I$100,1)+SUMIFS('24c'!$N$7:$N$100,'24c'!$H$7:$H$100,$A351,'24c'!$I$7:$I$100,1)+SUMIFS('24d'!$N$7:$N$100,'24d'!$H$7:$H$100,$A351,'24d'!$I$7:$I$100,1)+SUMIFS('24e'!$N$7:$N$100,'24e'!$H$7:$H$100,$A351,'24e'!$I$7:$I$100,1)+SUMIFS('24f'!$N$7:$N$100,'24f'!$H$7:$H$100,$A351,'24f'!$I$7:$I$100,1)+SUMIFS('24g'!$N$7:$N$100,'24g'!$H$7:$H$100,$A351,'24g'!$I$7:$I$100,1)+SUMIFS('24h'!$N$7:$N$100,'24h'!$H$7:$H$100,$A351,'24h'!$I$7:$I$100,1)+SUMIFS('24i'!$N$7:$N$100,'24i'!$H$7:$H$100,$A351,'24i'!$I$7:$I$100,1)+SUMIFS('25'!$N$7:$N$100,'25'!$H$7:$H$100,$A351,'25'!$I$7:$I$100,1)+SUMIFS('26'!$N$7:$N$100,'26'!$H$7:$H$100,$A351,'26'!$I$7:$I$100,1)+SUMIFS('26a'!$N$7:$N$100,'26a'!$H$7:$H$100,$A351,'26a'!$I$7:$I$100,1)+SUMIFS('27'!$N$7:$N$100,'27'!$H$7:$H$100,$A351,'27'!$I$7:$I$100,1)+SUMIFS('27a'!$N$7:$N$100,'27a'!$H$7:$H$100,$A351,'27a'!$I$7:$I$100,1)+SUMIFS('28'!$N$7:$N$100,'28'!$H$7:$H$100,$A351,'28'!$I$7:$I$100,1)+SUMIFS('29'!$N$7:$N$100,'29'!$H$7:$H$100,$A351,'29'!$I$7:$I$100,1)</f>
        <v>0</v>
      </c>
      <c r="D351" s="1315">
        <f>SUMIFS('12'!$N$7:$N$100,'12'!$H$7:$H$100,$A351,'12'!$I$7:$I$100,2)+SUMIFS('13'!$N$7:$N$100,'13'!$H$7:$H$100,$A351,'13'!$I$7:$I$100,2)+SUMIFS('14'!$N$7:$N$100,'14'!$H$7:$H$100,$A351,'14'!$I$7:$I$100,2)+SUMIFS('15'!$N$7:$N$100,'15'!$H$7:$H$100,$A351,'15'!$I$7:$I$100,2)+SUMIFS('15a'!$N$7:$N$100,'15a'!$H$7:$H$100,$A351,'15a'!$I$7:$I$100,2)+SUMIFS('15b'!$N$7:$N$100,'15b'!$H$7:$H$100,$A351,'15b'!$I$7:$I$100,2)+SUMIFS('15c'!$N$7:$N$100,'15c'!$H$7:$H$100,$A351,'15c'!$I$7:$I$100,2)+SUMIFS('15d'!$N$7:$N$100,'15d'!$H$7:$H$100,$A351,'15d'!$I$7:$I$100,2)+SUMIFS('15e'!$N$7:$N$100,'15e'!$H$7:$H$100,$A351,'15e'!$I$7:$I$100,2)+SUMIFS('15f'!$N$7:$N$100,'15f'!$H$7:$H$100,$A351,'15f'!$I$7:$I$100,2)+SUMIFS('15g'!$N$7:$N$100,'15g'!$H$7:$H$100,$A351,'15g'!$I$7:$I$100,2)+SUMIFS('15h'!$N$7:$N$100,'15h'!$H$7:$H$100,$A351,'15h'!$I$7:$I$100,2)+SUMIFS('15i'!$N$7:$N$100,'15i'!$H$7:$H$100,$A351,'15i'!$I$7:$I$100,2)+SUMIFS('15j'!$N$7:$N$100,'15j'!$H$7:$H$100,$A351,'15j'!$I$7:$I$100,2)+SUMIFS('15k'!$N$7:$N$100,'15k'!$H$7:$H$100,$A351,'15k'!$I$7:$I$100,2)+SUMIFS('15l'!$N$7:$N$100,'15l'!$H$7:$H$100,$A351,'15l'!$I$7:$I$100,2)+SUMIFS('15m'!$N$7:$N$100,'15m'!$H$7:$H$100,$A351,'15m'!$I$7:$I$100,2)+SUMIFS('15n'!$N$7:$N$100,'15n'!$H$7:$H$100,$A351,'15n'!$I$7:$I$100,2)+SUMIFS('16'!$N$7:$N$100,'16'!$H$7:$H$100,$A351,'16'!$I$7:$I$100,2)+SUMIFS('16a'!$N$7:$N$100,'16a'!$H$7:$H$100,$A351,'16a'!$I$7:$I$100,2)+SUMIFS('17'!$N$7:$N$100,'17'!$H$7:$H$100,$A351,'17'!$I$7:$I$100,2)+SUMIFS('17a'!$N$7:$N$100,'17a'!$H$7:$H$100,$A351,'17a'!$I$7:$I$100,2)+SUMIFS('18'!$N$7:$N$100,'18'!$H$7:$H$100,$A351,'18'!$I$7:$I$100,2)+SUMIFS('18a'!$N$7:$N$100,'18a'!$H$7:$H$100,$A351,'18a'!$I$7:$I$100,2)
+SUMIFS('19'!$N$7:$N$100,'19'!$H$7:$H$100,$A351,'19'!$I$7:$I$100,2)+SUMIFS('20'!$N$7:$N$100,'20'!$H$7:$H$100,$A351,'20'!$I$7:$I$100,2)+SUMIFS('20a'!$N$7:$N$100,'20a'!$H$7:$H$100,$A351,'20a'!$I$7:$I$100,2)+SUMIFS('21'!$N$7:$N$100,'21'!$H$7:$H$100,$A351,'21'!$I$7:$I$100,2)+SUMIFS('22'!$N$7:$N$100,'22'!$H$7:$H$100,$A351,'22'!$I$7:$I$100,2)+SUMIFS('22a'!$N$7:$N$100,'22a'!$H$7:$H$100,$A351,'22a'!$I$7:$I$100,2)+SUMIFS('22b'!$N$7:$N$100,'22b'!$H$7:$H$100,$A351,'22b'!$I$7:$I$100,2)+SUMIFS('23'!$N$7:$N$100,'23'!$H$7:$H$100,$A351,'23'!$I$7:$I$100,2)+SUMIFS('24'!$N$7:$N$100,'24'!$H$7:$H$100,$A351,'24'!$I$7:$I$100,2)+SUMIFS('24a'!$N$7:$N$100,'24a'!$H$7:$H$100,$A351,'24a'!$I$7:$I$100,2)+SUMIFS('24b'!$N$7:$N$100,'24b'!$H$7:$H$100,$A351,'24b'!$I$7:$I$100,2)+SUMIFS('24c'!$N$7:$N$100,'24c'!$H$7:$H$100,$A351,'24c'!$I$7:$I$100,2)+SUMIFS('24d'!$N$7:$N$100,'24d'!$H$7:$H$100,$A351,'24d'!$I$7:$I$100,2)+SUMIFS('24e'!$N$7:$N$100,'24e'!$H$7:$H$100,$A351,'24e'!$I$7:$I$100,2)+SUMIFS('24f'!$N$7:$N$100,'24f'!$H$7:$H$100,$A351,'24f'!$I$7:$I$100,2)+SUMIFS('24g'!$N$7:$N$100,'24g'!$H$7:$H$100,$A351,'24g'!$I$7:$I$100,2)+SUMIFS('24h'!$N$7:$N$100,'24h'!$H$7:$H$100,$A351,'24h'!$I$7:$I$100,2)+SUMIFS('24i'!$N$7:$N$100,'24i'!$H$7:$H$100,$A351,'24i'!$I$7:$I$100,2)+SUMIFS('25'!$N$7:$N$100,'25'!$H$7:$H$100,$A351,'25'!$I$7:$I$100,2)+SUMIFS('26'!$N$7:$N$100,'26'!$H$7:$H$100,$A351,'26'!$I$7:$I$100,2)+SUMIFS('26a'!$N$7:$N$100,'26a'!$H$7:$H$100,$A351,'26a'!$I$7:$I$100,2)+SUMIFS('27'!$N$7:$N$100,'27'!$H$7:$H$100,$A351,'27'!$I$7:$I$100,2)+SUMIFS('27a'!$N$7:$N$100,'27a'!$H$7:$H$100,$A351,'27a'!$I$7:$I$100,2)+SUMIFS('28'!$N$7:$N$100,'28'!$H$7:$H$100,$A351,'28'!$I$7:$I$100,2)+SUMIFS('29'!$N$7:$N$100,'29'!$H$7:$H$100,$A351,'29'!$I$7:$I$100,2)</f>
        <v>0</v>
      </c>
      <c r="E351" s="1315">
        <f>SUMIFS('12'!$N$7:$N$100,'12'!$H$7:$H$100,$A351,'12'!$I$7:$I$100,"")+SUMIFS('13'!$N$7:$N$100,'13'!$H$7:$H$100,$A351,'13'!$I$7:$I$100,"")+SUMIFS('14'!$N$7:$N$100,'14'!$H$7:$H$100,$A351,'14'!$I$7:$I$100,"")+SUMIFS('15'!$N$7:$N$100,'15'!$H$7:$H$100,$A351,'15'!$I$7:$I$100,"")+SUMIFS('15a'!$N$7:$N$100,'15a'!$H$7:$H$100,$A351,'15a'!$I$7:$I$100,"")+SUMIFS('15b'!$N$7:$N$100,'15b'!$H$7:$H$100,$A351,'15b'!$I$7:$I$100,"")+SUMIFS('15c'!$N$7:$N$100,'15c'!$H$7:$H$100,$A351,'15c'!$I$7:$I$100,"")+SUMIFS('15d'!$N$7:$N$100,'15d'!$H$7:$H$100,$A351,'15d'!$I$7:$I$100,"")+SUMIFS('15e'!$N$7:$N$100,'15e'!$H$7:$H$100,$A351,'15e'!$I$7:$I$100,"")+SUMIFS('15f'!$N$7:$N$100,'15f'!$H$7:$H$100,$A351,'15f'!$I$7:$I$100,"")+SUMIFS('15g'!$N$7:$N$100,'15g'!$H$7:$H$100,$A351,'15g'!$I$7:$I$100,"")+SUMIFS('15h'!$N$7:$N$100,'15h'!$H$7:$H$100,$A351,'15h'!$I$7:$I$100,"")+SUMIFS('15i'!$N$7:$N$100,'15i'!$H$7:$H$100,$A351,'15i'!$I$7:$I$100,"")+SUMIFS('15j'!$N$7:$N$100,'15j'!$H$7:$H$100,$A351,'15j'!$I$7:$I$100,"")+SUMIFS('15k'!$N$7:$N$100,'15k'!$H$7:$H$100,$A351,'15k'!$I$7:$I$100,"")+SUMIFS('15l'!$N$7:$N$100,'15l'!$H$7:$H$100,$A351,'15l'!$I$7:$I$100,"")+SUMIFS('15m'!$N$7:$N$100,'15m'!$H$7:$H$100,$A351,'15m'!$I$7:$I$100,"")+SUMIFS('15n'!$N$7:$N$100,'15n'!$H$7:$H$100,$A351,'15n'!$I$7:$I$100,"")+SUMIFS('16'!$N$7:$N$100,'16'!$H$7:$H$100,$A351,'16'!$I$7:$I$100,"")+SUMIFS('16a'!$N$7:$N$100,'16a'!$H$7:$H$100,$A351,'16a'!$I$7:$I$100,"")+SUMIFS('17'!$N$7:$N$100,'17'!$H$7:$H$100,$A351,'17'!$I$7:$I$100,"")+SUMIFS('17a'!$N$7:$N$100,'17a'!$H$7:$H$100,$A351,'17a'!$I$7:$I$100,"")+SUMIFS('18'!$N$7:$N$100,'18'!$H$7:$H$100,$A351,'18'!$I$7:$I$100,"")+SUMIFS('18a'!$N$7:$N$100,'18a'!$H$7:$H$100,$A351,'18a'!$I$7:$I$100,"")
+SUMIFS('19'!$N$7:$N$100,'19'!$H$7:$H$100,$A351,'19'!$I$7:$I$100,"")+SUMIFS('20'!$N$7:$N$100,'20'!$H$7:$H$100,$A351,'20'!$I$7:$I$100,"")+SUMIFS('20a'!$N$7:$N$100,'20a'!$H$7:$H$100,$A351,'20a'!$I$7:$I$100,"")+SUMIFS('21'!$N$7:$N$100,'21'!$H$7:$H$100,$A351,'21'!$I$7:$I$100,"")+SUMIFS('22'!$N$7:$N$100,'22'!$H$7:$H$100,$A351,'22'!$I$7:$I$100,"")+SUMIFS('22a'!$N$7:$N$100,'22a'!$H$7:$H$100,$A351,'22a'!$I$7:$I$100,"")+SUMIFS('22b'!$N$7:$N$100,'22b'!$H$7:$H$100,$A351,'22b'!$I$7:$I$100,"")+SUMIFS('23'!$N$7:$N$100,'23'!$H$7:$H$100,$A351,'23'!$I$7:$I$100,"")+SUMIFS('24'!$N$7:$N$100,'24'!$H$7:$H$100,$A351,'24'!$I$7:$I$100,"")+SUMIFS('24a'!$N$7:$N$100,'24a'!$H$7:$H$100,$A351,'24a'!$I$7:$I$100,"")+SUMIFS('24b'!$N$7:$N$100,'24b'!$H$7:$H$100,$A351,'24b'!$I$7:$I$100,"")+SUMIFS('24c'!$N$7:$N$100,'24c'!$H$7:$H$100,$A351,'24c'!$I$7:$I$100,"")+SUMIFS('24d'!$N$7:$N$100,'24d'!$H$7:$H$100,$A351,'24d'!$I$7:$I$100,"")+SUMIFS('24e'!$N$7:$N$100,'24e'!$H$7:$H$100,$A351,'24e'!$I$7:$I$100,"")+SUMIFS('24f'!$N$7:$N$100,'24f'!$H$7:$H$100,$A351,'24f'!$I$7:$I$100,"")+SUMIFS('24g'!$N$7:$N$100,'24g'!$H$7:$H$100,$A351,'24g'!$I$7:$I$100,"")+SUMIFS('24h'!$N$7:$N$100,'24h'!$H$7:$H$100,$A351,'24h'!$I$7:$I$100,"")+SUMIFS('24i'!$N$7:$N$100,'24i'!$H$7:$H$100,$A351,'24i'!$I$7:$I$100,"")+SUMIFS('25'!$N$7:$N$100,'25'!$H$7:$H$100,$A351,'25'!$I$7:$I$100,"")+SUMIFS('26'!$N$7:$N$100,'26'!$H$7:$H$100,$A351,'26'!$I$7:$I$100,"")+SUMIFS('26a'!$N$7:$N$100,'26a'!$H$7:$H$100,$A351,'26a'!$I$7:$I$100,"")+SUMIFS('27'!$N$7:$N$100,'27'!$H$7:$H$100,$A351,'27'!$I$7:$I$100,"")+SUMIFS('27a'!$N$7:$N$100,'27a'!$H$7:$H$100,$A351,'27a'!$I$7:$I$100,"")+SUMIFS('28'!$N$7:$N$100,'28'!$H$7:$H$100,$A351,'28'!$I$7:$I$100,"")+SUMIFS('29'!$N$7:$N$100,'29'!$H$7:$H$100,$A351,'29'!$I$7:$I$100,"")</f>
        <v>3964.09</v>
      </c>
      <c r="F351" s="1296">
        <f t="shared" si="50"/>
        <v>3964.09</v>
      </c>
      <c r="G351" s="1295">
        <f>SUMIFS('12'!$J$7:$J$100,'12'!$H$7:$H$100,$A351,'12'!$I$7:$I$100,1)+SUMIFS('13'!$J$7:$J$100,'13'!$H$7:$H$100,$A351,'13'!$I$7:$I$100,1)+SUMIFS('14'!$J$7:$J$100,'14'!$H$7:$H$100,$A351,'14'!$I$7:$I$100,1)+SUMIFS('15'!$J$7:$J$100,'15'!$H$7:$H$100,$A351,'15'!$I$7:$I$100,1)+SUMIFS('15a'!$J$7:$J$100,'15a'!$H$7:$H$100,$A351,'15a'!$I$7:$I$100,1)+SUMIFS('15b'!$J$7:$J$100,'15b'!$H$7:$H$100,$A351,'15b'!$I$7:$I$100,1)+SUMIFS('15c'!$J$7:$J$100,'15c'!$H$7:$H$100,$A351,'15c'!$I$7:$I$100,1)+SUMIFS('15d'!$J$7:$J$100,'15d'!$H$7:$H$100,$A351,'15d'!$I$7:$I$100,1)+SUMIFS('15e'!$J$7:$J$100,'15e'!$H$7:$H$100,$A351,'15e'!$I$7:$I$100,1)+SUMIFS('15f'!$J$7:$J$100,'15f'!$H$7:$H$100,$A351,'15f'!$I$7:$I$100,1)+SUMIFS('15g'!$J$7:$J$100,'15g'!$H$7:$H$100,$A351,'15g'!$I$7:$I$100,1)+SUMIFS('15h'!$J$7:$J$100,'15h'!$H$7:$H$100,$A351,'15h'!$I$7:$I$100,1)+SUMIFS('15i'!$J$7:$J$100,'15i'!$H$7:$H$100,$A351,'15i'!$I$7:$I$100,1)+SUMIFS('15j'!$J$7:$J$100,'15j'!$H$7:$H$100,$A351,'15j'!$I$7:$I$100,1)+SUMIFS('15k'!$J$7:$J$100,'15k'!$H$7:$H$100,$A351,'15k'!$I$7:$I$100,1)+SUMIFS('15l'!$J$7:$J$100,'15l'!$H$7:$H$100,$A351,'15l'!$I$7:$I$100,1)+SUMIFS('15m'!$J$7:$J$100,'15m'!$H$7:$H$100,$A351,'15m'!$I$7:$I$100,1)+SUMIFS('15n'!$J$7:$J$100,'15n'!$H$7:$H$100,$A351,'15n'!$I$7:$I$100,1)+SUMIFS('16'!$J$7:$J$100,'16'!$H$7:$H$100,$A351,'16'!$I$7:$I$100,1)+SUMIFS('16a'!$J$7:$J$100,'16a'!$H$7:$H$100,$A351,'16a'!$I$7:$I$100,1)+SUMIFS('17'!$J$7:$J$100,'17'!$H$7:$H$100,$A351,'17'!$I$7:$I$100,1)+SUMIFS('17a'!$J$7:$J$100,'17a'!$H$7:$H$100,$A351,'17a'!$I$7:$I$100,1)+SUMIFS('18'!$J$7:$J$100,'18'!$H$7:$H$100,$A351,'18'!$I$7:$I$100,1)+SUMIFS('18a'!$J$7:$J$100,'18a'!$H$7:$H$100,$A351,'18a'!$I$7:$I$100,1)
+SUMIFS('19'!$J$7:$J$100,'19'!$H$7:$H$100,$A351,'19'!$I$7:$I$100,1)+SUMIFS('20'!$J$7:$J$100,'20'!$H$7:$H$100,$A351,'20'!$I$7:$I$100,1)+SUMIFS('20a'!$J$7:$J$100,'20a'!$H$7:$H$100,$A351,'20a'!$I$7:$I$100,1)+SUMIFS('21'!$J$7:$J$100,'21'!$H$7:$H$100,$A351,'21'!$I$7:$I$100,1)+SUMIFS('22'!$J$7:$J$100,'22'!$H$7:$H$100,$A351,'22'!$I$7:$I$100,1)+SUMIFS('22a'!$J$7:$J$100,'22a'!$H$7:$H$100,$A351,'22a'!$I$7:$I$100,1)+SUMIFS('22b'!$J$7:$J$100,'22b'!$H$7:$H$100,$A351,'22b'!$I$7:$I$100,1)+SUMIFS('23'!$J$7:$J$100,'23'!$H$7:$H$100,$A351,'23'!$I$7:$I$100,1)+SUMIFS('24'!$J$7:$J$100,'24'!$H$7:$H$100,$A351,'24'!$I$7:$I$100,1)+SUMIFS('24a'!$J$7:$J$100,'24a'!$H$7:$H$100,$A351,'24a'!$I$7:$I$100,1)+SUMIFS('24b'!$J$7:$J$100,'24b'!$H$7:$H$100,$A351,'24b'!$I$7:$I$100,1)+SUMIFS('24c'!$J$7:$J$100,'24c'!$H$7:$H$100,$A351,'24c'!$I$7:$I$100,1)+SUMIFS('24d'!$J$7:$J$100,'24d'!$H$7:$H$100,$A351,'24d'!$I$7:$I$100,1)+SUMIFS('24e'!$J$7:$J$100,'24e'!$H$7:$H$100,$A351,'24e'!$I$7:$I$100,1)+SUMIFS('24f'!$J$7:$J$100,'24f'!$H$7:$H$100,$A351,'24f'!$I$7:$I$100,1)+SUMIFS('24g'!$J$7:$J$100,'24g'!$H$7:$H$100,$A351,'24g'!$I$7:$I$100,1)+SUMIFS('24h'!$J$7:$J$100,'24h'!$H$7:$H$100,$A351,'24h'!$I$7:$I$100,1)+SUMIFS('24i'!$J$7:$J$100,'24i'!$H$7:$H$100,$A351,'24i'!$I$7:$I$100,1)+SUMIFS('25'!$J$7:$J$100,'25'!$H$7:$H$100,$A351,'25'!$I$7:$I$100,1)+SUMIFS('26'!$J$7:$J$100,'26'!$H$7:$H$100,$A351,'26'!$I$7:$I$100,1)+SUMIFS('26a'!$J$7:$J$100,'26a'!$H$7:$H$100,$A351,'26a'!$I$7:$I$100,1)+SUMIFS('27'!$J$7:$J$100,'27'!$H$7:$H$100,$A351,'27'!$I$7:$I$100,1)+SUMIFS('27a'!$J$7:$J$100,'27a'!$H$7:$H$100,$A351,'27a'!$I$7:$I$100,1)+SUMIFS('28'!$J$7:$J$100,'28'!$H$7:$H$100,$A351,'28'!$I$7:$I$100,1)+SUMIFS('29'!$J$7:$J$100,'29'!$H$7:$H$100,$A351,'29'!$I$7:$I$100,1)</f>
        <v>0</v>
      </c>
      <c r="H351" s="1315">
        <f>SUMIFS('12'!$J$7:$J$100,'12'!$H$7:$H$100,$A351,'12'!$I$7:$I$100,2)+SUMIFS('13'!$J$7:$J$100,'13'!$H$7:$H$100,$A351,'13'!$I$7:$I$100,2)+SUMIFS('14'!$J$7:$J$100,'14'!$H$7:$H$100,$A351,'14'!$I$7:$I$100,2)+SUMIFS('15'!$J$7:$J$100,'15'!$H$7:$H$100,$A351,'15'!$I$7:$I$100,2)+SUMIFS('15a'!$J$7:$J$100,'15a'!$H$7:$H$100,$A351,'15a'!$I$7:$I$100,2)+SUMIFS('15b'!$J$7:$J$100,'15b'!$H$7:$H$100,$A351,'15b'!$I$7:$I$100,2)+SUMIFS('15c'!$J$7:$J$100,'15c'!$H$7:$H$100,$A351,'15c'!$I$7:$I$100,2)+SUMIFS('15d'!$J$7:$J$100,'15d'!$H$7:$H$100,$A351,'15d'!$I$7:$I$100,2)+SUMIFS('15e'!$J$7:$J$100,'15e'!$H$7:$H$100,$A351,'15e'!$I$7:$I$100,2)+SUMIFS('15f'!$J$7:$J$100,'15f'!$H$7:$H$100,$A351,'15f'!$I$7:$I$100,2)+SUMIFS('15g'!$J$7:$J$100,'15g'!$H$7:$H$100,$A351,'15g'!$I$7:$I$100,2)+SUMIFS('15h'!$J$7:$J$100,'15h'!$H$7:$H$100,$A351,'15h'!$I$7:$I$100,2)+SUMIFS('15i'!$J$7:$J$100,'15i'!$H$7:$H$100,$A351,'15i'!$I$7:$I$100,2)+SUMIFS('15j'!$J$7:$J$100,'15j'!$H$7:$H$100,$A351,'15j'!$I$7:$I$100,2)+SUMIFS('15k'!$J$7:$J$100,'15k'!$H$7:$H$100,$A351,'15k'!$I$7:$I$100,2)+SUMIFS('15l'!$J$7:$J$100,'15l'!$H$7:$H$100,$A351,'15l'!$I$7:$I$100,2)+SUMIFS('15m'!$J$7:$J$100,'15m'!$H$7:$H$100,$A351,'15m'!$I$7:$I$100,2)+SUMIFS('15n'!$J$7:$J$100,'15n'!$H$7:$H$100,$A351,'15n'!$I$7:$I$100,2)+SUMIFS('16'!$J$7:$J$100,'16'!$H$7:$H$100,$A351,'16'!$I$7:$I$100,2)+SUMIFS('16a'!$J$7:$J$100,'16a'!$H$7:$H$100,$A351,'16a'!$I$7:$I$100,2)+SUMIFS('17'!$J$7:$J$100,'17'!$H$7:$H$100,$A351,'17'!$I$7:$I$100,2)+SUMIFS('17a'!$J$7:$J$100,'17a'!$H$7:$H$100,$A351,'17a'!$I$7:$I$100,2)+SUMIFS('18'!$J$7:$J$100,'18'!$H$7:$H$100,$A351,'18'!$I$7:$I$100,2)+SUMIFS('18a'!$J$7:$J$100,'18a'!$H$7:$H$100,$A351,'18a'!$I$7:$I$100,2)
+SUMIFS('19'!$J$7:$J$100,'19'!$H$7:$H$100,$A351,'19'!$I$7:$I$100,2)+SUMIFS('20'!$J$7:$J$100,'20'!$H$7:$H$100,$A351,'20'!$I$7:$I$100,2)+SUMIFS('20a'!$J$7:$J$100,'20a'!$H$7:$H$100,$A351,'20a'!$I$7:$I$100,2)+SUMIFS('21'!$J$7:$J$100,'21'!$H$7:$H$100,$A351,'21'!$I$7:$I$100,2)+SUMIFS('22'!$J$7:$J$100,'22'!$H$7:$H$100,$A351,'22'!$I$7:$I$100,2)+SUMIFS('22a'!$J$7:$J$100,'22a'!$H$7:$H$100,$A351,'22a'!$I$7:$I$100,2)+SUMIFS('22b'!$J$7:$J$100,'22b'!$H$7:$H$100,$A351,'22b'!$I$7:$I$100,2)+SUMIFS('23'!$J$7:$J$100,'23'!$H$7:$H$100,$A351,'23'!$I$7:$I$100,2)+SUMIFS('24'!$J$7:$J$100,'24'!$H$7:$H$100,$A351,'24'!$I$7:$I$100,2)+SUMIFS('24a'!$J$7:$J$100,'24a'!$H$7:$H$100,$A351,'24a'!$I$7:$I$100,2)+SUMIFS('24b'!$J$7:$J$100,'24b'!$H$7:$H$100,$A351,'24b'!$I$7:$I$100,2)+SUMIFS('24c'!$J$7:$J$100,'24c'!$H$7:$H$100,$A351,'24c'!$I$7:$I$100,2)+SUMIFS('24d'!$J$7:$J$100,'24d'!$H$7:$H$100,$A351,'24d'!$I$7:$I$100,2)+SUMIFS('24e'!$J$7:$J$100,'24e'!$H$7:$H$100,$A351,'24e'!$I$7:$I$100,2)+SUMIFS('24f'!$J$7:$J$100,'24f'!$H$7:$H$100,$A351,'24f'!$I$7:$I$100,2)+SUMIFS('24g'!$J$7:$J$100,'24g'!$H$7:$H$100,$A351,'24g'!$I$7:$I$100,2)+SUMIFS('24h'!$J$7:$J$100,'24h'!$H$7:$H$100,$A351,'24h'!$I$7:$I$100,2)+SUMIFS('24i'!$J$7:$J$100,'24i'!$H$7:$H$100,$A351,'24i'!$I$7:$I$100,2)+SUMIFS('25'!$J$7:$J$100,'25'!$H$7:$H$100,$A351,'25'!$I$7:$I$100,2)+SUMIFS('26'!$J$7:$J$100,'26'!$H$7:$H$100,$A351,'26'!$I$7:$I$100,2)+SUMIFS('26a'!$J$7:$J$100,'26a'!$H$7:$H$100,$A351,'26a'!$I$7:$I$100,2)+SUMIFS('27'!$J$7:$J$100,'27'!$H$7:$H$100,$A351,'27'!$I$7:$I$100,2)+SUMIFS('27a'!$J$7:$J$100,'27a'!$H$7:$H$100,$A351,'27a'!$I$7:$I$100,2)+SUMIFS('28'!$J$7:$J$100,'28'!$H$7:$H$100,$A351,'28'!$I$7:$I$100,2)+SUMIFS('29'!$J$7:$J$100,'29'!$H$7:$H$100,$A351,'29'!$I$7:$I$100,2)</f>
        <v>0</v>
      </c>
      <c r="I351" s="1315">
        <f>SUMIFS('12'!$J$7:$J$100,'12'!$H$7:$H$100,$A351,'12'!$I$7:$I$100,"")+SUMIFS('13'!$J$7:$J$100,'13'!$H$7:$H$100,$A351,'13'!$I$7:$I$100,"")+SUMIFS('14'!$J$7:$J$100,'14'!$H$7:$H$100,$A351,'14'!$I$7:$I$100,"")+SUMIFS('15'!$J$7:$J$100,'15'!$H$7:$H$100,$A351,'15'!$I$7:$I$100,"")+SUMIFS('15a'!$J$7:$J$100,'15a'!$H$7:$H$100,$A351,'15a'!$I$7:$I$100,"")+SUMIFS('15b'!$J$7:$J$100,'15b'!$H$7:$H$100,$A351,'15b'!$I$7:$I$100,"")+SUMIFS('15c'!$J$7:$J$100,'15c'!$H$7:$H$100,$A351,'15c'!$I$7:$I$100,"")+SUMIFS('15d'!$J$7:$J$100,'15d'!$H$7:$H$100,$A351,'15d'!$I$7:$I$100,"")+SUMIFS('15e'!$J$7:$J$100,'15e'!$H$7:$H$100,$A351,'15e'!$I$7:$I$100,"")+SUMIFS('15f'!$J$7:$J$100,'15f'!$H$7:$H$100,$A351,'15f'!$I$7:$I$100,"")+SUMIFS('15g'!$J$7:$J$100,'15g'!$H$7:$H$100,$A351,'15g'!$I$7:$I$100,"")+SUMIFS('15h'!$J$7:$J$100,'15h'!$H$7:$H$100,$A351,'15h'!$I$7:$I$100,"")+SUMIFS('15i'!$J$7:$J$100,'15i'!$H$7:$H$100,$A351,'15i'!$I$7:$I$100,"")+SUMIFS('15j'!$J$7:$J$100,'15j'!$H$7:$H$100,$A351,'15j'!$I$7:$I$100,"")+SUMIFS('15k'!$J$7:$J$100,'15k'!$H$7:$H$100,$A351,'15k'!$I$7:$I$100,"")+SUMIFS('15l'!$J$7:$J$100,'15l'!$H$7:$H$100,$A351,'15l'!$I$7:$I$100,"")+SUMIFS('15m'!$J$7:$J$100,'15m'!$H$7:$H$100,$A351,'15m'!$I$7:$I$100,"")+SUMIFS('15n'!$J$7:$J$100,'15n'!$H$7:$H$100,$A351,'15n'!$I$7:$I$100,"")+SUMIFS('16'!$J$7:$J$100,'16'!$H$7:$H$100,$A351,'16'!$I$7:$I$100,"")+SUMIFS('16a'!$J$7:$J$100,'16a'!$H$7:$H$100,$A351,'16a'!$I$7:$I$100,"")+SUMIFS('17'!$J$7:$J$100,'17'!$H$7:$H$100,$A351,'17'!$I$7:$I$100,"")+SUMIFS('17a'!$J$7:$J$100,'17a'!$H$7:$H$100,$A351,'17a'!$I$7:$I$100,"")+SUMIFS('18'!$J$7:$J$100,'18'!$H$7:$H$100,$A351,'18'!$I$7:$I$100,"")+SUMIFS('18a'!$J$7:$J$100,'18a'!$H$7:$H$100,$A351,'18a'!$I$7:$I$100,"")
+SUMIFS('19'!$J$7:$J$100,'19'!$H$7:$H$100,$A351,'19'!$I$7:$I$100,"")+SUMIFS('20'!$J$7:$J$100,'20'!$H$7:$H$100,$A351,'20'!$I$7:$I$100,"")+SUMIFS('20a'!$J$7:$J$100,'20a'!$H$7:$H$100,$A351,'20a'!$I$7:$I$100,"")+SUMIFS('21'!$J$7:$J$100,'21'!$H$7:$H$100,$A351,'21'!$I$7:$I$100,"")+SUMIFS('22'!$J$7:$J$100,'22'!$H$7:$H$100,$A351,'22'!$I$7:$I$100,"")+SUMIFS('22a'!$J$7:$J$100,'22a'!$H$7:$H$100,$A351,'22a'!$I$7:$I$100,"")+SUMIFS('22b'!$J$7:$J$100,'22b'!$H$7:$H$100,$A351,'22b'!$I$7:$I$100,"")+SUMIFS('23'!$J$7:$J$100,'23'!$H$7:$H$100,$A351,'23'!$I$7:$I$100,"")+SUMIFS('24'!$J$7:$J$100,'24'!$H$7:$H$100,$A351,'24'!$I$7:$I$100,"")+SUMIFS('24a'!$J$7:$J$100,'24a'!$H$7:$H$100,$A351,'24a'!$I$7:$I$100,"")+SUMIFS('24b'!$J$7:$J$100,'24b'!$H$7:$H$100,$A351,'24b'!$I$7:$I$100,"")+SUMIFS('24c'!$J$7:$J$100,'24c'!$H$7:$H$100,$A351,'24c'!$I$7:$I$100,"")+SUMIFS('24d'!$J$7:$J$100,'24d'!$H$7:$H$100,$A351,'24d'!$I$7:$I$100,"")+SUMIFS('24e'!$J$7:$J$100,'24e'!$H$7:$H$100,$A351,'24e'!$I$7:$I$100,"")+SUMIFS('24f'!$J$7:$J$100,'24f'!$H$7:$H$100,$A351,'24f'!$I$7:$I$100,"")+SUMIFS('24g'!$J$7:$J$100,'24g'!$H$7:$H$100,$A351,'24g'!$I$7:$I$100,"")+SUMIFS('24h'!$J$7:$J$100,'24h'!$H$7:$H$100,$A351,'24h'!$I$7:$I$100,"")+SUMIFS('24i'!$J$7:$J$100,'24i'!$H$7:$H$100,$A351,'24i'!$I$7:$I$100,"")+SUMIFS('25'!$J$7:$J$100,'25'!$H$7:$H$100,$A351,'25'!$I$7:$I$100,"")+SUMIFS('26'!$J$7:$J$100,'26'!$H$7:$H$100,$A351,'26'!$I$7:$I$100,"")+SUMIFS('26a'!$J$7:$J$100,'26a'!$H$7:$H$100,$A351,'26a'!$I$7:$I$100,"")+SUMIFS('27'!$J$7:$J$100,'27'!$H$7:$H$100,$A351,'27'!$I$7:$I$100,"")+SUMIFS('27a'!$J$7:$J$100,'27a'!$H$7:$H$100,$A351,'27a'!$I$7:$I$100,"")+SUMIFS('28'!$J$7:$J$100,'28'!$H$7:$H$100,$A351,'28'!$I$7:$I$100,"")+SUMIFS('29'!$J$7:$J$100,'29'!$H$7:$H$100,$A351,'29'!$I$7:$I$100,"")</f>
        <v>4596.49</v>
      </c>
      <c r="J351" s="1296">
        <f t="shared" si="51"/>
        <v>4596.49</v>
      </c>
      <c r="K351"/>
      <c r="L351"/>
      <c r="M351"/>
      <c r="N351"/>
      <c r="O351"/>
      <c r="P351"/>
      <c r="Q351"/>
      <c r="R351"/>
      <c r="S351" s="1307">
        <f t="shared" si="48"/>
        <v>17121.16</v>
      </c>
      <c r="T351"/>
    </row>
    <row r="352" spans="1:20" x14ac:dyDescent="0.2">
      <c r="A352" t="s">
        <v>5072</v>
      </c>
      <c r="B352" s="784" t="s">
        <v>5596</v>
      </c>
      <c r="C352" s="1295">
        <f>SUMIFS('12'!$N$7:$N$100,'12'!$H$7:$H$100,$A352,'12'!$I$7:$I$100,1)+SUMIFS('13'!$N$7:$N$100,'13'!$H$7:$H$100,$A352,'13'!$I$7:$I$100,1)+SUMIFS('14'!$N$7:$N$100,'14'!$H$7:$H$100,$A352,'14'!$I$7:$I$100,1)+SUMIFS('15'!$N$7:$N$100,'15'!$H$7:$H$100,$A352,'15'!$I$7:$I$100,1)+SUMIFS('15a'!$N$7:$N$100,'15a'!$H$7:$H$100,$A352,'15a'!$I$7:$I$100,1)+SUMIFS('15b'!$N$7:$N$100,'15b'!$H$7:$H$100,$A352,'15b'!$I$7:$I$100,1)+SUMIFS('15c'!$N$7:$N$100,'15c'!$H$7:$H$100,$A352,'15c'!$I$7:$I$100,1)+SUMIFS('15d'!$N$7:$N$100,'15d'!$H$7:$H$100,$A352,'15d'!$I$7:$I$100,1)+SUMIFS('15e'!$N$7:$N$100,'15e'!$H$7:$H$100,$A352,'15e'!$I$7:$I$100,1)+SUMIFS('15f'!$N$7:$N$100,'15f'!$H$7:$H$100,$A352,'15f'!$I$7:$I$100,1)+SUMIFS('15g'!$N$7:$N$100,'15g'!$H$7:$H$100,$A352,'15g'!$I$7:$I$100,1)+SUMIFS('15h'!$N$7:$N$100,'15h'!$H$7:$H$100,$A352,'15h'!$I$7:$I$100,1)+SUMIFS('15i'!$N$7:$N$100,'15i'!$H$7:$H$100,$A352,'15i'!$I$7:$I$100,1)+SUMIFS('15j'!$N$7:$N$100,'15j'!$H$7:$H$100,$A352,'15j'!$I$7:$I$100,1)+SUMIFS('15k'!$N$7:$N$100,'15k'!$H$7:$H$100,$A352,'15k'!$I$7:$I$100,1)+SUMIFS('15l'!$N$7:$N$100,'15l'!$H$7:$H$100,$A352,'15l'!$I$7:$I$100,1)+SUMIFS('15m'!$N$7:$N$100,'15m'!$H$7:$H$100,$A352,'15m'!$I$7:$I$100,1)+SUMIFS('15n'!$N$7:$N$100,'15n'!$H$7:$H$100,$A352,'15n'!$I$7:$I$100,1)+SUMIFS('16'!$N$7:$N$100,'16'!$H$7:$H$100,$A352,'16'!$I$7:$I$100,1)+SUMIFS('16a'!$N$7:$N$100,'16a'!$H$7:$H$100,$A352,'16a'!$I$7:$I$100,1)+SUMIFS('17'!$N$7:$N$100,'17'!$H$7:$H$100,$A352,'17'!$I$7:$I$100,1)+SUMIFS('17a'!$N$7:$N$100,'17a'!$H$7:$H$100,$A352,'17a'!$I$7:$I$100,1)+SUMIFS('18'!$N$7:$N$100,'18'!$H$7:$H$100,$A352,'18'!$I$7:$I$100,1)+SUMIFS('18a'!$N$7:$N$100,'18a'!$H$7:$H$100,$A352,'18a'!$I$7:$I$100,1)
+SUMIFS('19'!$N$7:$N$100,'19'!$H$7:$H$100,$A352,'19'!$I$7:$I$100,1)+SUMIFS('20'!$N$7:$N$100,'20'!$H$7:$H$100,$A352,'20'!$I$7:$I$100,1)+SUMIFS('20a'!$N$7:$N$100,'20a'!$H$7:$H$100,$A352,'20a'!$I$7:$I$100,1)+SUMIFS('21'!$N$7:$N$100,'21'!$H$7:$H$100,$A352,'21'!$I$7:$I$100,1)+SUMIFS('22'!$N$7:$N$100,'22'!$H$7:$H$100,$A352,'22'!$I$7:$I$100,1)+SUMIFS('22a'!$N$7:$N$100,'22a'!$H$7:$H$100,$A352,'22a'!$I$7:$I$100,1)+SUMIFS('22b'!$N$7:$N$100,'22b'!$H$7:$H$100,$A352,'22b'!$I$7:$I$100,1)+SUMIFS('23'!$N$7:$N$100,'23'!$H$7:$H$100,$A352,'23'!$I$7:$I$100,1)+SUMIFS('24'!$N$7:$N$100,'24'!$H$7:$H$100,$A352,'24'!$I$7:$I$100,1)+SUMIFS('24a'!$N$7:$N$100,'24a'!$H$7:$H$100,$A352,'24a'!$I$7:$I$100,1)+SUMIFS('24b'!$N$7:$N$100,'24b'!$H$7:$H$100,$A352,'24b'!$I$7:$I$100,1)+SUMIFS('24c'!$N$7:$N$100,'24c'!$H$7:$H$100,$A352,'24c'!$I$7:$I$100,1)+SUMIFS('24d'!$N$7:$N$100,'24d'!$H$7:$H$100,$A352,'24d'!$I$7:$I$100,1)+SUMIFS('24e'!$N$7:$N$100,'24e'!$H$7:$H$100,$A352,'24e'!$I$7:$I$100,1)+SUMIFS('24f'!$N$7:$N$100,'24f'!$H$7:$H$100,$A352,'24f'!$I$7:$I$100,1)+SUMIFS('24g'!$N$7:$N$100,'24g'!$H$7:$H$100,$A352,'24g'!$I$7:$I$100,1)+SUMIFS('24h'!$N$7:$N$100,'24h'!$H$7:$H$100,$A352,'24h'!$I$7:$I$100,1)+SUMIFS('24i'!$N$7:$N$100,'24i'!$H$7:$H$100,$A352,'24i'!$I$7:$I$100,1)+SUMIFS('25'!$N$7:$N$100,'25'!$H$7:$H$100,$A352,'25'!$I$7:$I$100,1)+SUMIFS('26'!$N$7:$N$100,'26'!$H$7:$H$100,$A352,'26'!$I$7:$I$100,1)+SUMIFS('26a'!$N$7:$N$100,'26a'!$H$7:$H$100,$A352,'26a'!$I$7:$I$100,1)+SUMIFS('27'!$N$7:$N$100,'27'!$H$7:$H$100,$A352,'27'!$I$7:$I$100,1)+SUMIFS('27a'!$N$7:$N$100,'27a'!$H$7:$H$100,$A352,'27a'!$I$7:$I$100,1)+SUMIFS('28'!$N$7:$N$100,'28'!$H$7:$H$100,$A352,'28'!$I$7:$I$100,1)+SUMIFS('29'!$N$7:$N$100,'29'!$H$7:$H$100,$A352,'29'!$I$7:$I$100,1)</f>
        <v>0</v>
      </c>
      <c r="D352" s="1315">
        <f>SUMIFS('12'!$N$7:$N$100,'12'!$H$7:$H$100,$A352,'12'!$I$7:$I$100,2)+SUMIFS('13'!$N$7:$N$100,'13'!$H$7:$H$100,$A352,'13'!$I$7:$I$100,2)+SUMIFS('14'!$N$7:$N$100,'14'!$H$7:$H$100,$A352,'14'!$I$7:$I$100,2)+SUMIFS('15'!$N$7:$N$100,'15'!$H$7:$H$100,$A352,'15'!$I$7:$I$100,2)+SUMIFS('15a'!$N$7:$N$100,'15a'!$H$7:$H$100,$A352,'15a'!$I$7:$I$100,2)+SUMIFS('15b'!$N$7:$N$100,'15b'!$H$7:$H$100,$A352,'15b'!$I$7:$I$100,2)+SUMIFS('15c'!$N$7:$N$100,'15c'!$H$7:$H$100,$A352,'15c'!$I$7:$I$100,2)+SUMIFS('15d'!$N$7:$N$100,'15d'!$H$7:$H$100,$A352,'15d'!$I$7:$I$100,2)+SUMIFS('15e'!$N$7:$N$100,'15e'!$H$7:$H$100,$A352,'15e'!$I$7:$I$100,2)+SUMIFS('15f'!$N$7:$N$100,'15f'!$H$7:$H$100,$A352,'15f'!$I$7:$I$100,2)+SUMIFS('15g'!$N$7:$N$100,'15g'!$H$7:$H$100,$A352,'15g'!$I$7:$I$100,2)+SUMIFS('15h'!$N$7:$N$100,'15h'!$H$7:$H$100,$A352,'15h'!$I$7:$I$100,2)+SUMIFS('15i'!$N$7:$N$100,'15i'!$H$7:$H$100,$A352,'15i'!$I$7:$I$100,2)+SUMIFS('15j'!$N$7:$N$100,'15j'!$H$7:$H$100,$A352,'15j'!$I$7:$I$100,2)+SUMIFS('15k'!$N$7:$N$100,'15k'!$H$7:$H$100,$A352,'15k'!$I$7:$I$100,2)+SUMIFS('15l'!$N$7:$N$100,'15l'!$H$7:$H$100,$A352,'15l'!$I$7:$I$100,2)+SUMIFS('15m'!$N$7:$N$100,'15m'!$H$7:$H$100,$A352,'15m'!$I$7:$I$100,2)+SUMIFS('15n'!$N$7:$N$100,'15n'!$H$7:$H$100,$A352,'15n'!$I$7:$I$100,2)+SUMIFS('16'!$N$7:$N$100,'16'!$H$7:$H$100,$A352,'16'!$I$7:$I$100,2)+SUMIFS('16a'!$N$7:$N$100,'16a'!$H$7:$H$100,$A352,'16a'!$I$7:$I$100,2)+SUMIFS('17'!$N$7:$N$100,'17'!$H$7:$H$100,$A352,'17'!$I$7:$I$100,2)+SUMIFS('17a'!$N$7:$N$100,'17a'!$H$7:$H$100,$A352,'17a'!$I$7:$I$100,2)+SUMIFS('18'!$N$7:$N$100,'18'!$H$7:$H$100,$A352,'18'!$I$7:$I$100,2)+SUMIFS('18a'!$N$7:$N$100,'18a'!$H$7:$H$100,$A352,'18a'!$I$7:$I$100,2)
+SUMIFS('19'!$N$7:$N$100,'19'!$H$7:$H$100,$A352,'19'!$I$7:$I$100,2)+SUMIFS('20'!$N$7:$N$100,'20'!$H$7:$H$100,$A352,'20'!$I$7:$I$100,2)+SUMIFS('20a'!$N$7:$N$100,'20a'!$H$7:$H$100,$A352,'20a'!$I$7:$I$100,2)+SUMIFS('21'!$N$7:$N$100,'21'!$H$7:$H$100,$A352,'21'!$I$7:$I$100,2)+SUMIFS('22'!$N$7:$N$100,'22'!$H$7:$H$100,$A352,'22'!$I$7:$I$100,2)+SUMIFS('22a'!$N$7:$N$100,'22a'!$H$7:$H$100,$A352,'22a'!$I$7:$I$100,2)+SUMIFS('22b'!$N$7:$N$100,'22b'!$H$7:$H$100,$A352,'22b'!$I$7:$I$100,2)+SUMIFS('23'!$N$7:$N$100,'23'!$H$7:$H$100,$A352,'23'!$I$7:$I$100,2)+SUMIFS('24'!$N$7:$N$100,'24'!$H$7:$H$100,$A352,'24'!$I$7:$I$100,2)+SUMIFS('24a'!$N$7:$N$100,'24a'!$H$7:$H$100,$A352,'24a'!$I$7:$I$100,2)+SUMIFS('24b'!$N$7:$N$100,'24b'!$H$7:$H$100,$A352,'24b'!$I$7:$I$100,2)+SUMIFS('24c'!$N$7:$N$100,'24c'!$H$7:$H$100,$A352,'24c'!$I$7:$I$100,2)+SUMIFS('24d'!$N$7:$N$100,'24d'!$H$7:$H$100,$A352,'24d'!$I$7:$I$100,2)+SUMIFS('24e'!$N$7:$N$100,'24e'!$H$7:$H$100,$A352,'24e'!$I$7:$I$100,2)+SUMIFS('24f'!$N$7:$N$100,'24f'!$H$7:$H$100,$A352,'24f'!$I$7:$I$100,2)+SUMIFS('24g'!$N$7:$N$100,'24g'!$H$7:$H$100,$A352,'24g'!$I$7:$I$100,2)+SUMIFS('24h'!$N$7:$N$100,'24h'!$H$7:$H$100,$A352,'24h'!$I$7:$I$100,2)+SUMIFS('24i'!$N$7:$N$100,'24i'!$H$7:$H$100,$A352,'24i'!$I$7:$I$100,2)+SUMIFS('25'!$N$7:$N$100,'25'!$H$7:$H$100,$A352,'25'!$I$7:$I$100,2)+SUMIFS('26'!$N$7:$N$100,'26'!$H$7:$H$100,$A352,'26'!$I$7:$I$100,2)+SUMIFS('26a'!$N$7:$N$100,'26a'!$H$7:$H$100,$A352,'26a'!$I$7:$I$100,2)+SUMIFS('27'!$N$7:$N$100,'27'!$H$7:$H$100,$A352,'27'!$I$7:$I$100,2)+SUMIFS('27a'!$N$7:$N$100,'27a'!$H$7:$H$100,$A352,'27a'!$I$7:$I$100,2)+SUMIFS('28'!$N$7:$N$100,'28'!$H$7:$H$100,$A352,'28'!$I$7:$I$100,2)+SUMIFS('29'!$N$7:$N$100,'29'!$H$7:$H$100,$A352,'29'!$I$7:$I$100,2)</f>
        <v>0</v>
      </c>
      <c r="E352" s="1315">
        <f>SUMIFS('12'!$N$7:$N$100,'12'!$H$7:$H$100,$A352,'12'!$I$7:$I$100,"")+SUMIFS('13'!$N$7:$N$100,'13'!$H$7:$H$100,$A352,'13'!$I$7:$I$100,"")+SUMIFS('14'!$N$7:$N$100,'14'!$H$7:$H$100,$A352,'14'!$I$7:$I$100,"")+SUMIFS('15'!$N$7:$N$100,'15'!$H$7:$H$100,$A352,'15'!$I$7:$I$100,"")+SUMIFS('15a'!$N$7:$N$100,'15a'!$H$7:$H$100,$A352,'15a'!$I$7:$I$100,"")+SUMIFS('15b'!$N$7:$N$100,'15b'!$H$7:$H$100,$A352,'15b'!$I$7:$I$100,"")+SUMIFS('15c'!$N$7:$N$100,'15c'!$H$7:$H$100,$A352,'15c'!$I$7:$I$100,"")+SUMIFS('15d'!$N$7:$N$100,'15d'!$H$7:$H$100,$A352,'15d'!$I$7:$I$100,"")+SUMIFS('15e'!$N$7:$N$100,'15e'!$H$7:$H$100,$A352,'15e'!$I$7:$I$100,"")+SUMIFS('15f'!$N$7:$N$100,'15f'!$H$7:$H$100,$A352,'15f'!$I$7:$I$100,"")+SUMIFS('15g'!$N$7:$N$100,'15g'!$H$7:$H$100,$A352,'15g'!$I$7:$I$100,"")+SUMIFS('15h'!$N$7:$N$100,'15h'!$H$7:$H$100,$A352,'15h'!$I$7:$I$100,"")+SUMIFS('15i'!$N$7:$N$100,'15i'!$H$7:$H$100,$A352,'15i'!$I$7:$I$100,"")+SUMIFS('15j'!$N$7:$N$100,'15j'!$H$7:$H$100,$A352,'15j'!$I$7:$I$100,"")+SUMIFS('15k'!$N$7:$N$100,'15k'!$H$7:$H$100,$A352,'15k'!$I$7:$I$100,"")+SUMIFS('15l'!$N$7:$N$100,'15l'!$H$7:$H$100,$A352,'15l'!$I$7:$I$100,"")+SUMIFS('15m'!$N$7:$N$100,'15m'!$H$7:$H$100,$A352,'15m'!$I$7:$I$100,"")+SUMIFS('15n'!$N$7:$N$100,'15n'!$H$7:$H$100,$A352,'15n'!$I$7:$I$100,"")+SUMIFS('16'!$N$7:$N$100,'16'!$H$7:$H$100,$A352,'16'!$I$7:$I$100,"")+SUMIFS('16a'!$N$7:$N$100,'16a'!$H$7:$H$100,$A352,'16a'!$I$7:$I$100,"")+SUMIFS('17'!$N$7:$N$100,'17'!$H$7:$H$100,$A352,'17'!$I$7:$I$100,"")+SUMIFS('17a'!$N$7:$N$100,'17a'!$H$7:$H$100,$A352,'17a'!$I$7:$I$100,"")+SUMIFS('18'!$N$7:$N$100,'18'!$H$7:$H$100,$A352,'18'!$I$7:$I$100,"")+SUMIFS('18a'!$N$7:$N$100,'18a'!$H$7:$H$100,$A352,'18a'!$I$7:$I$100,"")
+SUMIFS('19'!$N$7:$N$100,'19'!$H$7:$H$100,$A352,'19'!$I$7:$I$100,"")+SUMIFS('20'!$N$7:$N$100,'20'!$H$7:$H$100,$A352,'20'!$I$7:$I$100,"")+SUMIFS('20a'!$N$7:$N$100,'20a'!$H$7:$H$100,$A352,'20a'!$I$7:$I$100,"")+SUMIFS('21'!$N$7:$N$100,'21'!$H$7:$H$100,$A352,'21'!$I$7:$I$100,"")+SUMIFS('22'!$N$7:$N$100,'22'!$H$7:$H$100,$A352,'22'!$I$7:$I$100,"")+SUMIFS('22a'!$N$7:$N$100,'22a'!$H$7:$H$100,$A352,'22a'!$I$7:$I$100,"")+SUMIFS('22b'!$N$7:$N$100,'22b'!$H$7:$H$100,$A352,'22b'!$I$7:$I$100,"")+SUMIFS('23'!$N$7:$N$100,'23'!$H$7:$H$100,$A352,'23'!$I$7:$I$100,"")+SUMIFS('24'!$N$7:$N$100,'24'!$H$7:$H$100,$A352,'24'!$I$7:$I$100,"")+SUMIFS('24a'!$N$7:$N$100,'24a'!$H$7:$H$100,$A352,'24a'!$I$7:$I$100,"")+SUMIFS('24b'!$N$7:$N$100,'24b'!$H$7:$H$100,$A352,'24b'!$I$7:$I$100,"")+SUMIFS('24c'!$N$7:$N$100,'24c'!$H$7:$H$100,$A352,'24c'!$I$7:$I$100,"")+SUMIFS('24d'!$N$7:$N$100,'24d'!$H$7:$H$100,$A352,'24d'!$I$7:$I$100,"")+SUMIFS('24e'!$N$7:$N$100,'24e'!$H$7:$H$100,$A352,'24e'!$I$7:$I$100,"")+SUMIFS('24f'!$N$7:$N$100,'24f'!$H$7:$H$100,$A352,'24f'!$I$7:$I$100,"")+SUMIFS('24g'!$N$7:$N$100,'24g'!$H$7:$H$100,$A352,'24g'!$I$7:$I$100,"")+SUMIFS('24h'!$N$7:$N$100,'24h'!$H$7:$H$100,$A352,'24h'!$I$7:$I$100,"")+SUMIFS('24i'!$N$7:$N$100,'24i'!$H$7:$H$100,$A352,'24i'!$I$7:$I$100,"")+SUMIFS('25'!$N$7:$N$100,'25'!$H$7:$H$100,$A352,'25'!$I$7:$I$100,"")+SUMIFS('26'!$N$7:$N$100,'26'!$H$7:$H$100,$A352,'26'!$I$7:$I$100,"")+SUMIFS('26a'!$N$7:$N$100,'26a'!$H$7:$H$100,$A352,'26a'!$I$7:$I$100,"")+SUMIFS('27'!$N$7:$N$100,'27'!$H$7:$H$100,$A352,'27'!$I$7:$I$100,"")+SUMIFS('27a'!$N$7:$N$100,'27a'!$H$7:$H$100,$A352,'27a'!$I$7:$I$100,"")+SUMIFS('28'!$N$7:$N$100,'28'!$H$7:$H$100,$A352,'28'!$I$7:$I$100,"")+SUMIFS('29'!$N$7:$N$100,'29'!$H$7:$H$100,$A352,'29'!$I$7:$I$100,"")</f>
        <v>0</v>
      </c>
      <c r="F352" s="1296">
        <f t="shared" si="50"/>
        <v>0</v>
      </c>
      <c r="G352" s="1295">
        <f>SUMIFS('12'!$J$7:$J$100,'12'!$H$7:$H$100,$A352,'12'!$I$7:$I$100,1)+SUMIFS('13'!$J$7:$J$100,'13'!$H$7:$H$100,$A352,'13'!$I$7:$I$100,1)+SUMIFS('14'!$J$7:$J$100,'14'!$H$7:$H$100,$A352,'14'!$I$7:$I$100,1)+SUMIFS('15'!$J$7:$J$100,'15'!$H$7:$H$100,$A352,'15'!$I$7:$I$100,1)+SUMIFS('15a'!$J$7:$J$100,'15a'!$H$7:$H$100,$A352,'15a'!$I$7:$I$100,1)+SUMIFS('15b'!$J$7:$J$100,'15b'!$H$7:$H$100,$A352,'15b'!$I$7:$I$100,1)+SUMIFS('15c'!$J$7:$J$100,'15c'!$H$7:$H$100,$A352,'15c'!$I$7:$I$100,1)+SUMIFS('15d'!$J$7:$J$100,'15d'!$H$7:$H$100,$A352,'15d'!$I$7:$I$100,1)+SUMIFS('15e'!$J$7:$J$100,'15e'!$H$7:$H$100,$A352,'15e'!$I$7:$I$100,1)+SUMIFS('15f'!$J$7:$J$100,'15f'!$H$7:$H$100,$A352,'15f'!$I$7:$I$100,1)+SUMIFS('15g'!$J$7:$J$100,'15g'!$H$7:$H$100,$A352,'15g'!$I$7:$I$100,1)+SUMIFS('15h'!$J$7:$J$100,'15h'!$H$7:$H$100,$A352,'15h'!$I$7:$I$100,1)+SUMIFS('15i'!$J$7:$J$100,'15i'!$H$7:$H$100,$A352,'15i'!$I$7:$I$100,1)+SUMIFS('15j'!$J$7:$J$100,'15j'!$H$7:$H$100,$A352,'15j'!$I$7:$I$100,1)+SUMIFS('15k'!$J$7:$J$100,'15k'!$H$7:$H$100,$A352,'15k'!$I$7:$I$100,1)+SUMIFS('15l'!$J$7:$J$100,'15l'!$H$7:$H$100,$A352,'15l'!$I$7:$I$100,1)+SUMIFS('15m'!$J$7:$J$100,'15m'!$H$7:$H$100,$A352,'15m'!$I$7:$I$100,1)+SUMIFS('15n'!$J$7:$J$100,'15n'!$H$7:$H$100,$A352,'15n'!$I$7:$I$100,1)+SUMIFS('16'!$J$7:$J$100,'16'!$H$7:$H$100,$A352,'16'!$I$7:$I$100,1)+SUMIFS('16a'!$J$7:$J$100,'16a'!$H$7:$H$100,$A352,'16a'!$I$7:$I$100,1)+SUMIFS('17'!$J$7:$J$100,'17'!$H$7:$H$100,$A352,'17'!$I$7:$I$100,1)+SUMIFS('17a'!$J$7:$J$100,'17a'!$H$7:$H$100,$A352,'17a'!$I$7:$I$100,1)+SUMIFS('18'!$J$7:$J$100,'18'!$H$7:$H$100,$A352,'18'!$I$7:$I$100,1)+SUMIFS('18a'!$J$7:$J$100,'18a'!$H$7:$H$100,$A352,'18a'!$I$7:$I$100,1)
+SUMIFS('19'!$J$7:$J$100,'19'!$H$7:$H$100,$A352,'19'!$I$7:$I$100,1)+SUMIFS('20'!$J$7:$J$100,'20'!$H$7:$H$100,$A352,'20'!$I$7:$I$100,1)+SUMIFS('20a'!$J$7:$J$100,'20a'!$H$7:$H$100,$A352,'20a'!$I$7:$I$100,1)+SUMIFS('21'!$J$7:$J$100,'21'!$H$7:$H$100,$A352,'21'!$I$7:$I$100,1)+SUMIFS('22'!$J$7:$J$100,'22'!$H$7:$H$100,$A352,'22'!$I$7:$I$100,1)+SUMIFS('22a'!$J$7:$J$100,'22a'!$H$7:$H$100,$A352,'22a'!$I$7:$I$100,1)+SUMIFS('22b'!$J$7:$J$100,'22b'!$H$7:$H$100,$A352,'22b'!$I$7:$I$100,1)+SUMIFS('23'!$J$7:$J$100,'23'!$H$7:$H$100,$A352,'23'!$I$7:$I$100,1)+SUMIFS('24'!$J$7:$J$100,'24'!$H$7:$H$100,$A352,'24'!$I$7:$I$100,1)+SUMIFS('24a'!$J$7:$J$100,'24a'!$H$7:$H$100,$A352,'24a'!$I$7:$I$100,1)+SUMIFS('24b'!$J$7:$J$100,'24b'!$H$7:$H$100,$A352,'24b'!$I$7:$I$100,1)+SUMIFS('24c'!$J$7:$J$100,'24c'!$H$7:$H$100,$A352,'24c'!$I$7:$I$100,1)+SUMIFS('24d'!$J$7:$J$100,'24d'!$H$7:$H$100,$A352,'24d'!$I$7:$I$100,1)+SUMIFS('24e'!$J$7:$J$100,'24e'!$H$7:$H$100,$A352,'24e'!$I$7:$I$100,1)+SUMIFS('24f'!$J$7:$J$100,'24f'!$H$7:$H$100,$A352,'24f'!$I$7:$I$100,1)+SUMIFS('24g'!$J$7:$J$100,'24g'!$H$7:$H$100,$A352,'24g'!$I$7:$I$100,1)+SUMIFS('24h'!$J$7:$J$100,'24h'!$H$7:$H$100,$A352,'24h'!$I$7:$I$100,1)+SUMIFS('24i'!$J$7:$J$100,'24i'!$H$7:$H$100,$A352,'24i'!$I$7:$I$100,1)+SUMIFS('25'!$J$7:$J$100,'25'!$H$7:$H$100,$A352,'25'!$I$7:$I$100,1)+SUMIFS('26'!$J$7:$J$100,'26'!$H$7:$H$100,$A352,'26'!$I$7:$I$100,1)+SUMIFS('26a'!$J$7:$J$100,'26a'!$H$7:$H$100,$A352,'26a'!$I$7:$I$100,1)+SUMIFS('27'!$J$7:$J$100,'27'!$H$7:$H$100,$A352,'27'!$I$7:$I$100,1)+SUMIFS('27a'!$J$7:$J$100,'27a'!$H$7:$H$100,$A352,'27a'!$I$7:$I$100,1)+SUMIFS('28'!$J$7:$J$100,'28'!$H$7:$H$100,$A352,'28'!$I$7:$I$100,1)+SUMIFS('29'!$J$7:$J$100,'29'!$H$7:$H$100,$A352,'29'!$I$7:$I$100,1)</f>
        <v>0</v>
      </c>
      <c r="H352" s="1315">
        <f>SUMIFS('12'!$J$7:$J$100,'12'!$H$7:$H$100,$A352,'12'!$I$7:$I$100,2)+SUMIFS('13'!$J$7:$J$100,'13'!$H$7:$H$100,$A352,'13'!$I$7:$I$100,2)+SUMIFS('14'!$J$7:$J$100,'14'!$H$7:$H$100,$A352,'14'!$I$7:$I$100,2)+SUMIFS('15'!$J$7:$J$100,'15'!$H$7:$H$100,$A352,'15'!$I$7:$I$100,2)+SUMIFS('15a'!$J$7:$J$100,'15a'!$H$7:$H$100,$A352,'15a'!$I$7:$I$100,2)+SUMIFS('15b'!$J$7:$J$100,'15b'!$H$7:$H$100,$A352,'15b'!$I$7:$I$100,2)+SUMIFS('15c'!$J$7:$J$100,'15c'!$H$7:$H$100,$A352,'15c'!$I$7:$I$100,2)+SUMIFS('15d'!$J$7:$J$100,'15d'!$H$7:$H$100,$A352,'15d'!$I$7:$I$100,2)+SUMIFS('15e'!$J$7:$J$100,'15e'!$H$7:$H$100,$A352,'15e'!$I$7:$I$100,2)+SUMIFS('15f'!$J$7:$J$100,'15f'!$H$7:$H$100,$A352,'15f'!$I$7:$I$100,2)+SUMIFS('15g'!$J$7:$J$100,'15g'!$H$7:$H$100,$A352,'15g'!$I$7:$I$100,2)+SUMIFS('15h'!$J$7:$J$100,'15h'!$H$7:$H$100,$A352,'15h'!$I$7:$I$100,2)+SUMIFS('15i'!$J$7:$J$100,'15i'!$H$7:$H$100,$A352,'15i'!$I$7:$I$100,2)+SUMIFS('15j'!$J$7:$J$100,'15j'!$H$7:$H$100,$A352,'15j'!$I$7:$I$100,2)+SUMIFS('15k'!$J$7:$J$100,'15k'!$H$7:$H$100,$A352,'15k'!$I$7:$I$100,2)+SUMIFS('15l'!$J$7:$J$100,'15l'!$H$7:$H$100,$A352,'15l'!$I$7:$I$100,2)+SUMIFS('15m'!$J$7:$J$100,'15m'!$H$7:$H$100,$A352,'15m'!$I$7:$I$100,2)+SUMIFS('15n'!$J$7:$J$100,'15n'!$H$7:$H$100,$A352,'15n'!$I$7:$I$100,2)+SUMIFS('16'!$J$7:$J$100,'16'!$H$7:$H$100,$A352,'16'!$I$7:$I$100,2)+SUMIFS('16a'!$J$7:$J$100,'16a'!$H$7:$H$100,$A352,'16a'!$I$7:$I$100,2)+SUMIFS('17'!$J$7:$J$100,'17'!$H$7:$H$100,$A352,'17'!$I$7:$I$100,2)+SUMIFS('17a'!$J$7:$J$100,'17a'!$H$7:$H$100,$A352,'17a'!$I$7:$I$100,2)+SUMIFS('18'!$J$7:$J$100,'18'!$H$7:$H$100,$A352,'18'!$I$7:$I$100,2)+SUMIFS('18a'!$J$7:$J$100,'18a'!$H$7:$H$100,$A352,'18a'!$I$7:$I$100,2)
+SUMIFS('19'!$J$7:$J$100,'19'!$H$7:$H$100,$A352,'19'!$I$7:$I$100,2)+SUMIFS('20'!$J$7:$J$100,'20'!$H$7:$H$100,$A352,'20'!$I$7:$I$100,2)+SUMIFS('20a'!$J$7:$J$100,'20a'!$H$7:$H$100,$A352,'20a'!$I$7:$I$100,2)+SUMIFS('21'!$J$7:$J$100,'21'!$H$7:$H$100,$A352,'21'!$I$7:$I$100,2)+SUMIFS('22'!$J$7:$J$100,'22'!$H$7:$H$100,$A352,'22'!$I$7:$I$100,2)+SUMIFS('22a'!$J$7:$J$100,'22a'!$H$7:$H$100,$A352,'22a'!$I$7:$I$100,2)+SUMIFS('22b'!$J$7:$J$100,'22b'!$H$7:$H$100,$A352,'22b'!$I$7:$I$100,2)+SUMIFS('23'!$J$7:$J$100,'23'!$H$7:$H$100,$A352,'23'!$I$7:$I$100,2)+SUMIFS('24'!$J$7:$J$100,'24'!$H$7:$H$100,$A352,'24'!$I$7:$I$100,2)+SUMIFS('24a'!$J$7:$J$100,'24a'!$H$7:$H$100,$A352,'24a'!$I$7:$I$100,2)+SUMIFS('24b'!$J$7:$J$100,'24b'!$H$7:$H$100,$A352,'24b'!$I$7:$I$100,2)+SUMIFS('24c'!$J$7:$J$100,'24c'!$H$7:$H$100,$A352,'24c'!$I$7:$I$100,2)+SUMIFS('24d'!$J$7:$J$100,'24d'!$H$7:$H$100,$A352,'24d'!$I$7:$I$100,2)+SUMIFS('24e'!$J$7:$J$100,'24e'!$H$7:$H$100,$A352,'24e'!$I$7:$I$100,2)+SUMIFS('24f'!$J$7:$J$100,'24f'!$H$7:$H$100,$A352,'24f'!$I$7:$I$100,2)+SUMIFS('24g'!$J$7:$J$100,'24g'!$H$7:$H$100,$A352,'24g'!$I$7:$I$100,2)+SUMIFS('24h'!$J$7:$J$100,'24h'!$H$7:$H$100,$A352,'24h'!$I$7:$I$100,2)+SUMIFS('24i'!$J$7:$J$100,'24i'!$H$7:$H$100,$A352,'24i'!$I$7:$I$100,2)+SUMIFS('25'!$J$7:$J$100,'25'!$H$7:$H$100,$A352,'25'!$I$7:$I$100,2)+SUMIFS('26'!$J$7:$J$100,'26'!$H$7:$H$100,$A352,'26'!$I$7:$I$100,2)+SUMIFS('26a'!$J$7:$J$100,'26a'!$H$7:$H$100,$A352,'26a'!$I$7:$I$100,2)+SUMIFS('27'!$J$7:$J$100,'27'!$H$7:$H$100,$A352,'27'!$I$7:$I$100,2)+SUMIFS('27a'!$J$7:$J$100,'27a'!$H$7:$H$100,$A352,'27a'!$I$7:$I$100,2)+SUMIFS('28'!$J$7:$J$100,'28'!$H$7:$H$100,$A352,'28'!$I$7:$I$100,2)+SUMIFS('29'!$J$7:$J$100,'29'!$H$7:$H$100,$A352,'29'!$I$7:$I$100,2)</f>
        <v>0</v>
      </c>
      <c r="I352" s="1315">
        <f>SUMIFS('12'!$J$7:$J$100,'12'!$H$7:$H$100,$A352,'12'!$I$7:$I$100,"")+SUMIFS('13'!$J$7:$J$100,'13'!$H$7:$H$100,$A352,'13'!$I$7:$I$100,"")+SUMIFS('14'!$J$7:$J$100,'14'!$H$7:$H$100,$A352,'14'!$I$7:$I$100,"")+SUMIFS('15'!$J$7:$J$100,'15'!$H$7:$H$100,$A352,'15'!$I$7:$I$100,"")+SUMIFS('15a'!$J$7:$J$100,'15a'!$H$7:$H$100,$A352,'15a'!$I$7:$I$100,"")+SUMIFS('15b'!$J$7:$J$100,'15b'!$H$7:$H$100,$A352,'15b'!$I$7:$I$100,"")+SUMIFS('15c'!$J$7:$J$100,'15c'!$H$7:$H$100,$A352,'15c'!$I$7:$I$100,"")+SUMIFS('15d'!$J$7:$J$100,'15d'!$H$7:$H$100,$A352,'15d'!$I$7:$I$100,"")+SUMIFS('15e'!$J$7:$J$100,'15e'!$H$7:$H$100,$A352,'15e'!$I$7:$I$100,"")+SUMIFS('15f'!$J$7:$J$100,'15f'!$H$7:$H$100,$A352,'15f'!$I$7:$I$100,"")+SUMIFS('15g'!$J$7:$J$100,'15g'!$H$7:$H$100,$A352,'15g'!$I$7:$I$100,"")+SUMIFS('15h'!$J$7:$J$100,'15h'!$H$7:$H$100,$A352,'15h'!$I$7:$I$100,"")+SUMIFS('15i'!$J$7:$J$100,'15i'!$H$7:$H$100,$A352,'15i'!$I$7:$I$100,"")+SUMIFS('15j'!$J$7:$J$100,'15j'!$H$7:$H$100,$A352,'15j'!$I$7:$I$100,"")+SUMIFS('15k'!$J$7:$J$100,'15k'!$H$7:$H$100,$A352,'15k'!$I$7:$I$100,"")+SUMIFS('15l'!$J$7:$J$100,'15l'!$H$7:$H$100,$A352,'15l'!$I$7:$I$100,"")+SUMIFS('15m'!$J$7:$J$100,'15m'!$H$7:$H$100,$A352,'15m'!$I$7:$I$100,"")+SUMIFS('15n'!$J$7:$J$100,'15n'!$H$7:$H$100,$A352,'15n'!$I$7:$I$100,"")+SUMIFS('16'!$J$7:$J$100,'16'!$H$7:$H$100,$A352,'16'!$I$7:$I$100,"")+SUMIFS('16a'!$J$7:$J$100,'16a'!$H$7:$H$100,$A352,'16a'!$I$7:$I$100,"")+SUMIFS('17'!$J$7:$J$100,'17'!$H$7:$H$100,$A352,'17'!$I$7:$I$100,"")+SUMIFS('17a'!$J$7:$J$100,'17a'!$H$7:$H$100,$A352,'17a'!$I$7:$I$100,"")+SUMIFS('18'!$J$7:$J$100,'18'!$H$7:$H$100,$A352,'18'!$I$7:$I$100,"")+SUMIFS('18a'!$J$7:$J$100,'18a'!$H$7:$H$100,$A352,'18a'!$I$7:$I$100,"")
+SUMIFS('19'!$J$7:$J$100,'19'!$H$7:$H$100,$A352,'19'!$I$7:$I$100,"")+SUMIFS('20'!$J$7:$J$100,'20'!$H$7:$H$100,$A352,'20'!$I$7:$I$100,"")+SUMIFS('20a'!$J$7:$J$100,'20a'!$H$7:$H$100,$A352,'20a'!$I$7:$I$100,"")+SUMIFS('21'!$J$7:$J$100,'21'!$H$7:$H$100,$A352,'21'!$I$7:$I$100,"")+SUMIFS('22'!$J$7:$J$100,'22'!$H$7:$H$100,$A352,'22'!$I$7:$I$100,"")+SUMIFS('22a'!$J$7:$J$100,'22a'!$H$7:$H$100,$A352,'22a'!$I$7:$I$100,"")+SUMIFS('22b'!$J$7:$J$100,'22b'!$H$7:$H$100,$A352,'22b'!$I$7:$I$100,"")+SUMIFS('23'!$J$7:$J$100,'23'!$H$7:$H$100,$A352,'23'!$I$7:$I$100,"")+SUMIFS('24'!$J$7:$J$100,'24'!$H$7:$H$100,$A352,'24'!$I$7:$I$100,"")+SUMIFS('24a'!$J$7:$J$100,'24a'!$H$7:$H$100,$A352,'24a'!$I$7:$I$100,"")+SUMIFS('24b'!$J$7:$J$100,'24b'!$H$7:$H$100,$A352,'24b'!$I$7:$I$100,"")+SUMIFS('24c'!$J$7:$J$100,'24c'!$H$7:$H$100,$A352,'24c'!$I$7:$I$100,"")+SUMIFS('24d'!$J$7:$J$100,'24d'!$H$7:$H$100,$A352,'24d'!$I$7:$I$100,"")+SUMIFS('24e'!$J$7:$J$100,'24e'!$H$7:$H$100,$A352,'24e'!$I$7:$I$100,"")+SUMIFS('24f'!$J$7:$J$100,'24f'!$H$7:$H$100,$A352,'24f'!$I$7:$I$100,"")+SUMIFS('24g'!$J$7:$J$100,'24g'!$H$7:$H$100,$A352,'24g'!$I$7:$I$100,"")+SUMIFS('24h'!$J$7:$J$100,'24h'!$H$7:$H$100,$A352,'24h'!$I$7:$I$100,"")+SUMIFS('24i'!$J$7:$J$100,'24i'!$H$7:$H$100,$A352,'24i'!$I$7:$I$100,"")+SUMIFS('25'!$J$7:$J$100,'25'!$H$7:$H$100,$A352,'25'!$I$7:$I$100,"")+SUMIFS('26'!$J$7:$J$100,'26'!$H$7:$H$100,$A352,'26'!$I$7:$I$100,"")+SUMIFS('26a'!$J$7:$J$100,'26a'!$H$7:$H$100,$A352,'26a'!$I$7:$I$100,"")+SUMIFS('27'!$J$7:$J$100,'27'!$H$7:$H$100,$A352,'27'!$I$7:$I$100,"")+SUMIFS('27a'!$J$7:$J$100,'27a'!$H$7:$H$100,$A352,'27a'!$I$7:$I$100,"")+SUMIFS('28'!$J$7:$J$100,'28'!$H$7:$H$100,$A352,'28'!$I$7:$I$100,"")+SUMIFS('29'!$J$7:$J$100,'29'!$H$7:$H$100,$A352,'29'!$I$7:$I$100,"")</f>
        <v>0</v>
      </c>
      <c r="J352" s="1296">
        <f t="shared" si="51"/>
        <v>0</v>
      </c>
      <c r="K352"/>
      <c r="L352"/>
      <c r="M352"/>
      <c r="N352"/>
      <c r="O352"/>
      <c r="P352"/>
      <c r="Q352"/>
      <c r="R352"/>
      <c r="S352" s="1307">
        <f t="shared" si="48"/>
        <v>0</v>
      </c>
      <c r="T352"/>
    </row>
    <row r="353" spans="1:20" x14ac:dyDescent="0.2">
      <c r="A353" t="s">
        <v>538</v>
      </c>
      <c r="B353" t="s">
        <v>5547</v>
      </c>
      <c r="C353" s="1295">
        <f>SUMIFS('12'!$N$7:$N$100,'12'!$H$7:$H$100,$A353,'12'!$I$7:$I$100,1)+SUMIFS('13'!$N$7:$N$100,'13'!$H$7:$H$100,$A353,'13'!$I$7:$I$100,1)+SUMIFS('14'!$N$7:$N$100,'14'!$H$7:$H$100,$A353,'14'!$I$7:$I$100,1)+SUMIFS('15'!$N$7:$N$100,'15'!$H$7:$H$100,$A353,'15'!$I$7:$I$100,1)+SUMIFS('15a'!$N$7:$N$100,'15a'!$H$7:$H$100,$A353,'15a'!$I$7:$I$100,1)+SUMIFS('15b'!$N$7:$N$100,'15b'!$H$7:$H$100,$A353,'15b'!$I$7:$I$100,1)+SUMIFS('15c'!$N$7:$N$100,'15c'!$H$7:$H$100,$A353,'15c'!$I$7:$I$100,1)+SUMIFS('15d'!$N$7:$N$100,'15d'!$H$7:$H$100,$A353,'15d'!$I$7:$I$100,1)+SUMIFS('15e'!$N$7:$N$100,'15e'!$H$7:$H$100,$A353,'15e'!$I$7:$I$100,1)+SUMIFS('15f'!$N$7:$N$100,'15f'!$H$7:$H$100,$A353,'15f'!$I$7:$I$100,1)+SUMIFS('15g'!$N$7:$N$100,'15g'!$H$7:$H$100,$A353,'15g'!$I$7:$I$100,1)+SUMIFS('15h'!$N$7:$N$100,'15h'!$H$7:$H$100,$A353,'15h'!$I$7:$I$100,1)+SUMIFS('15i'!$N$7:$N$100,'15i'!$H$7:$H$100,$A353,'15i'!$I$7:$I$100,1)+SUMIFS('15j'!$N$7:$N$100,'15j'!$H$7:$H$100,$A353,'15j'!$I$7:$I$100,1)+SUMIFS('15k'!$N$7:$N$100,'15k'!$H$7:$H$100,$A353,'15k'!$I$7:$I$100,1)+SUMIFS('15l'!$N$7:$N$100,'15l'!$H$7:$H$100,$A353,'15l'!$I$7:$I$100,1)+SUMIFS('15m'!$N$7:$N$100,'15m'!$H$7:$H$100,$A353,'15m'!$I$7:$I$100,1)+SUMIFS('15n'!$N$7:$N$100,'15n'!$H$7:$H$100,$A353,'15n'!$I$7:$I$100,1)+SUMIFS('16'!$N$7:$N$100,'16'!$H$7:$H$100,$A353,'16'!$I$7:$I$100,1)+SUMIFS('16a'!$N$7:$N$100,'16a'!$H$7:$H$100,$A353,'16a'!$I$7:$I$100,1)+SUMIFS('17'!$N$7:$N$100,'17'!$H$7:$H$100,$A353,'17'!$I$7:$I$100,1)+SUMIFS('17a'!$N$7:$N$100,'17a'!$H$7:$H$100,$A353,'17a'!$I$7:$I$100,1)+SUMIFS('18'!$N$7:$N$100,'18'!$H$7:$H$100,$A353,'18'!$I$7:$I$100,1)+SUMIFS('18a'!$N$7:$N$100,'18a'!$H$7:$H$100,$A353,'18a'!$I$7:$I$100,1)
+SUMIFS('19'!$N$7:$N$100,'19'!$H$7:$H$100,$A353,'19'!$I$7:$I$100,1)+SUMIFS('20'!$N$7:$N$100,'20'!$H$7:$H$100,$A353,'20'!$I$7:$I$100,1)+SUMIFS('20a'!$N$7:$N$100,'20a'!$H$7:$H$100,$A353,'20a'!$I$7:$I$100,1)+SUMIFS('21'!$N$7:$N$100,'21'!$H$7:$H$100,$A353,'21'!$I$7:$I$100,1)+SUMIFS('22'!$N$7:$N$100,'22'!$H$7:$H$100,$A353,'22'!$I$7:$I$100,1)+SUMIFS('22a'!$N$7:$N$100,'22a'!$H$7:$H$100,$A353,'22a'!$I$7:$I$100,1)+SUMIFS('22b'!$N$7:$N$100,'22b'!$H$7:$H$100,$A353,'22b'!$I$7:$I$100,1)+SUMIFS('23'!$N$7:$N$100,'23'!$H$7:$H$100,$A353,'23'!$I$7:$I$100,1)+SUMIFS('24'!$N$7:$N$100,'24'!$H$7:$H$100,$A353,'24'!$I$7:$I$100,1)+SUMIFS('24a'!$N$7:$N$100,'24a'!$H$7:$H$100,$A353,'24a'!$I$7:$I$100,1)+SUMIFS('24b'!$N$7:$N$100,'24b'!$H$7:$H$100,$A353,'24b'!$I$7:$I$100,1)+SUMIFS('24c'!$N$7:$N$100,'24c'!$H$7:$H$100,$A353,'24c'!$I$7:$I$100,1)+SUMIFS('24d'!$N$7:$N$100,'24d'!$H$7:$H$100,$A353,'24d'!$I$7:$I$100,1)+SUMIFS('24e'!$N$7:$N$100,'24e'!$H$7:$H$100,$A353,'24e'!$I$7:$I$100,1)+SUMIFS('24f'!$N$7:$N$100,'24f'!$H$7:$H$100,$A353,'24f'!$I$7:$I$100,1)+SUMIFS('24g'!$N$7:$N$100,'24g'!$H$7:$H$100,$A353,'24g'!$I$7:$I$100,1)+SUMIFS('24h'!$N$7:$N$100,'24h'!$H$7:$H$100,$A353,'24h'!$I$7:$I$100,1)+SUMIFS('24i'!$N$7:$N$100,'24i'!$H$7:$H$100,$A353,'24i'!$I$7:$I$100,1)+SUMIFS('25'!$N$7:$N$100,'25'!$H$7:$H$100,$A353,'25'!$I$7:$I$100,1)+SUMIFS('26'!$N$7:$N$100,'26'!$H$7:$H$100,$A353,'26'!$I$7:$I$100,1)+SUMIFS('26a'!$N$7:$N$100,'26a'!$H$7:$H$100,$A353,'26a'!$I$7:$I$100,1)+SUMIFS('27'!$N$7:$N$100,'27'!$H$7:$H$100,$A353,'27'!$I$7:$I$100,1)+SUMIFS('27a'!$N$7:$N$100,'27a'!$H$7:$H$100,$A353,'27a'!$I$7:$I$100,1)+SUMIFS('28'!$N$7:$N$100,'28'!$H$7:$H$100,$A353,'28'!$I$7:$I$100,1)+SUMIFS('29'!$N$7:$N$100,'29'!$H$7:$H$100,$A353,'29'!$I$7:$I$100,1)</f>
        <v>0</v>
      </c>
      <c r="D353" s="1315">
        <f>SUMIFS('12'!$N$7:$N$100,'12'!$H$7:$H$100,$A353,'12'!$I$7:$I$100,2)+SUMIFS('13'!$N$7:$N$100,'13'!$H$7:$H$100,$A353,'13'!$I$7:$I$100,2)+SUMIFS('14'!$N$7:$N$100,'14'!$H$7:$H$100,$A353,'14'!$I$7:$I$100,2)+SUMIFS('15'!$N$7:$N$100,'15'!$H$7:$H$100,$A353,'15'!$I$7:$I$100,2)+SUMIFS('15a'!$N$7:$N$100,'15a'!$H$7:$H$100,$A353,'15a'!$I$7:$I$100,2)+SUMIFS('15b'!$N$7:$N$100,'15b'!$H$7:$H$100,$A353,'15b'!$I$7:$I$100,2)+SUMIFS('15c'!$N$7:$N$100,'15c'!$H$7:$H$100,$A353,'15c'!$I$7:$I$100,2)+SUMIFS('15d'!$N$7:$N$100,'15d'!$H$7:$H$100,$A353,'15d'!$I$7:$I$100,2)+SUMIFS('15e'!$N$7:$N$100,'15e'!$H$7:$H$100,$A353,'15e'!$I$7:$I$100,2)+SUMIFS('15f'!$N$7:$N$100,'15f'!$H$7:$H$100,$A353,'15f'!$I$7:$I$100,2)+SUMIFS('15g'!$N$7:$N$100,'15g'!$H$7:$H$100,$A353,'15g'!$I$7:$I$100,2)+SUMIFS('15h'!$N$7:$N$100,'15h'!$H$7:$H$100,$A353,'15h'!$I$7:$I$100,2)+SUMIFS('15i'!$N$7:$N$100,'15i'!$H$7:$H$100,$A353,'15i'!$I$7:$I$100,2)+SUMIFS('15j'!$N$7:$N$100,'15j'!$H$7:$H$100,$A353,'15j'!$I$7:$I$100,2)+SUMIFS('15k'!$N$7:$N$100,'15k'!$H$7:$H$100,$A353,'15k'!$I$7:$I$100,2)+SUMIFS('15l'!$N$7:$N$100,'15l'!$H$7:$H$100,$A353,'15l'!$I$7:$I$100,2)+SUMIFS('15m'!$N$7:$N$100,'15m'!$H$7:$H$100,$A353,'15m'!$I$7:$I$100,2)+SUMIFS('15n'!$N$7:$N$100,'15n'!$H$7:$H$100,$A353,'15n'!$I$7:$I$100,2)+SUMIFS('16'!$N$7:$N$100,'16'!$H$7:$H$100,$A353,'16'!$I$7:$I$100,2)+SUMIFS('16a'!$N$7:$N$100,'16a'!$H$7:$H$100,$A353,'16a'!$I$7:$I$100,2)+SUMIFS('17'!$N$7:$N$100,'17'!$H$7:$H$100,$A353,'17'!$I$7:$I$100,2)+SUMIFS('17a'!$N$7:$N$100,'17a'!$H$7:$H$100,$A353,'17a'!$I$7:$I$100,2)+SUMIFS('18'!$N$7:$N$100,'18'!$H$7:$H$100,$A353,'18'!$I$7:$I$100,2)+SUMIFS('18a'!$N$7:$N$100,'18a'!$H$7:$H$100,$A353,'18a'!$I$7:$I$100,2)
+SUMIFS('19'!$N$7:$N$100,'19'!$H$7:$H$100,$A353,'19'!$I$7:$I$100,2)+SUMIFS('20'!$N$7:$N$100,'20'!$H$7:$H$100,$A353,'20'!$I$7:$I$100,2)+SUMIFS('20a'!$N$7:$N$100,'20a'!$H$7:$H$100,$A353,'20a'!$I$7:$I$100,2)+SUMIFS('21'!$N$7:$N$100,'21'!$H$7:$H$100,$A353,'21'!$I$7:$I$100,2)+SUMIFS('22'!$N$7:$N$100,'22'!$H$7:$H$100,$A353,'22'!$I$7:$I$100,2)+SUMIFS('22a'!$N$7:$N$100,'22a'!$H$7:$H$100,$A353,'22a'!$I$7:$I$100,2)+SUMIFS('22b'!$N$7:$N$100,'22b'!$H$7:$H$100,$A353,'22b'!$I$7:$I$100,2)+SUMIFS('23'!$N$7:$N$100,'23'!$H$7:$H$100,$A353,'23'!$I$7:$I$100,2)+SUMIFS('24'!$N$7:$N$100,'24'!$H$7:$H$100,$A353,'24'!$I$7:$I$100,2)+SUMIFS('24a'!$N$7:$N$100,'24a'!$H$7:$H$100,$A353,'24a'!$I$7:$I$100,2)+SUMIFS('24b'!$N$7:$N$100,'24b'!$H$7:$H$100,$A353,'24b'!$I$7:$I$100,2)+SUMIFS('24c'!$N$7:$N$100,'24c'!$H$7:$H$100,$A353,'24c'!$I$7:$I$100,2)+SUMIFS('24d'!$N$7:$N$100,'24d'!$H$7:$H$100,$A353,'24d'!$I$7:$I$100,2)+SUMIFS('24e'!$N$7:$N$100,'24e'!$H$7:$H$100,$A353,'24e'!$I$7:$I$100,2)+SUMIFS('24f'!$N$7:$N$100,'24f'!$H$7:$H$100,$A353,'24f'!$I$7:$I$100,2)+SUMIFS('24g'!$N$7:$N$100,'24g'!$H$7:$H$100,$A353,'24g'!$I$7:$I$100,2)+SUMIFS('24h'!$N$7:$N$100,'24h'!$H$7:$H$100,$A353,'24h'!$I$7:$I$100,2)+SUMIFS('24i'!$N$7:$N$100,'24i'!$H$7:$H$100,$A353,'24i'!$I$7:$I$100,2)+SUMIFS('25'!$N$7:$N$100,'25'!$H$7:$H$100,$A353,'25'!$I$7:$I$100,2)+SUMIFS('26'!$N$7:$N$100,'26'!$H$7:$H$100,$A353,'26'!$I$7:$I$100,2)+SUMIFS('26a'!$N$7:$N$100,'26a'!$H$7:$H$100,$A353,'26a'!$I$7:$I$100,2)+SUMIFS('27'!$N$7:$N$100,'27'!$H$7:$H$100,$A353,'27'!$I$7:$I$100,2)+SUMIFS('27a'!$N$7:$N$100,'27a'!$H$7:$H$100,$A353,'27a'!$I$7:$I$100,2)+SUMIFS('28'!$N$7:$N$100,'28'!$H$7:$H$100,$A353,'28'!$I$7:$I$100,2)+SUMIFS('29'!$N$7:$N$100,'29'!$H$7:$H$100,$A353,'29'!$I$7:$I$100,2)</f>
        <v>0</v>
      </c>
      <c r="E353" s="1315">
        <f>SUMIFS('12'!$N$7:$N$100,'12'!$H$7:$H$100,$A353,'12'!$I$7:$I$100,"")+SUMIFS('13'!$N$7:$N$100,'13'!$H$7:$H$100,$A353,'13'!$I$7:$I$100,"")+SUMIFS('14'!$N$7:$N$100,'14'!$H$7:$H$100,$A353,'14'!$I$7:$I$100,"")+SUMIFS('15'!$N$7:$N$100,'15'!$H$7:$H$100,$A353,'15'!$I$7:$I$100,"")+SUMIFS('15a'!$N$7:$N$100,'15a'!$H$7:$H$100,$A353,'15a'!$I$7:$I$100,"")+SUMIFS('15b'!$N$7:$N$100,'15b'!$H$7:$H$100,$A353,'15b'!$I$7:$I$100,"")+SUMIFS('15c'!$N$7:$N$100,'15c'!$H$7:$H$100,$A353,'15c'!$I$7:$I$100,"")+SUMIFS('15d'!$N$7:$N$100,'15d'!$H$7:$H$100,$A353,'15d'!$I$7:$I$100,"")+SUMIFS('15e'!$N$7:$N$100,'15e'!$H$7:$H$100,$A353,'15e'!$I$7:$I$100,"")+SUMIFS('15f'!$N$7:$N$100,'15f'!$H$7:$H$100,$A353,'15f'!$I$7:$I$100,"")+SUMIFS('15g'!$N$7:$N$100,'15g'!$H$7:$H$100,$A353,'15g'!$I$7:$I$100,"")+SUMIFS('15h'!$N$7:$N$100,'15h'!$H$7:$H$100,$A353,'15h'!$I$7:$I$100,"")+SUMIFS('15i'!$N$7:$N$100,'15i'!$H$7:$H$100,$A353,'15i'!$I$7:$I$100,"")+SUMIFS('15j'!$N$7:$N$100,'15j'!$H$7:$H$100,$A353,'15j'!$I$7:$I$100,"")+SUMIFS('15k'!$N$7:$N$100,'15k'!$H$7:$H$100,$A353,'15k'!$I$7:$I$100,"")+SUMIFS('15l'!$N$7:$N$100,'15l'!$H$7:$H$100,$A353,'15l'!$I$7:$I$100,"")+SUMIFS('15m'!$N$7:$N$100,'15m'!$H$7:$H$100,$A353,'15m'!$I$7:$I$100,"")+SUMIFS('15n'!$N$7:$N$100,'15n'!$H$7:$H$100,$A353,'15n'!$I$7:$I$100,"")+SUMIFS('16'!$N$7:$N$100,'16'!$H$7:$H$100,$A353,'16'!$I$7:$I$100,"")+SUMIFS('16a'!$N$7:$N$100,'16a'!$H$7:$H$100,$A353,'16a'!$I$7:$I$100,"")+SUMIFS('17'!$N$7:$N$100,'17'!$H$7:$H$100,$A353,'17'!$I$7:$I$100,"")+SUMIFS('17a'!$N$7:$N$100,'17a'!$H$7:$H$100,$A353,'17a'!$I$7:$I$100,"")+SUMIFS('18'!$N$7:$N$100,'18'!$H$7:$H$100,$A353,'18'!$I$7:$I$100,"")+SUMIFS('18a'!$N$7:$N$100,'18a'!$H$7:$H$100,$A353,'18a'!$I$7:$I$100,"")
+SUMIFS('19'!$N$7:$N$100,'19'!$H$7:$H$100,$A353,'19'!$I$7:$I$100,"")+SUMIFS('20'!$N$7:$N$100,'20'!$H$7:$H$100,$A353,'20'!$I$7:$I$100,"")+SUMIFS('20a'!$N$7:$N$100,'20a'!$H$7:$H$100,$A353,'20a'!$I$7:$I$100,"")+SUMIFS('21'!$N$7:$N$100,'21'!$H$7:$H$100,$A353,'21'!$I$7:$I$100,"")+SUMIFS('22'!$N$7:$N$100,'22'!$H$7:$H$100,$A353,'22'!$I$7:$I$100,"")+SUMIFS('22a'!$N$7:$N$100,'22a'!$H$7:$H$100,$A353,'22a'!$I$7:$I$100,"")+SUMIFS('22b'!$N$7:$N$100,'22b'!$H$7:$H$100,$A353,'22b'!$I$7:$I$100,"")+SUMIFS('23'!$N$7:$N$100,'23'!$H$7:$H$100,$A353,'23'!$I$7:$I$100,"")+SUMIFS('24'!$N$7:$N$100,'24'!$H$7:$H$100,$A353,'24'!$I$7:$I$100,"")+SUMIFS('24a'!$N$7:$N$100,'24a'!$H$7:$H$100,$A353,'24a'!$I$7:$I$100,"")+SUMIFS('24b'!$N$7:$N$100,'24b'!$H$7:$H$100,$A353,'24b'!$I$7:$I$100,"")+SUMIFS('24c'!$N$7:$N$100,'24c'!$H$7:$H$100,$A353,'24c'!$I$7:$I$100,"")+SUMIFS('24d'!$N$7:$N$100,'24d'!$H$7:$H$100,$A353,'24d'!$I$7:$I$100,"")+SUMIFS('24e'!$N$7:$N$100,'24e'!$H$7:$H$100,$A353,'24e'!$I$7:$I$100,"")+SUMIFS('24f'!$N$7:$N$100,'24f'!$H$7:$H$100,$A353,'24f'!$I$7:$I$100,"")+SUMIFS('24g'!$N$7:$N$100,'24g'!$H$7:$H$100,$A353,'24g'!$I$7:$I$100,"")+SUMIFS('24h'!$N$7:$N$100,'24h'!$H$7:$H$100,$A353,'24h'!$I$7:$I$100,"")+SUMIFS('24i'!$N$7:$N$100,'24i'!$H$7:$H$100,$A353,'24i'!$I$7:$I$100,"")+SUMIFS('25'!$N$7:$N$100,'25'!$H$7:$H$100,$A353,'25'!$I$7:$I$100,"")+SUMIFS('26'!$N$7:$N$100,'26'!$H$7:$H$100,$A353,'26'!$I$7:$I$100,"")+SUMIFS('26a'!$N$7:$N$100,'26a'!$H$7:$H$100,$A353,'26a'!$I$7:$I$100,"")+SUMIFS('27'!$N$7:$N$100,'27'!$H$7:$H$100,$A353,'27'!$I$7:$I$100,"")+SUMIFS('27a'!$N$7:$N$100,'27a'!$H$7:$H$100,$A353,'27a'!$I$7:$I$100,"")+SUMIFS('28'!$N$7:$N$100,'28'!$H$7:$H$100,$A353,'28'!$I$7:$I$100,"")+SUMIFS('29'!$N$7:$N$100,'29'!$H$7:$H$100,$A353,'29'!$I$7:$I$100,"")</f>
        <v>0</v>
      </c>
      <c r="F353" s="1296">
        <f t="shared" si="50"/>
        <v>0</v>
      </c>
      <c r="G353" s="1295">
        <f>SUMIFS('12'!$J$7:$J$100,'12'!$H$7:$H$100,$A353,'12'!$I$7:$I$100,1)+SUMIFS('13'!$J$7:$J$100,'13'!$H$7:$H$100,$A353,'13'!$I$7:$I$100,1)+SUMIFS('14'!$J$7:$J$100,'14'!$H$7:$H$100,$A353,'14'!$I$7:$I$100,1)+SUMIFS('15'!$J$7:$J$100,'15'!$H$7:$H$100,$A353,'15'!$I$7:$I$100,1)+SUMIFS('15a'!$J$7:$J$100,'15a'!$H$7:$H$100,$A353,'15a'!$I$7:$I$100,1)+SUMIFS('15b'!$J$7:$J$100,'15b'!$H$7:$H$100,$A353,'15b'!$I$7:$I$100,1)+SUMIFS('15c'!$J$7:$J$100,'15c'!$H$7:$H$100,$A353,'15c'!$I$7:$I$100,1)+SUMIFS('15d'!$J$7:$J$100,'15d'!$H$7:$H$100,$A353,'15d'!$I$7:$I$100,1)+SUMIFS('15e'!$J$7:$J$100,'15e'!$H$7:$H$100,$A353,'15e'!$I$7:$I$100,1)+SUMIFS('15f'!$J$7:$J$100,'15f'!$H$7:$H$100,$A353,'15f'!$I$7:$I$100,1)+SUMIFS('15g'!$J$7:$J$100,'15g'!$H$7:$H$100,$A353,'15g'!$I$7:$I$100,1)+SUMIFS('15h'!$J$7:$J$100,'15h'!$H$7:$H$100,$A353,'15h'!$I$7:$I$100,1)+SUMIFS('15i'!$J$7:$J$100,'15i'!$H$7:$H$100,$A353,'15i'!$I$7:$I$100,1)+SUMIFS('15j'!$J$7:$J$100,'15j'!$H$7:$H$100,$A353,'15j'!$I$7:$I$100,1)+SUMIFS('15k'!$J$7:$J$100,'15k'!$H$7:$H$100,$A353,'15k'!$I$7:$I$100,1)+SUMIFS('15l'!$J$7:$J$100,'15l'!$H$7:$H$100,$A353,'15l'!$I$7:$I$100,1)+SUMIFS('15m'!$J$7:$J$100,'15m'!$H$7:$H$100,$A353,'15m'!$I$7:$I$100,1)+SUMIFS('15n'!$J$7:$J$100,'15n'!$H$7:$H$100,$A353,'15n'!$I$7:$I$100,1)+SUMIFS('16'!$J$7:$J$100,'16'!$H$7:$H$100,$A353,'16'!$I$7:$I$100,1)+SUMIFS('16a'!$J$7:$J$100,'16a'!$H$7:$H$100,$A353,'16a'!$I$7:$I$100,1)+SUMIFS('17'!$J$7:$J$100,'17'!$H$7:$H$100,$A353,'17'!$I$7:$I$100,1)+SUMIFS('17a'!$J$7:$J$100,'17a'!$H$7:$H$100,$A353,'17a'!$I$7:$I$100,1)+SUMIFS('18'!$J$7:$J$100,'18'!$H$7:$H$100,$A353,'18'!$I$7:$I$100,1)+SUMIFS('18a'!$J$7:$J$100,'18a'!$H$7:$H$100,$A353,'18a'!$I$7:$I$100,1)
+SUMIFS('19'!$J$7:$J$100,'19'!$H$7:$H$100,$A353,'19'!$I$7:$I$100,1)+SUMIFS('20'!$J$7:$J$100,'20'!$H$7:$H$100,$A353,'20'!$I$7:$I$100,1)+SUMIFS('20a'!$J$7:$J$100,'20a'!$H$7:$H$100,$A353,'20a'!$I$7:$I$100,1)+SUMIFS('21'!$J$7:$J$100,'21'!$H$7:$H$100,$A353,'21'!$I$7:$I$100,1)+SUMIFS('22'!$J$7:$J$100,'22'!$H$7:$H$100,$A353,'22'!$I$7:$I$100,1)+SUMIFS('22a'!$J$7:$J$100,'22a'!$H$7:$H$100,$A353,'22a'!$I$7:$I$100,1)+SUMIFS('22b'!$J$7:$J$100,'22b'!$H$7:$H$100,$A353,'22b'!$I$7:$I$100,1)+SUMIFS('23'!$J$7:$J$100,'23'!$H$7:$H$100,$A353,'23'!$I$7:$I$100,1)+SUMIFS('24'!$J$7:$J$100,'24'!$H$7:$H$100,$A353,'24'!$I$7:$I$100,1)+SUMIFS('24a'!$J$7:$J$100,'24a'!$H$7:$H$100,$A353,'24a'!$I$7:$I$100,1)+SUMIFS('24b'!$J$7:$J$100,'24b'!$H$7:$H$100,$A353,'24b'!$I$7:$I$100,1)+SUMIFS('24c'!$J$7:$J$100,'24c'!$H$7:$H$100,$A353,'24c'!$I$7:$I$100,1)+SUMIFS('24d'!$J$7:$J$100,'24d'!$H$7:$H$100,$A353,'24d'!$I$7:$I$100,1)+SUMIFS('24e'!$J$7:$J$100,'24e'!$H$7:$H$100,$A353,'24e'!$I$7:$I$100,1)+SUMIFS('24f'!$J$7:$J$100,'24f'!$H$7:$H$100,$A353,'24f'!$I$7:$I$100,1)+SUMIFS('24g'!$J$7:$J$100,'24g'!$H$7:$H$100,$A353,'24g'!$I$7:$I$100,1)+SUMIFS('24h'!$J$7:$J$100,'24h'!$H$7:$H$100,$A353,'24h'!$I$7:$I$100,1)+SUMIFS('24i'!$J$7:$J$100,'24i'!$H$7:$H$100,$A353,'24i'!$I$7:$I$100,1)+SUMIFS('25'!$J$7:$J$100,'25'!$H$7:$H$100,$A353,'25'!$I$7:$I$100,1)+SUMIFS('26'!$J$7:$J$100,'26'!$H$7:$H$100,$A353,'26'!$I$7:$I$100,1)+SUMIFS('26a'!$J$7:$J$100,'26a'!$H$7:$H$100,$A353,'26a'!$I$7:$I$100,1)+SUMIFS('27'!$J$7:$J$100,'27'!$H$7:$H$100,$A353,'27'!$I$7:$I$100,1)+SUMIFS('27a'!$J$7:$J$100,'27a'!$H$7:$H$100,$A353,'27a'!$I$7:$I$100,1)+SUMIFS('28'!$J$7:$J$100,'28'!$H$7:$H$100,$A353,'28'!$I$7:$I$100,1)+SUMIFS('29'!$J$7:$J$100,'29'!$H$7:$H$100,$A353,'29'!$I$7:$I$100,1)</f>
        <v>0</v>
      </c>
      <c r="H353" s="1315">
        <f>SUMIFS('12'!$J$7:$J$100,'12'!$H$7:$H$100,$A353,'12'!$I$7:$I$100,2)+SUMIFS('13'!$J$7:$J$100,'13'!$H$7:$H$100,$A353,'13'!$I$7:$I$100,2)+SUMIFS('14'!$J$7:$J$100,'14'!$H$7:$H$100,$A353,'14'!$I$7:$I$100,2)+SUMIFS('15'!$J$7:$J$100,'15'!$H$7:$H$100,$A353,'15'!$I$7:$I$100,2)+SUMIFS('15a'!$J$7:$J$100,'15a'!$H$7:$H$100,$A353,'15a'!$I$7:$I$100,2)+SUMIFS('15b'!$J$7:$J$100,'15b'!$H$7:$H$100,$A353,'15b'!$I$7:$I$100,2)+SUMIFS('15c'!$J$7:$J$100,'15c'!$H$7:$H$100,$A353,'15c'!$I$7:$I$100,2)+SUMIFS('15d'!$J$7:$J$100,'15d'!$H$7:$H$100,$A353,'15d'!$I$7:$I$100,2)+SUMIFS('15e'!$J$7:$J$100,'15e'!$H$7:$H$100,$A353,'15e'!$I$7:$I$100,2)+SUMIFS('15f'!$J$7:$J$100,'15f'!$H$7:$H$100,$A353,'15f'!$I$7:$I$100,2)+SUMIFS('15g'!$J$7:$J$100,'15g'!$H$7:$H$100,$A353,'15g'!$I$7:$I$100,2)+SUMIFS('15h'!$J$7:$J$100,'15h'!$H$7:$H$100,$A353,'15h'!$I$7:$I$100,2)+SUMIFS('15i'!$J$7:$J$100,'15i'!$H$7:$H$100,$A353,'15i'!$I$7:$I$100,2)+SUMIFS('15j'!$J$7:$J$100,'15j'!$H$7:$H$100,$A353,'15j'!$I$7:$I$100,2)+SUMIFS('15k'!$J$7:$J$100,'15k'!$H$7:$H$100,$A353,'15k'!$I$7:$I$100,2)+SUMIFS('15l'!$J$7:$J$100,'15l'!$H$7:$H$100,$A353,'15l'!$I$7:$I$100,2)+SUMIFS('15m'!$J$7:$J$100,'15m'!$H$7:$H$100,$A353,'15m'!$I$7:$I$100,2)+SUMIFS('15n'!$J$7:$J$100,'15n'!$H$7:$H$100,$A353,'15n'!$I$7:$I$100,2)+SUMIFS('16'!$J$7:$J$100,'16'!$H$7:$H$100,$A353,'16'!$I$7:$I$100,2)+SUMIFS('16a'!$J$7:$J$100,'16a'!$H$7:$H$100,$A353,'16a'!$I$7:$I$100,2)+SUMIFS('17'!$J$7:$J$100,'17'!$H$7:$H$100,$A353,'17'!$I$7:$I$100,2)+SUMIFS('17a'!$J$7:$J$100,'17a'!$H$7:$H$100,$A353,'17a'!$I$7:$I$100,2)+SUMIFS('18'!$J$7:$J$100,'18'!$H$7:$H$100,$A353,'18'!$I$7:$I$100,2)+SUMIFS('18a'!$J$7:$J$100,'18a'!$H$7:$H$100,$A353,'18a'!$I$7:$I$100,2)
+SUMIFS('19'!$J$7:$J$100,'19'!$H$7:$H$100,$A353,'19'!$I$7:$I$100,2)+SUMIFS('20'!$J$7:$J$100,'20'!$H$7:$H$100,$A353,'20'!$I$7:$I$100,2)+SUMIFS('20a'!$J$7:$J$100,'20a'!$H$7:$H$100,$A353,'20a'!$I$7:$I$100,2)+SUMIFS('21'!$J$7:$J$100,'21'!$H$7:$H$100,$A353,'21'!$I$7:$I$100,2)+SUMIFS('22'!$J$7:$J$100,'22'!$H$7:$H$100,$A353,'22'!$I$7:$I$100,2)+SUMIFS('22a'!$J$7:$J$100,'22a'!$H$7:$H$100,$A353,'22a'!$I$7:$I$100,2)+SUMIFS('22b'!$J$7:$J$100,'22b'!$H$7:$H$100,$A353,'22b'!$I$7:$I$100,2)+SUMIFS('23'!$J$7:$J$100,'23'!$H$7:$H$100,$A353,'23'!$I$7:$I$100,2)+SUMIFS('24'!$J$7:$J$100,'24'!$H$7:$H$100,$A353,'24'!$I$7:$I$100,2)+SUMIFS('24a'!$J$7:$J$100,'24a'!$H$7:$H$100,$A353,'24a'!$I$7:$I$100,2)+SUMIFS('24b'!$J$7:$J$100,'24b'!$H$7:$H$100,$A353,'24b'!$I$7:$I$100,2)+SUMIFS('24c'!$J$7:$J$100,'24c'!$H$7:$H$100,$A353,'24c'!$I$7:$I$100,2)+SUMIFS('24d'!$J$7:$J$100,'24d'!$H$7:$H$100,$A353,'24d'!$I$7:$I$100,2)+SUMIFS('24e'!$J$7:$J$100,'24e'!$H$7:$H$100,$A353,'24e'!$I$7:$I$100,2)+SUMIFS('24f'!$J$7:$J$100,'24f'!$H$7:$H$100,$A353,'24f'!$I$7:$I$100,2)+SUMIFS('24g'!$J$7:$J$100,'24g'!$H$7:$H$100,$A353,'24g'!$I$7:$I$100,2)+SUMIFS('24h'!$J$7:$J$100,'24h'!$H$7:$H$100,$A353,'24h'!$I$7:$I$100,2)+SUMIFS('24i'!$J$7:$J$100,'24i'!$H$7:$H$100,$A353,'24i'!$I$7:$I$100,2)+SUMIFS('25'!$J$7:$J$100,'25'!$H$7:$H$100,$A353,'25'!$I$7:$I$100,2)+SUMIFS('26'!$J$7:$J$100,'26'!$H$7:$H$100,$A353,'26'!$I$7:$I$100,2)+SUMIFS('26a'!$J$7:$J$100,'26a'!$H$7:$H$100,$A353,'26a'!$I$7:$I$100,2)+SUMIFS('27'!$J$7:$J$100,'27'!$H$7:$H$100,$A353,'27'!$I$7:$I$100,2)+SUMIFS('27a'!$J$7:$J$100,'27a'!$H$7:$H$100,$A353,'27a'!$I$7:$I$100,2)+SUMIFS('28'!$J$7:$J$100,'28'!$H$7:$H$100,$A353,'28'!$I$7:$I$100,2)+SUMIFS('29'!$J$7:$J$100,'29'!$H$7:$H$100,$A353,'29'!$I$7:$I$100,2)</f>
        <v>0</v>
      </c>
      <c r="I353" s="1315">
        <f>SUMIFS('12'!$J$7:$J$100,'12'!$H$7:$H$100,$A353,'12'!$I$7:$I$100,"")+SUMIFS('13'!$J$7:$J$100,'13'!$H$7:$H$100,$A353,'13'!$I$7:$I$100,"")+SUMIFS('14'!$J$7:$J$100,'14'!$H$7:$H$100,$A353,'14'!$I$7:$I$100,"")+SUMIFS('15'!$J$7:$J$100,'15'!$H$7:$H$100,$A353,'15'!$I$7:$I$100,"")+SUMIFS('15a'!$J$7:$J$100,'15a'!$H$7:$H$100,$A353,'15a'!$I$7:$I$100,"")+SUMIFS('15b'!$J$7:$J$100,'15b'!$H$7:$H$100,$A353,'15b'!$I$7:$I$100,"")+SUMIFS('15c'!$J$7:$J$100,'15c'!$H$7:$H$100,$A353,'15c'!$I$7:$I$100,"")+SUMIFS('15d'!$J$7:$J$100,'15d'!$H$7:$H$100,$A353,'15d'!$I$7:$I$100,"")+SUMIFS('15e'!$J$7:$J$100,'15e'!$H$7:$H$100,$A353,'15e'!$I$7:$I$100,"")+SUMIFS('15f'!$J$7:$J$100,'15f'!$H$7:$H$100,$A353,'15f'!$I$7:$I$100,"")+SUMIFS('15g'!$J$7:$J$100,'15g'!$H$7:$H$100,$A353,'15g'!$I$7:$I$100,"")+SUMIFS('15h'!$J$7:$J$100,'15h'!$H$7:$H$100,$A353,'15h'!$I$7:$I$100,"")+SUMIFS('15i'!$J$7:$J$100,'15i'!$H$7:$H$100,$A353,'15i'!$I$7:$I$100,"")+SUMIFS('15j'!$J$7:$J$100,'15j'!$H$7:$H$100,$A353,'15j'!$I$7:$I$100,"")+SUMIFS('15k'!$J$7:$J$100,'15k'!$H$7:$H$100,$A353,'15k'!$I$7:$I$100,"")+SUMIFS('15l'!$J$7:$J$100,'15l'!$H$7:$H$100,$A353,'15l'!$I$7:$I$100,"")+SUMIFS('15m'!$J$7:$J$100,'15m'!$H$7:$H$100,$A353,'15m'!$I$7:$I$100,"")+SUMIFS('15n'!$J$7:$J$100,'15n'!$H$7:$H$100,$A353,'15n'!$I$7:$I$100,"")+SUMIFS('16'!$J$7:$J$100,'16'!$H$7:$H$100,$A353,'16'!$I$7:$I$100,"")+SUMIFS('16a'!$J$7:$J$100,'16a'!$H$7:$H$100,$A353,'16a'!$I$7:$I$100,"")+SUMIFS('17'!$J$7:$J$100,'17'!$H$7:$H$100,$A353,'17'!$I$7:$I$100,"")+SUMIFS('17a'!$J$7:$J$100,'17a'!$H$7:$H$100,$A353,'17a'!$I$7:$I$100,"")+SUMIFS('18'!$J$7:$J$100,'18'!$H$7:$H$100,$A353,'18'!$I$7:$I$100,"")+SUMIFS('18a'!$J$7:$J$100,'18a'!$H$7:$H$100,$A353,'18a'!$I$7:$I$100,"")
+SUMIFS('19'!$J$7:$J$100,'19'!$H$7:$H$100,$A353,'19'!$I$7:$I$100,"")+SUMIFS('20'!$J$7:$J$100,'20'!$H$7:$H$100,$A353,'20'!$I$7:$I$100,"")+SUMIFS('20a'!$J$7:$J$100,'20a'!$H$7:$H$100,$A353,'20a'!$I$7:$I$100,"")+SUMIFS('21'!$J$7:$J$100,'21'!$H$7:$H$100,$A353,'21'!$I$7:$I$100,"")+SUMIFS('22'!$J$7:$J$100,'22'!$H$7:$H$100,$A353,'22'!$I$7:$I$100,"")+SUMIFS('22a'!$J$7:$J$100,'22a'!$H$7:$H$100,$A353,'22a'!$I$7:$I$100,"")+SUMIFS('22b'!$J$7:$J$100,'22b'!$H$7:$H$100,$A353,'22b'!$I$7:$I$100,"")+SUMIFS('23'!$J$7:$J$100,'23'!$H$7:$H$100,$A353,'23'!$I$7:$I$100,"")+SUMIFS('24'!$J$7:$J$100,'24'!$H$7:$H$100,$A353,'24'!$I$7:$I$100,"")+SUMIFS('24a'!$J$7:$J$100,'24a'!$H$7:$H$100,$A353,'24a'!$I$7:$I$100,"")+SUMIFS('24b'!$J$7:$J$100,'24b'!$H$7:$H$100,$A353,'24b'!$I$7:$I$100,"")+SUMIFS('24c'!$J$7:$J$100,'24c'!$H$7:$H$100,$A353,'24c'!$I$7:$I$100,"")+SUMIFS('24d'!$J$7:$J$100,'24d'!$H$7:$H$100,$A353,'24d'!$I$7:$I$100,"")+SUMIFS('24e'!$J$7:$J$100,'24e'!$H$7:$H$100,$A353,'24e'!$I$7:$I$100,"")+SUMIFS('24f'!$J$7:$J$100,'24f'!$H$7:$H$100,$A353,'24f'!$I$7:$I$100,"")+SUMIFS('24g'!$J$7:$J$100,'24g'!$H$7:$H$100,$A353,'24g'!$I$7:$I$100,"")+SUMIFS('24h'!$J$7:$J$100,'24h'!$H$7:$H$100,$A353,'24h'!$I$7:$I$100,"")+SUMIFS('24i'!$J$7:$J$100,'24i'!$H$7:$H$100,$A353,'24i'!$I$7:$I$100,"")+SUMIFS('25'!$J$7:$J$100,'25'!$H$7:$H$100,$A353,'25'!$I$7:$I$100,"")+SUMIFS('26'!$J$7:$J$100,'26'!$H$7:$H$100,$A353,'26'!$I$7:$I$100,"")+SUMIFS('26a'!$J$7:$J$100,'26a'!$H$7:$H$100,$A353,'26a'!$I$7:$I$100,"")+SUMIFS('27'!$J$7:$J$100,'27'!$H$7:$H$100,$A353,'27'!$I$7:$I$100,"")+SUMIFS('27a'!$J$7:$J$100,'27a'!$H$7:$H$100,$A353,'27a'!$I$7:$I$100,"")+SUMIFS('28'!$J$7:$J$100,'28'!$H$7:$H$100,$A353,'28'!$I$7:$I$100,"")+SUMIFS('29'!$J$7:$J$100,'29'!$H$7:$H$100,$A353,'29'!$I$7:$I$100,"")</f>
        <v>0</v>
      </c>
      <c r="J353" s="1296">
        <f t="shared" si="51"/>
        <v>0</v>
      </c>
      <c r="K353"/>
      <c r="L353"/>
      <c r="M353"/>
      <c r="N353"/>
      <c r="O353"/>
      <c r="P353"/>
      <c r="Q353"/>
      <c r="R353"/>
      <c r="S353" s="1307">
        <f t="shared" si="48"/>
        <v>0</v>
      </c>
      <c r="T353"/>
    </row>
    <row r="354" spans="1:20" x14ac:dyDescent="0.2">
      <c r="A354" t="s">
        <v>539</v>
      </c>
      <c r="B354" t="s">
        <v>5548</v>
      </c>
      <c r="C354" s="1295">
        <f>SUMIFS('12'!$N$7:$N$100,'12'!$H$7:$H$100,$A354,'12'!$I$7:$I$100,1)+SUMIFS('13'!$N$7:$N$100,'13'!$H$7:$H$100,$A354,'13'!$I$7:$I$100,1)+SUMIFS('14'!$N$7:$N$100,'14'!$H$7:$H$100,$A354,'14'!$I$7:$I$100,1)+SUMIFS('15'!$N$7:$N$100,'15'!$H$7:$H$100,$A354,'15'!$I$7:$I$100,1)+SUMIFS('15a'!$N$7:$N$100,'15a'!$H$7:$H$100,$A354,'15a'!$I$7:$I$100,1)+SUMIFS('15b'!$N$7:$N$100,'15b'!$H$7:$H$100,$A354,'15b'!$I$7:$I$100,1)+SUMIFS('15c'!$N$7:$N$100,'15c'!$H$7:$H$100,$A354,'15c'!$I$7:$I$100,1)+SUMIFS('15d'!$N$7:$N$100,'15d'!$H$7:$H$100,$A354,'15d'!$I$7:$I$100,1)+SUMIFS('15e'!$N$7:$N$100,'15e'!$H$7:$H$100,$A354,'15e'!$I$7:$I$100,1)+SUMIFS('15f'!$N$7:$N$100,'15f'!$H$7:$H$100,$A354,'15f'!$I$7:$I$100,1)+SUMIFS('15g'!$N$7:$N$100,'15g'!$H$7:$H$100,$A354,'15g'!$I$7:$I$100,1)+SUMIFS('15h'!$N$7:$N$100,'15h'!$H$7:$H$100,$A354,'15h'!$I$7:$I$100,1)+SUMIFS('15i'!$N$7:$N$100,'15i'!$H$7:$H$100,$A354,'15i'!$I$7:$I$100,1)+SUMIFS('15j'!$N$7:$N$100,'15j'!$H$7:$H$100,$A354,'15j'!$I$7:$I$100,1)+SUMIFS('15k'!$N$7:$N$100,'15k'!$H$7:$H$100,$A354,'15k'!$I$7:$I$100,1)+SUMIFS('15l'!$N$7:$N$100,'15l'!$H$7:$H$100,$A354,'15l'!$I$7:$I$100,1)+SUMIFS('15m'!$N$7:$N$100,'15m'!$H$7:$H$100,$A354,'15m'!$I$7:$I$100,1)+SUMIFS('15n'!$N$7:$N$100,'15n'!$H$7:$H$100,$A354,'15n'!$I$7:$I$100,1)+SUMIFS('16'!$N$7:$N$100,'16'!$H$7:$H$100,$A354,'16'!$I$7:$I$100,1)+SUMIFS('16a'!$N$7:$N$100,'16a'!$H$7:$H$100,$A354,'16a'!$I$7:$I$100,1)+SUMIFS('17'!$N$7:$N$100,'17'!$H$7:$H$100,$A354,'17'!$I$7:$I$100,1)+SUMIFS('17a'!$N$7:$N$100,'17a'!$H$7:$H$100,$A354,'17a'!$I$7:$I$100,1)+SUMIFS('18'!$N$7:$N$100,'18'!$H$7:$H$100,$A354,'18'!$I$7:$I$100,1)+SUMIFS('18a'!$N$7:$N$100,'18a'!$H$7:$H$100,$A354,'18a'!$I$7:$I$100,1)
+SUMIFS('19'!$N$7:$N$100,'19'!$H$7:$H$100,$A354,'19'!$I$7:$I$100,1)+SUMIFS('20'!$N$7:$N$100,'20'!$H$7:$H$100,$A354,'20'!$I$7:$I$100,1)+SUMIFS('20a'!$N$7:$N$100,'20a'!$H$7:$H$100,$A354,'20a'!$I$7:$I$100,1)+SUMIFS('21'!$N$7:$N$100,'21'!$H$7:$H$100,$A354,'21'!$I$7:$I$100,1)+SUMIFS('22'!$N$7:$N$100,'22'!$H$7:$H$100,$A354,'22'!$I$7:$I$100,1)+SUMIFS('22a'!$N$7:$N$100,'22a'!$H$7:$H$100,$A354,'22a'!$I$7:$I$100,1)+SUMIFS('22b'!$N$7:$N$100,'22b'!$H$7:$H$100,$A354,'22b'!$I$7:$I$100,1)+SUMIFS('23'!$N$7:$N$100,'23'!$H$7:$H$100,$A354,'23'!$I$7:$I$100,1)+SUMIFS('24'!$N$7:$N$100,'24'!$H$7:$H$100,$A354,'24'!$I$7:$I$100,1)+SUMIFS('24a'!$N$7:$N$100,'24a'!$H$7:$H$100,$A354,'24a'!$I$7:$I$100,1)+SUMIFS('24b'!$N$7:$N$100,'24b'!$H$7:$H$100,$A354,'24b'!$I$7:$I$100,1)+SUMIFS('24c'!$N$7:$N$100,'24c'!$H$7:$H$100,$A354,'24c'!$I$7:$I$100,1)+SUMIFS('24d'!$N$7:$N$100,'24d'!$H$7:$H$100,$A354,'24d'!$I$7:$I$100,1)+SUMIFS('24e'!$N$7:$N$100,'24e'!$H$7:$H$100,$A354,'24e'!$I$7:$I$100,1)+SUMIFS('24f'!$N$7:$N$100,'24f'!$H$7:$H$100,$A354,'24f'!$I$7:$I$100,1)+SUMIFS('24g'!$N$7:$N$100,'24g'!$H$7:$H$100,$A354,'24g'!$I$7:$I$100,1)+SUMIFS('24h'!$N$7:$N$100,'24h'!$H$7:$H$100,$A354,'24h'!$I$7:$I$100,1)+SUMIFS('24i'!$N$7:$N$100,'24i'!$H$7:$H$100,$A354,'24i'!$I$7:$I$100,1)+SUMIFS('25'!$N$7:$N$100,'25'!$H$7:$H$100,$A354,'25'!$I$7:$I$100,1)+SUMIFS('26'!$N$7:$N$100,'26'!$H$7:$H$100,$A354,'26'!$I$7:$I$100,1)+SUMIFS('26a'!$N$7:$N$100,'26a'!$H$7:$H$100,$A354,'26a'!$I$7:$I$100,1)+SUMIFS('27'!$N$7:$N$100,'27'!$H$7:$H$100,$A354,'27'!$I$7:$I$100,1)+SUMIFS('27a'!$N$7:$N$100,'27a'!$H$7:$H$100,$A354,'27a'!$I$7:$I$100,1)+SUMIFS('28'!$N$7:$N$100,'28'!$H$7:$H$100,$A354,'28'!$I$7:$I$100,1)+SUMIFS('29'!$N$7:$N$100,'29'!$H$7:$H$100,$A354,'29'!$I$7:$I$100,1)</f>
        <v>0</v>
      </c>
      <c r="D354" s="1315">
        <f>SUMIFS('12'!$N$7:$N$100,'12'!$H$7:$H$100,$A354,'12'!$I$7:$I$100,2)+SUMIFS('13'!$N$7:$N$100,'13'!$H$7:$H$100,$A354,'13'!$I$7:$I$100,2)+SUMIFS('14'!$N$7:$N$100,'14'!$H$7:$H$100,$A354,'14'!$I$7:$I$100,2)+SUMIFS('15'!$N$7:$N$100,'15'!$H$7:$H$100,$A354,'15'!$I$7:$I$100,2)+SUMIFS('15a'!$N$7:$N$100,'15a'!$H$7:$H$100,$A354,'15a'!$I$7:$I$100,2)+SUMIFS('15b'!$N$7:$N$100,'15b'!$H$7:$H$100,$A354,'15b'!$I$7:$I$100,2)+SUMIFS('15c'!$N$7:$N$100,'15c'!$H$7:$H$100,$A354,'15c'!$I$7:$I$100,2)+SUMIFS('15d'!$N$7:$N$100,'15d'!$H$7:$H$100,$A354,'15d'!$I$7:$I$100,2)+SUMIFS('15e'!$N$7:$N$100,'15e'!$H$7:$H$100,$A354,'15e'!$I$7:$I$100,2)+SUMIFS('15f'!$N$7:$N$100,'15f'!$H$7:$H$100,$A354,'15f'!$I$7:$I$100,2)+SUMIFS('15g'!$N$7:$N$100,'15g'!$H$7:$H$100,$A354,'15g'!$I$7:$I$100,2)+SUMIFS('15h'!$N$7:$N$100,'15h'!$H$7:$H$100,$A354,'15h'!$I$7:$I$100,2)+SUMIFS('15i'!$N$7:$N$100,'15i'!$H$7:$H$100,$A354,'15i'!$I$7:$I$100,2)+SUMIFS('15j'!$N$7:$N$100,'15j'!$H$7:$H$100,$A354,'15j'!$I$7:$I$100,2)+SUMIFS('15k'!$N$7:$N$100,'15k'!$H$7:$H$100,$A354,'15k'!$I$7:$I$100,2)+SUMIFS('15l'!$N$7:$N$100,'15l'!$H$7:$H$100,$A354,'15l'!$I$7:$I$100,2)+SUMIFS('15m'!$N$7:$N$100,'15m'!$H$7:$H$100,$A354,'15m'!$I$7:$I$100,2)+SUMIFS('15n'!$N$7:$N$100,'15n'!$H$7:$H$100,$A354,'15n'!$I$7:$I$100,2)+SUMIFS('16'!$N$7:$N$100,'16'!$H$7:$H$100,$A354,'16'!$I$7:$I$100,2)+SUMIFS('16a'!$N$7:$N$100,'16a'!$H$7:$H$100,$A354,'16a'!$I$7:$I$100,2)+SUMIFS('17'!$N$7:$N$100,'17'!$H$7:$H$100,$A354,'17'!$I$7:$I$100,2)+SUMIFS('17a'!$N$7:$N$100,'17a'!$H$7:$H$100,$A354,'17a'!$I$7:$I$100,2)+SUMIFS('18'!$N$7:$N$100,'18'!$H$7:$H$100,$A354,'18'!$I$7:$I$100,2)+SUMIFS('18a'!$N$7:$N$100,'18a'!$H$7:$H$100,$A354,'18a'!$I$7:$I$100,2)
+SUMIFS('19'!$N$7:$N$100,'19'!$H$7:$H$100,$A354,'19'!$I$7:$I$100,2)+SUMIFS('20'!$N$7:$N$100,'20'!$H$7:$H$100,$A354,'20'!$I$7:$I$100,2)+SUMIFS('20a'!$N$7:$N$100,'20a'!$H$7:$H$100,$A354,'20a'!$I$7:$I$100,2)+SUMIFS('21'!$N$7:$N$100,'21'!$H$7:$H$100,$A354,'21'!$I$7:$I$100,2)+SUMIFS('22'!$N$7:$N$100,'22'!$H$7:$H$100,$A354,'22'!$I$7:$I$100,2)+SUMIFS('22a'!$N$7:$N$100,'22a'!$H$7:$H$100,$A354,'22a'!$I$7:$I$100,2)+SUMIFS('22b'!$N$7:$N$100,'22b'!$H$7:$H$100,$A354,'22b'!$I$7:$I$100,2)+SUMIFS('23'!$N$7:$N$100,'23'!$H$7:$H$100,$A354,'23'!$I$7:$I$100,2)+SUMIFS('24'!$N$7:$N$100,'24'!$H$7:$H$100,$A354,'24'!$I$7:$I$100,2)+SUMIFS('24a'!$N$7:$N$100,'24a'!$H$7:$H$100,$A354,'24a'!$I$7:$I$100,2)+SUMIFS('24b'!$N$7:$N$100,'24b'!$H$7:$H$100,$A354,'24b'!$I$7:$I$100,2)+SUMIFS('24c'!$N$7:$N$100,'24c'!$H$7:$H$100,$A354,'24c'!$I$7:$I$100,2)+SUMIFS('24d'!$N$7:$N$100,'24d'!$H$7:$H$100,$A354,'24d'!$I$7:$I$100,2)+SUMIFS('24e'!$N$7:$N$100,'24e'!$H$7:$H$100,$A354,'24e'!$I$7:$I$100,2)+SUMIFS('24f'!$N$7:$N$100,'24f'!$H$7:$H$100,$A354,'24f'!$I$7:$I$100,2)+SUMIFS('24g'!$N$7:$N$100,'24g'!$H$7:$H$100,$A354,'24g'!$I$7:$I$100,2)+SUMIFS('24h'!$N$7:$N$100,'24h'!$H$7:$H$100,$A354,'24h'!$I$7:$I$100,2)+SUMIFS('24i'!$N$7:$N$100,'24i'!$H$7:$H$100,$A354,'24i'!$I$7:$I$100,2)+SUMIFS('25'!$N$7:$N$100,'25'!$H$7:$H$100,$A354,'25'!$I$7:$I$100,2)+SUMIFS('26'!$N$7:$N$100,'26'!$H$7:$H$100,$A354,'26'!$I$7:$I$100,2)+SUMIFS('26a'!$N$7:$N$100,'26a'!$H$7:$H$100,$A354,'26a'!$I$7:$I$100,2)+SUMIFS('27'!$N$7:$N$100,'27'!$H$7:$H$100,$A354,'27'!$I$7:$I$100,2)+SUMIFS('27a'!$N$7:$N$100,'27a'!$H$7:$H$100,$A354,'27a'!$I$7:$I$100,2)+SUMIFS('28'!$N$7:$N$100,'28'!$H$7:$H$100,$A354,'28'!$I$7:$I$100,2)+SUMIFS('29'!$N$7:$N$100,'29'!$H$7:$H$100,$A354,'29'!$I$7:$I$100,2)</f>
        <v>0</v>
      </c>
      <c r="E354" s="1315">
        <f>SUMIFS('12'!$N$7:$N$100,'12'!$H$7:$H$100,$A354,'12'!$I$7:$I$100,"")+SUMIFS('13'!$N$7:$N$100,'13'!$H$7:$H$100,$A354,'13'!$I$7:$I$100,"")+SUMIFS('14'!$N$7:$N$100,'14'!$H$7:$H$100,$A354,'14'!$I$7:$I$100,"")+SUMIFS('15'!$N$7:$N$100,'15'!$H$7:$H$100,$A354,'15'!$I$7:$I$100,"")+SUMIFS('15a'!$N$7:$N$100,'15a'!$H$7:$H$100,$A354,'15a'!$I$7:$I$100,"")+SUMIFS('15b'!$N$7:$N$100,'15b'!$H$7:$H$100,$A354,'15b'!$I$7:$I$100,"")+SUMIFS('15c'!$N$7:$N$100,'15c'!$H$7:$H$100,$A354,'15c'!$I$7:$I$100,"")+SUMIFS('15d'!$N$7:$N$100,'15d'!$H$7:$H$100,$A354,'15d'!$I$7:$I$100,"")+SUMIFS('15e'!$N$7:$N$100,'15e'!$H$7:$H$100,$A354,'15e'!$I$7:$I$100,"")+SUMIFS('15f'!$N$7:$N$100,'15f'!$H$7:$H$100,$A354,'15f'!$I$7:$I$100,"")+SUMIFS('15g'!$N$7:$N$100,'15g'!$H$7:$H$100,$A354,'15g'!$I$7:$I$100,"")+SUMIFS('15h'!$N$7:$N$100,'15h'!$H$7:$H$100,$A354,'15h'!$I$7:$I$100,"")+SUMIFS('15i'!$N$7:$N$100,'15i'!$H$7:$H$100,$A354,'15i'!$I$7:$I$100,"")+SUMIFS('15j'!$N$7:$N$100,'15j'!$H$7:$H$100,$A354,'15j'!$I$7:$I$100,"")+SUMIFS('15k'!$N$7:$N$100,'15k'!$H$7:$H$100,$A354,'15k'!$I$7:$I$100,"")+SUMIFS('15l'!$N$7:$N$100,'15l'!$H$7:$H$100,$A354,'15l'!$I$7:$I$100,"")+SUMIFS('15m'!$N$7:$N$100,'15m'!$H$7:$H$100,$A354,'15m'!$I$7:$I$100,"")+SUMIFS('15n'!$N$7:$N$100,'15n'!$H$7:$H$100,$A354,'15n'!$I$7:$I$100,"")+SUMIFS('16'!$N$7:$N$100,'16'!$H$7:$H$100,$A354,'16'!$I$7:$I$100,"")+SUMIFS('16a'!$N$7:$N$100,'16a'!$H$7:$H$100,$A354,'16a'!$I$7:$I$100,"")+SUMIFS('17'!$N$7:$N$100,'17'!$H$7:$H$100,$A354,'17'!$I$7:$I$100,"")+SUMIFS('17a'!$N$7:$N$100,'17a'!$H$7:$H$100,$A354,'17a'!$I$7:$I$100,"")+SUMIFS('18'!$N$7:$N$100,'18'!$H$7:$H$100,$A354,'18'!$I$7:$I$100,"")+SUMIFS('18a'!$N$7:$N$100,'18a'!$H$7:$H$100,$A354,'18a'!$I$7:$I$100,"")
+SUMIFS('19'!$N$7:$N$100,'19'!$H$7:$H$100,$A354,'19'!$I$7:$I$100,"")+SUMIFS('20'!$N$7:$N$100,'20'!$H$7:$H$100,$A354,'20'!$I$7:$I$100,"")+SUMIFS('20a'!$N$7:$N$100,'20a'!$H$7:$H$100,$A354,'20a'!$I$7:$I$100,"")+SUMIFS('21'!$N$7:$N$100,'21'!$H$7:$H$100,$A354,'21'!$I$7:$I$100,"")+SUMIFS('22'!$N$7:$N$100,'22'!$H$7:$H$100,$A354,'22'!$I$7:$I$100,"")+SUMIFS('22a'!$N$7:$N$100,'22a'!$H$7:$H$100,$A354,'22a'!$I$7:$I$100,"")+SUMIFS('22b'!$N$7:$N$100,'22b'!$H$7:$H$100,$A354,'22b'!$I$7:$I$100,"")+SUMIFS('23'!$N$7:$N$100,'23'!$H$7:$H$100,$A354,'23'!$I$7:$I$100,"")+SUMIFS('24'!$N$7:$N$100,'24'!$H$7:$H$100,$A354,'24'!$I$7:$I$100,"")+SUMIFS('24a'!$N$7:$N$100,'24a'!$H$7:$H$100,$A354,'24a'!$I$7:$I$100,"")+SUMIFS('24b'!$N$7:$N$100,'24b'!$H$7:$H$100,$A354,'24b'!$I$7:$I$100,"")+SUMIFS('24c'!$N$7:$N$100,'24c'!$H$7:$H$100,$A354,'24c'!$I$7:$I$100,"")+SUMIFS('24d'!$N$7:$N$100,'24d'!$H$7:$H$100,$A354,'24d'!$I$7:$I$100,"")+SUMIFS('24e'!$N$7:$N$100,'24e'!$H$7:$H$100,$A354,'24e'!$I$7:$I$100,"")+SUMIFS('24f'!$N$7:$N$100,'24f'!$H$7:$H$100,$A354,'24f'!$I$7:$I$100,"")+SUMIFS('24g'!$N$7:$N$100,'24g'!$H$7:$H$100,$A354,'24g'!$I$7:$I$100,"")+SUMIFS('24h'!$N$7:$N$100,'24h'!$H$7:$H$100,$A354,'24h'!$I$7:$I$100,"")+SUMIFS('24i'!$N$7:$N$100,'24i'!$H$7:$H$100,$A354,'24i'!$I$7:$I$100,"")+SUMIFS('25'!$N$7:$N$100,'25'!$H$7:$H$100,$A354,'25'!$I$7:$I$100,"")+SUMIFS('26'!$N$7:$N$100,'26'!$H$7:$H$100,$A354,'26'!$I$7:$I$100,"")+SUMIFS('26a'!$N$7:$N$100,'26a'!$H$7:$H$100,$A354,'26a'!$I$7:$I$100,"")+SUMIFS('27'!$N$7:$N$100,'27'!$H$7:$H$100,$A354,'27'!$I$7:$I$100,"")+SUMIFS('27a'!$N$7:$N$100,'27a'!$H$7:$H$100,$A354,'27a'!$I$7:$I$100,"")+SUMIFS('28'!$N$7:$N$100,'28'!$H$7:$H$100,$A354,'28'!$I$7:$I$100,"")+SUMIFS('29'!$N$7:$N$100,'29'!$H$7:$H$100,$A354,'29'!$I$7:$I$100,"")</f>
        <v>0</v>
      </c>
      <c r="F354" s="1296">
        <f t="shared" si="50"/>
        <v>0</v>
      </c>
      <c r="G354" s="1295">
        <f>SUMIFS('12'!$J$7:$J$100,'12'!$H$7:$H$100,$A354,'12'!$I$7:$I$100,1)+SUMIFS('13'!$J$7:$J$100,'13'!$H$7:$H$100,$A354,'13'!$I$7:$I$100,1)+SUMIFS('14'!$J$7:$J$100,'14'!$H$7:$H$100,$A354,'14'!$I$7:$I$100,1)+SUMIFS('15'!$J$7:$J$100,'15'!$H$7:$H$100,$A354,'15'!$I$7:$I$100,1)+SUMIFS('15a'!$J$7:$J$100,'15a'!$H$7:$H$100,$A354,'15a'!$I$7:$I$100,1)+SUMIFS('15b'!$J$7:$J$100,'15b'!$H$7:$H$100,$A354,'15b'!$I$7:$I$100,1)+SUMIFS('15c'!$J$7:$J$100,'15c'!$H$7:$H$100,$A354,'15c'!$I$7:$I$100,1)+SUMIFS('15d'!$J$7:$J$100,'15d'!$H$7:$H$100,$A354,'15d'!$I$7:$I$100,1)+SUMIFS('15e'!$J$7:$J$100,'15e'!$H$7:$H$100,$A354,'15e'!$I$7:$I$100,1)+SUMIFS('15f'!$J$7:$J$100,'15f'!$H$7:$H$100,$A354,'15f'!$I$7:$I$100,1)+SUMIFS('15g'!$J$7:$J$100,'15g'!$H$7:$H$100,$A354,'15g'!$I$7:$I$100,1)+SUMIFS('15h'!$J$7:$J$100,'15h'!$H$7:$H$100,$A354,'15h'!$I$7:$I$100,1)+SUMIFS('15i'!$J$7:$J$100,'15i'!$H$7:$H$100,$A354,'15i'!$I$7:$I$100,1)+SUMIFS('15j'!$J$7:$J$100,'15j'!$H$7:$H$100,$A354,'15j'!$I$7:$I$100,1)+SUMIFS('15k'!$J$7:$J$100,'15k'!$H$7:$H$100,$A354,'15k'!$I$7:$I$100,1)+SUMIFS('15l'!$J$7:$J$100,'15l'!$H$7:$H$100,$A354,'15l'!$I$7:$I$100,1)+SUMIFS('15m'!$J$7:$J$100,'15m'!$H$7:$H$100,$A354,'15m'!$I$7:$I$100,1)+SUMIFS('15n'!$J$7:$J$100,'15n'!$H$7:$H$100,$A354,'15n'!$I$7:$I$100,1)+SUMIFS('16'!$J$7:$J$100,'16'!$H$7:$H$100,$A354,'16'!$I$7:$I$100,1)+SUMIFS('16a'!$J$7:$J$100,'16a'!$H$7:$H$100,$A354,'16a'!$I$7:$I$100,1)+SUMIFS('17'!$J$7:$J$100,'17'!$H$7:$H$100,$A354,'17'!$I$7:$I$100,1)+SUMIFS('17a'!$J$7:$J$100,'17a'!$H$7:$H$100,$A354,'17a'!$I$7:$I$100,1)+SUMIFS('18'!$J$7:$J$100,'18'!$H$7:$H$100,$A354,'18'!$I$7:$I$100,1)+SUMIFS('18a'!$J$7:$J$100,'18a'!$H$7:$H$100,$A354,'18a'!$I$7:$I$100,1)
+SUMIFS('19'!$J$7:$J$100,'19'!$H$7:$H$100,$A354,'19'!$I$7:$I$100,1)+SUMIFS('20'!$J$7:$J$100,'20'!$H$7:$H$100,$A354,'20'!$I$7:$I$100,1)+SUMIFS('20a'!$J$7:$J$100,'20a'!$H$7:$H$100,$A354,'20a'!$I$7:$I$100,1)+SUMIFS('21'!$J$7:$J$100,'21'!$H$7:$H$100,$A354,'21'!$I$7:$I$100,1)+SUMIFS('22'!$J$7:$J$100,'22'!$H$7:$H$100,$A354,'22'!$I$7:$I$100,1)+SUMIFS('22a'!$J$7:$J$100,'22a'!$H$7:$H$100,$A354,'22a'!$I$7:$I$100,1)+SUMIFS('22b'!$J$7:$J$100,'22b'!$H$7:$H$100,$A354,'22b'!$I$7:$I$100,1)+SUMIFS('23'!$J$7:$J$100,'23'!$H$7:$H$100,$A354,'23'!$I$7:$I$100,1)+SUMIFS('24'!$J$7:$J$100,'24'!$H$7:$H$100,$A354,'24'!$I$7:$I$100,1)+SUMIFS('24a'!$J$7:$J$100,'24a'!$H$7:$H$100,$A354,'24a'!$I$7:$I$100,1)+SUMIFS('24b'!$J$7:$J$100,'24b'!$H$7:$H$100,$A354,'24b'!$I$7:$I$100,1)+SUMIFS('24c'!$J$7:$J$100,'24c'!$H$7:$H$100,$A354,'24c'!$I$7:$I$100,1)+SUMIFS('24d'!$J$7:$J$100,'24d'!$H$7:$H$100,$A354,'24d'!$I$7:$I$100,1)+SUMIFS('24e'!$J$7:$J$100,'24e'!$H$7:$H$100,$A354,'24e'!$I$7:$I$100,1)+SUMIFS('24f'!$J$7:$J$100,'24f'!$H$7:$H$100,$A354,'24f'!$I$7:$I$100,1)+SUMIFS('24g'!$J$7:$J$100,'24g'!$H$7:$H$100,$A354,'24g'!$I$7:$I$100,1)+SUMIFS('24h'!$J$7:$J$100,'24h'!$H$7:$H$100,$A354,'24h'!$I$7:$I$100,1)+SUMIFS('24i'!$J$7:$J$100,'24i'!$H$7:$H$100,$A354,'24i'!$I$7:$I$100,1)+SUMIFS('25'!$J$7:$J$100,'25'!$H$7:$H$100,$A354,'25'!$I$7:$I$100,1)+SUMIFS('26'!$J$7:$J$100,'26'!$H$7:$H$100,$A354,'26'!$I$7:$I$100,1)+SUMIFS('26a'!$J$7:$J$100,'26a'!$H$7:$H$100,$A354,'26a'!$I$7:$I$100,1)+SUMIFS('27'!$J$7:$J$100,'27'!$H$7:$H$100,$A354,'27'!$I$7:$I$100,1)+SUMIFS('27a'!$J$7:$J$100,'27a'!$H$7:$H$100,$A354,'27a'!$I$7:$I$100,1)+SUMIFS('28'!$J$7:$J$100,'28'!$H$7:$H$100,$A354,'28'!$I$7:$I$100,1)+SUMIFS('29'!$J$7:$J$100,'29'!$H$7:$H$100,$A354,'29'!$I$7:$I$100,1)</f>
        <v>0</v>
      </c>
      <c r="H354" s="1315">
        <f>SUMIFS('12'!$J$7:$J$100,'12'!$H$7:$H$100,$A354,'12'!$I$7:$I$100,2)+SUMIFS('13'!$J$7:$J$100,'13'!$H$7:$H$100,$A354,'13'!$I$7:$I$100,2)+SUMIFS('14'!$J$7:$J$100,'14'!$H$7:$H$100,$A354,'14'!$I$7:$I$100,2)+SUMIFS('15'!$J$7:$J$100,'15'!$H$7:$H$100,$A354,'15'!$I$7:$I$100,2)+SUMIFS('15a'!$J$7:$J$100,'15a'!$H$7:$H$100,$A354,'15a'!$I$7:$I$100,2)+SUMIFS('15b'!$J$7:$J$100,'15b'!$H$7:$H$100,$A354,'15b'!$I$7:$I$100,2)+SUMIFS('15c'!$J$7:$J$100,'15c'!$H$7:$H$100,$A354,'15c'!$I$7:$I$100,2)+SUMIFS('15d'!$J$7:$J$100,'15d'!$H$7:$H$100,$A354,'15d'!$I$7:$I$100,2)+SUMIFS('15e'!$J$7:$J$100,'15e'!$H$7:$H$100,$A354,'15e'!$I$7:$I$100,2)+SUMIFS('15f'!$J$7:$J$100,'15f'!$H$7:$H$100,$A354,'15f'!$I$7:$I$100,2)+SUMIFS('15g'!$J$7:$J$100,'15g'!$H$7:$H$100,$A354,'15g'!$I$7:$I$100,2)+SUMIFS('15h'!$J$7:$J$100,'15h'!$H$7:$H$100,$A354,'15h'!$I$7:$I$100,2)+SUMIFS('15i'!$J$7:$J$100,'15i'!$H$7:$H$100,$A354,'15i'!$I$7:$I$100,2)+SUMIFS('15j'!$J$7:$J$100,'15j'!$H$7:$H$100,$A354,'15j'!$I$7:$I$100,2)+SUMIFS('15k'!$J$7:$J$100,'15k'!$H$7:$H$100,$A354,'15k'!$I$7:$I$100,2)+SUMIFS('15l'!$J$7:$J$100,'15l'!$H$7:$H$100,$A354,'15l'!$I$7:$I$100,2)+SUMIFS('15m'!$J$7:$J$100,'15m'!$H$7:$H$100,$A354,'15m'!$I$7:$I$100,2)+SUMIFS('15n'!$J$7:$J$100,'15n'!$H$7:$H$100,$A354,'15n'!$I$7:$I$100,2)+SUMIFS('16'!$J$7:$J$100,'16'!$H$7:$H$100,$A354,'16'!$I$7:$I$100,2)+SUMIFS('16a'!$J$7:$J$100,'16a'!$H$7:$H$100,$A354,'16a'!$I$7:$I$100,2)+SUMIFS('17'!$J$7:$J$100,'17'!$H$7:$H$100,$A354,'17'!$I$7:$I$100,2)+SUMIFS('17a'!$J$7:$J$100,'17a'!$H$7:$H$100,$A354,'17a'!$I$7:$I$100,2)+SUMIFS('18'!$J$7:$J$100,'18'!$H$7:$H$100,$A354,'18'!$I$7:$I$100,2)+SUMIFS('18a'!$J$7:$J$100,'18a'!$H$7:$H$100,$A354,'18a'!$I$7:$I$100,2)
+SUMIFS('19'!$J$7:$J$100,'19'!$H$7:$H$100,$A354,'19'!$I$7:$I$100,2)+SUMIFS('20'!$J$7:$J$100,'20'!$H$7:$H$100,$A354,'20'!$I$7:$I$100,2)+SUMIFS('20a'!$J$7:$J$100,'20a'!$H$7:$H$100,$A354,'20a'!$I$7:$I$100,2)+SUMIFS('21'!$J$7:$J$100,'21'!$H$7:$H$100,$A354,'21'!$I$7:$I$100,2)+SUMIFS('22'!$J$7:$J$100,'22'!$H$7:$H$100,$A354,'22'!$I$7:$I$100,2)+SUMIFS('22a'!$J$7:$J$100,'22a'!$H$7:$H$100,$A354,'22a'!$I$7:$I$100,2)+SUMIFS('22b'!$J$7:$J$100,'22b'!$H$7:$H$100,$A354,'22b'!$I$7:$I$100,2)+SUMIFS('23'!$J$7:$J$100,'23'!$H$7:$H$100,$A354,'23'!$I$7:$I$100,2)+SUMIFS('24'!$J$7:$J$100,'24'!$H$7:$H$100,$A354,'24'!$I$7:$I$100,2)+SUMIFS('24a'!$J$7:$J$100,'24a'!$H$7:$H$100,$A354,'24a'!$I$7:$I$100,2)+SUMIFS('24b'!$J$7:$J$100,'24b'!$H$7:$H$100,$A354,'24b'!$I$7:$I$100,2)+SUMIFS('24c'!$J$7:$J$100,'24c'!$H$7:$H$100,$A354,'24c'!$I$7:$I$100,2)+SUMIFS('24d'!$J$7:$J$100,'24d'!$H$7:$H$100,$A354,'24d'!$I$7:$I$100,2)+SUMIFS('24e'!$J$7:$J$100,'24e'!$H$7:$H$100,$A354,'24e'!$I$7:$I$100,2)+SUMIFS('24f'!$J$7:$J$100,'24f'!$H$7:$H$100,$A354,'24f'!$I$7:$I$100,2)+SUMIFS('24g'!$J$7:$J$100,'24g'!$H$7:$H$100,$A354,'24g'!$I$7:$I$100,2)+SUMIFS('24h'!$J$7:$J$100,'24h'!$H$7:$H$100,$A354,'24h'!$I$7:$I$100,2)+SUMIFS('24i'!$J$7:$J$100,'24i'!$H$7:$H$100,$A354,'24i'!$I$7:$I$100,2)+SUMIFS('25'!$J$7:$J$100,'25'!$H$7:$H$100,$A354,'25'!$I$7:$I$100,2)+SUMIFS('26'!$J$7:$J$100,'26'!$H$7:$H$100,$A354,'26'!$I$7:$I$100,2)+SUMIFS('26a'!$J$7:$J$100,'26a'!$H$7:$H$100,$A354,'26a'!$I$7:$I$100,2)+SUMIFS('27'!$J$7:$J$100,'27'!$H$7:$H$100,$A354,'27'!$I$7:$I$100,2)+SUMIFS('27a'!$J$7:$J$100,'27a'!$H$7:$H$100,$A354,'27a'!$I$7:$I$100,2)+SUMIFS('28'!$J$7:$J$100,'28'!$H$7:$H$100,$A354,'28'!$I$7:$I$100,2)+SUMIFS('29'!$J$7:$J$100,'29'!$H$7:$H$100,$A354,'29'!$I$7:$I$100,2)</f>
        <v>0</v>
      </c>
      <c r="I354" s="1315">
        <f>SUMIFS('12'!$J$7:$J$100,'12'!$H$7:$H$100,$A354,'12'!$I$7:$I$100,"")+SUMIFS('13'!$J$7:$J$100,'13'!$H$7:$H$100,$A354,'13'!$I$7:$I$100,"")+SUMIFS('14'!$J$7:$J$100,'14'!$H$7:$H$100,$A354,'14'!$I$7:$I$100,"")+SUMIFS('15'!$J$7:$J$100,'15'!$H$7:$H$100,$A354,'15'!$I$7:$I$100,"")+SUMIFS('15a'!$J$7:$J$100,'15a'!$H$7:$H$100,$A354,'15a'!$I$7:$I$100,"")+SUMIFS('15b'!$J$7:$J$100,'15b'!$H$7:$H$100,$A354,'15b'!$I$7:$I$100,"")+SUMIFS('15c'!$J$7:$J$100,'15c'!$H$7:$H$100,$A354,'15c'!$I$7:$I$100,"")+SUMIFS('15d'!$J$7:$J$100,'15d'!$H$7:$H$100,$A354,'15d'!$I$7:$I$100,"")+SUMIFS('15e'!$J$7:$J$100,'15e'!$H$7:$H$100,$A354,'15e'!$I$7:$I$100,"")+SUMIFS('15f'!$J$7:$J$100,'15f'!$H$7:$H$100,$A354,'15f'!$I$7:$I$100,"")+SUMIFS('15g'!$J$7:$J$100,'15g'!$H$7:$H$100,$A354,'15g'!$I$7:$I$100,"")+SUMIFS('15h'!$J$7:$J$100,'15h'!$H$7:$H$100,$A354,'15h'!$I$7:$I$100,"")+SUMIFS('15i'!$J$7:$J$100,'15i'!$H$7:$H$100,$A354,'15i'!$I$7:$I$100,"")+SUMIFS('15j'!$J$7:$J$100,'15j'!$H$7:$H$100,$A354,'15j'!$I$7:$I$100,"")+SUMIFS('15k'!$J$7:$J$100,'15k'!$H$7:$H$100,$A354,'15k'!$I$7:$I$100,"")+SUMIFS('15l'!$J$7:$J$100,'15l'!$H$7:$H$100,$A354,'15l'!$I$7:$I$100,"")+SUMIFS('15m'!$J$7:$J$100,'15m'!$H$7:$H$100,$A354,'15m'!$I$7:$I$100,"")+SUMIFS('15n'!$J$7:$J$100,'15n'!$H$7:$H$100,$A354,'15n'!$I$7:$I$100,"")+SUMIFS('16'!$J$7:$J$100,'16'!$H$7:$H$100,$A354,'16'!$I$7:$I$100,"")+SUMIFS('16a'!$J$7:$J$100,'16a'!$H$7:$H$100,$A354,'16a'!$I$7:$I$100,"")+SUMIFS('17'!$J$7:$J$100,'17'!$H$7:$H$100,$A354,'17'!$I$7:$I$100,"")+SUMIFS('17a'!$J$7:$J$100,'17a'!$H$7:$H$100,$A354,'17a'!$I$7:$I$100,"")+SUMIFS('18'!$J$7:$J$100,'18'!$H$7:$H$100,$A354,'18'!$I$7:$I$100,"")+SUMIFS('18a'!$J$7:$J$100,'18a'!$H$7:$H$100,$A354,'18a'!$I$7:$I$100,"")
+SUMIFS('19'!$J$7:$J$100,'19'!$H$7:$H$100,$A354,'19'!$I$7:$I$100,"")+SUMIFS('20'!$J$7:$J$100,'20'!$H$7:$H$100,$A354,'20'!$I$7:$I$100,"")+SUMIFS('20a'!$J$7:$J$100,'20a'!$H$7:$H$100,$A354,'20a'!$I$7:$I$100,"")+SUMIFS('21'!$J$7:$J$100,'21'!$H$7:$H$100,$A354,'21'!$I$7:$I$100,"")+SUMIFS('22'!$J$7:$J$100,'22'!$H$7:$H$100,$A354,'22'!$I$7:$I$100,"")+SUMIFS('22a'!$J$7:$J$100,'22a'!$H$7:$H$100,$A354,'22a'!$I$7:$I$100,"")+SUMIFS('22b'!$J$7:$J$100,'22b'!$H$7:$H$100,$A354,'22b'!$I$7:$I$100,"")+SUMIFS('23'!$J$7:$J$100,'23'!$H$7:$H$100,$A354,'23'!$I$7:$I$100,"")+SUMIFS('24'!$J$7:$J$100,'24'!$H$7:$H$100,$A354,'24'!$I$7:$I$100,"")+SUMIFS('24a'!$J$7:$J$100,'24a'!$H$7:$H$100,$A354,'24a'!$I$7:$I$100,"")+SUMIFS('24b'!$J$7:$J$100,'24b'!$H$7:$H$100,$A354,'24b'!$I$7:$I$100,"")+SUMIFS('24c'!$J$7:$J$100,'24c'!$H$7:$H$100,$A354,'24c'!$I$7:$I$100,"")+SUMIFS('24d'!$J$7:$J$100,'24d'!$H$7:$H$100,$A354,'24d'!$I$7:$I$100,"")+SUMIFS('24e'!$J$7:$J$100,'24e'!$H$7:$H$100,$A354,'24e'!$I$7:$I$100,"")+SUMIFS('24f'!$J$7:$J$100,'24f'!$H$7:$H$100,$A354,'24f'!$I$7:$I$100,"")+SUMIFS('24g'!$J$7:$J$100,'24g'!$H$7:$H$100,$A354,'24g'!$I$7:$I$100,"")+SUMIFS('24h'!$J$7:$J$100,'24h'!$H$7:$H$100,$A354,'24h'!$I$7:$I$100,"")+SUMIFS('24i'!$J$7:$J$100,'24i'!$H$7:$H$100,$A354,'24i'!$I$7:$I$100,"")+SUMIFS('25'!$J$7:$J$100,'25'!$H$7:$H$100,$A354,'25'!$I$7:$I$100,"")+SUMIFS('26'!$J$7:$J$100,'26'!$H$7:$H$100,$A354,'26'!$I$7:$I$100,"")+SUMIFS('26a'!$J$7:$J$100,'26a'!$H$7:$H$100,$A354,'26a'!$I$7:$I$100,"")+SUMIFS('27'!$J$7:$J$100,'27'!$H$7:$H$100,$A354,'27'!$I$7:$I$100,"")+SUMIFS('27a'!$J$7:$J$100,'27a'!$H$7:$H$100,$A354,'27a'!$I$7:$I$100,"")+SUMIFS('28'!$J$7:$J$100,'28'!$H$7:$H$100,$A354,'28'!$I$7:$I$100,"")+SUMIFS('29'!$J$7:$J$100,'29'!$H$7:$H$100,$A354,'29'!$I$7:$I$100,"")</f>
        <v>0</v>
      </c>
      <c r="J354" s="1296">
        <f t="shared" si="51"/>
        <v>0</v>
      </c>
      <c r="K354"/>
      <c r="L354"/>
      <c r="M354"/>
      <c r="N354"/>
      <c r="O354"/>
      <c r="P354"/>
      <c r="Q354"/>
      <c r="R354"/>
      <c r="S354" s="1307">
        <f t="shared" si="48"/>
        <v>0</v>
      </c>
      <c r="T354"/>
    </row>
    <row r="355" spans="1:20" x14ac:dyDescent="0.2">
      <c r="A355" t="s">
        <v>5079</v>
      </c>
      <c r="B355" t="s">
        <v>5549</v>
      </c>
      <c r="C355" s="1295">
        <f>SUMIFS('12'!$N$7:$N$100,'12'!$H$7:$H$100,$A355,'12'!$I$7:$I$100,1)+SUMIFS('13'!$N$7:$N$100,'13'!$H$7:$H$100,$A355,'13'!$I$7:$I$100,1)+SUMIFS('14'!$N$7:$N$100,'14'!$H$7:$H$100,$A355,'14'!$I$7:$I$100,1)+SUMIFS('15'!$N$7:$N$100,'15'!$H$7:$H$100,$A355,'15'!$I$7:$I$100,1)+SUMIFS('15a'!$N$7:$N$100,'15a'!$H$7:$H$100,$A355,'15a'!$I$7:$I$100,1)+SUMIFS('15b'!$N$7:$N$100,'15b'!$H$7:$H$100,$A355,'15b'!$I$7:$I$100,1)+SUMIFS('15c'!$N$7:$N$100,'15c'!$H$7:$H$100,$A355,'15c'!$I$7:$I$100,1)+SUMIFS('15d'!$N$7:$N$100,'15d'!$H$7:$H$100,$A355,'15d'!$I$7:$I$100,1)+SUMIFS('15e'!$N$7:$N$100,'15e'!$H$7:$H$100,$A355,'15e'!$I$7:$I$100,1)+SUMIFS('15f'!$N$7:$N$100,'15f'!$H$7:$H$100,$A355,'15f'!$I$7:$I$100,1)+SUMIFS('15g'!$N$7:$N$100,'15g'!$H$7:$H$100,$A355,'15g'!$I$7:$I$100,1)+SUMIFS('15h'!$N$7:$N$100,'15h'!$H$7:$H$100,$A355,'15h'!$I$7:$I$100,1)+SUMIFS('15i'!$N$7:$N$100,'15i'!$H$7:$H$100,$A355,'15i'!$I$7:$I$100,1)+SUMIFS('15j'!$N$7:$N$100,'15j'!$H$7:$H$100,$A355,'15j'!$I$7:$I$100,1)+SUMIFS('15k'!$N$7:$N$100,'15k'!$H$7:$H$100,$A355,'15k'!$I$7:$I$100,1)+SUMIFS('15l'!$N$7:$N$100,'15l'!$H$7:$H$100,$A355,'15l'!$I$7:$I$100,1)+SUMIFS('15m'!$N$7:$N$100,'15m'!$H$7:$H$100,$A355,'15m'!$I$7:$I$100,1)+SUMIFS('15n'!$N$7:$N$100,'15n'!$H$7:$H$100,$A355,'15n'!$I$7:$I$100,1)+SUMIFS('16'!$N$7:$N$100,'16'!$H$7:$H$100,$A355,'16'!$I$7:$I$100,1)+SUMIFS('16a'!$N$7:$N$100,'16a'!$H$7:$H$100,$A355,'16a'!$I$7:$I$100,1)+SUMIFS('17'!$N$7:$N$100,'17'!$H$7:$H$100,$A355,'17'!$I$7:$I$100,1)+SUMIFS('17a'!$N$7:$N$100,'17a'!$H$7:$H$100,$A355,'17a'!$I$7:$I$100,1)+SUMIFS('18'!$N$7:$N$100,'18'!$H$7:$H$100,$A355,'18'!$I$7:$I$100,1)+SUMIFS('18a'!$N$7:$N$100,'18a'!$H$7:$H$100,$A355,'18a'!$I$7:$I$100,1)
+SUMIFS('19'!$N$7:$N$100,'19'!$H$7:$H$100,$A355,'19'!$I$7:$I$100,1)+SUMIFS('20'!$N$7:$N$100,'20'!$H$7:$H$100,$A355,'20'!$I$7:$I$100,1)+SUMIFS('20a'!$N$7:$N$100,'20a'!$H$7:$H$100,$A355,'20a'!$I$7:$I$100,1)+SUMIFS('21'!$N$7:$N$100,'21'!$H$7:$H$100,$A355,'21'!$I$7:$I$100,1)+SUMIFS('22'!$N$7:$N$100,'22'!$H$7:$H$100,$A355,'22'!$I$7:$I$100,1)+SUMIFS('22a'!$N$7:$N$100,'22a'!$H$7:$H$100,$A355,'22a'!$I$7:$I$100,1)+SUMIFS('22b'!$N$7:$N$100,'22b'!$H$7:$H$100,$A355,'22b'!$I$7:$I$100,1)+SUMIFS('23'!$N$7:$N$100,'23'!$H$7:$H$100,$A355,'23'!$I$7:$I$100,1)+SUMIFS('24'!$N$7:$N$100,'24'!$H$7:$H$100,$A355,'24'!$I$7:$I$100,1)+SUMIFS('24a'!$N$7:$N$100,'24a'!$H$7:$H$100,$A355,'24a'!$I$7:$I$100,1)+SUMIFS('24b'!$N$7:$N$100,'24b'!$H$7:$H$100,$A355,'24b'!$I$7:$I$100,1)+SUMIFS('24c'!$N$7:$N$100,'24c'!$H$7:$H$100,$A355,'24c'!$I$7:$I$100,1)+SUMIFS('24d'!$N$7:$N$100,'24d'!$H$7:$H$100,$A355,'24d'!$I$7:$I$100,1)+SUMIFS('24e'!$N$7:$N$100,'24e'!$H$7:$H$100,$A355,'24e'!$I$7:$I$100,1)+SUMIFS('24f'!$N$7:$N$100,'24f'!$H$7:$H$100,$A355,'24f'!$I$7:$I$100,1)+SUMIFS('24g'!$N$7:$N$100,'24g'!$H$7:$H$100,$A355,'24g'!$I$7:$I$100,1)+SUMIFS('24h'!$N$7:$N$100,'24h'!$H$7:$H$100,$A355,'24h'!$I$7:$I$100,1)+SUMIFS('24i'!$N$7:$N$100,'24i'!$H$7:$H$100,$A355,'24i'!$I$7:$I$100,1)+SUMIFS('25'!$N$7:$N$100,'25'!$H$7:$H$100,$A355,'25'!$I$7:$I$100,1)+SUMIFS('26'!$N$7:$N$100,'26'!$H$7:$H$100,$A355,'26'!$I$7:$I$100,1)+SUMIFS('26a'!$N$7:$N$100,'26a'!$H$7:$H$100,$A355,'26a'!$I$7:$I$100,1)+SUMIFS('27'!$N$7:$N$100,'27'!$H$7:$H$100,$A355,'27'!$I$7:$I$100,1)+SUMIFS('27a'!$N$7:$N$100,'27a'!$H$7:$H$100,$A355,'27a'!$I$7:$I$100,1)+SUMIFS('28'!$N$7:$N$100,'28'!$H$7:$H$100,$A355,'28'!$I$7:$I$100,1)+SUMIFS('29'!$N$7:$N$100,'29'!$H$7:$H$100,$A355,'29'!$I$7:$I$100,1)</f>
        <v>0</v>
      </c>
      <c r="D355" s="1315">
        <f>SUMIFS('12'!$N$7:$N$100,'12'!$H$7:$H$100,$A355,'12'!$I$7:$I$100,2)+SUMIFS('13'!$N$7:$N$100,'13'!$H$7:$H$100,$A355,'13'!$I$7:$I$100,2)+SUMIFS('14'!$N$7:$N$100,'14'!$H$7:$H$100,$A355,'14'!$I$7:$I$100,2)+SUMIFS('15'!$N$7:$N$100,'15'!$H$7:$H$100,$A355,'15'!$I$7:$I$100,2)+SUMIFS('15a'!$N$7:$N$100,'15a'!$H$7:$H$100,$A355,'15a'!$I$7:$I$100,2)+SUMIFS('15b'!$N$7:$N$100,'15b'!$H$7:$H$100,$A355,'15b'!$I$7:$I$100,2)+SUMIFS('15c'!$N$7:$N$100,'15c'!$H$7:$H$100,$A355,'15c'!$I$7:$I$100,2)+SUMIFS('15d'!$N$7:$N$100,'15d'!$H$7:$H$100,$A355,'15d'!$I$7:$I$100,2)+SUMIFS('15e'!$N$7:$N$100,'15e'!$H$7:$H$100,$A355,'15e'!$I$7:$I$100,2)+SUMIFS('15f'!$N$7:$N$100,'15f'!$H$7:$H$100,$A355,'15f'!$I$7:$I$100,2)+SUMIFS('15g'!$N$7:$N$100,'15g'!$H$7:$H$100,$A355,'15g'!$I$7:$I$100,2)+SUMIFS('15h'!$N$7:$N$100,'15h'!$H$7:$H$100,$A355,'15h'!$I$7:$I$100,2)+SUMIFS('15i'!$N$7:$N$100,'15i'!$H$7:$H$100,$A355,'15i'!$I$7:$I$100,2)+SUMIFS('15j'!$N$7:$N$100,'15j'!$H$7:$H$100,$A355,'15j'!$I$7:$I$100,2)+SUMIFS('15k'!$N$7:$N$100,'15k'!$H$7:$H$100,$A355,'15k'!$I$7:$I$100,2)+SUMIFS('15l'!$N$7:$N$100,'15l'!$H$7:$H$100,$A355,'15l'!$I$7:$I$100,2)+SUMIFS('15m'!$N$7:$N$100,'15m'!$H$7:$H$100,$A355,'15m'!$I$7:$I$100,2)+SUMIFS('15n'!$N$7:$N$100,'15n'!$H$7:$H$100,$A355,'15n'!$I$7:$I$100,2)+SUMIFS('16'!$N$7:$N$100,'16'!$H$7:$H$100,$A355,'16'!$I$7:$I$100,2)+SUMIFS('16a'!$N$7:$N$100,'16a'!$H$7:$H$100,$A355,'16a'!$I$7:$I$100,2)+SUMIFS('17'!$N$7:$N$100,'17'!$H$7:$H$100,$A355,'17'!$I$7:$I$100,2)+SUMIFS('17a'!$N$7:$N$100,'17a'!$H$7:$H$100,$A355,'17a'!$I$7:$I$100,2)+SUMIFS('18'!$N$7:$N$100,'18'!$H$7:$H$100,$A355,'18'!$I$7:$I$100,2)+SUMIFS('18a'!$N$7:$N$100,'18a'!$H$7:$H$100,$A355,'18a'!$I$7:$I$100,2)
+SUMIFS('19'!$N$7:$N$100,'19'!$H$7:$H$100,$A355,'19'!$I$7:$I$100,2)+SUMIFS('20'!$N$7:$N$100,'20'!$H$7:$H$100,$A355,'20'!$I$7:$I$100,2)+SUMIFS('20a'!$N$7:$N$100,'20a'!$H$7:$H$100,$A355,'20a'!$I$7:$I$100,2)+SUMIFS('21'!$N$7:$N$100,'21'!$H$7:$H$100,$A355,'21'!$I$7:$I$100,2)+SUMIFS('22'!$N$7:$N$100,'22'!$H$7:$H$100,$A355,'22'!$I$7:$I$100,2)+SUMIFS('22a'!$N$7:$N$100,'22a'!$H$7:$H$100,$A355,'22a'!$I$7:$I$100,2)+SUMIFS('22b'!$N$7:$N$100,'22b'!$H$7:$H$100,$A355,'22b'!$I$7:$I$100,2)+SUMIFS('23'!$N$7:$N$100,'23'!$H$7:$H$100,$A355,'23'!$I$7:$I$100,2)+SUMIFS('24'!$N$7:$N$100,'24'!$H$7:$H$100,$A355,'24'!$I$7:$I$100,2)+SUMIFS('24a'!$N$7:$N$100,'24a'!$H$7:$H$100,$A355,'24a'!$I$7:$I$100,2)+SUMIFS('24b'!$N$7:$N$100,'24b'!$H$7:$H$100,$A355,'24b'!$I$7:$I$100,2)+SUMIFS('24c'!$N$7:$N$100,'24c'!$H$7:$H$100,$A355,'24c'!$I$7:$I$100,2)+SUMIFS('24d'!$N$7:$N$100,'24d'!$H$7:$H$100,$A355,'24d'!$I$7:$I$100,2)+SUMIFS('24e'!$N$7:$N$100,'24e'!$H$7:$H$100,$A355,'24e'!$I$7:$I$100,2)+SUMIFS('24f'!$N$7:$N$100,'24f'!$H$7:$H$100,$A355,'24f'!$I$7:$I$100,2)+SUMIFS('24g'!$N$7:$N$100,'24g'!$H$7:$H$100,$A355,'24g'!$I$7:$I$100,2)+SUMIFS('24h'!$N$7:$N$100,'24h'!$H$7:$H$100,$A355,'24h'!$I$7:$I$100,2)+SUMIFS('24i'!$N$7:$N$100,'24i'!$H$7:$H$100,$A355,'24i'!$I$7:$I$100,2)+SUMIFS('25'!$N$7:$N$100,'25'!$H$7:$H$100,$A355,'25'!$I$7:$I$100,2)+SUMIFS('26'!$N$7:$N$100,'26'!$H$7:$H$100,$A355,'26'!$I$7:$I$100,2)+SUMIFS('26a'!$N$7:$N$100,'26a'!$H$7:$H$100,$A355,'26a'!$I$7:$I$100,2)+SUMIFS('27'!$N$7:$N$100,'27'!$H$7:$H$100,$A355,'27'!$I$7:$I$100,2)+SUMIFS('27a'!$N$7:$N$100,'27a'!$H$7:$H$100,$A355,'27a'!$I$7:$I$100,2)+SUMIFS('28'!$N$7:$N$100,'28'!$H$7:$H$100,$A355,'28'!$I$7:$I$100,2)+SUMIFS('29'!$N$7:$N$100,'29'!$H$7:$H$100,$A355,'29'!$I$7:$I$100,2)</f>
        <v>0</v>
      </c>
      <c r="E355" s="1315">
        <f>SUMIFS('12'!$N$7:$N$100,'12'!$H$7:$H$100,$A355,'12'!$I$7:$I$100,"")+SUMIFS('13'!$N$7:$N$100,'13'!$H$7:$H$100,$A355,'13'!$I$7:$I$100,"")+SUMIFS('14'!$N$7:$N$100,'14'!$H$7:$H$100,$A355,'14'!$I$7:$I$100,"")+SUMIFS('15'!$N$7:$N$100,'15'!$H$7:$H$100,$A355,'15'!$I$7:$I$100,"")+SUMIFS('15a'!$N$7:$N$100,'15a'!$H$7:$H$100,$A355,'15a'!$I$7:$I$100,"")+SUMIFS('15b'!$N$7:$N$100,'15b'!$H$7:$H$100,$A355,'15b'!$I$7:$I$100,"")+SUMIFS('15c'!$N$7:$N$100,'15c'!$H$7:$H$100,$A355,'15c'!$I$7:$I$100,"")+SUMIFS('15d'!$N$7:$N$100,'15d'!$H$7:$H$100,$A355,'15d'!$I$7:$I$100,"")+SUMIFS('15e'!$N$7:$N$100,'15e'!$H$7:$H$100,$A355,'15e'!$I$7:$I$100,"")+SUMIFS('15f'!$N$7:$N$100,'15f'!$H$7:$H$100,$A355,'15f'!$I$7:$I$100,"")+SUMIFS('15g'!$N$7:$N$100,'15g'!$H$7:$H$100,$A355,'15g'!$I$7:$I$100,"")+SUMIFS('15h'!$N$7:$N$100,'15h'!$H$7:$H$100,$A355,'15h'!$I$7:$I$100,"")+SUMIFS('15i'!$N$7:$N$100,'15i'!$H$7:$H$100,$A355,'15i'!$I$7:$I$100,"")+SUMIFS('15j'!$N$7:$N$100,'15j'!$H$7:$H$100,$A355,'15j'!$I$7:$I$100,"")+SUMIFS('15k'!$N$7:$N$100,'15k'!$H$7:$H$100,$A355,'15k'!$I$7:$I$100,"")+SUMIFS('15l'!$N$7:$N$100,'15l'!$H$7:$H$100,$A355,'15l'!$I$7:$I$100,"")+SUMIFS('15m'!$N$7:$N$100,'15m'!$H$7:$H$100,$A355,'15m'!$I$7:$I$100,"")+SUMIFS('15n'!$N$7:$N$100,'15n'!$H$7:$H$100,$A355,'15n'!$I$7:$I$100,"")+SUMIFS('16'!$N$7:$N$100,'16'!$H$7:$H$100,$A355,'16'!$I$7:$I$100,"")+SUMIFS('16a'!$N$7:$N$100,'16a'!$H$7:$H$100,$A355,'16a'!$I$7:$I$100,"")+SUMIFS('17'!$N$7:$N$100,'17'!$H$7:$H$100,$A355,'17'!$I$7:$I$100,"")+SUMIFS('17a'!$N$7:$N$100,'17a'!$H$7:$H$100,$A355,'17a'!$I$7:$I$100,"")+SUMIFS('18'!$N$7:$N$100,'18'!$H$7:$H$100,$A355,'18'!$I$7:$I$100,"")+SUMIFS('18a'!$N$7:$N$100,'18a'!$H$7:$H$100,$A355,'18a'!$I$7:$I$100,"")
+SUMIFS('19'!$N$7:$N$100,'19'!$H$7:$H$100,$A355,'19'!$I$7:$I$100,"")+SUMIFS('20'!$N$7:$N$100,'20'!$H$7:$H$100,$A355,'20'!$I$7:$I$100,"")+SUMIFS('20a'!$N$7:$N$100,'20a'!$H$7:$H$100,$A355,'20a'!$I$7:$I$100,"")+SUMIFS('21'!$N$7:$N$100,'21'!$H$7:$H$100,$A355,'21'!$I$7:$I$100,"")+SUMIFS('22'!$N$7:$N$100,'22'!$H$7:$H$100,$A355,'22'!$I$7:$I$100,"")+SUMIFS('22a'!$N$7:$N$100,'22a'!$H$7:$H$100,$A355,'22a'!$I$7:$I$100,"")+SUMIFS('22b'!$N$7:$N$100,'22b'!$H$7:$H$100,$A355,'22b'!$I$7:$I$100,"")+SUMIFS('23'!$N$7:$N$100,'23'!$H$7:$H$100,$A355,'23'!$I$7:$I$100,"")+SUMIFS('24'!$N$7:$N$100,'24'!$H$7:$H$100,$A355,'24'!$I$7:$I$100,"")+SUMIFS('24a'!$N$7:$N$100,'24a'!$H$7:$H$100,$A355,'24a'!$I$7:$I$100,"")+SUMIFS('24b'!$N$7:$N$100,'24b'!$H$7:$H$100,$A355,'24b'!$I$7:$I$100,"")+SUMIFS('24c'!$N$7:$N$100,'24c'!$H$7:$H$100,$A355,'24c'!$I$7:$I$100,"")+SUMIFS('24d'!$N$7:$N$100,'24d'!$H$7:$H$100,$A355,'24d'!$I$7:$I$100,"")+SUMIFS('24e'!$N$7:$N$100,'24e'!$H$7:$H$100,$A355,'24e'!$I$7:$I$100,"")+SUMIFS('24f'!$N$7:$N$100,'24f'!$H$7:$H$100,$A355,'24f'!$I$7:$I$100,"")+SUMIFS('24g'!$N$7:$N$100,'24g'!$H$7:$H$100,$A355,'24g'!$I$7:$I$100,"")+SUMIFS('24h'!$N$7:$N$100,'24h'!$H$7:$H$100,$A355,'24h'!$I$7:$I$100,"")+SUMIFS('24i'!$N$7:$N$100,'24i'!$H$7:$H$100,$A355,'24i'!$I$7:$I$100,"")+SUMIFS('25'!$N$7:$N$100,'25'!$H$7:$H$100,$A355,'25'!$I$7:$I$100,"")+SUMIFS('26'!$N$7:$N$100,'26'!$H$7:$H$100,$A355,'26'!$I$7:$I$100,"")+SUMIFS('26a'!$N$7:$N$100,'26a'!$H$7:$H$100,$A355,'26a'!$I$7:$I$100,"")+SUMIFS('27'!$N$7:$N$100,'27'!$H$7:$H$100,$A355,'27'!$I$7:$I$100,"")+SUMIFS('27a'!$N$7:$N$100,'27a'!$H$7:$H$100,$A355,'27a'!$I$7:$I$100,"")+SUMIFS('28'!$N$7:$N$100,'28'!$H$7:$H$100,$A355,'28'!$I$7:$I$100,"")+SUMIFS('29'!$N$7:$N$100,'29'!$H$7:$H$100,$A355,'29'!$I$7:$I$100,"")</f>
        <v>0</v>
      </c>
      <c r="F355" s="1296">
        <f t="shared" si="50"/>
        <v>0</v>
      </c>
      <c r="G355" s="1295">
        <f>SUMIFS('12'!$J$7:$J$100,'12'!$H$7:$H$100,$A355,'12'!$I$7:$I$100,1)+SUMIFS('13'!$J$7:$J$100,'13'!$H$7:$H$100,$A355,'13'!$I$7:$I$100,1)+SUMIFS('14'!$J$7:$J$100,'14'!$H$7:$H$100,$A355,'14'!$I$7:$I$100,1)+SUMIFS('15'!$J$7:$J$100,'15'!$H$7:$H$100,$A355,'15'!$I$7:$I$100,1)+SUMIFS('15a'!$J$7:$J$100,'15a'!$H$7:$H$100,$A355,'15a'!$I$7:$I$100,1)+SUMIFS('15b'!$J$7:$J$100,'15b'!$H$7:$H$100,$A355,'15b'!$I$7:$I$100,1)+SUMIFS('15c'!$J$7:$J$100,'15c'!$H$7:$H$100,$A355,'15c'!$I$7:$I$100,1)+SUMIFS('15d'!$J$7:$J$100,'15d'!$H$7:$H$100,$A355,'15d'!$I$7:$I$100,1)+SUMIFS('15e'!$J$7:$J$100,'15e'!$H$7:$H$100,$A355,'15e'!$I$7:$I$100,1)+SUMIFS('15f'!$J$7:$J$100,'15f'!$H$7:$H$100,$A355,'15f'!$I$7:$I$100,1)+SUMIFS('15g'!$J$7:$J$100,'15g'!$H$7:$H$100,$A355,'15g'!$I$7:$I$100,1)+SUMIFS('15h'!$J$7:$J$100,'15h'!$H$7:$H$100,$A355,'15h'!$I$7:$I$100,1)+SUMIFS('15i'!$J$7:$J$100,'15i'!$H$7:$H$100,$A355,'15i'!$I$7:$I$100,1)+SUMIFS('15j'!$J$7:$J$100,'15j'!$H$7:$H$100,$A355,'15j'!$I$7:$I$100,1)+SUMIFS('15k'!$J$7:$J$100,'15k'!$H$7:$H$100,$A355,'15k'!$I$7:$I$100,1)+SUMIFS('15l'!$J$7:$J$100,'15l'!$H$7:$H$100,$A355,'15l'!$I$7:$I$100,1)+SUMIFS('15m'!$J$7:$J$100,'15m'!$H$7:$H$100,$A355,'15m'!$I$7:$I$100,1)+SUMIFS('15n'!$J$7:$J$100,'15n'!$H$7:$H$100,$A355,'15n'!$I$7:$I$100,1)+SUMIFS('16'!$J$7:$J$100,'16'!$H$7:$H$100,$A355,'16'!$I$7:$I$100,1)+SUMIFS('16a'!$J$7:$J$100,'16a'!$H$7:$H$100,$A355,'16a'!$I$7:$I$100,1)+SUMIFS('17'!$J$7:$J$100,'17'!$H$7:$H$100,$A355,'17'!$I$7:$I$100,1)+SUMIFS('17a'!$J$7:$J$100,'17a'!$H$7:$H$100,$A355,'17a'!$I$7:$I$100,1)+SUMIFS('18'!$J$7:$J$100,'18'!$H$7:$H$100,$A355,'18'!$I$7:$I$100,1)+SUMIFS('18a'!$J$7:$J$100,'18a'!$H$7:$H$100,$A355,'18a'!$I$7:$I$100,1)
+SUMIFS('19'!$J$7:$J$100,'19'!$H$7:$H$100,$A355,'19'!$I$7:$I$100,1)+SUMIFS('20'!$J$7:$J$100,'20'!$H$7:$H$100,$A355,'20'!$I$7:$I$100,1)+SUMIFS('20a'!$J$7:$J$100,'20a'!$H$7:$H$100,$A355,'20a'!$I$7:$I$100,1)+SUMIFS('21'!$J$7:$J$100,'21'!$H$7:$H$100,$A355,'21'!$I$7:$I$100,1)+SUMIFS('22'!$J$7:$J$100,'22'!$H$7:$H$100,$A355,'22'!$I$7:$I$100,1)+SUMIFS('22a'!$J$7:$J$100,'22a'!$H$7:$H$100,$A355,'22a'!$I$7:$I$100,1)+SUMIFS('22b'!$J$7:$J$100,'22b'!$H$7:$H$100,$A355,'22b'!$I$7:$I$100,1)+SUMIFS('23'!$J$7:$J$100,'23'!$H$7:$H$100,$A355,'23'!$I$7:$I$100,1)+SUMIFS('24'!$J$7:$J$100,'24'!$H$7:$H$100,$A355,'24'!$I$7:$I$100,1)+SUMIFS('24a'!$J$7:$J$100,'24a'!$H$7:$H$100,$A355,'24a'!$I$7:$I$100,1)+SUMIFS('24b'!$J$7:$J$100,'24b'!$H$7:$H$100,$A355,'24b'!$I$7:$I$100,1)+SUMIFS('24c'!$J$7:$J$100,'24c'!$H$7:$H$100,$A355,'24c'!$I$7:$I$100,1)+SUMIFS('24d'!$J$7:$J$100,'24d'!$H$7:$H$100,$A355,'24d'!$I$7:$I$100,1)+SUMIFS('24e'!$J$7:$J$100,'24e'!$H$7:$H$100,$A355,'24e'!$I$7:$I$100,1)+SUMIFS('24f'!$J$7:$J$100,'24f'!$H$7:$H$100,$A355,'24f'!$I$7:$I$100,1)+SUMIFS('24g'!$J$7:$J$100,'24g'!$H$7:$H$100,$A355,'24g'!$I$7:$I$100,1)+SUMIFS('24h'!$J$7:$J$100,'24h'!$H$7:$H$100,$A355,'24h'!$I$7:$I$100,1)+SUMIFS('24i'!$J$7:$J$100,'24i'!$H$7:$H$100,$A355,'24i'!$I$7:$I$100,1)+SUMIFS('25'!$J$7:$J$100,'25'!$H$7:$H$100,$A355,'25'!$I$7:$I$100,1)+SUMIFS('26'!$J$7:$J$100,'26'!$H$7:$H$100,$A355,'26'!$I$7:$I$100,1)+SUMIFS('26a'!$J$7:$J$100,'26a'!$H$7:$H$100,$A355,'26a'!$I$7:$I$100,1)+SUMIFS('27'!$J$7:$J$100,'27'!$H$7:$H$100,$A355,'27'!$I$7:$I$100,1)+SUMIFS('27a'!$J$7:$J$100,'27a'!$H$7:$H$100,$A355,'27a'!$I$7:$I$100,1)+SUMIFS('28'!$J$7:$J$100,'28'!$H$7:$H$100,$A355,'28'!$I$7:$I$100,1)+SUMIFS('29'!$J$7:$J$100,'29'!$H$7:$H$100,$A355,'29'!$I$7:$I$100,1)</f>
        <v>0</v>
      </c>
      <c r="H355" s="1315">
        <f>SUMIFS('12'!$J$7:$J$100,'12'!$H$7:$H$100,$A355,'12'!$I$7:$I$100,2)+SUMIFS('13'!$J$7:$J$100,'13'!$H$7:$H$100,$A355,'13'!$I$7:$I$100,2)+SUMIFS('14'!$J$7:$J$100,'14'!$H$7:$H$100,$A355,'14'!$I$7:$I$100,2)+SUMIFS('15'!$J$7:$J$100,'15'!$H$7:$H$100,$A355,'15'!$I$7:$I$100,2)+SUMIFS('15a'!$J$7:$J$100,'15a'!$H$7:$H$100,$A355,'15a'!$I$7:$I$100,2)+SUMIFS('15b'!$J$7:$J$100,'15b'!$H$7:$H$100,$A355,'15b'!$I$7:$I$100,2)+SUMIFS('15c'!$J$7:$J$100,'15c'!$H$7:$H$100,$A355,'15c'!$I$7:$I$100,2)+SUMIFS('15d'!$J$7:$J$100,'15d'!$H$7:$H$100,$A355,'15d'!$I$7:$I$100,2)+SUMIFS('15e'!$J$7:$J$100,'15e'!$H$7:$H$100,$A355,'15e'!$I$7:$I$100,2)+SUMIFS('15f'!$J$7:$J$100,'15f'!$H$7:$H$100,$A355,'15f'!$I$7:$I$100,2)+SUMIFS('15g'!$J$7:$J$100,'15g'!$H$7:$H$100,$A355,'15g'!$I$7:$I$100,2)+SUMIFS('15h'!$J$7:$J$100,'15h'!$H$7:$H$100,$A355,'15h'!$I$7:$I$100,2)+SUMIFS('15i'!$J$7:$J$100,'15i'!$H$7:$H$100,$A355,'15i'!$I$7:$I$100,2)+SUMIFS('15j'!$J$7:$J$100,'15j'!$H$7:$H$100,$A355,'15j'!$I$7:$I$100,2)+SUMIFS('15k'!$J$7:$J$100,'15k'!$H$7:$H$100,$A355,'15k'!$I$7:$I$100,2)+SUMIFS('15l'!$J$7:$J$100,'15l'!$H$7:$H$100,$A355,'15l'!$I$7:$I$100,2)+SUMIFS('15m'!$J$7:$J$100,'15m'!$H$7:$H$100,$A355,'15m'!$I$7:$I$100,2)+SUMIFS('15n'!$J$7:$J$100,'15n'!$H$7:$H$100,$A355,'15n'!$I$7:$I$100,2)+SUMIFS('16'!$J$7:$J$100,'16'!$H$7:$H$100,$A355,'16'!$I$7:$I$100,2)+SUMIFS('16a'!$J$7:$J$100,'16a'!$H$7:$H$100,$A355,'16a'!$I$7:$I$100,2)+SUMIFS('17'!$J$7:$J$100,'17'!$H$7:$H$100,$A355,'17'!$I$7:$I$100,2)+SUMIFS('17a'!$J$7:$J$100,'17a'!$H$7:$H$100,$A355,'17a'!$I$7:$I$100,2)+SUMIFS('18'!$J$7:$J$100,'18'!$H$7:$H$100,$A355,'18'!$I$7:$I$100,2)+SUMIFS('18a'!$J$7:$J$100,'18a'!$H$7:$H$100,$A355,'18a'!$I$7:$I$100,2)
+SUMIFS('19'!$J$7:$J$100,'19'!$H$7:$H$100,$A355,'19'!$I$7:$I$100,2)+SUMIFS('20'!$J$7:$J$100,'20'!$H$7:$H$100,$A355,'20'!$I$7:$I$100,2)+SUMIFS('20a'!$J$7:$J$100,'20a'!$H$7:$H$100,$A355,'20a'!$I$7:$I$100,2)+SUMIFS('21'!$J$7:$J$100,'21'!$H$7:$H$100,$A355,'21'!$I$7:$I$100,2)+SUMIFS('22'!$J$7:$J$100,'22'!$H$7:$H$100,$A355,'22'!$I$7:$I$100,2)+SUMIFS('22a'!$J$7:$J$100,'22a'!$H$7:$H$100,$A355,'22a'!$I$7:$I$100,2)+SUMIFS('22b'!$J$7:$J$100,'22b'!$H$7:$H$100,$A355,'22b'!$I$7:$I$100,2)+SUMIFS('23'!$J$7:$J$100,'23'!$H$7:$H$100,$A355,'23'!$I$7:$I$100,2)+SUMIFS('24'!$J$7:$J$100,'24'!$H$7:$H$100,$A355,'24'!$I$7:$I$100,2)+SUMIFS('24a'!$J$7:$J$100,'24a'!$H$7:$H$100,$A355,'24a'!$I$7:$I$100,2)+SUMIFS('24b'!$J$7:$J$100,'24b'!$H$7:$H$100,$A355,'24b'!$I$7:$I$100,2)+SUMIFS('24c'!$J$7:$J$100,'24c'!$H$7:$H$100,$A355,'24c'!$I$7:$I$100,2)+SUMIFS('24d'!$J$7:$J$100,'24d'!$H$7:$H$100,$A355,'24d'!$I$7:$I$100,2)+SUMIFS('24e'!$J$7:$J$100,'24e'!$H$7:$H$100,$A355,'24e'!$I$7:$I$100,2)+SUMIFS('24f'!$J$7:$J$100,'24f'!$H$7:$H$100,$A355,'24f'!$I$7:$I$100,2)+SUMIFS('24g'!$J$7:$J$100,'24g'!$H$7:$H$100,$A355,'24g'!$I$7:$I$100,2)+SUMIFS('24h'!$J$7:$J$100,'24h'!$H$7:$H$100,$A355,'24h'!$I$7:$I$100,2)+SUMIFS('24i'!$J$7:$J$100,'24i'!$H$7:$H$100,$A355,'24i'!$I$7:$I$100,2)+SUMIFS('25'!$J$7:$J$100,'25'!$H$7:$H$100,$A355,'25'!$I$7:$I$100,2)+SUMIFS('26'!$J$7:$J$100,'26'!$H$7:$H$100,$A355,'26'!$I$7:$I$100,2)+SUMIFS('26a'!$J$7:$J$100,'26a'!$H$7:$H$100,$A355,'26a'!$I$7:$I$100,2)+SUMIFS('27'!$J$7:$J$100,'27'!$H$7:$H$100,$A355,'27'!$I$7:$I$100,2)+SUMIFS('27a'!$J$7:$J$100,'27a'!$H$7:$H$100,$A355,'27a'!$I$7:$I$100,2)+SUMIFS('28'!$J$7:$J$100,'28'!$H$7:$H$100,$A355,'28'!$I$7:$I$100,2)+SUMIFS('29'!$J$7:$J$100,'29'!$H$7:$H$100,$A355,'29'!$I$7:$I$100,2)</f>
        <v>0</v>
      </c>
      <c r="I355" s="1315">
        <f>SUMIFS('12'!$J$7:$J$100,'12'!$H$7:$H$100,$A355,'12'!$I$7:$I$100,"")+SUMIFS('13'!$J$7:$J$100,'13'!$H$7:$H$100,$A355,'13'!$I$7:$I$100,"")+SUMIFS('14'!$J$7:$J$100,'14'!$H$7:$H$100,$A355,'14'!$I$7:$I$100,"")+SUMIFS('15'!$J$7:$J$100,'15'!$H$7:$H$100,$A355,'15'!$I$7:$I$100,"")+SUMIFS('15a'!$J$7:$J$100,'15a'!$H$7:$H$100,$A355,'15a'!$I$7:$I$100,"")+SUMIFS('15b'!$J$7:$J$100,'15b'!$H$7:$H$100,$A355,'15b'!$I$7:$I$100,"")+SUMIFS('15c'!$J$7:$J$100,'15c'!$H$7:$H$100,$A355,'15c'!$I$7:$I$100,"")+SUMIFS('15d'!$J$7:$J$100,'15d'!$H$7:$H$100,$A355,'15d'!$I$7:$I$100,"")+SUMIFS('15e'!$J$7:$J$100,'15e'!$H$7:$H$100,$A355,'15e'!$I$7:$I$100,"")+SUMIFS('15f'!$J$7:$J$100,'15f'!$H$7:$H$100,$A355,'15f'!$I$7:$I$100,"")+SUMIFS('15g'!$J$7:$J$100,'15g'!$H$7:$H$100,$A355,'15g'!$I$7:$I$100,"")+SUMIFS('15h'!$J$7:$J$100,'15h'!$H$7:$H$100,$A355,'15h'!$I$7:$I$100,"")+SUMIFS('15i'!$J$7:$J$100,'15i'!$H$7:$H$100,$A355,'15i'!$I$7:$I$100,"")+SUMIFS('15j'!$J$7:$J$100,'15j'!$H$7:$H$100,$A355,'15j'!$I$7:$I$100,"")+SUMIFS('15k'!$J$7:$J$100,'15k'!$H$7:$H$100,$A355,'15k'!$I$7:$I$100,"")+SUMIFS('15l'!$J$7:$J$100,'15l'!$H$7:$H$100,$A355,'15l'!$I$7:$I$100,"")+SUMIFS('15m'!$J$7:$J$100,'15m'!$H$7:$H$100,$A355,'15m'!$I$7:$I$100,"")+SUMIFS('15n'!$J$7:$J$100,'15n'!$H$7:$H$100,$A355,'15n'!$I$7:$I$100,"")+SUMIFS('16'!$J$7:$J$100,'16'!$H$7:$H$100,$A355,'16'!$I$7:$I$100,"")+SUMIFS('16a'!$J$7:$J$100,'16a'!$H$7:$H$100,$A355,'16a'!$I$7:$I$100,"")+SUMIFS('17'!$J$7:$J$100,'17'!$H$7:$H$100,$A355,'17'!$I$7:$I$100,"")+SUMIFS('17a'!$J$7:$J$100,'17a'!$H$7:$H$100,$A355,'17a'!$I$7:$I$100,"")+SUMIFS('18'!$J$7:$J$100,'18'!$H$7:$H$100,$A355,'18'!$I$7:$I$100,"")+SUMIFS('18a'!$J$7:$J$100,'18a'!$H$7:$H$100,$A355,'18a'!$I$7:$I$100,"")
+SUMIFS('19'!$J$7:$J$100,'19'!$H$7:$H$100,$A355,'19'!$I$7:$I$100,"")+SUMIFS('20'!$J$7:$J$100,'20'!$H$7:$H$100,$A355,'20'!$I$7:$I$100,"")+SUMIFS('20a'!$J$7:$J$100,'20a'!$H$7:$H$100,$A355,'20a'!$I$7:$I$100,"")+SUMIFS('21'!$J$7:$J$100,'21'!$H$7:$H$100,$A355,'21'!$I$7:$I$100,"")+SUMIFS('22'!$J$7:$J$100,'22'!$H$7:$H$100,$A355,'22'!$I$7:$I$100,"")+SUMIFS('22a'!$J$7:$J$100,'22a'!$H$7:$H$100,$A355,'22a'!$I$7:$I$100,"")+SUMIFS('22b'!$J$7:$J$100,'22b'!$H$7:$H$100,$A355,'22b'!$I$7:$I$100,"")+SUMIFS('23'!$J$7:$J$100,'23'!$H$7:$H$100,$A355,'23'!$I$7:$I$100,"")+SUMIFS('24'!$J$7:$J$100,'24'!$H$7:$H$100,$A355,'24'!$I$7:$I$100,"")+SUMIFS('24a'!$J$7:$J$100,'24a'!$H$7:$H$100,$A355,'24a'!$I$7:$I$100,"")+SUMIFS('24b'!$J$7:$J$100,'24b'!$H$7:$H$100,$A355,'24b'!$I$7:$I$100,"")+SUMIFS('24c'!$J$7:$J$100,'24c'!$H$7:$H$100,$A355,'24c'!$I$7:$I$100,"")+SUMIFS('24d'!$J$7:$J$100,'24d'!$H$7:$H$100,$A355,'24d'!$I$7:$I$100,"")+SUMIFS('24e'!$J$7:$J$100,'24e'!$H$7:$H$100,$A355,'24e'!$I$7:$I$100,"")+SUMIFS('24f'!$J$7:$J$100,'24f'!$H$7:$H$100,$A355,'24f'!$I$7:$I$100,"")+SUMIFS('24g'!$J$7:$J$100,'24g'!$H$7:$H$100,$A355,'24g'!$I$7:$I$100,"")+SUMIFS('24h'!$J$7:$J$100,'24h'!$H$7:$H$100,$A355,'24h'!$I$7:$I$100,"")+SUMIFS('24i'!$J$7:$J$100,'24i'!$H$7:$H$100,$A355,'24i'!$I$7:$I$100,"")+SUMIFS('25'!$J$7:$J$100,'25'!$H$7:$H$100,$A355,'25'!$I$7:$I$100,"")+SUMIFS('26'!$J$7:$J$100,'26'!$H$7:$H$100,$A355,'26'!$I$7:$I$100,"")+SUMIFS('26a'!$J$7:$J$100,'26a'!$H$7:$H$100,$A355,'26a'!$I$7:$I$100,"")+SUMIFS('27'!$J$7:$J$100,'27'!$H$7:$H$100,$A355,'27'!$I$7:$I$100,"")+SUMIFS('27a'!$J$7:$J$100,'27a'!$H$7:$H$100,$A355,'27a'!$I$7:$I$100,"")+SUMIFS('28'!$J$7:$J$100,'28'!$H$7:$H$100,$A355,'28'!$I$7:$I$100,"")+SUMIFS('29'!$J$7:$J$100,'29'!$H$7:$H$100,$A355,'29'!$I$7:$I$100,"")</f>
        <v>0</v>
      </c>
      <c r="J355" s="1296">
        <f t="shared" si="51"/>
        <v>0</v>
      </c>
      <c r="K355"/>
      <c r="L355"/>
      <c r="M355"/>
      <c r="N355"/>
      <c r="O355"/>
      <c r="P355"/>
      <c r="Q355"/>
      <c r="R355"/>
      <c r="S355" s="1307">
        <f t="shared" si="48"/>
        <v>0</v>
      </c>
      <c r="T355"/>
    </row>
    <row r="356" spans="1:20" x14ac:dyDescent="0.2">
      <c r="A356" t="s">
        <v>161</v>
      </c>
      <c r="B356" t="s">
        <v>3347</v>
      </c>
      <c r="C356" s="1295">
        <f>SUMIFS('12'!$N$7:$N$100,'12'!$H$7:$H$100,$A356,'12'!$I$7:$I$100,1)+SUMIFS('13'!$N$7:$N$100,'13'!$H$7:$H$100,$A356,'13'!$I$7:$I$100,1)+SUMIFS('14'!$N$7:$N$100,'14'!$H$7:$H$100,$A356,'14'!$I$7:$I$100,1)+SUMIFS('15'!$N$7:$N$100,'15'!$H$7:$H$100,$A356,'15'!$I$7:$I$100,1)+SUMIFS('15a'!$N$7:$N$100,'15a'!$H$7:$H$100,$A356,'15a'!$I$7:$I$100,1)+SUMIFS('15b'!$N$7:$N$100,'15b'!$H$7:$H$100,$A356,'15b'!$I$7:$I$100,1)+SUMIFS('15c'!$N$7:$N$100,'15c'!$H$7:$H$100,$A356,'15c'!$I$7:$I$100,1)+SUMIFS('15d'!$N$7:$N$100,'15d'!$H$7:$H$100,$A356,'15d'!$I$7:$I$100,1)+SUMIFS('15e'!$N$7:$N$100,'15e'!$H$7:$H$100,$A356,'15e'!$I$7:$I$100,1)+SUMIFS('15f'!$N$7:$N$100,'15f'!$H$7:$H$100,$A356,'15f'!$I$7:$I$100,1)+SUMIFS('15g'!$N$7:$N$100,'15g'!$H$7:$H$100,$A356,'15g'!$I$7:$I$100,1)+SUMIFS('15h'!$N$7:$N$100,'15h'!$H$7:$H$100,$A356,'15h'!$I$7:$I$100,1)+SUMIFS('15i'!$N$7:$N$100,'15i'!$H$7:$H$100,$A356,'15i'!$I$7:$I$100,1)+SUMIFS('15j'!$N$7:$N$100,'15j'!$H$7:$H$100,$A356,'15j'!$I$7:$I$100,1)+SUMIFS('15k'!$N$7:$N$100,'15k'!$H$7:$H$100,$A356,'15k'!$I$7:$I$100,1)+SUMIFS('15l'!$N$7:$N$100,'15l'!$H$7:$H$100,$A356,'15l'!$I$7:$I$100,1)+SUMIFS('15m'!$N$7:$N$100,'15m'!$H$7:$H$100,$A356,'15m'!$I$7:$I$100,1)+SUMIFS('15n'!$N$7:$N$100,'15n'!$H$7:$H$100,$A356,'15n'!$I$7:$I$100,1)+SUMIFS('16'!$N$7:$N$100,'16'!$H$7:$H$100,$A356,'16'!$I$7:$I$100,1)+SUMIFS('16a'!$N$7:$N$100,'16a'!$H$7:$H$100,$A356,'16a'!$I$7:$I$100,1)+SUMIFS('17'!$N$7:$N$100,'17'!$H$7:$H$100,$A356,'17'!$I$7:$I$100,1)+SUMIFS('17a'!$N$7:$N$100,'17a'!$H$7:$H$100,$A356,'17a'!$I$7:$I$100,1)+SUMIFS('18'!$N$7:$N$100,'18'!$H$7:$H$100,$A356,'18'!$I$7:$I$100,1)+SUMIFS('18a'!$N$7:$N$100,'18a'!$H$7:$H$100,$A356,'18a'!$I$7:$I$100,1)
+SUMIFS('19'!$N$7:$N$100,'19'!$H$7:$H$100,$A356,'19'!$I$7:$I$100,1)+SUMIFS('20'!$N$7:$N$100,'20'!$H$7:$H$100,$A356,'20'!$I$7:$I$100,1)+SUMIFS('20a'!$N$7:$N$100,'20a'!$H$7:$H$100,$A356,'20a'!$I$7:$I$100,1)+SUMIFS('21'!$N$7:$N$100,'21'!$H$7:$H$100,$A356,'21'!$I$7:$I$100,1)+SUMIFS('22'!$N$7:$N$100,'22'!$H$7:$H$100,$A356,'22'!$I$7:$I$100,1)+SUMIFS('22a'!$N$7:$N$100,'22a'!$H$7:$H$100,$A356,'22a'!$I$7:$I$100,1)+SUMIFS('22b'!$N$7:$N$100,'22b'!$H$7:$H$100,$A356,'22b'!$I$7:$I$100,1)+SUMIFS('23'!$N$7:$N$100,'23'!$H$7:$H$100,$A356,'23'!$I$7:$I$100,1)+SUMIFS('24'!$N$7:$N$100,'24'!$H$7:$H$100,$A356,'24'!$I$7:$I$100,1)+SUMIFS('24a'!$N$7:$N$100,'24a'!$H$7:$H$100,$A356,'24a'!$I$7:$I$100,1)+SUMIFS('24b'!$N$7:$N$100,'24b'!$H$7:$H$100,$A356,'24b'!$I$7:$I$100,1)+SUMIFS('24c'!$N$7:$N$100,'24c'!$H$7:$H$100,$A356,'24c'!$I$7:$I$100,1)+SUMIFS('24d'!$N$7:$N$100,'24d'!$H$7:$H$100,$A356,'24d'!$I$7:$I$100,1)+SUMIFS('24e'!$N$7:$N$100,'24e'!$H$7:$H$100,$A356,'24e'!$I$7:$I$100,1)+SUMIFS('24f'!$N$7:$N$100,'24f'!$H$7:$H$100,$A356,'24f'!$I$7:$I$100,1)+SUMIFS('24g'!$N$7:$N$100,'24g'!$H$7:$H$100,$A356,'24g'!$I$7:$I$100,1)+SUMIFS('24h'!$N$7:$N$100,'24h'!$H$7:$H$100,$A356,'24h'!$I$7:$I$100,1)+SUMIFS('24i'!$N$7:$N$100,'24i'!$H$7:$H$100,$A356,'24i'!$I$7:$I$100,1)+SUMIFS('25'!$N$7:$N$100,'25'!$H$7:$H$100,$A356,'25'!$I$7:$I$100,1)+SUMIFS('26'!$N$7:$N$100,'26'!$H$7:$H$100,$A356,'26'!$I$7:$I$100,1)+SUMIFS('26a'!$N$7:$N$100,'26a'!$H$7:$H$100,$A356,'26a'!$I$7:$I$100,1)+SUMIFS('27'!$N$7:$N$100,'27'!$H$7:$H$100,$A356,'27'!$I$7:$I$100,1)+SUMIFS('27a'!$N$7:$N$100,'27a'!$H$7:$H$100,$A356,'27a'!$I$7:$I$100,1)+SUMIFS('28'!$N$7:$N$100,'28'!$H$7:$H$100,$A356,'28'!$I$7:$I$100,1)+SUMIFS('29'!$N$7:$N$100,'29'!$H$7:$H$100,$A356,'29'!$I$7:$I$100,1)</f>
        <v>0</v>
      </c>
      <c r="D356" s="1315">
        <f>SUMIFS('12'!$N$7:$N$100,'12'!$H$7:$H$100,$A356,'12'!$I$7:$I$100,2)+SUMIFS('13'!$N$7:$N$100,'13'!$H$7:$H$100,$A356,'13'!$I$7:$I$100,2)+SUMIFS('14'!$N$7:$N$100,'14'!$H$7:$H$100,$A356,'14'!$I$7:$I$100,2)+SUMIFS('15'!$N$7:$N$100,'15'!$H$7:$H$100,$A356,'15'!$I$7:$I$100,2)+SUMIFS('15a'!$N$7:$N$100,'15a'!$H$7:$H$100,$A356,'15a'!$I$7:$I$100,2)+SUMIFS('15b'!$N$7:$N$100,'15b'!$H$7:$H$100,$A356,'15b'!$I$7:$I$100,2)+SUMIFS('15c'!$N$7:$N$100,'15c'!$H$7:$H$100,$A356,'15c'!$I$7:$I$100,2)+SUMIFS('15d'!$N$7:$N$100,'15d'!$H$7:$H$100,$A356,'15d'!$I$7:$I$100,2)+SUMIFS('15e'!$N$7:$N$100,'15e'!$H$7:$H$100,$A356,'15e'!$I$7:$I$100,2)+SUMIFS('15f'!$N$7:$N$100,'15f'!$H$7:$H$100,$A356,'15f'!$I$7:$I$100,2)+SUMIFS('15g'!$N$7:$N$100,'15g'!$H$7:$H$100,$A356,'15g'!$I$7:$I$100,2)+SUMIFS('15h'!$N$7:$N$100,'15h'!$H$7:$H$100,$A356,'15h'!$I$7:$I$100,2)+SUMIFS('15i'!$N$7:$N$100,'15i'!$H$7:$H$100,$A356,'15i'!$I$7:$I$100,2)+SUMIFS('15j'!$N$7:$N$100,'15j'!$H$7:$H$100,$A356,'15j'!$I$7:$I$100,2)+SUMIFS('15k'!$N$7:$N$100,'15k'!$H$7:$H$100,$A356,'15k'!$I$7:$I$100,2)+SUMIFS('15l'!$N$7:$N$100,'15l'!$H$7:$H$100,$A356,'15l'!$I$7:$I$100,2)+SUMIFS('15m'!$N$7:$N$100,'15m'!$H$7:$H$100,$A356,'15m'!$I$7:$I$100,2)+SUMIFS('15n'!$N$7:$N$100,'15n'!$H$7:$H$100,$A356,'15n'!$I$7:$I$100,2)+SUMIFS('16'!$N$7:$N$100,'16'!$H$7:$H$100,$A356,'16'!$I$7:$I$100,2)+SUMIFS('16a'!$N$7:$N$100,'16a'!$H$7:$H$100,$A356,'16a'!$I$7:$I$100,2)+SUMIFS('17'!$N$7:$N$100,'17'!$H$7:$H$100,$A356,'17'!$I$7:$I$100,2)+SUMIFS('17a'!$N$7:$N$100,'17a'!$H$7:$H$100,$A356,'17a'!$I$7:$I$100,2)+SUMIFS('18'!$N$7:$N$100,'18'!$H$7:$H$100,$A356,'18'!$I$7:$I$100,2)+SUMIFS('18a'!$N$7:$N$100,'18a'!$H$7:$H$100,$A356,'18a'!$I$7:$I$100,2)
+SUMIFS('19'!$N$7:$N$100,'19'!$H$7:$H$100,$A356,'19'!$I$7:$I$100,2)+SUMIFS('20'!$N$7:$N$100,'20'!$H$7:$H$100,$A356,'20'!$I$7:$I$100,2)+SUMIFS('20a'!$N$7:$N$100,'20a'!$H$7:$H$100,$A356,'20a'!$I$7:$I$100,2)+SUMIFS('21'!$N$7:$N$100,'21'!$H$7:$H$100,$A356,'21'!$I$7:$I$100,2)+SUMIFS('22'!$N$7:$N$100,'22'!$H$7:$H$100,$A356,'22'!$I$7:$I$100,2)+SUMIFS('22a'!$N$7:$N$100,'22a'!$H$7:$H$100,$A356,'22a'!$I$7:$I$100,2)+SUMIFS('22b'!$N$7:$N$100,'22b'!$H$7:$H$100,$A356,'22b'!$I$7:$I$100,2)+SUMIFS('23'!$N$7:$N$100,'23'!$H$7:$H$100,$A356,'23'!$I$7:$I$100,2)+SUMIFS('24'!$N$7:$N$100,'24'!$H$7:$H$100,$A356,'24'!$I$7:$I$100,2)+SUMIFS('24a'!$N$7:$N$100,'24a'!$H$7:$H$100,$A356,'24a'!$I$7:$I$100,2)+SUMIFS('24b'!$N$7:$N$100,'24b'!$H$7:$H$100,$A356,'24b'!$I$7:$I$100,2)+SUMIFS('24c'!$N$7:$N$100,'24c'!$H$7:$H$100,$A356,'24c'!$I$7:$I$100,2)+SUMIFS('24d'!$N$7:$N$100,'24d'!$H$7:$H$100,$A356,'24d'!$I$7:$I$100,2)+SUMIFS('24e'!$N$7:$N$100,'24e'!$H$7:$H$100,$A356,'24e'!$I$7:$I$100,2)+SUMIFS('24f'!$N$7:$N$100,'24f'!$H$7:$H$100,$A356,'24f'!$I$7:$I$100,2)+SUMIFS('24g'!$N$7:$N$100,'24g'!$H$7:$H$100,$A356,'24g'!$I$7:$I$100,2)+SUMIFS('24h'!$N$7:$N$100,'24h'!$H$7:$H$100,$A356,'24h'!$I$7:$I$100,2)+SUMIFS('24i'!$N$7:$N$100,'24i'!$H$7:$H$100,$A356,'24i'!$I$7:$I$100,2)+SUMIFS('25'!$N$7:$N$100,'25'!$H$7:$H$100,$A356,'25'!$I$7:$I$100,2)+SUMIFS('26'!$N$7:$N$100,'26'!$H$7:$H$100,$A356,'26'!$I$7:$I$100,2)+SUMIFS('26a'!$N$7:$N$100,'26a'!$H$7:$H$100,$A356,'26a'!$I$7:$I$100,2)+SUMIFS('27'!$N$7:$N$100,'27'!$H$7:$H$100,$A356,'27'!$I$7:$I$100,2)+SUMIFS('27a'!$N$7:$N$100,'27a'!$H$7:$H$100,$A356,'27a'!$I$7:$I$100,2)+SUMIFS('28'!$N$7:$N$100,'28'!$H$7:$H$100,$A356,'28'!$I$7:$I$100,2)+SUMIFS('29'!$N$7:$N$100,'29'!$H$7:$H$100,$A356,'29'!$I$7:$I$100,2)</f>
        <v>0</v>
      </c>
      <c r="E356" s="1315">
        <f>SUMIFS('12'!$N$7:$N$100,'12'!$H$7:$H$100,$A356,'12'!$I$7:$I$100,"")+SUMIFS('13'!$N$7:$N$100,'13'!$H$7:$H$100,$A356,'13'!$I$7:$I$100,"")+SUMIFS('14'!$N$7:$N$100,'14'!$H$7:$H$100,$A356,'14'!$I$7:$I$100,"")+SUMIFS('15'!$N$7:$N$100,'15'!$H$7:$H$100,$A356,'15'!$I$7:$I$100,"")+SUMIFS('15a'!$N$7:$N$100,'15a'!$H$7:$H$100,$A356,'15a'!$I$7:$I$100,"")+SUMIFS('15b'!$N$7:$N$100,'15b'!$H$7:$H$100,$A356,'15b'!$I$7:$I$100,"")+SUMIFS('15c'!$N$7:$N$100,'15c'!$H$7:$H$100,$A356,'15c'!$I$7:$I$100,"")+SUMIFS('15d'!$N$7:$N$100,'15d'!$H$7:$H$100,$A356,'15d'!$I$7:$I$100,"")+SUMIFS('15e'!$N$7:$N$100,'15e'!$H$7:$H$100,$A356,'15e'!$I$7:$I$100,"")+SUMIFS('15f'!$N$7:$N$100,'15f'!$H$7:$H$100,$A356,'15f'!$I$7:$I$100,"")+SUMIFS('15g'!$N$7:$N$100,'15g'!$H$7:$H$100,$A356,'15g'!$I$7:$I$100,"")+SUMIFS('15h'!$N$7:$N$100,'15h'!$H$7:$H$100,$A356,'15h'!$I$7:$I$100,"")+SUMIFS('15i'!$N$7:$N$100,'15i'!$H$7:$H$100,$A356,'15i'!$I$7:$I$100,"")+SUMIFS('15j'!$N$7:$N$100,'15j'!$H$7:$H$100,$A356,'15j'!$I$7:$I$100,"")+SUMIFS('15k'!$N$7:$N$100,'15k'!$H$7:$H$100,$A356,'15k'!$I$7:$I$100,"")+SUMIFS('15l'!$N$7:$N$100,'15l'!$H$7:$H$100,$A356,'15l'!$I$7:$I$100,"")+SUMIFS('15m'!$N$7:$N$100,'15m'!$H$7:$H$100,$A356,'15m'!$I$7:$I$100,"")+SUMIFS('15n'!$N$7:$N$100,'15n'!$H$7:$H$100,$A356,'15n'!$I$7:$I$100,"")+SUMIFS('16'!$N$7:$N$100,'16'!$H$7:$H$100,$A356,'16'!$I$7:$I$100,"")+SUMIFS('16a'!$N$7:$N$100,'16a'!$H$7:$H$100,$A356,'16a'!$I$7:$I$100,"")+SUMIFS('17'!$N$7:$N$100,'17'!$H$7:$H$100,$A356,'17'!$I$7:$I$100,"")+SUMIFS('17a'!$N$7:$N$100,'17a'!$H$7:$H$100,$A356,'17a'!$I$7:$I$100,"")+SUMIFS('18'!$N$7:$N$100,'18'!$H$7:$H$100,$A356,'18'!$I$7:$I$100,"")+SUMIFS('18a'!$N$7:$N$100,'18a'!$H$7:$H$100,$A356,'18a'!$I$7:$I$100,"")
+SUMIFS('19'!$N$7:$N$100,'19'!$H$7:$H$100,$A356,'19'!$I$7:$I$100,"")+SUMIFS('20'!$N$7:$N$100,'20'!$H$7:$H$100,$A356,'20'!$I$7:$I$100,"")+SUMIFS('20a'!$N$7:$N$100,'20a'!$H$7:$H$100,$A356,'20a'!$I$7:$I$100,"")+SUMIFS('21'!$N$7:$N$100,'21'!$H$7:$H$100,$A356,'21'!$I$7:$I$100,"")+SUMIFS('22'!$N$7:$N$100,'22'!$H$7:$H$100,$A356,'22'!$I$7:$I$100,"")+SUMIFS('22a'!$N$7:$N$100,'22a'!$H$7:$H$100,$A356,'22a'!$I$7:$I$100,"")+SUMIFS('22b'!$N$7:$N$100,'22b'!$H$7:$H$100,$A356,'22b'!$I$7:$I$100,"")+SUMIFS('23'!$N$7:$N$100,'23'!$H$7:$H$100,$A356,'23'!$I$7:$I$100,"")+SUMIFS('24'!$N$7:$N$100,'24'!$H$7:$H$100,$A356,'24'!$I$7:$I$100,"")+SUMIFS('24a'!$N$7:$N$100,'24a'!$H$7:$H$100,$A356,'24a'!$I$7:$I$100,"")+SUMIFS('24b'!$N$7:$N$100,'24b'!$H$7:$H$100,$A356,'24b'!$I$7:$I$100,"")+SUMIFS('24c'!$N$7:$N$100,'24c'!$H$7:$H$100,$A356,'24c'!$I$7:$I$100,"")+SUMIFS('24d'!$N$7:$N$100,'24d'!$H$7:$H$100,$A356,'24d'!$I$7:$I$100,"")+SUMIFS('24e'!$N$7:$N$100,'24e'!$H$7:$H$100,$A356,'24e'!$I$7:$I$100,"")+SUMIFS('24f'!$N$7:$N$100,'24f'!$H$7:$H$100,$A356,'24f'!$I$7:$I$100,"")+SUMIFS('24g'!$N$7:$N$100,'24g'!$H$7:$H$100,$A356,'24g'!$I$7:$I$100,"")+SUMIFS('24h'!$N$7:$N$100,'24h'!$H$7:$H$100,$A356,'24h'!$I$7:$I$100,"")+SUMIFS('24i'!$N$7:$N$100,'24i'!$H$7:$H$100,$A356,'24i'!$I$7:$I$100,"")+SUMIFS('25'!$N$7:$N$100,'25'!$H$7:$H$100,$A356,'25'!$I$7:$I$100,"")+SUMIFS('26'!$N$7:$N$100,'26'!$H$7:$H$100,$A356,'26'!$I$7:$I$100,"")+SUMIFS('26a'!$N$7:$N$100,'26a'!$H$7:$H$100,$A356,'26a'!$I$7:$I$100,"")+SUMIFS('27'!$N$7:$N$100,'27'!$H$7:$H$100,$A356,'27'!$I$7:$I$100,"")+SUMIFS('27a'!$N$7:$N$100,'27a'!$H$7:$H$100,$A356,'27a'!$I$7:$I$100,"")+SUMIFS('28'!$N$7:$N$100,'28'!$H$7:$H$100,$A356,'28'!$I$7:$I$100,"")+SUMIFS('29'!$N$7:$N$100,'29'!$H$7:$H$100,$A356,'29'!$I$7:$I$100,"")</f>
        <v>0</v>
      </c>
      <c r="F356" s="1296">
        <f t="shared" si="50"/>
        <v>0</v>
      </c>
      <c r="G356" s="1295">
        <f>SUMIFS('12'!$J$7:$J$100,'12'!$H$7:$H$100,$A356,'12'!$I$7:$I$100,1)+SUMIFS('13'!$J$7:$J$100,'13'!$H$7:$H$100,$A356,'13'!$I$7:$I$100,1)+SUMIFS('14'!$J$7:$J$100,'14'!$H$7:$H$100,$A356,'14'!$I$7:$I$100,1)+SUMIFS('15'!$J$7:$J$100,'15'!$H$7:$H$100,$A356,'15'!$I$7:$I$100,1)+SUMIFS('15a'!$J$7:$J$100,'15a'!$H$7:$H$100,$A356,'15a'!$I$7:$I$100,1)+SUMIFS('15b'!$J$7:$J$100,'15b'!$H$7:$H$100,$A356,'15b'!$I$7:$I$100,1)+SUMIFS('15c'!$J$7:$J$100,'15c'!$H$7:$H$100,$A356,'15c'!$I$7:$I$100,1)+SUMIFS('15d'!$J$7:$J$100,'15d'!$H$7:$H$100,$A356,'15d'!$I$7:$I$100,1)+SUMIFS('15e'!$J$7:$J$100,'15e'!$H$7:$H$100,$A356,'15e'!$I$7:$I$100,1)+SUMIFS('15f'!$J$7:$J$100,'15f'!$H$7:$H$100,$A356,'15f'!$I$7:$I$100,1)+SUMIFS('15g'!$J$7:$J$100,'15g'!$H$7:$H$100,$A356,'15g'!$I$7:$I$100,1)+SUMIFS('15h'!$J$7:$J$100,'15h'!$H$7:$H$100,$A356,'15h'!$I$7:$I$100,1)+SUMIFS('15i'!$J$7:$J$100,'15i'!$H$7:$H$100,$A356,'15i'!$I$7:$I$100,1)+SUMIFS('15j'!$J$7:$J$100,'15j'!$H$7:$H$100,$A356,'15j'!$I$7:$I$100,1)+SUMIFS('15k'!$J$7:$J$100,'15k'!$H$7:$H$100,$A356,'15k'!$I$7:$I$100,1)+SUMIFS('15l'!$J$7:$J$100,'15l'!$H$7:$H$100,$A356,'15l'!$I$7:$I$100,1)+SUMIFS('15m'!$J$7:$J$100,'15m'!$H$7:$H$100,$A356,'15m'!$I$7:$I$100,1)+SUMIFS('15n'!$J$7:$J$100,'15n'!$H$7:$H$100,$A356,'15n'!$I$7:$I$100,1)+SUMIFS('16'!$J$7:$J$100,'16'!$H$7:$H$100,$A356,'16'!$I$7:$I$100,1)+SUMIFS('16a'!$J$7:$J$100,'16a'!$H$7:$H$100,$A356,'16a'!$I$7:$I$100,1)+SUMIFS('17'!$J$7:$J$100,'17'!$H$7:$H$100,$A356,'17'!$I$7:$I$100,1)+SUMIFS('17a'!$J$7:$J$100,'17a'!$H$7:$H$100,$A356,'17a'!$I$7:$I$100,1)+SUMIFS('18'!$J$7:$J$100,'18'!$H$7:$H$100,$A356,'18'!$I$7:$I$100,1)+SUMIFS('18a'!$J$7:$J$100,'18a'!$H$7:$H$100,$A356,'18a'!$I$7:$I$100,1)
+SUMIFS('19'!$J$7:$J$100,'19'!$H$7:$H$100,$A356,'19'!$I$7:$I$100,1)+SUMIFS('20'!$J$7:$J$100,'20'!$H$7:$H$100,$A356,'20'!$I$7:$I$100,1)+SUMIFS('20a'!$J$7:$J$100,'20a'!$H$7:$H$100,$A356,'20a'!$I$7:$I$100,1)+SUMIFS('21'!$J$7:$J$100,'21'!$H$7:$H$100,$A356,'21'!$I$7:$I$100,1)+SUMIFS('22'!$J$7:$J$100,'22'!$H$7:$H$100,$A356,'22'!$I$7:$I$100,1)+SUMIFS('22a'!$J$7:$J$100,'22a'!$H$7:$H$100,$A356,'22a'!$I$7:$I$100,1)+SUMIFS('22b'!$J$7:$J$100,'22b'!$H$7:$H$100,$A356,'22b'!$I$7:$I$100,1)+SUMIFS('23'!$J$7:$J$100,'23'!$H$7:$H$100,$A356,'23'!$I$7:$I$100,1)+SUMIFS('24'!$J$7:$J$100,'24'!$H$7:$H$100,$A356,'24'!$I$7:$I$100,1)+SUMIFS('24a'!$J$7:$J$100,'24a'!$H$7:$H$100,$A356,'24a'!$I$7:$I$100,1)+SUMIFS('24b'!$J$7:$J$100,'24b'!$H$7:$H$100,$A356,'24b'!$I$7:$I$100,1)+SUMIFS('24c'!$J$7:$J$100,'24c'!$H$7:$H$100,$A356,'24c'!$I$7:$I$100,1)+SUMIFS('24d'!$J$7:$J$100,'24d'!$H$7:$H$100,$A356,'24d'!$I$7:$I$100,1)+SUMIFS('24e'!$J$7:$J$100,'24e'!$H$7:$H$100,$A356,'24e'!$I$7:$I$100,1)+SUMIFS('24f'!$J$7:$J$100,'24f'!$H$7:$H$100,$A356,'24f'!$I$7:$I$100,1)+SUMIFS('24g'!$J$7:$J$100,'24g'!$H$7:$H$100,$A356,'24g'!$I$7:$I$100,1)+SUMIFS('24h'!$J$7:$J$100,'24h'!$H$7:$H$100,$A356,'24h'!$I$7:$I$100,1)+SUMIFS('24i'!$J$7:$J$100,'24i'!$H$7:$H$100,$A356,'24i'!$I$7:$I$100,1)+SUMIFS('25'!$J$7:$J$100,'25'!$H$7:$H$100,$A356,'25'!$I$7:$I$100,1)+SUMIFS('26'!$J$7:$J$100,'26'!$H$7:$H$100,$A356,'26'!$I$7:$I$100,1)+SUMIFS('26a'!$J$7:$J$100,'26a'!$H$7:$H$100,$A356,'26a'!$I$7:$I$100,1)+SUMIFS('27'!$J$7:$J$100,'27'!$H$7:$H$100,$A356,'27'!$I$7:$I$100,1)+SUMIFS('27a'!$J$7:$J$100,'27a'!$H$7:$H$100,$A356,'27a'!$I$7:$I$100,1)+SUMIFS('28'!$J$7:$J$100,'28'!$H$7:$H$100,$A356,'28'!$I$7:$I$100,1)+SUMIFS('29'!$J$7:$J$100,'29'!$H$7:$H$100,$A356,'29'!$I$7:$I$100,1)</f>
        <v>0</v>
      </c>
      <c r="H356" s="1315">
        <f>SUMIFS('12'!$J$7:$J$100,'12'!$H$7:$H$100,$A356,'12'!$I$7:$I$100,2)+SUMIFS('13'!$J$7:$J$100,'13'!$H$7:$H$100,$A356,'13'!$I$7:$I$100,2)+SUMIFS('14'!$J$7:$J$100,'14'!$H$7:$H$100,$A356,'14'!$I$7:$I$100,2)+SUMIFS('15'!$J$7:$J$100,'15'!$H$7:$H$100,$A356,'15'!$I$7:$I$100,2)+SUMIFS('15a'!$J$7:$J$100,'15a'!$H$7:$H$100,$A356,'15a'!$I$7:$I$100,2)+SUMIFS('15b'!$J$7:$J$100,'15b'!$H$7:$H$100,$A356,'15b'!$I$7:$I$100,2)+SUMIFS('15c'!$J$7:$J$100,'15c'!$H$7:$H$100,$A356,'15c'!$I$7:$I$100,2)+SUMIFS('15d'!$J$7:$J$100,'15d'!$H$7:$H$100,$A356,'15d'!$I$7:$I$100,2)+SUMIFS('15e'!$J$7:$J$100,'15e'!$H$7:$H$100,$A356,'15e'!$I$7:$I$100,2)+SUMIFS('15f'!$J$7:$J$100,'15f'!$H$7:$H$100,$A356,'15f'!$I$7:$I$100,2)+SUMIFS('15g'!$J$7:$J$100,'15g'!$H$7:$H$100,$A356,'15g'!$I$7:$I$100,2)+SUMIFS('15h'!$J$7:$J$100,'15h'!$H$7:$H$100,$A356,'15h'!$I$7:$I$100,2)+SUMIFS('15i'!$J$7:$J$100,'15i'!$H$7:$H$100,$A356,'15i'!$I$7:$I$100,2)+SUMIFS('15j'!$J$7:$J$100,'15j'!$H$7:$H$100,$A356,'15j'!$I$7:$I$100,2)+SUMIFS('15k'!$J$7:$J$100,'15k'!$H$7:$H$100,$A356,'15k'!$I$7:$I$100,2)+SUMIFS('15l'!$J$7:$J$100,'15l'!$H$7:$H$100,$A356,'15l'!$I$7:$I$100,2)+SUMIFS('15m'!$J$7:$J$100,'15m'!$H$7:$H$100,$A356,'15m'!$I$7:$I$100,2)+SUMIFS('15n'!$J$7:$J$100,'15n'!$H$7:$H$100,$A356,'15n'!$I$7:$I$100,2)+SUMIFS('16'!$J$7:$J$100,'16'!$H$7:$H$100,$A356,'16'!$I$7:$I$100,2)+SUMIFS('16a'!$J$7:$J$100,'16a'!$H$7:$H$100,$A356,'16a'!$I$7:$I$100,2)+SUMIFS('17'!$J$7:$J$100,'17'!$H$7:$H$100,$A356,'17'!$I$7:$I$100,2)+SUMIFS('17a'!$J$7:$J$100,'17a'!$H$7:$H$100,$A356,'17a'!$I$7:$I$100,2)+SUMIFS('18'!$J$7:$J$100,'18'!$H$7:$H$100,$A356,'18'!$I$7:$I$100,2)+SUMIFS('18a'!$J$7:$J$100,'18a'!$H$7:$H$100,$A356,'18a'!$I$7:$I$100,2)
+SUMIFS('19'!$J$7:$J$100,'19'!$H$7:$H$100,$A356,'19'!$I$7:$I$100,2)+SUMIFS('20'!$J$7:$J$100,'20'!$H$7:$H$100,$A356,'20'!$I$7:$I$100,2)+SUMIFS('20a'!$J$7:$J$100,'20a'!$H$7:$H$100,$A356,'20a'!$I$7:$I$100,2)+SUMIFS('21'!$J$7:$J$100,'21'!$H$7:$H$100,$A356,'21'!$I$7:$I$100,2)+SUMIFS('22'!$J$7:$J$100,'22'!$H$7:$H$100,$A356,'22'!$I$7:$I$100,2)+SUMIFS('22a'!$J$7:$J$100,'22a'!$H$7:$H$100,$A356,'22a'!$I$7:$I$100,2)+SUMIFS('22b'!$J$7:$J$100,'22b'!$H$7:$H$100,$A356,'22b'!$I$7:$I$100,2)+SUMIFS('23'!$J$7:$J$100,'23'!$H$7:$H$100,$A356,'23'!$I$7:$I$100,2)+SUMIFS('24'!$J$7:$J$100,'24'!$H$7:$H$100,$A356,'24'!$I$7:$I$100,2)+SUMIFS('24a'!$J$7:$J$100,'24a'!$H$7:$H$100,$A356,'24a'!$I$7:$I$100,2)+SUMIFS('24b'!$J$7:$J$100,'24b'!$H$7:$H$100,$A356,'24b'!$I$7:$I$100,2)+SUMIFS('24c'!$J$7:$J$100,'24c'!$H$7:$H$100,$A356,'24c'!$I$7:$I$100,2)+SUMIFS('24d'!$J$7:$J$100,'24d'!$H$7:$H$100,$A356,'24d'!$I$7:$I$100,2)+SUMIFS('24e'!$J$7:$J$100,'24e'!$H$7:$H$100,$A356,'24e'!$I$7:$I$100,2)+SUMIFS('24f'!$J$7:$J$100,'24f'!$H$7:$H$100,$A356,'24f'!$I$7:$I$100,2)+SUMIFS('24g'!$J$7:$J$100,'24g'!$H$7:$H$100,$A356,'24g'!$I$7:$I$100,2)+SUMIFS('24h'!$J$7:$J$100,'24h'!$H$7:$H$100,$A356,'24h'!$I$7:$I$100,2)+SUMIFS('24i'!$J$7:$J$100,'24i'!$H$7:$H$100,$A356,'24i'!$I$7:$I$100,2)+SUMIFS('25'!$J$7:$J$100,'25'!$H$7:$H$100,$A356,'25'!$I$7:$I$100,2)+SUMIFS('26'!$J$7:$J$100,'26'!$H$7:$H$100,$A356,'26'!$I$7:$I$100,2)+SUMIFS('26a'!$J$7:$J$100,'26a'!$H$7:$H$100,$A356,'26a'!$I$7:$I$100,2)+SUMIFS('27'!$J$7:$J$100,'27'!$H$7:$H$100,$A356,'27'!$I$7:$I$100,2)+SUMIFS('27a'!$J$7:$J$100,'27a'!$H$7:$H$100,$A356,'27a'!$I$7:$I$100,2)+SUMIFS('28'!$J$7:$J$100,'28'!$H$7:$H$100,$A356,'28'!$I$7:$I$100,2)+SUMIFS('29'!$J$7:$J$100,'29'!$H$7:$H$100,$A356,'29'!$I$7:$I$100,2)</f>
        <v>0</v>
      </c>
      <c r="I356" s="1315">
        <f>SUMIFS('12'!$J$7:$J$100,'12'!$H$7:$H$100,$A356,'12'!$I$7:$I$100,"")+SUMIFS('13'!$J$7:$J$100,'13'!$H$7:$H$100,$A356,'13'!$I$7:$I$100,"")+SUMIFS('14'!$J$7:$J$100,'14'!$H$7:$H$100,$A356,'14'!$I$7:$I$100,"")+SUMIFS('15'!$J$7:$J$100,'15'!$H$7:$H$100,$A356,'15'!$I$7:$I$100,"")+SUMIFS('15a'!$J$7:$J$100,'15a'!$H$7:$H$100,$A356,'15a'!$I$7:$I$100,"")+SUMIFS('15b'!$J$7:$J$100,'15b'!$H$7:$H$100,$A356,'15b'!$I$7:$I$100,"")+SUMIFS('15c'!$J$7:$J$100,'15c'!$H$7:$H$100,$A356,'15c'!$I$7:$I$100,"")+SUMIFS('15d'!$J$7:$J$100,'15d'!$H$7:$H$100,$A356,'15d'!$I$7:$I$100,"")+SUMIFS('15e'!$J$7:$J$100,'15e'!$H$7:$H$100,$A356,'15e'!$I$7:$I$100,"")+SUMIFS('15f'!$J$7:$J$100,'15f'!$H$7:$H$100,$A356,'15f'!$I$7:$I$100,"")+SUMIFS('15g'!$J$7:$J$100,'15g'!$H$7:$H$100,$A356,'15g'!$I$7:$I$100,"")+SUMIFS('15h'!$J$7:$J$100,'15h'!$H$7:$H$100,$A356,'15h'!$I$7:$I$100,"")+SUMIFS('15i'!$J$7:$J$100,'15i'!$H$7:$H$100,$A356,'15i'!$I$7:$I$100,"")+SUMIFS('15j'!$J$7:$J$100,'15j'!$H$7:$H$100,$A356,'15j'!$I$7:$I$100,"")+SUMIFS('15k'!$J$7:$J$100,'15k'!$H$7:$H$100,$A356,'15k'!$I$7:$I$100,"")+SUMIFS('15l'!$J$7:$J$100,'15l'!$H$7:$H$100,$A356,'15l'!$I$7:$I$100,"")+SUMIFS('15m'!$J$7:$J$100,'15m'!$H$7:$H$100,$A356,'15m'!$I$7:$I$100,"")+SUMIFS('15n'!$J$7:$J$100,'15n'!$H$7:$H$100,$A356,'15n'!$I$7:$I$100,"")+SUMIFS('16'!$J$7:$J$100,'16'!$H$7:$H$100,$A356,'16'!$I$7:$I$100,"")+SUMIFS('16a'!$J$7:$J$100,'16a'!$H$7:$H$100,$A356,'16a'!$I$7:$I$100,"")+SUMIFS('17'!$J$7:$J$100,'17'!$H$7:$H$100,$A356,'17'!$I$7:$I$100,"")+SUMIFS('17a'!$J$7:$J$100,'17a'!$H$7:$H$100,$A356,'17a'!$I$7:$I$100,"")+SUMIFS('18'!$J$7:$J$100,'18'!$H$7:$H$100,$A356,'18'!$I$7:$I$100,"")+SUMIFS('18a'!$J$7:$J$100,'18a'!$H$7:$H$100,$A356,'18a'!$I$7:$I$100,"")
+SUMIFS('19'!$J$7:$J$100,'19'!$H$7:$H$100,$A356,'19'!$I$7:$I$100,"")+SUMIFS('20'!$J$7:$J$100,'20'!$H$7:$H$100,$A356,'20'!$I$7:$I$100,"")+SUMIFS('20a'!$J$7:$J$100,'20a'!$H$7:$H$100,$A356,'20a'!$I$7:$I$100,"")+SUMIFS('21'!$J$7:$J$100,'21'!$H$7:$H$100,$A356,'21'!$I$7:$I$100,"")+SUMIFS('22'!$J$7:$J$100,'22'!$H$7:$H$100,$A356,'22'!$I$7:$I$100,"")+SUMIFS('22a'!$J$7:$J$100,'22a'!$H$7:$H$100,$A356,'22a'!$I$7:$I$100,"")+SUMIFS('22b'!$J$7:$J$100,'22b'!$H$7:$H$100,$A356,'22b'!$I$7:$I$100,"")+SUMIFS('23'!$J$7:$J$100,'23'!$H$7:$H$100,$A356,'23'!$I$7:$I$100,"")+SUMIFS('24'!$J$7:$J$100,'24'!$H$7:$H$100,$A356,'24'!$I$7:$I$100,"")+SUMIFS('24a'!$J$7:$J$100,'24a'!$H$7:$H$100,$A356,'24a'!$I$7:$I$100,"")+SUMIFS('24b'!$J$7:$J$100,'24b'!$H$7:$H$100,$A356,'24b'!$I$7:$I$100,"")+SUMIFS('24c'!$J$7:$J$100,'24c'!$H$7:$H$100,$A356,'24c'!$I$7:$I$100,"")+SUMIFS('24d'!$J$7:$J$100,'24d'!$H$7:$H$100,$A356,'24d'!$I$7:$I$100,"")+SUMIFS('24e'!$J$7:$J$100,'24e'!$H$7:$H$100,$A356,'24e'!$I$7:$I$100,"")+SUMIFS('24f'!$J$7:$J$100,'24f'!$H$7:$H$100,$A356,'24f'!$I$7:$I$100,"")+SUMIFS('24g'!$J$7:$J$100,'24g'!$H$7:$H$100,$A356,'24g'!$I$7:$I$100,"")+SUMIFS('24h'!$J$7:$J$100,'24h'!$H$7:$H$100,$A356,'24h'!$I$7:$I$100,"")+SUMIFS('24i'!$J$7:$J$100,'24i'!$H$7:$H$100,$A356,'24i'!$I$7:$I$100,"")+SUMIFS('25'!$J$7:$J$100,'25'!$H$7:$H$100,$A356,'25'!$I$7:$I$100,"")+SUMIFS('26'!$J$7:$J$100,'26'!$H$7:$H$100,$A356,'26'!$I$7:$I$100,"")+SUMIFS('26a'!$J$7:$J$100,'26a'!$H$7:$H$100,$A356,'26a'!$I$7:$I$100,"")+SUMIFS('27'!$J$7:$J$100,'27'!$H$7:$H$100,$A356,'27'!$I$7:$I$100,"")+SUMIFS('27a'!$J$7:$J$100,'27a'!$H$7:$H$100,$A356,'27a'!$I$7:$I$100,"")+SUMIFS('28'!$J$7:$J$100,'28'!$H$7:$H$100,$A356,'28'!$I$7:$I$100,"")+SUMIFS('29'!$J$7:$J$100,'29'!$H$7:$H$100,$A356,'29'!$I$7:$I$100,"")</f>
        <v>0</v>
      </c>
      <c r="J356" s="1296">
        <f t="shared" si="51"/>
        <v>0</v>
      </c>
      <c r="K356"/>
      <c r="L356"/>
      <c r="M356"/>
      <c r="N356"/>
      <c r="O356"/>
      <c r="P356"/>
      <c r="Q356"/>
      <c r="R356"/>
      <c r="S356" s="1307">
        <f t="shared" si="48"/>
        <v>0</v>
      </c>
      <c r="T356"/>
    </row>
    <row r="357" spans="1:20" x14ac:dyDescent="0.2">
      <c r="A357"/>
      <c r="B357" s="1289" t="str">
        <f>"Total- "&amp;A349</f>
        <v>Total- Statutory Expenditures</v>
      </c>
      <c r="C357" s="1297">
        <f t="shared" ref="C357:J357" si="52">SUM(C350:C356)</f>
        <v>0</v>
      </c>
      <c r="D357" s="1290">
        <f t="shared" si="52"/>
        <v>0</v>
      </c>
      <c r="E357" s="1290">
        <f t="shared" si="52"/>
        <v>5684.09</v>
      </c>
      <c r="F357" s="1298">
        <f t="shared" si="52"/>
        <v>5684.09</v>
      </c>
      <c r="G357" s="1297">
        <f t="shared" si="52"/>
        <v>0</v>
      </c>
      <c r="H357" s="1290">
        <f t="shared" si="52"/>
        <v>0</v>
      </c>
      <c r="I357" s="1290">
        <f t="shared" si="52"/>
        <v>6316.49</v>
      </c>
      <c r="J357" s="1298">
        <f t="shared" si="52"/>
        <v>6316.49</v>
      </c>
      <c r="K357"/>
      <c r="L357"/>
      <c r="M357"/>
      <c r="N357"/>
      <c r="O357"/>
      <c r="P357"/>
      <c r="Q357"/>
      <c r="R357"/>
      <c r="S357" s="1307"/>
      <c r="T357"/>
    </row>
    <row r="358" spans="1:20" x14ac:dyDescent="0.2">
      <c r="A358"/>
      <c r="B358"/>
      <c r="C358" s="292"/>
      <c r="D358"/>
      <c r="E358"/>
      <c r="F358" s="345"/>
      <c r="G358" s="292"/>
      <c r="H358"/>
      <c r="I358"/>
      <c r="J358" s="345"/>
      <c r="K358"/>
      <c r="L358"/>
      <c r="M358"/>
      <c r="N358"/>
      <c r="O358"/>
      <c r="P358"/>
      <c r="Q358"/>
      <c r="R358"/>
      <c r="S358" s="1307"/>
      <c r="T358"/>
    </row>
    <row r="359" spans="1:20" x14ac:dyDescent="0.2">
      <c r="A359" s="106" t="s">
        <v>326</v>
      </c>
      <c r="B359" s="5"/>
      <c r="C359" s="1299"/>
      <c r="D359" s="523"/>
      <c r="E359" s="5"/>
      <c r="F359" s="1322"/>
      <c r="G359" s="1299"/>
      <c r="H359" s="523"/>
      <c r="I359" s="5"/>
      <c r="J359" s="1322"/>
      <c r="K359"/>
      <c r="L359"/>
      <c r="M359"/>
      <c r="N359"/>
      <c r="O359"/>
      <c r="P359"/>
      <c r="Q359"/>
      <c r="R359"/>
      <c r="S359" s="1307"/>
      <c r="T359"/>
    </row>
    <row r="360" spans="1:20" x14ac:dyDescent="0.2">
      <c r="A360" t="s">
        <v>559</v>
      </c>
      <c r="B360" s="784" t="s">
        <v>5588</v>
      </c>
      <c r="C360" s="1295">
        <f>SUMIFS('12'!$N$7:$N$100,'12'!$H$7:$H$100,$A360,'12'!$I$7:$I$100,1)+SUMIFS('13'!$N$7:$N$100,'13'!$H$7:$H$100,$A360,'13'!$I$7:$I$100,1)+SUMIFS('14'!$N$7:$N$100,'14'!$H$7:$H$100,$A360,'14'!$I$7:$I$100,1)+SUMIFS('15'!$N$7:$N$100,'15'!$H$7:$H$100,$A360,'15'!$I$7:$I$100,1)+SUMIFS('15a'!$N$7:$N$100,'15a'!$H$7:$H$100,$A360,'15a'!$I$7:$I$100,1)+SUMIFS('15b'!$N$7:$N$100,'15b'!$H$7:$H$100,$A360,'15b'!$I$7:$I$100,1)+SUMIFS('15c'!$N$7:$N$100,'15c'!$H$7:$H$100,$A360,'15c'!$I$7:$I$100,1)+SUMIFS('15d'!$N$7:$N$100,'15d'!$H$7:$H$100,$A360,'15d'!$I$7:$I$100,1)+SUMIFS('15e'!$N$7:$N$100,'15e'!$H$7:$H$100,$A360,'15e'!$I$7:$I$100,1)+SUMIFS('15f'!$N$7:$N$100,'15f'!$H$7:$H$100,$A360,'15f'!$I$7:$I$100,1)+SUMIFS('15g'!$N$7:$N$100,'15g'!$H$7:$H$100,$A360,'15g'!$I$7:$I$100,1)+SUMIFS('15h'!$N$7:$N$100,'15h'!$H$7:$H$100,$A360,'15h'!$I$7:$I$100,1)+SUMIFS('15i'!$N$7:$N$100,'15i'!$H$7:$H$100,$A360,'15i'!$I$7:$I$100,1)+SUMIFS('15j'!$N$7:$N$100,'15j'!$H$7:$H$100,$A360,'15j'!$I$7:$I$100,1)+SUMIFS('15k'!$N$7:$N$100,'15k'!$H$7:$H$100,$A360,'15k'!$I$7:$I$100,1)+SUMIFS('15l'!$N$7:$N$100,'15l'!$H$7:$H$100,$A360,'15l'!$I$7:$I$100,1)+SUMIFS('15m'!$N$7:$N$100,'15m'!$H$7:$H$100,$A360,'15m'!$I$7:$I$100,1)+SUMIFS('15n'!$N$7:$N$100,'15n'!$H$7:$H$100,$A360,'15n'!$I$7:$I$100,1)+SUMIFS('16'!$N$7:$N$100,'16'!$H$7:$H$100,$A360,'16'!$I$7:$I$100,1)+SUMIFS('16a'!$N$7:$N$100,'16a'!$H$7:$H$100,$A360,'16a'!$I$7:$I$100,1)+SUMIFS('17'!$N$7:$N$100,'17'!$H$7:$H$100,$A360,'17'!$I$7:$I$100,1)+SUMIFS('17a'!$N$7:$N$100,'17a'!$H$7:$H$100,$A360,'17a'!$I$7:$I$100,1)+SUMIFS('18'!$N$7:$N$100,'18'!$H$7:$H$100,$A360,'18'!$I$7:$I$100,1)+SUMIFS('18a'!$N$7:$N$100,'18a'!$H$7:$H$100,$A360,'18a'!$I$7:$I$100,1)
+SUMIFS('19'!$N$7:$N$100,'19'!$H$7:$H$100,$A360,'19'!$I$7:$I$100,1)+SUMIFS('20'!$N$7:$N$100,'20'!$H$7:$H$100,$A360,'20'!$I$7:$I$100,1)+SUMIFS('20a'!$N$7:$N$100,'20a'!$H$7:$H$100,$A360,'20a'!$I$7:$I$100,1)+SUMIFS('21'!$N$7:$N$100,'21'!$H$7:$H$100,$A360,'21'!$I$7:$I$100,1)+SUMIFS('22'!$N$7:$N$100,'22'!$H$7:$H$100,$A360,'22'!$I$7:$I$100,1)+SUMIFS('22a'!$N$7:$N$100,'22a'!$H$7:$H$100,$A360,'22a'!$I$7:$I$100,1)+SUMIFS('22b'!$N$7:$N$100,'22b'!$H$7:$H$100,$A360,'22b'!$I$7:$I$100,1)+SUMIFS('23'!$N$7:$N$100,'23'!$H$7:$H$100,$A360,'23'!$I$7:$I$100,1)+SUMIFS('24'!$N$7:$N$100,'24'!$H$7:$H$100,$A360,'24'!$I$7:$I$100,1)+SUMIFS('24a'!$N$7:$N$100,'24a'!$H$7:$H$100,$A360,'24a'!$I$7:$I$100,1)+SUMIFS('24b'!$N$7:$N$100,'24b'!$H$7:$H$100,$A360,'24b'!$I$7:$I$100,1)+SUMIFS('24c'!$N$7:$N$100,'24c'!$H$7:$H$100,$A360,'24c'!$I$7:$I$100,1)+SUMIFS('24d'!$N$7:$N$100,'24d'!$H$7:$H$100,$A360,'24d'!$I$7:$I$100,1)+SUMIFS('24e'!$N$7:$N$100,'24e'!$H$7:$H$100,$A360,'24e'!$I$7:$I$100,1)+SUMIFS('24f'!$N$7:$N$100,'24f'!$H$7:$H$100,$A360,'24f'!$I$7:$I$100,1)+SUMIFS('24g'!$N$7:$N$100,'24g'!$H$7:$H$100,$A360,'24g'!$I$7:$I$100,1)+SUMIFS('24h'!$N$7:$N$100,'24h'!$H$7:$H$100,$A360,'24h'!$I$7:$I$100,1)+SUMIFS('24i'!$N$7:$N$100,'24i'!$H$7:$H$100,$A360,'24i'!$I$7:$I$100,1)+SUMIFS('25'!$N$7:$N$100,'25'!$H$7:$H$100,$A360,'25'!$I$7:$I$100,1)+SUMIFS('26'!$N$7:$N$100,'26'!$H$7:$H$100,$A360,'26'!$I$7:$I$100,1)+SUMIFS('26a'!$N$7:$N$100,'26a'!$H$7:$H$100,$A360,'26a'!$I$7:$I$100,1)+SUMIFS('27'!$N$7:$N$100,'27'!$H$7:$H$100,$A360,'27'!$I$7:$I$100,1)+SUMIFS('27a'!$N$7:$N$100,'27a'!$H$7:$H$100,$A360,'27a'!$I$7:$I$100,1)+SUMIFS('28'!$N$7:$N$100,'28'!$H$7:$H$100,$A360,'28'!$I$7:$I$100,1)+SUMIFS('29'!$N$7:$N$100,'29'!$H$7:$H$100,$A360,'29'!$I$7:$I$100,1)</f>
        <v>0</v>
      </c>
      <c r="D360" s="1315">
        <f>SUMIFS('12'!$N$7:$N$100,'12'!$H$7:$H$100,$A360,'12'!$I$7:$I$100,2)+SUMIFS('13'!$N$7:$N$100,'13'!$H$7:$H$100,$A360,'13'!$I$7:$I$100,2)+SUMIFS('14'!$N$7:$N$100,'14'!$H$7:$H$100,$A360,'14'!$I$7:$I$100,2)+SUMIFS('15'!$N$7:$N$100,'15'!$H$7:$H$100,$A360,'15'!$I$7:$I$100,2)+SUMIFS('15a'!$N$7:$N$100,'15a'!$H$7:$H$100,$A360,'15a'!$I$7:$I$100,2)+SUMIFS('15b'!$N$7:$N$100,'15b'!$H$7:$H$100,$A360,'15b'!$I$7:$I$100,2)+SUMIFS('15c'!$N$7:$N$100,'15c'!$H$7:$H$100,$A360,'15c'!$I$7:$I$100,2)+SUMIFS('15d'!$N$7:$N$100,'15d'!$H$7:$H$100,$A360,'15d'!$I$7:$I$100,2)+SUMIFS('15e'!$N$7:$N$100,'15e'!$H$7:$H$100,$A360,'15e'!$I$7:$I$100,2)+SUMIFS('15f'!$N$7:$N$100,'15f'!$H$7:$H$100,$A360,'15f'!$I$7:$I$100,2)+SUMIFS('15g'!$N$7:$N$100,'15g'!$H$7:$H$100,$A360,'15g'!$I$7:$I$100,2)+SUMIFS('15h'!$N$7:$N$100,'15h'!$H$7:$H$100,$A360,'15h'!$I$7:$I$100,2)+SUMIFS('15i'!$N$7:$N$100,'15i'!$H$7:$H$100,$A360,'15i'!$I$7:$I$100,2)+SUMIFS('15j'!$N$7:$N$100,'15j'!$H$7:$H$100,$A360,'15j'!$I$7:$I$100,2)+SUMIFS('15k'!$N$7:$N$100,'15k'!$H$7:$H$100,$A360,'15k'!$I$7:$I$100,2)+SUMIFS('15l'!$N$7:$N$100,'15l'!$H$7:$H$100,$A360,'15l'!$I$7:$I$100,2)+SUMIFS('15m'!$N$7:$N$100,'15m'!$H$7:$H$100,$A360,'15m'!$I$7:$I$100,2)+SUMIFS('15n'!$N$7:$N$100,'15n'!$H$7:$H$100,$A360,'15n'!$I$7:$I$100,2)+SUMIFS('16'!$N$7:$N$100,'16'!$H$7:$H$100,$A360,'16'!$I$7:$I$100,2)+SUMIFS('16a'!$N$7:$N$100,'16a'!$H$7:$H$100,$A360,'16a'!$I$7:$I$100,2)+SUMIFS('17'!$N$7:$N$100,'17'!$H$7:$H$100,$A360,'17'!$I$7:$I$100,2)+SUMIFS('17a'!$N$7:$N$100,'17a'!$H$7:$H$100,$A360,'17a'!$I$7:$I$100,2)+SUMIFS('18'!$N$7:$N$100,'18'!$H$7:$H$100,$A360,'18'!$I$7:$I$100,2)+SUMIFS('18a'!$N$7:$N$100,'18a'!$H$7:$H$100,$A360,'18a'!$I$7:$I$100,2)
+SUMIFS('19'!$N$7:$N$100,'19'!$H$7:$H$100,$A360,'19'!$I$7:$I$100,2)+SUMIFS('20'!$N$7:$N$100,'20'!$H$7:$H$100,$A360,'20'!$I$7:$I$100,2)+SUMIFS('20a'!$N$7:$N$100,'20a'!$H$7:$H$100,$A360,'20a'!$I$7:$I$100,2)+SUMIFS('21'!$N$7:$N$100,'21'!$H$7:$H$100,$A360,'21'!$I$7:$I$100,2)+SUMIFS('22'!$N$7:$N$100,'22'!$H$7:$H$100,$A360,'22'!$I$7:$I$100,2)+SUMIFS('22a'!$N$7:$N$100,'22a'!$H$7:$H$100,$A360,'22a'!$I$7:$I$100,2)+SUMIFS('22b'!$N$7:$N$100,'22b'!$H$7:$H$100,$A360,'22b'!$I$7:$I$100,2)+SUMIFS('23'!$N$7:$N$100,'23'!$H$7:$H$100,$A360,'23'!$I$7:$I$100,2)+SUMIFS('24'!$N$7:$N$100,'24'!$H$7:$H$100,$A360,'24'!$I$7:$I$100,2)+SUMIFS('24a'!$N$7:$N$100,'24a'!$H$7:$H$100,$A360,'24a'!$I$7:$I$100,2)+SUMIFS('24b'!$N$7:$N$100,'24b'!$H$7:$H$100,$A360,'24b'!$I$7:$I$100,2)+SUMIFS('24c'!$N$7:$N$100,'24c'!$H$7:$H$100,$A360,'24c'!$I$7:$I$100,2)+SUMIFS('24d'!$N$7:$N$100,'24d'!$H$7:$H$100,$A360,'24d'!$I$7:$I$100,2)+SUMIFS('24e'!$N$7:$N$100,'24e'!$H$7:$H$100,$A360,'24e'!$I$7:$I$100,2)+SUMIFS('24f'!$N$7:$N$100,'24f'!$H$7:$H$100,$A360,'24f'!$I$7:$I$100,2)+SUMIFS('24g'!$N$7:$N$100,'24g'!$H$7:$H$100,$A360,'24g'!$I$7:$I$100,2)+SUMIFS('24h'!$N$7:$N$100,'24h'!$H$7:$H$100,$A360,'24h'!$I$7:$I$100,2)+SUMIFS('24i'!$N$7:$N$100,'24i'!$H$7:$H$100,$A360,'24i'!$I$7:$I$100,2)+SUMIFS('25'!$N$7:$N$100,'25'!$H$7:$H$100,$A360,'25'!$I$7:$I$100,2)+SUMIFS('26'!$N$7:$N$100,'26'!$H$7:$H$100,$A360,'26'!$I$7:$I$100,2)+SUMIFS('26a'!$N$7:$N$100,'26a'!$H$7:$H$100,$A360,'26a'!$I$7:$I$100,2)+SUMIFS('27'!$N$7:$N$100,'27'!$H$7:$H$100,$A360,'27'!$I$7:$I$100,2)+SUMIFS('27a'!$N$7:$N$100,'27a'!$H$7:$H$100,$A360,'27a'!$I$7:$I$100,2)+SUMIFS('28'!$N$7:$N$100,'28'!$H$7:$H$100,$A360,'28'!$I$7:$I$100,2)+SUMIFS('29'!$N$7:$N$100,'29'!$H$7:$H$100,$A360,'29'!$I$7:$I$100,2)</f>
        <v>0</v>
      </c>
      <c r="E360" s="1315">
        <f>SUMIFS('12'!$N$7:$N$100,'12'!$H$7:$H$100,$A360,'12'!$I$7:$I$100,"")+SUMIFS('13'!$N$7:$N$100,'13'!$H$7:$H$100,$A360,'13'!$I$7:$I$100,"")+SUMIFS('14'!$N$7:$N$100,'14'!$H$7:$H$100,$A360,'14'!$I$7:$I$100,"")+SUMIFS('15'!$N$7:$N$100,'15'!$H$7:$H$100,$A360,'15'!$I$7:$I$100,"")+SUMIFS('15a'!$N$7:$N$100,'15a'!$H$7:$H$100,$A360,'15a'!$I$7:$I$100,"")+SUMIFS('15b'!$N$7:$N$100,'15b'!$H$7:$H$100,$A360,'15b'!$I$7:$I$100,"")+SUMIFS('15c'!$N$7:$N$100,'15c'!$H$7:$H$100,$A360,'15c'!$I$7:$I$100,"")+SUMIFS('15d'!$N$7:$N$100,'15d'!$H$7:$H$100,$A360,'15d'!$I$7:$I$100,"")+SUMIFS('15e'!$N$7:$N$100,'15e'!$H$7:$H$100,$A360,'15e'!$I$7:$I$100,"")+SUMIFS('15f'!$N$7:$N$100,'15f'!$H$7:$H$100,$A360,'15f'!$I$7:$I$100,"")+SUMIFS('15g'!$N$7:$N$100,'15g'!$H$7:$H$100,$A360,'15g'!$I$7:$I$100,"")+SUMIFS('15h'!$N$7:$N$100,'15h'!$H$7:$H$100,$A360,'15h'!$I$7:$I$100,"")+SUMIFS('15i'!$N$7:$N$100,'15i'!$H$7:$H$100,$A360,'15i'!$I$7:$I$100,"")+SUMIFS('15j'!$N$7:$N$100,'15j'!$H$7:$H$100,$A360,'15j'!$I$7:$I$100,"")+SUMIFS('15k'!$N$7:$N$100,'15k'!$H$7:$H$100,$A360,'15k'!$I$7:$I$100,"")+SUMIFS('15l'!$N$7:$N$100,'15l'!$H$7:$H$100,$A360,'15l'!$I$7:$I$100,"")+SUMIFS('15m'!$N$7:$N$100,'15m'!$H$7:$H$100,$A360,'15m'!$I$7:$I$100,"")+SUMIFS('15n'!$N$7:$N$100,'15n'!$H$7:$H$100,$A360,'15n'!$I$7:$I$100,"")+SUMIFS('16'!$N$7:$N$100,'16'!$H$7:$H$100,$A360,'16'!$I$7:$I$100,"")+SUMIFS('16a'!$N$7:$N$100,'16a'!$H$7:$H$100,$A360,'16a'!$I$7:$I$100,"")+SUMIFS('17'!$N$7:$N$100,'17'!$H$7:$H$100,$A360,'17'!$I$7:$I$100,"")+SUMIFS('17a'!$N$7:$N$100,'17a'!$H$7:$H$100,$A360,'17a'!$I$7:$I$100,"")+SUMIFS('18'!$N$7:$N$100,'18'!$H$7:$H$100,$A360,'18'!$I$7:$I$100,"")+SUMIFS('18a'!$N$7:$N$100,'18a'!$H$7:$H$100,$A360,'18a'!$I$7:$I$100,"")
+SUMIFS('19'!$N$7:$N$100,'19'!$H$7:$H$100,$A360,'19'!$I$7:$I$100,"")+SUMIFS('20'!$N$7:$N$100,'20'!$H$7:$H$100,$A360,'20'!$I$7:$I$100,"")+SUMIFS('20a'!$N$7:$N$100,'20a'!$H$7:$H$100,$A360,'20a'!$I$7:$I$100,"")+SUMIFS('21'!$N$7:$N$100,'21'!$H$7:$H$100,$A360,'21'!$I$7:$I$100,"")+SUMIFS('22'!$N$7:$N$100,'22'!$H$7:$H$100,$A360,'22'!$I$7:$I$100,"")+SUMIFS('22a'!$N$7:$N$100,'22a'!$H$7:$H$100,$A360,'22a'!$I$7:$I$100,"")+SUMIFS('22b'!$N$7:$N$100,'22b'!$H$7:$H$100,$A360,'22b'!$I$7:$I$100,"")+SUMIFS('23'!$N$7:$N$100,'23'!$H$7:$H$100,$A360,'23'!$I$7:$I$100,"")+SUMIFS('24'!$N$7:$N$100,'24'!$H$7:$H$100,$A360,'24'!$I$7:$I$100,"")+SUMIFS('24a'!$N$7:$N$100,'24a'!$H$7:$H$100,$A360,'24a'!$I$7:$I$100,"")+SUMIFS('24b'!$N$7:$N$100,'24b'!$H$7:$H$100,$A360,'24b'!$I$7:$I$100,"")+SUMIFS('24c'!$N$7:$N$100,'24c'!$H$7:$H$100,$A360,'24c'!$I$7:$I$100,"")+SUMIFS('24d'!$N$7:$N$100,'24d'!$H$7:$H$100,$A360,'24d'!$I$7:$I$100,"")+SUMIFS('24e'!$N$7:$N$100,'24e'!$H$7:$H$100,$A360,'24e'!$I$7:$I$100,"")+SUMIFS('24f'!$N$7:$N$100,'24f'!$H$7:$H$100,$A360,'24f'!$I$7:$I$100,"")+SUMIFS('24g'!$N$7:$N$100,'24g'!$H$7:$H$100,$A360,'24g'!$I$7:$I$100,"")+SUMIFS('24h'!$N$7:$N$100,'24h'!$H$7:$H$100,$A360,'24h'!$I$7:$I$100,"")+SUMIFS('24i'!$N$7:$N$100,'24i'!$H$7:$H$100,$A360,'24i'!$I$7:$I$100,"")+SUMIFS('25'!$N$7:$N$100,'25'!$H$7:$H$100,$A360,'25'!$I$7:$I$100,"")+SUMIFS('26'!$N$7:$N$100,'26'!$H$7:$H$100,$A360,'26'!$I$7:$I$100,"")+SUMIFS('26a'!$N$7:$N$100,'26a'!$H$7:$H$100,$A360,'26a'!$I$7:$I$100,"")+SUMIFS('27'!$N$7:$N$100,'27'!$H$7:$H$100,$A360,'27'!$I$7:$I$100,"")+SUMIFS('27a'!$N$7:$N$100,'27a'!$H$7:$H$100,$A360,'27a'!$I$7:$I$100,"")+SUMIFS('28'!$N$7:$N$100,'28'!$H$7:$H$100,$A360,'28'!$I$7:$I$100,"")+SUMIFS('29'!$N$7:$N$100,'29'!$H$7:$H$100,$A360,'29'!$I$7:$I$100,"")</f>
        <v>0</v>
      </c>
      <c r="F360" s="1296">
        <f>SUM(C360:E360)</f>
        <v>0</v>
      </c>
      <c r="G360" s="1295">
        <f>SUMIFS('12'!$J$7:$J$100,'12'!$H$7:$H$100,$A360,'12'!$I$7:$I$100,1)+SUMIFS('13'!$J$7:$J$100,'13'!$H$7:$H$100,$A360,'13'!$I$7:$I$100,1)+SUMIFS('14'!$J$7:$J$100,'14'!$H$7:$H$100,$A360,'14'!$I$7:$I$100,1)+SUMIFS('15'!$J$7:$J$100,'15'!$H$7:$H$100,$A360,'15'!$I$7:$I$100,1)+SUMIFS('15a'!$J$7:$J$100,'15a'!$H$7:$H$100,$A360,'15a'!$I$7:$I$100,1)+SUMIFS('15b'!$J$7:$J$100,'15b'!$H$7:$H$100,$A360,'15b'!$I$7:$I$100,1)+SUMIFS('15c'!$J$7:$J$100,'15c'!$H$7:$H$100,$A360,'15c'!$I$7:$I$100,1)+SUMIFS('15d'!$J$7:$J$100,'15d'!$H$7:$H$100,$A360,'15d'!$I$7:$I$100,1)+SUMIFS('15e'!$J$7:$J$100,'15e'!$H$7:$H$100,$A360,'15e'!$I$7:$I$100,1)+SUMIFS('15f'!$J$7:$J$100,'15f'!$H$7:$H$100,$A360,'15f'!$I$7:$I$100,1)+SUMIFS('15g'!$J$7:$J$100,'15g'!$H$7:$H$100,$A360,'15g'!$I$7:$I$100,1)+SUMIFS('15h'!$J$7:$J$100,'15h'!$H$7:$H$100,$A360,'15h'!$I$7:$I$100,1)+SUMIFS('15i'!$J$7:$J$100,'15i'!$H$7:$H$100,$A360,'15i'!$I$7:$I$100,1)+SUMIFS('15j'!$J$7:$J$100,'15j'!$H$7:$H$100,$A360,'15j'!$I$7:$I$100,1)+SUMIFS('15k'!$J$7:$J$100,'15k'!$H$7:$H$100,$A360,'15k'!$I$7:$I$100,1)+SUMIFS('15l'!$J$7:$J$100,'15l'!$H$7:$H$100,$A360,'15l'!$I$7:$I$100,1)+SUMIFS('15m'!$J$7:$J$100,'15m'!$H$7:$H$100,$A360,'15m'!$I$7:$I$100,1)+SUMIFS('15n'!$J$7:$J$100,'15n'!$H$7:$H$100,$A360,'15n'!$I$7:$I$100,1)+SUMIFS('16'!$J$7:$J$100,'16'!$H$7:$H$100,$A360,'16'!$I$7:$I$100,1)+SUMIFS('16a'!$J$7:$J$100,'16a'!$H$7:$H$100,$A360,'16a'!$I$7:$I$100,1)+SUMIFS('17'!$J$7:$J$100,'17'!$H$7:$H$100,$A360,'17'!$I$7:$I$100,1)+SUMIFS('17a'!$J$7:$J$100,'17a'!$H$7:$H$100,$A360,'17a'!$I$7:$I$100,1)+SUMIFS('18'!$J$7:$J$100,'18'!$H$7:$H$100,$A360,'18'!$I$7:$I$100,1)+SUMIFS('18a'!$J$7:$J$100,'18a'!$H$7:$H$100,$A360,'18a'!$I$7:$I$100,1)
+SUMIFS('19'!$J$7:$J$100,'19'!$H$7:$H$100,$A360,'19'!$I$7:$I$100,1)+SUMIFS('20'!$J$7:$J$100,'20'!$H$7:$H$100,$A360,'20'!$I$7:$I$100,1)+SUMIFS('20a'!$J$7:$J$100,'20a'!$H$7:$H$100,$A360,'20a'!$I$7:$I$100,1)+SUMIFS('21'!$J$7:$J$100,'21'!$H$7:$H$100,$A360,'21'!$I$7:$I$100,1)+SUMIFS('22'!$J$7:$J$100,'22'!$H$7:$H$100,$A360,'22'!$I$7:$I$100,1)+SUMIFS('22a'!$J$7:$J$100,'22a'!$H$7:$H$100,$A360,'22a'!$I$7:$I$100,1)+SUMIFS('22b'!$J$7:$J$100,'22b'!$H$7:$H$100,$A360,'22b'!$I$7:$I$100,1)+SUMIFS('23'!$J$7:$J$100,'23'!$H$7:$H$100,$A360,'23'!$I$7:$I$100,1)+SUMIFS('24'!$J$7:$J$100,'24'!$H$7:$H$100,$A360,'24'!$I$7:$I$100,1)+SUMIFS('24a'!$J$7:$J$100,'24a'!$H$7:$H$100,$A360,'24a'!$I$7:$I$100,1)+SUMIFS('24b'!$J$7:$J$100,'24b'!$H$7:$H$100,$A360,'24b'!$I$7:$I$100,1)+SUMIFS('24c'!$J$7:$J$100,'24c'!$H$7:$H$100,$A360,'24c'!$I$7:$I$100,1)+SUMIFS('24d'!$J$7:$J$100,'24d'!$H$7:$H$100,$A360,'24d'!$I$7:$I$100,1)+SUMIFS('24e'!$J$7:$J$100,'24e'!$H$7:$H$100,$A360,'24e'!$I$7:$I$100,1)+SUMIFS('24f'!$J$7:$J$100,'24f'!$H$7:$H$100,$A360,'24f'!$I$7:$I$100,1)+SUMIFS('24g'!$J$7:$J$100,'24g'!$H$7:$H$100,$A360,'24g'!$I$7:$I$100,1)+SUMIFS('24h'!$J$7:$J$100,'24h'!$H$7:$H$100,$A360,'24h'!$I$7:$I$100,1)+SUMIFS('24i'!$J$7:$J$100,'24i'!$H$7:$H$100,$A360,'24i'!$I$7:$I$100,1)+SUMIFS('25'!$J$7:$J$100,'25'!$H$7:$H$100,$A360,'25'!$I$7:$I$100,1)+SUMIFS('26'!$J$7:$J$100,'26'!$H$7:$H$100,$A360,'26'!$I$7:$I$100,1)+SUMIFS('26a'!$J$7:$J$100,'26a'!$H$7:$H$100,$A360,'26a'!$I$7:$I$100,1)+SUMIFS('27'!$J$7:$J$100,'27'!$H$7:$H$100,$A360,'27'!$I$7:$I$100,1)+SUMIFS('27a'!$J$7:$J$100,'27a'!$H$7:$H$100,$A360,'27a'!$I$7:$I$100,1)+SUMIFS('28'!$J$7:$J$100,'28'!$H$7:$H$100,$A360,'28'!$I$7:$I$100,1)+SUMIFS('29'!$J$7:$J$100,'29'!$H$7:$H$100,$A360,'29'!$I$7:$I$100,1)</f>
        <v>0</v>
      </c>
      <c r="H360" s="1315">
        <f>SUMIFS('12'!$J$7:$J$100,'12'!$H$7:$H$100,$A360,'12'!$I$7:$I$100,2)+SUMIFS('13'!$J$7:$J$100,'13'!$H$7:$H$100,$A360,'13'!$I$7:$I$100,2)+SUMIFS('14'!$J$7:$J$100,'14'!$H$7:$H$100,$A360,'14'!$I$7:$I$100,2)+SUMIFS('15'!$J$7:$J$100,'15'!$H$7:$H$100,$A360,'15'!$I$7:$I$100,2)+SUMIFS('15a'!$J$7:$J$100,'15a'!$H$7:$H$100,$A360,'15a'!$I$7:$I$100,2)+SUMIFS('15b'!$J$7:$J$100,'15b'!$H$7:$H$100,$A360,'15b'!$I$7:$I$100,2)+SUMIFS('15c'!$J$7:$J$100,'15c'!$H$7:$H$100,$A360,'15c'!$I$7:$I$100,2)+SUMIFS('15d'!$J$7:$J$100,'15d'!$H$7:$H$100,$A360,'15d'!$I$7:$I$100,2)+SUMIFS('15e'!$J$7:$J$100,'15e'!$H$7:$H$100,$A360,'15e'!$I$7:$I$100,2)+SUMIFS('15f'!$J$7:$J$100,'15f'!$H$7:$H$100,$A360,'15f'!$I$7:$I$100,2)+SUMIFS('15g'!$J$7:$J$100,'15g'!$H$7:$H$100,$A360,'15g'!$I$7:$I$100,2)+SUMIFS('15h'!$J$7:$J$100,'15h'!$H$7:$H$100,$A360,'15h'!$I$7:$I$100,2)+SUMIFS('15i'!$J$7:$J$100,'15i'!$H$7:$H$100,$A360,'15i'!$I$7:$I$100,2)+SUMIFS('15j'!$J$7:$J$100,'15j'!$H$7:$H$100,$A360,'15j'!$I$7:$I$100,2)+SUMIFS('15k'!$J$7:$J$100,'15k'!$H$7:$H$100,$A360,'15k'!$I$7:$I$100,2)+SUMIFS('15l'!$J$7:$J$100,'15l'!$H$7:$H$100,$A360,'15l'!$I$7:$I$100,2)+SUMIFS('15m'!$J$7:$J$100,'15m'!$H$7:$H$100,$A360,'15m'!$I$7:$I$100,2)+SUMIFS('15n'!$J$7:$J$100,'15n'!$H$7:$H$100,$A360,'15n'!$I$7:$I$100,2)+SUMIFS('16'!$J$7:$J$100,'16'!$H$7:$H$100,$A360,'16'!$I$7:$I$100,2)+SUMIFS('16a'!$J$7:$J$100,'16a'!$H$7:$H$100,$A360,'16a'!$I$7:$I$100,2)+SUMIFS('17'!$J$7:$J$100,'17'!$H$7:$H$100,$A360,'17'!$I$7:$I$100,2)+SUMIFS('17a'!$J$7:$J$100,'17a'!$H$7:$H$100,$A360,'17a'!$I$7:$I$100,2)+SUMIFS('18'!$J$7:$J$100,'18'!$H$7:$H$100,$A360,'18'!$I$7:$I$100,2)+SUMIFS('18a'!$J$7:$J$100,'18a'!$H$7:$H$100,$A360,'18a'!$I$7:$I$100,2)
+SUMIFS('19'!$J$7:$J$100,'19'!$H$7:$H$100,$A360,'19'!$I$7:$I$100,2)+SUMIFS('20'!$J$7:$J$100,'20'!$H$7:$H$100,$A360,'20'!$I$7:$I$100,2)+SUMIFS('20a'!$J$7:$J$100,'20a'!$H$7:$H$100,$A360,'20a'!$I$7:$I$100,2)+SUMIFS('21'!$J$7:$J$100,'21'!$H$7:$H$100,$A360,'21'!$I$7:$I$100,2)+SUMIFS('22'!$J$7:$J$100,'22'!$H$7:$H$100,$A360,'22'!$I$7:$I$100,2)+SUMIFS('22a'!$J$7:$J$100,'22a'!$H$7:$H$100,$A360,'22a'!$I$7:$I$100,2)+SUMIFS('22b'!$J$7:$J$100,'22b'!$H$7:$H$100,$A360,'22b'!$I$7:$I$100,2)+SUMIFS('23'!$J$7:$J$100,'23'!$H$7:$H$100,$A360,'23'!$I$7:$I$100,2)+SUMIFS('24'!$J$7:$J$100,'24'!$H$7:$H$100,$A360,'24'!$I$7:$I$100,2)+SUMIFS('24a'!$J$7:$J$100,'24a'!$H$7:$H$100,$A360,'24a'!$I$7:$I$100,2)+SUMIFS('24b'!$J$7:$J$100,'24b'!$H$7:$H$100,$A360,'24b'!$I$7:$I$100,2)+SUMIFS('24c'!$J$7:$J$100,'24c'!$H$7:$H$100,$A360,'24c'!$I$7:$I$100,2)+SUMIFS('24d'!$J$7:$J$100,'24d'!$H$7:$H$100,$A360,'24d'!$I$7:$I$100,2)+SUMIFS('24e'!$J$7:$J$100,'24e'!$H$7:$H$100,$A360,'24e'!$I$7:$I$100,2)+SUMIFS('24f'!$J$7:$J$100,'24f'!$H$7:$H$100,$A360,'24f'!$I$7:$I$100,2)+SUMIFS('24g'!$J$7:$J$100,'24g'!$H$7:$H$100,$A360,'24g'!$I$7:$I$100,2)+SUMIFS('24h'!$J$7:$J$100,'24h'!$H$7:$H$100,$A360,'24h'!$I$7:$I$100,2)+SUMIFS('24i'!$J$7:$J$100,'24i'!$H$7:$H$100,$A360,'24i'!$I$7:$I$100,2)+SUMIFS('25'!$J$7:$J$100,'25'!$H$7:$H$100,$A360,'25'!$I$7:$I$100,2)+SUMIFS('26'!$J$7:$J$100,'26'!$H$7:$H$100,$A360,'26'!$I$7:$I$100,2)+SUMIFS('26a'!$J$7:$J$100,'26a'!$H$7:$H$100,$A360,'26a'!$I$7:$I$100,2)+SUMIFS('27'!$J$7:$J$100,'27'!$H$7:$H$100,$A360,'27'!$I$7:$I$100,2)+SUMIFS('27a'!$J$7:$J$100,'27a'!$H$7:$H$100,$A360,'27a'!$I$7:$I$100,2)+SUMIFS('28'!$J$7:$J$100,'28'!$H$7:$H$100,$A360,'28'!$I$7:$I$100,2)+SUMIFS('29'!$J$7:$J$100,'29'!$H$7:$H$100,$A360,'29'!$I$7:$I$100,2)</f>
        <v>0</v>
      </c>
      <c r="I360" s="1315">
        <f>SUMIFS('12'!$J$7:$J$100,'12'!$H$7:$H$100,$A360,'12'!$I$7:$I$100,"")+SUMIFS('13'!$J$7:$J$100,'13'!$H$7:$H$100,$A360,'13'!$I$7:$I$100,"")+SUMIFS('14'!$J$7:$J$100,'14'!$H$7:$H$100,$A360,'14'!$I$7:$I$100,"")+SUMIFS('15'!$J$7:$J$100,'15'!$H$7:$H$100,$A360,'15'!$I$7:$I$100,"")+SUMIFS('15a'!$J$7:$J$100,'15a'!$H$7:$H$100,$A360,'15a'!$I$7:$I$100,"")+SUMIFS('15b'!$J$7:$J$100,'15b'!$H$7:$H$100,$A360,'15b'!$I$7:$I$100,"")+SUMIFS('15c'!$J$7:$J$100,'15c'!$H$7:$H$100,$A360,'15c'!$I$7:$I$100,"")+SUMIFS('15d'!$J$7:$J$100,'15d'!$H$7:$H$100,$A360,'15d'!$I$7:$I$100,"")+SUMIFS('15e'!$J$7:$J$100,'15e'!$H$7:$H$100,$A360,'15e'!$I$7:$I$100,"")+SUMIFS('15f'!$J$7:$J$100,'15f'!$H$7:$H$100,$A360,'15f'!$I$7:$I$100,"")+SUMIFS('15g'!$J$7:$J$100,'15g'!$H$7:$H$100,$A360,'15g'!$I$7:$I$100,"")+SUMIFS('15h'!$J$7:$J$100,'15h'!$H$7:$H$100,$A360,'15h'!$I$7:$I$100,"")+SUMIFS('15i'!$J$7:$J$100,'15i'!$H$7:$H$100,$A360,'15i'!$I$7:$I$100,"")+SUMIFS('15j'!$J$7:$J$100,'15j'!$H$7:$H$100,$A360,'15j'!$I$7:$I$100,"")+SUMIFS('15k'!$J$7:$J$100,'15k'!$H$7:$H$100,$A360,'15k'!$I$7:$I$100,"")+SUMIFS('15l'!$J$7:$J$100,'15l'!$H$7:$H$100,$A360,'15l'!$I$7:$I$100,"")+SUMIFS('15m'!$J$7:$J$100,'15m'!$H$7:$H$100,$A360,'15m'!$I$7:$I$100,"")+SUMIFS('15n'!$J$7:$J$100,'15n'!$H$7:$H$100,$A360,'15n'!$I$7:$I$100,"")+SUMIFS('16'!$J$7:$J$100,'16'!$H$7:$H$100,$A360,'16'!$I$7:$I$100,"")+SUMIFS('16a'!$J$7:$J$100,'16a'!$H$7:$H$100,$A360,'16a'!$I$7:$I$100,"")+SUMIFS('17'!$J$7:$J$100,'17'!$H$7:$H$100,$A360,'17'!$I$7:$I$100,"")+SUMIFS('17a'!$J$7:$J$100,'17a'!$H$7:$H$100,$A360,'17a'!$I$7:$I$100,"")+SUMIFS('18'!$J$7:$J$100,'18'!$H$7:$H$100,$A360,'18'!$I$7:$I$100,"")+SUMIFS('18a'!$J$7:$J$100,'18a'!$H$7:$H$100,$A360,'18a'!$I$7:$I$100,"")
+SUMIFS('19'!$J$7:$J$100,'19'!$H$7:$H$100,$A360,'19'!$I$7:$I$100,"")+SUMIFS('20'!$J$7:$J$100,'20'!$H$7:$H$100,$A360,'20'!$I$7:$I$100,"")+SUMIFS('20a'!$J$7:$J$100,'20a'!$H$7:$H$100,$A360,'20a'!$I$7:$I$100,"")+SUMIFS('21'!$J$7:$J$100,'21'!$H$7:$H$100,$A360,'21'!$I$7:$I$100,"")+SUMIFS('22'!$J$7:$J$100,'22'!$H$7:$H$100,$A360,'22'!$I$7:$I$100,"")+SUMIFS('22a'!$J$7:$J$100,'22a'!$H$7:$H$100,$A360,'22a'!$I$7:$I$100,"")+SUMIFS('22b'!$J$7:$J$100,'22b'!$H$7:$H$100,$A360,'22b'!$I$7:$I$100,"")+SUMIFS('23'!$J$7:$J$100,'23'!$H$7:$H$100,$A360,'23'!$I$7:$I$100,"")+SUMIFS('24'!$J$7:$J$100,'24'!$H$7:$H$100,$A360,'24'!$I$7:$I$100,"")+SUMIFS('24a'!$J$7:$J$100,'24a'!$H$7:$H$100,$A360,'24a'!$I$7:$I$100,"")+SUMIFS('24b'!$J$7:$J$100,'24b'!$H$7:$H$100,$A360,'24b'!$I$7:$I$100,"")+SUMIFS('24c'!$J$7:$J$100,'24c'!$H$7:$H$100,$A360,'24c'!$I$7:$I$100,"")+SUMIFS('24d'!$J$7:$J$100,'24d'!$H$7:$H$100,$A360,'24d'!$I$7:$I$100,"")+SUMIFS('24e'!$J$7:$J$100,'24e'!$H$7:$H$100,$A360,'24e'!$I$7:$I$100,"")+SUMIFS('24f'!$J$7:$J$100,'24f'!$H$7:$H$100,$A360,'24f'!$I$7:$I$100,"")+SUMIFS('24g'!$J$7:$J$100,'24g'!$H$7:$H$100,$A360,'24g'!$I$7:$I$100,"")+SUMIFS('24h'!$J$7:$J$100,'24h'!$H$7:$H$100,$A360,'24h'!$I$7:$I$100,"")+SUMIFS('24i'!$J$7:$J$100,'24i'!$H$7:$H$100,$A360,'24i'!$I$7:$I$100,"")+SUMIFS('25'!$J$7:$J$100,'25'!$H$7:$H$100,$A360,'25'!$I$7:$I$100,"")+SUMIFS('26'!$J$7:$J$100,'26'!$H$7:$H$100,$A360,'26'!$I$7:$I$100,"")+SUMIFS('26a'!$J$7:$J$100,'26a'!$H$7:$H$100,$A360,'26a'!$I$7:$I$100,"")+SUMIFS('27'!$J$7:$J$100,'27'!$H$7:$H$100,$A360,'27'!$I$7:$I$100,"")+SUMIFS('27a'!$J$7:$J$100,'27a'!$H$7:$H$100,$A360,'27a'!$I$7:$I$100,"")+SUMIFS('28'!$J$7:$J$100,'28'!$H$7:$H$100,$A360,'28'!$I$7:$I$100,"")+SUMIFS('29'!$J$7:$J$100,'29'!$H$7:$H$100,$A360,'29'!$I$7:$I$100,"")</f>
        <v>0</v>
      </c>
      <c r="J360" s="1296">
        <f>SUM(G360:I360)</f>
        <v>0</v>
      </c>
      <c r="K360"/>
      <c r="L360"/>
      <c r="M360"/>
      <c r="N360"/>
      <c r="O360"/>
      <c r="P360"/>
      <c r="Q360"/>
      <c r="R360"/>
      <c r="S360" s="1307">
        <f t="shared" si="48"/>
        <v>0</v>
      </c>
      <c r="T360"/>
    </row>
    <row r="361" spans="1:20" x14ac:dyDescent="0.2">
      <c r="A361"/>
      <c r="B361" s="1289" t="str">
        <f>"Total- "&amp;A359</f>
        <v>Total- Judgements</v>
      </c>
      <c r="C361" s="1297">
        <f>C360</f>
        <v>0</v>
      </c>
      <c r="D361" s="1290">
        <f t="shared" ref="D361:J361" si="53">D360</f>
        <v>0</v>
      </c>
      <c r="E361" s="1290">
        <f t="shared" si="53"/>
        <v>0</v>
      </c>
      <c r="F361" s="1298">
        <f t="shared" si="53"/>
        <v>0</v>
      </c>
      <c r="G361" s="1297">
        <f t="shared" si="53"/>
        <v>0</v>
      </c>
      <c r="H361" s="1290">
        <f t="shared" si="53"/>
        <v>0</v>
      </c>
      <c r="I361" s="1290">
        <f t="shared" si="53"/>
        <v>0</v>
      </c>
      <c r="J361" s="1298">
        <f t="shared" si="53"/>
        <v>0</v>
      </c>
      <c r="K361"/>
      <c r="L361"/>
      <c r="M361"/>
      <c r="N361"/>
      <c r="O361"/>
      <c r="P361"/>
      <c r="Q361"/>
      <c r="R361"/>
      <c r="S361" s="1307"/>
      <c r="T361"/>
    </row>
    <row r="362" spans="1:20" x14ac:dyDescent="0.2">
      <c r="A362"/>
      <c r="B362" s="1289"/>
      <c r="C362" s="1297"/>
      <c r="D362" s="1290"/>
      <c r="E362" s="1290"/>
      <c r="F362" s="1298"/>
      <c r="G362" s="1297"/>
      <c r="H362" s="1290"/>
      <c r="I362" s="1290"/>
      <c r="J362" s="1298"/>
      <c r="K362"/>
      <c r="L362"/>
      <c r="M362"/>
      <c r="N362"/>
      <c r="O362"/>
      <c r="P362"/>
      <c r="Q362"/>
      <c r="R362"/>
      <c r="S362" s="1307"/>
      <c r="T362"/>
    </row>
    <row r="363" spans="1:20" x14ac:dyDescent="0.2">
      <c r="A363" s="106" t="s">
        <v>5609</v>
      </c>
      <c r="B363" s="5"/>
      <c r="C363" s="1299"/>
      <c r="D363" s="523"/>
      <c r="E363" s="5"/>
      <c r="F363" s="1322"/>
      <c r="G363" s="1299"/>
      <c r="H363" s="523"/>
      <c r="I363" s="5"/>
      <c r="J363" s="1322"/>
      <c r="K363"/>
      <c r="L363"/>
      <c r="M363"/>
      <c r="N363"/>
      <c r="O363"/>
      <c r="P363"/>
      <c r="Q363"/>
      <c r="R363"/>
      <c r="S363" s="1307"/>
      <c r="T363"/>
    </row>
    <row r="364" spans="1:20" x14ac:dyDescent="0.2">
      <c r="A364" s="784" t="s">
        <v>386</v>
      </c>
      <c r="B364" t="s">
        <v>5609</v>
      </c>
      <c r="C364" s="1295">
        <f>SUMIFS('12'!$N$7:$N$100,'12'!$H$7:$H$100,$A364,'12'!$I$7:$I$100,1)+SUMIFS('13'!$N$7:$N$100,'13'!$H$7:$H$100,$A364,'13'!$I$7:$I$100,1)+SUMIFS('14'!$N$7:$N$100,'14'!$H$7:$H$100,$A364,'14'!$I$7:$I$100,1)+SUMIFS('15'!$N$7:$N$100,'15'!$H$7:$H$100,$A364,'15'!$I$7:$I$100,1)+SUMIFS('15a'!$N$7:$N$100,'15a'!$H$7:$H$100,$A364,'15a'!$I$7:$I$100,1)+SUMIFS('15b'!$N$7:$N$100,'15b'!$H$7:$H$100,$A364,'15b'!$I$7:$I$100,1)+SUMIFS('15c'!$N$7:$N$100,'15c'!$H$7:$H$100,$A364,'15c'!$I$7:$I$100,1)+SUMIFS('15d'!$N$7:$N$100,'15d'!$H$7:$H$100,$A364,'15d'!$I$7:$I$100,1)+SUMIFS('15e'!$N$7:$N$100,'15e'!$H$7:$H$100,$A364,'15e'!$I$7:$I$100,1)+SUMIFS('15f'!$N$7:$N$100,'15f'!$H$7:$H$100,$A364,'15f'!$I$7:$I$100,1)+SUMIFS('15g'!$N$7:$N$100,'15g'!$H$7:$H$100,$A364,'15g'!$I$7:$I$100,1)+SUMIFS('15h'!$N$7:$N$100,'15h'!$H$7:$H$100,$A364,'15h'!$I$7:$I$100,1)+SUMIFS('15i'!$N$7:$N$100,'15i'!$H$7:$H$100,$A364,'15i'!$I$7:$I$100,1)+SUMIFS('15j'!$N$7:$N$100,'15j'!$H$7:$H$100,$A364,'15j'!$I$7:$I$100,1)+SUMIFS('15k'!$N$7:$N$100,'15k'!$H$7:$H$100,$A364,'15k'!$I$7:$I$100,1)+SUMIFS('15l'!$N$7:$N$100,'15l'!$H$7:$H$100,$A364,'15l'!$I$7:$I$100,1)+SUMIFS('15m'!$N$7:$N$100,'15m'!$H$7:$H$100,$A364,'15m'!$I$7:$I$100,1)+SUMIFS('15n'!$N$7:$N$100,'15n'!$H$7:$H$100,$A364,'15n'!$I$7:$I$100,1)+SUMIFS('16'!$N$7:$N$100,'16'!$H$7:$H$100,$A364,'16'!$I$7:$I$100,1)+SUMIFS('16a'!$N$7:$N$100,'16a'!$H$7:$H$100,$A364,'16a'!$I$7:$I$100,1)+SUMIFS('17'!$N$7:$N$100,'17'!$H$7:$H$100,$A364,'17'!$I$7:$I$100,1)+SUMIFS('17a'!$N$7:$N$100,'17a'!$H$7:$H$100,$A364,'17a'!$I$7:$I$100,1)+SUMIFS('18'!$N$7:$N$100,'18'!$H$7:$H$100,$A364,'18'!$I$7:$I$100,1)+SUMIFS('18a'!$N$7:$N$100,'18a'!$H$7:$H$100,$A364,'18a'!$I$7:$I$100,1)
+SUMIFS('19'!$N$7:$N$100,'19'!$H$7:$H$100,$A364,'19'!$I$7:$I$100,1)+SUMIFS('20'!$N$7:$N$100,'20'!$H$7:$H$100,$A364,'20'!$I$7:$I$100,1)+SUMIFS('20a'!$N$7:$N$100,'20a'!$H$7:$H$100,$A364,'20a'!$I$7:$I$100,1)+SUMIFS('21'!$N$7:$N$100,'21'!$H$7:$H$100,$A364,'21'!$I$7:$I$100,1)+SUMIFS('22'!$N$7:$N$100,'22'!$H$7:$H$100,$A364,'22'!$I$7:$I$100,1)+SUMIFS('22a'!$N$7:$N$100,'22a'!$H$7:$H$100,$A364,'22a'!$I$7:$I$100,1)+SUMIFS('22b'!$N$7:$N$100,'22b'!$H$7:$H$100,$A364,'22b'!$I$7:$I$100,1)+SUMIFS('23'!$N$7:$N$100,'23'!$H$7:$H$100,$A364,'23'!$I$7:$I$100,1)+SUMIFS('24'!$N$7:$N$100,'24'!$H$7:$H$100,$A364,'24'!$I$7:$I$100,1)+SUMIFS('24a'!$N$7:$N$100,'24a'!$H$7:$H$100,$A364,'24a'!$I$7:$I$100,1)+SUMIFS('24b'!$N$7:$N$100,'24b'!$H$7:$H$100,$A364,'24b'!$I$7:$I$100,1)+SUMIFS('24c'!$N$7:$N$100,'24c'!$H$7:$H$100,$A364,'24c'!$I$7:$I$100,1)+SUMIFS('24d'!$N$7:$N$100,'24d'!$H$7:$H$100,$A364,'24d'!$I$7:$I$100,1)+SUMIFS('24e'!$N$7:$N$100,'24e'!$H$7:$H$100,$A364,'24e'!$I$7:$I$100,1)+SUMIFS('24f'!$N$7:$N$100,'24f'!$H$7:$H$100,$A364,'24f'!$I$7:$I$100,1)+SUMIFS('24g'!$N$7:$N$100,'24g'!$H$7:$H$100,$A364,'24g'!$I$7:$I$100,1)+SUMIFS('24h'!$N$7:$N$100,'24h'!$H$7:$H$100,$A364,'24h'!$I$7:$I$100,1)+SUMIFS('24i'!$N$7:$N$100,'24i'!$H$7:$H$100,$A364,'24i'!$I$7:$I$100,1)+SUMIFS('25'!$N$7:$N$100,'25'!$H$7:$H$100,$A364,'25'!$I$7:$I$100,1)+SUMIFS('26'!$N$7:$N$100,'26'!$H$7:$H$100,$A364,'26'!$I$7:$I$100,1)+SUMIFS('26a'!$N$7:$N$100,'26a'!$H$7:$H$100,$A364,'26a'!$I$7:$I$100,1)+SUMIFS('27'!$N$7:$N$100,'27'!$H$7:$H$100,$A364,'27'!$I$7:$I$100,1)+SUMIFS('27a'!$N$7:$N$100,'27a'!$H$7:$H$100,$A364,'27a'!$I$7:$I$100,1)+SUMIFS('28'!$N$7:$N$100,'28'!$H$7:$H$100,$A364,'28'!$I$7:$I$100,1)+SUMIFS('29'!$N$7:$N$100,'29'!$H$7:$H$100,$A364,'29'!$I$7:$I$100,1)</f>
        <v>0</v>
      </c>
      <c r="D364" s="1315">
        <f>SUMIFS('12'!$N$7:$N$100,'12'!$H$7:$H$100,$A364,'12'!$I$7:$I$100,2)+SUMIFS('13'!$N$7:$N$100,'13'!$H$7:$H$100,$A364,'13'!$I$7:$I$100,2)+SUMIFS('14'!$N$7:$N$100,'14'!$H$7:$H$100,$A364,'14'!$I$7:$I$100,2)+SUMIFS('15'!$N$7:$N$100,'15'!$H$7:$H$100,$A364,'15'!$I$7:$I$100,2)+SUMIFS('15a'!$N$7:$N$100,'15a'!$H$7:$H$100,$A364,'15a'!$I$7:$I$100,2)+SUMIFS('15b'!$N$7:$N$100,'15b'!$H$7:$H$100,$A364,'15b'!$I$7:$I$100,2)+SUMIFS('15c'!$N$7:$N$100,'15c'!$H$7:$H$100,$A364,'15c'!$I$7:$I$100,2)+SUMIFS('15d'!$N$7:$N$100,'15d'!$H$7:$H$100,$A364,'15d'!$I$7:$I$100,2)+SUMIFS('15e'!$N$7:$N$100,'15e'!$H$7:$H$100,$A364,'15e'!$I$7:$I$100,2)+SUMIFS('15f'!$N$7:$N$100,'15f'!$H$7:$H$100,$A364,'15f'!$I$7:$I$100,2)+SUMIFS('15g'!$N$7:$N$100,'15g'!$H$7:$H$100,$A364,'15g'!$I$7:$I$100,2)+SUMIFS('15h'!$N$7:$N$100,'15h'!$H$7:$H$100,$A364,'15h'!$I$7:$I$100,2)+SUMIFS('15i'!$N$7:$N$100,'15i'!$H$7:$H$100,$A364,'15i'!$I$7:$I$100,2)+SUMIFS('15j'!$N$7:$N$100,'15j'!$H$7:$H$100,$A364,'15j'!$I$7:$I$100,2)+SUMIFS('15k'!$N$7:$N$100,'15k'!$H$7:$H$100,$A364,'15k'!$I$7:$I$100,2)+SUMIFS('15l'!$N$7:$N$100,'15l'!$H$7:$H$100,$A364,'15l'!$I$7:$I$100,2)+SUMIFS('15m'!$N$7:$N$100,'15m'!$H$7:$H$100,$A364,'15m'!$I$7:$I$100,2)+SUMIFS('15n'!$N$7:$N$100,'15n'!$H$7:$H$100,$A364,'15n'!$I$7:$I$100,2)+SUMIFS('16'!$N$7:$N$100,'16'!$H$7:$H$100,$A364,'16'!$I$7:$I$100,2)+SUMIFS('16a'!$N$7:$N$100,'16a'!$H$7:$H$100,$A364,'16a'!$I$7:$I$100,2)+SUMIFS('17'!$N$7:$N$100,'17'!$H$7:$H$100,$A364,'17'!$I$7:$I$100,2)+SUMIFS('17a'!$N$7:$N$100,'17a'!$H$7:$H$100,$A364,'17a'!$I$7:$I$100,2)+SUMIFS('18'!$N$7:$N$100,'18'!$H$7:$H$100,$A364,'18'!$I$7:$I$100,2)+SUMIFS('18a'!$N$7:$N$100,'18a'!$H$7:$H$100,$A364,'18a'!$I$7:$I$100,2)
+SUMIFS('19'!$N$7:$N$100,'19'!$H$7:$H$100,$A364,'19'!$I$7:$I$100,2)+SUMIFS('20'!$N$7:$N$100,'20'!$H$7:$H$100,$A364,'20'!$I$7:$I$100,2)+SUMIFS('20a'!$N$7:$N$100,'20a'!$H$7:$H$100,$A364,'20a'!$I$7:$I$100,2)+SUMIFS('21'!$N$7:$N$100,'21'!$H$7:$H$100,$A364,'21'!$I$7:$I$100,2)+SUMIFS('22'!$N$7:$N$100,'22'!$H$7:$H$100,$A364,'22'!$I$7:$I$100,2)+SUMIFS('22a'!$N$7:$N$100,'22a'!$H$7:$H$100,$A364,'22a'!$I$7:$I$100,2)+SUMIFS('22b'!$N$7:$N$100,'22b'!$H$7:$H$100,$A364,'22b'!$I$7:$I$100,2)+SUMIFS('23'!$N$7:$N$100,'23'!$H$7:$H$100,$A364,'23'!$I$7:$I$100,2)+SUMIFS('24'!$N$7:$N$100,'24'!$H$7:$H$100,$A364,'24'!$I$7:$I$100,2)+SUMIFS('24a'!$N$7:$N$100,'24a'!$H$7:$H$100,$A364,'24a'!$I$7:$I$100,2)+SUMIFS('24b'!$N$7:$N$100,'24b'!$H$7:$H$100,$A364,'24b'!$I$7:$I$100,2)+SUMIFS('24c'!$N$7:$N$100,'24c'!$H$7:$H$100,$A364,'24c'!$I$7:$I$100,2)+SUMIFS('24d'!$N$7:$N$100,'24d'!$H$7:$H$100,$A364,'24d'!$I$7:$I$100,2)+SUMIFS('24e'!$N$7:$N$100,'24e'!$H$7:$H$100,$A364,'24e'!$I$7:$I$100,2)+SUMIFS('24f'!$N$7:$N$100,'24f'!$H$7:$H$100,$A364,'24f'!$I$7:$I$100,2)+SUMIFS('24g'!$N$7:$N$100,'24g'!$H$7:$H$100,$A364,'24g'!$I$7:$I$100,2)+SUMIFS('24h'!$N$7:$N$100,'24h'!$H$7:$H$100,$A364,'24h'!$I$7:$I$100,2)+SUMIFS('24i'!$N$7:$N$100,'24i'!$H$7:$H$100,$A364,'24i'!$I$7:$I$100,2)+SUMIFS('25'!$N$7:$N$100,'25'!$H$7:$H$100,$A364,'25'!$I$7:$I$100,2)+SUMIFS('26'!$N$7:$N$100,'26'!$H$7:$H$100,$A364,'26'!$I$7:$I$100,2)+SUMIFS('26a'!$N$7:$N$100,'26a'!$H$7:$H$100,$A364,'26a'!$I$7:$I$100,2)+SUMIFS('27'!$N$7:$N$100,'27'!$H$7:$H$100,$A364,'27'!$I$7:$I$100,2)+SUMIFS('27a'!$N$7:$N$100,'27a'!$H$7:$H$100,$A364,'27a'!$I$7:$I$100,2)+SUMIFS('28'!$N$7:$N$100,'28'!$H$7:$H$100,$A364,'28'!$I$7:$I$100,2)+SUMIFS('29'!$N$7:$N$100,'29'!$H$7:$H$100,$A364,'29'!$I$7:$I$100,2)</f>
        <v>0</v>
      </c>
      <c r="E364" s="1315">
        <f>SUMIFS('12'!$N$7:$N$100,'12'!$H$7:$H$100,$A364,'12'!$I$7:$I$100,"")+SUMIFS('13'!$N$7:$N$100,'13'!$H$7:$H$100,$A364,'13'!$I$7:$I$100,"")+SUMIFS('14'!$N$7:$N$100,'14'!$H$7:$H$100,$A364,'14'!$I$7:$I$100,"")+SUMIFS('15'!$N$7:$N$100,'15'!$H$7:$H$100,$A364,'15'!$I$7:$I$100,"")+SUMIFS('15a'!$N$7:$N$100,'15a'!$H$7:$H$100,$A364,'15a'!$I$7:$I$100,"")+SUMIFS('15b'!$N$7:$N$100,'15b'!$H$7:$H$100,$A364,'15b'!$I$7:$I$100,"")+SUMIFS('15c'!$N$7:$N$100,'15c'!$H$7:$H$100,$A364,'15c'!$I$7:$I$100,"")+SUMIFS('15d'!$N$7:$N$100,'15d'!$H$7:$H$100,$A364,'15d'!$I$7:$I$100,"")+SUMIFS('15e'!$N$7:$N$100,'15e'!$H$7:$H$100,$A364,'15e'!$I$7:$I$100,"")+SUMIFS('15f'!$N$7:$N$100,'15f'!$H$7:$H$100,$A364,'15f'!$I$7:$I$100,"")+SUMIFS('15g'!$N$7:$N$100,'15g'!$H$7:$H$100,$A364,'15g'!$I$7:$I$100,"")+SUMIFS('15h'!$N$7:$N$100,'15h'!$H$7:$H$100,$A364,'15h'!$I$7:$I$100,"")+SUMIFS('15i'!$N$7:$N$100,'15i'!$H$7:$H$100,$A364,'15i'!$I$7:$I$100,"")+SUMIFS('15j'!$N$7:$N$100,'15j'!$H$7:$H$100,$A364,'15j'!$I$7:$I$100,"")+SUMIFS('15k'!$N$7:$N$100,'15k'!$H$7:$H$100,$A364,'15k'!$I$7:$I$100,"")+SUMIFS('15l'!$N$7:$N$100,'15l'!$H$7:$H$100,$A364,'15l'!$I$7:$I$100,"")+SUMIFS('15m'!$N$7:$N$100,'15m'!$H$7:$H$100,$A364,'15m'!$I$7:$I$100,"")+SUMIFS('15n'!$N$7:$N$100,'15n'!$H$7:$H$100,$A364,'15n'!$I$7:$I$100,"")+SUMIFS('16'!$N$7:$N$100,'16'!$H$7:$H$100,$A364,'16'!$I$7:$I$100,"")+SUMIFS('16a'!$N$7:$N$100,'16a'!$H$7:$H$100,$A364,'16a'!$I$7:$I$100,"")+SUMIFS('17'!$N$7:$N$100,'17'!$H$7:$H$100,$A364,'17'!$I$7:$I$100,"")+SUMIFS('17a'!$N$7:$N$100,'17a'!$H$7:$H$100,$A364,'17a'!$I$7:$I$100,"")+SUMIFS('18'!$N$7:$N$100,'18'!$H$7:$H$100,$A364,'18'!$I$7:$I$100,"")+SUMIFS('18a'!$N$7:$N$100,'18a'!$H$7:$H$100,$A364,'18a'!$I$7:$I$100,"")
+SUMIFS('19'!$N$7:$N$100,'19'!$H$7:$H$100,$A364,'19'!$I$7:$I$100,"")+SUMIFS('20'!$N$7:$N$100,'20'!$H$7:$H$100,$A364,'20'!$I$7:$I$100,"")+SUMIFS('20a'!$N$7:$N$100,'20a'!$H$7:$H$100,$A364,'20a'!$I$7:$I$100,"")+SUMIFS('21'!$N$7:$N$100,'21'!$H$7:$H$100,$A364,'21'!$I$7:$I$100,"")+SUMIFS('22'!$N$7:$N$100,'22'!$H$7:$H$100,$A364,'22'!$I$7:$I$100,"")+SUMIFS('22a'!$N$7:$N$100,'22a'!$H$7:$H$100,$A364,'22a'!$I$7:$I$100,"")+SUMIFS('22b'!$N$7:$N$100,'22b'!$H$7:$H$100,$A364,'22b'!$I$7:$I$100,"")+SUMIFS('23'!$N$7:$N$100,'23'!$H$7:$H$100,$A364,'23'!$I$7:$I$100,"")+SUMIFS('24'!$N$7:$N$100,'24'!$H$7:$H$100,$A364,'24'!$I$7:$I$100,"")+SUMIFS('24a'!$N$7:$N$100,'24a'!$H$7:$H$100,$A364,'24a'!$I$7:$I$100,"")+SUMIFS('24b'!$N$7:$N$100,'24b'!$H$7:$H$100,$A364,'24b'!$I$7:$I$100,"")+SUMIFS('24c'!$N$7:$N$100,'24c'!$H$7:$H$100,$A364,'24c'!$I$7:$I$100,"")+SUMIFS('24d'!$N$7:$N$100,'24d'!$H$7:$H$100,$A364,'24d'!$I$7:$I$100,"")+SUMIFS('24e'!$N$7:$N$100,'24e'!$H$7:$H$100,$A364,'24e'!$I$7:$I$100,"")+SUMIFS('24f'!$N$7:$N$100,'24f'!$H$7:$H$100,$A364,'24f'!$I$7:$I$100,"")+SUMIFS('24g'!$N$7:$N$100,'24g'!$H$7:$H$100,$A364,'24g'!$I$7:$I$100,"")+SUMIFS('24h'!$N$7:$N$100,'24h'!$H$7:$H$100,$A364,'24h'!$I$7:$I$100,"")+SUMIFS('24i'!$N$7:$N$100,'24i'!$H$7:$H$100,$A364,'24i'!$I$7:$I$100,"")+SUMIFS('25'!$N$7:$N$100,'25'!$H$7:$H$100,$A364,'25'!$I$7:$I$100,"")+SUMIFS('26'!$N$7:$N$100,'26'!$H$7:$H$100,$A364,'26'!$I$7:$I$100,"")+SUMIFS('26a'!$N$7:$N$100,'26a'!$H$7:$H$100,$A364,'26a'!$I$7:$I$100,"")+SUMIFS('27'!$N$7:$N$100,'27'!$H$7:$H$100,$A364,'27'!$I$7:$I$100,"")+SUMIFS('27a'!$N$7:$N$100,'27a'!$H$7:$H$100,$A364,'27a'!$I$7:$I$100,"")+SUMIFS('28'!$N$7:$N$100,'28'!$H$7:$H$100,$A364,'28'!$I$7:$I$100,"")+SUMIFS('29'!$N$7:$N$100,'29'!$H$7:$H$100,$A364,'29'!$I$7:$I$100,"")</f>
        <v>5119.84</v>
      </c>
      <c r="F364" s="1296">
        <f>SUM(C364:E364)</f>
        <v>5119.84</v>
      </c>
      <c r="G364" s="1295">
        <f>SUMIFS('12'!$J$7:$J$100,'12'!$H$7:$H$100,$A364,'12'!$I$7:$I$100,1)+SUMIFS('13'!$J$7:$J$100,'13'!$H$7:$H$100,$A364,'13'!$I$7:$I$100,1)+SUMIFS('14'!$J$7:$J$100,'14'!$H$7:$H$100,$A364,'14'!$I$7:$I$100,1)+SUMIFS('15'!$J$7:$J$100,'15'!$H$7:$H$100,$A364,'15'!$I$7:$I$100,1)+SUMIFS('15a'!$J$7:$J$100,'15a'!$H$7:$H$100,$A364,'15a'!$I$7:$I$100,1)+SUMIFS('15b'!$J$7:$J$100,'15b'!$H$7:$H$100,$A364,'15b'!$I$7:$I$100,1)+SUMIFS('15c'!$J$7:$J$100,'15c'!$H$7:$H$100,$A364,'15c'!$I$7:$I$100,1)+SUMIFS('15d'!$J$7:$J$100,'15d'!$H$7:$H$100,$A364,'15d'!$I$7:$I$100,1)+SUMIFS('15e'!$J$7:$J$100,'15e'!$H$7:$H$100,$A364,'15e'!$I$7:$I$100,1)+SUMIFS('15f'!$J$7:$J$100,'15f'!$H$7:$H$100,$A364,'15f'!$I$7:$I$100,1)+SUMIFS('15g'!$J$7:$J$100,'15g'!$H$7:$H$100,$A364,'15g'!$I$7:$I$100,1)+SUMIFS('15h'!$J$7:$J$100,'15h'!$H$7:$H$100,$A364,'15h'!$I$7:$I$100,1)+SUMIFS('15i'!$J$7:$J$100,'15i'!$H$7:$H$100,$A364,'15i'!$I$7:$I$100,1)+SUMIFS('15j'!$J$7:$J$100,'15j'!$H$7:$H$100,$A364,'15j'!$I$7:$I$100,1)+SUMIFS('15k'!$J$7:$J$100,'15k'!$H$7:$H$100,$A364,'15k'!$I$7:$I$100,1)+SUMIFS('15l'!$J$7:$J$100,'15l'!$H$7:$H$100,$A364,'15l'!$I$7:$I$100,1)+SUMIFS('15m'!$J$7:$J$100,'15m'!$H$7:$H$100,$A364,'15m'!$I$7:$I$100,1)+SUMIFS('15n'!$J$7:$J$100,'15n'!$H$7:$H$100,$A364,'15n'!$I$7:$I$100,1)+SUMIFS('16'!$J$7:$J$100,'16'!$H$7:$H$100,$A364,'16'!$I$7:$I$100,1)+SUMIFS('16a'!$J$7:$J$100,'16a'!$H$7:$H$100,$A364,'16a'!$I$7:$I$100,1)+SUMIFS('17'!$J$7:$J$100,'17'!$H$7:$H$100,$A364,'17'!$I$7:$I$100,1)+SUMIFS('17a'!$J$7:$J$100,'17a'!$H$7:$H$100,$A364,'17a'!$I$7:$I$100,1)+SUMIFS('18'!$J$7:$J$100,'18'!$H$7:$H$100,$A364,'18'!$I$7:$I$100,1)+SUMIFS('18a'!$J$7:$J$100,'18a'!$H$7:$H$100,$A364,'18a'!$I$7:$I$100,1)
+SUMIFS('19'!$J$7:$J$100,'19'!$H$7:$H$100,$A364,'19'!$I$7:$I$100,1)+SUMIFS('20'!$J$7:$J$100,'20'!$H$7:$H$100,$A364,'20'!$I$7:$I$100,1)+SUMIFS('20a'!$J$7:$J$100,'20a'!$H$7:$H$100,$A364,'20a'!$I$7:$I$100,1)+SUMIFS('21'!$J$7:$J$100,'21'!$H$7:$H$100,$A364,'21'!$I$7:$I$100,1)+SUMIFS('22'!$J$7:$J$100,'22'!$H$7:$H$100,$A364,'22'!$I$7:$I$100,1)+SUMIFS('22a'!$J$7:$J$100,'22a'!$H$7:$H$100,$A364,'22a'!$I$7:$I$100,1)+SUMIFS('22b'!$J$7:$J$100,'22b'!$H$7:$H$100,$A364,'22b'!$I$7:$I$100,1)+SUMIFS('23'!$J$7:$J$100,'23'!$H$7:$H$100,$A364,'23'!$I$7:$I$100,1)+SUMIFS('24'!$J$7:$J$100,'24'!$H$7:$H$100,$A364,'24'!$I$7:$I$100,1)+SUMIFS('24a'!$J$7:$J$100,'24a'!$H$7:$H$100,$A364,'24a'!$I$7:$I$100,1)+SUMIFS('24b'!$J$7:$J$100,'24b'!$H$7:$H$100,$A364,'24b'!$I$7:$I$100,1)+SUMIFS('24c'!$J$7:$J$100,'24c'!$H$7:$H$100,$A364,'24c'!$I$7:$I$100,1)+SUMIFS('24d'!$J$7:$J$100,'24d'!$H$7:$H$100,$A364,'24d'!$I$7:$I$100,1)+SUMIFS('24e'!$J$7:$J$100,'24e'!$H$7:$H$100,$A364,'24e'!$I$7:$I$100,1)+SUMIFS('24f'!$J$7:$J$100,'24f'!$H$7:$H$100,$A364,'24f'!$I$7:$I$100,1)+SUMIFS('24g'!$J$7:$J$100,'24g'!$H$7:$H$100,$A364,'24g'!$I$7:$I$100,1)+SUMIFS('24h'!$J$7:$J$100,'24h'!$H$7:$H$100,$A364,'24h'!$I$7:$I$100,1)+SUMIFS('24i'!$J$7:$J$100,'24i'!$H$7:$H$100,$A364,'24i'!$I$7:$I$100,1)+SUMIFS('25'!$J$7:$J$100,'25'!$H$7:$H$100,$A364,'25'!$I$7:$I$100,1)+SUMIFS('26'!$J$7:$J$100,'26'!$H$7:$H$100,$A364,'26'!$I$7:$I$100,1)+SUMIFS('26a'!$J$7:$J$100,'26a'!$H$7:$H$100,$A364,'26a'!$I$7:$I$100,1)+SUMIFS('27'!$J$7:$J$100,'27'!$H$7:$H$100,$A364,'27'!$I$7:$I$100,1)+SUMIFS('27a'!$J$7:$J$100,'27a'!$H$7:$H$100,$A364,'27a'!$I$7:$I$100,1)+SUMIFS('28'!$J$7:$J$100,'28'!$H$7:$H$100,$A364,'28'!$I$7:$I$100,1)+SUMIFS('29'!$J$7:$J$100,'29'!$H$7:$H$100,$A364,'29'!$I$7:$I$100,1)</f>
        <v>0</v>
      </c>
      <c r="H364" s="1315">
        <f>SUMIFS('12'!$J$7:$J$100,'12'!$H$7:$H$100,$A364,'12'!$I$7:$I$100,2)+SUMIFS('13'!$J$7:$J$100,'13'!$H$7:$H$100,$A364,'13'!$I$7:$I$100,2)+SUMIFS('14'!$J$7:$J$100,'14'!$H$7:$H$100,$A364,'14'!$I$7:$I$100,2)+SUMIFS('15'!$J$7:$J$100,'15'!$H$7:$H$100,$A364,'15'!$I$7:$I$100,2)+SUMIFS('15a'!$J$7:$J$100,'15a'!$H$7:$H$100,$A364,'15a'!$I$7:$I$100,2)+SUMIFS('15b'!$J$7:$J$100,'15b'!$H$7:$H$100,$A364,'15b'!$I$7:$I$100,2)+SUMIFS('15c'!$J$7:$J$100,'15c'!$H$7:$H$100,$A364,'15c'!$I$7:$I$100,2)+SUMIFS('15d'!$J$7:$J$100,'15d'!$H$7:$H$100,$A364,'15d'!$I$7:$I$100,2)+SUMIFS('15e'!$J$7:$J$100,'15e'!$H$7:$H$100,$A364,'15e'!$I$7:$I$100,2)+SUMIFS('15f'!$J$7:$J$100,'15f'!$H$7:$H$100,$A364,'15f'!$I$7:$I$100,2)+SUMIFS('15g'!$J$7:$J$100,'15g'!$H$7:$H$100,$A364,'15g'!$I$7:$I$100,2)+SUMIFS('15h'!$J$7:$J$100,'15h'!$H$7:$H$100,$A364,'15h'!$I$7:$I$100,2)+SUMIFS('15i'!$J$7:$J$100,'15i'!$H$7:$H$100,$A364,'15i'!$I$7:$I$100,2)+SUMIFS('15j'!$J$7:$J$100,'15j'!$H$7:$H$100,$A364,'15j'!$I$7:$I$100,2)+SUMIFS('15k'!$J$7:$J$100,'15k'!$H$7:$H$100,$A364,'15k'!$I$7:$I$100,2)+SUMIFS('15l'!$J$7:$J$100,'15l'!$H$7:$H$100,$A364,'15l'!$I$7:$I$100,2)+SUMIFS('15m'!$J$7:$J$100,'15m'!$H$7:$H$100,$A364,'15m'!$I$7:$I$100,2)+SUMIFS('15n'!$J$7:$J$100,'15n'!$H$7:$H$100,$A364,'15n'!$I$7:$I$100,2)+SUMIFS('16'!$J$7:$J$100,'16'!$H$7:$H$100,$A364,'16'!$I$7:$I$100,2)+SUMIFS('16a'!$J$7:$J$100,'16a'!$H$7:$H$100,$A364,'16a'!$I$7:$I$100,2)+SUMIFS('17'!$J$7:$J$100,'17'!$H$7:$H$100,$A364,'17'!$I$7:$I$100,2)+SUMIFS('17a'!$J$7:$J$100,'17a'!$H$7:$H$100,$A364,'17a'!$I$7:$I$100,2)+SUMIFS('18'!$J$7:$J$100,'18'!$H$7:$H$100,$A364,'18'!$I$7:$I$100,2)+SUMIFS('18a'!$J$7:$J$100,'18a'!$H$7:$H$100,$A364,'18a'!$I$7:$I$100,2)
+SUMIFS('19'!$J$7:$J$100,'19'!$H$7:$H$100,$A364,'19'!$I$7:$I$100,2)+SUMIFS('20'!$J$7:$J$100,'20'!$H$7:$H$100,$A364,'20'!$I$7:$I$100,2)+SUMIFS('20a'!$J$7:$J$100,'20a'!$H$7:$H$100,$A364,'20a'!$I$7:$I$100,2)+SUMIFS('21'!$J$7:$J$100,'21'!$H$7:$H$100,$A364,'21'!$I$7:$I$100,2)+SUMIFS('22'!$J$7:$J$100,'22'!$H$7:$H$100,$A364,'22'!$I$7:$I$100,2)+SUMIFS('22a'!$J$7:$J$100,'22a'!$H$7:$H$100,$A364,'22a'!$I$7:$I$100,2)+SUMIFS('22b'!$J$7:$J$100,'22b'!$H$7:$H$100,$A364,'22b'!$I$7:$I$100,2)+SUMIFS('23'!$J$7:$J$100,'23'!$H$7:$H$100,$A364,'23'!$I$7:$I$100,2)+SUMIFS('24'!$J$7:$J$100,'24'!$H$7:$H$100,$A364,'24'!$I$7:$I$100,2)+SUMIFS('24a'!$J$7:$J$100,'24a'!$H$7:$H$100,$A364,'24a'!$I$7:$I$100,2)+SUMIFS('24b'!$J$7:$J$100,'24b'!$H$7:$H$100,$A364,'24b'!$I$7:$I$100,2)+SUMIFS('24c'!$J$7:$J$100,'24c'!$H$7:$H$100,$A364,'24c'!$I$7:$I$100,2)+SUMIFS('24d'!$J$7:$J$100,'24d'!$H$7:$H$100,$A364,'24d'!$I$7:$I$100,2)+SUMIFS('24e'!$J$7:$J$100,'24e'!$H$7:$H$100,$A364,'24e'!$I$7:$I$100,2)+SUMIFS('24f'!$J$7:$J$100,'24f'!$H$7:$H$100,$A364,'24f'!$I$7:$I$100,2)+SUMIFS('24g'!$J$7:$J$100,'24g'!$H$7:$H$100,$A364,'24g'!$I$7:$I$100,2)+SUMIFS('24h'!$J$7:$J$100,'24h'!$H$7:$H$100,$A364,'24h'!$I$7:$I$100,2)+SUMIFS('24i'!$J$7:$J$100,'24i'!$H$7:$H$100,$A364,'24i'!$I$7:$I$100,2)+SUMIFS('25'!$J$7:$J$100,'25'!$H$7:$H$100,$A364,'25'!$I$7:$I$100,2)+SUMIFS('26'!$J$7:$J$100,'26'!$H$7:$H$100,$A364,'26'!$I$7:$I$100,2)+SUMIFS('26a'!$J$7:$J$100,'26a'!$H$7:$H$100,$A364,'26a'!$I$7:$I$100,2)+SUMIFS('27'!$J$7:$J$100,'27'!$H$7:$H$100,$A364,'27'!$I$7:$I$100,2)+SUMIFS('27a'!$J$7:$J$100,'27a'!$H$7:$H$100,$A364,'27a'!$I$7:$I$100,2)+SUMIFS('28'!$J$7:$J$100,'28'!$H$7:$H$100,$A364,'28'!$I$7:$I$100,2)+SUMIFS('29'!$J$7:$J$100,'29'!$H$7:$H$100,$A364,'29'!$I$7:$I$100,2)</f>
        <v>0</v>
      </c>
      <c r="I364" s="1315">
        <f>SUMIFS('12'!$J$7:$J$100,'12'!$H$7:$H$100,$A364,'12'!$I$7:$I$100,"")+SUMIFS('13'!$J$7:$J$100,'13'!$H$7:$H$100,$A364,'13'!$I$7:$I$100,"")+SUMIFS('14'!$J$7:$J$100,'14'!$H$7:$H$100,$A364,'14'!$I$7:$I$100,"")+SUMIFS('15'!$J$7:$J$100,'15'!$H$7:$H$100,$A364,'15'!$I$7:$I$100,"")+SUMIFS('15a'!$J$7:$J$100,'15a'!$H$7:$H$100,$A364,'15a'!$I$7:$I$100,"")+SUMIFS('15b'!$J$7:$J$100,'15b'!$H$7:$H$100,$A364,'15b'!$I$7:$I$100,"")+SUMIFS('15c'!$J$7:$J$100,'15c'!$H$7:$H$100,$A364,'15c'!$I$7:$I$100,"")+SUMIFS('15d'!$J$7:$J$100,'15d'!$H$7:$H$100,$A364,'15d'!$I$7:$I$100,"")+SUMIFS('15e'!$J$7:$J$100,'15e'!$H$7:$H$100,$A364,'15e'!$I$7:$I$100,"")+SUMIFS('15f'!$J$7:$J$100,'15f'!$H$7:$H$100,$A364,'15f'!$I$7:$I$100,"")+SUMIFS('15g'!$J$7:$J$100,'15g'!$H$7:$H$100,$A364,'15g'!$I$7:$I$100,"")+SUMIFS('15h'!$J$7:$J$100,'15h'!$H$7:$H$100,$A364,'15h'!$I$7:$I$100,"")+SUMIFS('15i'!$J$7:$J$100,'15i'!$H$7:$H$100,$A364,'15i'!$I$7:$I$100,"")+SUMIFS('15j'!$J$7:$J$100,'15j'!$H$7:$H$100,$A364,'15j'!$I$7:$I$100,"")+SUMIFS('15k'!$J$7:$J$100,'15k'!$H$7:$H$100,$A364,'15k'!$I$7:$I$100,"")+SUMIFS('15l'!$J$7:$J$100,'15l'!$H$7:$H$100,$A364,'15l'!$I$7:$I$100,"")+SUMIFS('15m'!$J$7:$J$100,'15m'!$H$7:$H$100,$A364,'15m'!$I$7:$I$100,"")+SUMIFS('15n'!$J$7:$J$100,'15n'!$H$7:$H$100,$A364,'15n'!$I$7:$I$100,"")+SUMIFS('16'!$J$7:$J$100,'16'!$H$7:$H$100,$A364,'16'!$I$7:$I$100,"")+SUMIFS('16a'!$J$7:$J$100,'16a'!$H$7:$H$100,$A364,'16a'!$I$7:$I$100,"")+SUMIFS('17'!$J$7:$J$100,'17'!$H$7:$H$100,$A364,'17'!$I$7:$I$100,"")+SUMIFS('17a'!$J$7:$J$100,'17a'!$H$7:$H$100,$A364,'17a'!$I$7:$I$100,"")+SUMIFS('18'!$J$7:$J$100,'18'!$H$7:$H$100,$A364,'18'!$I$7:$I$100,"")+SUMIFS('18a'!$J$7:$J$100,'18a'!$H$7:$H$100,$A364,'18a'!$I$7:$I$100,"")
+SUMIFS('19'!$J$7:$J$100,'19'!$H$7:$H$100,$A364,'19'!$I$7:$I$100,"")+SUMIFS('20'!$J$7:$J$100,'20'!$H$7:$H$100,$A364,'20'!$I$7:$I$100,"")+SUMIFS('20a'!$J$7:$J$100,'20a'!$H$7:$H$100,$A364,'20a'!$I$7:$I$100,"")+SUMIFS('21'!$J$7:$J$100,'21'!$H$7:$H$100,$A364,'21'!$I$7:$I$100,"")+SUMIFS('22'!$J$7:$J$100,'22'!$H$7:$H$100,$A364,'22'!$I$7:$I$100,"")+SUMIFS('22a'!$J$7:$J$100,'22a'!$H$7:$H$100,$A364,'22a'!$I$7:$I$100,"")+SUMIFS('22b'!$J$7:$J$100,'22b'!$H$7:$H$100,$A364,'22b'!$I$7:$I$100,"")+SUMIFS('23'!$J$7:$J$100,'23'!$H$7:$H$100,$A364,'23'!$I$7:$I$100,"")+SUMIFS('24'!$J$7:$J$100,'24'!$H$7:$H$100,$A364,'24'!$I$7:$I$100,"")+SUMIFS('24a'!$J$7:$J$100,'24a'!$H$7:$H$100,$A364,'24a'!$I$7:$I$100,"")+SUMIFS('24b'!$J$7:$J$100,'24b'!$H$7:$H$100,$A364,'24b'!$I$7:$I$100,"")+SUMIFS('24c'!$J$7:$J$100,'24c'!$H$7:$H$100,$A364,'24c'!$I$7:$I$100,"")+SUMIFS('24d'!$J$7:$J$100,'24d'!$H$7:$H$100,$A364,'24d'!$I$7:$I$100,"")+SUMIFS('24e'!$J$7:$J$100,'24e'!$H$7:$H$100,$A364,'24e'!$I$7:$I$100,"")+SUMIFS('24f'!$J$7:$J$100,'24f'!$H$7:$H$100,$A364,'24f'!$I$7:$I$100,"")+SUMIFS('24g'!$J$7:$J$100,'24g'!$H$7:$H$100,$A364,'24g'!$I$7:$I$100,"")+SUMIFS('24h'!$J$7:$J$100,'24h'!$H$7:$H$100,$A364,'24h'!$I$7:$I$100,"")+SUMIFS('24i'!$J$7:$J$100,'24i'!$H$7:$H$100,$A364,'24i'!$I$7:$I$100,"")+SUMIFS('25'!$J$7:$J$100,'25'!$H$7:$H$100,$A364,'25'!$I$7:$I$100,"")+SUMIFS('26'!$J$7:$J$100,'26'!$H$7:$H$100,$A364,'26'!$I$7:$I$100,"")+SUMIFS('26a'!$J$7:$J$100,'26a'!$H$7:$H$100,$A364,'26a'!$I$7:$I$100,"")+SUMIFS('27'!$J$7:$J$100,'27'!$H$7:$H$100,$A364,'27'!$I$7:$I$100,"")+SUMIFS('27a'!$J$7:$J$100,'27a'!$H$7:$H$100,$A364,'27a'!$I$7:$I$100,"")+SUMIFS('28'!$J$7:$J$100,'28'!$H$7:$H$100,$A364,'28'!$I$7:$I$100,"")+SUMIFS('29'!$J$7:$J$100,'29'!$H$7:$H$100,$A364,'29'!$I$7:$I$100,"")</f>
        <v>20119.84</v>
      </c>
      <c r="J364" s="1296">
        <f>SUM(G364:I364)</f>
        <v>20119.84</v>
      </c>
      <c r="K364"/>
      <c r="L364"/>
      <c r="M364"/>
      <c r="N364"/>
      <c r="O364"/>
      <c r="P364"/>
      <c r="Q364"/>
      <c r="R364"/>
      <c r="S364" s="1307">
        <f t="shared" si="48"/>
        <v>50479.360000000001</v>
      </c>
      <c r="T364"/>
    </row>
    <row r="365" spans="1:20" x14ac:dyDescent="0.2">
      <c r="A365"/>
      <c r="B365" s="1289" t="str">
        <f>"Total- "&amp;A363</f>
        <v>Total- Public and Private Programs Offset by Revenues (Grants)</v>
      </c>
      <c r="C365" s="1297">
        <f>C364</f>
        <v>0</v>
      </c>
      <c r="D365" s="1290">
        <f t="shared" ref="D365:J365" si="54">D364</f>
        <v>0</v>
      </c>
      <c r="E365" s="1290">
        <f t="shared" si="54"/>
        <v>5119.84</v>
      </c>
      <c r="F365" s="1298">
        <f t="shared" si="54"/>
        <v>5119.84</v>
      </c>
      <c r="G365" s="1297">
        <f t="shared" si="54"/>
        <v>0</v>
      </c>
      <c r="H365" s="1290">
        <f t="shared" si="54"/>
        <v>0</v>
      </c>
      <c r="I365" s="1290">
        <f t="shared" si="54"/>
        <v>20119.84</v>
      </c>
      <c r="J365" s="1298">
        <f t="shared" si="54"/>
        <v>20119.84</v>
      </c>
      <c r="K365"/>
      <c r="L365"/>
      <c r="M365"/>
      <c r="N365"/>
      <c r="O365"/>
      <c r="P365"/>
      <c r="Q365"/>
      <c r="R365"/>
      <c r="S365" s="1307"/>
      <c r="T365"/>
    </row>
    <row r="366" spans="1:20" x14ac:dyDescent="0.2">
      <c r="A366"/>
      <c r="B366"/>
      <c r="C366" s="292"/>
      <c r="D366"/>
      <c r="E366"/>
      <c r="F366" s="345"/>
      <c r="G366" s="292"/>
      <c r="H366"/>
      <c r="I366"/>
      <c r="J366" s="345"/>
      <c r="K366"/>
      <c r="L366"/>
      <c r="M366"/>
      <c r="N366"/>
      <c r="O366"/>
      <c r="P366"/>
      <c r="Q366"/>
      <c r="R366"/>
      <c r="S366" s="1307"/>
      <c r="T366"/>
    </row>
    <row r="367" spans="1:20" x14ac:dyDescent="0.2">
      <c r="A367" s="106" t="s">
        <v>5451</v>
      </c>
      <c r="B367" s="5"/>
      <c r="C367" s="1299"/>
      <c r="D367" s="523"/>
      <c r="E367" s="5"/>
      <c r="F367" s="1322"/>
      <c r="G367" s="1299"/>
      <c r="H367" s="523"/>
      <c r="I367" s="5"/>
      <c r="J367" s="1322"/>
      <c r="K367"/>
      <c r="L367"/>
      <c r="M367"/>
      <c r="N367"/>
      <c r="O367"/>
      <c r="P367"/>
      <c r="Q367"/>
      <c r="R367"/>
      <c r="S367" s="1307"/>
      <c r="T367"/>
    </row>
    <row r="368" spans="1:20" x14ac:dyDescent="0.2">
      <c r="A368" t="s">
        <v>5071</v>
      </c>
      <c r="B368" t="s">
        <v>5392</v>
      </c>
      <c r="C368" s="1295">
        <f>SUMIFS('12'!$N$7:$N$100,'12'!$H$7:$H$100,$A368,'12'!$I$7:$I$100,1)+SUMIFS('13'!$N$7:$N$100,'13'!$H$7:$H$100,$A368,'13'!$I$7:$I$100,1)+SUMIFS('14'!$N$7:$N$100,'14'!$H$7:$H$100,$A368,'14'!$I$7:$I$100,1)+SUMIFS('15'!$N$7:$N$100,'15'!$H$7:$H$100,$A368,'15'!$I$7:$I$100,1)+SUMIFS('15a'!$N$7:$N$100,'15a'!$H$7:$H$100,$A368,'15a'!$I$7:$I$100,1)+SUMIFS('15b'!$N$7:$N$100,'15b'!$H$7:$H$100,$A368,'15b'!$I$7:$I$100,1)+SUMIFS('15c'!$N$7:$N$100,'15c'!$H$7:$H$100,$A368,'15c'!$I$7:$I$100,1)+SUMIFS('15d'!$N$7:$N$100,'15d'!$H$7:$H$100,$A368,'15d'!$I$7:$I$100,1)+SUMIFS('15e'!$N$7:$N$100,'15e'!$H$7:$H$100,$A368,'15e'!$I$7:$I$100,1)+SUMIFS('15f'!$N$7:$N$100,'15f'!$H$7:$H$100,$A368,'15f'!$I$7:$I$100,1)+SUMIFS('15g'!$N$7:$N$100,'15g'!$H$7:$H$100,$A368,'15g'!$I$7:$I$100,1)+SUMIFS('15h'!$N$7:$N$100,'15h'!$H$7:$H$100,$A368,'15h'!$I$7:$I$100,1)+SUMIFS('15i'!$N$7:$N$100,'15i'!$H$7:$H$100,$A368,'15i'!$I$7:$I$100,1)+SUMIFS('15j'!$N$7:$N$100,'15j'!$H$7:$H$100,$A368,'15j'!$I$7:$I$100,1)+SUMIFS('15k'!$N$7:$N$100,'15k'!$H$7:$H$100,$A368,'15k'!$I$7:$I$100,1)+SUMIFS('15l'!$N$7:$N$100,'15l'!$H$7:$H$100,$A368,'15l'!$I$7:$I$100,1)+SUMIFS('15m'!$N$7:$N$100,'15m'!$H$7:$H$100,$A368,'15m'!$I$7:$I$100,1)+SUMIFS('15n'!$N$7:$N$100,'15n'!$H$7:$H$100,$A368,'15n'!$I$7:$I$100,1)+SUMIFS('16'!$N$7:$N$100,'16'!$H$7:$H$100,$A368,'16'!$I$7:$I$100,1)+SUMIFS('16a'!$N$7:$N$100,'16a'!$H$7:$H$100,$A368,'16a'!$I$7:$I$100,1)+SUMIFS('17'!$N$7:$N$100,'17'!$H$7:$H$100,$A368,'17'!$I$7:$I$100,1)+SUMIFS('17a'!$N$7:$N$100,'17a'!$H$7:$H$100,$A368,'17a'!$I$7:$I$100,1)+SUMIFS('18'!$N$7:$N$100,'18'!$H$7:$H$100,$A368,'18'!$I$7:$I$100,1)+SUMIFS('18a'!$N$7:$N$100,'18a'!$H$7:$H$100,$A368,'18a'!$I$7:$I$100,1)
+SUMIFS('19'!$N$7:$N$100,'19'!$H$7:$H$100,$A368,'19'!$I$7:$I$100,1)+SUMIFS('20'!$N$7:$N$100,'20'!$H$7:$H$100,$A368,'20'!$I$7:$I$100,1)+SUMIFS('20a'!$N$7:$N$100,'20a'!$H$7:$H$100,$A368,'20a'!$I$7:$I$100,1)+SUMIFS('21'!$N$7:$N$100,'21'!$H$7:$H$100,$A368,'21'!$I$7:$I$100,1)+SUMIFS('22'!$N$7:$N$100,'22'!$H$7:$H$100,$A368,'22'!$I$7:$I$100,1)+SUMIFS('22a'!$N$7:$N$100,'22a'!$H$7:$H$100,$A368,'22a'!$I$7:$I$100,1)+SUMIFS('22b'!$N$7:$N$100,'22b'!$H$7:$H$100,$A368,'22b'!$I$7:$I$100,1)+SUMIFS('23'!$N$7:$N$100,'23'!$H$7:$H$100,$A368,'23'!$I$7:$I$100,1)+SUMIFS('24'!$N$7:$N$100,'24'!$H$7:$H$100,$A368,'24'!$I$7:$I$100,1)+SUMIFS('24a'!$N$7:$N$100,'24a'!$H$7:$H$100,$A368,'24a'!$I$7:$I$100,1)+SUMIFS('24b'!$N$7:$N$100,'24b'!$H$7:$H$100,$A368,'24b'!$I$7:$I$100,1)+SUMIFS('24c'!$N$7:$N$100,'24c'!$H$7:$H$100,$A368,'24c'!$I$7:$I$100,1)+SUMIFS('24d'!$N$7:$N$100,'24d'!$H$7:$H$100,$A368,'24d'!$I$7:$I$100,1)+SUMIFS('24e'!$N$7:$N$100,'24e'!$H$7:$H$100,$A368,'24e'!$I$7:$I$100,1)+SUMIFS('24f'!$N$7:$N$100,'24f'!$H$7:$H$100,$A368,'24f'!$I$7:$I$100,1)+SUMIFS('24g'!$N$7:$N$100,'24g'!$H$7:$H$100,$A368,'24g'!$I$7:$I$100,1)+SUMIFS('24h'!$N$7:$N$100,'24h'!$H$7:$H$100,$A368,'24h'!$I$7:$I$100,1)+SUMIFS('24i'!$N$7:$N$100,'24i'!$H$7:$H$100,$A368,'24i'!$I$7:$I$100,1)+SUMIFS('25'!$N$7:$N$100,'25'!$H$7:$H$100,$A368,'25'!$I$7:$I$100,1)+SUMIFS('26'!$N$7:$N$100,'26'!$H$7:$H$100,$A368,'26'!$I$7:$I$100,1)+SUMIFS('26a'!$N$7:$N$100,'26a'!$H$7:$H$100,$A368,'26a'!$I$7:$I$100,1)+SUMIFS('27'!$N$7:$N$100,'27'!$H$7:$H$100,$A368,'27'!$I$7:$I$100,1)+SUMIFS('27a'!$N$7:$N$100,'27a'!$H$7:$H$100,$A368,'27a'!$I$7:$I$100,1)+SUMIFS('28'!$N$7:$N$100,'28'!$H$7:$H$100,$A368,'28'!$I$7:$I$100,1)+SUMIFS('29'!$N$7:$N$100,'29'!$H$7:$H$100,$A368,'29'!$I$7:$I$100,1)</f>
        <v>0</v>
      </c>
      <c r="D368" s="1315">
        <f>SUMIFS('12'!$N$7:$N$100,'12'!$H$7:$H$100,$A368,'12'!$I$7:$I$100,2)+SUMIFS('13'!$N$7:$N$100,'13'!$H$7:$H$100,$A368,'13'!$I$7:$I$100,2)+SUMIFS('14'!$N$7:$N$100,'14'!$H$7:$H$100,$A368,'14'!$I$7:$I$100,2)+SUMIFS('15'!$N$7:$N$100,'15'!$H$7:$H$100,$A368,'15'!$I$7:$I$100,2)+SUMIFS('15a'!$N$7:$N$100,'15a'!$H$7:$H$100,$A368,'15a'!$I$7:$I$100,2)+SUMIFS('15b'!$N$7:$N$100,'15b'!$H$7:$H$100,$A368,'15b'!$I$7:$I$100,2)+SUMIFS('15c'!$N$7:$N$100,'15c'!$H$7:$H$100,$A368,'15c'!$I$7:$I$100,2)+SUMIFS('15d'!$N$7:$N$100,'15d'!$H$7:$H$100,$A368,'15d'!$I$7:$I$100,2)+SUMIFS('15e'!$N$7:$N$100,'15e'!$H$7:$H$100,$A368,'15e'!$I$7:$I$100,2)+SUMIFS('15f'!$N$7:$N$100,'15f'!$H$7:$H$100,$A368,'15f'!$I$7:$I$100,2)+SUMIFS('15g'!$N$7:$N$100,'15g'!$H$7:$H$100,$A368,'15g'!$I$7:$I$100,2)+SUMIFS('15h'!$N$7:$N$100,'15h'!$H$7:$H$100,$A368,'15h'!$I$7:$I$100,2)+SUMIFS('15i'!$N$7:$N$100,'15i'!$H$7:$H$100,$A368,'15i'!$I$7:$I$100,2)+SUMIFS('15j'!$N$7:$N$100,'15j'!$H$7:$H$100,$A368,'15j'!$I$7:$I$100,2)+SUMIFS('15k'!$N$7:$N$100,'15k'!$H$7:$H$100,$A368,'15k'!$I$7:$I$100,2)+SUMIFS('15l'!$N$7:$N$100,'15l'!$H$7:$H$100,$A368,'15l'!$I$7:$I$100,2)+SUMIFS('15m'!$N$7:$N$100,'15m'!$H$7:$H$100,$A368,'15m'!$I$7:$I$100,2)+SUMIFS('15n'!$N$7:$N$100,'15n'!$H$7:$H$100,$A368,'15n'!$I$7:$I$100,2)+SUMIFS('16'!$N$7:$N$100,'16'!$H$7:$H$100,$A368,'16'!$I$7:$I$100,2)+SUMIFS('16a'!$N$7:$N$100,'16a'!$H$7:$H$100,$A368,'16a'!$I$7:$I$100,2)+SUMIFS('17'!$N$7:$N$100,'17'!$H$7:$H$100,$A368,'17'!$I$7:$I$100,2)+SUMIFS('17a'!$N$7:$N$100,'17a'!$H$7:$H$100,$A368,'17a'!$I$7:$I$100,2)+SUMIFS('18'!$N$7:$N$100,'18'!$H$7:$H$100,$A368,'18'!$I$7:$I$100,2)+SUMIFS('18a'!$N$7:$N$100,'18a'!$H$7:$H$100,$A368,'18a'!$I$7:$I$100,2)
+SUMIFS('19'!$N$7:$N$100,'19'!$H$7:$H$100,$A368,'19'!$I$7:$I$100,2)+SUMIFS('20'!$N$7:$N$100,'20'!$H$7:$H$100,$A368,'20'!$I$7:$I$100,2)+SUMIFS('20a'!$N$7:$N$100,'20a'!$H$7:$H$100,$A368,'20a'!$I$7:$I$100,2)+SUMIFS('21'!$N$7:$N$100,'21'!$H$7:$H$100,$A368,'21'!$I$7:$I$100,2)+SUMIFS('22'!$N$7:$N$100,'22'!$H$7:$H$100,$A368,'22'!$I$7:$I$100,2)+SUMIFS('22a'!$N$7:$N$100,'22a'!$H$7:$H$100,$A368,'22a'!$I$7:$I$100,2)+SUMIFS('22b'!$N$7:$N$100,'22b'!$H$7:$H$100,$A368,'22b'!$I$7:$I$100,2)+SUMIFS('23'!$N$7:$N$100,'23'!$H$7:$H$100,$A368,'23'!$I$7:$I$100,2)+SUMIFS('24'!$N$7:$N$100,'24'!$H$7:$H$100,$A368,'24'!$I$7:$I$100,2)+SUMIFS('24a'!$N$7:$N$100,'24a'!$H$7:$H$100,$A368,'24a'!$I$7:$I$100,2)+SUMIFS('24b'!$N$7:$N$100,'24b'!$H$7:$H$100,$A368,'24b'!$I$7:$I$100,2)+SUMIFS('24c'!$N$7:$N$100,'24c'!$H$7:$H$100,$A368,'24c'!$I$7:$I$100,2)+SUMIFS('24d'!$N$7:$N$100,'24d'!$H$7:$H$100,$A368,'24d'!$I$7:$I$100,2)+SUMIFS('24e'!$N$7:$N$100,'24e'!$H$7:$H$100,$A368,'24e'!$I$7:$I$100,2)+SUMIFS('24f'!$N$7:$N$100,'24f'!$H$7:$H$100,$A368,'24f'!$I$7:$I$100,2)+SUMIFS('24g'!$N$7:$N$100,'24g'!$H$7:$H$100,$A368,'24g'!$I$7:$I$100,2)+SUMIFS('24h'!$N$7:$N$100,'24h'!$H$7:$H$100,$A368,'24h'!$I$7:$I$100,2)+SUMIFS('24i'!$N$7:$N$100,'24i'!$H$7:$H$100,$A368,'24i'!$I$7:$I$100,2)+SUMIFS('25'!$N$7:$N$100,'25'!$H$7:$H$100,$A368,'25'!$I$7:$I$100,2)+SUMIFS('26'!$N$7:$N$100,'26'!$H$7:$H$100,$A368,'26'!$I$7:$I$100,2)+SUMIFS('26a'!$N$7:$N$100,'26a'!$H$7:$H$100,$A368,'26a'!$I$7:$I$100,2)+SUMIFS('27'!$N$7:$N$100,'27'!$H$7:$H$100,$A368,'27'!$I$7:$I$100,2)+SUMIFS('27a'!$N$7:$N$100,'27a'!$H$7:$H$100,$A368,'27a'!$I$7:$I$100,2)+SUMIFS('28'!$N$7:$N$100,'28'!$H$7:$H$100,$A368,'28'!$I$7:$I$100,2)+SUMIFS('29'!$N$7:$N$100,'29'!$H$7:$H$100,$A368,'29'!$I$7:$I$100,2)</f>
        <v>0</v>
      </c>
      <c r="E368" s="1315">
        <f>SUMIFS('12'!$N$7:$N$100,'12'!$H$7:$H$100,$A368,'12'!$I$7:$I$100,"")+SUMIFS('13'!$N$7:$N$100,'13'!$H$7:$H$100,$A368,'13'!$I$7:$I$100,"")+SUMIFS('14'!$N$7:$N$100,'14'!$H$7:$H$100,$A368,'14'!$I$7:$I$100,"")+SUMIFS('15'!$N$7:$N$100,'15'!$H$7:$H$100,$A368,'15'!$I$7:$I$100,"")+SUMIFS('15a'!$N$7:$N$100,'15a'!$H$7:$H$100,$A368,'15a'!$I$7:$I$100,"")+SUMIFS('15b'!$N$7:$N$100,'15b'!$H$7:$H$100,$A368,'15b'!$I$7:$I$100,"")+SUMIFS('15c'!$N$7:$N$100,'15c'!$H$7:$H$100,$A368,'15c'!$I$7:$I$100,"")+SUMIFS('15d'!$N$7:$N$100,'15d'!$H$7:$H$100,$A368,'15d'!$I$7:$I$100,"")+SUMIFS('15e'!$N$7:$N$100,'15e'!$H$7:$H$100,$A368,'15e'!$I$7:$I$100,"")+SUMIFS('15f'!$N$7:$N$100,'15f'!$H$7:$H$100,$A368,'15f'!$I$7:$I$100,"")+SUMIFS('15g'!$N$7:$N$100,'15g'!$H$7:$H$100,$A368,'15g'!$I$7:$I$100,"")+SUMIFS('15h'!$N$7:$N$100,'15h'!$H$7:$H$100,$A368,'15h'!$I$7:$I$100,"")+SUMIFS('15i'!$N$7:$N$100,'15i'!$H$7:$H$100,$A368,'15i'!$I$7:$I$100,"")+SUMIFS('15j'!$N$7:$N$100,'15j'!$H$7:$H$100,$A368,'15j'!$I$7:$I$100,"")+SUMIFS('15k'!$N$7:$N$100,'15k'!$H$7:$H$100,$A368,'15k'!$I$7:$I$100,"")+SUMIFS('15l'!$N$7:$N$100,'15l'!$H$7:$H$100,$A368,'15l'!$I$7:$I$100,"")+SUMIFS('15m'!$N$7:$N$100,'15m'!$H$7:$H$100,$A368,'15m'!$I$7:$I$100,"")+SUMIFS('15n'!$N$7:$N$100,'15n'!$H$7:$H$100,$A368,'15n'!$I$7:$I$100,"")+SUMIFS('16'!$N$7:$N$100,'16'!$H$7:$H$100,$A368,'16'!$I$7:$I$100,"")+SUMIFS('16a'!$N$7:$N$100,'16a'!$H$7:$H$100,$A368,'16a'!$I$7:$I$100,"")+SUMIFS('17'!$N$7:$N$100,'17'!$H$7:$H$100,$A368,'17'!$I$7:$I$100,"")+SUMIFS('17a'!$N$7:$N$100,'17a'!$H$7:$H$100,$A368,'17a'!$I$7:$I$100,"")+SUMIFS('18'!$N$7:$N$100,'18'!$H$7:$H$100,$A368,'18'!$I$7:$I$100,"")+SUMIFS('18a'!$N$7:$N$100,'18a'!$H$7:$H$100,$A368,'18a'!$I$7:$I$100,"")
+SUMIFS('19'!$N$7:$N$100,'19'!$H$7:$H$100,$A368,'19'!$I$7:$I$100,"")+SUMIFS('20'!$N$7:$N$100,'20'!$H$7:$H$100,$A368,'20'!$I$7:$I$100,"")+SUMIFS('20a'!$N$7:$N$100,'20a'!$H$7:$H$100,$A368,'20a'!$I$7:$I$100,"")+SUMIFS('21'!$N$7:$N$100,'21'!$H$7:$H$100,$A368,'21'!$I$7:$I$100,"")+SUMIFS('22'!$N$7:$N$100,'22'!$H$7:$H$100,$A368,'22'!$I$7:$I$100,"")+SUMIFS('22a'!$N$7:$N$100,'22a'!$H$7:$H$100,$A368,'22a'!$I$7:$I$100,"")+SUMIFS('22b'!$N$7:$N$100,'22b'!$H$7:$H$100,$A368,'22b'!$I$7:$I$100,"")+SUMIFS('23'!$N$7:$N$100,'23'!$H$7:$H$100,$A368,'23'!$I$7:$I$100,"")+SUMIFS('24'!$N$7:$N$100,'24'!$H$7:$H$100,$A368,'24'!$I$7:$I$100,"")+SUMIFS('24a'!$N$7:$N$100,'24a'!$H$7:$H$100,$A368,'24a'!$I$7:$I$100,"")+SUMIFS('24b'!$N$7:$N$100,'24b'!$H$7:$H$100,$A368,'24b'!$I$7:$I$100,"")+SUMIFS('24c'!$N$7:$N$100,'24c'!$H$7:$H$100,$A368,'24c'!$I$7:$I$100,"")+SUMIFS('24d'!$N$7:$N$100,'24d'!$H$7:$H$100,$A368,'24d'!$I$7:$I$100,"")+SUMIFS('24e'!$N$7:$N$100,'24e'!$H$7:$H$100,$A368,'24e'!$I$7:$I$100,"")+SUMIFS('24f'!$N$7:$N$100,'24f'!$H$7:$H$100,$A368,'24f'!$I$7:$I$100,"")+SUMIFS('24g'!$N$7:$N$100,'24g'!$H$7:$H$100,$A368,'24g'!$I$7:$I$100,"")+SUMIFS('24h'!$N$7:$N$100,'24h'!$H$7:$H$100,$A368,'24h'!$I$7:$I$100,"")+SUMIFS('24i'!$N$7:$N$100,'24i'!$H$7:$H$100,$A368,'24i'!$I$7:$I$100,"")+SUMIFS('25'!$N$7:$N$100,'25'!$H$7:$H$100,$A368,'25'!$I$7:$I$100,"")+SUMIFS('26'!$N$7:$N$100,'26'!$H$7:$H$100,$A368,'26'!$I$7:$I$100,"")+SUMIFS('26a'!$N$7:$N$100,'26a'!$H$7:$H$100,$A368,'26a'!$I$7:$I$100,"")+SUMIFS('27'!$N$7:$N$100,'27'!$H$7:$H$100,$A368,'27'!$I$7:$I$100,"")+SUMIFS('27a'!$N$7:$N$100,'27a'!$H$7:$H$100,$A368,'27a'!$I$7:$I$100,"")+SUMIFS('28'!$N$7:$N$100,'28'!$H$7:$H$100,$A368,'28'!$I$7:$I$100,"")+SUMIFS('29'!$N$7:$N$100,'29'!$H$7:$H$100,$A368,'29'!$I$7:$I$100,"")</f>
        <v>0</v>
      </c>
      <c r="F368" s="1296">
        <f t="shared" ref="F368:F385" si="55">SUM(C368:E368)</f>
        <v>0</v>
      </c>
      <c r="G368" s="1295">
        <f>SUMIFS('12'!$J$7:$J$100,'12'!$H$7:$H$100,$A368,'12'!$I$7:$I$100,1)+SUMIFS('13'!$J$7:$J$100,'13'!$H$7:$H$100,$A368,'13'!$I$7:$I$100,1)+SUMIFS('14'!$J$7:$J$100,'14'!$H$7:$H$100,$A368,'14'!$I$7:$I$100,1)+SUMIFS('15'!$J$7:$J$100,'15'!$H$7:$H$100,$A368,'15'!$I$7:$I$100,1)+SUMIFS('15a'!$J$7:$J$100,'15a'!$H$7:$H$100,$A368,'15a'!$I$7:$I$100,1)+SUMIFS('15b'!$J$7:$J$100,'15b'!$H$7:$H$100,$A368,'15b'!$I$7:$I$100,1)+SUMIFS('15c'!$J$7:$J$100,'15c'!$H$7:$H$100,$A368,'15c'!$I$7:$I$100,1)+SUMIFS('15d'!$J$7:$J$100,'15d'!$H$7:$H$100,$A368,'15d'!$I$7:$I$100,1)+SUMIFS('15e'!$J$7:$J$100,'15e'!$H$7:$H$100,$A368,'15e'!$I$7:$I$100,1)+SUMIFS('15f'!$J$7:$J$100,'15f'!$H$7:$H$100,$A368,'15f'!$I$7:$I$100,1)+SUMIFS('15g'!$J$7:$J$100,'15g'!$H$7:$H$100,$A368,'15g'!$I$7:$I$100,1)+SUMIFS('15h'!$J$7:$J$100,'15h'!$H$7:$H$100,$A368,'15h'!$I$7:$I$100,1)+SUMIFS('15i'!$J$7:$J$100,'15i'!$H$7:$H$100,$A368,'15i'!$I$7:$I$100,1)+SUMIFS('15j'!$J$7:$J$100,'15j'!$H$7:$H$100,$A368,'15j'!$I$7:$I$100,1)+SUMIFS('15k'!$J$7:$J$100,'15k'!$H$7:$H$100,$A368,'15k'!$I$7:$I$100,1)+SUMIFS('15l'!$J$7:$J$100,'15l'!$H$7:$H$100,$A368,'15l'!$I$7:$I$100,1)+SUMIFS('15m'!$J$7:$J$100,'15m'!$H$7:$H$100,$A368,'15m'!$I$7:$I$100,1)+SUMIFS('15n'!$J$7:$J$100,'15n'!$H$7:$H$100,$A368,'15n'!$I$7:$I$100,1)+SUMIFS('16'!$J$7:$J$100,'16'!$H$7:$H$100,$A368,'16'!$I$7:$I$100,1)+SUMIFS('16a'!$J$7:$J$100,'16a'!$H$7:$H$100,$A368,'16a'!$I$7:$I$100,1)+SUMIFS('17'!$J$7:$J$100,'17'!$H$7:$H$100,$A368,'17'!$I$7:$I$100,1)+SUMIFS('17a'!$J$7:$J$100,'17a'!$H$7:$H$100,$A368,'17a'!$I$7:$I$100,1)+SUMIFS('18'!$J$7:$J$100,'18'!$H$7:$H$100,$A368,'18'!$I$7:$I$100,1)+SUMIFS('18a'!$J$7:$J$100,'18a'!$H$7:$H$100,$A368,'18a'!$I$7:$I$100,1)
+SUMIFS('19'!$J$7:$J$100,'19'!$H$7:$H$100,$A368,'19'!$I$7:$I$100,1)+SUMIFS('20'!$J$7:$J$100,'20'!$H$7:$H$100,$A368,'20'!$I$7:$I$100,1)+SUMIFS('20a'!$J$7:$J$100,'20a'!$H$7:$H$100,$A368,'20a'!$I$7:$I$100,1)+SUMIFS('21'!$J$7:$J$100,'21'!$H$7:$H$100,$A368,'21'!$I$7:$I$100,1)+SUMIFS('22'!$J$7:$J$100,'22'!$H$7:$H$100,$A368,'22'!$I$7:$I$100,1)+SUMIFS('22a'!$J$7:$J$100,'22a'!$H$7:$H$100,$A368,'22a'!$I$7:$I$100,1)+SUMIFS('22b'!$J$7:$J$100,'22b'!$H$7:$H$100,$A368,'22b'!$I$7:$I$100,1)+SUMIFS('23'!$J$7:$J$100,'23'!$H$7:$H$100,$A368,'23'!$I$7:$I$100,1)+SUMIFS('24'!$J$7:$J$100,'24'!$H$7:$H$100,$A368,'24'!$I$7:$I$100,1)+SUMIFS('24a'!$J$7:$J$100,'24a'!$H$7:$H$100,$A368,'24a'!$I$7:$I$100,1)+SUMIFS('24b'!$J$7:$J$100,'24b'!$H$7:$H$100,$A368,'24b'!$I$7:$I$100,1)+SUMIFS('24c'!$J$7:$J$100,'24c'!$H$7:$H$100,$A368,'24c'!$I$7:$I$100,1)+SUMIFS('24d'!$J$7:$J$100,'24d'!$H$7:$H$100,$A368,'24d'!$I$7:$I$100,1)+SUMIFS('24e'!$J$7:$J$100,'24e'!$H$7:$H$100,$A368,'24e'!$I$7:$I$100,1)+SUMIFS('24f'!$J$7:$J$100,'24f'!$H$7:$H$100,$A368,'24f'!$I$7:$I$100,1)+SUMIFS('24g'!$J$7:$J$100,'24g'!$H$7:$H$100,$A368,'24g'!$I$7:$I$100,1)+SUMIFS('24h'!$J$7:$J$100,'24h'!$H$7:$H$100,$A368,'24h'!$I$7:$I$100,1)+SUMIFS('24i'!$J$7:$J$100,'24i'!$H$7:$H$100,$A368,'24i'!$I$7:$I$100,1)+SUMIFS('25'!$J$7:$J$100,'25'!$H$7:$H$100,$A368,'25'!$I$7:$I$100,1)+SUMIFS('26'!$J$7:$J$100,'26'!$H$7:$H$100,$A368,'26'!$I$7:$I$100,1)+SUMIFS('26a'!$J$7:$J$100,'26a'!$H$7:$H$100,$A368,'26a'!$I$7:$I$100,1)+SUMIFS('27'!$J$7:$J$100,'27'!$H$7:$H$100,$A368,'27'!$I$7:$I$100,1)+SUMIFS('27a'!$J$7:$J$100,'27a'!$H$7:$H$100,$A368,'27a'!$I$7:$I$100,1)+SUMIFS('28'!$J$7:$J$100,'28'!$H$7:$H$100,$A368,'28'!$I$7:$I$100,1)+SUMIFS('29'!$J$7:$J$100,'29'!$H$7:$H$100,$A368,'29'!$I$7:$I$100,1)</f>
        <v>0</v>
      </c>
      <c r="H368" s="1315">
        <f>SUMIFS('12'!$J$7:$J$100,'12'!$H$7:$H$100,$A368,'12'!$I$7:$I$100,2)+SUMIFS('13'!$J$7:$J$100,'13'!$H$7:$H$100,$A368,'13'!$I$7:$I$100,2)+SUMIFS('14'!$J$7:$J$100,'14'!$H$7:$H$100,$A368,'14'!$I$7:$I$100,2)+SUMIFS('15'!$J$7:$J$100,'15'!$H$7:$H$100,$A368,'15'!$I$7:$I$100,2)+SUMIFS('15a'!$J$7:$J$100,'15a'!$H$7:$H$100,$A368,'15a'!$I$7:$I$100,2)+SUMIFS('15b'!$J$7:$J$100,'15b'!$H$7:$H$100,$A368,'15b'!$I$7:$I$100,2)+SUMIFS('15c'!$J$7:$J$100,'15c'!$H$7:$H$100,$A368,'15c'!$I$7:$I$100,2)+SUMIFS('15d'!$J$7:$J$100,'15d'!$H$7:$H$100,$A368,'15d'!$I$7:$I$100,2)+SUMIFS('15e'!$J$7:$J$100,'15e'!$H$7:$H$100,$A368,'15e'!$I$7:$I$100,2)+SUMIFS('15f'!$J$7:$J$100,'15f'!$H$7:$H$100,$A368,'15f'!$I$7:$I$100,2)+SUMIFS('15g'!$J$7:$J$100,'15g'!$H$7:$H$100,$A368,'15g'!$I$7:$I$100,2)+SUMIFS('15h'!$J$7:$J$100,'15h'!$H$7:$H$100,$A368,'15h'!$I$7:$I$100,2)+SUMIFS('15i'!$J$7:$J$100,'15i'!$H$7:$H$100,$A368,'15i'!$I$7:$I$100,2)+SUMIFS('15j'!$J$7:$J$100,'15j'!$H$7:$H$100,$A368,'15j'!$I$7:$I$100,2)+SUMIFS('15k'!$J$7:$J$100,'15k'!$H$7:$H$100,$A368,'15k'!$I$7:$I$100,2)+SUMIFS('15l'!$J$7:$J$100,'15l'!$H$7:$H$100,$A368,'15l'!$I$7:$I$100,2)+SUMIFS('15m'!$J$7:$J$100,'15m'!$H$7:$H$100,$A368,'15m'!$I$7:$I$100,2)+SUMIFS('15n'!$J$7:$J$100,'15n'!$H$7:$H$100,$A368,'15n'!$I$7:$I$100,2)+SUMIFS('16'!$J$7:$J$100,'16'!$H$7:$H$100,$A368,'16'!$I$7:$I$100,2)+SUMIFS('16a'!$J$7:$J$100,'16a'!$H$7:$H$100,$A368,'16a'!$I$7:$I$100,2)+SUMIFS('17'!$J$7:$J$100,'17'!$H$7:$H$100,$A368,'17'!$I$7:$I$100,2)+SUMIFS('17a'!$J$7:$J$100,'17a'!$H$7:$H$100,$A368,'17a'!$I$7:$I$100,2)+SUMIFS('18'!$J$7:$J$100,'18'!$H$7:$H$100,$A368,'18'!$I$7:$I$100,2)+SUMIFS('18a'!$J$7:$J$100,'18a'!$H$7:$H$100,$A368,'18a'!$I$7:$I$100,2)
+SUMIFS('19'!$J$7:$J$100,'19'!$H$7:$H$100,$A368,'19'!$I$7:$I$100,2)+SUMIFS('20'!$J$7:$J$100,'20'!$H$7:$H$100,$A368,'20'!$I$7:$I$100,2)+SUMIFS('20a'!$J$7:$J$100,'20a'!$H$7:$H$100,$A368,'20a'!$I$7:$I$100,2)+SUMIFS('21'!$J$7:$J$100,'21'!$H$7:$H$100,$A368,'21'!$I$7:$I$100,2)+SUMIFS('22'!$J$7:$J$100,'22'!$H$7:$H$100,$A368,'22'!$I$7:$I$100,2)+SUMIFS('22a'!$J$7:$J$100,'22a'!$H$7:$H$100,$A368,'22a'!$I$7:$I$100,2)+SUMIFS('22b'!$J$7:$J$100,'22b'!$H$7:$H$100,$A368,'22b'!$I$7:$I$100,2)+SUMIFS('23'!$J$7:$J$100,'23'!$H$7:$H$100,$A368,'23'!$I$7:$I$100,2)+SUMIFS('24'!$J$7:$J$100,'24'!$H$7:$H$100,$A368,'24'!$I$7:$I$100,2)+SUMIFS('24a'!$J$7:$J$100,'24a'!$H$7:$H$100,$A368,'24a'!$I$7:$I$100,2)+SUMIFS('24b'!$J$7:$J$100,'24b'!$H$7:$H$100,$A368,'24b'!$I$7:$I$100,2)+SUMIFS('24c'!$J$7:$J$100,'24c'!$H$7:$H$100,$A368,'24c'!$I$7:$I$100,2)+SUMIFS('24d'!$J$7:$J$100,'24d'!$H$7:$H$100,$A368,'24d'!$I$7:$I$100,2)+SUMIFS('24e'!$J$7:$J$100,'24e'!$H$7:$H$100,$A368,'24e'!$I$7:$I$100,2)+SUMIFS('24f'!$J$7:$J$100,'24f'!$H$7:$H$100,$A368,'24f'!$I$7:$I$100,2)+SUMIFS('24g'!$J$7:$J$100,'24g'!$H$7:$H$100,$A368,'24g'!$I$7:$I$100,2)+SUMIFS('24h'!$J$7:$J$100,'24h'!$H$7:$H$100,$A368,'24h'!$I$7:$I$100,2)+SUMIFS('24i'!$J$7:$J$100,'24i'!$H$7:$H$100,$A368,'24i'!$I$7:$I$100,2)+SUMIFS('25'!$J$7:$J$100,'25'!$H$7:$H$100,$A368,'25'!$I$7:$I$100,2)+SUMIFS('26'!$J$7:$J$100,'26'!$H$7:$H$100,$A368,'26'!$I$7:$I$100,2)+SUMIFS('26a'!$J$7:$J$100,'26a'!$H$7:$H$100,$A368,'26a'!$I$7:$I$100,2)+SUMIFS('27'!$J$7:$J$100,'27'!$H$7:$H$100,$A368,'27'!$I$7:$I$100,2)+SUMIFS('27a'!$J$7:$J$100,'27a'!$H$7:$H$100,$A368,'27a'!$I$7:$I$100,2)+SUMIFS('28'!$J$7:$J$100,'28'!$H$7:$H$100,$A368,'28'!$I$7:$I$100,2)+SUMIFS('29'!$J$7:$J$100,'29'!$H$7:$H$100,$A368,'29'!$I$7:$I$100,2)</f>
        <v>0</v>
      </c>
      <c r="I368" s="1315">
        <f>SUMIFS('12'!$J$7:$J$100,'12'!$H$7:$H$100,$A368,'12'!$I$7:$I$100,"")+SUMIFS('13'!$J$7:$J$100,'13'!$H$7:$H$100,$A368,'13'!$I$7:$I$100,"")+SUMIFS('14'!$J$7:$J$100,'14'!$H$7:$H$100,$A368,'14'!$I$7:$I$100,"")+SUMIFS('15'!$J$7:$J$100,'15'!$H$7:$H$100,$A368,'15'!$I$7:$I$100,"")+SUMIFS('15a'!$J$7:$J$100,'15a'!$H$7:$H$100,$A368,'15a'!$I$7:$I$100,"")+SUMIFS('15b'!$J$7:$J$100,'15b'!$H$7:$H$100,$A368,'15b'!$I$7:$I$100,"")+SUMIFS('15c'!$J$7:$J$100,'15c'!$H$7:$H$100,$A368,'15c'!$I$7:$I$100,"")+SUMIFS('15d'!$J$7:$J$100,'15d'!$H$7:$H$100,$A368,'15d'!$I$7:$I$100,"")+SUMIFS('15e'!$J$7:$J$100,'15e'!$H$7:$H$100,$A368,'15e'!$I$7:$I$100,"")+SUMIFS('15f'!$J$7:$J$100,'15f'!$H$7:$H$100,$A368,'15f'!$I$7:$I$100,"")+SUMIFS('15g'!$J$7:$J$100,'15g'!$H$7:$H$100,$A368,'15g'!$I$7:$I$100,"")+SUMIFS('15h'!$J$7:$J$100,'15h'!$H$7:$H$100,$A368,'15h'!$I$7:$I$100,"")+SUMIFS('15i'!$J$7:$J$100,'15i'!$H$7:$H$100,$A368,'15i'!$I$7:$I$100,"")+SUMIFS('15j'!$J$7:$J$100,'15j'!$H$7:$H$100,$A368,'15j'!$I$7:$I$100,"")+SUMIFS('15k'!$J$7:$J$100,'15k'!$H$7:$H$100,$A368,'15k'!$I$7:$I$100,"")+SUMIFS('15l'!$J$7:$J$100,'15l'!$H$7:$H$100,$A368,'15l'!$I$7:$I$100,"")+SUMIFS('15m'!$J$7:$J$100,'15m'!$H$7:$H$100,$A368,'15m'!$I$7:$I$100,"")+SUMIFS('15n'!$J$7:$J$100,'15n'!$H$7:$H$100,$A368,'15n'!$I$7:$I$100,"")+SUMIFS('16'!$J$7:$J$100,'16'!$H$7:$H$100,$A368,'16'!$I$7:$I$100,"")+SUMIFS('16a'!$J$7:$J$100,'16a'!$H$7:$H$100,$A368,'16a'!$I$7:$I$100,"")+SUMIFS('17'!$J$7:$J$100,'17'!$H$7:$H$100,$A368,'17'!$I$7:$I$100,"")+SUMIFS('17a'!$J$7:$J$100,'17a'!$H$7:$H$100,$A368,'17a'!$I$7:$I$100,"")+SUMIFS('18'!$J$7:$J$100,'18'!$H$7:$H$100,$A368,'18'!$I$7:$I$100,"")+SUMIFS('18a'!$J$7:$J$100,'18a'!$H$7:$H$100,$A368,'18a'!$I$7:$I$100,"")
+SUMIFS('19'!$J$7:$J$100,'19'!$H$7:$H$100,$A368,'19'!$I$7:$I$100,"")+SUMIFS('20'!$J$7:$J$100,'20'!$H$7:$H$100,$A368,'20'!$I$7:$I$100,"")+SUMIFS('20a'!$J$7:$J$100,'20a'!$H$7:$H$100,$A368,'20a'!$I$7:$I$100,"")+SUMIFS('21'!$J$7:$J$100,'21'!$H$7:$H$100,$A368,'21'!$I$7:$I$100,"")+SUMIFS('22'!$J$7:$J$100,'22'!$H$7:$H$100,$A368,'22'!$I$7:$I$100,"")+SUMIFS('22a'!$J$7:$J$100,'22a'!$H$7:$H$100,$A368,'22a'!$I$7:$I$100,"")+SUMIFS('22b'!$J$7:$J$100,'22b'!$H$7:$H$100,$A368,'22b'!$I$7:$I$100,"")+SUMIFS('23'!$J$7:$J$100,'23'!$H$7:$H$100,$A368,'23'!$I$7:$I$100,"")+SUMIFS('24'!$J$7:$J$100,'24'!$H$7:$H$100,$A368,'24'!$I$7:$I$100,"")+SUMIFS('24a'!$J$7:$J$100,'24a'!$H$7:$H$100,$A368,'24a'!$I$7:$I$100,"")+SUMIFS('24b'!$J$7:$J$100,'24b'!$H$7:$H$100,$A368,'24b'!$I$7:$I$100,"")+SUMIFS('24c'!$J$7:$J$100,'24c'!$H$7:$H$100,$A368,'24c'!$I$7:$I$100,"")+SUMIFS('24d'!$J$7:$J$100,'24d'!$H$7:$H$100,$A368,'24d'!$I$7:$I$100,"")+SUMIFS('24e'!$J$7:$J$100,'24e'!$H$7:$H$100,$A368,'24e'!$I$7:$I$100,"")+SUMIFS('24f'!$J$7:$J$100,'24f'!$H$7:$H$100,$A368,'24f'!$I$7:$I$100,"")+SUMIFS('24g'!$J$7:$J$100,'24g'!$H$7:$H$100,$A368,'24g'!$I$7:$I$100,"")+SUMIFS('24h'!$J$7:$J$100,'24h'!$H$7:$H$100,$A368,'24h'!$I$7:$I$100,"")+SUMIFS('24i'!$J$7:$J$100,'24i'!$H$7:$H$100,$A368,'24i'!$I$7:$I$100,"")+SUMIFS('25'!$J$7:$J$100,'25'!$H$7:$H$100,$A368,'25'!$I$7:$I$100,"")+SUMIFS('26'!$J$7:$J$100,'26'!$H$7:$H$100,$A368,'26'!$I$7:$I$100,"")+SUMIFS('26a'!$J$7:$J$100,'26a'!$H$7:$H$100,$A368,'26a'!$I$7:$I$100,"")+SUMIFS('27'!$J$7:$J$100,'27'!$H$7:$H$100,$A368,'27'!$I$7:$I$100,"")+SUMIFS('27a'!$J$7:$J$100,'27a'!$H$7:$H$100,$A368,'27a'!$I$7:$I$100,"")+SUMIFS('28'!$J$7:$J$100,'28'!$H$7:$H$100,$A368,'28'!$I$7:$I$100,"")+SUMIFS('29'!$J$7:$J$100,'29'!$H$7:$H$100,$A368,'29'!$I$7:$I$100,"")</f>
        <v>0</v>
      </c>
      <c r="J368" s="1296">
        <f t="shared" ref="J368:J385" si="56">SUM(G368:I368)</f>
        <v>0</v>
      </c>
      <c r="K368"/>
      <c r="L368"/>
      <c r="M368"/>
      <c r="N368"/>
      <c r="O368"/>
      <c r="P368"/>
      <c r="Q368"/>
      <c r="R368"/>
      <c r="S368" s="1307">
        <f t="shared" si="48"/>
        <v>0</v>
      </c>
      <c r="T368"/>
    </row>
    <row r="369" spans="1:20" x14ac:dyDescent="0.2">
      <c r="A369" t="s">
        <v>5078</v>
      </c>
      <c r="B369" t="s">
        <v>5393</v>
      </c>
      <c r="C369" s="1295">
        <f>SUMIFS('12'!$N$7:$N$100,'12'!$H$7:$H$100,$A369,'12'!$I$7:$I$100,1)+SUMIFS('13'!$N$7:$N$100,'13'!$H$7:$H$100,$A369,'13'!$I$7:$I$100,1)+SUMIFS('14'!$N$7:$N$100,'14'!$H$7:$H$100,$A369,'14'!$I$7:$I$100,1)+SUMIFS('15'!$N$7:$N$100,'15'!$H$7:$H$100,$A369,'15'!$I$7:$I$100,1)+SUMIFS('15a'!$N$7:$N$100,'15a'!$H$7:$H$100,$A369,'15a'!$I$7:$I$100,1)+SUMIFS('15b'!$N$7:$N$100,'15b'!$H$7:$H$100,$A369,'15b'!$I$7:$I$100,1)+SUMIFS('15c'!$N$7:$N$100,'15c'!$H$7:$H$100,$A369,'15c'!$I$7:$I$100,1)+SUMIFS('15d'!$N$7:$N$100,'15d'!$H$7:$H$100,$A369,'15d'!$I$7:$I$100,1)+SUMIFS('15e'!$N$7:$N$100,'15e'!$H$7:$H$100,$A369,'15e'!$I$7:$I$100,1)+SUMIFS('15f'!$N$7:$N$100,'15f'!$H$7:$H$100,$A369,'15f'!$I$7:$I$100,1)+SUMIFS('15g'!$N$7:$N$100,'15g'!$H$7:$H$100,$A369,'15g'!$I$7:$I$100,1)+SUMIFS('15h'!$N$7:$N$100,'15h'!$H$7:$H$100,$A369,'15h'!$I$7:$I$100,1)+SUMIFS('15i'!$N$7:$N$100,'15i'!$H$7:$H$100,$A369,'15i'!$I$7:$I$100,1)+SUMIFS('15j'!$N$7:$N$100,'15j'!$H$7:$H$100,$A369,'15j'!$I$7:$I$100,1)+SUMIFS('15k'!$N$7:$N$100,'15k'!$H$7:$H$100,$A369,'15k'!$I$7:$I$100,1)+SUMIFS('15l'!$N$7:$N$100,'15l'!$H$7:$H$100,$A369,'15l'!$I$7:$I$100,1)+SUMIFS('15m'!$N$7:$N$100,'15m'!$H$7:$H$100,$A369,'15m'!$I$7:$I$100,1)+SUMIFS('15n'!$N$7:$N$100,'15n'!$H$7:$H$100,$A369,'15n'!$I$7:$I$100,1)+SUMIFS('16'!$N$7:$N$100,'16'!$H$7:$H$100,$A369,'16'!$I$7:$I$100,1)+SUMIFS('16a'!$N$7:$N$100,'16a'!$H$7:$H$100,$A369,'16a'!$I$7:$I$100,1)+SUMIFS('17'!$N$7:$N$100,'17'!$H$7:$H$100,$A369,'17'!$I$7:$I$100,1)+SUMIFS('17a'!$N$7:$N$100,'17a'!$H$7:$H$100,$A369,'17a'!$I$7:$I$100,1)+SUMIFS('18'!$N$7:$N$100,'18'!$H$7:$H$100,$A369,'18'!$I$7:$I$100,1)+SUMIFS('18a'!$N$7:$N$100,'18a'!$H$7:$H$100,$A369,'18a'!$I$7:$I$100,1)
+SUMIFS('19'!$N$7:$N$100,'19'!$H$7:$H$100,$A369,'19'!$I$7:$I$100,1)+SUMIFS('20'!$N$7:$N$100,'20'!$H$7:$H$100,$A369,'20'!$I$7:$I$100,1)+SUMIFS('20a'!$N$7:$N$100,'20a'!$H$7:$H$100,$A369,'20a'!$I$7:$I$100,1)+SUMIFS('21'!$N$7:$N$100,'21'!$H$7:$H$100,$A369,'21'!$I$7:$I$100,1)+SUMIFS('22'!$N$7:$N$100,'22'!$H$7:$H$100,$A369,'22'!$I$7:$I$100,1)+SUMIFS('22a'!$N$7:$N$100,'22a'!$H$7:$H$100,$A369,'22a'!$I$7:$I$100,1)+SUMIFS('22b'!$N$7:$N$100,'22b'!$H$7:$H$100,$A369,'22b'!$I$7:$I$100,1)+SUMIFS('23'!$N$7:$N$100,'23'!$H$7:$H$100,$A369,'23'!$I$7:$I$100,1)+SUMIFS('24'!$N$7:$N$100,'24'!$H$7:$H$100,$A369,'24'!$I$7:$I$100,1)+SUMIFS('24a'!$N$7:$N$100,'24a'!$H$7:$H$100,$A369,'24a'!$I$7:$I$100,1)+SUMIFS('24b'!$N$7:$N$100,'24b'!$H$7:$H$100,$A369,'24b'!$I$7:$I$100,1)+SUMIFS('24c'!$N$7:$N$100,'24c'!$H$7:$H$100,$A369,'24c'!$I$7:$I$100,1)+SUMIFS('24d'!$N$7:$N$100,'24d'!$H$7:$H$100,$A369,'24d'!$I$7:$I$100,1)+SUMIFS('24e'!$N$7:$N$100,'24e'!$H$7:$H$100,$A369,'24e'!$I$7:$I$100,1)+SUMIFS('24f'!$N$7:$N$100,'24f'!$H$7:$H$100,$A369,'24f'!$I$7:$I$100,1)+SUMIFS('24g'!$N$7:$N$100,'24g'!$H$7:$H$100,$A369,'24g'!$I$7:$I$100,1)+SUMIFS('24h'!$N$7:$N$100,'24h'!$H$7:$H$100,$A369,'24h'!$I$7:$I$100,1)+SUMIFS('24i'!$N$7:$N$100,'24i'!$H$7:$H$100,$A369,'24i'!$I$7:$I$100,1)+SUMIFS('25'!$N$7:$N$100,'25'!$H$7:$H$100,$A369,'25'!$I$7:$I$100,1)+SUMIFS('26'!$N$7:$N$100,'26'!$H$7:$H$100,$A369,'26'!$I$7:$I$100,1)+SUMIFS('26a'!$N$7:$N$100,'26a'!$H$7:$H$100,$A369,'26a'!$I$7:$I$100,1)+SUMIFS('27'!$N$7:$N$100,'27'!$H$7:$H$100,$A369,'27'!$I$7:$I$100,1)+SUMIFS('27a'!$N$7:$N$100,'27a'!$H$7:$H$100,$A369,'27a'!$I$7:$I$100,1)+SUMIFS('28'!$N$7:$N$100,'28'!$H$7:$H$100,$A369,'28'!$I$7:$I$100,1)+SUMIFS('29'!$N$7:$N$100,'29'!$H$7:$H$100,$A369,'29'!$I$7:$I$100,1)</f>
        <v>0</v>
      </c>
      <c r="D369" s="1315">
        <f>SUMIFS('12'!$N$7:$N$100,'12'!$H$7:$H$100,$A369,'12'!$I$7:$I$100,2)+SUMIFS('13'!$N$7:$N$100,'13'!$H$7:$H$100,$A369,'13'!$I$7:$I$100,2)+SUMIFS('14'!$N$7:$N$100,'14'!$H$7:$H$100,$A369,'14'!$I$7:$I$100,2)+SUMIFS('15'!$N$7:$N$100,'15'!$H$7:$H$100,$A369,'15'!$I$7:$I$100,2)+SUMIFS('15a'!$N$7:$N$100,'15a'!$H$7:$H$100,$A369,'15a'!$I$7:$I$100,2)+SUMIFS('15b'!$N$7:$N$100,'15b'!$H$7:$H$100,$A369,'15b'!$I$7:$I$100,2)+SUMIFS('15c'!$N$7:$N$100,'15c'!$H$7:$H$100,$A369,'15c'!$I$7:$I$100,2)+SUMIFS('15d'!$N$7:$N$100,'15d'!$H$7:$H$100,$A369,'15d'!$I$7:$I$100,2)+SUMIFS('15e'!$N$7:$N$100,'15e'!$H$7:$H$100,$A369,'15e'!$I$7:$I$100,2)+SUMIFS('15f'!$N$7:$N$100,'15f'!$H$7:$H$100,$A369,'15f'!$I$7:$I$100,2)+SUMIFS('15g'!$N$7:$N$100,'15g'!$H$7:$H$100,$A369,'15g'!$I$7:$I$100,2)+SUMIFS('15h'!$N$7:$N$100,'15h'!$H$7:$H$100,$A369,'15h'!$I$7:$I$100,2)+SUMIFS('15i'!$N$7:$N$100,'15i'!$H$7:$H$100,$A369,'15i'!$I$7:$I$100,2)+SUMIFS('15j'!$N$7:$N$100,'15j'!$H$7:$H$100,$A369,'15j'!$I$7:$I$100,2)+SUMIFS('15k'!$N$7:$N$100,'15k'!$H$7:$H$100,$A369,'15k'!$I$7:$I$100,2)+SUMIFS('15l'!$N$7:$N$100,'15l'!$H$7:$H$100,$A369,'15l'!$I$7:$I$100,2)+SUMIFS('15m'!$N$7:$N$100,'15m'!$H$7:$H$100,$A369,'15m'!$I$7:$I$100,2)+SUMIFS('15n'!$N$7:$N$100,'15n'!$H$7:$H$100,$A369,'15n'!$I$7:$I$100,2)+SUMIFS('16'!$N$7:$N$100,'16'!$H$7:$H$100,$A369,'16'!$I$7:$I$100,2)+SUMIFS('16a'!$N$7:$N$100,'16a'!$H$7:$H$100,$A369,'16a'!$I$7:$I$100,2)+SUMIFS('17'!$N$7:$N$100,'17'!$H$7:$H$100,$A369,'17'!$I$7:$I$100,2)+SUMIFS('17a'!$N$7:$N$100,'17a'!$H$7:$H$100,$A369,'17a'!$I$7:$I$100,2)+SUMIFS('18'!$N$7:$N$100,'18'!$H$7:$H$100,$A369,'18'!$I$7:$I$100,2)+SUMIFS('18a'!$N$7:$N$100,'18a'!$H$7:$H$100,$A369,'18a'!$I$7:$I$100,2)
+SUMIFS('19'!$N$7:$N$100,'19'!$H$7:$H$100,$A369,'19'!$I$7:$I$100,2)+SUMIFS('20'!$N$7:$N$100,'20'!$H$7:$H$100,$A369,'20'!$I$7:$I$100,2)+SUMIFS('20a'!$N$7:$N$100,'20a'!$H$7:$H$100,$A369,'20a'!$I$7:$I$100,2)+SUMIFS('21'!$N$7:$N$100,'21'!$H$7:$H$100,$A369,'21'!$I$7:$I$100,2)+SUMIFS('22'!$N$7:$N$100,'22'!$H$7:$H$100,$A369,'22'!$I$7:$I$100,2)+SUMIFS('22a'!$N$7:$N$100,'22a'!$H$7:$H$100,$A369,'22a'!$I$7:$I$100,2)+SUMIFS('22b'!$N$7:$N$100,'22b'!$H$7:$H$100,$A369,'22b'!$I$7:$I$100,2)+SUMIFS('23'!$N$7:$N$100,'23'!$H$7:$H$100,$A369,'23'!$I$7:$I$100,2)+SUMIFS('24'!$N$7:$N$100,'24'!$H$7:$H$100,$A369,'24'!$I$7:$I$100,2)+SUMIFS('24a'!$N$7:$N$100,'24a'!$H$7:$H$100,$A369,'24a'!$I$7:$I$100,2)+SUMIFS('24b'!$N$7:$N$100,'24b'!$H$7:$H$100,$A369,'24b'!$I$7:$I$100,2)+SUMIFS('24c'!$N$7:$N$100,'24c'!$H$7:$H$100,$A369,'24c'!$I$7:$I$100,2)+SUMIFS('24d'!$N$7:$N$100,'24d'!$H$7:$H$100,$A369,'24d'!$I$7:$I$100,2)+SUMIFS('24e'!$N$7:$N$100,'24e'!$H$7:$H$100,$A369,'24e'!$I$7:$I$100,2)+SUMIFS('24f'!$N$7:$N$100,'24f'!$H$7:$H$100,$A369,'24f'!$I$7:$I$100,2)+SUMIFS('24g'!$N$7:$N$100,'24g'!$H$7:$H$100,$A369,'24g'!$I$7:$I$100,2)+SUMIFS('24h'!$N$7:$N$100,'24h'!$H$7:$H$100,$A369,'24h'!$I$7:$I$100,2)+SUMIFS('24i'!$N$7:$N$100,'24i'!$H$7:$H$100,$A369,'24i'!$I$7:$I$100,2)+SUMIFS('25'!$N$7:$N$100,'25'!$H$7:$H$100,$A369,'25'!$I$7:$I$100,2)+SUMIFS('26'!$N$7:$N$100,'26'!$H$7:$H$100,$A369,'26'!$I$7:$I$100,2)+SUMIFS('26a'!$N$7:$N$100,'26a'!$H$7:$H$100,$A369,'26a'!$I$7:$I$100,2)+SUMIFS('27'!$N$7:$N$100,'27'!$H$7:$H$100,$A369,'27'!$I$7:$I$100,2)+SUMIFS('27a'!$N$7:$N$100,'27a'!$H$7:$H$100,$A369,'27a'!$I$7:$I$100,2)+SUMIFS('28'!$N$7:$N$100,'28'!$H$7:$H$100,$A369,'28'!$I$7:$I$100,2)+SUMIFS('29'!$N$7:$N$100,'29'!$H$7:$H$100,$A369,'29'!$I$7:$I$100,2)</f>
        <v>0</v>
      </c>
      <c r="E369" s="1315">
        <f>SUMIFS('12'!$N$7:$N$100,'12'!$H$7:$H$100,$A369,'12'!$I$7:$I$100,"")+SUMIFS('13'!$N$7:$N$100,'13'!$H$7:$H$100,$A369,'13'!$I$7:$I$100,"")+SUMIFS('14'!$N$7:$N$100,'14'!$H$7:$H$100,$A369,'14'!$I$7:$I$100,"")+SUMIFS('15'!$N$7:$N$100,'15'!$H$7:$H$100,$A369,'15'!$I$7:$I$100,"")+SUMIFS('15a'!$N$7:$N$100,'15a'!$H$7:$H$100,$A369,'15a'!$I$7:$I$100,"")+SUMIFS('15b'!$N$7:$N$100,'15b'!$H$7:$H$100,$A369,'15b'!$I$7:$I$100,"")+SUMIFS('15c'!$N$7:$N$100,'15c'!$H$7:$H$100,$A369,'15c'!$I$7:$I$100,"")+SUMIFS('15d'!$N$7:$N$100,'15d'!$H$7:$H$100,$A369,'15d'!$I$7:$I$100,"")+SUMIFS('15e'!$N$7:$N$100,'15e'!$H$7:$H$100,$A369,'15e'!$I$7:$I$100,"")+SUMIFS('15f'!$N$7:$N$100,'15f'!$H$7:$H$100,$A369,'15f'!$I$7:$I$100,"")+SUMIFS('15g'!$N$7:$N$100,'15g'!$H$7:$H$100,$A369,'15g'!$I$7:$I$100,"")+SUMIFS('15h'!$N$7:$N$100,'15h'!$H$7:$H$100,$A369,'15h'!$I$7:$I$100,"")+SUMIFS('15i'!$N$7:$N$100,'15i'!$H$7:$H$100,$A369,'15i'!$I$7:$I$100,"")+SUMIFS('15j'!$N$7:$N$100,'15j'!$H$7:$H$100,$A369,'15j'!$I$7:$I$100,"")+SUMIFS('15k'!$N$7:$N$100,'15k'!$H$7:$H$100,$A369,'15k'!$I$7:$I$100,"")+SUMIFS('15l'!$N$7:$N$100,'15l'!$H$7:$H$100,$A369,'15l'!$I$7:$I$100,"")+SUMIFS('15m'!$N$7:$N$100,'15m'!$H$7:$H$100,$A369,'15m'!$I$7:$I$100,"")+SUMIFS('15n'!$N$7:$N$100,'15n'!$H$7:$H$100,$A369,'15n'!$I$7:$I$100,"")+SUMIFS('16'!$N$7:$N$100,'16'!$H$7:$H$100,$A369,'16'!$I$7:$I$100,"")+SUMIFS('16a'!$N$7:$N$100,'16a'!$H$7:$H$100,$A369,'16a'!$I$7:$I$100,"")+SUMIFS('17'!$N$7:$N$100,'17'!$H$7:$H$100,$A369,'17'!$I$7:$I$100,"")+SUMIFS('17a'!$N$7:$N$100,'17a'!$H$7:$H$100,$A369,'17a'!$I$7:$I$100,"")+SUMIFS('18'!$N$7:$N$100,'18'!$H$7:$H$100,$A369,'18'!$I$7:$I$100,"")+SUMIFS('18a'!$N$7:$N$100,'18a'!$H$7:$H$100,$A369,'18a'!$I$7:$I$100,"")
+SUMIFS('19'!$N$7:$N$100,'19'!$H$7:$H$100,$A369,'19'!$I$7:$I$100,"")+SUMIFS('20'!$N$7:$N$100,'20'!$H$7:$H$100,$A369,'20'!$I$7:$I$100,"")+SUMIFS('20a'!$N$7:$N$100,'20a'!$H$7:$H$100,$A369,'20a'!$I$7:$I$100,"")+SUMIFS('21'!$N$7:$N$100,'21'!$H$7:$H$100,$A369,'21'!$I$7:$I$100,"")+SUMIFS('22'!$N$7:$N$100,'22'!$H$7:$H$100,$A369,'22'!$I$7:$I$100,"")+SUMIFS('22a'!$N$7:$N$100,'22a'!$H$7:$H$100,$A369,'22a'!$I$7:$I$100,"")+SUMIFS('22b'!$N$7:$N$100,'22b'!$H$7:$H$100,$A369,'22b'!$I$7:$I$100,"")+SUMIFS('23'!$N$7:$N$100,'23'!$H$7:$H$100,$A369,'23'!$I$7:$I$100,"")+SUMIFS('24'!$N$7:$N$100,'24'!$H$7:$H$100,$A369,'24'!$I$7:$I$100,"")+SUMIFS('24a'!$N$7:$N$100,'24a'!$H$7:$H$100,$A369,'24a'!$I$7:$I$100,"")+SUMIFS('24b'!$N$7:$N$100,'24b'!$H$7:$H$100,$A369,'24b'!$I$7:$I$100,"")+SUMIFS('24c'!$N$7:$N$100,'24c'!$H$7:$H$100,$A369,'24c'!$I$7:$I$100,"")+SUMIFS('24d'!$N$7:$N$100,'24d'!$H$7:$H$100,$A369,'24d'!$I$7:$I$100,"")+SUMIFS('24e'!$N$7:$N$100,'24e'!$H$7:$H$100,$A369,'24e'!$I$7:$I$100,"")+SUMIFS('24f'!$N$7:$N$100,'24f'!$H$7:$H$100,$A369,'24f'!$I$7:$I$100,"")+SUMIFS('24g'!$N$7:$N$100,'24g'!$H$7:$H$100,$A369,'24g'!$I$7:$I$100,"")+SUMIFS('24h'!$N$7:$N$100,'24h'!$H$7:$H$100,$A369,'24h'!$I$7:$I$100,"")+SUMIFS('24i'!$N$7:$N$100,'24i'!$H$7:$H$100,$A369,'24i'!$I$7:$I$100,"")+SUMIFS('25'!$N$7:$N$100,'25'!$H$7:$H$100,$A369,'25'!$I$7:$I$100,"")+SUMIFS('26'!$N$7:$N$100,'26'!$H$7:$H$100,$A369,'26'!$I$7:$I$100,"")+SUMIFS('26a'!$N$7:$N$100,'26a'!$H$7:$H$100,$A369,'26a'!$I$7:$I$100,"")+SUMIFS('27'!$N$7:$N$100,'27'!$H$7:$H$100,$A369,'27'!$I$7:$I$100,"")+SUMIFS('27a'!$N$7:$N$100,'27a'!$H$7:$H$100,$A369,'27a'!$I$7:$I$100,"")+SUMIFS('28'!$N$7:$N$100,'28'!$H$7:$H$100,$A369,'28'!$I$7:$I$100,"")+SUMIFS('29'!$N$7:$N$100,'29'!$H$7:$H$100,$A369,'29'!$I$7:$I$100,"")</f>
        <v>0</v>
      </c>
      <c r="F369" s="1296">
        <f t="shared" si="55"/>
        <v>0</v>
      </c>
      <c r="G369" s="1295">
        <f>SUMIFS('12'!$J$7:$J$100,'12'!$H$7:$H$100,$A369,'12'!$I$7:$I$100,1)+SUMIFS('13'!$J$7:$J$100,'13'!$H$7:$H$100,$A369,'13'!$I$7:$I$100,1)+SUMIFS('14'!$J$7:$J$100,'14'!$H$7:$H$100,$A369,'14'!$I$7:$I$100,1)+SUMIFS('15'!$J$7:$J$100,'15'!$H$7:$H$100,$A369,'15'!$I$7:$I$100,1)+SUMIFS('15a'!$J$7:$J$100,'15a'!$H$7:$H$100,$A369,'15a'!$I$7:$I$100,1)+SUMIFS('15b'!$J$7:$J$100,'15b'!$H$7:$H$100,$A369,'15b'!$I$7:$I$100,1)+SUMIFS('15c'!$J$7:$J$100,'15c'!$H$7:$H$100,$A369,'15c'!$I$7:$I$100,1)+SUMIFS('15d'!$J$7:$J$100,'15d'!$H$7:$H$100,$A369,'15d'!$I$7:$I$100,1)+SUMIFS('15e'!$J$7:$J$100,'15e'!$H$7:$H$100,$A369,'15e'!$I$7:$I$100,1)+SUMIFS('15f'!$J$7:$J$100,'15f'!$H$7:$H$100,$A369,'15f'!$I$7:$I$100,1)+SUMIFS('15g'!$J$7:$J$100,'15g'!$H$7:$H$100,$A369,'15g'!$I$7:$I$100,1)+SUMIFS('15h'!$J$7:$J$100,'15h'!$H$7:$H$100,$A369,'15h'!$I$7:$I$100,1)+SUMIFS('15i'!$J$7:$J$100,'15i'!$H$7:$H$100,$A369,'15i'!$I$7:$I$100,1)+SUMIFS('15j'!$J$7:$J$100,'15j'!$H$7:$H$100,$A369,'15j'!$I$7:$I$100,1)+SUMIFS('15k'!$J$7:$J$100,'15k'!$H$7:$H$100,$A369,'15k'!$I$7:$I$100,1)+SUMIFS('15l'!$J$7:$J$100,'15l'!$H$7:$H$100,$A369,'15l'!$I$7:$I$100,1)+SUMIFS('15m'!$J$7:$J$100,'15m'!$H$7:$H$100,$A369,'15m'!$I$7:$I$100,1)+SUMIFS('15n'!$J$7:$J$100,'15n'!$H$7:$H$100,$A369,'15n'!$I$7:$I$100,1)+SUMIFS('16'!$J$7:$J$100,'16'!$H$7:$H$100,$A369,'16'!$I$7:$I$100,1)+SUMIFS('16a'!$J$7:$J$100,'16a'!$H$7:$H$100,$A369,'16a'!$I$7:$I$100,1)+SUMIFS('17'!$J$7:$J$100,'17'!$H$7:$H$100,$A369,'17'!$I$7:$I$100,1)+SUMIFS('17a'!$J$7:$J$100,'17a'!$H$7:$H$100,$A369,'17a'!$I$7:$I$100,1)+SUMIFS('18'!$J$7:$J$100,'18'!$H$7:$H$100,$A369,'18'!$I$7:$I$100,1)+SUMIFS('18a'!$J$7:$J$100,'18a'!$H$7:$H$100,$A369,'18a'!$I$7:$I$100,1)
+SUMIFS('19'!$J$7:$J$100,'19'!$H$7:$H$100,$A369,'19'!$I$7:$I$100,1)+SUMIFS('20'!$J$7:$J$100,'20'!$H$7:$H$100,$A369,'20'!$I$7:$I$100,1)+SUMIFS('20a'!$J$7:$J$100,'20a'!$H$7:$H$100,$A369,'20a'!$I$7:$I$100,1)+SUMIFS('21'!$J$7:$J$100,'21'!$H$7:$H$100,$A369,'21'!$I$7:$I$100,1)+SUMIFS('22'!$J$7:$J$100,'22'!$H$7:$H$100,$A369,'22'!$I$7:$I$100,1)+SUMIFS('22a'!$J$7:$J$100,'22a'!$H$7:$H$100,$A369,'22a'!$I$7:$I$100,1)+SUMIFS('22b'!$J$7:$J$100,'22b'!$H$7:$H$100,$A369,'22b'!$I$7:$I$100,1)+SUMIFS('23'!$J$7:$J$100,'23'!$H$7:$H$100,$A369,'23'!$I$7:$I$100,1)+SUMIFS('24'!$J$7:$J$100,'24'!$H$7:$H$100,$A369,'24'!$I$7:$I$100,1)+SUMIFS('24a'!$J$7:$J$100,'24a'!$H$7:$H$100,$A369,'24a'!$I$7:$I$100,1)+SUMIFS('24b'!$J$7:$J$100,'24b'!$H$7:$H$100,$A369,'24b'!$I$7:$I$100,1)+SUMIFS('24c'!$J$7:$J$100,'24c'!$H$7:$H$100,$A369,'24c'!$I$7:$I$100,1)+SUMIFS('24d'!$J$7:$J$100,'24d'!$H$7:$H$100,$A369,'24d'!$I$7:$I$100,1)+SUMIFS('24e'!$J$7:$J$100,'24e'!$H$7:$H$100,$A369,'24e'!$I$7:$I$100,1)+SUMIFS('24f'!$J$7:$J$100,'24f'!$H$7:$H$100,$A369,'24f'!$I$7:$I$100,1)+SUMIFS('24g'!$J$7:$J$100,'24g'!$H$7:$H$100,$A369,'24g'!$I$7:$I$100,1)+SUMIFS('24h'!$J$7:$J$100,'24h'!$H$7:$H$100,$A369,'24h'!$I$7:$I$100,1)+SUMIFS('24i'!$J$7:$J$100,'24i'!$H$7:$H$100,$A369,'24i'!$I$7:$I$100,1)+SUMIFS('25'!$J$7:$J$100,'25'!$H$7:$H$100,$A369,'25'!$I$7:$I$100,1)+SUMIFS('26'!$J$7:$J$100,'26'!$H$7:$H$100,$A369,'26'!$I$7:$I$100,1)+SUMIFS('26a'!$J$7:$J$100,'26a'!$H$7:$H$100,$A369,'26a'!$I$7:$I$100,1)+SUMIFS('27'!$J$7:$J$100,'27'!$H$7:$H$100,$A369,'27'!$I$7:$I$100,1)+SUMIFS('27a'!$J$7:$J$100,'27a'!$H$7:$H$100,$A369,'27a'!$I$7:$I$100,1)+SUMIFS('28'!$J$7:$J$100,'28'!$H$7:$H$100,$A369,'28'!$I$7:$I$100,1)+SUMIFS('29'!$J$7:$J$100,'29'!$H$7:$H$100,$A369,'29'!$I$7:$I$100,1)</f>
        <v>0</v>
      </c>
      <c r="H369" s="1315">
        <f>SUMIFS('12'!$J$7:$J$100,'12'!$H$7:$H$100,$A369,'12'!$I$7:$I$100,2)+SUMIFS('13'!$J$7:$J$100,'13'!$H$7:$H$100,$A369,'13'!$I$7:$I$100,2)+SUMIFS('14'!$J$7:$J$100,'14'!$H$7:$H$100,$A369,'14'!$I$7:$I$100,2)+SUMIFS('15'!$J$7:$J$100,'15'!$H$7:$H$100,$A369,'15'!$I$7:$I$100,2)+SUMIFS('15a'!$J$7:$J$100,'15a'!$H$7:$H$100,$A369,'15a'!$I$7:$I$100,2)+SUMIFS('15b'!$J$7:$J$100,'15b'!$H$7:$H$100,$A369,'15b'!$I$7:$I$100,2)+SUMIFS('15c'!$J$7:$J$100,'15c'!$H$7:$H$100,$A369,'15c'!$I$7:$I$100,2)+SUMIFS('15d'!$J$7:$J$100,'15d'!$H$7:$H$100,$A369,'15d'!$I$7:$I$100,2)+SUMIFS('15e'!$J$7:$J$100,'15e'!$H$7:$H$100,$A369,'15e'!$I$7:$I$100,2)+SUMIFS('15f'!$J$7:$J$100,'15f'!$H$7:$H$100,$A369,'15f'!$I$7:$I$100,2)+SUMIFS('15g'!$J$7:$J$100,'15g'!$H$7:$H$100,$A369,'15g'!$I$7:$I$100,2)+SUMIFS('15h'!$J$7:$J$100,'15h'!$H$7:$H$100,$A369,'15h'!$I$7:$I$100,2)+SUMIFS('15i'!$J$7:$J$100,'15i'!$H$7:$H$100,$A369,'15i'!$I$7:$I$100,2)+SUMIFS('15j'!$J$7:$J$100,'15j'!$H$7:$H$100,$A369,'15j'!$I$7:$I$100,2)+SUMIFS('15k'!$J$7:$J$100,'15k'!$H$7:$H$100,$A369,'15k'!$I$7:$I$100,2)+SUMIFS('15l'!$J$7:$J$100,'15l'!$H$7:$H$100,$A369,'15l'!$I$7:$I$100,2)+SUMIFS('15m'!$J$7:$J$100,'15m'!$H$7:$H$100,$A369,'15m'!$I$7:$I$100,2)+SUMIFS('15n'!$J$7:$J$100,'15n'!$H$7:$H$100,$A369,'15n'!$I$7:$I$100,2)+SUMIFS('16'!$J$7:$J$100,'16'!$H$7:$H$100,$A369,'16'!$I$7:$I$100,2)+SUMIFS('16a'!$J$7:$J$100,'16a'!$H$7:$H$100,$A369,'16a'!$I$7:$I$100,2)+SUMIFS('17'!$J$7:$J$100,'17'!$H$7:$H$100,$A369,'17'!$I$7:$I$100,2)+SUMIFS('17a'!$J$7:$J$100,'17a'!$H$7:$H$100,$A369,'17a'!$I$7:$I$100,2)+SUMIFS('18'!$J$7:$J$100,'18'!$H$7:$H$100,$A369,'18'!$I$7:$I$100,2)+SUMIFS('18a'!$J$7:$J$100,'18a'!$H$7:$H$100,$A369,'18a'!$I$7:$I$100,2)
+SUMIFS('19'!$J$7:$J$100,'19'!$H$7:$H$100,$A369,'19'!$I$7:$I$100,2)+SUMIFS('20'!$J$7:$J$100,'20'!$H$7:$H$100,$A369,'20'!$I$7:$I$100,2)+SUMIFS('20a'!$J$7:$J$100,'20a'!$H$7:$H$100,$A369,'20a'!$I$7:$I$100,2)+SUMIFS('21'!$J$7:$J$100,'21'!$H$7:$H$100,$A369,'21'!$I$7:$I$100,2)+SUMIFS('22'!$J$7:$J$100,'22'!$H$7:$H$100,$A369,'22'!$I$7:$I$100,2)+SUMIFS('22a'!$J$7:$J$100,'22a'!$H$7:$H$100,$A369,'22a'!$I$7:$I$100,2)+SUMIFS('22b'!$J$7:$J$100,'22b'!$H$7:$H$100,$A369,'22b'!$I$7:$I$100,2)+SUMIFS('23'!$J$7:$J$100,'23'!$H$7:$H$100,$A369,'23'!$I$7:$I$100,2)+SUMIFS('24'!$J$7:$J$100,'24'!$H$7:$H$100,$A369,'24'!$I$7:$I$100,2)+SUMIFS('24a'!$J$7:$J$100,'24a'!$H$7:$H$100,$A369,'24a'!$I$7:$I$100,2)+SUMIFS('24b'!$J$7:$J$100,'24b'!$H$7:$H$100,$A369,'24b'!$I$7:$I$100,2)+SUMIFS('24c'!$J$7:$J$100,'24c'!$H$7:$H$100,$A369,'24c'!$I$7:$I$100,2)+SUMIFS('24d'!$J$7:$J$100,'24d'!$H$7:$H$100,$A369,'24d'!$I$7:$I$100,2)+SUMIFS('24e'!$J$7:$J$100,'24e'!$H$7:$H$100,$A369,'24e'!$I$7:$I$100,2)+SUMIFS('24f'!$J$7:$J$100,'24f'!$H$7:$H$100,$A369,'24f'!$I$7:$I$100,2)+SUMIFS('24g'!$J$7:$J$100,'24g'!$H$7:$H$100,$A369,'24g'!$I$7:$I$100,2)+SUMIFS('24h'!$J$7:$J$100,'24h'!$H$7:$H$100,$A369,'24h'!$I$7:$I$100,2)+SUMIFS('24i'!$J$7:$J$100,'24i'!$H$7:$H$100,$A369,'24i'!$I$7:$I$100,2)+SUMIFS('25'!$J$7:$J$100,'25'!$H$7:$H$100,$A369,'25'!$I$7:$I$100,2)+SUMIFS('26'!$J$7:$J$100,'26'!$H$7:$H$100,$A369,'26'!$I$7:$I$100,2)+SUMIFS('26a'!$J$7:$J$100,'26a'!$H$7:$H$100,$A369,'26a'!$I$7:$I$100,2)+SUMIFS('27'!$J$7:$J$100,'27'!$H$7:$H$100,$A369,'27'!$I$7:$I$100,2)+SUMIFS('27a'!$J$7:$J$100,'27a'!$H$7:$H$100,$A369,'27a'!$I$7:$I$100,2)+SUMIFS('28'!$J$7:$J$100,'28'!$H$7:$H$100,$A369,'28'!$I$7:$I$100,2)+SUMIFS('29'!$J$7:$J$100,'29'!$H$7:$H$100,$A369,'29'!$I$7:$I$100,2)</f>
        <v>0</v>
      </c>
      <c r="I369" s="1315">
        <f>SUMIFS('12'!$J$7:$J$100,'12'!$H$7:$H$100,$A369,'12'!$I$7:$I$100,"")+SUMIFS('13'!$J$7:$J$100,'13'!$H$7:$H$100,$A369,'13'!$I$7:$I$100,"")+SUMIFS('14'!$J$7:$J$100,'14'!$H$7:$H$100,$A369,'14'!$I$7:$I$100,"")+SUMIFS('15'!$J$7:$J$100,'15'!$H$7:$H$100,$A369,'15'!$I$7:$I$100,"")+SUMIFS('15a'!$J$7:$J$100,'15a'!$H$7:$H$100,$A369,'15a'!$I$7:$I$100,"")+SUMIFS('15b'!$J$7:$J$100,'15b'!$H$7:$H$100,$A369,'15b'!$I$7:$I$100,"")+SUMIFS('15c'!$J$7:$J$100,'15c'!$H$7:$H$100,$A369,'15c'!$I$7:$I$100,"")+SUMIFS('15d'!$J$7:$J$100,'15d'!$H$7:$H$100,$A369,'15d'!$I$7:$I$100,"")+SUMIFS('15e'!$J$7:$J$100,'15e'!$H$7:$H$100,$A369,'15e'!$I$7:$I$100,"")+SUMIFS('15f'!$J$7:$J$100,'15f'!$H$7:$H$100,$A369,'15f'!$I$7:$I$100,"")+SUMIFS('15g'!$J$7:$J$100,'15g'!$H$7:$H$100,$A369,'15g'!$I$7:$I$100,"")+SUMIFS('15h'!$J$7:$J$100,'15h'!$H$7:$H$100,$A369,'15h'!$I$7:$I$100,"")+SUMIFS('15i'!$J$7:$J$100,'15i'!$H$7:$H$100,$A369,'15i'!$I$7:$I$100,"")+SUMIFS('15j'!$J$7:$J$100,'15j'!$H$7:$H$100,$A369,'15j'!$I$7:$I$100,"")+SUMIFS('15k'!$J$7:$J$100,'15k'!$H$7:$H$100,$A369,'15k'!$I$7:$I$100,"")+SUMIFS('15l'!$J$7:$J$100,'15l'!$H$7:$H$100,$A369,'15l'!$I$7:$I$100,"")+SUMIFS('15m'!$J$7:$J$100,'15m'!$H$7:$H$100,$A369,'15m'!$I$7:$I$100,"")+SUMIFS('15n'!$J$7:$J$100,'15n'!$H$7:$H$100,$A369,'15n'!$I$7:$I$100,"")+SUMIFS('16'!$J$7:$J$100,'16'!$H$7:$H$100,$A369,'16'!$I$7:$I$100,"")+SUMIFS('16a'!$J$7:$J$100,'16a'!$H$7:$H$100,$A369,'16a'!$I$7:$I$100,"")+SUMIFS('17'!$J$7:$J$100,'17'!$H$7:$H$100,$A369,'17'!$I$7:$I$100,"")+SUMIFS('17a'!$J$7:$J$100,'17a'!$H$7:$H$100,$A369,'17a'!$I$7:$I$100,"")+SUMIFS('18'!$J$7:$J$100,'18'!$H$7:$H$100,$A369,'18'!$I$7:$I$100,"")+SUMIFS('18a'!$J$7:$J$100,'18a'!$H$7:$H$100,$A369,'18a'!$I$7:$I$100,"")
+SUMIFS('19'!$J$7:$J$100,'19'!$H$7:$H$100,$A369,'19'!$I$7:$I$100,"")+SUMIFS('20'!$J$7:$J$100,'20'!$H$7:$H$100,$A369,'20'!$I$7:$I$100,"")+SUMIFS('20a'!$J$7:$J$100,'20a'!$H$7:$H$100,$A369,'20a'!$I$7:$I$100,"")+SUMIFS('21'!$J$7:$J$100,'21'!$H$7:$H$100,$A369,'21'!$I$7:$I$100,"")+SUMIFS('22'!$J$7:$J$100,'22'!$H$7:$H$100,$A369,'22'!$I$7:$I$100,"")+SUMIFS('22a'!$J$7:$J$100,'22a'!$H$7:$H$100,$A369,'22a'!$I$7:$I$100,"")+SUMIFS('22b'!$J$7:$J$100,'22b'!$H$7:$H$100,$A369,'22b'!$I$7:$I$100,"")+SUMIFS('23'!$J$7:$J$100,'23'!$H$7:$H$100,$A369,'23'!$I$7:$I$100,"")+SUMIFS('24'!$J$7:$J$100,'24'!$H$7:$H$100,$A369,'24'!$I$7:$I$100,"")+SUMIFS('24a'!$J$7:$J$100,'24a'!$H$7:$H$100,$A369,'24a'!$I$7:$I$100,"")+SUMIFS('24b'!$J$7:$J$100,'24b'!$H$7:$H$100,$A369,'24b'!$I$7:$I$100,"")+SUMIFS('24c'!$J$7:$J$100,'24c'!$H$7:$H$100,$A369,'24c'!$I$7:$I$100,"")+SUMIFS('24d'!$J$7:$J$100,'24d'!$H$7:$H$100,$A369,'24d'!$I$7:$I$100,"")+SUMIFS('24e'!$J$7:$J$100,'24e'!$H$7:$H$100,$A369,'24e'!$I$7:$I$100,"")+SUMIFS('24f'!$J$7:$J$100,'24f'!$H$7:$H$100,$A369,'24f'!$I$7:$I$100,"")+SUMIFS('24g'!$J$7:$J$100,'24g'!$H$7:$H$100,$A369,'24g'!$I$7:$I$100,"")+SUMIFS('24h'!$J$7:$J$100,'24h'!$H$7:$H$100,$A369,'24h'!$I$7:$I$100,"")+SUMIFS('24i'!$J$7:$J$100,'24i'!$H$7:$H$100,$A369,'24i'!$I$7:$I$100,"")+SUMIFS('25'!$J$7:$J$100,'25'!$H$7:$H$100,$A369,'25'!$I$7:$I$100,"")+SUMIFS('26'!$J$7:$J$100,'26'!$H$7:$H$100,$A369,'26'!$I$7:$I$100,"")+SUMIFS('26a'!$J$7:$J$100,'26a'!$H$7:$H$100,$A369,'26a'!$I$7:$I$100,"")+SUMIFS('27'!$J$7:$J$100,'27'!$H$7:$H$100,$A369,'27'!$I$7:$I$100,"")+SUMIFS('27a'!$J$7:$J$100,'27a'!$H$7:$H$100,$A369,'27a'!$I$7:$I$100,"")+SUMIFS('28'!$J$7:$J$100,'28'!$H$7:$H$100,$A369,'28'!$I$7:$I$100,"")+SUMIFS('29'!$J$7:$J$100,'29'!$H$7:$H$100,$A369,'29'!$I$7:$I$100,"")</f>
        <v>0</v>
      </c>
      <c r="J369" s="1296">
        <f t="shared" si="56"/>
        <v>0</v>
      </c>
      <c r="K369"/>
      <c r="L369"/>
      <c r="M369"/>
      <c r="N369"/>
      <c r="O369"/>
      <c r="P369"/>
      <c r="Q369"/>
      <c r="R369"/>
      <c r="S369" s="1307">
        <f t="shared" si="48"/>
        <v>0</v>
      </c>
      <c r="T369"/>
    </row>
    <row r="370" spans="1:20" x14ac:dyDescent="0.2">
      <c r="A370" t="s">
        <v>5086</v>
      </c>
      <c r="B370" t="s">
        <v>5394</v>
      </c>
      <c r="C370" s="1295">
        <f>SUMIFS('12'!$N$7:$N$100,'12'!$H$7:$H$100,$A370,'12'!$I$7:$I$100,1)+SUMIFS('13'!$N$7:$N$100,'13'!$H$7:$H$100,$A370,'13'!$I$7:$I$100,1)+SUMIFS('14'!$N$7:$N$100,'14'!$H$7:$H$100,$A370,'14'!$I$7:$I$100,1)+SUMIFS('15'!$N$7:$N$100,'15'!$H$7:$H$100,$A370,'15'!$I$7:$I$100,1)+SUMIFS('15a'!$N$7:$N$100,'15a'!$H$7:$H$100,$A370,'15a'!$I$7:$I$100,1)+SUMIFS('15b'!$N$7:$N$100,'15b'!$H$7:$H$100,$A370,'15b'!$I$7:$I$100,1)+SUMIFS('15c'!$N$7:$N$100,'15c'!$H$7:$H$100,$A370,'15c'!$I$7:$I$100,1)+SUMIFS('15d'!$N$7:$N$100,'15d'!$H$7:$H$100,$A370,'15d'!$I$7:$I$100,1)+SUMIFS('15e'!$N$7:$N$100,'15e'!$H$7:$H$100,$A370,'15e'!$I$7:$I$100,1)+SUMIFS('15f'!$N$7:$N$100,'15f'!$H$7:$H$100,$A370,'15f'!$I$7:$I$100,1)+SUMIFS('15g'!$N$7:$N$100,'15g'!$H$7:$H$100,$A370,'15g'!$I$7:$I$100,1)+SUMIFS('15h'!$N$7:$N$100,'15h'!$H$7:$H$100,$A370,'15h'!$I$7:$I$100,1)+SUMIFS('15i'!$N$7:$N$100,'15i'!$H$7:$H$100,$A370,'15i'!$I$7:$I$100,1)+SUMIFS('15j'!$N$7:$N$100,'15j'!$H$7:$H$100,$A370,'15j'!$I$7:$I$100,1)+SUMIFS('15k'!$N$7:$N$100,'15k'!$H$7:$H$100,$A370,'15k'!$I$7:$I$100,1)+SUMIFS('15l'!$N$7:$N$100,'15l'!$H$7:$H$100,$A370,'15l'!$I$7:$I$100,1)+SUMIFS('15m'!$N$7:$N$100,'15m'!$H$7:$H$100,$A370,'15m'!$I$7:$I$100,1)+SUMIFS('15n'!$N$7:$N$100,'15n'!$H$7:$H$100,$A370,'15n'!$I$7:$I$100,1)+SUMIFS('16'!$N$7:$N$100,'16'!$H$7:$H$100,$A370,'16'!$I$7:$I$100,1)+SUMIFS('16a'!$N$7:$N$100,'16a'!$H$7:$H$100,$A370,'16a'!$I$7:$I$100,1)+SUMIFS('17'!$N$7:$N$100,'17'!$H$7:$H$100,$A370,'17'!$I$7:$I$100,1)+SUMIFS('17a'!$N$7:$N$100,'17a'!$H$7:$H$100,$A370,'17a'!$I$7:$I$100,1)+SUMIFS('18'!$N$7:$N$100,'18'!$H$7:$H$100,$A370,'18'!$I$7:$I$100,1)+SUMIFS('18a'!$N$7:$N$100,'18a'!$H$7:$H$100,$A370,'18a'!$I$7:$I$100,1)
+SUMIFS('19'!$N$7:$N$100,'19'!$H$7:$H$100,$A370,'19'!$I$7:$I$100,1)+SUMIFS('20'!$N$7:$N$100,'20'!$H$7:$H$100,$A370,'20'!$I$7:$I$100,1)+SUMIFS('20a'!$N$7:$N$100,'20a'!$H$7:$H$100,$A370,'20a'!$I$7:$I$100,1)+SUMIFS('21'!$N$7:$N$100,'21'!$H$7:$H$100,$A370,'21'!$I$7:$I$100,1)+SUMIFS('22'!$N$7:$N$100,'22'!$H$7:$H$100,$A370,'22'!$I$7:$I$100,1)+SUMIFS('22a'!$N$7:$N$100,'22a'!$H$7:$H$100,$A370,'22a'!$I$7:$I$100,1)+SUMIFS('22b'!$N$7:$N$100,'22b'!$H$7:$H$100,$A370,'22b'!$I$7:$I$100,1)+SUMIFS('23'!$N$7:$N$100,'23'!$H$7:$H$100,$A370,'23'!$I$7:$I$100,1)+SUMIFS('24'!$N$7:$N$100,'24'!$H$7:$H$100,$A370,'24'!$I$7:$I$100,1)+SUMIFS('24a'!$N$7:$N$100,'24a'!$H$7:$H$100,$A370,'24a'!$I$7:$I$100,1)+SUMIFS('24b'!$N$7:$N$100,'24b'!$H$7:$H$100,$A370,'24b'!$I$7:$I$100,1)+SUMIFS('24c'!$N$7:$N$100,'24c'!$H$7:$H$100,$A370,'24c'!$I$7:$I$100,1)+SUMIFS('24d'!$N$7:$N$100,'24d'!$H$7:$H$100,$A370,'24d'!$I$7:$I$100,1)+SUMIFS('24e'!$N$7:$N$100,'24e'!$H$7:$H$100,$A370,'24e'!$I$7:$I$100,1)+SUMIFS('24f'!$N$7:$N$100,'24f'!$H$7:$H$100,$A370,'24f'!$I$7:$I$100,1)+SUMIFS('24g'!$N$7:$N$100,'24g'!$H$7:$H$100,$A370,'24g'!$I$7:$I$100,1)+SUMIFS('24h'!$N$7:$N$100,'24h'!$H$7:$H$100,$A370,'24h'!$I$7:$I$100,1)+SUMIFS('24i'!$N$7:$N$100,'24i'!$H$7:$H$100,$A370,'24i'!$I$7:$I$100,1)+SUMIFS('25'!$N$7:$N$100,'25'!$H$7:$H$100,$A370,'25'!$I$7:$I$100,1)+SUMIFS('26'!$N$7:$N$100,'26'!$H$7:$H$100,$A370,'26'!$I$7:$I$100,1)+SUMIFS('26a'!$N$7:$N$100,'26a'!$H$7:$H$100,$A370,'26a'!$I$7:$I$100,1)+SUMIFS('27'!$N$7:$N$100,'27'!$H$7:$H$100,$A370,'27'!$I$7:$I$100,1)+SUMIFS('27a'!$N$7:$N$100,'27a'!$H$7:$H$100,$A370,'27a'!$I$7:$I$100,1)+SUMIFS('28'!$N$7:$N$100,'28'!$H$7:$H$100,$A370,'28'!$I$7:$I$100,1)+SUMIFS('29'!$N$7:$N$100,'29'!$H$7:$H$100,$A370,'29'!$I$7:$I$100,1)</f>
        <v>0</v>
      </c>
      <c r="D370" s="1315">
        <f>SUMIFS('12'!$N$7:$N$100,'12'!$H$7:$H$100,$A370,'12'!$I$7:$I$100,2)+SUMIFS('13'!$N$7:$N$100,'13'!$H$7:$H$100,$A370,'13'!$I$7:$I$100,2)+SUMIFS('14'!$N$7:$N$100,'14'!$H$7:$H$100,$A370,'14'!$I$7:$I$100,2)+SUMIFS('15'!$N$7:$N$100,'15'!$H$7:$H$100,$A370,'15'!$I$7:$I$100,2)+SUMIFS('15a'!$N$7:$N$100,'15a'!$H$7:$H$100,$A370,'15a'!$I$7:$I$100,2)+SUMIFS('15b'!$N$7:$N$100,'15b'!$H$7:$H$100,$A370,'15b'!$I$7:$I$100,2)+SUMIFS('15c'!$N$7:$N$100,'15c'!$H$7:$H$100,$A370,'15c'!$I$7:$I$100,2)+SUMIFS('15d'!$N$7:$N$100,'15d'!$H$7:$H$100,$A370,'15d'!$I$7:$I$100,2)+SUMIFS('15e'!$N$7:$N$100,'15e'!$H$7:$H$100,$A370,'15e'!$I$7:$I$100,2)+SUMIFS('15f'!$N$7:$N$100,'15f'!$H$7:$H$100,$A370,'15f'!$I$7:$I$100,2)+SUMIFS('15g'!$N$7:$N$100,'15g'!$H$7:$H$100,$A370,'15g'!$I$7:$I$100,2)+SUMIFS('15h'!$N$7:$N$100,'15h'!$H$7:$H$100,$A370,'15h'!$I$7:$I$100,2)+SUMIFS('15i'!$N$7:$N$100,'15i'!$H$7:$H$100,$A370,'15i'!$I$7:$I$100,2)+SUMIFS('15j'!$N$7:$N$100,'15j'!$H$7:$H$100,$A370,'15j'!$I$7:$I$100,2)+SUMIFS('15k'!$N$7:$N$100,'15k'!$H$7:$H$100,$A370,'15k'!$I$7:$I$100,2)+SUMIFS('15l'!$N$7:$N$100,'15l'!$H$7:$H$100,$A370,'15l'!$I$7:$I$100,2)+SUMIFS('15m'!$N$7:$N$100,'15m'!$H$7:$H$100,$A370,'15m'!$I$7:$I$100,2)+SUMIFS('15n'!$N$7:$N$100,'15n'!$H$7:$H$100,$A370,'15n'!$I$7:$I$100,2)+SUMIFS('16'!$N$7:$N$100,'16'!$H$7:$H$100,$A370,'16'!$I$7:$I$100,2)+SUMIFS('16a'!$N$7:$N$100,'16a'!$H$7:$H$100,$A370,'16a'!$I$7:$I$100,2)+SUMIFS('17'!$N$7:$N$100,'17'!$H$7:$H$100,$A370,'17'!$I$7:$I$100,2)+SUMIFS('17a'!$N$7:$N$100,'17a'!$H$7:$H$100,$A370,'17a'!$I$7:$I$100,2)+SUMIFS('18'!$N$7:$N$100,'18'!$H$7:$H$100,$A370,'18'!$I$7:$I$100,2)+SUMIFS('18a'!$N$7:$N$100,'18a'!$H$7:$H$100,$A370,'18a'!$I$7:$I$100,2)
+SUMIFS('19'!$N$7:$N$100,'19'!$H$7:$H$100,$A370,'19'!$I$7:$I$100,2)+SUMIFS('20'!$N$7:$N$100,'20'!$H$7:$H$100,$A370,'20'!$I$7:$I$100,2)+SUMIFS('20a'!$N$7:$N$100,'20a'!$H$7:$H$100,$A370,'20a'!$I$7:$I$100,2)+SUMIFS('21'!$N$7:$N$100,'21'!$H$7:$H$100,$A370,'21'!$I$7:$I$100,2)+SUMIFS('22'!$N$7:$N$100,'22'!$H$7:$H$100,$A370,'22'!$I$7:$I$100,2)+SUMIFS('22a'!$N$7:$N$100,'22a'!$H$7:$H$100,$A370,'22a'!$I$7:$I$100,2)+SUMIFS('22b'!$N$7:$N$100,'22b'!$H$7:$H$100,$A370,'22b'!$I$7:$I$100,2)+SUMIFS('23'!$N$7:$N$100,'23'!$H$7:$H$100,$A370,'23'!$I$7:$I$100,2)+SUMIFS('24'!$N$7:$N$100,'24'!$H$7:$H$100,$A370,'24'!$I$7:$I$100,2)+SUMIFS('24a'!$N$7:$N$100,'24a'!$H$7:$H$100,$A370,'24a'!$I$7:$I$100,2)+SUMIFS('24b'!$N$7:$N$100,'24b'!$H$7:$H$100,$A370,'24b'!$I$7:$I$100,2)+SUMIFS('24c'!$N$7:$N$100,'24c'!$H$7:$H$100,$A370,'24c'!$I$7:$I$100,2)+SUMIFS('24d'!$N$7:$N$100,'24d'!$H$7:$H$100,$A370,'24d'!$I$7:$I$100,2)+SUMIFS('24e'!$N$7:$N$100,'24e'!$H$7:$H$100,$A370,'24e'!$I$7:$I$100,2)+SUMIFS('24f'!$N$7:$N$100,'24f'!$H$7:$H$100,$A370,'24f'!$I$7:$I$100,2)+SUMIFS('24g'!$N$7:$N$100,'24g'!$H$7:$H$100,$A370,'24g'!$I$7:$I$100,2)+SUMIFS('24h'!$N$7:$N$100,'24h'!$H$7:$H$100,$A370,'24h'!$I$7:$I$100,2)+SUMIFS('24i'!$N$7:$N$100,'24i'!$H$7:$H$100,$A370,'24i'!$I$7:$I$100,2)+SUMIFS('25'!$N$7:$N$100,'25'!$H$7:$H$100,$A370,'25'!$I$7:$I$100,2)+SUMIFS('26'!$N$7:$N$100,'26'!$H$7:$H$100,$A370,'26'!$I$7:$I$100,2)+SUMIFS('26a'!$N$7:$N$100,'26a'!$H$7:$H$100,$A370,'26a'!$I$7:$I$100,2)+SUMIFS('27'!$N$7:$N$100,'27'!$H$7:$H$100,$A370,'27'!$I$7:$I$100,2)+SUMIFS('27a'!$N$7:$N$100,'27a'!$H$7:$H$100,$A370,'27a'!$I$7:$I$100,2)+SUMIFS('28'!$N$7:$N$100,'28'!$H$7:$H$100,$A370,'28'!$I$7:$I$100,2)+SUMIFS('29'!$N$7:$N$100,'29'!$H$7:$H$100,$A370,'29'!$I$7:$I$100,2)</f>
        <v>0</v>
      </c>
      <c r="E370" s="1315">
        <f>SUMIFS('12'!$N$7:$N$100,'12'!$H$7:$H$100,$A370,'12'!$I$7:$I$100,"")+SUMIFS('13'!$N$7:$N$100,'13'!$H$7:$H$100,$A370,'13'!$I$7:$I$100,"")+SUMIFS('14'!$N$7:$N$100,'14'!$H$7:$H$100,$A370,'14'!$I$7:$I$100,"")+SUMIFS('15'!$N$7:$N$100,'15'!$H$7:$H$100,$A370,'15'!$I$7:$I$100,"")+SUMIFS('15a'!$N$7:$N$100,'15a'!$H$7:$H$100,$A370,'15a'!$I$7:$I$100,"")+SUMIFS('15b'!$N$7:$N$100,'15b'!$H$7:$H$100,$A370,'15b'!$I$7:$I$100,"")+SUMIFS('15c'!$N$7:$N$100,'15c'!$H$7:$H$100,$A370,'15c'!$I$7:$I$100,"")+SUMIFS('15d'!$N$7:$N$100,'15d'!$H$7:$H$100,$A370,'15d'!$I$7:$I$100,"")+SUMIFS('15e'!$N$7:$N$100,'15e'!$H$7:$H$100,$A370,'15e'!$I$7:$I$100,"")+SUMIFS('15f'!$N$7:$N$100,'15f'!$H$7:$H$100,$A370,'15f'!$I$7:$I$100,"")+SUMIFS('15g'!$N$7:$N$100,'15g'!$H$7:$H$100,$A370,'15g'!$I$7:$I$100,"")+SUMIFS('15h'!$N$7:$N$100,'15h'!$H$7:$H$100,$A370,'15h'!$I$7:$I$100,"")+SUMIFS('15i'!$N$7:$N$100,'15i'!$H$7:$H$100,$A370,'15i'!$I$7:$I$100,"")+SUMIFS('15j'!$N$7:$N$100,'15j'!$H$7:$H$100,$A370,'15j'!$I$7:$I$100,"")+SUMIFS('15k'!$N$7:$N$100,'15k'!$H$7:$H$100,$A370,'15k'!$I$7:$I$100,"")+SUMIFS('15l'!$N$7:$N$100,'15l'!$H$7:$H$100,$A370,'15l'!$I$7:$I$100,"")+SUMIFS('15m'!$N$7:$N$100,'15m'!$H$7:$H$100,$A370,'15m'!$I$7:$I$100,"")+SUMIFS('15n'!$N$7:$N$100,'15n'!$H$7:$H$100,$A370,'15n'!$I$7:$I$100,"")+SUMIFS('16'!$N$7:$N$100,'16'!$H$7:$H$100,$A370,'16'!$I$7:$I$100,"")+SUMIFS('16a'!$N$7:$N$100,'16a'!$H$7:$H$100,$A370,'16a'!$I$7:$I$100,"")+SUMIFS('17'!$N$7:$N$100,'17'!$H$7:$H$100,$A370,'17'!$I$7:$I$100,"")+SUMIFS('17a'!$N$7:$N$100,'17a'!$H$7:$H$100,$A370,'17a'!$I$7:$I$100,"")+SUMIFS('18'!$N$7:$N$100,'18'!$H$7:$H$100,$A370,'18'!$I$7:$I$100,"")+SUMIFS('18a'!$N$7:$N$100,'18a'!$H$7:$H$100,$A370,'18a'!$I$7:$I$100,"")
+SUMIFS('19'!$N$7:$N$100,'19'!$H$7:$H$100,$A370,'19'!$I$7:$I$100,"")+SUMIFS('20'!$N$7:$N$100,'20'!$H$7:$H$100,$A370,'20'!$I$7:$I$100,"")+SUMIFS('20a'!$N$7:$N$100,'20a'!$H$7:$H$100,$A370,'20a'!$I$7:$I$100,"")+SUMIFS('21'!$N$7:$N$100,'21'!$H$7:$H$100,$A370,'21'!$I$7:$I$100,"")+SUMIFS('22'!$N$7:$N$100,'22'!$H$7:$H$100,$A370,'22'!$I$7:$I$100,"")+SUMIFS('22a'!$N$7:$N$100,'22a'!$H$7:$H$100,$A370,'22a'!$I$7:$I$100,"")+SUMIFS('22b'!$N$7:$N$100,'22b'!$H$7:$H$100,$A370,'22b'!$I$7:$I$100,"")+SUMIFS('23'!$N$7:$N$100,'23'!$H$7:$H$100,$A370,'23'!$I$7:$I$100,"")+SUMIFS('24'!$N$7:$N$100,'24'!$H$7:$H$100,$A370,'24'!$I$7:$I$100,"")+SUMIFS('24a'!$N$7:$N$100,'24a'!$H$7:$H$100,$A370,'24a'!$I$7:$I$100,"")+SUMIFS('24b'!$N$7:$N$100,'24b'!$H$7:$H$100,$A370,'24b'!$I$7:$I$100,"")+SUMIFS('24c'!$N$7:$N$100,'24c'!$H$7:$H$100,$A370,'24c'!$I$7:$I$100,"")+SUMIFS('24d'!$N$7:$N$100,'24d'!$H$7:$H$100,$A370,'24d'!$I$7:$I$100,"")+SUMIFS('24e'!$N$7:$N$100,'24e'!$H$7:$H$100,$A370,'24e'!$I$7:$I$100,"")+SUMIFS('24f'!$N$7:$N$100,'24f'!$H$7:$H$100,$A370,'24f'!$I$7:$I$100,"")+SUMIFS('24g'!$N$7:$N$100,'24g'!$H$7:$H$100,$A370,'24g'!$I$7:$I$100,"")+SUMIFS('24h'!$N$7:$N$100,'24h'!$H$7:$H$100,$A370,'24h'!$I$7:$I$100,"")+SUMIFS('24i'!$N$7:$N$100,'24i'!$H$7:$H$100,$A370,'24i'!$I$7:$I$100,"")+SUMIFS('25'!$N$7:$N$100,'25'!$H$7:$H$100,$A370,'25'!$I$7:$I$100,"")+SUMIFS('26'!$N$7:$N$100,'26'!$H$7:$H$100,$A370,'26'!$I$7:$I$100,"")+SUMIFS('26a'!$N$7:$N$100,'26a'!$H$7:$H$100,$A370,'26a'!$I$7:$I$100,"")+SUMIFS('27'!$N$7:$N$100,'27'!$H$7:$H$100,$A370,'27'!$I$7:$I$100,"")+SUMIFS('27a'!$N$7:$N$100,'27a'!$H$7:$H$100,$A370,'27a'!$I$7:$I$100,"")+SUMIFS('28'!$N$7:$N$100,'28'!$H$7:$H$100,$A370,'28'!$I$7:$I$100,"")+SUMIFS('29'!$N$7:$N$100,'29'!$H$7:$H$100,$A370,'29'!$I$7:$I$100,"")</f>
        <v>0</v>
      </c>
      <c r="F370" s="1296">
        <f t="shared" si="55"/>
        <v>0</v>
      </c>
      <c r="G370" s="1295">
        <f>SUMIFS('12'!$J$7:$J$100,'12'!$H$7:$H$100,$A370,'12'!$I$7:$I$100,1)+SUMIFS('13'!$J$7:$J$100,'13'!$H$7:$H$100,$A370,'13'!$I$7:$I$100,1)+SUMIFS('14'!$J$7:$J$100,'14'!$H$7:$H$100,$A370,'14'!$I$7:$I$100,1)+SUMIFS('15'!$J$7:$J$100,'15'!$H$7:$H$100,$A370,'15'!$I$7:$I$100,1)+SUMIFS('15a'!$J$7:$J$100,'15a'!$H$7:$H$100,$A370,'15a'!$I$7:$I$100,1)+SUMIFS('15b'!$J$7:$J$100,'15b'!$H$7:$H$100,$A370,'15b'!$I$7:$I$100,1)+SUMIFS('15c'!$J$7:$J$100,'15c'!$H$7:$H$100,$A370,'15c'!$I$7:$I$100,1)+SUMIFS('15d'!$J$7:$J$100,'15d'!$H$7:$H$100,$A370,'15d'!$I$7:$I$100,1)+SUMIFS('15e'!$J$7:$J$100,'15e'!$H$7:$H$100,$A370,'15e'!$I$7:$I$100,1)+SUMIFS('15f'!$J$7:$J$100,'15f'!$H$7:$H$100,$A370,'15f'!$I$7:$I$100,1)+SUMIFS('15g'!$J$7:$J$100,'15g'!$H$7:$H$100,$A370,'15g'!$I$7:$I$100,1)+SUMIFS('15h'!$J$7:$J$100,'15h'!$H$7:$H$100,$A370,'15h'!$I$7:$I$100,1)+SUMIFS('15i'!$J$7:$J$100,'15i'!$H$7:$H$100,$A370,'15i'!$I$7:$I$100,1)+SUMIFS('15j'!$J$7:$J$100,'15j'!$H$7:$H$100,$A370,'15j'!$I$7:$I$100,1)+SUMIFS('15k'!$J$7:$J$100,'15k'!$H$7:$H$100,$A370,'15k'!$I$7:$I$100,1)+SUMIFS('15l'!$J$7:$J$100,'15l'!$H$7:$H$100,$A370,'15l'!$I$7:$I$100,1)+SUMIFS('15m'!$J$7:$J$100,'15m'!$H$7:$H$100,$A370,'15m'!$I$7:$I$100,1)+SUMIFS('15n'!$J$7:$J$100,'15n'!$H$7:$H$100,$A370,'15n'!$I$7:$I$100,1)+SUMIFS('16'!$J$7:$J$100,'16'!$H$7:$H$100,$A370,'16'!$I$7:$I$100,1)+SUMIFS('16a'!$J$7:$J$100,'16a'!$H$7:$H$100,$A370,'16a'!$I$7:$I$100,1)+SUMIFS('17'!$J$7:$J$100,'17'!$H$7:$H$100,$A370,'17'!$I$7:$I$100,1)+SUMIFS('17a'!$J$7:$J$100,'17a'!$H$7:$H$100,$A370,'17a'!$I$7:$I$100,1)+SUMIFS('18'!$J$7:$J$100,'18'!$H$7:$H$100,$A370,'18'!$I$7:$I$100,1)+SUMIFS('18a'!$J$7:$J$100,'18a'!$H$7:$H$100,$A370,'18a'!$I$7:$I$100,1)
+SUMIFS('19'!$J$7:$J$100,'19'!$H$7:$H$100,$A370,'19'!$I$7:$I$100,1)+SUMIFS('20'!$J$7:$J$100,'20'!$H$7:$H$100,$A370,'20'!$I$7:$I$100,1)+SUMIFS('20a'!$J$7:$J$100,'20a'!$H$7:$H$100,$A370,'20a'!$I$7:$I$100,1)+SUMIFS('21'!$J$7:$J$100,'21'!$H$7:$H$100,$A370,'21'!$I$7:$I$100,1)+SUMIFS('22'!$J$7:$J$100,'22'!$H$7:$H$100,$A370,'22'!$I$7:$I$100,1)+SUMIFS('22a'!$J$7:$J$100,'22a'!$H$7:$H$100,$A370,'22a'!$I$7:$I$100,1)+SUMIFS('22b'!$J$7:$J$100,'22b'!$H$7:$H$100,$A370,'22b'!$I$7:$I$100,1)+SUMIFS('23'!$J$7:$J$100,'23'!$H$7:$H$100,$A370,'23'!$I$7:$I$100,1)+SUMIFS('24'!$J$7:$J$100,'24'!$H$7:$H$100,$A370,'24'!$I$7:$I$100,1)+SUMIFS('24a'!$J$7:$J$100,'24a'!$H$7:$H$100,$A370,'24a'!$I$7:$I$100,1)+SUMIFS('24b'!$J$7:$J$100,'24b'!$H$7:$H$100,$A370,'24b'!$I$7:$I$100,1)+SUMIFS('24c'!$J$7:$J$100,'24c'!$H$7:$H$100,$A370,'24c'!$I$7:$I$100,1)+SUMIFS('24d'!$J$7:$J$100,'24d'!$H$7:$H$100,$A370,'24d'!$I$7:$I$100,1)+SUMIFS('24e'!$J$7:$J$100,'24e'!$H$7:$H$100,$A370,'24e'!$I$7:$I$100,1)+SUMIFS('24f'!$J$7:$J$100,'24f'!$H$7:$H$100,$A370,'24f'!$I$7:$I$100,1)+SUMIFS('24g'!$J$7:$J$100,'24g'!$H$7:$H$100,$A370,'24g'!$I$7:$I$100,1)+SUMIFS('24h'!$J$7:$J$100,'24h'!$H$7:$H$100,$A370,'24h'!$I$7:$I$100,1)+SUMIFS('24i'!$J$7:$J$100,'24i'!$H$7:$H$100,$A370,'24i'!$I$7:$I$100,1)+SUMIFS('25'!$J$7:$J$100,'25'!$H$7:$H$100,$A370,'25'!$I$7:$I$100,1)+SUMIFS('26'!$J$7:$J$100,'26'!$H$7:$H$100,$A370,'26'!$I$7:$I$100,1)+SUMIFS('26a'!$J$7:$J$100,'26a'!$H$7:$H$100,$A370,'26a'!$I$7:$I$100,1)+SUMIFS('27'!$J$7:$J$100,'27'!$H$7:$H$100,$A370,'27'!$I$7:$I$100,1)+SUMIFS('27a'!$J$7:$J$100,'27a'!$H$7:$H$100,$A370,'27a'!$I$7:$I$100,1)+SUMIFS('28'!$J$7:$J$100,'28'!$H$7:$H$100,$A370,'28'!$I$7:$I$100,1)+SUMIFS('29'!$J$7:$J$100,'29'!$H$7:$H$100,$A370,'29'!$I$7:$I$100,1)</f>
        <v>0</v>
      </c>
      <c r="H370" s="1315">
        <f>SUMIFS('12'!$J$7:$J$100,'12'!$H$7:$H$100,$A370,'12'!$I$7:$I$100,2)+SUMIFS('13'!$J$7:$J$100,'13'!$H$7:$H$100,$A370,'13'!$I$7:$I$100,2)+SUMIFS('14'!$J$7:$J$100,'14'!$H$7:$H$100,$A370,'14'!$I$7:$I$100,2)+SUMIFS('15'!$J$7:$J$100,'15'!$H$7:$H$100,$A370,'15'!$I$7:$I$100,2)+SUMIFS('15a'!$J$7:$J$100,'15a'!$H$7:$H$100,$A370,'15a'!$I$7:$I$100,2)+SUMIFS('15b'!$J$7:$J$100,'15b'!$H$7:$H$100,$A370,'15b'!$I$7:$I$100,2)+SUMIFS('15c'!$J$7:$J$100,'15c'!$H$7:$H$100,$A370,'15c'!$I$7:$I$100,2)+SUMIFS('15d'!$J$7:$J$100,'15d'!$H$7:$H$100,$A370,'15d'!$I$7:$I$100,2)+SUMIFS('15e'!$J$7:$J$100,'15e'!$H$7:$H$100,$A370,'15e'!$I$7:$I$100,2)+SUMIFS('15f'!$J$7:$J$100,'15f'!$H$7:$H$100,$A370,'15f'!$I$7:$I$100,2)+SUMIFS('15g'!$J$7:$J$100,'15g'!$H$7:$H$100,$A370,'15g'!$I$7:$I$100,2)+SUMIFS('15h'!$J$7:$J$100,'15h'!$H$7:$H$100,$A370,'15h'!$I$7:$I$100,2)+SUMIFS('15i'!$J$7:$J$100,'15i'!$H$7:$H$100,$A370,'15i'!$I$7:$I$100,2)+SUMIFS('15j'!$J$7:$J$100,'15j'!$H$7:$H$100,$A370,'15j'!$I$7:$I$100,2)+SUMIFS('15k'!$J$7:$J$100,'15k'!$H$7:$H$100,$A370,'15k'!$I$7:$I$100,2)+SUMIFS('15l'!$J$7:$J$100,'15l'!$H$7:$H$100,$A370,'15l'!$I$7:$I$100,2)+SUMIFS('15m'!$J$7:$J$100,'15m'!$H$7:$H$100,$A370,'15m'!$I$7:$I$100,2)+SUMIFS('15n'!$J$7:$J$100,'15n'!$H$7:$H$100,$A370,'15n'!$I$7:$I$100,2)+SUMIFS('16'!$J$7:$J$100,'16'!$H$7:$H$100,$A370,'16'!$I$7:$I$100,2)+SUMIFS('16a'!$J$7:$J$100,'16a'!$H$7:$H$100,$A370,'16a'!$I$7:$I$100,2)+SUMIFS('17'!$J$7:$J$100,'17'!$H$7:$H$100,$A370,'17'!$I$7:$I$100,2)+SUMIFS('17a'!$J$7:$J$100,'17a'!$H$7:$H$100,$A370,'17a'!$I$7:$I$100,2)+SUMIFS('18'!$J$7:$J$100,'18'!$H$7:$H$100,$A370,'18'!$I$7:$I$100,2)+SUMIFS('18a'!$J$7:$J$100,'18a'!$H$7:$H$100,$A370,'18a'!$I$7:$I$100,2)
+SUMIFS('19'!$J$7:$J$100,'19'!$H$7:$H$100,$A370,'19'!$I$7:$I$100,2)+SUMIFS('20'!$J$7:$J$100,'20'!$H$7:$H$100,$A370,'20'!$I$7:$I$100,2)+SUMIFS('20a'!$J$7:$J$100,'20a'!$H$7:$H$100,$A370,'20a'!$I$7:$I$100,2)+SUMIFS('21'!$J$7:$J$100,'21'!$H$7:$H$100,$A370,'21'!$I$7:$I$100,2)+SUMIFS('22'!$J$7:$J$100,'22'!$H$7:$H$100,$A370,'22'!$I$7:$I$100,2)+SUMIFS('22a'!$J$7:$J$100,'22a'!$H$7:$H$100,$A370,'22a'!$I$7:$I$100,2)+SUMIFS('22b'!$J$7:$J$100,'22b'!$H$7:$H$100,$A370,'22b'!$I$7:$I$100,2)+SUMIFS('23'!$J$7:$J$100,'23'!$H$7:$H$100,$A370,'23'!$I$7:$I$100,2)+SUMIFS('24'!$J$7:$J$100,'24'!$H$7:$H$100,$A370,'24'!$I$7:$I$100,2)+SUMIFS('24a'!$J$7:$J$100,'24a'!$H$7:$H$100,$A370,'24a'!$I$7:$I$100,2)+SUMIFS('24b'!$J$7:$J$100,'24b'!$H$7:$H$100,$A370,'24b'!$I$7:$I$100,2)+SUMIFS('24c'!$J$7:$J$100,'24c'!$H$7:$H$100,$A370,'24c'!$I$7:$I$100,2)+SUMIFS('24d'!$J$7:$J$100,'24d'!$H$7:$H$100,$A370,'24d'!$I$7:$I$100,2)+SUMIFS('24e'!$J$7:$J$100,'24e'!$H$7:$H$100,$A370,'24e'!$I$7:$I$100,2)+SUMIFS('24f'!$J$7:$J$100,'24f'!$H$7:$H$100,$A370,'24f'!$I$7:$I$100,2)+SUMIFS('24g'!$J$7:$J$100,'24g'!$H$7:$H$100,$A370,'24g'!$I$7:$I$100,2)+SUMIFS('24h'!$J$7:$J$100,'24h'!$H$7:$H$100,$A370,'24h'!$I$7:$I$100,2)+SUMIFS('24i'!$J$7:$J$100,'24i'!$H$7:$H$100,$A370,'24i'!$I$7:$I$100,2)+SUMIFS('25'!$J$7:$J$100,'25'!$H$7:$H$100,$A370,'25'!$I$7:$I$100,2)+SUMIFS('26'!$J$7:$J$100,'26'!$H$7:$H$100,$A370,'26'!$I$7:$I$100,2)+SUMIFS('26a'!$J$7:$J$100,'26a'!$H$7:$H$100,$A370,'26a'!$I$7:$I$100,2)+SUMIFS('27'!$J$7:$J$100,'27'!$H$7:$H$100,$A370,'27'!$I$7:$I$100,2)+SUMIFS('27a'!$J$7:$J$100,'27a'!$H$7:$H$100,$A370,'27a'!$I$7:$I$100,2)+SUMIFS('28'!$J$7:$J$100,'28'!$H$7:$H$100,$A370,'28'!$I$7:$I$100,2)+SUMIFS('29'!$J$7:$J$100,'29'!$H$7:$H$100,$A370,'29'!$I$7:$I$100,2)</f>
        <v>0</v>
      </c>
      <c r="I370" s="1315">
        <f>SUMIFS('12'!$J$7:$J$100,'12'!$H$7:$H$100,$A370,'12'!$I$7:$I$100,"")+SUMIFS('13'!$J$7:$J$100,'13'!$H$7:$H$100,$A370,'13'!$I$7:$I$100,"")+SUMIFS('14'!$J$7:$J$100,'14'!$H$7:$H$100,$A370,'14'!$I$7:$I$100,"")+SUMIFS('15'!$J$7:$J$100,'15'!$H$7:$H$100,$A370,'15'!$I$7:$I$100,"")+SUMIFS('15a'!$J$7:$J$100,'15a'!$H$7:$H$100,$A370,'15a'!$I$7:$I$100,"")+SUMIFS('15b'!$J$7:$J$100,'15b'!$H$7:$H$100,$A370,'15b'!$I$7:$I$100,"")+SUMIFS('15c'!$J$7:$J$100,'15c'!$H$7:$H$100,$A370,'15c'!$I$7:$I$100,"")+SUMIFS('15d'!$J$7:$J$100,'15d'!$H$7:$H$100,$A370,'15d'!$I$7:$I$100,"")+SUMIFS('15e'!$J$7:$J$100,'15e'!$H$7:$H$100,$A370,'15e'!$I$7:$I$100,"")+SUMIFS('15f'!$J$7:$J$100,'15f'!$H$7:$H$100,$A370,'15f'!$I$7:$I$100,"")+SUMIFS('15g'!$J$7:$J$100,'15g'!$H$7:$H$100,$A370,'15g'!$I$7:$I$100,"")+SUMIFS('15h'!$J$7:$J$100,'15h'!$H$7:$H$100,$A370,'15h'!$I$7:$I$100,"")+SUMIFS('15i'!$J$7:$J$100,'15i'!$H$7:$H$100,$A370,'15i'!$I$7:$I$100,"")+SUMIFS('15j'!$J$7:$J$100,'15j'!$H$7:$H$100,$A370,'15j'!$I$7:$I$100,"")+SUMIFS('15k'!$J$7:$J$100,'15k'!$H$7:$H$100,$A370,'15k'!$I$7:$I$100,"")+SUMIFS('15l'!$J$7:$J$100,'15l'!$H$7:$H$100,$A370,'15l'!$I$7:$I$100,"")+SUMIFS('15m'!$J$7:$J$100,'15m'!$H$7:$H$100,$A370,'15m'!$I$7:$I$100,"")+SUMIFS('15n'!$J$7:$J$100,'15n'!$H$7:$H$100,$A370,'15n'!$I$7:$I$100,"")+SUMIFS('16'!$J$7:$J$100,'16'!$H$7:$H$100,$A370,'16'!$I$7:$I$100,"")+SUMIFS('16a'!$J$7:$J$100,'16a'!$H$7:$H$100,$A370,'16a'!$I$7:$I$100,"")+SUMIFS('17'!$J$7:$J$100,'17'!$H$7:$H$100,$A370,'17'!$I$7:$I$100,"")+SUMIFS('17a'!$J$7:$J$100,'17a'!$H$7:$H$100,$A370,'17a'!$I$7:$I$100,"")+SUMIFS('18'!$J$7:$J$100,'18'!$H$7:$H$100,$A370,'18'!$I$7:$I$100,"")+SUMIFS('18a'!$J$7:$J$100,'18a'!$H$7:$H$100,$A370,'18a'!$I$7:$I$100,"")
+SUMIFS('19'!$J$7:$J$100,'19'!$H$7:$H$100,$A370,'19'!$I$7:$I$100,"")+SUMIFS('20'!$J$7:$J$100,'20'!$H$7:$H$100,$A370,'20'!$I$7:$I$100,"")+SUMIFS('20a'!$J$7:$J$100,'20a'!$H$7:$H$100,$A370,'20a'!$I$7:$I$100,"")+SUMIFS('21'!$J$7:$J$100,'21'!$H$7:$H$100,$A370,'21'!$I$7:$I$100,"")+SUMIFS('22'!$J$7:$J$100,'22'!$H$7:$H$100,$A370,'22'!$I$7:$I$100,"")+SUMIFS('22a'!$J$7:$J$100,'22a'!$H$7:$H$100,$A370,'22a'!$I$7:$I$100,"")+SUMIFS('22b'!$J$7:$J$100,'22b'!$H$7:$H$100,$A370,'22b'!$I$7:$I$100,"")+SUMIFS('23'!$J$7:$J$100,'23'!$H$7:$H$100,$A370,'23'!$I$7:$I$100,"")+SUMIFS('24'!$J$7:$J$100,'24'!$H$7:$H$100,$A370,'24'!$I$7:$I$100,"")+SUMIFS('24a'!$J$7:$J$100,'24a'!$H$7:$H$100,$A370,'24a'!$I$7:$I$100,"")+SUMIFS('24b'!$J$7:$J$100,'24b'!$H$7:$H$100,$A370,'24b'!$I$7:$I$100,"")+SUMIFS('24c'!$J$7:$J$100,'24c'!$H$7:$H$100,$A370,'24c'!$I$7:$I$100,"")+SUMIFS('24d'!$J$7:$J$100,'24d'!$H$7:$H$100,$A370,'24d'!$I$7:$I$100,"")+SUMIFS('24e'!$J$7:$J$100,'24e'!$H$7:$H$100,$A370,'24e'!$I$7:$I$100,"")+SUMIFS('24f'!$J$7:$J$100,'24f'!$H$7:$H$100,$A370,'24f'!$I$7:$I$100,"")+SUMIFS('24g'!$J$7:$J$100,'24g'!$H$7:$H$100,$A370,'24g'!$I$7:$I$100,"")+SUMIFS('24h'!$J$7:$J$100,'24h'!$H$7:$H$100,$A370,'24h'!$I$7:$I$100,"")+SUMIFS('24i'!$J$7:$J$100,'24i'!$H$7:$H$100,$A370,'24i'!$I$7:$I$100,"")+SUMIFS('25'!$J$7:$J$100,'25'!$H$7:$H$100,$A370,'25'!$I$7:$I$100,"")+SUMIFS('26'!$J$7:$J$100,'26'!$H$7:$H$100,$A370,'26'!$I$7:$I$100,"")+SUMIFS('26a'!$J$7:$J$100,'26a'!$H$7:$H$100,$A370,'26a'!$I$7:$I$100,"")+SUMIFS('27'!$J$7:$J$100,'27'!$H$7:$H$100,$A370,'27'!$I$7:$I$100,"")+SUMIFS('27a'!$J$7:$J$100,'27a'!$H$7:$H$100,$A370,'27a'!$I$7:$I$100,"")+SUMIFS('28'!$J$7:$J$100,'28'!$H$7:$H$100,$A370,'28'!$I$7:$I$100,"")+SUMIFS('29'!$J$7:$J$100,'29'!$H$7:$H$100,$A370,'29'!$I$7:$I$100,"")</f>
        <v>0</v>
      </c>
      <c r="J370" s="1296">
        <f t="shared" si="56"/>
        <v>0</v>
      </c>
      <c r="K370"/>
      <c r="L370"/>
      <c r="M370"/>
      <c r="N370"/>
      <c r="O370"/>
      <c r="P370"/>
      <c r="Q370"/>
      <c r="R370"/>
      <c r="S370" s="1307">
        <f t="shared" si="48"/>
        <v>0</v>
      </c>
      <c r="T370"/>
    </row>
    <row r="371" spans="1:20" x14ac:dyDescent="0.2">
      <c r="A371" t="s">
        <v>5092</v>
      </c>
      <c r="B371" t="s">
        <v>5395</v>
      </c>
      <c r="C371" s="1295">
        <f>SUMIFS('12'!$N$7:$N$100,'12'!$H$7:$H$100,$A371,'12'!$I$7:$I$100,1)+SUMIFS('13'!$N$7:$N$100,'13'!$H$7:$H$100,$A371,'13'!$I$7:$I$100,1)+SUMIFS('14'!$N$7:$N$100,'14'!$H$7:$H$100,$A371,'14'!$I$7:$I$100,1)+SUMIFS('15'!$N$7:$N$100,'15'!$H$7:$H$100,$A371,'15'!$I$7:$I$100,1)+SUMIFS('15a'!$N$7:$N$100,'15a'!$H$7:$H$100,$A371,'15a'!$I$7:$I$100,1)+SUMIFS('15b'!$N$7:$N$100,'15b'!$H$7:$H$100,$A371,'15b'!$I$7:$I$100,1)+SUMIFS('15c'!$N$7:$N$100,'15c'!$H$7:$H$100,$A371,'15c'!$I$7:$I$100,1)+SUMIFS('15d'!$N$7:$N$100,'15d'!$H$7:$H$100,$A371,'15d'!$I$7:$I$100,1)+SUMIFS('15e'!$N$7:$N$100,'15e'!$H$7:$H$100,$A371,'15e'!$I$7:$I$100,1)+SUMIFS('15f'!$N$7:$N$100,'15f'!$H$7:$H$100,$A371,'15f'!$I$7:$I$100,1)+SUMIFS('15g'!$N$7:$N$100,'15g'!$H$7:$H$100,$A371,'15g'!$I$7:$I$100,1)+SUMIFS('15h'!$N$7:$N$100,'15h'!$H$7:$H$100,$A371,'15h'!$I$7:$I$100,1)+SUMIFS('15i'!$N$7:$N$100,'15i'!$H$7:$H$100,$A371,'15i'!$I$7:$I$100,1)+SUMIFS('15j'!$N$7:$N$100,'15j'!$H$7:$H$100,$A371,'15j'!$I$7:$I$100,1)+SUMIFS('15k'!$N$7:$N$100,'15k'!$H$7:$H$100,$A371,'15k'!$I$7:$I$100,1)+SUMIFS('15l'!$N$7:$N$100,'15l'!$H$7:$H$100,$A371,'15l'!$I$7:$I$100,1)+SUMIFS('15m'!$N$7:$N$100,'15m'!$H$7:$H$100,$A371,'15m'!$I$7:$I$100,1)+SUMIFS('15n'!$N$7:$N$100,'15n'!$H$7:$H$100,$A371,'15n'!$I$7:$I$100,1)+SUMIFS('16'!$N$7:$N$100,'16'!$H$7:$H$100,$A371,'16'!$I$7:$I$100,1)+SUMIFS('16a'!$N$7:$N$100,'16a'!$H$7:$H$100,$A371,'16a'!$I$7:$I$100,1)+SUMIFS('17'!$N$7:$N$100,'17'!$H$7:$H$100,$A371,'17'!$I$7:$I$100,1)+SUMIFS('17a'!$N$7:$N$100,'17a'!$H$7:$H$100,$A371,'17a'!$I$7:$I$100,1)+SUMIFS('18'!$N$7:$N$100,'18'!$H$7:$H$100,$A371,'18'!$I$7:$I$100,1)+SUMIFS('18a'!$N$7:$N$100,'18a'!$H$7:$H$100,$A371,'18a'!$I$7:$I$100,1)
+SUMIFS('19'!$N$7:$N$100,'19'!$H$7:$H$100,$A371,'19'!$I$7:$I$100,1)+SUMIFS('20'!$N$7:$N$100,'20'!$H$7:$H$100,$A371,'20'!$I$7:$I$100,1)+SUMIFS('20a'!$N$7:$N$100,'20a'!$H$7:$H$100,$A371,'20a'!$I$7:$I$100,1)+SUMIFS('21'!$N$7:$N$100,'21'!$H$7:$H$100,$A371,'21'!$I$7:$I$100,1)+SUMIFS('22'!$N$7:$N$100,'22'!$H$7:$H$100,$A371,'22'!$I$7:$I$100,1)+SUMIFS('22a'!$N$7:$N$100,'22a'!$H$7:$H$100,$A371,'22a'!$I$7:$I$100,1)+SUMIFS('22b'!$N$7:$N$100,'22b'!$H$7:$H$100,$A371,'22b'!$I$7:$I$100,1)+SUMIFS('23'!$N$7:$N$100,'23'!$H$7:$H$100,$A371,'23'!$I$7:$I$100,1)+SUMIFS('24'!$N$7:$N$100,'24'!$H$7:$H$100,$A371,'24'!$I$7:$I$100,1)+SUMIFS('24a'!$N$7:$N$100,'24a'!$H$7:$H$100,$A371,'24a'!$I$7:$I$100,1)+SUMIFS('24b'!$N$7:$N$100,'24b'!$H$7:$H$100,$A371,'24b'!$I$7:$I$100,1)+SUMIFS('24c'!$N$7:$N$100,'24c'!$H$7:$H$100,$A371,'24c'!$I$7:$I$100,1)+SUMIFS('24d'!$N$7:$N$100,'24d'!$H$7:$H$100,$A371,'24d'!$I$7:$I$100,1)+SUMIFS('24e'!$N$7:$N$100,'24e'!$H$7:$H$100,$A371,'24e'!$I$7:$I$100,1)+SUMIFS('24f'!$N$7:$N$100,'24f'!$H$7:$H$100,$A371,'24f'!$I$7:$I$100,1)+SUMIFS('24g'!$N$7:$N$100,'24g'!$H$7:$H$100,$A371,'24g'!$I$7:$I$100,1)+SUMIFS('24h'!$N$7:$N$100,'24h'!$H$7:$H$100,$A371,'24h'!$I$7:$I$100,1)+SUMIFS('24i'!$N$7:$N$100,'24i'!$H$7:$H$100,$A371,'24i'!$I$7:$I$100,1)+SUMIFS('25'!$N$7:$N$100,'25'!$H$7:$H$100,$A371,'25'!$I$7:$I$100,1)+SUMIFS('26'!$N$7:$N$100,'26'!$H$7:$H$100,$A371,'26'!$I$7:$I$100,1)+SUMIFS('26a'!$N$7:$N$100,'26a'!$H$7:$H$100,$A371,'26a'!$I$7:$I$100,1)+SUMIFS('27'!$N$7:$N$100,'27'!$H$7:$H$100,$A371,'27'!$I$7:$I$100,1)+SUMIFS('27a'!$N$7:$N$100,'27a'!$H$7:$H$100,$A371,'27a'!$I$7:$I$100,1)+SUMIFS('28'!$N$7:$N$100,'28'!$H$7:$H$100,$A371,'28'!$I$7:$I$100,1)+SUMIFS('29'!$N$7:$N$100,'29'!$H$7:$H$100,$A371,'29'!$I$7:$I$100,1)</f>
        <v>0</v>
      </c>
      <c r="D371" s="1315">
        <f>SUMIFS('12'!$N$7:$N$100,'12'!$H$7:$H$100,$A371,'12'!$I$7:$I$100,2)+SUMIFS('13'!$N$7:$N$100,'13'!$H$7:$H$100,$A371,'13'!$I$7:$I$100,2)+SUMIFS('14'!$N$7:$N$100,'14'!$H$7:$H$100,$A371,'14'!$I$7:$I$100,2)+SUMIFS('15'!$N$7:$N$100,'15'!$H$7:$H$100,$A371,'15'!$I$7:$I$100,2)+SUMIFS('15a'!$N$7:$N$100,'15a'!$H$7:$H$100,$A371,'15a'!$I$7:$I$100,2)+SUMIFS('15b'!$N$7:$N$100,'15b'!$H$7:$H$100,$A371,'15b'!$I$7:$I$100,2)+SUMIFS('15c'!$N$7:$N$100,'15c'!$H$7:$H$100,$A371,'15c'!$I$7:$I$100,2)+SUMIFS('15d'!$N$7:$N$100,'15d'!$H$7:$H$100,$A371,'15d'!$I$7:$I$100,2)+SUMIFS('15e'!$N$7:$N$100,'15e'!$H$7:$H$100,$A371,'15e'!$I$7:$I$100,2)+SUMIFS('15f'!$N$7:$N$100,'15f'!$H$7:$H$100,$A371,'15f'!$I$7:$I$100,2)+SUMIFS('15g'!$N$7:$N$100,'15g'!$H$7:$H$100,$A371,'15g'!$I$7:$I$100,2)+SUMIFS('15h'!$N$7:$N$100,'15h'!$H$7:$H$100,$A371,'15h'!$I$7:$I$100,2)+SUMIFS('15i'!$N$7:$N$100,'15i'!$H$7:$H$100,$A371,'15i'!$I$7:$I$100,2)+SUMIFS('15j'!$N$7:$N$100,'15j'!$H$7:$H$100,$A371,'15j'!$I$7:$I$100,2)+SUMIFS('15k'!$N$7:$N$100,'15k'!$H$7:$H$100,$A371,'15k'!$I$7:$I$100,2)+SUMIFS('15l'!$N$7:$N$100,'15l'!$H$7:$H$100,$A371,'15l'!$I$7:$I$100,2)+SUMIFS('15m'!$N$7:$N$100,'15m'!$H$7:$H$100,$A371,'15m'!$I$7:$I$100,2)+SUMIFS('15n'!$N$7:$N$100,'15n'!$H$7:$H$100,$A371,'15n'!$I$7:$I$100,2)+SUMIFS('16'!$N$7:$N$100,'16'!$H$7:$H$100,$A371,'16'!$I$7:$I$100,2)+SUMIFS('16a'!$N$7:$N$100,'16a'!$H$7:$H$100,$A371,'16a'!$I$7:$I$100,2)+SUMIFS('17'!$N$7:$N$100,'17'!$H$7:$H$100,$A371,'17'!$I$7:$I$100,2)+SUMIFS('17a'!$N$7:$N$100,'17a'!$H$7:$H$100,$A371,'17a'!$I$7:$I$100,2)+SUMIFS('18'!$N$7:$N$100,'18'!$H$7:$H$100,$A371,'18'!$I$7:$I$100,2)+SUMIFS('18a'!$N$7:$N$100,'18a'!$H$7:$H$100,$A371,'18a'!$I$7:$I$100,2)
+SUMIFS('19'!$N$7:$N$100,'19'!$H$7:$H$100,$A371,'19'!$I$7:$I$100,2)+SUMIFS('20'!$N$7:$N$100,'20'!$H$7:$H$100,$A371,'20'!$I$7:$I$100,2)+SUMIFS('20a'!$N$7:$N$100,'20a'!$H$7:$H$100,$A371,'20a'!$I$7:$I$100,2)+SUMIFS('21'!$N$7:$N$100,'21'!$H$7:$H$100,$A371,'21'!$I$7:$I$100,2)+SUMIFS('22'!$N$7:$N$100,'22'!$H$7:$H$100,$A371,'22'!$I$7:$I$100,2)+SUMIFS('22a'!$N$7:$N$100,'22a'!$H$7:$H$100,$A371,'22a'!$I$7:$I$100,2)+SUMIFS('22b'!$N$7:$N$100,'22b'!$H$7:$H$100,$A371,'22b'!$I$7:$I$100,2)+SUMIFS('23'!$N$7:$N$100,'23'!$H$7:$H$100,$A371,'23'!$I$7:$I$100,2)+SUMIFS('24'!$N$7:$N$100,'24'!$H$7:$H$100,$A371,'24'!$I$7:$I$100,2)+SUMIFS('24a'!$N$7:$N$100,'24a'!$H$7:$H$100,$A371,'24a'!$I$7:$I$100,2)+SUMIFS('24b'!$N$7:$N$100,'24b'!$H$7:$H$100,$A371,'24b'!$I$7:$I$100,2)+SUMIFS('24c'!$N$7:$N$100,'24c'!$H$7:$H$100,$A371,'24c'!$I$7:$I$100,2)+SUMIFS('24d'!$N$7:$N$100,'24d'!$H$7:$H$100,$A371,'24d'!$I$7:$I$100,2)+SUMIFS('24e'!$N$7:$N$100,'24e'!$H$7:$H$100,$A371,'24e'!$I$7:$I$100,2)+SUMIFS('24f'!$N$7:$N$100,'24f'!$H$7:$H$100,$A371,'24f'!$I$7:$I$100,2)+SUMIFS('24g'!$N$7:$N$100,'24g'!$H$7:$H$100,$A371,'24g'!$I$7:$I$100,2)+SUMIFS('24h'!$N$7:$N$100,'24h'!$H$7:$H$100,$A371,'24h'!$I$7:$I$100,2)+SUMIFS('24i'!$N$7:$N$100,'24i'!$H$7:$H$100,$A371,'24i'!$I$7:$I$100,2)+SUMIFS('25'!$N$7:$N$100,'25'!$H$7:$H$100,$A371,'25'!$I$7:$I$100,2)+SUMIFS('26'!$N$7:$N$100,'26'!$H$7:$H$100,$A371,'26'!$I$7:$I$100,2)+SUMIFS('26a'!$N$7:$N$100,'26a'!$H$7:$H$100,$A371,'26a'!$I$7:$I$100,2)+SUMIFS('27'!$N$7:$N$100,'27'!$H$7:$H$100,$A371,'27'!$I$7:$I$100,2)+SUMIFS('27a'!$N$7:$N$100,'27a'!$H$7:$H$100,$A371,'27a'!$I$7:$I$100,2)+SUMIFS('28'!$N$7:$N$100,'28'!$H$7:$H$100,$A371,'28'!$I$7:$I$100,2)+SUMIFS('29'!$N$7:$N$100,'29'!$H$7:$H$100,$A371,'29'!$I$7:$I$100,2)</f>
        <v>0</v>
      </c>
      <c r="E371" s="1315">
        <f>SUMIFS('12'!$N$7:$N$100,'12'!$H$7:$H$100,$A371,'12'!$I$7:$I$100,"")+SUMIFS('13'!$N$7:$N$100,'13'!$H$7:$H$100,$A371,'13'!$I$7:$I$100,"")+SUMIFS('14'!$N$7:$N$100,'14'!$H$7:$H$100,$A371,'14'!$I$7:$I$100,"")+SUMIFS('15'!$N$7:$N$100,'15'!$H$7:$H$100,$A371,'15'!$I$7:$I$100,"")+SUMIFS('15a'!$N$7:$N$100,'15a'!$H$7:$H$100,$A371,'15a'!$I$7:$I$100,"")+SUMIFS('15b'!$N$7:$N$100,'15b'!$H$7:$H$100,$A371,'15b'!$I$7:$I$100,"")+SUMIFS('15c'!$N$7:$N$100,'15c'!$H$7:$H$100,$A371,'15c'!$I$7:$I$100,"")+SUMIFS('15d'!$N$7:$N$100,'15d'!$H$7:$H$100,$A371,'15d'!$I$7:$I$100,"")+SUMIFS('15e'!$N$7:$N$100,'15e'!$H$7:$H$100,$A371,'15e'!$I$7:$I$100,"")+SUMIFS('15f'!$N$7:$N$100,'15f'!$H$7:$H$100,$A371,'15f'!$I$7:$I$100,"")+SUMIFS('15g'!$N$7:$N$100,'15g'!$H$7:$H$100,$A371,'15g'!$I$7:$I$100,"")+SUMIFS('15h'!$N$7:$N$100,'15h'!$H$7:$H$100,$A371,'15h'!$I$7:$I$100,"")+SUMIFS('15i'!$N$7:$N$100,'15i'!$H$7:$H$100,$A371,'15i'!$I$7:$I$100,"")+SUMIFS('15j'!$N$7:$N$100,'15j'!$H$7:$H$100,$A371,'15j'!$I$7:$I$100,"")+SUMIFS('15k'!$N$7:$N$100,'15k'!$H$7:$H$100,$A371,'15k'!$I$7:$I$100,"")+SUMIFS('15l'!$N$7:$N$100,'15l'!$H$7:$H$100,$A371,'15l'!$I$7:$I$100,"")+SUMIFS('15m'!$N$7:$N$100,'15m'!$H$7:$H$100,$A371,'15m'!$I$7:$I$100,"")+SUMIFS('15n'!$N$7:$N$100,'15n'!$H$7:$H$100,$A371,'15n'!$I$7:$I$100,"")+SUMIFS('16'!$N$7:$N$100,'16'!$H$7:$H$100,$A371,'16'!$I$7:$I$100,"")+SUMIFS('16a'!$N$7:$N$100,'16a'!$H$7:$H$100,$A371,'16a'!$I$7:$I$100,"")+SUMIFS('17'!$N$7:$N$100,'17'!$H$7:$H$100,$A371,'17'!$I$7:$I$100,"")+SUMIFS('17a'!$N$7:$N$100,'17a'!$H$7:$H$100,$A371,'17a'!$I$7:$I$100,"")+SUMIFS('18'!$N$7:$N$100,'18'!$H$7:$H$100,$A371,'18'!$I$7:$I$100,"")+SUMIFS('18a'!$N$7:$N$100,'18a'!$H$7:$H$100,$A371,'18a'!$I$7:$I$100,"")
+SUMIFS('19'!$N$7:$N$100,'19'!$H$7:$H$100,$A371,'19'!$I$7:$I$100,"")+SUMIFS('20'!$N$7:$N$100,'20'!$H$7:$H$100,$A371,'20'!$I$7:$I$100,"")+SUMIFS('20a'!$N$7:$N$100,'20a'!$H$7:$H$100,$A371,'20a'!$I$7:$I$100,"")+SUMIFS('21'!$N$7:$N$100,'21'!$H$7:$H$100,$A371,'21'!$I$7:$I$100,"")+SUMIFS('22'!$N$7:$N$100,'22'!$H$7:$H$100,$A371,'22'!$I$7:$I$100,"")+SUMIFS('22a'!$N$7:$N$100,'22a'!$H$7:$H$100,$A371,'22a'!$I$7:$I$100,"")+SUMIFS('22b'!$N$7:$N$100,'22b'!$H$7:$H$100,$A371,'22b'!$I$7:$I$100,"")+SUMIFS('23'!$N$7:$N$100,'23'!$H$7:$H$100,$A371,'23'!$I$7:$I$100,"")+SUMIFS('24'!$N$7:$N$100,'24'!$H$7:$H$100,$A371,'24'!$I$7:$I$100,"")+SUMIFS('24a'!$N$7:$N$100,'24a'!$H$7:$H$100,$A371,'24a'!$I$7:$I$100,"")+SUMIFS('24b'!$N$7:$N$100,'24b'!$H$7:$H$100,$A371,'24b'!$I$7:$I$100,"")+SUMIFS('24c'!$N$7:$N$100,'24c'!$H$7:$H$100,$A371,'24c'!$I$7:$I$100,"")+SUMIFS('24d'!$N$7:$N$100,'24d'!$H$7:$H$100,$A371,'24d'!$I$7:$I$100,"")+SUMIFS('24e'!$N$7:$N$100,'24e'!$H$7:$H$100,$A371,'24e'!$I$7:$I$100,"")+SUMIFS('24f'!$N$7:$N$100,'24f'!$H$7:$H$100,$A371,'24f'!$I$7:$I$100,"")+SUMIFS('24g'!$N$7:$N$100,'24g'!$H$7:$H$100,$A371,'24g'!$I$7:$I$100,"")+SUMIFS('24h'!$N$7:$N$100,'24h'!$H$7:$H$100,$A371,'24h'!$I$7:$I$100,"")+SUMIFS('24i'!$N$7:$N$100,'24i'!$H$7:$H$100,$A371,'24i'!$I$7:$I$100,"")+SUMIFS('25'!$N$7:$N$100,'25'!$H$7:$H$100,$A371,'25'!$I$7:$I$100,"")+SUMIFS('26'!$N$7:$N$100,'26'!$H$7:$H$100,$A371,'26'!$I$7:$I$100,"")+SUMIFS('26a'!$N$7:$N$100,'26a'!$H$7:$H$100,$A371,'26a'!$I$7:$I$100,"")+SUMIFS('27'!$N$7:$N$100,'27'!$H$7:$H$100,$A371,'27'!$I$7:$I$100,"")+SUMIFS('27a'!$N$7:$N$100,'27a'!$H$7:$H$100,$A371,'27a'!$I$7:$I$100,"")+SUMIFS('28'!$N$7:$N$100,'28'!$H$7:$H$100,$A371,'28'!$I$7:$I$100,"")+SUMIFS('29'!$N$7:$N$100,'29'!$H$7:$H$100,$A371,'29'!$I$7:$I$100,"")</f>
        <v>0</v>
      </c>
      <c r="F371" s="1296">
        <f t="shared" si="55"/>
        <v>0</v>
      </c>
      <c r="G371" s="1295">
        <f>SUMIFS('12'!$J$7:$J$100,'12'!$H$7:$H$100,$A371,'12'!$I$7:$I$100,1)+SUMIFS('13'!$J$7:$J$100,'13'!$H$7:$H$100,$A371,'13'!$I$7:$I$100,1)+SUMIFS('14'!$J$7:$J$100,'14'!$H$7:$H$100,$A371,'14'!$I$7:$I$100,1)+SUMIFS('15'!$J$7:$J$100,'15'!$H$7:$H$100,$A371,'15'!$I$7:$I$100,1)+SUMIFS('15a'!$J$7:$J$100,'15a'!$H$7:$H$100,$A371,'15a'!$I$7:$I$100,1)+SUMIFS('15b'!$J$7:$J$100,'15b'!$H$7:$H$100,$A371,'15b'!$I$7:$I$100,1)+SUMIFS('15c'!$J$7:$J$100,'15c'!$H$7:$H$100,$A371,'15c'!$I$7:$I$100,1)+SUMIFS('15d'!$J$7:$J$100,'15d'!$H$7:$H$100,$A371,'15d'!$I$7:$I$100,1)+SUMIFS('15e'!$J$7:$J$100,'15e'!$H$7:$H$100,$A371,'15e'!$I$7:$I$100,1)+SUMIFS('15f'!$J$7:$J$100,'15f'!$H$7:$H$100,$A371,'15f'!$I$7:$I$100,1)+SUMIFS('15g'!$J$7:$J$100,'15g'!$H$7:$H$100,$A371,'15g'!$I$7:$I$100,1)+SUMIFS('15h'!$J$7:$J$100,'15h'!$H$7:$H$100,$A371,'15h'!$I$7:$I$100,1)+SUMIFS('15i'!$J$7:$J$100,'15i'!$H$7:$H$100,$A371,'15i'!$I$7:$I$100,1)+SUMIFS('15j'!$J$7:$J$100,'15j'!$H$7:$H$100,$A371,'15j'!$I$7:$I$100,1)+SUMIFS('15k'!$J$7:$J$100,'15k'!$H$7:$H$100,$A371,'15k'!$I$7:$I$100,1)+SUMIFS('15l'!$J$7:$J$100,'15l'!$H$7:$H$100,$A371,'15l'!$I$7:$I$100,1)+SUMIFS('15m'!$J$7:$J$100,'15m'!$H$7:$H$100,$A371,'15m'!$I$7:$I$100,1)+SUMIFS('15n'!$J$7:$J$100,'15n'!$H$7:$H$100,$A371,'15n'!$I$7:$I$100,1)+SUMIFS('16'!$J$7:$J$100,'16'!$H$7:$H$100,$A371,'16'!$I$7:$I$100,1)+SUMIFS('16a'!$J$7:$J$100,'16a'!$H$7:$H$100,$A371,'16a'!$I$7:$I$100,1)+SUMIFS('17'!$J$7:$J$100,'17'!$H$7:$H$100,$A371,'17'!$I$7:$I$100,1)+SUMIFS('17a'!$J$7:$J$100,'17a'!$H$7:$H$100,$A371,'17a'!$I$7:$I$100,1)+SUMIFS('18'!$J$7:$J$100,'18'!$H$7:$H$100,$A371,'18'!$I$7:$I$100,1)+SUMIFS('18a'!$J$7:$J$100,'18a'!$H$7:$H$100,$A371,'18a'!$I$7:$I$100,1)
+SUMIFS('19'!$J$7:$J$100,'19'!$H$7:$H$100,$A371,'19'!$I$7:$I$100,1)+SUMIFS('20'!$J$7:$J$100,'20'!$H$7:$H$100,$A371,'20'!$I$7:$I$100,1)+SUMIFS('20a'!$J$7:$J$100,'20a'!$H$7:$H$100,$A371,'20a'!$I$7:$I$100,1)+SUMIFS('21'!$J$7:$J$100,'21'!$H$7:$H$100,$A371,'21'!$I$7:$I$100,1)+SUMIFS('22'!$J$7:$J$100,'22'!$H$7:$H$100,$A371,'22'!$I$7:$I$100,1)+SUMIFS('22a'!$J$7:$J$100,'22a'!$H$7:$H$100,$A371,'22a'!$I$7:$I$100,1)+SUMIFS('22b'!$J$7:$J$100,'22b'!$H$7:$H$100,$A371,'22b'!$I$7:$I$100,1)+SUMIFS('23'!$J$7:$J$100,'23'!$H$7:$H$100,$A371,'23'!$I$7:$I$100,1)+SUMIFS('24'!$J$7:$J$100,'24'!$H$7:$H$100,$A371,'24'!$I$7:$I$100,1)+SUMIFS('24a'!$J$7:$J$100,'24a'!$H$7:$H$100,$A371,'24a'!$I$7:$I$100,1)+SUMIFS('24b'!$J$7:$J$100,'24b'!$H$7:$H$100,$A371,'24b'!$I$7:$I$100,1)+SUMIFS('24c'!$J$7:$J$100,'24c'!$H$7:$H$100,$A371,'24c'!$I$7:$I$100,1)+SUMIFS('24d'!$J$7:$J$100,'24d'!$H$7:$H$100,$A371,'24d'!$I$7:$I$100,1)+SUMIFS('24e'!$J$7:$J$100,'24e'!$H$7:$H$100,$A371,'24e'!$I$7:$I$100,1)+SUMIFS('24f'!$J$7:$J$100,'24f'!$H$7:$H$100,$A371,'24f'!$I$7:$I$100,1)+SUMIFS('24g'!$J$7:$J$100,'24g'!$H$7:$H$100,$A371,'24g'!$I$7:$I$100,1)+SUMIFS('24h'!$J$7:$J$100,'24h'!$H$7:$H$100,$A371,'24h'!$I$7:$I$100,1)+SUMIFS('24i'!$J$7:$J$100,'24i'!$H$7:$H$100,$A371,'24i'!$I$7:$I$100,1)+SUMIFS('25'!$J$7:$J$100,'25'!$H$7:$H$100,$A371,'25'!$I$7:$I$100,1)+SUMIFS('26'!$J$7:$J$100,'26'!$H$7:$H$100,$A371,'26'!$I$7:$I$100,1)+SUMIFS('26a'!$J$7:$J$100,'26a'!$H$7:$H$100,$A371,'26a'!$I$7:$I$100,1)+SUMIFS('27'!$J$7:$J$100,'27'!$H$7:$H$100,$A371,'27'!$I$7:$I$100,1)+SUMIFS('27a'!$J$7:$J$100,'27a'!$H$7:$H$100,$A371,'27a'!$I$7:$I$100,1)+SUMIFS('28'!$J$7:$J$100,'28'!$H$7:$H$100,$A371,'28'!$I$7:$I$100,1)+SUMIFS('29'!$J$7:$J$100,'29'!$H$7:$H$100,$A371,'29'!$I$7:$I$100,1)</f>
        <v>0</v>
      </c>
      <c r="H371" s="1315">
        <f>SUMIFS('12'!$J$7:$J$100,'12'!$H$7:$H$100,$A371,'12'!$I$7:$I$100,2)+SUMIFS('13'!$J$7:$J$100,'13'!$H$7:$H$100,$A371,'13'!$I$7:$I$100,2)+SUMIFS('14'!$J$7:$J$100,'14'!$H$7:$H$100,$A371,'14'!$I$7:$I$100,2)+SUMIFS('15'!$J$7:$J$100,'15'!$H$7:$H$100,$A371,'15'!$I$7:$I$100,2)+SUMIFS('15a'!$J$7:$J$100,'15a'!$H$7:$H$100,$A371,'15a'!$I$7:$I$100,2)+SUMIFS('15b'!$J$7:$J$100,'15b'!$H$7:$H$100,$A371,'15b'!$I$7:$I$100,2)+SUMIFS('15c'!$J$7:$J$100,'15c'!$H$7:$H$100,$A371,'15c'!$I$7:$I$100,2)+SUMIFS('15d'!$J$7:$J$100,'15d'!$H$7:$H$100,$A371,'15d'!$I$7:$I$100,2)+SUMIFS('15e'!$J$7:$J$100,'15e'!$H$7:$H$100,$A371,'15e'!$I$7:$I$100,2)+SUMIFS('15f'!$J$7:$J$100,'15f'!$H$7:$H$100,$A371,'15f'!$I$7:$I$100,2)+SUMIFS('15g'!$J$7:$J$100,'15g'!$H$7:$H$100,$A371,'15g'!$I$7:$I$100,2)+SUMIFS('15h'!$J$7:$J$100,'15h'!$H$7:$H$100,$A371,'15h'!$I$7:$I$100,2)+SUMIFS('15i'!$J$7:$J$100,'15i'!$H$7:$H$100,$A371,'15i'!$I$7:$I$100,2)+SUMIFS('15j'!$J$7:$J$100,'15j'!$H$7:$H$100,$A371,'15j'!$I$7:$I$100,2)+SUMIFS('15k'!$J$7:$J$100,'15k'!$H$7:$H$100,$A371,'15k'!$I$7:$I$100,2)+SUMIFS('15l'!$J$7:$J$100,'15l'!$H$7:$H$100,$A371,'15l'!$I$7:$I$100,2)+SUMIFS('15m'!$J$7:$J$100,'15m'!$H$7:$H$100,$A371,'15m'!$I$7:$I$100,2)+SUMIFS('15n'!$J$7:$J$100,'15n'!$H$7:$H$100,$A371,'15n'!$I$7:$I$100,2)+SUMIFS('16'!$J$7:$J$100,'16'!$H$7:$H$100,$A371,'16'!$I$7:$I$100,2)+SUMIFS('16a'!$J$7:$J$100,'16a'!$H$7:$H$100,$A371,'16a'!$I$7:$I$100,2)+SUMIFS('17'!$J$7:$J$100,'17'!$H$7:$H$100,$A371,'17'!$I$7:$I$100,2)+SUMIFS('17a'!$J$7:$J$100,'17a'!$H$7:$H$100,$A371,'17a'!$I$7:$I$100,2)+SUMIFS('18'!$J$7:$J$100,'18'!$H$7:$H$100,$A371,'18'!$I$7:$I$100,2)+SUMIFS('18a'!$J$7:$J$100,'18a'!$H$7:$H$100,$A371,'18a'!$I$7:$I$100,2)
+SUMIFS('19'!$J$7:$J$100,'19'!$H$7:$H$100,$A371,'19'!$I$7:$I$100,2)+SUMIFS('20'!$J$7:$J$100,'20'!$H$7:$H$100,$A371,'20'!$I$7:$I$100,2)+SUMIFS('20a'!$J$7:$J$100,'20a'!$H$7:$H$100,$A371,'20a'!$I$7:$I$100,2)+SUMIFS('21'!$J$7:$J$100,'21'!$H$7:$H$100,$A371,'21'!$I$7:$I$100,2)+SUMIFS('22'!$J$7:$J$100,'22'!$H$7:$H$100,$A371,'22'!$I$7:$I$100,2)+SUMIFS('22a'!$J$7:$J$100,'22a'!$H$7:$H$100,$A371,'22a'!$I$7:$I$100,2)+SUMIFS('22b'!$J$7:$J$100,'22b'!$H$7:$H$100,$A371,'22b'!$I$7:$I$100,2)+SUMIFS('23'!$J$7:$J$100,'23'!$H$7:$H$100,$A371,'23'!$I$7:$I$100,2)+SUMIFS('24'!$J$7:$J$100,'24'!$H$7:$H$100,$A371,'24'!$I$7:$I$100,2)+SUMIFS('24a'!$J$7:$J$100,'24a'!$H$7:$H$100,$A371,'24a'!$I$7:$I$100,2)+SUMIFS('24b'!$J$7:$J$100,'24b'!$H$7:$H$100,$A371,'24b'!$I$7:$I$100,2)+SUMIFS('24c'!$J$7:$J$100,'24c'!$H$7:$H$100,$A371,'24c'!$I$7:$I$100,2)+SUMIFS('24d'!$J$7:$J$100,'24d'!$H$7:$H$100,$A371,'24d'!$I$7:$I$100,2)+SUMIFS('24e'!$J$7:$J$100,'24e'!$H$7:$H$100,$A371,'24e'!$I$7:$I$100,2)+SUMIFS('24f'!$J$7:$J$100,'24f'!$H$7:$H$100,$A371,'24f'!$I$7:$I$100,2)+SUMIFS('24g'!$J$7:$J$100,'24g'!$H$7:$H$100,$A371,'24g'!$I$7:$I$100,2)+SUMIFS('24h'!$J$7:$J$100,'24h'!$H$7:$H$100,$A371,'24h'!$I$7:$I$100,2)+SUMIFS('24i'!$J$7:$J$100,'24i'!$H$7:$H$100,$A371,'24i'!$I$7:$I$100,2)+SUMIFS('25'!$J$7:$J$100,'25'!$H$7:$H$100,$A371,'25'!$I$7:$I$100,2)+SUMIFS('26'!$J$7:$J$100,'26'!$H$7:$H$100,$A371,'26'!$I$7:$I$100,2)+SUMIFS('26a'!$J$7:$J$100,'26a'!$H$7:$H$100,$A371,'26a'!$I$7:$I$100,2)+SUMIFS('27'!$J$7:$J$100,'27'!$H$7:$H$100,$A371,'27'!$I$7:$I$100,2)+SUMIFS('27a'!$J$7:$J$100,'27a'!$H$7:$H$100,$A371,'27a'!$I$7:$I$100,2)+SUMIFS('28'!$J$7:$J$100,'28'!$H$7:$H$100,$A371,'28'!$I$7:$I$100,2)+SUMIFS('29'!$J$7:$J$100,'29'!$H$7:$H$100,$A371,'29'!$I$7:$I$100,2)</f>
        <v>0</v>
      </c>
      <c r="I371" s="1315">
        <f>SUMIFS('12'!$J$7:$J$100,'12'!$H$7:$H$100,$A371,'12'!$I$7:$I$100,"")+SUMIFS('13'!$J$7:$J$100,'13'!$H$7:$H$100,$A371,'13'!$I$7:$I$100,"")+SUMIFS('14'!$J$7:$J$100,'14'!$H$7:$H$100,$A371,'14'!$I$7:$I$100,"")+SUMIFS('15'!$J$7:$J$100,'15'!$H$7:$H$100,$A371,'15'!$I$7:$I$100,"")+SUMIFS('15a'!$J$7:$J$100,'15a'!$H$7:$H$100,$A371,'15a'!$I$7:$I$100,"")+SUMIFS('15b'!$J$7:$J$100,'15b'!$H$7:$H$100,$A371,'15b'!$I$7:$I$100,"")+SUMIFS('15c'!$J$7:$J$100,'15c'!$H$7:$H$100,$A371,'15c'!$I$7:$I$100,"")+SUMIFS('15d'!$J$7:$J$100,'15d'!$H$7:$H$100,$A371,'15d'!$I$7:$I$100,"")+SUMIFS('15e'!$J$7:$J$100,'15e'!$H$7:$H$100,$A371,'15e'!$I$7:$I$100,"")+SUMIFS('15f'!$J$7:$J$100,'15f'!$H$7:$H$100,$A371,'15f'!$I$7:$I$100,"")+SUMIFS('15g'!$J$7:$J$100,'15g'!$H$7:$H$100,$A371,'15g'!$I$7:$I$100,"")+SUMIFS('15h'!$J$7:$J$100,'15h'!$H$7:$H$100,$A371,'15h'!$I$7:$I$100,"")+SUMIFS('15i'!$J$7:$J$100,'15i'!$H$7:$H$100,$A371,'15i'!$I$7:$I$100,"")+SUMIFS('15j'!$J$7:$J$100,'15j'!$H$7:$H$100,$A371,'15j'!$I$7:$I$100,"")+SUMIFS('15k'!$J$7:$J$100,'15k'!$H$7:$H$100,$A371,'15k'!$I$7:$I$100,"")+SUMIFS('15l'!$J$7:$J$100,'15l'!$H$7:$H$100,$A371,'15l'!$I$7:$I$100,"")+SUMIFS('15m'!$J$7:$J$100,'15m'!$H$7:$H$100,$A371,'15m'!$I$7:$I$100,"")+SUMIFS('15n'!$J$7:$J$100,'15n'!$H$7:$H$100,$A371,'15n'!$I$7:$I$100,"")+SUMIFS('16'!$J$7:$J$100,'16'!$H$7:$H$100,$A371,'16'!$I$7:$I$100,"")+SUMIFS('16a'!$J$7:$J$100,'16a'!$H$7:$H$100,$A371,'16a'!$I$7:$I$100,"")+SUMIFS('17'!$J$7:$J$100,'17'!$H$7:$H$100,$A371,'17'!$I$7:$I$100,"")+SUMIFS('17a'!$J$7:$J$100,'17a'!$H$7:$H$100,$A371,'17a'!$I$7:$I$100,"")+SUMIFS('18'!$J$7:$J$100,'18'!$H$7:$H$100,$A371,'18'!$I$7:$I$100,"")+SUMIFS('18a'!$J$7:$J$100,'18a'!$H$7:$H$100,$A371,'18a'!$I$7:$I$100,"")
+SUMIFS('19'!$J$7:$J$100,'19'!$H$7:$H$100,$A371,'19'!$I$7:$I$100,"")+SUMIFS('20'!$J$7:$J$100,'20'!$H$7:$H$100,$A371,'20'!$I$7:$I$100,"")+SUMIFS('20a'!$J$7:$J$100,'20a'!$H$7:$H$100,$A371,'20a'!$I$7:$I$100,"")+SUMIFS('21'!$J$7:$J$100,'21'!$H$7:$H$100,$A371,'21'!$I$7:$I$100,"")+SUMIFS('22'!$J$7:$J$100,'22'!$H$7:$H$100,$A371,'22'!$I$7:$I$100,"")+SUMIFS('22a'!$J$7:$J$100,'22a'!$H$7:$H$100,$A371,'22a'!$I$7:$I$100,"")+SUMIFS('22b'!$J$7:$J$100,'22b'!$H$7:$H$100,$A371,'22b'!$I$7:$I$100,"")+SUMIFS('23'!$J$7:$J$100,'23'!$H$7:$H$100,$A371,'23'!$I$7:$I$100,"")+SUMIFS('24'!$J$7:$J$100,'24'!$H$7:$H$100,$A371,'24'!$I$7:$I$100,"")+SUMIFS('24a'!$J$7:$J$100,'24a'!$H$7:$H$100,$A371,'24a'!$I$7:$I$100,"")+SUMIFS('24b'!$J$7:$J$100,'24b'!$H$7:$H$100,$A371,'24b'!$I$7:$I$100,"")+SUMIFS('24c'!$J$7:$J$100,'24c'!$H$7:$H$100,$A371,'24c'!$I$7:$I$100,"")+SUMIFS('24d'!$J$7:$J$100,'24d'!$H$7:$H$100,$A371,'24d'!$I$7:$I$100,"")+SUMIFS('24e'!$J$7:$J$100,'24e'!$H$7:$H$100,$A371,'24e'!$I$7:$I$100,"")+SUMIFS('24f'!$J$7:$J$100,'24f'!$H$7:$H$100,$A371,'24f'!$I$7:$I$100,"")+SUMIFS('24g'!$J$7:$J$100,'24g'!$H$7:$H$100,$A371,'24g'!$I$7:$I$100,"")+SUMIFS('24h'!$J$7:$J$100,'24h'!$H$7:$H$100,$A371,'24h'!$I$7:$I$100,"")+SUMIFS('24i'!$J$7:$J$100,'24i'!$H$7:$H$100,$A371,'24i'!$I$7:$I$100,"")+SUMIFS('25'!$J$7:$J$100,'25'!$H$7:$H$100,$A371,'25'!$I$7:$I$100,"")+SUMIFS('26'!$J$7:$J$100,'26'!$H$7:$H$100,$A371,'26'!$I$7:$I$100,"")+SUMIFS('26a'!$J$7:$J$100,'26a'!$H$7:$H$100,$A371,'26a'!$I$7:$I$100,"")+SUMIFS('27'!$J$7:$J$100,'27'!$H$7:$H$100,$A371,'27'!$I$7:$I$100,"")+SUMIFS('27a'!$J$7:$J$100,'27a'!$H$7:$H$100,$A371,'27a'!$I$7:$I$100,"")+SUMIFS('28'!$J$7:$J$100,'28'!$H$7:$H$100,$A371,'28'!$I$7:$I$100,"")+SUMIFS('29'!$J$7:$J$100,'29'!$H$7:$H$100,$A371,'29'!$I$7:$I$100,"")</f>
        <v>0</v>
      </c>
      <c r="J371" s="1296">
        <f t="shared" si="56"/>
        <v>0</v>
      </c>
      <c r="K371"/>
      <c r="L371"/>
      <c r="M371"/>
      <c r="N371"/>
      <c r="O371"/>
      <c r="P371"/>
      <c r="Q371"/>
      <c r="R371"/>
      <c r="S371" s="1307">
        <f t="shared" si="48"/>
        <v>0</v>
      </c>
      <c r="T371"/>
    </row>
    <row r="372" spans="1:20" x14ac:dyDescent="0.2">
      <c r="A372" t="s">
        <v>5099</v>
      </c>
      <c r="B372" t="s">
        <v>5396</v>
      </c>
      <c r="C372" s="1295">
        <f>SUMIFS('12'!$N$7:$N$100,'12'!$H$7:$H$100,$A372,'12'!$I$7:$I$100,1)+SUMIFS('13'!$N$7:$N$100,'13'!$H$7:$H$100,$A372,'13'!$I$7:$I$100,1)+SUMIFS('14'!$N$7:$N$100,'14'!$H$7:$H$100,$A372,'14'!$I$7:$I$100,1)+SUMIFS('15'!$N$7:$N$100,'15'!$H$7:$H$100,$A372,'15'!$I$7:$I$100,1)+SUMIFS('15a'!$N$7:$N$100,'15a'!$H$7:$H$100,$A372,'15a'!$I$7:$I$100,1)+SUMIFS('15b'!$N$7:$N$100,'15b'!$H$7:$H$100,$A372,'15b'!$I$7:$I$100,1)+SUMIFS('15c'!$N$7:$N$100,'15c'!$H$7:$H$100,$A372,'15c'!$I$7:$I$100,1)+SUMIFS('15d'!$N$7:$N$100,'15d'!$H$7:$H$100,$A372,'15d'!$I$7:$I$100,1)+SUMIFS('15e'!$N$7:$N$100,'15e'!$H$7:$H$100,$A372,'15e'!$I$7:$I$100,1)+SUMIFS('15f'!$N$7:$N$100,'15f'!$H$7:$H$100,$A372,'15f'!$I$7:$I$100,1)+SUMIFS('15g'!$N$7:$N$100,'15g'!$H$7:$H$100,$A372,'15g'!$I$7:$I$100,1)+SUMIFS('15h'!$N$7:$N$100,'15h'!$H$7:$H$100,$A372,'15h'!$I$7:$I$100,1)+SUMIFS('15i'!$N$7:$N$100,'15i'!$H$7:$H$100,$A372,'15i'!$I$7:$I$100,1)+SUMIFS('15j'!$N$7:$N$100,'15j'!$H$7:$H$100,$A372,'15j'!$I$7:$I$100,1)+SUMIFS('15k'!$N$7:$N$100,'15k'!$H$7:$H$100,$A372,'15k'!$I$7:$I$100,1)+SUMIFS('15l'!$N$7:$N$100,'15l'!$H$7:$H$100,$A372,'15l'!$I$7:$I$100,1)+SUMIFS('15m'!$N$7:$N$100,'15m'!$H$7:$H$100,$A372,'15m'!$I$7:$I$100,1)+SUMIFS('15n'!$N$7:$N$100,'15n'!$H$7:$H$100,$A372,'15n'!$I$7:$I$100,1)+SUMIFS('16'!$N$7:$N$100,'16'!$H$7:$H$100,$A372,'16'!$I$7:$I$100,1)+SUMIFS('16a'!$N$7:$N$100,'16a'!$H$7:$H$100,$A372,'16a'!$I$7:$I$100,1)+SUMIFS('17'!$N$7:$N$100,'17'!$H$7:$H$100,$A372,'17'!$I$7:$I$100,1)+SUMIFS('17a'!$N$7:$N$100,'17a'!$H$7:$H$100,$A372,'17a'!$I$7:$I$100,1)+SUMIFS('18'!$N$7:$N$100,'18'!$H$7:$H$100,$A372,'18'!$I$7:$I$100,1)+SUMIFS('18a'!$N$7:$N$100,'18a'!$H$7:$H$100,$A372,'18a'!$I$7:$I$100,1)
+SUMIFS('19'!$N$7:$N$100,'19'!$H$7:$H$100,$A372,'19'!$I$7:$I$100,1)+SUMIFS('20'!$N$7:$N$100,'20'!$H$7:$H$100,$A372,'20'!$I$7:$I$100,1)+SUMIFS('20a'!$N$7:$N$100,'20a'!$H$7:$H$100,$A372,'20a'!$I$7:$I$100,1)+SUMIFS('21'!$N$7:$N$100,'21'!$H$7:$H$100,$A372,'21'!$I$7:$I$100,1)+SUMIFS('22'!$N$7:$N$100,'22'!$H$7:$H$100,$A372,'22'!$I$7:$I$100,1)+SUMIFS('22a'!$N$7:$N$100,'22a'!$H$7:$H$100,$A372,'22a'!$I$7:$I$100,1)+SUMIFS('22b'!$N$7:$N$100,'22b'!$H$7:$H$100,$A372,'22b'!$I$7:$I$100,1)+SUMIFS('23'!$N$7:$N$100,'23'!$H$7:$H$100,$A372,'23'!$I$7:$I$100,1)+SUMIFS('24'!$N$7:$N$100,'24'!$H$7:$H$100,$A372,'24'!$I$7:$I$100,1)+SUMIFS('24a'!$N$7:$N$100,'24a'!$H$7:$H$100,$A372,'24a'!$I$7:$I$100,1)+SUMIFS('24b'!$N$7:$N$100,'24b'!$H$7:$H$100,$A372,'24b'!$I$7:$I$100,1)+SUMIFS('24c'!$N$7:$N$100,'24c'!$H$7:$H$100,$A372,'24c'!$I$7:$I$100,1)+SUMIFS('24d'!$N$7:$N$100,'24d'!$H$7:$H$100,$A372,'24d'!$I$7:$I$100,1)+SUMIFS('24e'!$N$7:$N$100,'24e'!$H$7:$H$100,$A372,'24e'!$I$7:$I$100,1)+SUMIFS('24f'!$N$7:$N$100,'24f'!$H$7:$H$100,$A372,'24f'!$I$7:$I$100,1)+SUMIFS('24g'!$N$7:$N$100,'24g'!$H$7:$H$100,$A372,'24g'!$I$7:$I$100,1)+SUMIFS('24h'!$N$7:$N$100,'24h'!$H$7:$H$100,$A372,'24h'!$I$7:$I$100,1)+SUMIFS('24i'!$N$7:$N$100,'24i'!$H$7:$H$100,$A372,'24i'!$I$7:$I$100,1)+SUMIFS('25'!$N$7:$N$100,'25'!$H$7:$H$100,$A372,'25'!$I$7:$I$100,1)+SUMIFS('26'!$N$7:$N$100,'26'!$H$7:$H$100,$A372,'26'!$I$7:$I$100,1)+SUMIFS('26a'!$N$7:$N$100,'26a'!$H$7:$H$100,$A372,'26a'!$I$7:$I$100,1)+SUMIFS('27'!$N$7:$N$100,'27'!$H$7:$H$100,$A372,'27'!$I$7:$I$100,1)+SUMIFS('27a'!$N$7:$N$100,'27a'!$H$7:$H$100,$A372,'27a'!$I$7:$I$100,1)+SUMIFS('28'!$N$7:$N$100,'28'!$H$7:$H$100,$A372,'28'!$I$7:$I$100,1)+SUMIFS('29'!$N$7:$N$100,'29'!$H$7:$H$100,$A372,'29'!$I$7:$I$100,1)</f>
        <v>0</v>
      </c>
      <c r="D372" s="1315">
        <f>SUMIFS('12'!$N$7:$N$100,'12'!$H$7:$H$100,$A372,'12'!$I$7:$I$100,2)+SUMIFS('13'!$N$7:$N$100,'13'!$H$7:$H$100,$A372,'13'!$I$7:$I$100,2)+SUMIFS('14'!$N$7:$N$100,'14'!$H$7:$H$100,$A372,'14'!$I$7:$I$100,2)+SUMIFS('15'!$N$7:$N$100,'15'!$H$7:$H$100,$A372,'15'!$I$7:$I$100,2)+SUMIFS('15a'!$N$7:$N$100,'15a'!$H$7:$H$100,$A372,'15a'!$I$7:$I$100,2)+SUMIFS('15b'!$N$7:$N$100,'15b'!$H$7:$H$100,$A372,'15b'!$I$7:$I$100,2)+SUMIFS('15c'!$N$7:$N$100,'15c'!$H$7:$H$100,$A372,'15c'!$I$7:$I$100,2)+SUMIFS('15d'!$N$7:$N$100,'15d'!$H$7:$H$100,$A372,'15d'!$I$7:$I$100,2)+SUMIFS('15e'!$N$7:$N$100,'15e'!$H$7:$H$100,$A372,'15e'!$I$7:$I$100,2)+SUMIFS('15f'!$N$7:$N$100,'15f'!$H$7:$H$100,$A372,'15f'!$I$7:$I$100,2)+SUMIFS('15g'!$N$7:$N$100,'15g'!$H$7:$H$100,$A372,'15g'!$I$7:$I$100,2)+SUMIFS('15h'!$N$7:$N$100,'15h'!$H$7:$H$100,$A372,'15h'!$I$7:$I$100,2)+SUMIFS('15i'!$N$7:$N$100,'15i'!$H$7:$H$100,$A372,'15i'!$I$7:$I$100,2)+SUMIFS('15j'!$N$7:$N$100,'15j'!$H$7:$H$100,$A372,'15j'!$I$7:$I$100,2)+SUMIFS('15k'!$N$7:$N$100,'15k'!$H$7:$H$100,$A372,'15k'!$I$7:$I$100,2)+SUMIFS('15l'!$N$7:$N$100,'15l'!$H$7:$H$100,$A372,'15l'!$I$7:$I$100,2)+SUMIFS('15m'!$N$7:$N$100,'15m'!$H$7:$H$100,$A372,'15m'!$I$7:$I$100,2)+SUMIFS('15n'!$N$7:$N$100,'15n'!$H$7:$H$100,$A372,'15n'!$I$7:$I$100,2)+SUMIFS('16'!$N$7:$N$100,'16'!$H$7:$H$100,$A372,'16'!$I$7:$I$100,2)+SUMIFS('16a'!$N$7:$N$100,'16a'!$H$7:$H$100,$A372,'16a'!$I$7:$I$100,2)+SUMIFS('17'!$N$7:$N$100,'17'!$H$7:$H$100,$A372,'17'!$I$7:$I$100,2)+SUMIFS('17a'!$N$7:$N$100,'17a'!$H$7:$H$100,$A372,'17a'!$I$7:$I$100,2)+SUMIFS('18'!$N$7:$N$100,'18'!$H$7:$H$100,$A372,'18'!$I$7:$I$100,2)+SUMIFS('18a'!$N$7:$N$100,'18a'!$H$7:$H$100,$A372,'18a'!$I$7:$I$100,2)
+SUMIFS('19'!$N$7:$N$100,'19'!$H$7:$H$100,$A372,'19'!$I$7:$I$100,2)+SUMIFS('20'!$N$7:$N$100,'20'!$H$7:$H$100,$A372,'20'!$I$7:$I$100,2)+SUMIFS('20a'!$N$7:$N$100,'20a'!$H$7:$H$100,$A372,'20a'!$I$7:$I$100,2)+SUMIFS('21'!$N$7:$N$100,'21'!$H$7:$H$100,$A372,'21'!$I$7:$I$100,2)+SUMIFS('22'!$N$7:$N$100,'22'!$H$7:$H$100,$A372,'22'!$I$7:$I$100,2)+SUMIFS('22a'!$N$7:$N$100,'22a'!$H$7:$H$100,$A372,'22a'!$I$7:$I$100,2)+SUMIFS('22b'!$N$7:$N$100,'22b'!$H$7:$H$100,$A372,'22b'!$I$7:$I$100,2)+SUMIFS('23'!$N$7:$N$100,'23'!$H$7:$H$100,$A372,'23'!$I$7:$I$100,2)+SUMIFS('24'!$N$7:$N$100,'24'!$H$7:$H$100,$A372,'24'!$I$7:$I$100,2)+SUMIFS('24a'!$N$7:$N$100,'24a'!$H$7:$H$100,$A372,'24a'!$I$7:$I$100,2)+SUMIFS('24b'!$N$7:$N$100,'24b'!$H$7:$H$100,$A372,'24b'!$I$7:$I$100,2)+SUMIFS('24c'!$N$7:$N$100,'24c'!$H$7:$H$100,$A372,'24c'!$I$7:$I$100,2)+SUMIFS('24d'!$N$7:$N$100,'24d'!$H$7:$H$100,$A372,'24d'!$I$7:$I$100,2)+SUMIFS('24e'!$N$7:$N$100,'24e'!$H$7:$H$100,$A372,'24e'!$I$7:$I$100,2)+SUMIFS('24f'!$N$7:$N$100,'24f'!$H$7:$H$100,$A372,'24f'!$I$7:$I$100,2)+SUMIFS('24g'!$N$7:$N$100,'24g'!$H$7:$H$100,$A372,'24g'!$I$7:$I$100,2)+SUMIFS('24h'!$N$7:$N$100,'24h'!$H$7:$H$100,$A372,'24h'!$I$7:$I$100,2)+SUMIFS('24i'!$N$7:$N$100,'24i'!$H$7:$H$100,$A372,'24i'!$I$7:$I$100,2)+SUMIFS('25'!$N$7:$N$100,'25'!$H$7:$H$100,$A372,'25'!$I$7:$I$100,2)+SUMIFS('26'!$N$7:$N$100,'26'!$H$7:$H$100,$A372,'26'!$I$7:$I$100,2)+SUMIFS('26a'!$N$7:$N$100,'26a'!$H$7:$H$100,$A372,'26a'!$I$7:$I$100,2)+SUMIFS('27'!$N$7:$N$100,'27'!$H$7:$H$100,$A372,'27'!$I$7:$I$100,2)+SUMIFS('27a'!$N$7:$N$100,'27a'!$H$7:$H$100,$A372,'27a'!$I$7:$I$100,2)+SUMIFS('28'!$N$7:$N$100,'28'!$H$7:$H$100,$A372,'28'!$I$7:$I$100,2)+SUMIFS('29'!$N$7:$N$100,'29'!$H$7:$H$100,$A372,'29'!$I$7:$I$100,2)</f>
        <v>0</v>
      </c>
      <c r="E372" s="1315">
        <f>SUMIFS('12'!$N$7:$N$100,'12'!$H$7:$H$100,$A372,'12'!$I$7:$I$100,"")+SUMIFS('13'!$N$7:$N$100,'13'!$H$7:$H$100,$A372,'13'!$I$7:$I$100,"")+SUMIFS('14'!$N$7:$N$100,'14'!$H$7:$H$100,$A372,'14'!$I$7:$I$100,"")+SUMIFS('15'!$N$7:$N$100,'15'!$H$7:$H$100,$A372,'15'!$I$7:$I$100,"")+SUMIFS('15a'!$N$7:$N$100,'15a'!$H$7:$H$100,$A372,'15a'!$I$7:$I$100,"")+SUMIFS('15b'!$N$7:$N$100,'15b'!$H$7:$H$100,$A372,'15b'!$I$7:$I$100,"")+SUMIFS('15c'!$N$7:$N$100,'15c'!$H$7:$H$100,$A372,'15c'!$I$7:$I$100,"")+SUMIFS('15d'!$N$7:$N$100,'15d'!$H$7:$H$100,$A372,'15d'!$I$7:$I$100,"")+SUMIFS('15e'!$N$7:$N$100,'15e'!$H$7:$H$100,$A372,'15e'!$I$7:$I$100,"")+SUMIFS('15f'!$N$7:$N$100,'15f'!$H$7:$H$100,$A372,'15f'!$I$7:$I$100,"")+SUMIFS('15g'!$N$7:$N$100,'15g'!$H$7:$H$100,$A372,'15g'!$I$7:$I$100,"")+SUMIFS('15h'!$N$7:$N$100,'15h'!$H$7:$H$100,$A372,'15h'!$I$7:$I$100,"")+SUMIFS('15i'!$N$7:$N$100,'15i'!$H$7:$H$100,$A372,'15i'!$I$7:$I$100,"")+SUMIFS('15j'!$N$7:$N$100,'15j'!$H$7:$H$100,$A372,'15j'!$I$7:$I$100,"")+SUMIFS('15k'!$N$7:$N$100,'15k'!$H$7:$H$100,$A372,'15k'!$I$7:$I$100,"")+SUMIFS('15l'!$N$7:$N$100,'15l'!$H$7:$H$100,$A372,'15l'!$I$7:$I$100,"")+SUMIFS('15m'!$N$7:$N$100,'15m'!$H$7:$H$100,$A372,'15m'!$I$7:$I$100,"")+SUMIFS('15n'!$N$7:$N$100,'15n'!$H$7:$H$100,$A372,'15n'!$I$7:$I$100,"")+SUMIFS('16'!$N$7:$N$100,'16'!$H$7:$H$100,$A372,'16'!$I$7:$I$100,"")+SUMIFS('16a'!$N$7:$N$100,'16a'!$H$7:$H$100,$A372,'16a'!$I$7:$I$100,"")+SUMIFS('17'!$N$7:$N$100,'17'!$H$7:$H$100,$A372,'17'!$I$7:$I$100,"")+SUMIFS('17a'!$N$7:$N$100,'17a'!$H$7:$H$100,$A372,'17a'!$I$7:$I$100,"")+SUMIFS('18'!$N$7:$N$100,'18'!$H$7:$H$100,$A372,'18'!$I$7:$I$100,"")+SUMIFS('18a'!$N$7:$N$100,'18a'!$H$7:$H$100,$A372,'18a'!$I$7:$I$100,"")
+SUMIFS('19'!$N$7:$N$100,'19'!$H$7:$H$100,$A372,'19'!$I$7:$I$100,"")+SUMIFS('20'!$N$7:$N$100,'20'!$H$7:$H$100,$A372,'20'!$I$7:$I$100,"")+SUMIFS('20a'!$N$7:$N$100,'20a'!$H$7:$H$100,$A372,'20a'!$I$7:$I$100,"")+SUMIFS('21'!$N$7:$N$100,'21'!$H$7:$H$100,$A372,'21'!$I$7:$I$100,"")+SUMIFS('22'!$N$7:$N$100,'22'!$H$7:$H$100,$A372,'22'!$I$7:$I$100,"")+SUMIFS('22a'!$N$7:$N$100,'22a'!$H$7:$H$100,$A372,'22a'!$I$7:$I$100,"")+SUMIFS('22b'!$N$7:$N$100,'22b'!$H$7:$H$100,$A372,'22b'!$I$7:$I$100,"")+SUMIFS('23'!$N$7:$N$100,'23'!$H$7:$H$100,$A372,'23'!$I$7:$I$100,"")+SUMIFS('24'!$N$7:$N$100,'24'!$H$7:$H$100,$A372,'24'!$I$7:$I$100,"")+SUMIFS('24a'!$N$7:$N$100,'24a'!$H$7:$H$100,$A372,'24a'!$I$7:$I$100,"")+SUMIFS('24b'!$N$7:$N$100,'24b'!$H$7:$H$100,$A372,'24b'!$I$7:$I$100,"")+SUMIFS('24c'!$N$7:$N$100,'24c'!$H$7:$H$100,$A372,'24c'!$I$7:$I$100,"")+SUMIFS('24d'!$N$7:$N$100,'24d'!$H$7:$H$100,$A372,'24d'!$I$7:$I$100,"")+SUMIFS('24e'!$N$7:$N$100,'24e'!$H$7:$H$100,$A372,'24e'!$I$7:$I$100,"")+SUMIFS('24f'!$N$7:$N$100,'24f'!$H$7:$H$100,$A372,'24f'!$I$7:$I$100,"")+SUMIFS('24g'!$N$7:$N$100,'24g'!$H$7:$H$100,$A372,'24g'!$I$7:$I$100,"")+SUMIFS('24h'!$N$7:$N$100,'24h'!$H$7:$H$100,$A372,'24h'!$I$7:$I$100,"")+SUMIFS('24i'!$N$7:$N$100,'24i'!$H$7:$H$100,$A372,'24i'!$I$7:$I$100,"")+SUMIFS('25'!$N$7:$N$100,'25'!$H$7:$H$100,$A372,'25'!$I$7:$I$100,"")+SUMIFS('26'!$N$7:$N$100,'26'!$H$7:$H$100,$A372,'26'!$I$7:$I$100,"")+SUMIFS('26a'!$N$7:$N$100,'26a'!$H$7:$H$100,$A372,'26a'!$I$7:$I$100,"")+SUMIFS('27'!$N$7:$N$100,'27'!$H$7:$H$100,$A372,'27'!$I$7:$I$100,"")+SUMIFS('27a'!$N$7:$N$100,'27a'!$H$7:$H$100,$A372,'27a'!$I$7:$I$100,"")+SUMIFS('28'!$N$7:$N$100,'28'!$H$7:$H$100,$A372,'28'!$I$7:$I$100,"")+SUMIFS('29'!$N$7:$N$100,'29'!$H$7:$H$100,$A372,'29'!$I$7:$I$100,"")</f>
        <v>0</v>
      </c>
      <c r="F372" s="1296">
        <f t="shared" si="55"/>
        <v>0</v>
      </c>
      <c r="G372" s="1295">
        <f>SUMIFS('12'!$J$7:$J$100,'12'!$H$7:$H$100,$A372,'12'!$I$7:$I$100,1)+SUMIFS('13'!$J$7:$J$100,'13'!$H$7:$H$100,$A372,'13'!$I$7:$I$100,1)+SUMIFS('14'!$J$7:$J$100,'14'!$H$7:$H$100,$A372,'14'!$I$7:$I$100,1)+SUMIFS('15'!$J$7:$J$100,'15'!$H$7:$H$100,$A372,'15'!$I$7:$I$100,1)+SUMIFS('15a'!$J$7:$J$100,'15a'!$H$7:$H$100,$A372,'15a'!$I$7:$I$100,1)+SUMIFS('15b'!$J$7:$J$100,'15b'!$H$7:$H$100,$A372,'15b'!$I$7:$I$100,1)+SUMIFS('15c'!$J$7:$J$100,'15c'!$H$7:$H$100,$A372,'15c'!$I$7:$I$100,1)+SUMIFS('15d'!$J$7:$J$100,'15d'!$H$7:$H$100,$A372,'15d'!$I$7:$I$100,1)+SUMIFS('15e'!$J$7:$J$100,'15e'!$H$7:$H$100,$A372,'15e'!$I$7:$I$100,1)+SUMIFS('15f'!$J$7:$J$100,'15f'!$H$7:$H$100,$A372,'15f'!$I$7:$I$100,1)+SUMIFS('15g'!$J$7:$J$100,'15g'!$H$7:$H$100,$A372,'15g'!$I$7:$I$100,1)+SUMIFS('15h'!$J$7:$J$100,'15h'!$H$7:$H$100,$A372,'15h'!$I$7:$I$100,1)+SUMIFS('15i'!$J$7:$J$100,'15i'!$H$7:$H$100,$A372,'15i'!$I$7:$I$100,1)+SUMIFS('15j'!$J$7:$J$100,'15j'!$H$7:$H$100,$A372,'15j'!$I$7:$I$100,1)+SUMIFS('15k'!$J$7:$J$100,'15k'!$H$7:$H$100,$A372,'15k'!$I$7:$I$100,1)+SUMIFS('15l'!$J$7:$J$100,'15l'!$H$7:$H$100,$A372,'15l'!$I$7:$I$100,1)+SUMIFS('15m'!$J$7:$J$100,'15m'!$H$7:$H$100,$A372,'15m'!$I$7:$I$100,1)+SUMIFS('15n'!$J$7:$J$100,'15n'!$H$7:$H$100,$A372,'15n'!$I$7:$I$100,1)+SUMIFS('16'!$J$7:$J$100,'16'!$H$7:$H$100,$A372,'16'!$I$7:$I$100,1)+SUMIFS('16a'!$J$7:$J$100,'16a'!$H$7:$H$100,$A372,'16a'!$I$7:$I$100,1)+SUMIFS('17'!$J$7:$J$100,'17'!$H$7:$H$100,$A372,'17'!$I$7:$I$100,1)+SUMIFS('17a'!$J$7:$J$100,'17a'!$H$7:$H$100,$A372,'17a'!$I$7:$I$100,1)+SUMIFS('18'!$J$7:$J$100,'18'!$H$7:$H$100,$A372,'18'!$I$7:$I$100,1)+SUMIFS('18a'!$J$7:$J$100,'18a'!$H$7:$H$100,$A372,'18a'!$I$7:$I$100,1)
+SUMIFS('19'!$J$7:$J$100,'19'!$H$7:$H$100,$A372,'19'!$I$7:$I$100,1)+SUMIFS('20'!$J$7:$J$100,'20'!$H$7:$H$100,$A372,'20'!$I$7:$I$100,1)+SUMIFS('20a'!$J$7:$J$100,'20a'!$H$7:$H$100,$A372,'20a'!$I$7:$I$100,1)+SUMIFS('21'!$J$7:$J$100,'21'!$H$7:$H$100,$A372,'21'!$I$7:$I$100,1)+SUMIFS('22'!$J$7:$J$100,'22'!$H$7:$H$100,$A372,'22'!$I$7:$I$100,1)+SUMIFS('22a'!$J$7:$J$100,'22a'!$H$7:$H$100,$A372,'22a'!$I$7:$I$100,1)+SUMIFS('22b'!$J$7:$J$100,'22b'!$H$7:$H$100,$A372,'22b'!$I$7:$I$100,1)+SUMIFS('23'!$J$7:$J$100,'23'!$H$7:$H$100,$A372,'23'!$I$7:$I$100,1)+SUMIFS('24'!$J$7:$J$100,'24'!$H$7:$H$100,$A372,'24'!$I$7:$I$100,1)+SUMIFS('24a'!$J$7:$J$100,'24a'!$H$7:$H$100,$A372,'24a'!$I$7:$I$100,1)+SUMIFS('24b'!$J$7:$J$100,'24b'!$H$7:$H$100,$A372,'24b'!$I$7:$I$100,1)+SUMIFS('24c'!$J$7:$J$100,'24c'!$H$7:$H$100,$A372,'24c'!$I$7:$I$100,1)+SUMIFS('24d'!$J$7:$J$100,'24d'!$H$7:$H$100,$A372,'24d'!$I$7:$I$100,1)+SUMIFS('24e'!$J$7:$J$100,'24e'!$H$7:$H$100,$A372,'24e'!$I$7:$I$100,1)+SUMIFS('24f'!$J$7:$J$100,'24f'!$H$7:$H$100,$A372,'24f'!$I$7:$I$100,1)+SUMIFS('24g'!$J$7:$J$100,'24g'!$H$7:$H$100,$A372,'24g'!$I$7:$I$100,1)+SUMIFS('24h'!$J$7:$J$100,'24h'!$H$7:$H$100,$A372,'24h'!$I$7:$I$100,1)+SUMIFS('24i'!$J$7:$J$100,'24i'!$H$7:$H$100,$A372,'24i'!$I$7:$I$100,1)+SUMIFS('25'!$J$7:$J$100,'25'!$H$7:$H$100,$A372,'25'!$I$7:$I$100,1)+SUMIFS('26'!$J$7:$J$100,'26'!$H$7:$H$100,$A372,'26'!$I$7:$I$100,1)+SUMIFS('26a'!$J$7:$J$100,'26a'!$H$7:$H$100,$A372,'26a'!$I$7:$I$100,1)+SUMIFS('27'!$J$7:$J$100,'27'!$H$7:$H$100,$A372,'27'!$I$7:$I$100,1)+SUMIFS('27a'!$J$7:$J$100,'27a'!$H$7:$H$100,$A372,'27a'!$I$7:$I$100,1)+SUMIFS('28'!$J$7:$J$100,'28'!$H$7:$H$100,$A372,'28'!$I$7:$I$100,1)+SUMIFS('29'!$J$7:$J$100,'29'!$H$7:$H$100,$A372,'29'!$I$7:$I$100,1)</f>
        <v>0</v>
      </c>
      <c r="H372" s="1315">
        <f>SUMIFS('12'!$J$7:$J$100,'12'!$H$7:$H$100,$A372,'12'!$I$7:$I$100,2)+SUMIFS('13'!$J$7:$J$100,'13'!$H$7:$H$100,$A372,'13'!$I$7:$I$100,2)+SUMIFS('14'!$J$7:$J$100,'14'!$H$7:$H$100,$A372,'14'!$I$7:$I$100,2)+SUMIFS('15'!$J$7:$J$100,'15'!$H$7:$H$100,$A372,'15'!$I$7:$I$100,2)+SUMIFS('15a'!$J$7:$J$100,'15a'!$H$7:$H$100,$A372,'15a'!$I$7:$I$100,2)+SUMIFS('15b'!$J$7:$J$100,'15b'!$H$7:$H$100,$A372,'15b'!$I$7:$I$100,2)+SUMIFS('15c'!$J$7:$J$100,'15c'!$H$7:$H$100,$A372,'15c'!$I$7:$I$100,2)+SUMIFS('15d'!$J$7:$J$100,'15d'!$H$7:$H$100,$A372,'15d'!$I$7:$I$100,2)+SUMIFS('15e'!$J$7:$J$100,'15e'!$H$7:$H$100,$A372,'15e'!$I$7:$I$100,2)+SUMIFS('15f'!$J$7:$J$100,'15f'!$H$7:$H$100,$A372,'15f'!$I$7:$I$100,2)+SUMIFS('15g'!$J$7:$J$100,'15g'!$H$7:$H$100,$A372,'15g'!$I$7:$I$100,2)+SUMIFS('15h'!$J$7:$J$100,'15h'!$H$7:$H$100,$A372,'15h'!$I$7:$I$100,2)+SUMIFS('15i'!$J$7:$J$100,'15i'!$H$7:$H$100,$A372,'15i'!$I$7:$I$100,2)+SUMIFS('15j'!$J$7:$J$100,'15j'!$H$7:$H$100,$A372,'15j'!$I$7:$I$100,2)+SUMIFS('15k'!$J$7:$J$100,'15k'!$H$7:$H$100,$A372,'15k'!$I$7:$I$100,2)+SUMIFS('15l'!$J$7:$J$100,'15l'!$H$7:$H$100,$A372,'15l'!$I$7:$I$100,2)+SUMIFS('15m'!$J$7:$J$100,'15m'!$H$7:$H$100,$A372,'15m'!$I$7:$I$100,2)+SUMIFS('15n'!$J$7:$J$100,'15n'!$H$7:$H$100,$A372,'15n'!$I$7:$I$100,2)+SUMIFS('16'!$J$7:$J$100,'16'!$H$7:$H$100,$A372,'16'!$I$7:$I$100,2)+SUMIFS('16a'!$J$7:$J$100,'16a'!$H$7:$H$100,$A372,'16a'!$I$7:$I$100,2)+SUMIFS('17'!$J$7:$J$100,'17'!$H$7:$H$100,$A372,'17'!$I$7:$I$100,2)+SUMIFS('17a'!$J$7:$J$100,'17a'!$H$7:$H$100,$A372,'17a'!$I$7:$I$100,2)+SUMIFS('18'!$J$7:$J$100,'18'!$H$7:$H$100,$A372,'18'!$I$7:$I$100,2)+SUMIFS('18a'!$J$7:$J$100,'18a'!$H$7:$H$100,$A372,'18a'!$I$7:$I$100,2)
+SUMIFS('19'!$J$7:$J$100,'19'!$H$7:$H$100,$A372,'19'!$I$7:$I$100,2)+SUMIFS('20'!$J$7:$J$100,'20'!$H$7:$H$100,$A372,'20'!$I$7:$I$100,2)+SUMIFS('20a'!$J$7:$J$100,'20a'!$H$7:$H$100,$A372,'20a'!$I$7:$I$100,2)+SUMIFS('21'!$J$7:$J$100,'21'!$H$7:$H$100,$A372,'21'!$I$7:$I$100,2)+SUMIFS('22'!$J$7:$J$100,'22'!$H$7:$H$100,$A372,'22'!$I$7:$I$100,2)+SUMIFS('22a'!$J$7:$J$100,'22a'!$H$7:$H$100,$A372,'22a'!$I$7:$I$100,2)+SUMIFS('22b'!$J$7:$J$100,'22b'!$H$7:$H$100,$A372,'22b'!$I$7:$I$100,2)+SUMIFS('23'!$J$7:$J$100,'23'!$H$7:$H$100,$A372,'23'!$I$7:$I$100,2)+SUMIFS('24'!$J$7:$J$100,'24'!$H$7:$H$100,$A372,'24'!$I$7:$I$100,2)+SUMIFS('24a'!$J$7:$J$100,'24a'!$H$7:$H$100,$A372,'24a'!$I$7:$I$100,2)+SUMIFS('24b'!$J$7:$J$100,'24b'!$H$7:$H$100,$A372,'24b'!$I$7:$I$100,2)+SUMIFS('24c'!$J$7:$J$100,'24c'!$H$7:$H$100,$A372,'24c'!$I$7:$I$100,2)+SUMIFS('24d'!$J$7:$J$100,'24d'!$H$7:$H$100,$A372,'24d'!$I$7:$I$100,2)+SUMIFS('24e'!$J$7:$J$100,'24e'!$H$7:$H$100,$A372,'24e'!$I$7:$I$100,2)+SUMIFS('24f'!$J$7:$J$100,'24f'!$H$7:$H$100,$A372,'24f'!$I$7:$I$100,2)+SUMIFS('24g'!$J$7:$J$100,'24g'!$H$7:$H$100,$A372,'24g'!$I$7:$I$100,2)+SUMIFS('24h'!$J$7:$J$100,'24h'!$H$7:$H$100,$A372,'24h'!$I$7:$I$100,2)+SUMIFS('24i'!$J$7:$J$100,'24i'!$H$7:$H$100,$A372,'24i'!$I$7:$I$100,2)+SUMIFS('25'!$J$7:$J$100,'25'!$H$7:$H$100,$A372,'25'!$I$7:$I$100,2)+SUMIFS('26'!$J$7:$J$100,'26'!$H$7:$H$100,$A372,'26'!$I$7:$I$100,2)+SUMIFS('26a'!$J$7:$J$100,'26a'!$H$7:$H$100,$A372,'26a'!$I$7:$I$100,2)+SUMIFS('27'!$J$7:$J$100,'27'!$H$7:$H$100,$A372,'27'!$I$7:$I$100,2)+SUMIFS('27a'!$J$7:$J$100,'27a'!$H$7:$H$100,$A372,'27a'!$I$7:$I$100,2)+SUMIFS('28'!$J$7:$J$100,'28'!$H$7:$H$100,$A372,'28'!$I$7:$I$100,2)+SUMIFS('29'!$J$7:$J$100,'29'!$H$7:$H$100,$A372,'29'!$I$7:$I$100,2)</f>
        <v>0</v>
      </c>
      <c r="I372" s="1315">
        <f>SUMIFS('12'!$J$7:$J$100,'12'!$H$7:$H$100,$A372,'12'!$I$7:$I$100,"")+SUMIFS('13'!$J$7:$J$100,'13'!$H$7:$H$100,$A372,'13'!$I$7:$I$100,"")+SUMIFS('14'!$J$7:$J$100,'14'!$H$7:$H$100,$A372,'14'!$I$7:$I$100,"")+SUMIFS('15'!$J$7:$J$100,'15'!$H$7:$H$100,$A372,'15'!$I$7:$I$100,"")+SUMIFS('15a'!$J$7:$J$100,'15a'!$H$7:$H$100,$A372,'15a'!$I$7:$I$100,"")+SUMIFS('15b'!$J$7:$J$100,'15b'!$H$7:$H$100,$A372,'15b'!$I$7:$I$100,"")+SUMIFS('15c'!$J$7:$J$100,'15c'!$H$7:$H$100,$A372,'15c'!$I$7:$I$100,"")+SUMIFS('15d'!$J$7:$J$100,'15d'!$H$7:$H$100,$A372,'15d'!$I$7:$I$100,"")+SUMIFS('15e'!$J$7:$J$100,'15e'!$H$7:$H$100,$A372,'15e'!$I$7:$I$100,"")+SUMIFS('15f'!$J$7:$J$100,'15f'!$H$7:$H$100,$A372,'15f'!$I$7:$I$100,"")+SUMIFS('15g'!$J$7:$J$100,'15g'!$H$7:$H$100,$A372,'15g'!$I$7:$I$100,"")+SUMIFS('15h'!$J$7:$J$100,'15h'!$H$7:$H$100,$A372,'15h'!$I$7:$I$100,"")+SUMIFS('15i'!$J$7:$J$100,'15i'!$H$7:$H$100,$A372,'15i'!$I$7:$I$100,"")+SUMIFS('15j'!$J$7:$J$100,'15j'!$H$7:$H$100,$A372,'15j'!$I$7:$I$100,"")+SUMIFS('15k'!$J$7:$J$100,'15k'!$H$7:$H$100,$A372,'15k'!$I$7:$I$100,"")+SUMIFS('15l'!$J$7:$J$100,'15l'!$H$7:$H$100,$A372,'15l'!$I$7:$I$100,"")+SUMIFS('15m'!$J$7:$J$100,'15m'!$H$7:$H$100,$A372,'15m'!$I$7:$I$100,"")+SUMIFS('15n'!$J$7:$J$100,'15n'!$H$7:$H$100,$A372,'15n'!$I$7:$I$100,"")+SUMIFS('16'!$J$7:$J$100,'16'!$H$7:$H$100,$A372,'16'!$I$7:$I$100,"")+SUMIFS('16a'!$J$7:$J$100,'16a'!$H$7:$H$100,$A372,'16a'!$I$7:$I$100,"")+SUMIFS('17'!$J$7:$J$100,'17'!$H$7:$H$100,$A372,'17'!$I$7:$I$100,"")+SUMIFS('17a'!$J$7:$J$100,'17a'!$H$7:$H$100,$A372,'17a'!$I$7:$I$100,"")+SUMIFS('18'!$J$7:$J$100,'18'!$H$7:$H$100,$A372,'18'!$I$7:$I$100,"")+SUMIFS('18a'!$J$7:$J$100,'18a'!$H$7:$H$100,$A372,'18a'!$I$7:$I$100,"")
+SUMIFS('19'!$J$7:$J$100,'19'!$H$7:$H$100,$A372,'19'!$I$7:$I$100,"")+SUMIFS('20'!$J$7:$J$100,'20'!$H$7:$H$100,$A372,'20'!$I$7:$I$100,"")+SUMIFS('20a'!$J$7:$J$100,'20a'!$H$7:$H$100,$A372,'20a'!$I$7:$I$100,"")+SUMIFS('21'!$J$7:$J$100,'21'!$H$7:$H$100,$A372,'21'!$I$7:$I$100,"")+SUMIFS('22'!$J$7:$J$100,'22'!$H$7:$H$100,$A372,'22'!$I$7:$I$100,"")+SUMIFS('22a'!$J$7:$J$100,'22a'!$H$7:$H$100,$A372,'22a'!$I$7:$I$100,"")+SUMIFS('22b'!$J$7:$J$100,'22b'!$H$7:$H$100,$A372,'22b'!$I$7:$I$100,"")+SUMIFS('23'!$J$7:$J$100,'23'!$H$7:$H$100,$A372,'23'!$I$7:$I$100,"")+SUMIFS('24'!$J$7:$J$100,'24'!$H$7:$H$100,$A372,'24'!$I$7:$I$100,"")+SUMIFS('24a'!$J$7:$J$100,'24a'!$H$7:$H$100,$A372,'24a'!$I$7:$I$100,"")+SUMIFS('24b'!$J$7:$J$100,'24b'!$H$7:$H$100,$A372,'24b'!$I$7:$I$100,"")+SUMIFS('24c'!$J$7:$J$100,'24c'!$H$7:$H$100,$A372,'24c'!$I$7:$I$100,"")+SUMIFS('24d'!$J$7:$J$100,'24d'!$H$7:$H$100,$A372,'24d'!$I$7:$I$100,"")+SUMIFS('24e'!$J$7:$J$100,'24e'!$H$7:$H$100,$A372,'24e'!$I$7:$I$100,"")+SUMIFS('24f'!$J$7:$J$100,'24f'!$H$7:$H$100,$A372,'24f'!$I$7:$I$100,"")+SUMIFS('24g'!$J$7:$J$100,'24g'!$H$7:$H$100,$A372,'24g'!$I$7:$I$100,"")+SUMIFS('24h'!$J$7:$J$100,'24h'!$H$7:$H$100,$A372,'24h'!$I$7:$I$100,"")+SUMIFS('24i'!$J$7:$J$100,'24i'!$H$7:$H$100,$A372,'24i'!$I$7:$I$100,"")+SUMIFS('25'!$J$7:$J$100,'25'!$H$7:$H$100,$A372,'25'!$I$7:$I$100,"")+SUMIFS('26'!$J$7:$J$100,'26'!$H$7:$H$100,$A372,'26'!$I$7:$I$100,"")+SUMIFS('26a'!$J$7:$J$100,'26a'!$H$7:$H$100,$A372,'26a'!$I$7:$I$100,"")+SUMIFS('27'!$J$7:$J$100,'27'!$H$7:$H$100,$A372,'27'!$I$7:$I$100,"")+SUMIFS('27a'!$J$7:$J$100,'27a'!$H$7:$H$100,$A372,'27a'!$I$7:$I$100,"")+SUMIFS('28'!$J$7:$J$100,'28'!$H$7:$H$100,$A372,'28'!$I$7:$I$100,"")+SUMIFS('29'!$J$7:$J$100,'29'!$H$7:$H$100,$A372,'29'!$I$7:$I$100,"")</f>
        <v>0</v>
      </c>
      <c r="J372" s="1296">
        <f t="shared" si="56"/>
        <v>0</v>
      </c>
      <c r="K372"/>
      <c r="L372"/>
      <c r="M372"/>
      <c r="N372"/>
      <c r="O372"/>
      <c r="P372"/>
      <c r="Q372"/>
      <c r="R372"/>
      <c r="S372" s="1307">
        <f t="shared" si="48"/>
        <v>0</v>
      </c>
      <c r="T372"/>
    </row>
    <row r="373" spans="1:20" x14ac:dyDescent="0.2">
      <c r="A373" t="s">
        <v>5104</v>
      </c>
      <c r="B373" t="s">
        <v>5397</v>
      </c>
      <c r="C373" s="1295">
        <f>SUMIFS('12'!$N$7:$N$100,'12'!$H$7:$H$100,$A373,'12'!$I$7:$I$100,1)+SUMIFS('13'!$N$7:$N$100,'13'!$H$7:$H$100,$A373,'13'!$I$7:$I$100,1)+SUMIFS('14'!$N$7:$N$100,'14'!$H$7:$H$100,$A373,'14'!$I$7:$I$100,1)+SUMIFS('15'!$N$7:$N$100,'15'!$H$7:$H$100,$A373,'15'!$I$7:$I$100,1)+SUMIFS('15a'!$N$7:$N$100,'15a'!$H$7:$H$100,$A373,'15a'!$I$7:$I$100,1)+SUMIFS('15b'!$N$7:$N$100,'15b'!$H$7:$H$100,$A373,'15b'!$I$7:$I$100,1)+SUMIFS('15c'!$N$7:$N$100,'15c'!$H$7:$H$100,$A373,'15c'!$I$7:$I$100,1)+SUMIFS('15d'!$N$7:$N$100,'15d'!$H$7:$H$100,$A373,'15d'!$I$7:$I$100,1)+SUMIFS('15e'!$N$7:$N$100,'15e'!$H$7:$H$100,$A373,'15e'!$I$7:$I$100,1)+SUMIFS('15f'!$N$7:$N$100,'15f'!$H$7:$H$100,$A373,'15f'!$I$7:$I$100,1)+SUMIFS('15g'!$N$7:$N$100,'15g'!$H$7:$H$100,$A373,'15g'!$I$7:$I$100,1)+SUMIFS('15h'!$N$7:$N$100,'15h'!$H$7:$H$100,$A373,'15h'!$I$7:$I$100,1)+SUMIFS('15i'!$N$7:$N$100,'15i'!$H$7:$H$100,$A373,'15i'!$I$7:$I$100,1)+SUMIFS('15j'!$N$7:$N$100,'15j'!$H$7:$H$100,$A373,'15j'!$I$7:$I$100,1)+SUMIFS('15k'!$N$7:$N$100,'15k'!$H$7:$H$100,$A373,'15k'!$I$7:$I$100,1)+SUMIFS('15l'!$N$7:$N$100,'15l'!$H$7:$H$100,$A373,'15l'!$I$7:$I$100,1)+SUMIFS('15m'!$N$7:$N$100,'15m'!$H$7:$H$100,$A373,'15m'!$I$7:$I$100,1)+SUMIFS('15n'!$N$7:$N$100,'15n'!$H$7:$H$100,$A373,'15n'!$I$7:$I$100,1)+SUMIFS('16'!$N$7:$N$100,'16'!$H$7:$H$100,$A373,'16'!$I$7:$I$100,1)+SUMIFS('16a'!$N$7:$N$100,'16a'!$H$7:$H$100,$A373,'16a'!$I$7:$I$100,1)+SUMIFS('17'!$N$7:$N$100,'17'!$H$7:$H$100,$A373,'17'!$I$7:$I$100,1)+SUMIFS('17a'!$N$7:$N$100,'17a'!$H$7:$H$100,$A373,'17a'!$I$7:$I$100,1)+SUMIFS('18'!$N$7:$N$100,'18'!$H$7:$H$100,$A373,'18'!$I$7:$I$100,1)+SUMIFS('18a'!$N$7:$N$100,'18a'!$H$7:$H$100,$A373,'18a'!$I$7:$I$100,1)
+SUMIFS('19'!$N$7:$N$100,'19'!$H$7:$H$100,$A373,'19'!$I$7:$I$100,1)+SUMIFS('20'!$N$7:$N$100,'20'!$H$7:$H$100,$A373,'20'!$I$7:$I$100,1)+SUMIFS('20a'!$N$7:$N$100,'20a'!$H$7:$H$100,$A373,'20a'!$I$7:$I$100,1)+SUMIFS('21'!$N$7:$N$100,'21'!$H$7:$H$100,$A373,'21'!$I$7:$I$100,1)+SUMIFS('22'!$N$7:$N$100,'22'!$H$7:$H$100,$A373,'22'!$I$7:$I$100,1)+SUMIFS('22a'!$N$7:$N$100,'22a'!$H$7:$H$100,$A373,'22a'!$I$7:$I$100,1)+SUMIFS('22b'!$N$7:$N$100,'22b'!$H$7:$H$100,$A373,'22b'!$I$7:$I$100,1)+SUMIFS('23'!$N$7:$N$100,'23'!$H$7:$H$100,$A373,'23'!$I$7:$I$100,1)+SUMIFS('24'!$N$7:$N$100,'24'!$H$7:$H$100,$A373,'24'!$I$7:$I$100,1)+SUMIFS('24a'!$N$7:$N$100,'24a'!$H$7:$H$100,$A373,'24a'!$I$7:$I$100,1)+SUMIFS('24b'!$N$7:$N$100,'24b'!$H$7:$H$100,$A373,'24b'!$I$7:$I$100,1)+SUMIFS('24c'!$N$7:$N$100,'24c'!$H$7:$H$100,$A373,'24c'!$I$7:$I$100,1)+SUMIFS('24d'!$N$7:$N$100,'24d'!$H$7:$H$100,$A373,'24d'!$I$7:$I$100,1)+SUMIFS('24e'!$N$7:$N$100,'24e'!$H$7:$H$100,$A373,'24e'!$I$7:$I$100,1)+SUMIFS('24f'!$N$7:$N$100,'24f'!$H$7:$H$100,$A373,'24f'!$I$7:$I$100,1)+SUMIFS('24g'!$N$7:$N$100,'24g'!$H$7:$H$100,$A373,'24g'!$I$7:$I$100,1)+SUMIFS('24h'!$N$7:$N$100,'24h'!$H$7:$H$100,$A373,'24h'!$I$7:$I$100,1)+SUMIFS('24i'!$N$7:$N$100,'24i'!$H$7:$H$100,$A373,'24i'!$I$7:$I$100,1)+SUMIFS('25'!$N$7:$N$100,'25'!$H$7:$H$100,$A373,'25'!$I$7:$I$100,1)+SUMIFS('26'!$N$7:$N$100,'26'!$H$7:$H$100,$A373,'26'!$I$7:$I$100,1)+SUMIFS('26a'!$N$7:$N$100,'26a'!$H$7:$H$100,$A373,'26a'!$I$7:$I$100,1)+SUMIFS('27'!$N$7:$N$100,'27'!$H$7:$H$100,$A373,'27'!$I$7:$I$100,1)+SUMIFS('27a'!$N$7:$N$100,'27a'!$H$7:$H$100,$A373,'27a'!$I$7:$I$100,1)+SUMIFS('28'!$N$7:$N$100,'28'!$H$7:$H$100,$A373,'28'!$I$7:$I$100,1)+SUMIFS('29'!$N$7:$N$100,'29'!$H$7:$H$100,$A373,'29'!$I$7:$I$100,1)</f>
        <v>0</v>
      </c>
      <c r="D373" s="1315">
        <f>SUMIFS('12'!$N$7:$N$100,'12'!$H$7:$H$100,$A373,'12'!$I$7:$I$100,2)+SUMIFS('13'!$N$7:$N$100,'13'!$H$7:$H$100,$A373,'13'!$I$7:$I$100,2)+SUMIFS('14'!$N$7:$N$100,'14'!$H$7:$H$100,$A373,'14'!$I$7:$I$100,2)+SUMIFS('15'!$N$7:$N$100,'15'!$H$7:$H$100,$A373,'15'!$I$7:$I$100,2)+SUMIFS('15a'!$N$7:$N$100,'15a'!$H$7:$H$100,$A373,'15a'!$I$7:$I$100,2)+SUMIFS('15b'!$N$7:$N$100,'15b'!$H$7:$H$100,$A373,'15b'!$I$7:$I$100,2)+SUMIFS('15c'!$N$7:$N$100,'15c'!$H$7:$H$100,$A373,'15c'!$I$7:$I$100,2)+SUMIFS('15d'!$N$7:$N$100,'15d'!$H$7:$H$100,$A373,'15d'!$I$7:$I$100,2)+SUMIFS('15e'!$N$7:$N$100,'15e'!$H$7:$H$100,$A373,'15e'!$I$7:$I$100,2)+SUMIFS('15f'!$N$7:$N$100,'15f'!$H$7:$H$100,$A373,'15f'!$I$7:$I$100,2)+SUMIFS('15g'!$N$7:$N$100,'15g'!$H$7:$H$100,$A373,'15g'!$I$7:$I$100,2)+SUMIFS('15h'!$N$7:$N$100,'15h'!$H$7:$H$100,$A373,'15h'!$I$7:$I$100,2)+SUMIFS('15i'!$N$7:$N$100,'15i'!$H$7:$H$100,$A373,'15i'!$I$7:$I$100,2)+SUMIFS('15j'!$N$7:$N$100,'15j'!$H$7:$H$100,$A373,'15j'!$I$7:$I$100,2)+SUMIFS('15k'!$N$7:$N$100,'15k'!$H$7:$H$100,$A373,'15k'!$I$7:$I$100,2)+SUMIFS('15l'!$N$7:$N$100,'15l'!$H$7:$H$100,$A373,'15l'!$I$7:$I$100,2)+SUMIFS('15m'!$N$7:$N$100,'15m'!$H$7:$H$100,$A373,'15m'!$I$7:$I$100,2)+SUMIFS('15n'!$N$7:$N$100,'15n'!$H$7:$H$100,$A373,'15n'!$I$7:$I$100,2)+SUMIFS('16'!$N$7:$N$100,'16'!$H$7:$H$100,$A373,'16'!$I$7:$I$100,2)+SUMIFS('16a'!$N$7:$N$100,'16a'!$H$7:$H$100,$A373,'16a'!$I$7:$I$100,2)+SUMIFS('17'!$N$7:$N$100,'17'!$H$7:$H$100,$A373,'17'!$I$7:$I$100,2)+SUMIFS('17a'!$N$7:$N$100,'17a'!$H$7:$H$100,$A373,'17a'!$I$7:$I$100,2)+SUMIFS('18'!$N$7:$N$100,'18'!$H$7:$H$100,$A373,'18'!$I$7:$I$100,2)+SUMIFS('18a'!$N$7:$N$100,'18a'!$H$7:$H$100,$A373,'18a'!$I$7:$I$100,2)
+SUMIFS('19'!$N$7:$N$100,'19'!$H$7:$H$100,$A373,'19'!$I$7:$I$100,2)+SUMIFS('20'!$N$7:$N$100,'20'!$H$7:$H$100,$A373,'20'!$I$7:$I$100,2)+SUMIFS('20a'!$N$7:$N$100,'20a'!$H$7:$H$100,$A373,'20a'!$I$7:$I$100,2)+SUMIFS('21'!$N$7:$N$100,'21'!$H$7:$H$100,$A373,'21'!$I$7:$I$100,2)+SUMIFS('22'!$N$7:$N$100,'22'!$H$7:$H$100,$A373,'22'!$I$7:$I$100,2)+SUMIFS('22a'!$N$7:$N$100,'22a'!$H$7:$H$100,$A373,'22a'!$I$7:$I$100,2)+SUMIFS('22b'!$N$7:$N$100,'22b'!$H$7:$H$100,$A373,'22b'!$I$7:$I$100,2)+SUMIFS('23'!$N$7:$N$100,'23'!$H$7:$H$100,$A373,'23'!$I$7:$I$100,2)+SUMIFS('24'!$N$7:$N$100,'24'!$H$7:$H$100,$A373,'24'!$I$7:$I$100,2)+SUMIFS('24a'!$N$7:$N$100,'24a'!$H$7:$H$100,$A373,'24a'!$I$7:$I$100,2)+SUMIFS('24b'!$N$7:$N$100,'24b'!$H$7:$H$100,$A373,'24b'!$I$7:$I$100,2)+SUMIFS('24c'!$N$7:$N$100,'24c'!$H$7:$H$100,$A373,'24c'!$I$7:$I$100,2)+SUMIFS('24d'!$N$7:$N$100,'24d'!$H$7:$H$100,$A373,'24d'!$I$7:$I$100,2)+SUMIFS('24e'!$N$7:$N$100,'24e'!$H$7:$H$100,$A373,'24e'!$I$7:$I$100,2)+SUMIFS('24f'!$N$7:$N$100,'24f'!$H$7:$H$100,$A373,'24f'!$I$7:$I$100,2)+SUMIFS('24g'!$N$7:$N$100,'24g'!$H$7:$H$100,$A373,'24g'!$I$7:$I$100,2)+SUMIFS('24h'!$N$7:$N$100,'24h'!$H$7:$H$100,$A373,'24h'!$I$7:$I$100,2)+SUMIFS('24i'!$N$7:$N$100,'24i'!$H$7:$H$100,$A373,'24i'!$I$7:$I$100,2)+SUMIFS('25'!$N$7:$N$100,'25'!$H$7:$H$100,$A373,'25'!$I$7:$I$100,2)+SUMIFS('26'!$N$7:$N$100,'26'!$H$7:$H$100,$A373,'26'!$I$7:$I$100,2)+SUMIFS('26a'!$N$7:$N$100,'26a'!$H$7:$H$100,$A373,'26a'!$I$7:$I$100,2)+SUMIFS('27'!$N$7:$N$100,'27'!$H$7:$H$100,$A373,'27'!$I$7:$I$100,2)+SUMIFS('27a'!$N$7:$N$100,'27a'!$H$7:$H$100,$A373,'27a'!$I$7:$I$100,2)+SUMIFS('28'!$N$7:$N$100,'28'!$H$7:$H$100,$A373,'28'!$I$7:$I$100,2)+SUMIFS('29'!$N$7:$N$100,'29'!$H$7:$H$100,$A373,'29'!$I$7:$I$100,2)</f>
        <v>0</v>
      </c>
      <c r="E373" s="1315">
        <f>SUMIFS('12'!$N$7:$N$100,'12'!$H$7:$H$100,$A373,'12'!$I$7:$I$100,"")+SUMIFS('13'!$N$7:$N$100,'13'!$H$7:$H$100,$A373,'13'!$I$7:$I$100,"")+SUMIFS('14'!$N$7:$N$100,'14'!$H$7:$H$100,$A373,'14'!$I$7:$I$100,"")+SUMIFS('15'!$N$7:$N$100,'15'!$H$7:$H$100,$A373,'15'!$I$7:$I$100,"")+SUMIFS('15a'!$N$7:$N$100,'15a'!$H$7:$H$100,$A373,'15a'!$I$7:$I$100,"")+SUMIFS('15b'!$N$7:$N$100,'15b'!$H$7:$H$100,$A373,'15b'!$I$7:$I$100,"")+SUMIFS('15c'!$N$7:$N$100,'15c'!$H$7:$H$100,$A373,'15c'!$I$7:$I$100,"")+SUMIFS('15d'!$N$7:$N$100,'15d'!$H$7:$H$100,$A373,'15d'!$I$7:$I$100,"")+SUMIFS('15e'!$N$7:$N$100,'15e'!$H$7:$H$100,$A373,'15e'!$I$7:$I$100,"")+SUMIFS('15f'!$N$7:$N$100,'15f'!$H$7:$H$100,$A373,'15f'!$I$7:$I$100,"")+SUMIFS('15g'!$N$7:$N$100,'15g'!$H$7:$H$100,$A373,'15g'!$I$7:$I$100,"")+SUMIFS('15h'!$N$7:$N$100,'15h'!$H$7:$H$100,$A373,'15h'!$I$7:$I$100,"")+SUMIFS('15i'!$N$7:$N$100,'15i'!$H$7:$H$100,$A373,'15i'!$I$7:$I$100,"")+SUMIFS('15j'!$N$7:$N$100,'15j'!$H$7:$H$100,$A373,'15j'!$I$7:$I$100,"")+SUMIFS('15k'!$N$7:$N$100,'15k'!$H$7:$H$100,$A373,'15k'!$I$7:$I$100,"")+SUMIFS('15l'!$N$7:$N$100,'15l'!$H$7:$H$100,$A373,'15l'!$I$7:$I$100,"")+SUMIFS('15m'!$N$7:$N$100,'15m'!$H$7:$H$100,$A373,'15m'!$I$7:$I$100,"")+SUMIFS('15n'!$N$7:$N$100,'15n'!$H$7:$H$100,$A373,'15n'!$I$7:$I$100,"")+SUMIFS('16'!$N$7:$N$100,'16'!$H$7:$H$100,$A373,'16'!$I$7:$I$100,"")+SUMIFS('16a'!$N$7:$N$100,'16a'!$H$7:$H$100,$A373,'16a'!$I$7:$I$100,"")+SUMIFS('17'!$N$7:$N$100,'17'!$H$7:$H$100,$A373,'17'!$I$7:$I$100,"")+SUMIFS('17a'!$N$7:$N$100,'17a'!$H$7:$H$100,$A373,'17a'!$I$7:$I$100,"")+SUMIFS('18'!$N$7:$N$100,'18'!$H$7:$H$100,$A373,'18'!$I$7:$I$100,"")+SUMIFS('18a'!$N$7:$N$100,'18a'!$H$7:$H$100,$A373,'18a'!$I$7:$I$100,"")
+SUMIFS('19'!$N$7:$N$100,'19'!$H$7:$H$100,$A373,'19'!$I$7:$I$100,"")+SUMIFS('20'!$N$7:$N$100,'20'!$H$7:$H$100,$A373,'20'!$I$7:$I$100,"")+SUMIFS('20a'!$N$7:$N$100,'20a'!$H$7:$H$100,$A373,'20a'!$I$7:$I$100,"")+SUMIFS('21'!$N$7:$N$100,'21'!$H$7:$H$100,$A373,'21'!$I$7:$I$100,"")+SUMIFS('22'!$N$7:$N$100,'22'!$H$7:$H$100,$A373,'22'!$I$7:$I$100,"")+SUMIFS('22a'!$N$7:$N$100,'22a'!$H$7:$H$100,$A373,'22a'!$I$7:$I$100,"")+SUMIFS('22b'!$N$7:$N$100,'22b'!$H$7:$H$100,$A373,'22b'!$I$7:$I$100,"")+SUMIFS('23'!$N$7:$N$100,'23'!$H$7:$H$100,$A373,'23'!$I$7:$I$100,"")+SUMIFS('24'!$N$7:$N$100,'24'!$H$7:$H$100,$A373,'24'!$I$7:$I$100,"")+SUMIFS('24a'!$N$7:$N$100,'24a'!$H$7:$H$100,$A373,'24a'!$I$7:$I$100,"")+SUMIFS('24b'!$N$7:$N$100,'24b'!$H$7:$H$100,$A373,'24b'!$I$7:$I$100,"")+SUMIFS('24c'!$N$7:$N$100,'24c'!$H$7:$H$100,$A373,'24c'!$I$7:$I$100,"")+SUMIFS('24d'!$N$7:$N$100,'24d'!$H$7:$H$100,$A373,'24d'!$I$7:$I$100,"")+SUMIFS('24e'!$N$7:$N$100,'24e'!$H$7:$H$100,$A373,'24e'!$I$7:$I$100,"")+SUMIFS('24f'!$N$7:$N$100,'24f'!$H$7:$H$100,$A373,'24f'!$I$7:$I$100,"")+SUMIFS('24g'!$N$7:$N$100,'24g'!$H$7:$H$100,$A373,'24g'!$I$7:$I$100,"")+SUMIFS('24h'!$N$7:$N$100,'24h'!$H$7:$H$100,$A373,'24h'!$I$7:$I$100,"")+SUMIFS('24i'!$N$7:$N$100,'24i'!$H$7:$H$100,$A373,'24i'!$I$7:$I$100,"")+SUMIFS('25'!$N$7:$N$100,'25'!$H$7:$H$100,$A373,'25'!$I$7:$I$100,"")+SUMIFS('26'!$N$7:$N$100,'26'!$H$7:$H$100,$A373,'26'!$I$7:$I$100,"")+SUMIFS('26a'!$N$7:$N$100,'26a'!$H$7:$H$100,$A373,'26a'!$I$7:$I$100,"")+SUMIFS('27'!$N$7:$N$100,'27'!$H$7:$H$100,$A373,'27'!$I$7:$I$100,"")+SUMIFS('27a'!$N$7:$N$100,'27a'!$H$7:$H$100,$A373,'27a'!$I$7:$I$100,"")+SUMIFS('28'!$N$7:$N$100,'28'!$H$7:$H$100,$A373,'28'!$I$7:$I$100,"")+SUMIFS('29'!$N$7:$N$100,'29'!$H$7:$H$100,$A373,'29'!$I$7:$I$100,"")</f>
        <v>0</v>
      </c>
      <c r="F373" s="1296">
        <f t="shared" si="55"/>
        <v>0</v>
      </c>
      <c r="G373" s="1295">
        <f>SUMIFS('12'!$J$7:$J$100,'12'!$H$7:$H$100,$A373,'12'!$I$7:$I$100,1)+SUMIFS('13'!$J$7:$J$100,'13'!$H$7:$H$100,$A373,'13'!$I$7:$I$100,1)+SUMIFS('14'!$J$7:$J$100,'14'!$H$7:$H$100,$A373,'14'!$I$7:$I$100,1)+SUMIFS('15'!$J$7:$J$100,'15'!$H$7:$H$100,$A373,'15'!$I$7:$I$100,1)+SUMIFS('15a'!$J$7:$J$100,'15a'!$H$7:$H$100,$A373,'15a'!$I$7:$I$100,1)+SUMIFS('15b'!$J$7:$J$100,'15b'!$H$7:$H$100,$A373,'15b'!$I$7:$I$100,1)+SUMIFS('15c'!$J$7:$J$100,'15c'!$H$7:$H$100,$A373,'15c'!$I$7:$I$100,1)+SUMIFS('15d'!$J$7:$J$100,'15d'!$H$7:$H$100,$A373,'15d'!$I$7:$I$100,1)+SUMIFS('15e'!$J$7:$J$100,'15e'!$H$7:$H$100,$A373,'15e'!$I$7:$I$100,1)+SUMIFS('15f'!$J$7:$J$100,'15f'!$H$7:$H$100,$A373,'15f'!$I$7:$I$100,1)+SUMIFS('15g'!$J$7:$J$100,'15g'!$H$7:$H$100,$A373,'15g'!$I$7:$I$100,1)+SUMIFS('15h'!$J$7:$J$100,'15h'!$H$7:$H$100,$A373,'15h'!$I$7:$I$100,1)+SUMIFS('15i'!$J$7:$J$100,'15i'!$H$7:$H$100,$A373,'15i'!$I$7:$I$100,1)+SUMIFS('15j'!$J$7:$J$100,'15j'!$H$7:$H$100,$A373,'15j'!$I$7:$I$100,1)+SUMIFS('15k'!$J$7:$J$100,'15k'!$H$7:$H$100,$A373,'15k'!$I$7:$I$100,1)+SUMIFS('15l'!$J$7:$J$100,'15l'!$H$7:$H$100,$A373,'15l'!$I$7:$I$100,1)+SUMIFS('15m'!$J$7:$J$100,'15m'!$H$7:$H$100,$A373,'15m'!$I$7:$I$100,1)+SUMIFS('15n'!$J$7:$J$100,'15n'!$H$7:$H$100,$A373,'15n'!$I$7:$I$100,1)+SUMIFS('16'!$J$7:$J$100,'16'!$H$7:$H$100,$A373,'16'!$I$7:$I$100,1)+SUMIFS('16a'!$J$7:$J$100,'16a'!$H$7:$H$100,$A373,'16a'!$I$7:$I$100,1)+SUMIFS('17'!$J$7:$J$100,'17'!$H$7:$H$100,$A373,'17'!$I$7:$I$100,1)+SUMIFS('17a'!$J$7:$J$100,'17a'!$H$7:$H$100,$A373,'17a'!$I$7:$I$100,1)+SUMIFS('18'!$J$7:$J$100,'18'!$H$7:$H$100,$A373,'18'!$I$7:$I$100,1)+SUMIFS('18a'!$J$7:$J$100,'18a'!$H$7:$H$100,$A373,'18a'!$I$7:$I$100,1)
+SUMIFS('19'!$J$7:$J$100,'19'!$H$7:$H$100,$A373,'19'!$I$7:$I$100,1)+SUMIFS('20'!$J$7:$J$100,'20'!$H$7:$H$100,$A373,'20'!$I$7:$I$100,1)+SUMIFS('20a'!$J$7:$J$100,'20a'!$H$7:$H$100,$A373,'20a'!$I$7:$I$100,1)+SUMIFS('21'!$J$7:$J$100,'21'!$H$7:$H$100,$A373,'21'!$I$7:$I$100,1)+SUMIFS('22'!$J$7:$J$100,'22'!$H$7:$H$100,$A373,'22'!$I$7:$I$100,1)+SUMIFS('22a'!$J$7:$J$100,'22a'!$H$7:$H$100,$A373,'22a'!$I$7:$I$100,1)+SUMIFS('22b'!$J$7:$J$100,'22b'!$H$7:$H$100,$A373,'22b'!$I$7:$I$100,1)+SUMIFS('23'!$J$7:$J$100,'23'!$H$7:$H$100,$A373,'23'!$I$7:$I$100,1)+SUMIFS('24'!$J$7:$J$100,'24'!$H$7:$H$100,$A373,'24'!$I$7:$I$100,1)+SUMIFS('24a'!$J$7:$J$100,'24a'!$H$7:$H$100,$A373,'24a'!$I$7:$I$100,1)+SUMIFS('24b'!$J$7:$J$100,'24b'!$H$7:$H$100,$A373,'24b'!$I$7:$I$100,1)+SUMIFS('24c'!$J$7:$J$100,'24c'!$H$7:$H$100,$A373,'24c'!$I$7:$I$100,1)+SUMIFS('24d'!$J$7:$J$100,'24d'!$H$7:$H$100,$A373,'24d'!$I$7:$I$100,1)+SUMIFS('24e'!$J$7:$J$100,'24e'!$H$7:$H$100,$A373,'24e'!$I$7:$I$100,1)+SUMIFS('24f'!$J$7:$J$100,'24f'!$H$7:$H$100,$A373,'24f'!$I$7:$I$100,1)+SUMIFS('24g'!$J$7:$J$100,'24g'!$H$7:$H$100,$A373,'24g'!$I$7:$I$100,1)+SUMIFS('24h'!$J$7:$J$100,'24h'!$H$7:$H$100,$A373,'24h'!$I$7:$I$100,1)+SUMIFS('24i'!$J$7:$J$100,'24i'!$H$7:$H$100,$A373,'24i'!$I$7:$I$100,1)+SUMIFS('25'!$J$7:$J$100,'25'!$H$7:$H$100,$A373,'25'!$I$7:$I$100,1)+SUMIFS('26'!$J$7:$J$100,'26'!$H$7:$H$100,$A373,'26'!$I$7:$I$100,1)+SUMIFS('26a'!$J$7:$J$100,'26a'!$H$7:$H$100,$A373,'26a'!$I$7:$I$100,1)+SUMIFS('27'!$J$7:$J$100,'27'!$H$7:$H$100,$A373,'27'!$I$7:$I$100,1)+SUMIFS('27a'!$J$7:$J$100,'27a'!$H$7:$H$100,$A373,'27a'!$I$7:$I$100,1)+SUMIFS('28'!$J$7:$J$100,'28'!$H$7:$H$100,$A373,'28'!$I$7:$I$100,1)+SUMIFS('29'!$J$7:$J$100,'29'!$H$7:$H$100,$A373,'29'!$I$7:$I$100,1)</f>
        <v>0</v>
      </c>
      <c r="H373" s="1315">
        <f>SUMIFS('12'!$J$7:$J$100,'12'!$H$7:$H$100,$A373,'12'!$I$7:$I$100,2)+SUMIFS('13'!$J$7:$J$100,'13'!$H$7:$H$100,$A373,'13'!$I$7:$I$100,2)+SUMIFS('14'!$J$7:$J$100,'14'!$H$7:$H$100,$A373,'14'!$I$7:$I$100,2)+SUMIFS('15'!$J$7:$J$100,'15'!$H$7:$H$100,$A373,'15'!$I$7:$I$100,2)+SUMIFS('15a'!$J$7:$J$100,'15a'!$H$7:$H$100,$A373,'15a'!$I$7:$I$100,2)+SUMIFS('15b'!$J$7:$J$100,'15b'!$H$7:$H$100,$A373,'15b'!$I$7:$I$100,2)+SUMIFS('15c'!$J$7:$J$100,'15c'!$H$7:$H$100,$A373,'15c'!$I$7:$I$100,2)+SUMIFS('15d'!$J$7:$J$100,'15d'!$H$7:$H$100,$A373,'15d'!$I$7:$I$100,2)+SUMIFS('15e'!$J$7:$J$100,'15e'!$H$7:$H$100,$A373,'15e'!$I$7:$I$100,2)+SUMIFS('15f'!$J$7:$J$100,'15f'!$H$7:$H$100,$A373,'15f'!$I$7:$I$100,2)+SUMIFS('15g'!$J$7:$J$100,'15g'!$H$7:$H$100,$A373,'15g'!$I$7:$I$100,2)+SUMIFS('15h'!$J$7:$J$100,'15h'!$H$7:$H$100,$A373,'15h'!$I$7:$I$100,2)+SUMIFS('15i'!$J$7:$J$100,'15i'!$H$7:$H$100,$A373,'15i'!$I$7:$I$100,2)+SUMIFS('15j'!$J$7:$J$100,'15j'!$H$7:$H$100,$A373,'15j'!$I$7:$I$100,2)+SUMIFS('15k'!$J$7:$J$100,'15k'!$H$7:$H$100,$A373,'15k'!$I$7:$I$100,2)+SUMIFS('15l'!$J$7:$J$100,'15l'!$H$7:$H$100,$A373,'15l'!$I$7:$I$100,2)+SUMIFS('15m'!$J$7:$J$100,'15m'!$H$7:$H$100,$A373,'15m'!$I$7:$I$100,2)+SUMIFS('15n'!$J$7:$J$100,'15n'!$H$7:$H$100,$A373,'15n'!$I$7:$I$100,2)+SUMIFS('16'!$J$7:$J$100,'16'!$H$7:$H$100,$A373,'16'!$I$7:$I$100,2)+SUMIFS('16a'!$J$7:$J$100,'16a'!$H$7:$H$100,$A373,'16a'!$I$7:$I$100,2)+SUMIFS('17'!$J$7:$J$100,'17'!$H$7:$H$100,$A373,'17'!$I$7:$I$100,2)+SUMIFS('17a'!$J$7:$J$100,'17a'!$H$7:$H$100,$A373,'17a'!$I$7:$I$100,2)+SUMIFS('18'!$J$7:$J$100,'18'!$H$7:$H$100,$A373,'18'!$I$7:$I$100,2)+SUMIFS('18a'!$J$7:$J$100,'18a'!$H$7:$H$100,$A373,'18a'!$I$7:$I$100,2)
+SUMIFS('19'!$J$7:$J$100,'19'!$H$7:$H$100,$A373,'19'!$I$7:$I$100,2)+SUMIFS('20'!$J$7:$J$100,'20'!$H$7:$H$100,$A373,'20'!$I$7:$I$100,2)+SUMIFS('20a'!$J$7:$J$100,'20a'!$H$7:$H$100,$A373,'20a'!$I$7:$I$100,2)+SUMIFS('21'!$J$7:$J$100,'21'!$H$7:$H$100,$A373,'21'!$I$7:$I$100,2)+SUMIFS('22'!$J$7:$J$100,'22'!$H$7:$H$100,$A373,'22'!$I$7:$I$100,2)+SUMIFS('22a'!$J$7:$J$100,'22a'!$H$7:$H$100,$A373,'22a'!$I$7:$I$100,2)+SUMIFS('22b'!$J$7:$J$100,'22b'!$H$7:$H$100,$A373,'22b'!$I$7:$I$100,2)+SUMIFS('23'!$J$7:$J$100,'23'!$H$7:$H$100,$A373,'23'!$I$7:$I$100,2)+SUMIFS('24'!$J$7:$J$100,'24'!$H$7:$H$100,$A373,'24'!$I$7:$I$100,2)+SUMIFS('24a'!$J$7:$J$100,'24a'!$H$7:$H$100,$A373,'24a'!$I$7:$I$100,2)+SUMIFS('24b'!$J$7:$J$100,'24b'!$H$7:$H$100,$A373,'24b'!$I$7:$I$100,2)+SUMIFS('24c'!$J$7:$J$100,'24c'!$H$7:$H$100,$A373,'24c'!$I$7:$I$100,2)+SUMIFS('24d'!$J$7:$J$100,'24d'!$H$7:$H$100,$A373,'24d'!$I$7:$I$100,2)+SUMIFS('24e'!$J$7:$J$100,'24e'!$H$7:$H$100,$A373,'24e'!$I$7:$I$100,2)+SUMIFS('24f'!$J$7:$J$100,'24f'!$H$7:$H$100,$A373,'24f'!$I$7:$I$100,2)+SUMIFS('24g'!$J$7:$J$100,'24g'!$H$7:$H$100,$A373,'24g'!$I$7:$I$100,2)+SUMIFS('24h'!$J$7:$J$100,'24h'!$H$7:$H$100,$A373,'24h'!$I$7:$I$100,2)+SUMIFS('24i'!$J$7:$J$100,'24i'!$H$7:$H$100,$A373,'24i'!$I$7:$I$100,2)+SUMIFS('25'!$J$7:$J$100,'25'!$H$7:$H$100,$A373,'25'!$I$7:$I$100,2)+SUMIFS('26'!$J$7:$J$100,'26'!$H$7:$H$100,$A373,'26'!$I$7:$I$100,2)+SUMIFS('26a'!$J$7:$J$100,'26a'!$H$7:$H$100,$A373,'26a'!$I$7:$I$100,2)+SUMIFS('27'!$J$7:$J$100,'27'!$H$7:$H$100,$A373,'27'!$I$7:$I$100,2)+SUMIFS('27a'!$J$7:$J$100,'27a'!$H$7:$H$100,$A373,'27a'!$I$7:$I$100,2)+SUMIFS('28'!$J$7:$J$100,'28'!$H$7:$H$100,$A373,'28'!$I$7:$I$100,2)+SUMIFS('29'!$J$7:$J$100,'29'!$H$7:$H$100,$A373,'29'!$I$7:$I$100,2)</f>
        <v>0</v>
      </c>
      <c r="I373" s="1315">
        <f>SUMIFS('12'!$J$7:$J$100,'12'!$H$7:$H$100,$A373,'12'!$I$7:$I$100,"")+SUMIFS('13'!$J$7:$J$100,'13'!$H$7:$H$100,$A373,'13'!$I$7:$I$100,"")+SUMIFS('14'!$J$7:$J$100,'14'!$H$7:$H$100,$A373,'14'!$I$7:$I$100,"")+SUMIFS('15'!$J$7:$J$100,'15'!$H$7:$H$100,$A373,'15'!$I$7:$I$100,"")+SUMIFS('15a'!$J$7:$J$100,'15a'!$H$7:$H$100,$A373,'15a'!$I$7:$I$100,"")+SUMIFS('15b'!$J$7:$J$100,'15b'!$H$7:$H$100,$A373,'15b'!$I$7:$I$100,"")+SUMIFS('15c'!$J$7:$J$100,'15c'!$H$7:$H$100,$A373,'15c'!$I$7:$I$100,"")+SUMIFS('15d'!$J$7:$J$100,'15d'!$H$7:$H$100,$A373,'15d'!$I$7:$I$100,"")+SUMIFS('15e'!$J$7:$J$100,'15e'!$H$7:$H$100,$A373,'15e'!$I$7:$I$100,"")+SUMIFS('15f'!$J$7:$J$100,'15f'!$H$7:$H$100,$A373,'15f'!$I$7:$I$100,"")+SUMIFS('15g'!$J$7:$J$100,'15g'!$H$7:$H$100,$A373,'15g'!$I$7:$I$100,"")+SUMIFS('15h'!$J$7:$J$100,'15h'!$H$7:$H$100,$A373,'15h'!$I$7:$I$100,"")+SUMIFS('15i'!$J$7:$J$100,'15i'!$H$7:$H$100,$A373,'15i'!$I$7:$I$100,"")+SUMIFS('15j'!$J$7:$J$100,'15j'!$H$7:$H$100,$A373,'15j'!$I$7:$I$100,"")+SUMIFS('15k'!$J$7:$J$100,'15k'!$H$7:$H$100,$A373,'15k'!$I$7:$I$100,"")+SUMIFS('15l'!$J$7:$J$100,'15l'!$H$7:$H$100,$A373,'15l'!$I$7:$I$100,"")+SUMIFS('15m'!$J$7:$J$100,'15m'!$H$7:$H$100,$A373,'15m'!$I$7:$I$100,"")+SUMIFS('15n'!$J$7:$J$100,'15n'!$H$7:$H$100,$A373,'15n'!$I$7:$I$100,"")+SUMIFS('16'!$J$7:$J$100,'16'!$H$7:$H$100,$A373,'16'!$I$7:$I$100,"")+SUMIFS('16a'!$J$7:$J$100,'16a'!$H$7:$H$100,$A373,'16a'!$I$7:$I$100,"")+SUMIFS('17'!$J$7:$J$100,'17'!$H$7:$H$100,$A373,'17'!$I$7:$I$100,"")+SUMIFS('17a'!$J$7:$J$100,'17a'!$H$7:$H$100,$A373,'17a'!$I$7:$I$100,"")+SUMIFS('18'!$J$7:$J$100,'18'!$H$7:$H$100,$A373,'18'!$I$7:$I$100,"")+SUMIFS('18a'!$J$7:$J$100,'18a'!$H$7:$H$100,$A373,'18a'!$I$7:$I$100,"")
+SUMIFS('19'!$J$7:$J$100,'19'!$H$7:$H$100,$A373,'19'!$I$7:$I$100,"")+SUMIFS('20'!$J$7:$J$100,'20'!$H$7:$H$100,$A373,'20'!$I$7:$I$100,"")+SUMIFS('20a'!$J$7:$J$100,'20a'!$H$7:$H$100,$A373,'20a'!$I$7:$I$100,"")+SUMIFS('21'!$J$7:$J$100,'21'!$H$7:$H$100,$A373,'21'!$I$7:$I$100,"")+SUMIFS('22'!$J$7:$J$100,'22'!$H$7:$H$100,$A373,'22'!$I$7:$I$100,"")+SUMIFS('22a'!$J$7:$J$100,'22a'!$H$7:$H$100,$A373,'22a'!$I$7:$I$100,"")+SUMIFS('22b'!$J$7:$J$100,'22b'!$H$7:$H$100,$A373,'22b'!$I$7:$I$100,"")+SUMIFS('23'!$J$7:$J$100,'23'!$H$7:$H$100,$A373,'23'!$I$7:$I$100,"")+SUMIFS('24'!$J$7:$J$100,'24'!$H$7:$H$100,$A373,'24'!$I$7:$I$100,"")+SUMIFS('24a'!$J$7:$J$100,'24a'!$H$7:$H$100,$A373,'24a'!$I$7:$I$100,"")+SUMIFS('24b'!$J$7:$J$100,'24b'!$H$7:$H$100,$A373,'24b'!$I$7:$I$100,"")+SUMIFS('24c'!$J$7:$J$100,'24c'!$H$7:$H$100,$A373,'24c'!$I$7:$I$100,"")+SUMIFS('24d'!$J$7:$J$100,'24d'!$H$7:$H$100,$A373,'24d'!$I$7:$I$100,"")+SUMIFS('24e'!$J$7:$J$100,'24e'!$H$7:$H$100,$A373,'24e'!$I$7:$I$100,"")+SUMIFS('24f'!$J$7:$J$100,'24f'!$H$7:$H$100,$A373,'24f'!$I$7:$I$100,"")+SUMIFS('24g'!$J$7:$J$100,'24g'!$H$7:$H$100,$A373,'24g'!$I$7:$I$100,"")+SUMIFS('24h'!$J$7:$J$100,'24h'!$H$7:$H$100,$A373,'24h'!$I$7:$I$100,"")+SUMIFS('24i'!$J$7:$J$100,'24i'!$H$7:$H$100,$A373,'24i'!$I$7:$I$100,"")+SUMIFS('25'!$J$7:$J$100,'25'!$H$7:$H$100,$A373,'25'!$I$7:$I$100,"")+SUMIFS('26'!$J$7:$J$100,'26'!$H$7:$H$100,$A373,'26'!$I$7:$I$100,"")+SUMIFS('26a'!$J$7:$J$100,'26a'!$H$7:$H$100,$A373,'26a'!$I$7:$I$100,"")+SUMIFS('27'!$J$7:$J$100,'27'!$H$7:$H$100,$A373,'27'!$I$7:$I$100,"")+SUMIFS('27a'!$J$7:$J$100,'27a'!$H$7:$H$100,$A373,'27a'!$I$7:$I$100,"")+SUMIFS('28'!$J$7:$J$100,'28'!$H$7:$H$100,$A373,'28'!$I$7:$I$100,"")+SUMIFS('29'!$J$7:$J$100,'29'!$H$7:$H$100,$A373,'29'!$I$7:$I$100,"")</f>
        <v>0</v>
      </c>
      <c r="J373" s="1296">
        <f t="shared" si="56"/>
        <v>0</v>
      </c>
      <c r="K373"/>
      <c r="L373"/>
      <c r="M373"/>
      <c r="N373"/>
      <c r="O373"/>
      <c r="P373"/>
      <c r="Q373"/>
      <c r="R373"/>
      <c r="S373" s="1307">
        <f t="shared" si="48"/>
        <v>0</v>
      </c>
      <c r="T373"/>
    </row>
    <row r="374" spans="1:20" x14ac:dyDescent="0.2">
      <c r="A374" t="s">
        <v>5107</v>
      </c>
      <c r="B374" t="s">
        <v>5398</v>
      </c>
      <c r="C374" s="1295">
        <f>SUMIFS('12'!$N$7:$N$100,'12'!$H$7:$H$100,$A374,'12'!$I$7:$I$100,1)+SUMIFS('13'!$N$7:$N$100,'13'!$H$7:$H$100,$A374,'13'!$I$7:$I$100,1)+SUMIFS('14'!$N$7:$N$100,'14'!$H$7:$H$100,$A374,'14'!$I$7:$I$100,1)+SUMIFS('15'!$N$7:$N$100,'15'!$H$7:$H$100,$A374,'15'!$I$7:$I$100,1)+SUMIFS('15a'!$N$7:$N$100,'15a'!$H$7:$H$100,$A374,'15a'!$I$7:$I$100,1)+SUMIFS('15b'!$N$7:$N$100,'15b'!$H$7:$H$100,$A374,'15b'!$I$7:$I$100,1)+SUMIFS('15c'!$N$7:$N$100,'15c'!$H$7:$H$100,$A374,'15c'!$I$7:$I$100,1)+SUMIFS('15d'!$N$7:$N$100,'15d'!$H$7:$H$100,$A374,'15d'!$I$7:$I$100,1)+SUMIFS('15e'!$N$7:$N$100,'15e'!$H$7:$H$100,$A374,'15e'!$I$7:$I$100,1)+SUMIFS('15f'!$N$7:$N$100,'15f'!$H$7:$H$100,$A374,'15f'!$I$7:$I$100,1)+SUMIFS('15g'!$N$7:$N$100,'15g'!$H$7:$H$100,$A374,'15g'!$I$7:$I$100,1)+SUMIFS('15h'!$N$7:$N$100,'15h'!$H$7:$H$100,$A374,'15h'!$I$7:$I$100,1)+SUMIFS('15i'!$N$7:$N$100,'15i'!$H$7:$H$100,$A374,'15i'!$I$7:$I$100,1)+SUMIFS('15j'!$N$7:$N$100,'15j'!$H$7:$H$100,$A374,'15j'!$I$7:$I$100,1)+SUMIFS('15k'!$N$7:$N$100,'15k'!$H$7:$H$100,$A374,'15k'!$I$7:$I$100,1)+SUMIFS('15l'!$N$7:$N$100,'15l'!$H$7:$H$100,$A374,'15l'!$I$7:$I$100,1)+SUMIFS('15m'!$N$7:$N$100,'15m'!$H$7:$H$100,$A374,'15m'!$I$7:$I$100,1)+SUMIFS('15n'!$N$7:$N$100,'15n'!$H$7:$H$100,$A374,'15n'!$I$7:$I$100,1)+SUMIFS('16'!$N$7:$N$100,'16'!$H$7:$H$100,$A374,'16'!$I$7:$I$100,1)+SUMIFS('16a'!$N$7:$N$100,'16a'!$H$7:$H$100,$A374,'16a'!$I$7:$I$100,1)+SUMIFS('17'!$N$7:$N$100,'17'!$H$7:$H$100,$A374,'17'!$I$7:$I$100,1)+SUMIFS('17a'!$N$7:$N$100,'17a'!$H$7:$H$100,$A374,'17a'!$I$7:$I$100,1)+SUMIFS('18'!$N$7:$N$100,'18'!$H$7:$H$100,$A374,'18'!$I$7:$I$100,1)+SUMIFS('18a'!$N$7:$N$100,'18a'!$H$7:$H$100,$A374,'18a'!$I$7:$I$100,1)
+SUMIFS('19'!$N$7:$N$100,'19'!$H$7:$H$100,$A374,'19'!$I$7:$I$100,1)+SUMIFS('20'!$N$7:$N$100,'20'!$H$7:$H$100,$A374,'20'!$I$7:$I$100,1)+SUMIFS('20a'!$N$7:$N$100,'20a'!$H$7:$H$100,$A374,'20a'!$I$7:$I$100,1)+SUMIFS('21'!$N$7:$N$100,'21'!$H$7:$H$100,$A374,'21'!$I$7:$I$100,1)+SUMIFS('22'!$N$7:$N$100,'22'!$H$7:$H$100,$A374,'22'!$I$7:$I$100,1)+SUMIFS('22a'!$N$7:$N$100,'22a'!$H$7:$H$100,$A374,'22a'!$I$7:$I$100,1)+SUMIFS('22b'!$N$7:$N$100,'22b'!$H$7:$H$100,$A374,'22b'!$I$7:$I$100,1)+SUMIFS('23'!$N$7:$N$100,'23'!$H$7:$H$100,$A374,'23'!$I$7:$I$100,1)+SUMIFS('24'!$N$7:$N$100,'24'!$H$7:$H$100,$A374,'24'!$I$7:$I$100,1)+SUMIFS('24a'!$N$7:$N$100,'24a'!$H$7:$H$100,$A374,'24a'!$I$7:$I$100,1)+SUMIFS('24b'!$N$7:$N$100,'24b'!$H$7:$H$100,$A374,'24b'!$I$7:$I$100,1)+SUMIFS('24c'!$N$7:$N$100,'24c'!$H$7:$H$100,$A374,'24c'!$I$7:$I$100,1)+SUMIFS('24d'!$N$7:$N$100,'24d'!$H$7:$H$100,$A374,'24d'!$I$7:$I$100,1)+SUMIFS('24e'!$N$7:$N$100,'24e'!$H$7:$H$100,$A374,'24e'!$I$7:$I$100,1)+SUMIFS('24f'!$N$7:$N$100,'24f'!$H$7:$H$100,$A374,'24f'!$I$7:$I$100,1)+SUMIFS('24g'!$N$7:$N$100,'24g'!$H$7:$H$100,$A374,'24g'!$I$7:$I$100,1)+SUMIFS('24h'!$N$7:$N$100,'24h'!$H$7:$H$100,$A374,'24h'!$I$7:$I$100,1)+SUMIFS('24i'!$N$7:$N$100,'24i'!$H$7:$H$100,$A374,'24i'!$I$7:$I$100,1)+SUMIFS('25'!$N$7:$N$100,'25'!$H$7:$H$100,$A374,'25'!$I$7:$I$100,1)+SUMIFS('26'!$N$7:$N$100,'26'!$H$7:$H$100,$A374,'26'!$I$7:$I$100,1)+SUMIFS('26a'!$N$7:$N$100,'26a'!$H$7:$H$100,$A374,'26a'!$I$7:$I$100,1)+SUMIFS('27'!$N$7:$N$100,'27'!$H$7:$H$100,$A374,'27'!$I$7:$I$100,1)+SUMIFS('27a'!$N$7:$N$100,'27a'!$H$7:$H$100,$A374,'27a'!$I$7:$I$100,1)+SUMIFS('28'!$N$7:$N$100,'28'!$H$7:$H$100,$A374,'28'!$I$7:$I$100,1)+SUMIFS('29'!$N$7:$N$100,'29'!$H$7:$H$100,$A374,'29'!$I$7:$I$100,1)</f>
        <v>0</v>
      </c>
      <c r="D374" s="1315">
        <f>SUMIFS('12'!$N$7:$N$100,'12'!$H$7:$H$100,$A374,'12'!$I$7:$I$100,2)+SUMIFS('13'!$N$7:$N$100,'13'!$H$7:$H$100,$A374,'13'!$I$7:$I$100,2)+SUMIFS('14'!$N$7:$N$100,'14'!$H$7:$H$100,$A374,'14'!$I$7:$I$100,2)+SUMIFS('15'!$N$7:$N$100,'15'!$H$7:$H$100,$A374,'15'!$I$7:$I$100,2)+SUMIFS('15a'!$N$7:$N$100,'15a'!$H$7:$H$100,$A374,'15a'!$I$7:$I$100,2)+SUMIFS('15b'!$N$7:$N$100,'15b'!$H$7:$H$100,$A374,'15b'!$I$7:$I$100,2)+SUMIFS('15c'!$N$7:$N$100,'15c'!$H$7:$H$100,$A374,'15c'!$I$7:$I$100,2)+SUMIFS('15d'!$N$7:$N$100,'15d'!$H$7:$H$100,$A374,'15d'!$I$7:$I$100,2)+SUMIFS('15e'!$N$7:$N$100,'15e'!$H$7:$H$100,$A374,'15e'!$I$7:$I$100,2)+SUMIFS('15f'!$N$7:$N$100,'15f'!$H$7:$H$100,$A374,'15f'!$I$7:$I$100,2)+SUMIFS('15g'!$N$7:$N$100,'15g'!$H$7:$H$100,$A374,'15g'!$I$7:$I$100,2)+SUMIFS('15h'!$N$7:$N$100,'15h'!$H$7:$H$100,$A374,'15h'!$I$7:$I$100,2)+SUMIFS('15i'!$N$7:$N$100,'15i'!$H$7:$H$100,$A374,'15i'!$I$7:$I$100,2)+SUMIFS('15j'!$N$7:$N$100,'15j'!$H$7:$H$100,$A374,'15j'!$I$7:$I$100,2)+SUMIFS('15k'!$N$7:$N$100,'15k'!$H$7:$H$100,$A374,'15k'!$I$7:$I$100,2)+SUMIFS('15l'!$N$7:$N$100,'15l'!$H$7:$H$100,$A374,'15l'!$I$7:$I$100,2)+SUMIFS('15m'!$N$7:$N$100,'15m'!$H$7:$H$100,$A374,'15m'!$I$7:$I$100,2)+SUMIFS('15n'!$N$7:$N$100,'15n'!$H$7:$H$100,$A374,'15n'!$I$7:$I$100,2)+SUMIFS('16'!$N$7:$N$100,'16'!$H$7:$H$100,$A374,'16'!$I$7:$I$100,2)+SUMIFS('16a'!$N$7:$N$100,'16a'!$H$7:$H$100,$A374,'16a'!$I$7:$I$100,2)+SUMIFS('17'!$N$7:$N$100,'17'!$H$7:$H$100,$A374,'17'!$I$7:$I$100,2)+SUMIFS('17a'!$N$7:$N$100,'17a'!$H$7:$H$100,$A374,'17a'!$I$7:$I$100,2)+SUMIFS('18'!$N$7:$N$100,'18'!$H$7:$H$100,$A374,'18'!$I$7:$I$100,2)+SUMIFS('18a'!$N$7:$N$100,'18a'!$H$7:$H$100,$A374,'18a'!$I$7:$I$100,2)
+SUMIFS('19'!$N$7:$N$100,'19'!$H$7:$H$100,$A374,'19'!$I$7:$I$100,2)+SUMIFS('20'!$N$7:$N$100,'20'!$H$7:$H$100,$A374,'20'!$I$7:$I$100,2)+SUMIFS('20a'!$N$7:$N$100,'20a'!$H$7:$H$100,$A374,'20a'!$I$7:$I$100,2)+SUMIFS('21'!$N$7:$N$100,'21'!$H$7:$H$100,$A374,'21'!$I$7:$I$100,2)+SUMIFS('22'!$N$7:$N$100,'22'!$H$7:$H$100,$A374,'22'!$I$7:$I$100,2)+SUMIFS('22a'!$N$7:$N$100,'22a'!$H$7:$H$100,$A374,'22a'!$I$7:$I$100,2)+SUMIFS('22b'!$N$7:$N$100,'22b'!$H$7:$H$100,$A374,'22b'!$I$7:$I$100,2)+SUMIFS('23'!$N$7:$N$100,'23'!$H$7:$H$100,$A374,'23'!$I$7:$I$100,2)+SUMIFS('24'!$N$7:$N$100,'24'!$H$7:$H$100,$A374,'24'!$I$7:$I$100,2)+SUMIFS('24a'!$N$7:$N$100,'24a'!$H$7:$H$100,$A374,'24a'!$I$7:$I$100,2)+SUMIFS('24b'!$N$7:$N$100,'24b'!$H$7:$H$100,$A374,'24b'!$I$7:$I$100,2)+SUMIFS('24c'!$N$7:$N$100,'24c'!$H$7:$H$100,$A374,'24c'!$I$7:$I$100,2)+SUMIFS('24d'!$N$7:$N$100,'24d'!$H$7:$H$100,$A374,'24d'!$I$7:$I$100,2)+SUMIFS('24e'!$N$7:$N$100,'24e'!$H$7:$H$100,$A374,'24e'!$I$7:$I$100,2)+SUMIFS('24f'!$N$7:$N$100,'24f'!$H$7:$H$100,$A374,'24f'!$I$7:$I$100,2)+SUMIFS('24g'!$N$7:$N$100,'24g'!$H$7:$H$100,$A374,'24g'!$I$7:$I$100,2)+SUMIFS('24h'!$N$7:$N$100,'24h'!$H$7:$H$100,$A374,'24h'!$I$7:$I$100,2)+SUMIFS('24i'!$N$7:$N$100,'24i'!$H$7:$H$100,$A374,'24i'!$I$7:$I$100,2)+SUMIFS('25'!$N$7:$N$100,'25'!$H$7:$H$100,$A374,'25'!$I$7:$I$100,2)+SUMIFS('26'!$N$7:$N$100,'26'!$H$7:$H$100,$A374,'26'!$I$7:$I$100,2)+SUMIFS('26a'!$N$7:$N$100,'26a'!$H$7:$H$100,$A374,'26a'!$I$7:$I$100,2)+SUMIFS('27'!$N$7:$N$100,'27'!$H$7:$H$100,$A374,'27'!$I$7:$I$100,2)+SUMIFS('27a'!$N$7:$N$100,'27a'!$H$7:$H$100,$A374,'27a'!$I$7:$I$100,2)+SUMIFS('28'!$N$7:$N$100,'28'!$H$7:$H$100,$A374,'28'!$I$7:$I$100,2)+SUMIFS('29'!$N$7:$N$100,'29'!$H$7:$H$100,$A374,'29'!$I$7:$I$100,2)</f>
        <v>1246.04</v>
      </c>
      <c r="E374" s="1315">
        <f>SUMIFS('12'!$N$7:$N$100,'12'!$H$7:$H$100,$A374,'12'!$I$7:$I$100,"")+SUMIFS('13'!$N$7:$N$100,'13'!$H$7:$H$100,$A374,'13'!$I$7:$I$100,"")+SUMIFS('14'!$N$7:$N$100,'14'!$H$7:$H$100,$A374,'14'!$I$7:$I$100,"")+SUMIFS('15'!$N$7:$N$100,'15'!$H$7:$H$100,$A374,'15'!$I$7:$I$100,"")+SUMIFS('15a'!$N$7:$N$100,'15a'!$H$7:$H$100,$A374,'15a'!$I$7:$I$100,"")+SUMIFS('15b'!$N$7:$N$100,'15b'!$H$7:$H$100,$A374,'15b'!$I$7:$I$100,"")+SUMIFS('15c'!$N$7:$N$100,'15c'!$H$7:$H$100,$A374,'15c'!$I$7:$I$100,"")+SUMIFS('15d'!$N$7:$N$100,'15d'!$H$7:$H$100,$A374,'15d'!$I$7:$I$100,"")+SUMIFS('15e'!$N$7:$N$100,'15e'!$H$7:$H$100,$A374,'15e'!$I$7:$I$100,"")+SUMIFS('15f'!$N$7:$N$100,'15f'!$H$7:$H$100,$A374,'15f'!$I$7:$I$100,"")+SUMIFS('15g'!$N$7:$N$100,'15g'!$H$7:$H$100,$A374,'15g'!$I$7:$I$100,"")+SUMIFS('15h'!$N$7:$N$100,'15h'!$H$7:$H$100,$A374,'15h'!$I$7:$I$100,"")+SUMIFS('15i'!$N$7:$N$100,'15i'!$H$7:$H$100,$A374,'15i'!$I$7:$I$100,"")+SUMIFS('15j'!$N$7:$N$100,'15j'!$H$7:$H$100,$A374,'15j'!$I$7:$I$100,"")+SUMIFS('15k'!$N$7:$N$100,'15k'!$H$7:$H$100,$A374,'15k'!$I$7:$I$100,"")+SUMIFS('15l'!$N$7:$N$100,'15l'!$H$7:$H$100,$A374,'15l'!$I$7:$I$100,"")+SUMIFS('15m'!$N$7:$N$100,'15m'!$H$7:$H$100,$A374,'15m'!$I$7:$I$100,"")+SUMIFS('15n'!$N$7:$N$100,'15n'!$H$7:$H$100,$A374,'15n'!$I$7:$I$100,"")+SUMIFS('16'!$N$7:$N$100,'16'!$H$7:$H$100,$A374,'16'!$I$7:$I$100,"")+SUMIFS('16a'!$N$7:$N$100,'16a'!$H$7:$H$100,$A374,'16a'!$I$7:$I$100,"")+SUMIFS('17'!$N$7:$N$100,'17'!$H$7:$H$100,$A374,'17'!$I$7:$I$100,"")+SUMIFS('17a'!$N$7:$N$100,'17a'!$H$7:$H$100,$A374,'17a'!$I$7:$I$100,"")+SUMIFS('18'!$N$7:$N$100,'18'!$H$7:$H$100,$A374,'18'!$I$7:$I$100,"")+SUMIFS('18a'!$N$7:$N$100,'18a'!$H$7:$H$100,$A374,'18a'!$I$7:$I$100,"")
+SUMIFS('19'!$N$7:$N$100,'19'!$H$7:$H$100,$A374,'19'!$I$7:$I$100,"")+SUMIFS('20'!$N$7:$N$100,'20'!$H$7:$H$100,$A374,'20'!$I$7:$I$100,"")+SUMIFS('20a'!$N$7:$N$100,'20a'!$H$7:$H$100,$A374,'20a'!$I$7:$I$100,"")+SUMIFS('21'!$N$7:$N$100,'21'!$H$7:$H$100,$A374,'21'!$I$7:$I$100,"")+SUMIFS('22'!$N$7:$N$100,'22'!$H$7:$H$100,$A374,'22'!$I$7:$I$100,"")+SUMIFS('22a'!$N$7:$N$100,'22a'!$H$7:$H$100,$A374,'22a'!$I$7:$I$100,"")+SUMIFS('22b'!$N$7:$N$100,'22b'!$H$7:$H$100,$A374,'22b'!$I$7:$I$100,"")+SUMIFS('23'!$N$7:$N$100,'23'!$H$7:$H$100,$A374,'23'!$I$7:$I$100,"")+SUMIFS('24'!$N$7:$N$100,'24'!$H$7:$H$100,$A374,'24'!$I$7:$I$100,"")+SUMIFS('24a'!$N$7:$N$100,'24a'!$H$7:$H$100,$A374,'24a'!$I$7:$I$100,"")+SUMIFS('24b'!$N$7:$N$100,'24b'!$H$7:$H$100,$A374,'24b'!$I$7:$I$100,"")+SUMIFS('24c'!$N$7:$N$100,'24c'!$H$7:$H$100,$A374,'24c'!$I$7:$I$100,"")+SUMIFS('24d'!$N$7:$N$100,'24d'!$H$7:$H$100,$A374,'24d'!$I$7:$I$100,"")+SUMIFS('24e'!$N$7:$N$100,'24e'!$H$7:$H$100,$A374,'24e'!$I$7:$I$100,"")+SUMIFS('24f'!$N$7:$N$100,'24f'!$H$7:$H$100,$A374,'24f'!$I$7:$I$100,"")+SUMIFS('24g'!$N$7:$N$100,'24g'!$H$7:$H$100,$A374,'24g'!$I$7:$I$100,"")+SUMIFS('24h'!$N$7:$N$100,'24h'!$H$7:$H$100,$A374,'24h'!$I$7:$I$100,"")+SUMIFS('24i'!$N$7:$N$100,'24i'!$H$7:$H$100,$A374,'24i'!$I$7:$I$100,"")+SUMIFS('25'!$N$7:$N$100,'25'!$H$7:$H$100,$A374,'25'!$I$7:$I$100,"")+SUMIFS('26'!$N$7:$N$100,'26'!$H$7:$H$100,$A374,'26'!$I$7:$I$100,"")+SUMIFS('26a'!$N$7:$N$100,'26a'!$H$7:$H$100,$A374,'26a'!$I$7:$I$100,"")+SUMIFS('27'!$N$7:$N$100,'27'!$H$7:$H$100,$A374,'27'!$I$7:$I$100,"")+SUMIFS('27a'!$N$7:$N$100,'27a'!$H$7:$H$100,$A374,'27a'!$I$7:$I$100,"")+SUMIFS('28'!$N$7:$N$100,'28'!$H$7:$H$100,$A374,'28'!$I$7:$I$100,"")+SUMIFS('29'!$N$7:$N$100,'29'!$H$7:$H$100,$A374,'29'!$I$7:$I$100,"")</f>
        <v>0</v>
      </c>
      <c r="F374" s="1296">
        <f t="shared" si="55"/>
        <v>1246.04</v>
      </c>
      <c r="G374" s="1295">
        <f>SUMIFS('12'!$J$7:$J$100,'12'!$H$7:$H$100,$A374,'12'!$I$7:$I$100,1)+SUMIFS('13'!$J$7:$J$100,'13'!$H$7:$H$100,$A374,'13'!$I$7:$I$100,1)+SUMIFS('14'!$J$7:$J$100,'14'!$H$7:$H$100,$A374,'14'!$I$7:$I$100,1)+SUMIFS('15'!$J$7:$J$100,'15'!$H$7:$H$100,$A374,'15'!$I$7:$I$100,1)+SUMIFS('15a'!$J$7:$J$100,'15a'!$H$7:$H$100,$A374,'15a'!$I$7:$I$100,1)+SUMIFS('15b'!$J$7:$J$100,'15b'!$H$7:$H$100,$A374,'15b'!$I$7:$I$100,1)+SUMIFS('15c'!$J$7:$J$100,'15c'!$H$7:$H$100,$A374,'15c'!$I$7:$I$100,1)+SUMIFS('15d'!$J$7:$J$100,'15d'!$H$7:$H$100,$A374,'15d'!$I$7:$I$100,1)+SUMIFS('15e'!$J$7:$J$100,'15e'!$H$7:$H$100,$A374,'15e'!$I$7:$I$100,1)+SUMIFS('15f'!$J$7:$J$100,'15f'!$H$7:$H$100,$A374,'15f'!$I$7:$I$100,1)+SUMIFS('15g'!$J$7:$J$100,'15g'!$H$7:$H$100,$A374,'15g'!$I$7:$I$100,1)+SUMIFS('15h'!$J$7:$J$100,'15h'!$H$7:$H$100,$A374,'15h'!$I$7:$I$100,1)+SUMIFS('15i'!$J$7:$J$100,'15i'!$H$7:$H$100,$A374,'15i'!$I$7:$I$100,1)+SUMIFS('15j'!$J$7:$J$100,'15j'!$H$7:$H$100,$A374,'15j'!$I$7:$I$100,1)+SUMIFS('15k'!$J$7:$J$100,'15k'!$H$7:$H$100,$A374,'15k'!$I$7:$I$100,1)+SUMIFS('15l'!$J$7:$J$100,'15l'!$H$7:$H$100,$A374,'15l'!$I$7:$I$100,1)+SUMIFS('15m'!$J$7:$J$100,'15m'!$H$7:$H$100,$A374,'15m'!$I$7:$I$100,1)+SUMIFS('15n'!$J$7:$J$100,'15n'!$H$7:$H$100,$A374,'15n'!$I$7:$I$100,1)+SUMIFS('16'!$J$7:$J$100,'16'!$H$7:$H$100,$A374,'16'!$I$7:$I$100,1)+SUMIFS('16a'!$J$7:$J$100,'16a'!$H$7:$H$100,$A374,'16a'!$I$7:$I$100,1)+SUMIFS('17'!$J$7:$J$100,'17'!$H$7:$H$100,$A374,'17'!$I$7:$I$100,1)+SUMIFS('17a'!$J$7:$J$100,'17a'!$H$7:$H$100,$A374,'17a'!$I$7:$I$100,1)+SUMIFS('18'!$J$7:$J$100,'18'!$H$7:$H$100,$A374,'18'!$I$7:$I$100,1)+SUMIFS('18a'!$J$7:$J$100,'18a'!$H$7:$H$100,$A374,'18a'!$I$7:$I$100,1)
+SUMIFS('19'!$J$7:$J$100,'19'!$H$7:$H$100,$A374,'19'!$I$7:$I$100,1)+SUMIFS('20'!$J$7:$J$100,'20'!$H$7:$H$100,$A374,'20'!$I$7:$I$100,1)+SUMIFS('20a'!$J$7:$J$100,'20a'!$H$7:$H$100,$A374,'20a'!$I$7:$I$100,1)+SUMIFS('21'!$J$7:$J$100,'21'!$H$7:$H$100,$A374,'21'!$I$7:$I$100,1)+SUMIFS('22'!$J$7:$J$100,'22'!$H$7:$H$100,$A374,'22'!$I$7:$I$100,1)+SUMIFS('22a'!$J$7:$J$100,'22a'!$H$7:$H$100,$A374,'22a'!$I$7:$I$100,1)+SUMIFS('22b'!$J$7:$J$100,'22b'!$H$7:$H$100,$A374,'22b'!$I$7:$I$100,1)+SUMIFS('23'!$J$7:$J$100,'23'!$H$7:$H$100,$A374,'23'!$I$7:$I$100,1)+SUMIFS('24'!$J$7:$J$100,'24'!$H$7:$H$100,$A374,'24'!$I$7:$I$100,1)+SUMIFS('24a'!$J$7:$J$100,'24a'!$H$7:$H$100,$A374,'24a'!$I$7:$I$100,1)+SUMIFS('24b'!$J$7:$J$100,'24b'!$H$7:$H$100,$A374,'24b'!$I$7:$I$100,1)+SUMIFS('24c'!$J$7:$J$100,'24c'!$H$7:$H$100,$A374,'24c'!$I$7:$I$100,1)+SUMIFS('24d'!$J$7:$J$100,'24d'!$H$7:$H$100,$A374,'24d'!$I$7:$I$100,1)+SUMIFS('24e'!$J$7:$J$100,'24e'!$H$7:$H$100,$A374,'24e'!$I$7:$I$100,1)+SUMIFS('24f'!$J$7:$J$100,'24f'!$H$7:$H$100,$A374,'24f'!$I$7:$I$100,1)+SUMIFS('24g'!$J$7:$J$100,'24g'!$H$7:$H$100,$A374,'24g'!$I$7:$I$100,1)+SUMIFS('24h'!$J$7:$J$100,'24h'!$H$7:$H$100,$A374,'24h'!$I$7:$I$100,1)+SUMIFS('24i'!$J$7:$J$100,'24i'!$H$7:$H$100,$A374,'24i'!$I$7:$I$100,1)+SUMIFS('25'!$J$7:$J$100,'25'!$H$7:$H$100,$A374,'25'!$I$7:$I$100,1)+SUMIFS('26'!$J$7:$J$100,'26'!$H$7:$H$100,$A374,'26'!$I$7:$I$100,1)+SUMIFS('26a'!$J$7:$J$100,'26a'!$H$7:$H$100,$A374,'26a'!$I$7:$I$100,1)+SUMIFS('27'!$J$7:$J$100,'27'!$H$7:$H$100,$A374,'27'!$I$7:$I$100,1)+SUMIFS('27a'!$J$7:$J$100,'27a'!$H$7:$H$100,$A374,'27a'!$I$7:$I$100,1)+SUMIFS('28'!$J$7:$J$100,'28'!$H$7:$H$100,$A374,'28'!$I$7:$I$100,1)+SUMIFS('29'!$J$7:$J$100,'29'!$H$7:$H$100,$A374,'29'!$I$7:$I$100,1)</f>
        <v>0</v>
      </c>
      <c r="H374" s="1315">
        <f>SUMIFS('12'!$J$7:$J$100,'12'!$H$7:$H$100,$A374,'12'!$I$7:$I$100,2)+SUMIFS('13'!$J$7:$J$100,'13'!$H$7:$H$100,$A374,'13'!$I$7:$I$100,2)+SUMIFS('14'!$J$7:$J$100,'14'!$H$7:$H$100,$A374,'14'!$I$7:$I$100,2)+SUMIFS('15'!$J$7:$J$100,'15'!$H$7:$H$100,$A374,'15'!$I$7:$I$100,2)+SUMIFS('15a'!$J$7:$J$100,'15a'!$H$7:$H$100,$A374,'15a'!$I$7:$I$100,2)+SUMIFS('15b'!$J$7:$J$100,'15b'!$H$7:$H$100,$A374,'15b'!$I$7:$I$100,2)+SUMIFS('15c'!$J$7:$J$100,'15c'!$H$7:$H$100,$A374,'15c'!$I$7:$I$100,2)+SUMIFS('15d'!$J$7:$J$100,'15d'!$H$7:$H$100,$A374,'15d'!$I$7:$I$100,2)+SUMIFS('15e'!$J$7:$J$100,'15e'!$H$7:$H$100,$A374,'15e'!$I$7:$I$100,2)+SUMIFS('15f'!$J$7:$J$100,'15f'!$H$7:$H$100,$A374,'15f'!$I$7:$I$100,2)+SUMIFS('15g'!$J$7:$J$100,'15g'!$H$7:$H$100,$A374,'15g'!$I$7:$I$100,2)+SUMIFS('15h'!$J$7:$J$100,'15h'!$H$7:$H$100,$A374,'15h'!$I$7:$I$100,2)+SUMIFS('15i'!$J$7:$J$100,'15i'!$H$7:$H$100,$A374,'15i'!$I$7:$I$100,2)+SUMIFS('15j'!$J$7:$J$100,'15j'!$H$7:$H$100,$A374,'15j'!$I$7:$I$100,2)+SUMIFS('15k'!$J$7:$J$100,'15k'!$H$7:$H$100,$A374,'15k'!$I$7:$I$100,2)+SUMIFS('15l'!$J$7:$J$100,'15l'!$H$7:$H$100,$A374,'15l'!$I$7:$I$100,2)+SUMIFS('15m'!$J$7:$J$100,'15m'!$H$7:$H$100,$A374,'15m'!$I$7:$I$100,2)+SUMIFS('15n'!$J$7:$J$100,'15n'!$H$7:$H$100,$A374,'15n'!$I$7:$I$100,2)+SUMIFS('16'!$J$7:$J$100,'16'!$H$7:$H$100,$A374,'16'!$I$7:$I$100,2)+SUMIFS('16a'!$J$7:$J$100,'16a'!$H$7:$H$100,$A374,'16a'!$I$7:$I$100,2)+SUMIFS('17'!$J$7:$J$100,'17'!$H$7:$H$100,$A374,'17'!$I$7:$I$100,2)+SUMIFS('17a'!$J$7:$J$100,'17a'!$H$7:$H$100,$A374,'17a'!$I$7:$I$100,2)+SUMIFS('18'!$J$7:$J$100,'18'!$H$7:$H$100,$A374,'18'!$I$7:$I$100,2)+SUMIFS('18a'!$J$7:$J$100,'18a'!$H$7:$H$100,$A374,'18a'!$I$7:$I$100,2)
+SUMIFS('19'!$J$7:$J$100,'19'!$H$7:$H$100,$A374,'19'!$I$7:$I$100,2)+SUMIFS('20'!$J$7:$J$100,'20'!$H$7:$H$100,$A374,'20'!$I$7:$I$100,2)+SUMIFS('20a'!$J$7:$J$100,'20a'!$H$7:$H$100,$A374,'20a'!$I$7:$I$100,2)+SUMIFS('21'!$J$7:$J$100,'21'!$H$7:$H$100,$A374,'21'!$I$7:$I$100,2)+SUMIFS('22'!$J$7:$J$100,'22'!$H$7:$H$100,$A374,'22'!$I$7:$I$100,2)+SUMIFS('22a'!$J$7:$J$100,'22a'!$H$7:$H$100,$A374,'22a'!$I$7:$I$100,2)+SUMIFS('22b'!$J$7:$J$100,'22b'!$H$7:$H$100,$A374,'22b'!$I$7:$I$100,2)+SUMIFS('23'!$J$7:$J$100,'23'!$H$7:$H$100,$A374,'23'!$I$7:$I$100,2)+SUMIFS('24'!$J$7:$J$100,'24'!$H$7:$H$100,$A374,'24'!$I$7:$I$100,2)+SUMIFS('24a'!$J$7:$J$100,'24a'!$H$7:$H$100,$A374,'24a'!$I$7:$I$100,2)+SUMIFS('24b'!$J$7:$J$100,'24b'!$H$7:$H$100,$A374,'24b'!$I$7:$I$100,2)+SUMIFS('24c'!$J$7:$J$100,'24c'!$H$7:$H$100,$A374,'24c'!$I$7:$I$100,2)+SUMIFS('24d'!$J$7:$J$100,'24d'!$H$7:$H$100,$A374,'24d'!$I$7:$I$100,2)+SUMIFS('24e'!$J$7:$J$100,'24e'!$H$7:$H$100,$A374,'24e'!$I$7:$I$100,2)+SUMIFS('24f'!$J$7:$J$100,'24f'!$H$7:$H$100,$A374,'24f'!$I$7:$I$100,2)+SUMIFS('24g'!$J$7:$J$100,'24g'!$H$7:$H$100,$A374,'24g'!$I$7:$I$100,2)+SUMIFS('24h'!$J$7:$J$100,'24h'!$H$7:$H$100,$A374,'24h'!$I$7:$I$100,2)+SUMIFS('24i'!$J$7:$J$100,'24i'!$H$7:$H$100,$A374,'24i'!$I$7:$I$100,2)+SUMIFS('25'!$J$7:$J$100,'25'!$H$7:$H$100,$A374,'25'!$I$7:$I$100,2)+SUMIFS('26'!$J$7:$J$100,'26'!$H$7:$H$100,$A374,'26'!$I$7:$I$100,2)+SUMIFS('26a'!$J$7:$J$100,'26a'!$H$7:$H$100,$A374,'26a'!$I$7:$I$100,2)+SUMIFS('27'!$J$7:$J$100,'27'!$H$7:$H$100,$A374,'27'!$I$7:$I$100,2)+SUMIFS('27a'!$J$7:$J$100,'27a'!$H$7:$H$100,$A374,'27a'!$I$7:$I$100,2)+SUMIFS('28'!$J$7:$J$100,'28'!$H$7:$H$100,$A374,'28'!$I$7:$I$100,2)+SUMIFS('29'!$J$7:$J$100,'29'!$H$7:$H$100,$A374,'29'!$I$7:$I$100,2)</f>
        <v>1500</v>
      </c>
      <c r="I374" s="1315">
        <f>SUMIFS('12'!$J$7:$J$100,'12'!$H$7:$H$100,$A374,'12'!$I$7:$I$100,"")+SUMIFS('13'!$J$7:$J$100,'13'!$H$7:$H$100,$A374,'13'!$I$7:$I$100,"")+SUMIFS('14'!$J$7:$J$100,'14'!$H$7:$H$100,$A374,'14'!$I$7:$I$100,"")+SUMIFS('15'!$J$7:$J$100,'15'!$H$7:$H$100,$A374,'15'!$I$7:$I$100,"")+SUMIFS('15a'!$J$7:$J$100,'15a'!$H$7:$H$100,$A374,'15a'!$I$7:$I$100,"")+SUMIFS('15b'!$J$7:$J$100,'15b'!$H$7:$H$100,$A374,'15b'!$I$7:$I$100,"")+SUMIFS('15c'!$J$7:$J$100,'15c'!$H$7:$H$100,$A374,'15c'!$I$7:$I$100,"")+SUMIFS('15d'!$J$7:$J$100,'15d'!$H$7:$H$100,$A374,'15d'!$I$7:$I$100,"")+SUMIFS('15e'!$J$7:$J$100,'15e'!$H$7:$H$100,$A374,'15e'!$I$7:$I$100,"")+SUMIFS('15f'!$J$7:$J$100,'15f'!$H$7:$H$100,$A374,'15f'!$I$7:$I$100,"")+SUMIFS('15g'!$J$7:$J$100,'15g'!$H$7:$H$100,$A374,'15g'!$I$7:$I$100,"")+SUMIFS('15h'!$J$7:$J$100,'15h'!$H$7:$H$100,$A374,'15h'!$I$7:$I$100,"")+SUMIFS('15i'!$J$7:$J$100,'15i'!$H$7:$H$100,$A374,'15i'!$I$7:$I$100,"")+SUMIFS('15j'!$J$7:$J$100,'15j'!$H$7:$H$100,$A374,'15j'!$I$7:$I$100,"")+SUMIFS('15k'!$J$7:$J$100,'15k'!$H$7:$H$100,$A374,'15k'!$I$7:$I$100,"")+SUMIFS('15l'!$J$7:$J$100,'15l'!$H$7:$H$100,$A374,'15l'!$I$7:$I$100,"")+SUMIFS('15m'!$J$7:$J$100,'15m'!$H$7:$H$100,$A374,'15m'!$I$7:$I$100,"")+SUMIFS('15n'!$J$7:$J$100,'15n'!$H$7:$H$100,$A374,'15n'!$I$7:$I$100,"")+SUMIFS('16'!$J$7:$J$100,'16'!$H$7:$H$100,$A374,'16'!$I$7:$I$100,"")+SUMIFS('16a'!$J$7:$J$100,'16a'!$H$7:$H$100,$A374,'16a'!$I$7:$I$100,"")+SUMIFS('17'!$J$7:$J$100,'17'!$H$7:$H$100,$A374,'17'!$I$7:$I$100,"")+SUMIFS('17a'!$J$7:$J$100,'17a'!$H$7:$H$100,$A374,'17a'!$I$7:$I$100,"")+SUMIFS('18'!$J$7:$J$100,'18'!$H$7:$H$100,$A374,'18'!$I$7:$I$100,"")+SUMIFS('18a'!$J$7:$J$100,'18a'!$H$7:$H$100,$A374,'18a'!$I$7:$I$100,"")
+SUMIFS('19'!$J$7:$J$100,'19'!$H$7:$H$100,$A374,'19'!$I$7:$I$100,"")+SUMIFS('20'!$J$7:$J$100,'20'!$H$7:$H$100,$A374,'20'!$I$7:$I$100,"")+SUMIFS('20a'!$J$7:$J$100,'20a'!$H$7:$H$100,$A374,'20a'!$I$7:$I$100,"")+SUMIFS('21'!$J$7:$J$100,'21'!$H$7:$H$100,$A374,'21'!$I$7:$I$100,"")+SUMIFS('22'!$J$7:$J$100,'22'!$H$7:$H$100,$A374,'22'!$I$7:$I$100,"")+SUMIFS('22a'!$J$7:$J$100,'22a'!$H$7:$H$100,$A374,'22a'!$I$7:$I$100,"")+SUMIFS('22b'!$J$7:$J$100,'22b'!$H$7:$H$100,$A374,'22b'!$I$7:$I$100,"")+SUMIFS('23'!$J$7:$J$100,'23'!$H$7:$H$100,$A374,'23'!$I$7:$I$100,"")+SUMIFS('24'!$J$7:$J$100,'24'!$H$7:$H$100,$A374,'24'!$I$7:$I$100,"")+SUMIFS('24a'!$J$7:$J$100,'24a'!$H$7:$H$100,$A374,'24a'!$I$7:$I$100,"")+SUMIFS('24b'!$J$7:$J$100,'24b'!$H$7:$H$100,$A374,'24b'!$I$7:$I$100,"")+SUMIFS('24c'!$J$7:$J$100,'24c'!$H$7:$H$100,$A374,'24c'!$I$7:$I$100,"")+SUMIFS('24d'!$J$7:$J$100,'24d'!$H$7:$H$100,$A374,'24d'!$I$7:$I$100,"")+SUMIFS('24e'!$J$7:$J$100,'24e'!$H$7:$H$100,$A374,'24e'!$I$7:$I$100,"")+SUMIFS('24f'!$J$7:$J$100,'24f'!$H$7:$H$100,$A374,'24f'!$I$7:$I$100,"")+SUMIFS('24g'!$J$7:$J$100,'24g'!$H$7:$H$100,$A374,'24g'!$I$7:$I$100,"")+SUMIFS('24h'!$J$7:$J$100,'24h'!$H$7:$H$100,$A374,'24h'!$I$7:$I$100,"")+SUMIFS('24i'!$J$7:$J$100,'24i'!$H$7:$H$100,$A374,'24i'!$I$7:$I$100,"")+SUMIFS('25'!$J$7:$J$100,'25'!$H$7:$H$100,$A374,'25'!$I$7:$I$100,"")+SUMIFS('26'!$J$7:$J$100,'26'!$H$7:$H$100,$A374,'26'!$I$7:$I$100,"")+SUMIFS('26a'!$J$7:$J$100,'26a'!$H$7:$H$100,$A374,'26a'!$I$7:$I$100,"")+SUMIFS('27'!$J$7:$J$100,'27'!$H$7:$H$100,$A374,'27'!$I$7:$I$100,"")+SUMIFS('27a'!$J$7:$J$100,'27a'!$H$7:$H$100,$A374,'27a'!$I$7:$I$100,"")+SUMIFS('28'!$J$7:$J$100,'28'!$H$7:$H$100,$A374,'28'!$I$7:$I$100,"")+SUMIFS('29'!$J$7:$J$100,'29'!$H$7:$H$100,$A374,'29'!$I$7:$I$100,"")</f>
        <v>0</v>
      </c>
      <c r="J374" s="1296">
        <f t="shared" si="56"/>
        <v>1500</v>
      </c>
      <c r="K374"/>
      <c r="L374"/>
      <c r="M374"/>
      <c r="N374"/>
      <c r="O374"/>
      <c r="P374"/>
      <c r="Q374"/>
      <c r="R374"/>
      <c r="S374" s="1307">
        <f t="shared" si="48"/>
        <v>5492.08</v>
      </c>
      <c r="T374"/>
    </row>
    <row r="375" spans="1:20" x14ac:dyDescent="0.2">
      <c r="A375" t="s">
        <v>5110</v>
      </c>
      <c r="B375" t="s">
        <v>5399</v>
      </c>
      <c r="C375" s="1295">
        <f>SUMIFS('12'!$N$7:$N$100,'12'!$H$7:$H$100,$A375,'12'!$I$7:$I$100,1)+SUMIFS('13'!$N$7:$N$100,'13'!$H$7:$H$100,$A375,'13'!$I$7:$I$100,1)+SUMIFS('14'!$N$7:$N$100,'14'!$H$7:$H$100,$A375,'14'!$I$7:$I$100,1)+SUMIFS('15'!$N$7:$N$100,'15'!$H$7:$H$100,$A375,'15'!$I$7:$I$100,1)+SUMIFS('15a'!$N$7:$N$100,'15a'!$H$7:$H$100,$A375,'15a'!$I$7:$I$100,1)+SUMIFS('15b'!$N$7:$N$100,'15b'!$H$7:$H$100,$A375,'15b'!$I$7:$I$100,1)+SUMIFS('15c'!$N$7:$N$100,'15c'!$H$7:$H$100,$A375,'15c'!$I$7:$I$100,1)+SUMIFS('15d'!$N$7:$N$100,'15d'!$H$7:$H$100,$A375,'15d'!$I$7:$I$100,1)+SUMIFS('15e'!$N$7:$N$100,'15e'!$H$7:$H$100,$A375,'15e'!$I$7:$I$100,1)+SUMIFS('15f'!$N$7:$N$100,'15f'!$H$7:$H$100,$A375,'15f'!$I$7:$I$100,1)+SUMIFS('15g'!$N$7:$N$100,'15g'!$H$7:$H$100,$A375,'15g'!$I$7:$I$100,1)+SUMIFS('15h'!$N$7:$N$100,'15h'!$H$7:$H$100,$A375,'15h'!$I$7:$I$100,1)+SUMIFS('15i'!$N$7:$N$100,'15i'!$H$7:$H$100,$A375,'15i'!$I$7:$I$100,1)+SUMIFS('15j'!$N$7:$N$100,'15j'!$H$7:$H$100,$A375,'15j'!$I$7:$I$100,1)+SUMIFS('15k'!$N$7:$N$100,'15k'!$H$7:$H$100,$A375,'15k'!$I$7:$I$100,1)+SUMIFS('15l'!$N$7:$N$100,'15l'!$H$7:$H$100,$A375,'15l'!$I$7:$I$100,1)+SUMIFS('15m'!$N$7:$N$100,'15m'!$H$7:$H$100,$A375,'15m'!$I$7:$I$100,1)+SUMIFS('15n'!$N$7:$N$100,'15n'!$H$7:$H$100,$A375,'15n'!$I$7:$I$100,1)+SUMIFS('16'!$N$7:$N$100,'16'!$H$7:$H$100,$A375,'16'!$I$7:$I$100,1)+SUMIFS('16a'!$N$7:$N$100,'16a'!$H$7:$H$100,$A375,'16a'!$I$7:$I$100,1)+SUMIFS('17'!$N$7:$N$100,'17'!$H$7:$H$100,$A375,'17'!$I$7:$I$100,1)+SUMIFS('17a'!$N$7:$N$100,'17a'!$H$7:$H$100,$A375,'17a'!$I$7:$I$100,1)+SUMIFS('18'!$N$7:$N$100,'18'!$H$7:$H$100,$A375,'18'!$I$7:$I$100,1)+SUMIFS('18a'!$N$7:$N$100,'18a'!$H$7:$H$100,$A375,'18a'!$I$7:$I$100,1)
+SUMIFS('19'!$N$7:$N$100,'19'!$H$7:$H$100,$A375,'19'!$I$7:$I$100,1)+SUMIFS('20'!$N$7:$N$100,'20'!$H$7:$H$100,$A375,'20'!$I$7:$I$100,1)+SUMIFS('20a'!$N$7:$N$100,'20a'!$H$7:$H$100,$A375,'20a'!$I$7:$I$100,1)+SUMIFS('21'!$N$7:$N$100,'21'!$H$7:$H$100,$A375,'21'!$I$7:$I$100,1)+SUMIFS('22'!$N$7:$N$100,'22'!$H$7:$H$100,$A375,'22'!$I$7:$I$100,1)+SUMIFS('22a'!$N$7:$N$100,'22a'!$H$7:$H$100,$A375,'22a'!$I$7:$I$100,1)+SUMIFS('22b'!$N$7:$N$100,'22b'!$H$7:$H$100,$A375,'22b'!$I$7:$I$100,1)+SUMIFS('23'!$N$7:$N$100,'23'!$H$7:$H$100,$A375,'23'!$I$7:$I$100,1)+SUMIFS('24'!$N$7:$N$100,'24'!$H$7:$H$100,$A375,'24'!$I$7:$I$100,1)+SUMIFS('24a'!$N$7:$N$100,'24a'!$H$7:$H$100,$A375,'24a'!$I$7:$I$100,1)+SUMIFS('24b'!$N$7:$N$100,'24b'!$H$7:$H$100,$A375,'24b'!$I$7:$I$100,1)+SUMIFS('24c'!$N$7:$N$100,'24c'!$H$7:$H$100,$A375,'24c'!$I$7:$I$100,1)+SUMIFS('24d'!$N$7:$N$100,'24d'!$H$7:$H$100,$A375,'24d'!$I$7:$I$100,1)+SUMIFS('24e'!$N$7:$N$100,'24e'!$H$7:$H$100,$A375,'24e'!$I$7:$I$100,1)+SUMIFS('24f'!$N$7:$N$100,'24f'!$H$7:$H$100,$A375,'24f'!$I$7:$I$100,1)+SUMIFS('24g'!$N$7:$N$100,'24g'!$H$7:$H$100,$A375,'24g'!$I$7:$I$100,1)+SUMIFS('24h'!$N$7:$N$100,'24h'!$H$7:$H$100,$A375,'24h'!$I$7:$I$100,1)+SUMIFS('24i'!$N$7:$N$100,'24i'!$H$7:$H$100,$A375,'24i'!$I$7:$I$100,1)+SUMIFS('25'!$N$7:$N$100,'25'!$H$7:$H$100,$A375,'25'!$I$7:$I$100,1)+SUMIFS('26'!$N$7:$N$100,'26'!$H$7:$H$100,$A375,'26'!$I$7:$I$100,1)+SUMIFS('26a'!$N$7:$N$100,'26a'!$H$7:$H$100,$A375,'26a'!$I$7:$I$100,1)+SUMIFS('27'!$N$7:$N$100,'27'!$H$7:$H$100,$A375,'27'!$I$7:$I$100,1)+SUMIFS('27a'!$N$7:$N$100,'27a'!$H$7:$H$100,$A375,'27a'!$I$7:$I$100,1)+SUMIFS('28'!$N$7:$N$100,'28'!$H$7:$H$100,$A375,'28'!$I$7:$I$100,1)+SUMIFS('29'!$N$7:$N$100,'29'!$H$7:$H$100,$A375,'29'!$I$7:$I$100,1)</f>
        <v>0</v>
      </c>
      <c r="D375" s="1315">
        <f>SUMIFS('12'!$N$7:$N$100,'12'!$H$7:$H$100,$A375,'12'!$I$7:$I$100,2)+SUMIFS('13'!$N$7:$N$100,'13'!$H$7:$H$100,$A375,'13'!$I$7:$I$100,2)+SUMIFS('14'!$N$7:$N$100,'14'!$H$7:$H$100,$A375,'14'!$I$7:$I$100,2)+SUMIFS('15'!$N$7:$N$100,'15'!$H$7:$H$100,$A375,'15'!$I$7:$I$100,2)+SUMIFS('15a'!$N$7:$N$100,'15a'!$H$7:$H$100,$A375,'15a'!$I$7:$I$100,2)+SUMIFS('15b'!$N$7:$N$100,'15b'!$H$7:$H$100,$A375,'15b'!$I$7:$I$100,2)+SUMIFS('15c'!$N$7:$N$100,'15c'!$H$7:$H$100,$A375,'15c'!$I$7:$I$100,2)+SUMIFS('15d'!$N$7:$N$100,'15d'!$H$7:$H$100,$A375,'15d'!$I$7:$I$100,2)+SUMIFS('15e'!$N$7:$N$100,'15e'!$H$7:$H$100,$A375,'15e'!$I$7:$I$100,2)+SUMIFS('15f'!$N$7:$N$100,'15f'!$H$7:$H$100,$A375,'15f'!$I$7:$I$100,2)+SUMIFS('15g'!$N$7:$N$100,'15g'!$H$7:$H$100,$A375,'15g'!$I$7:$I$100,2)+SUMIFS('15h'!$N$7:$N$100,'15h'!$H$7:$H$100,$A375,'15h'!$I$7:$I$100,2)+SUMIFS('15i'!$N$7:$N$100,'15i'!$H$7:$H$100,$A375,'15i'!$I$7:$I$100,2)+SUMIFS('15j'!$N$7:$N$100,'15j'!$H$7:$H$100,$A375,'15j'!$I$7:$I$100,2)+SUMIFS('15k'!$N$7:$N$100,'15k'!$H$7:$H$100,$A375,'15k'!$I$7:$I$100,2)+SUMIFS('15l'!$N$7:$N$100,'15l'!$H$7:$H$100,$A375,'15l'!$I$7:$I$100,2)+SUMIFS('15m'!$N$7:$N$100,'15m'!$H$7:$H$100,$A375,'15m'!$I$7:$I$100,2)+SUMIFS('15n'!$N$7:$N$100,'15n'!$H$7:$H$100,$A375,'15n'!$I$7:$I$100,2)+SUMIFS('16'!$N$7:$N$100,'16'!$H$7:$H$100,$A375,'16'!$I$7:$I$100,2)+SUMIFS('16a'!$N$7:$N$100,'16a'!$H$7:$H$100,$A375,'16a'!$I$7:$I$100,2)+SUMIFS('17'!$N$7:$N$100,'17'!$H$7:$H$100,$A375,'17'!$I$7:$I$100,2)+SUMIFS('17a'!$N$7:$N$100,'17a'!$H$7:$H$100,$A375,'17a'!$I$7:$I$100,2)+SUMIFS('18'!$N$7:$N$100,'18'!$H$7:$H$100,$A375,'18'!$I$7:$I$100,2)+SUMIFS('18a'!$N$7:$N$100,'18a'!$H$7:$H$100,$A375,'18a'!$I$7:$I$100,2)
+SUMIFS('19'!$N$7:$N$100,'19'!$H$7:$H$100,$A375,'19'!$I$7:$I$100,2)+SUMIFS('20'!$N$7:$N$100,'20'!$H$7:$H$100,$A375,'20'!$I$7:$I$100,2)+SUMIFS('20a'!$N$7:$N$100,'20a'!$H$7:$H$100,$A375,'20a'!$I$7:$I$100,2)+SUMIFS('21'!$N$7:$N$100,'21'!$H$7:$H$100,$A375,'21'!$I$7:$I$100,2)+SUMIFS('22'!$N$7:$N$100,'22'!$H$7:$H$100,$A375,'22'!$I$7:$I$100,2)+SUMIFS('22a'!$N$7:$N$100,'22a'!$H$7:$H$100,$A375,'22a'!$I$7:$I$100,2)+SUMIFS('22b'!$N$7:$N$100,'22b'!$H$7:$H$100,$A375,'22b'!$I$7:$I$100,2)+SUMIFS('23'!$N$7:$N$100,'23'!$H$7:$H$100,$A375,'23'!$I$7:$I$100,2)+SUMIFS('24'!$N$7:$N$100,'24'!$H$7:$H$100,$A375,'24'!$I$7:$I$100,2)+SUMIFS('24a'!$N$7:$N$100,'24a'!$H$7:$H$100,$A375,'24a'!$I$7:$I$100,2)+SUMIFS('24b'!$N$7:$N$100,'24b'!$H$7:$H$100,$A375,'24b'!$I$7:$I$100,2)+SUMIFS('24c'!$N$7:$N$100,'24c'!$H$7:$H$100,$A375,'24c'!$I$7:$I$100,2)+SUMIFS('24d'!$N$7:$N$100,'24d'!$H$7:$H$100,$A375,'24d'!$I$7:$I$100,2)+SUMIFS('24e'!$N$7:$N$100,'24e'!$H$7:$H$100,$A375,'24e'!$I$7:$I$100,2)+SUMIFS('24f'!$N$7:$N$100,'24f'!$H$7:$H$100,$A375,'24f'!$I$7:$I$100,2)+SUMIFS('24g'!$N$7:$N$100,'24g'!$H$7:$H$100,$A375,'24g'!$I$7:$I$100,2)+SUMIFS('24h'!$N$7:$N$100,'24h'!$H$7:$H$100,$A375,'24h'!$I$7:$I$100,2)+SUMIFS('24i'!$N$7:$N$100,'24i'!$H$7:$H$100,$A375,'24i'!$I$7:$I$100,2)+SUMIFS('25'!$N$7:$N$100,'25'!$H$7:$H$100,$A375,'25'!$I$7:$I$100,2)+SUMIFS('26'!$N$7:$N$100,'26'!$H$7:$H$100,$A375,'26'!$I$7:$I$100,2)+SUMIFS('26a'!$N$7:$N$100,'26a'!$H$7:$H$100,$A375,'26a'!$I$7:$I$100,2)+SUMIFS('27'!$N$7:$N$100,'27'!$H$7:$H$100,$A375,'27'!$I$7:$I$100,2)+SUMIFS('27a'!$N$7:$N$100,'27a'!$H$7:$H$100,$A375,'27a'!$I$7:$I$100,2)+SUMIFS('28'!$N$7:$N$100,'28'!$H$7:$H$100,$A375,'28'!$I$7:$I$100,2)+SUMIFS('29'!$N$7:$N$100,'29'!$H$7:$H$100,$A375,'29'!$I$7:$I$100,2)</f>
        <v>0</v>
      </c>
      <c r="E375" s="1315">
        <f>SUMIFS('12'!$N$7:$N$100,'12'!$H$7:$H$100,$A375,'12'!$I$7:$I$100,"")+SUMIFS('13'!$N$7:$N$100,'13'!$H$7:$H$100,$A375,'13'!$I$7:$I$100,"")+SUMIFS('14'!$N$7:$N$100,'14'!$H$7:$H$100,$A375,'14'!$I$7:$I$100,"")+SUMIFS('15'!$N$7:$N$100,'15'!$H$7:$H$100,$A375,'15'!$I$7:$I$100,"")+SUMIFS('15a'!$N$7:$N$100,'15a'!$H$7:$H$100,$A375,'15a'!$I$7:$I$100,"")+SUMIFS('15b'!$N$7:$N$100,'15b'!$H$7:$H$100,$A375,'15b'!$I$7:$I$100,"")+SUMIFS('15c'!$N$7:$N$100,'15c'!$H$7:$H$100,$A375,'15c'!$I$7:$I$100,"")+SUMIFS('15d'!$N$7:$N$100,'15d'!$H$7:$H$100,$A375,'15d'!$I$7:$I$100,"")+SUMIFS('15e'!$N$7:$N$100,'15e'!$H$7:$H$100,$A375,'15e'!$I$7:$I$100,"")+SUMIFS('15f'!$N$7:$N$100,'15f'!$H$7:$H$100,$A375,'15f'!$I$7:$I$100,"")+SUMIFS('15g'!$N$7:$N$100,'15g'!$H$7:$H$100,$A375,'15g'!$I$7:$I$100,"")+SUMIFS('15h'!$N$7:$N$100,'15h'!$H$7:$H$100,$A375,'15h'!$I$7:$I$100,"")+SUMIFS('15i'!$N$7:$N$100,'15i'!$H$7:$H$100,$A375,'15i'!$I$7:$I$100,"")+SUMIFS('15j'!$N$7:$N$100,'15j'!$H$7:$H$100,$A375,'15j'!$I$7:$I$100,"")+SUMIFS('15k'!$N$7:$N$100,'15k'!$H$7:$H$100,$A375,'15k'!$I$7:$I$100,"")+SUMIFS('15l'!$N$7:$N$100,'15l'!$H$7:$H$100,$A375,'15l'!$I$7:$I$100,"")+SUMIFS('15m'!$N$7:$N$100,'15m'!$H$7:$H$100,$A375,'15m'!$I$7:$I$100,"")+SUMIFS('15n'!$N$7:$N$100,'15n'!$H$7:$H$100,$A375,'15n'!$I$7:$I$100,"")+SUMIFS('16'!$N$7:$N$100,'16'!$H$7:$H$100,$A375,'16'!$I$7:$I$100,"")+SUMIFS('16a'!$N$7:$N$100,'16a'!$H$7:$H$100,$A375,'16a'!$I$7:$I$100,"")+SUMIFS('17'!$N$7:$N$100,'17'!$H$7:$H$100,$A375,'17'!$I$7:$I$100,"")+SUMIFS('17a'!$N$7:$N$100,'17a'!$H$7:$H$100,$A375,'17a'!$I$7:$I$100,"")+SUMIFS('18'!$N$7:$N$100,'18'!$H$7:$H$100,$A375,'18'!$I$7:$I$100,"")+SUMIFS('18a'!$N$7:$N$100,'18a'!$H$7:$H$100,$A375,'18a'!$I$7:$I$100,"")
+SUMIFS('19'!$N$7:$N$100,'19'!$H$7:$H$100,$A375,'19'!$I$7:$I$100,"")+SUMIFS('20'!$N$7:$N$100,'20'!$H$7:$H$100,$A375,'20'!$I$7:$I$100,"")+SUMIFS('20a'!$N$7:$N$100,'20a'!$H$7:$H$100,$A375,'20a'!$I$7:$I$100,"")+SUMIFS('21'!$N$7:$N$100,'21'!$H$7:$H$100,$A375,'21'!$I$7:$I$100,"")+SUMIFS('22'!$N$7:$N$100,'22'!$H$7:$H$100,$A375,'22'!$I$7:$I$100,"")+SUMIFS('22a'!$N$7:$N$100,'22a'!$H$7:$H$100,$A375,'22a'!$I$7:$I$100,"")+SUMIFS('22b'!$N$7:$N$100,'22b'!$H$7:$H$100,$A375,'22b'!$I$7:$I$100,"")+SUMIFS('23'!$N$7:$N$100,'23'!$H$7:$H$100,$A375,'23'!$I$7:$I$100,"")+SUMIFS('24'!$N$7:$N$100,'24'!$H$7:$H$100,$A375,'24'!$I$7:$I$100,"")+SUMIFS('24a'!$N$7:$N$100,'24a'!$H$7:$H$100,$A375,'24a'!$I$7:$I$100,"")+SUMIFS('24b'!$N$7:$N$100,'24b'!$H$7:$H$100,$A375,'24b'!$I$7:$I$100,"")+SUMIFS('24c'!$N$7:$N$100,'24c'!$H$7:$H$100,$A375,'24c'!$I$7:$I$100,"")+SUMIFS('24d'!$N$7:$N$100,'24d'!$H$7:$H$100,$A375,'24d'!$I$7:$I$100,"")+SUMIFS('24e'!$N$7:$N$100,'24e'!$H$7:$H$100,$A375,'24e'!$I$7:$I$100,"")+SUMIFS('24f'!$N$7:$N$100,'24f'!$H$7:$H$100,$A375,'24f'!$I$7:$I$100,"")+SUMIFS('24g'!$N$7:$N$100,'24g'!$H$7:$H$100,$A375,'24g'!$I$7:$I$100,"")+SUMIFS('24h'!$N$7:$N$100,'24h'!$H$7:$H$100,$A375,'24h'!$I$7:$I$100,"")+SUMIFS('24i'!$N$7:$N$100,'24i'!$H$7:$H$100,$A375,'24i'!$I$7:$I$100,"")+SUMIFS('25'!$N$7:$N$100,'25'!$H$7:$H$100,$A375,'25'!$I$7:$I$100,"")+SUMIFS('26'!$N$7:$N$100,'26'!$H$7:$H$100,$A375,'26'!$I$7:$I$100,"")+SUMIFS('26a'!$N$7:$N$100,'26a'!$H$7:$H$100,$A375,'26a'!$I$7:$I$100,"")+SUMIFS('27'!$N$7:$N$100,'27'!$H$7:$H$100,$A375,'27'!$I$7:$I$100,"")+SUMIFS('27a'!$N$7:$N$100,'27a'!$H$7:$H$100,$A375,'27a'!$I$7:$I$100,"")+SUMIFS('28'!$N$7:$N$100,'28'!$H$7:$H$100,$A375,'28'!$I$7:$I$100,"")+SUMIFS('29'!$N$7:$N$100,'29'!$H$7:$H$100,$A375,'29'!$I$7:$I$100,"")</f>
        <v>0</v>
      </c>
      <c r="F375" s="1296">
        <f t="shared" si="55"/>
        <v>0</v>
      </c>
      <c r="G375" s="1295">
        <f>SUMIFS('12'!$J$7:$J$100,'12'!$H$7:$H$100,$A375,'12'!$I$7:$I$100,1)+SUMIFS('13'!$J$7:$J$100,'13'!$H$7:$H$100,$A375,'13'!$I$7:$I$100,1)+SUMIFS('14'!$J$7:$J$100,'14'!$H$7:$H$100,$A375,'14'!$I$7:$I$100,1)+SUMIFS('15'!$J$7:$J$100,'15'!$H$7:$H$100,$A375,'15'!$I$7:$I$100,1)+SUMIFS('15a'!$J$7:$J$100,'15a'!$H$7:$H$100,$A375,'15a'!$I$7:$I$100,1)+SUMIFS('15b'!$J$7:$J$100,'15b'!$H$7:$H$100,$A375,'15b'!$I$7:$I$100,1)+SUMIFS('15c'!$J$7:$J$100,'15c'!$H$7:$H$100,$A375,'15c'!$I$7:$I$100,1)+SUMIFS('15d'!$J$7:$J$100,'15d'!$H$7:$H$100,$A375,'15d'!$I$7:$I$100,1)+SUMIFS('15e'!$J$7:$J$100,'15e'!$H$7:$H$100,$A375,'15e'!$I$7:$I$100,1)+SUMIFS('15f'!$J$7:$J$100,'15f'!$H$7:$H$100,$A375,'15f'!$I$7:$I$100,1)+SUMIFS('15g'!$J$7:$J$100,'15g'!$H$7:$H$100,$A375,'15g'!$I$7:$I$100,1)+SUMIFS('15h'!$J$7:$J$100,'15h'!$H$7:$H$100,$A375,'15h'!$I$7:$I$100,1)+SUMIFS('15i'!$J$7:$J$100,'15i'!$H$7:$H$100,$A375,'15i'!$I$7:$I$100,1)+SUMIFS('15j'!$J$7:$J$100,'15j'!$H$7:$H$100,$A375,'15j'!$I$7:$I$100,1)+SUMIFS('15k'!$J$7:$J$100,'15k'!$H$7:$H$100,$A375,'15k'!$I$7:$I$100,1)+SUMIFS('15l'!$J$7:$J$100,'15l'!$H$7:$H$100,$A375,'15l'!$I$7:$I$100,1)+SUMIFS('15m'!$J$7:$J$100,'15m'!$H$7:$H$100,$A375,'15m'!$I$7:$I$100,1)+SUMIFS('15n'!$J$7:$J$100,'15n'!$H$7:$H$100,$A375,'15n'!$I$7:$I$100,1)+SUMIFS('16'!$J$7:$J$100,'16'!$H$7:$H$100,$A375,'16'!$I$7:$I$100,1)+SUMIFS('16a'!$J$7:$J$100,'16a'!$H$7:$H$100,$A375,'16a'!$I$7:$I$100,1)+SUMIFS('17'!$J$7:$J$100,'17'!$H$7:$H$100,$A375,'17'!$I$7:$I$100,1)+SUMIFS('17a'!$J$7:$J$100,'17a'!$H$7:$H$100,$A375,'17a'!$I$7:$I$100,1)+SUMIFS('18'!$J$7:$J$100,'18'!$H$7:$H$100,$A375,'18'!$I$7:$I$100,1)+SUMIFS('18a'!$J$7:$J$100,'18a'!$H$7:$H$100,$A375,'18a'!$I$7:$I$100,1)
+SUMIFS('19'!$J$7:$J$100,'19'!$H$7:$H$100,$A375,'19'!$I$7:$I$100,1)+SUMIFS('20'!$J$7:$J$100,'20'!$H$7:$H$100,$A375,'20'!$I$7:$I$100,1)+SUMIFS('20a'!$J$7:$J$100,'20a'!$H$7:$H$100,$A375,'20a'!$I$7:$I$100,1)+SUMIFS('21'!$J$7:$J$100,'21'!$H$7:$H$100,$A375,'21'!$I$7:$I$100,1)+SUMIFS('22'!$J$7:$J$100,'22'!$H$7:$H$100,$A375,'22'!$I$7:$I$100,1)+SUMIFS('22a'!$J$7:$J$100,'22a'!$H$7:$H$100,$A375,'22a'!$I$7:$I$100,1)+SUMIFS('22b'!$J$7:$J$100,'22b'!$H$7:$H$100,$A375,'22b'!$I$7:$I$100,1)+SUMIFS('23'!$J$7:$J$100,'23'!$H$7:$H$100,$A375,'23'!$I$7:$I$100,1)+SUMIFS('24'!$J$7:$J$100,'24'!$H$7:$H$100,$A375,'24'!$I$7:$I$100,1)+SUMIFS('24a'!$J$7:$J$100,'24a'!$H$7:$H$100,$A375,'24a'!$I$7:$I$100,1)+SUMIFS('24b'!$J$7:$J$100,'24b'!$H$7:$H$100,$A375,'24b'!$I$7:$I$100,1)+SUMIFS('24c'!$J$7:$J$100,'24c'!$H$7:$H$100,$A375,'24c'!$I$7:$I$100,1)+SUMIFS('24d'!$J$7:$J$100,'24d'!$H$7:$H$100,$A375,'24d'!$I$7:$I$100,1)+SUMIFS('24e'!$J$7:$J$100,'24e'!$H$7:$H$100,$A375,'24e'!$I$7:$I$100,1)+SUMIFS('24f'!$J$7:$J$100,'24f'!$H$7:$H$100,$A375,'24f'!$I$7:$I$100,1)+SUMIFS('24g'!$J$7:$J$100,'24g'!$H$7:$H$100,$A375,'24g'!$I$7:$I$100,1)+SUMIFS('24h'!$J$7:$J$100,'24h'!$H$7:$H$100,$A375,'24h'!$I$7:$I$100,1)+SUMIFS('24i'!$J$7:$J$100,'24i'!$H$7:$H$100,$A375,'24i'!$I$7:$I$100,1)+SUMIFS('25'!$J$7:$J$100,'25'!$H$7:$H$100,$A375,'25'!$I$7:$I$100,1)+SUMIFS('26'!$J$7:$J$100,'26'!$H$7:$H$100,$A375,'26'!$I$7:$I$100,1)+SUMIFS('26a'!$J$7:$J$100,'26a'!$H$7:$H$100,$A375,'26a'!$I$7:$I$100,1)+SUMIFS('27'!$J$7:$J$100,'27'!$H$7:$H$100,$A375,'27'!$I$7:$I$100,1)+SUMIFS('27a'!$J$7:$J$100,'27a'!$H$7:$H$100,$A375,'27a'!$I$7:$I$100,1)+SUMIFS('28'!$J$7:$J$100,'28'!$H$7:$H$100,$A375,'28'!$I$7:$I$100,1)+SUMIFS('29'!$J$7:$J$100,'29'!$H$7:$H$100,$A375,'29'!$I$7:$I$100,1)</f>
        <v>0</v>
      </c>
      <c r="H375" s="1315">
        <f>SUMIFS('12'!$J$7:$J$100,'12'!$H$7:$H$100,$A375,'12'!$I$7:$I$100,2)+SUMIFS('13'!$J$7:$J$100,'13'!$H$7:$H$100,$A375,'13'!$I$7:$I$100,2)+SUMIFS('14'!$J$7:$J$100,'14'!$H$7:$H$100,$A375,'14'!$I$7:$I$100,2)+SUMIFS('15'!$J$7:$J$100,'15'!$H$7:$H$100,$A375,'15'!$I$7:$I$100,2)+SUMIFS('15a'!$J$7:$J$100,'15a'!$H$7:$H$100,$A375,'15a'!$I$7:$I$100,2)+SUMIFS('15b'!$J$7:$J$100,'15b'!$H$7:$H$100,$A375,'15b'!$I$7:$I$100,2)+SUMIFS('15c'!$J$7:$J$100,'15c'!$H$7:$H$100,$A375,'15c'!$I$7:$I$100,2)+SUMIFS('15d'!$J$7:$J$100,'15d'!$H$7:$H$100,$A375,'15d'!$I$7:$I$100,2)+SUMIFS('15e'!$J$7:$J$100,'15e'!$H$7:$H$100,$A375,'15e'!$I$7:$I$100,2)+SUMIFS('15f'!$J$7:$J$100,'15f'!$H$7:$H$100,$A375,'15f'!$I$7:$I$100,2)+SUMIFS('15g'!$J$7:$J$100,'15g'!$H$7:$H$100,$A375,'15g'!$I$7:$I$100,2)+SUMIFS('15h'!$J$7:$J$100,'15h'!$H$7:$H$100,$A375,'15h'!$I$7:$I$100,2)+SUMIFS('15i'!$J$7:$J$100,'15i'!$H$7:$H$100,$A375,'15i'!$I$7:$I$100,2)+SUMIFS('15j'!$J$7:$J$100,'15j'!$H$7:$H$100,$A375,'15j'!$I$7:$I$100,2)+SUMIFS('15k'!$J$7:$J$100,'15k'!$H$7:$H$100,$A375,'15k'!$I$7:$I$100,2)+SUMIFS('15l'!$J$7:$J$100,'15l'!$H$7:$H$100,$A375,'15l'!$I$7:$I$100,2)+SUMIFS('15m'!$J$7:$J$100,'15m'!$H$7:$H$100,$A375,'15m'!$I$7:$I$100,2)+SUMIFS('15n'!$J$7:$J$100,'15n'!$H$7:$H$100,$A375,'15n'!$I$7:$I$100,2)+SUMIFS('16'!$J$7:$J$100,'16'!$H$7:$H$100,$A375,'16'!$I$7:$I$100,2)+SUMIFS('16a'!$J$7:$J$100,'16a'!$H$7:$H$100,$A375,'16a'!$I$7:$I$100,2)+SUMIFS('17'!$J$7:$J$100,'17'!$H$7:$H$100,$A375,'17'!$I$7:$I$100,2)+SUMIFS('17a'!$J$7:$J$100,'17a'!$H$7:$H$100,$A375,'17a'!$I$7:$I$100,2)+SUMIFS('18'!$J$7:$J$100,'18'!$H$7:$H$100,$A375,'18'!$I$7:$I$100,2)+SUMIFS('18a'!$J$7:$J$100,'18a'!$H$7:$H$100,$A375,'18a'!$I$7:$I$100,2)
+SUMIFS('19'!$J$7:$J$100,'19'!$H$7:$H$100,$A375,'19'!$I$7:$I$100,2)+SUMIFS('20'!$J$7:$J$100,'20'!$H$7:$H$100,$A375,'20'!$I$7:$I$100,2)+SUMIFS('20a'!$J$7:$J$100,'20a'!$H$7:$H$100,$A375,'20a'!$I$7:$I$100,2)+SUMIFS('21'!$J$7:$J$100,'21'!$H$7:$H$100,$A375,'21'!$I$7:$I$100,2)+SUMIFS('22'!$J$7:$J$100,'22'!$H$7:$H$100,$A375,'22'!$I$7:$I$100,2)+SUMIFS('22a'!$J$7:$J$100,'22a'!$H$7:$H$100,$A375,'22a'!$I$7:$I$100,2)+SUMIFS('22b'!$J$7:$J$100,'22b'!$H$7:$H$100,$A375,'22b'!$I$7:$I$100,2)+SUMIFS('23'!$J$7:$J$100,'23'!$H$7:$H$100,$A375,'23'!$I$7:$I$100,2)+SUMIFS('24'!$J$7:$J$100,'24'!$H$7:$H$100,$A375,'24'!$I$7:$I$100,2)+SUMIFS('24a'!$J$7:$J$100,'24a'!$H$7:$H$100,$A375,'24a'!$I$7:$I$100,2)+SUMIFS('24b'!$J$7:$J$100,'24b'!$H$7:$H$100,$A375,'24b'!$I$7:$I$100,2)+SUMIFS('24c'!$J$7:$J$100,'24c'!$H$7:$H$100,$A375,'24c'!$I$7:$I$100,2)+SUMIFS('24d'!$J$7:$J$100,'24d'!$H$7:$H$100,$A375,'24d'!$I$7:$I$100,2)+SUMIFS('24e'!$J$7:$J$100,'24e'!$H$7:$H$100,$A375,'24e'!$I$7:$I$100,2)+SUMIFS('24f'!$J$7:$J$100,'24f'!$H$7:$H$100,$A375,'24f'!$I$7:$I$100,2)+SUMIFS('24g'!$J$7:$J$100,'24g'!$H$7:$H$100,$A375,'24g'!$I$7:$I$100,2)+SUMIFS('24h'!$J$7:$J$100,'24h'!$H$7:$H$100,$A375,'24h'!$I$7:$I$100,2)+SUMIFS('24i'!$J$7:$J$100,'24i'!$H$7:$H$100,$A375,'24i'!$I$7:$I$100,2)+SUMIFS('25'!$J$7:$J$100,'25'!$H$7:$H$100,$A375,'25'!$I$7:$I$100,2)+SUMIFS('26'!$J$7:$J$100,'26'!$H$7:$H$100,$A375,'26'!$I$7:$I$100,2)+SUMIFS('26a'!$J$7:$J$100,'26a'!$H$7:$H$100,$A375,'26a'!$I$7:$I$100,2)+SUMIFS('27'!$J$7:$J$100,'27'!$H$7:$H$100,$A375,'27'!$I$7:$I$100,2)+SUMIFS('27a'!$J$7:$J$100,'27a'!$H$7:$H$100,$A375,'27a'!$I$7:$I$100,2)+SUMIFS('28'!$J$7:$J$100,'28'!$H$7:$H$100,$A375,'28'!$I$7:$I$100,2)+SUMIFS('29'!$J$7:$J$100,'29'!$H$7:$H$100,$A375,'29'!$I$7:$I$100,2)</f>
        <v>0</v>
      </c>
      <c r="I375" s="1315">
        <f>SUMIFS('12'!$J$7:$J$100,'12'!$H$7:$H$100,$A375,'12'!$I$7:$I$100,"")+SUMIFS('13'!$J$7:$J$100,'13'!$H$7:$H$100,$A375,'13'!$I$7:$I$100,"")+SUMIFS('14'!$J$7:$J$100,'14'!$H$7:$H$100,$A375,'14'!$I$7:$I$100,"")+SUMIFS('15'!$J$7:$J$100,'15'!$H$7:$H$100,$A375,'15'!$I$7:$I$100,"")+SUMIFS('15a'!$J$7:$J$100,'15a'!$H$7:$H$100,$A375,'15a'!$I$7:$I$100,"")+SUMIFS('15b'!$J$7:$J$100,'15b'!$H$7:$H$100,$A375,'15b'!$I$7:$I$100,"")+SUMIFS('15c'!$J$7:$J$100,'15c'!$H$7:$H$100,$A375,'15c'!$I$7:$I$100,"")+SUMIFS('15d'!$J$7:$J$100,'15d'!$H$7:$H$100,$A375,'15d'!$I$7:$I$100,"")+SUMIFS('15e'!$J$7:$J$100,'15e'!$H$7:$H$100,$A375,'15e'!$I$7:$I$100,"")+SUMIFS('15f'!$J$7:$J$100,'15f'!$H$7:$H$100,$A375,'15f'!$I$7:$I$100,"")+SUMIFS('15g'!$J$7:$J$100,'15g'!$H$7:$H$100,$A375,'15g'!$I$7:$I$100,"")+SUMIFS('15h'!$J$7:$J$100,'15h'!$H$7:$H$100,$A375,'15h'!$I$7:$I$100,"")+SUMIFS('15i'!$J$7:$J$100,'15i'!$H$7:$H$100,$A375,'15i'!$I$7:$I$100,"")+SUMIFS('15j'!$J$7:$J$100,'15j'!$H$7:$H$100,$A375,'15j'!$I$7:$I$100,"")+SUMIFS('15k'!$J$7:$J$100,'15k'!$H$7:$H$100,$A375,'15k'!$I$7:$I$100,"")+SUMIFS('15l'!$J$7:$J$100,'15l'!$H$7:$H$100,$A375,'15l'!$I$7:$I$100,"")+SUMIFS('15m'!$J$7:$J$100,'15m'!$H$7:$H$100,$A375,'15m'!$I$7:$I$100,"")+SUMIFS('15n'!$J$7:$J$100,'15n'!$H$7:$H$100,$A375,'15n'!$I$7:$I$100,"")+SUMIFS('16'!$J$7:$J$100,'16'!$H$7:$H$100,$A375,'16'!$I$7:$I$100,"")+SUMIFS('16a'!$J$7:$J$100,'16a'!$H$7:$H$100,$A375,'16a'!$I$7:$I$100,"")+SUMIFS('17'!$J$7:$J$100,'17'!$H$7:$H$100,$A375,'17'!$I$7:$I$100,"")+SUMIFS('17a'!$J$7:$J$100,'17a'!$H$7:$H$100,$A375,'17a'!$I$7:$I$100,"")+SUMIFS('18'!$J$7:$J$100,'18'!$H$7:$H$100,$A375,'18'!$I$7:$I$100,"")+SUMIFS('18a'!$J$7:$J$100,'18a'!$H$7:$H$100,$A375,'18a'!$I$7:$I$100,"")
+SUMIFS('19'!$J$7:$J$100,'19'!$H$7:$H$100,$A375,'19'!$I$7:$I$100,"")+SUMIFS('20'!$J$7:$J$100,'20'!$H$7:$H$100,$A375,'20'!$I$7:$I$100,"")+SUMIFS('20a'!$J$7:$J$100,'20a'!$H$7:$H$100,$A375,'20a'!$I$7:$I$100,"")+SUMIFS('21'!$J$7:$J$100,'21'!$H$7:$H$100,$A375,'21'!$I$7:$I$100,"")+SUMIFS('22'!$J$7:$J$100,'22'!$H$7:$H$100,$A375,'22'!$I$7:$I$100,"")+SUMIFS('22a'!$J$7:$J$100,'22a'!$H$7:$H$100,$A375,'22a'!$I$7:$I$100,"")+SUMIFS('22b'!$J$7:$J$100,'22b'!$H$7:$H$100,$A375,'22b'!$I$7:$I$100,"")+SUMIFS('23'!$J$7:$J$100,'23'!$H$7:$H$100,$A375,'23'!$I$7:$I$100,"")+SUMIFS('24'!$J$7:$J$100,'24'!$H$7:$H$100,$A375,'24'!$I$7:$I$100,"")+SUMIFS('24a'!$J$7:$J$100,'24a'!$H$7:$H$100,$A375,'24a'!$I$7:$I$100,"")+SUMIFS('24b'!$J$7:$J$100,'24b'!$H$7:$H$100,$A375,'24b'!$I$7:$I$100,"")+SUMIFS('24c'!$J$7:$J$100,'24c'!$H$7:$H$100,$A375,'24c'!$I$7:$I$100,"")+SUMIFS('24d'!$J$7:$J$100,'24d'!$H$7:$H$100,$A375,'24d'!$I$7:$I$100,"")+SUMIFS('24e'!$J$7:$J$100,'24e'!$H$7:$H$100,$A375,'24e'!$I$7:$I$100,"")+SUMIFS('24f'!$J$7:$J$100,'24f'!$H$7:$H$100,$A375,'24f'!$I$7:$I$100,"")+SUMIFS('24g'!$J$7:$J$100,'24g'!$H$7:$H$100,$A375,'24g'!$I$7:$I$100,"")+SUMIFS('24h'!$J$7:$J$100,'24h'!$H$7:$H$100,$A375,'24h'!$I$7:$I$100,"")+SUMIFS('24i'!$J$7:$J$100,'24i'!$H$7:$H$100,$A375,'24i'!$I$7:$I$100,"")+SUMIFS('25'!$J$7:$J$100,'25'!$H$7:$H$100,$A375,'25'!$I$7:$I$100,"")+SUMIFS('26'!$J$7:$J$100,'26'!$H$7:$H$100,$A375,'26'!$I$7:$I$100,"")+SUMIFS('26a'!$J$7:$J$100,'26a'!$H$7:$H$100,$A375,'26a'!$I$7:$I$100,"")+SUMIFS('27'!$J$7:$J$100,'27'!$H$7:$H$100,$A375,'27'!$I$7:$I$100,"")+SUMIFS('27a'!$J$7:$J$100,'27a'!$H$7:$H$100,$A375,'27a'!$I$7:$I$100,"")+SUMIFS('28'!$J$7:$J$100,'28'!$H$7:$H$100,$A375,'28'!$I$7:$I$100,"")+SUMIFS('29'!$J$7:$J$100,'29'!$H$7:$H$100,$A375,'29'!$I$7:$I$100,"")</f>
        <v>0</v>
      </c>
      <c r="J375" s="1296">
        <f t="shared" si="56"/>
        <v>0</v>
      </c>
      <c r="K375"/>
      <c r="L375"/>
      <c r="M375"/>
      <c r="N375"/>
      <c r="O375"/>
      <c r="P375"/>
      <c r="Q375"/>
      <c r="R375"/>
      <c r="S375" s="1307">
        <f t="shared" si="48"/>
        <v>0</v>
      </c>
      <c r="T375"/>
    </row>
    <row r="376" spans="1:20" x14ac:dyDescent="0.2">
      <c r="A376" t="s">
        <v>5113</v>
      </c>
      <c r="B376" t="s">
        <v>5400</v>
      </c>
      <c r="C376" s="1295">
        <f>SUMIFS('12'!$N$7:$N$100,'12'!$H$7:$H$100,$A376,'12'!$I$7:$I$100,1)+SUMIFS('13'!$N$7:$N$100,'13'!$H$7:$H$100,$A376,'13'!$I$7:$I$100,1)+SUMIFS('14'!$N$7:$N$100,'14'!$H$7:$H$100,$A376,'14'!$I$7:$I$100,1)+SUMIFS('15'!$N$7:$N$100,'15'!$H$7:$H$100,$A376,'15'!$I$7:$I$100,1)+SUMIFS('15a'!$N$7:$N$100,'15a'!$H$7:$H$100,$A376,'15a'!$I$7:$I$100,1)+SUMIFS('15b'!$N$7:$N$100,'15b'!$H$7:$H$100,$A376,'15b'!$I$7:$I$100,1)+SUMIFS('15c'!$N$7:$N$100,'15c'!$H$7:$H$100,$A376,'15c'!$I$7:$I$100,1)+SUMIFS('15d'!$N$7:$N$100,'15d'!$H$7:$H$100,$A376,'15d'!$I$7:$I$100,1)+SUMIFS('15e'!$N$7:$N$100,'15e'!$H$7:$H$100,$A376,'15e'!$I$7:$I$100,1)+SUMIFS('15f'!$N$7:$N$100,'15f'!$H$7:$H$100,$A376,'15f'!$I$7:$I$100,1)+SUMIFS('15g'!$N$7:$N$100,'15g'!$H$7:$H$100,$A376,'15g'!$I$7:$I$100,1)+SUMIFS('15h'!$N$7:$N$100,'15h'!$H$7:$H$100,$A376,'15h'!$I$7:$I$100,1)+SUMIFS('15i'!$N$7:$N$100,'15i'!$H$7:$H$100,$A376,'15i'!$I$7:$I$100,1)+SUMIFS('15j'!$N$7:$N$100,'15j'!$H$7:$H$100,$A376,'15j'!$I$7:$I$100,1)+SUMIFS('15k'!$N$7:$N$100,'15k'!$H$7:$H$100,$A376,'15k'!$I$7:$I$100,1)+SUMIFS('15l'!$N$7:$N$100,'15l'!$H$7:$H$100,$A376,'15l'!$I$7:$I$100,1)+SUMIFS('15m'!$N$7:$N$100,'15m'!$H$7:$H$100,$A376,'15m'!$I$7:$I$100,1)+SUMIFS('15n'!$N$7:$N$100,'15n'!$H$7:$H$100,$A376,'15n'!$I$7:$I$100,1)+SUMIFS('16'!$N$7:$N$100,'16'!$H$7:$H$100,$A376,'16'!$I$7:$I$100,1)+SUMIFS('16a'!$N$7:$N$100,'16a'!$H$7:$H$100,$A376,'16a'!$I$7:$I$100,1)+SUMIFS('17'!$N$7:$N$100,'17'!$H$7:$H$100,$A376,'17'!$I$7:$I$100,1)+SUMIFS('17a'!$N$7:$N$100,'17a'!$H$7:$H$100,$A376,'17a'!$I$7:$I$100,1)+SUMIFS('18'!$N$7:$N$100,'18'!$H$7:$H$100,$A376,'18'!$I$7:$I$100,1)+SUMIFS('18a'!$N$7:$N$100,'18a'!$H$7:$H$100,$A376,'18a'!$I$7:$I$100,1)
+SUMIFS('19'!$N$7:$N$100,'19'!$H$7:$H$100,$A376,'19'!$I$7:$I$100,1)+SUMIFS('20'!$N$7:$N$100,'20'!$H$7:$H$100,$A376,'20'!$I$7:$I$100,1)+SUMIFS('20a'!$N$7:$N$100,'20a'!$H$7:$H$100,$A376,'20a'!$I$7:$I$100,1)+SUMIFS('21'!$N$7:$N$100,'21'!$H$7:$H$100,$A376,'21'!$I$7:$I$100,1)+SUMIFS('22'!$N$7:$N$100,'22'!$H$7:$H$100,$A376,'22'!$I$7:$I$100,1)+SUMIFS('22a'!$N$7:$N$100,'22a'!$H$7:$H$100,$A376,'22a'!$I$7:$I$100,1)+SUMIFS('22b'!$N$7:$N$100,'22b'!$H$7:$H$100,$A376,'22b'!$I$7:$I$100,1)+SUMIFS('23'!$N$7:$N$100,'23'!$H$7:$H$100,$A376,'23'!$I$7:$I$100,1)+SUMIFS('24'!$N$7:$N$100,'24'!$H$7:$H$100,$A376,'24'!$I$7:$I$100,1)+SUMIFS('24a'!$N$7:$N$100,'24a'!$H$7:$H$100,$A376,'24a'!$I$7:$I$100,1)+SUMIFS('24b'!$N$7:$N$100,'24b'!$H$7:$H$100,$A376,'24b'!$I$7:$I$100,1)+SUMIFS('24c'!$N$7:$N$100,'24c'!$H$7:$H$100,$A376,'24c'!$I$7:$I$100,1)+SUMIFS('24d'!$N$7:$N$100,'24d'!$H$7:$H$100,$A376,'24d'!$I$7:$I$100,1)+SUMIFS('24e'!$N$7:$N$100,'24e'!$H$7:$H$100,$A376,'24e'!$I$7:$I$100,1)+SUMIFS('24f'!$N$7:$N$100,'24f'!$H$7:$H$100,$A376,'24f'!$I$7:$I$100,1)+SUMIFS('24g'!$N$7:$N$100,'24g'!$H$7:$H$100,$A376,'24g'!$I$7:$I$100,1)+SUMIFS('24h'!$N$7:$N$100,'24h'!$H$7:$H$100,$A376,'24h'!$I$7:$I$100,1)+SUMIFS('24i'!$N$7:$N$100,'24i'!$H$7:$H$100,$A376,'24i'!$I$7:$I$100,1)+SUMIFS('25'!$N$7:$N$100,'25'!$H$7:$H$100,$A376,'25'!$I$7:$I$100,1)+SUMIFS('26'!$N$7:$N$100,'26'!$H$7:$H$100,$A376,'26'!$I$7:$I$100,1)+SUMIFS('26a'!$N$7:$N$100,'26a'!$H$7:$H$100,$A376,'26a'!$I$7:$I$100,1)+SUMIFS('27'!$N$7:$N$100,'27'!$H$7:$H$100,$A376,'27'!$I$7:$I$100,1)+SUMIFS('27a'!$N$7:$N$100,'27a'!$H$7:$H$100,$A376,'27a'!$I$7:$I$100,1)+SUMIFS('28'!$N$7:$N$100,'28'!$H$7:$H$100,$A376,'28'!$I$7:$I$100,1)+SUMIFS('29'!$N$7:$N$100,'29'!$H$7:$H$100,$A376,'29'!$I$7:$I$100,1)</f>
        <v>0</v>
      </c>
      <c r="D376" s="1315">
        <f>SUMIFS('12'!$N$7:$N$100,'12'!$H$7:$H$100,$A376,'12'!$I$7:$I$100,2)+SUMIFS('13'!$N$7:$N$100,'13'!$H$7:$H$100,$A376,'13'!$I$7:$I$100,2)+SUMIFS('14'!$N$7:$N$100,'14'!$H$7:$H$100,$A376,'14'!$I$7:$I$100,2)+SUMIFS('15'!$N$7:$N$100,'15'!$H$7:$H$100,$A376,'15'!$I$7:$I$100,2)+SUMIFS('15a'!$N$7:$N$100,'15a'!$H$7:$H$100,$A376,'15a'!$I$7:$I$100,2)+SUMIFS('15b'!$N$7:$N$100,'15b'!$H$7:$H$100,$A376,'15b'!$I$7:$I$100,2)+SUMIFS('15c'!$N$7:$N$100,'15c'!$H$7:$H$100,$A376,'15c'!$I$7:$I$100,2)+SUMIFS('15d'!$N$7:$N$100,'15d'!$H$7:$H$100,$A376,'15d'!$I$7:$I$100,2)+SUMIFS('15e'!$N$7:$N$100,'15e'!$H$7:$H$100,$A376,'15e'!$I$7:$I$100,2)+SUMIFS('15f'!$N$7:$N$100,'15f'!$H$7:$H$100,$A376,'15f'!$I$7:$I$100,2)+SUMIFS('15g'!$N$7:$N$100,'15g'!$H$7:$H$100,$A376,'15g'!$I$7:$I$100,2)+SUMIFS('15h'!$N$7:$N$100,'15h'!$H$7:$H$100,$A376,'15h'!$I$7:$I$100,2)+SUMIFS('15i'!$N$7:$N$100,'15i'!$H$7:$H$100,$A376,'15i'!$I$7:$I$100,2)+SUMIFS('15j'!$N$7:$N$100,'15j'!$H$7:$H$100,$A376,'15j'!$I$7:$I$100,2)+SUMIFS('15k'!$N$7:$N$100,'15k'!$H$7:$H$100,$A376,'15k'!$I$7:$I$100,2)+SUMIFS('15l'!$N$7:$N$100,'15l'!$H$7:$H$100,$A376,'15l'!$I$7:$I$100,2)+SUMIFS('15m'!$N$7:$N$100,'15m'!$H$7:$H$100,$A376,'15m'!$I$7:$I$100,2)+SUMIFS('15n'!$N$7:$N$100,'15n'!$H$7:$H$100,$A376,'15n'!$I$7:$I$100,2)+SUMIFS('16'!$N$7:$N$100,'16'!$H$7:$H$100,$A376,'16'!$I$7:$I$100,2)+SUMIFS('16a'!$N$7:$N$100,'16a'!$H$7:$H$100,$A376,'16a'!$I$7:$I$100,2)+SUMIFS('17'!$N$7:$N$100,'17'!$H$7:$H$100,$A376,'17'!$I$7:$I$100,2)+SUMIFS('17a'!$N$7:$N$100,'17a'!$H$7:$H$100,$A376,'17a'!$I$7:$I$100,2)+SUMIFS('18'!$N$7:$N$100,'18'!$H$7:$H$100,$A376,'18'!$I$7:$I$100,2)+SUMIFS('18a'!$N$7:$N$100,'18a'!$H$7:$H$100,$A376,'18a'!$I$7:$I$100,2)
+SUMIFS('19'!$N$7:$N$100,'19'!$H$7:$H$100,$A376,'19'!$I$7:$I$100,2)+SUMIFS('20'!$N$7:$N$100,'20'!$H$7:$H$100,$A376,'20'!$I$7:$I$100,2)+SUMIFS('20a'!$N$7:$N$100,'20a'!$H$7:$H$100,$A376,'20a'!$I$7:$I$100,2)+SUMIFS('21'!$N$7:$N$100,'21'!$H$7:$H$100,$A376,'21'!$I$7:$I$100,2)+SUMIFS('22'!$N$7:$N$100,'22'!$H$7:$H$100,$A376,'22'!$I$7:$I$100,2)+SUMIFS('22a'!$N$7:$N$100,'22a'!$H$7:$H$100,$A376,'22a'!$I$7:$I$100,2)+SUMIFS('22b'!$N$7:$N$100,'22b'!$H$7:$H$100,$A376,'22b'!$I$7:$I$100,2)+SUMIFS('23'!$N$7:$N$100,'23'!$H$7:$H$100,$A376,'23'!$I$7:$I$100,2)+SUMIFS('24'!$N$7:$N$100,'24'!$H$7:$H$100,$A376,'24'!$I$7:$I$100,2)+SUMIFS('24a'!$N$7:$N$100,'24a'!$H$7:$H$100,$A376,'24a'!$I$7:$I$100,2)+SUMIFS('24b'!$N$7:$N$100,'24b'!$H$7:$H$100,$A376,'24b'!$I$7:$I$100,2)+SUMIFS('24c'!$N$7:$N$100,'24c'!$H$7:$H$100,$A376,'24c'!$I$7:$I$100,2)+SUMIFS('24d'!$N$7:$N$100,'24d'!$H$7:$H$100,$A376,'24d'!$I$7:$I$100,2)+SUMIFS('24e'!$N$7:$N$100,'24e'!$H$7:$H$100,$A376,'24e'!$I$7:$I$100,2)+SUMIFS('24f'!$N$7:$N$100,'24f'!$H$7:$H$100,$A376,'24f'!$I$7:$I$100,2)+SUMIFS('24g'!$N$7:$N$100,'24g'!$H$7:$H$100,$A376,'24g'!$I$7:$I$100,2)+SUMIFS('24h'!$N$7:$N$100,'24h'!$H$7:$H$100,$A376,'24h'!$I$7:$I$100,2)+SUMIFS('24i'!$N$7:$N$100,'24i'!$H$7:$H$100,$A376,'24i'!$I$7:$I$100,2)+SUMIFS('25'!$N$7:$N$100,'25'!$H$7:$H$100,$A376,'25'!$I$7:$I$100,2)+SUMIFS('26'!$N$7:$N$100,'26'!$H$7:$H$100,$A376,'26'!$I$7:$I$100,2)+SUMIFS('26a'!$N$7:$N$100,'26a'!$H$7:$H$100,$A376,'26a'!$I$7:$I$100,2)+SUMIFS('27'!$N$7:$N$100,'27'!$H$7:$H$100,$A376,'27'!$I$7:$I$100,2)+SUMIFS('27a'!$N$7:$N$100,'27a'!$H$7:$H$100,$A376,'27a'!$I$7:$I$100,2)+SUMIFS('28'!$N$7:$N$100,'28'!$H$7:$H$100,$A376,'28'!$I$7:$I$100,2)+SUMIFS('29'!$N$7:$N$100,'29'!$H$7:$H$100,$A376,'29'!$I$7:$I$100,2)</f>
        <v>0</v>
      </c>
      <c r="E376" s="1315">
        <f>SUMIFS('12'!$N$7:$N$100,'12'!$H$7:$H$100,$A376,'12'!$I$7:$I$100,"")+SUMIFS('13'!$N$7:$N$100,'13'!$H$7:$H$100,$A376,'13'!$I$7:$I$100,"")+SUMIFS('14'!$N$7:$N$100,'14'!$H$7:$H$100,$A376,'14'!$I$7:$I$100,"")+SUMIFS('15'!$N$7:$N$100,'15'!$H$7:$H$100,$A376,'15'!$I$7:$I$100,"")+SUMIFS('15a'!$N$7:$N$100,'15a'!$H$7:$H$100,$A376,'15a'!$I$7:$I$100,"")+SUMIFS('15b'!$N$7:$N$100,'15b'!$H$7:$H$100,$A376,'15b'!$I$7:$I$100,"")+SUMIFS('15c'!$N$7:$N$100,'15c'!$H$7:$H$100,$A376,'15c'!$I$7:$I$100,"")+SUMIFS('15d'!$N$7:$N$100,'15d'!$H$7:$H$100,$A376,'15d'!$I$7:$I$100,"")+SUMIFS('15e'!$N$7:$N$100,'15e'!$H$7:$H$100,$A376,'15e'!$I$7:$I$100,"")+SUMIFS('15f'!$N$7:$N$100,'15f'!$H$7:$H$100,$A376,'15f'!$I$7:$I$100,"")+SUMIFS('15g'!$N$7:$N$100,'15g'!$H$7:$H$100,$A376,'15g'!$I$7:$I$100,"")+SUMIFS('15h'!$N$7:$N$100,'15h'!$H$7:$H$100,$A376,'15h'!$I$7:$I$100,"")+SUMIFS('15i'!$N$7:$N$100,'15i'!$H$7:$H$100,$A376,'15i'!$I$7:$I$100,"")+SUMIFS('15j'!$N$7:$N$100,'15j'!$H$7:$H$100,$A376,'15j'!$I$7:$I$100,"")+SUMIFS('15k'!$N$7:$N$100,'15k'!$H$7:$H$100,$A376,'15k'!$I$7:$I$100,"")+SUMIFS('15l'!$N$7:$N$100,'15l'!$H$7:$H$100,$A376,'15l'!$I$7:$I$100,"")+SUMIFS('15m'!$N$7:$N$100,'15m'!$H$7:$H$100,$A376,'15m'!$I$7:$I$100,"")+SUMIFS('15n'!$N$7:$N$100,'15n'!$H$7:$H$100,$A376,'15n'!$I$7:$I$100,"")+SUMIFS('16'!$N$7:$N$100,'16'!$H$7:$H$100,$A376,'16'!$I$7:$I$100,"")+SUMIFS('16a'!$N$7:$N$100,'16a'!$H$7:$H$100,$A376,'16a'!$I$7:$I$100,"")+SUMIFS('17'!$N$7:$N$100,'17'!$H$7:$H$100,$A376,'17'!$I$7:$I$100,"")+SUMIFS('17a'!$N$7:$N$100,'17a'!$H$7:$H$100,$A376,'17a'!$I$7:$I$100,"")+SUMIFS('18'!$N$7:$N$100,'18'!$H$7:$H$100,$A376,'18'!$I$7:$I$100,"")+SUMIFS('18a'!$N$7:$N$100,'18a'!$H$7:$H$100,$A376,'18a'!$I$7:$I$100,"")
+SUMIFS('19'!$N$7:$N$100,'19'!$H$7:$H$100,$A376,'19'!$I$7:$I$100,"")+SUMIFS('20'!$N$7:$N$100,'20'!$H$7:$H$100,$A376,'20'!$I$7:$I$100,"")+SUMIFS('20a'!$N$7:$N$100,'20a'!$H$7:$H$100,$A376,'20a'!$I$7:$I$100,"")+SUMIFS('21'!$N$7:$N$100,'21'!$H$7:$H$100,$A376,'21'!$I$7:$I$100,"")+SUMIFS('22'!$N$7:$N$100,'22'!$H$7:$H$100,$A376,'22'!$I$7:$I$100,"")+SUMIFS('22a'!$N$7:$N$100,'22a'!$H$7:$H$100,$A376,'22a'!$I$7:$I$100,"")+SUMIFS('22b'!$N$7:$N$100,'22b'!$H$7:$H$100,$A376,'22b'!$I$7:$I$100,"")+SUMIFS('23'!$N$7:$N$100,'23'!$H$7:$H$100,$A376,'23'!$I$7:$I$100,"")+SUMIFS('24'!$N$7:$N$100,'24'!$H$7:$H$100,$A376,'24'!$I$7:$I$100,"")+SUMIFS('24a'!$N$7:$N$100,'24a'!$H$7:$H$100,$A376,'24a'!$I$7:$I$100,"")+SUMIFS('24b'!$N$7:$N$100,'24b'!$H$7:$H$100,$A376,'24b'!$I$7:$I$100,"")+SUMIFS('24c'!$N$7:$N$100,'24c'!$H$7:$H$100,$A376,'24c'!$I$7:$I$100,"")+SUMIFS('24d'!$N$7:$N$100,'24d'!$H$7:$H$100,$A376,'24d'!$I$7:$I$100,"")+SUMIFS('24e'!$N$7:$N$100,'24e'!$H$7:$H$100,$A376,'24e'!$I$7:$I$100,"")+SUMIFS('24f'!$N$7:$N$100,'24f'!$H$7:$H$100,$A376,'24f'!$I$7:$I$100,"")+SUMIFS('24g'!$N$7:$N$100,'24g'!$H$7:$H$100,$A376,'24g'!$I$7:$I$100,"")+SUMIFS('24h'!$N$7:$N$100,'24h'!$H$7:$H$100,$A376,'24h'!$I$7:$I$100,"")+SUMIFS('24i'!$N$7:$N$100,'24i'!$H$7:$H$100,$A376,'24i'!$I$7:$I$100,"")+SUMIFS('25'!$N$7:$N$100,'25'!$H$7:$H$100,$A376,'25'!$I$7:$I$100,"")+SUMIFS('26'!$N$7:$N$100,'26'!$H$7:$H$100,$A376,'26'!$I$7:$I$100,"")+SUMIFS('26a'!$N$7:$N$100,'26a'!$H$7:$H$100,$A376,'26a'!$I$7:$I$100,"")+SUMIFS('27'!$N$7:$N$100,'27'!$H$7:$H$100,$A376,'27'!$I$7:$I$100,"")+SUMIFS('27a'!$N$7:$N$100,'27a'!$H$7:$H$100,$A376,'27a'!$I$7:$I$100,"")+SUMIFS('28'!$N$7:$N$100,'28'!$H$7:$H$100,$A376,'28'!$I$7:$I$100,"")+SUMIFS('29'!$N$7:$N$100,'29'!$H$7:$H$100,$A376,'29'!$I$7:$I$100,"")</f>
        <v>0</v>
      </c>
      <c r="F376" s="1296">
        <f t="shared" si="55"/>
        <v>0</v>
      </c>
      <c r="G376" s="1295">
        <f>SUMIFS('12'!$J$7:$J$100,'12'!$H$7:$H$100,$A376,'12'!$I$7:$I$100,1)+SUMIFS('13'!$J$7:$J$100,'13'!$H$7:$H$100,$A376,'13'!$I$7:$I$100,1)+SUMIFS('14'!$J$7:$J$100,'14'!$H$7:$H$100,$A376,'14'!$I$7:$I$100,1)+SUMIFS('15'!$J$7:$J$100,'15'!$H$7:$H$100,$A376,'15'!$I$7:$I$100,1)+SUMIFS('15a'!$J$7:$J$100,'15a'!$H$7:$H$100,$A376,'15a'!$I$7:$I$100,1)+SUMIFS('15b'!$J$7:$J$100,'15b'!$H$7:$H$100,$A376,'15b'!$I$7:$I$100,1)+SUMIFS('15c'!$J$7:$J$100,'15c'!$H$7:$H$100,$A376,'15c'!$I$7:$I$100,1)+SUMIFS('15d'!$J$7:$J$100,'15d'!$H$7:$H$100,$A376,'15d'!$I$7:$I$100,1)+SUMIFS('15e'!$J$7:$J$100,'15e'!$H$7:$H$100,$A376,'15e'!$I$7:$I$100,1)+SUMIFS('15f'!$J$7:$J$100,'15f'!$H$7:$H$100,$A376,'15f'!$I$7:$I$100,1)+SUMIFS('15g'!$J$7:$J$100,'15g'!$H$7:$H$100,$A376,'15g'!$I$7:$I$100,1)+SUMIFS('15h'!$J$7:$J$100,'15h'!$H$7:$H$100,$A376,'15h'!$I$7:$I$100,1)+SUMIFS('15i'!$J$7:$J$100,'15i'!$H$7:$H$100,$A376,'15i'!$I$7:$I$100,1)+SUMIFS('15j'!$J$7:$J$100,'15j'!$H$7:$H$100,$A376,'15j'!$I$7:$I$100,1)+SUMIFS('15k'!$J$7:$J$100,'15k'!$H$7:$H$100,$A376,'15k'!$I$7:$I$100,1)+SUMIFS('15l'!$J$7:$J$100,'15l'!$H$7:$H$100,$A376,'15l'!$I$7:$I$100,1)+SUMIFS('15m'!$J$7:$J$100,'15m'!$H$7:$H$100,$A376,'15m'!$I$7:$I$100,1)+SUMIFS('15n'!$J$7:$J$100,'15n'!$H$7:$H$100,$A376,'15n'!$I$7:$I$100,1)+SUMIFS('16'!$J$7:$J$100,'16'!$H$7:$H$100,$A376,'16'!$I$7:$I$100,1)+SUMIFS('16a'!$J$7:$J$100,'16a'!$H$7:$H$100,$A376,'16a'!$I$7:$I$100,1)+SUMIFS('17'!$J$7:$J$100,'17'!$H$7:$H$100,$A376,'17'!$I$7:$I$100,1)+SUMIFS('17a'!$J$7:$J$100,'17a'!$H$7:$H$100,$A376,'17a'!$I$7:$I$100,1)+SUMIFS('18'!$J$7:$J$100,'18'!$H$7:$H$100,$A376,'18'!$I$7:$I$100,1)+SUMIFS('18a'!$J$7:$J$100,'18a'!$H$7:$H$100,$A376,'18a'!$I$7:$I$100,1)
+SUMIFS('19'!$J$7:$J$100,'19'!$H$7:$H$100,$A376,'19'!$I$7:$I$100,1)+SUMIFS('20'!$J$7:$J$100,'20'!$H$7:$H$100,$A376,'20'!$I$7:$I$100,1)+SUMIFS('20a'!$J$7:$J$100,'20a'!$H$7:$H$100,$A376,'20a'!$I$7:$I$100,1)+SUMIFS('21'!$J$7:$J$100,'21'!$H$7:$H$100,$A376,'21'!$I$7:$I$100,1)+SUMIFS('22'!$J$7:$J$100,'22'!$H$7:$H$100,$A376,'22'!$I$7:$I$100,1)+SUMIFS('22a'!$J$7:$J$100,'22a'!$H$7:$H$100,$A376,'22a'!$I$7:$I$100,1)+SUMIFS('22b'!$J$7:$J$100,'22b'!$H$7:$H$100,$A376,'22b'!$I$7:$I$100,1)+SUMIFS('23'!$J$7:$J$100,'23'!$H$7:$H$100,$A376,'23'!$I$7:$I$100,1)+SUMIFS('24'!$J$7:$J$100,'24'!$H$7:$H$100,$A376,'24'!$I$7:$I$100,1)+SUMIFS('24a'!$J$7:$J$100,'24a'!$H$7:$H$100,$A376,'24a'!$I$7:$I$100,1)+SUMIFS('24b'!$J$7:$J$100,'24b'!$H$7:$H$100,$A376,'24b'!$I$7:$I$100,1)+SUMIFS('24c'!$J$7:$J$100,'24c'!$H$7:$H$100,$A376,'24c'!$I$7:$I$100,1)+SUMIFS('24d'!$J$7:$J$100,'24d'!$H$7:$H$100,$A376,'24d'!$I$7:$I$100,1)+SUMIFS('24e'!$J$7:$J$100,'24e'!$H$7:$H$100,$A376,'24e'!$I$7:$I$100,1)+SUMIFS('24f'!$J$7:$J$100,'24f'!$H$7:$H$100,$A376,'24f'!$I$7:$I$100,1)+SUMIFS('24g'!$J$7:$J$100,'24g'!$H$7:$H$100,$A376,'24g'!$I$7:$I$100,1)+SUMIFS('24h'!$J$7:$J$100,'24h'!$H$7:$H$100,$A376,'24h'!$I$7:$I$100,1)+SUMIFS('24i'!$J$7:$J$100,'24i'!$H$7:$H$100,$A376,'24i'!$I$7:$I$100,1)+SUMIFS('25'!$J$7:$J$100,'25'!$H$7:$H$100,$A376,'25'!$I$7:$I$100,1)+SUMIFS('26'!$J$7:$J$100,'26'!$H$7:$H$100,$A376,'26'!$I$7:$I$100,1)+SUMIFS('26a'!$J$7:$J$100,'26a'!$H$7:$H$100,$A376,'26a'!$I$7:$I$100,1)+SUMIFS('27'!$J$7:$J$100,'27'!$H$7:$H$100,$A376,'27'!$I$7:$I$100,1)+SUMIFS('27a'!$J$7:$J$100,'27a'!$H$7:$H$100,$A376,'27a'!$I$7:$I$100,1)+SUMIFS('28'!$J$7:$J$100,'28'!$H$7:$H$100,$A376,'28'!$I$7:$I$100,1)+SUMIFS('29'!$J$7:$J$100,'29'!$H$7:$H$100,$A376,'29'!$I$7:$I$100,1)</f>
        <v>0</v>
      </c>
      <c r="H376" s="1315">
        <f>SUMIFS('12'!$J$7:$J$100,'12'!$H$7:$H$100,$A376,'12'!$I$7:$I$100,2)+SUMIFS('13'!$J$7:$J$100,'13'!$H$7:$H$100,$A376,'13'!$I$7:$I$100,2)+SUMIFS('14'!$J$7:$J$100,'14'!$H$7:$H$100,$A376,'14'!$I$7:$I$100,2)+SUMIFS('15'!$J$7:$J$100,'15'!$H$7:$H$100,$A376,'15'!$I$7:$I$100,2)+SUMIFS('15a'!$J$7:$J$100,'15a'!$H$7:$H$100,$A376,'15a'!$I$7:$I$100,2)+SUMIFS('15b'!$J$7:$J$100,'15b'!$H$7:$H$100,$A376,'15b'!$I$7:$I$100,2)+SUMIFS('15c'!$J$7:$J$100,'15c'!$H$7:$H$100,$A376,'15c'!$I$7:$I$100,2)+SUMIFS('15d'!$J$7:$J$100,'15d'!$H$7:$H$100,$A376,'15d'!$I$7:$I$100,2)+SUMIFS('15e'!$J$7:$J$100,'15e'!$H$7:$H$100,$A376,'15e'!$I$7:$I$100,2)+SUMIFS('15f'!$J$7:$J$100,'15f'!$H$7:$H$100,$A376,'15f'!$I$7:$I$100,2)+SUMIFS('15g'!$J$7:$J$100,'15g'!$H$7:$H$100,$A376,'15g'!$I$7:$I$100,2)+SUMIFS('15h'!$J$7:$J$100,'15h'!$H$7:$H$100,$A376,'15h'!$I$7:$I$100,2)+SUMIFS('15i'!$J$7:$J$100,'15i'!$H$7:$H$100,$A376,'15i'!$I$7:$I$100,2)+SUMIFS('15j'!$J$7:$J$100,'15j'!$H$7:$H$100,$A376,'15j'!$I$7:$I$100,2)+SUMIFS('15k'!$J$7:$J$100,'15k'!$H$7:$H$100,$A376,'15k'!$I$7:$I$100,2)+SUMIFS('15l'!$J$7:$J$100,'15l'!$H$7:$H$100,$A376,'15l'!$I$7:$I$100,2)+SUMIFS('15m'!$J$7:$J$100,'15m'!$H$7:$H$100,$A376,'15m'!$I$7:$I$100,2)+SUMIFS('15n'!$J$7:$J$100,'15n'!$H$7:$H$100,$A376,'15n'!$I$7:$I$100,2)+SUMIFS('16'!$J$7:$J$100,'16'!$H$7:$H$100,$A376,'16'!$I$7:$I$100,2)+SUMIFS('16a'!$J$7:$J$100,'16a'!$H$7:$H$100,$A376,'16a'!$I$7:$I$100,2)+SUMIFS('17'!$J$7:$J$100,'17'!$H$7:$H$100,$A376,'17'!$I$7:$I$100,2)+SUMIFS('17a'!$J$7:$J$100,'17a'!$H$7:$H$100,$A376,'17a'!$I$7:$I$100,2)+SUMIFS('18'!$J$7:$J$100,'18'!$H$7:$H$100,$A376,'18'!$I$7:$I$100,2)+SUMIFS('18a'!$J$7:$J$100,'18a'!$H$7:$H$100,$A376,'18a'!$I$7:$I$100,2)
+SUMIFS('19'!$J$7:$J$100,'19'!$H$7:$H$100,$A376,'19'!$I$7:$I$100,2)+SUMIFS('20'!$J$7:$J$100,'20'!$H$7:$H$100,$A376,'20'!$I$7:$I$100,2)+SUMIFS('20a'!$J$7:$J$100,'20a'!$H$7:$H$100,$A376,'20a'!$I$7:$I$100,2)+SUMIFS('21'!$J$7:$J$100,'21'!$H$7:$H$100,$A376,'21'!$I$7:$I$100,2)+SUMIFS('22'!$J$7:$J$100,'22'!$H$7:$H$100,$A376,'22'!$I$7:$I$100,2)+SUMIFS('22a'!$J$7:$J$100,'22a'!$H$7:$H$100,$A376,'22a'!$I$7:$I$100,2)+SUMIFS('22b'!$J$7:$J$100,'22b'!$H$7:$H$100,$A376,'22b'!$I$7:$I$100,2)+SUMIFS('23'!$J$7:$J$100,'23'!$H$7:$H$100,$A376,'23'!$I$7:$I$100,2)+SUMIFS('24'!$J$7:$J$100,'24'!$H$7:$H$100,$A376,'24'!$I$7:$I$100,2)+SUMIFS('24a'!$J$7:$J$100,'24a'!$H$7:$H$100,$A376,'24a'!$I$7:$I$100,2)+SUMIFS('24b'!$J$7:$J$100,'24b'!$H$7:$H$100,$A376,'24b'!$I$7:$I$100,2)+SUMIFS('24c'!$J$7:$J$100,'24c'!$H$7:$H$100,$A376,'24c'!$I$7:$I$100,2)+SUMIFS('24d'!$J$7:$J$100,'24d'!$H$7:$H$100,$A376,'24d'!$I$7:$I$100,2)+SUMIFS('24e'!$J$7:$J$100,'24e'!$H$7:$H$100,$A376,'24e'!$I$7:$I$100,2)+SUMIFS('24f'!$J$7:$J$100,'24f'!$H$7:$H$100,$A376,'24f'!$I$7:$I$100,2)+SUMIFS('24g'!$J$7:$J$100,'24g'!$H$7:$H$100,$A376,'24g'!$I$7:$I$100,2)+SUMIFS('24h'!$J$7:$J$100,'24h'!$H$7:$H$100,$A376,'24h'!$I$7:$I$100,2)+SUMIFS('24i'!$J$7:$J$100,'24i'!$H$7:$H$100,$A376,'24i'!$I$7:$I$100,2)+SUMIFS('25'!$J$7:$J$100,'25'!$H$7:$H$100,$A376,'25'!$I$7:$I$100,2)+SUMIFS('26'!$J$7:$J$100,'26'!$H$7:$H$100,$A376,'26'!$I$7:$I$100,2)+SUMIFS('26a'!$J$7:$J$100,'26a'!$H$7:$H$100,$A376,'26a'!$I$7:$I$100,2)+SUMIFS('27'!$J$7:$J$100,'27'!$H$7:$H$100,$A376,'27'!$I$7:$I$100,2)+SUMIFS('27a'!$J$7:$J$100,'27a'!$H$7:$H$100,$A376,'27a'!$I$7:$I$100,2)+SUMIFS('28'!$J$7:$J$100,'28'!$H$7:$H$100,$A376,'28'!$I$7:$I$100,2)+SUMIFS('29'!$J$7:$J$100,'29'!$H$7:$H$100,$A376,'29'!$I$7:$I$100,2)</f>
        <v>0</v>
      </c>
      <c r="I376" s="1315">
        <f>SUMIFS('12'!$J$7:$J$100,'12'!$H$7:$H$100,$A376,'12'!$I$7:$I$100,"")+SUMIFS('13'!$J$7:$J$100,'13'!$H$7:$H$100,$A376,'13'!$I$7:$I$100,"")+SUMIFS('14'!$J$7:$J$100,'14'!$H$7:$H$100,$A376,'14'!$I$7:$I$100,"")+SUMIFS('15'!$J$7:$J$100,'15'!$H$7:$H$100,$A376,'15'!$I$7:$I$100,"")+SUMIFS('15a'!$J$7:$J$100,'15a'!$H$7:$H$100,$A376,'15a'!$I$7:$I$100,"")+SUMIFS('15b'!$J$7:$J$100,'15b'!$H$7:$H$100,$A376,'15b'!$I$7:$I$100,"")+SUMIFS('15c'!$J$7:$J$100,'15c'!$H$7:$H$100,$A376,'15c'!$I$7:$I$100,"")+SUMIFS('15d'!$J$7:$J$100,'15d'!$H$7:$H$100,$A376,'15d'!$I$7:$I$100,"")+SUMIFS('15e'!$J$7:$J$100,'15e'!$H$7:$H$100,$A376,'15e'!$I$7:$I$100,"")+SUMIFS('15f'!$J$7:$J$100,'15f'!$H$7:$H$100,$A376,'15f'!$I$7:$I$100,"")+SUMIFS('15g'!$J$7:$J$100,'15g'!$H$7:$H$100,$A376,'15g'!$I$7:$I$100,"")+SUMIFS('15h'!$J$7:$J$100,'15h'!$H$7:$H$100,$A376,'15h'!$I$7:$I$100,"")+SUMIFS('15i'!$J$7:$J$100,'15i'!$H$7:$H$100,$A376,'15i'!$I$7:$I$100,"")+SUMIFS('15j'!$J$7:$J$100,'15j'!$H$7:$H$100,$A376,'15j'!$I$7:$I$100,"")+SUMIFS('15k'!$J$7:$J$100,'15k'!$H$7:$H$100,$A376,'15k'!$I$7:$I$100,"")+SUMIFS('15l'!$J$7:$J$100,'15l'!$H$7:$H$100,$A376,'15l'!$I$7:$I$100,"")+SUMIFS('15m'!$J$7:$J$100,'15m'!$H$7:$H$100,$A376,'15m'!$I$7:$I$100,"")+SUMIFS('15n'!$J$7:$J$100,'15n'!$H$7:$H$100,$A376,'15n'!$I$7:$I$100,"")+SUMIFS('16'!$J$7:$J$100,'16'!$H$7:$H$100,$A376,'16'!$I$7:$I$100,"")+SUMIFS('16a'!$J$7:$J$100,'16a'!$H$7:$H$100,$A376,'16a'!$I$7:$I$100,"")+SUMIFS('17'!$J$7:$J$100,'17'!$H$7:$H$100,$A376,'17'!$I$7:$I$100,"")+SUMIFS('17a'!$J$7:$J$100,'17a'!$H$7:$H$100,$A376,'17a'!$I$7:$I$100,"")+SUMIFS('18'!$J$7:$J$100,'18'!$H$7:$H$100,$A376,'18'!$I$7:$I$100,"")+SUMIFS('18a'!$J$7:$J$100,'18a'!$H$7:$H$100,$A376,'18a'!$I$7:$I$100,"")
+SUMIFS('19'!$J$7:$J$100,'19'!$H$7:$H$100,$A376,'19'!$I$7:$I$100,"")+SUMIFS('20'!$J$7:$J$100,'20'!$H$7:$H$100,$A376,'20'!$I$7:$I$100,"")+SUMIFS('20a'!$J$7:$J$100,'20a'!$H$7:$H$100,$A376,'20a'!$I$7:$I$100,"")+SUMIFS('21'!$J$7:$J$100,'21'!$H$7:$H$100,$A376,'21'!$I$7:$I$100,"")+SUMIFS('22'!$J$7:$J$100,'22'!$H$7:$H$100,$A376,'22'!$I$7:$I$100,"")+SUMIFS('22a'!$J$7:$J$100,'22a'!$H$7:$H$100,$A376,'22a'!$I$7:$I$100,"")+SUMIFS('22b'!$J$7:$J$100,'22b'!$H$7:$H$100,$A376,'22b'!$I$7:$I$100,"")+SUMIFS('23'!$J$7:$J$100,'23'!$H$7:$H$100,$A376,'23'!$I$7:$I$100,"")+SUMIFS('24'!$J$7:$J$100,'24'!$H$7:$H$100,$A376,'24'!$I$7:$I$100,"")+SUMIFS('24a'!$J$7:$J$100,'24a'!$H$7:$H$100,$A376,'24a'!$I$7:$I$100,"")+SUMIFS('24b'!$J$7:$J$100,'24b'!$H$7:$H$100,$A376,'24b'!$I$7:$I$100,"")+SUMIFS('24c'!$J$7:$J$100,'24c'!$H$7:$H$100,$A376,'24c'!$I$7:$I$100,"")+SUMIFS('24d'!$J$7:$J$100,'24d'!$H$7:$H$100,$A376,'24d'!$I$7:$I$100,"")+SUMIFS('24e'!$J$7:$J$100,'24e'!$H$7:$H$100,$A376,'24e'!$I$7:$I$100,"")+SUMIFS('24f'!$J$7:$J$100,'24f'!$H$7:$H$100,$A376,'24f'!$I$7:$I$100,"")+SUMIFS('24g'!$J$7:$J$100,'24g'!$H$7:$H$100,$A376,'24g'!$I$7:$I$100,"")+SUMIFS('24h'!$J$7:$J$100,'24h'!$H$7:$H$100,$A376,'24h'!$I$7:$I$100,"")+SUMIFS('24i'!$J$7:$J$100,'24i'!$H$7:$H$100,$A376,'24i'!$I$7:$I$100,"")+SUMIFS('25'!$J$7:$J$100,'25'!$H$7:$H$100,$A376,'25'!$I$7:$I$100,"")+SUMIFS('26'!$J$7:$J$100,'26'!$H$7:$H$100,$A376,'26'!$I$7:$I$100,"")+SUMIFS('26a'!$J$7:$J$100,'26a'!$H$7:$H$100,$A376,'26a'!$I$7:$I$100,"")+SUMIFS('27'!$J$7:$J$100,'27'!$H$7:$H$100,$A376,'27'!$I$7:$I$100,"")+SUMIFS('27a'!$J$7:$J$100,'27a'!$H$7:$H$100,$A376,'27a'!$I$7:$I$100,"")+SUMIFS('28'!$J$7:$J$100,'28'!$H$7:$H$100,$A376,'28'!$I$7:$I$100,"")+SUMIFS('29'!$J$7:$J$100,'29'!$H$7:$H$100,$A376,'29'!$I$7:$I$100,"")</f>
        <v>0</v>
      </c>
      <c r="J376" s="1296">
        <f t="shared" si="56"/>
        <v>0</v>
      </c>
      <c r="K376"/>
      <c r="L376"/>
      <c r="M376"/>
      <c r="N376"/>
      <c r="O376"/>
      <c r="P376"/>
      <c r="Q376"/>
      <c r="R376"/>
      <c r="S376" s="1307">
        <f t="shared" si="48"/>
        <v>0</v>
      </c>
      <c r="T376"/>
    </row>
    <row r="377" spans="1:20" x14ac:dyDescent="0.2">
      <c r="A377" t="s">
        <v>5116</v>
      </c>
      <c r="B377" t="s">
        <v>5401</v>
      </c>
      <c r="C377" s="1295">
        <f>SUMIFS('12'!$N$7:$N$100,'12'!$H$7:$H$100,$A377,'12'!$I$7:$I$100,1)+SUMIFS('13'!$N$7:$N$100,'13'!$H$7:$H$100,$A377,'13'!$I$7:$I$100,1)+SUMIFS('14'!$N$7:$N$100,'14'!$H$7:$H$100,$A377,'14'!$I$7:$I$100,1)+SUMIFS('15'!$N$7:$N$100,'15'!$H$7:$H$100,$A377,'15'!$I$7:$I$100,1)+SUMIFS('15a'!$N$7:$N$100,'15a'!$H$7:$H$100,$A377,'15a'!$I$7:$I$100,1)+SUMIFS('15b'!$N$7:$N$100,'15b'!$H$7:$H$100,$A377,'15b'!$I$7:$I$100,1)+SUMIFS('15c'!$N$7:$N$100,'15c'!$H$7:$H$100,$A377,'15c'!$I$7:$I$100,1)+SUMIFS('15d'!$N$7:$N$100,'15d'!$H$7:$H$100,$A377,'15d'!$I$7:$I$100,1)+SUMIFS('15e'!$N$7:$N$100,'15e'!$H$7:$H$100,$A377,'15e'!$I$7:$I$100,1)+SUMIFS('15f'!$N$7:$N$100,'15f'!$H$7:$H$100,$A377,'15f'!$I$7:$I$100,1)+SUMIFS('15g'!$N$7:$N$100,'15g'!$H$7:$H$100,$A377,'15g'!$I$7:$I$100,1)+SUMIFS('15h'!$N$7:$N$100,'15h'!$H$7:$H$100,$A377,'15h'!$I$7:$I$100,1)+SUMIFS('15i'!$N$7:$N$100,'15i'!$H$7:$H$100,$A377,'15i'!$I$7:$I$100,1)+SUMIFS('15j'!$N$7:$N$100,'15j'!$H$7:$H$100,$A377,'15j'!$I$7:$I$100,1)+SUMIFS('15k'!$N$7:$N$100,'15k'!$H$7:$H$100,$A377,'15k'!$I$7:$I$100,1)+SUMIFS('15l'!$N$7:$N$100,'15l'!$H$7:$H$100,$A377,'15l'!$I$7:$I$100,1)+SUMIFS('15m'!$N$7:$N$100,'15m'!$H$7:$H$100,$A377,'15m'!$I$7:$I$100,1)+SUMIFS('15n'!$N$7:$N$100,'15n'!$H$7:$H$100,$A377,'15n'!$I$7:$I$100,1)+SUMIFS('16'!$N$7:$N$100,'16'!$H$7:$H$100,$A377,'16'!$I$7:$I$100,1)+SUMIFS('16a'!$N$7:$N$100,'16a'!$H$7:$H$100,$A377,'16a'!$I$7:$I$100,1)+SUMIFS('17'!$N$7:$N$100,'17'!$H$7:$H$100,$A377,'17'!$I$7:$I$100,1)+SUMIFS('17a'!$N$7:$N$100,'17a'!$H$7:$H$100,$A377,'17a'!$I$7:$I$100,1)+SUMIFS('18'!$N$7:$N$100,'18'!$H$7:$H$100,$A377,'18'!$I$7:$I$100,1)+SUMIFS('18a'!$N$7:$N$100,'18a'!$H$7:$H$100,$A377,'18a'!$I$7:$I$100,1)
+SUMIFS('19'!$N$7:$N$100,'19'!$H$7:$H$100,$A377,'19'!$I$7:$I$100,1)+SUMIFS('20'!$N$7:$N$100,'20'!$H$7:$H$100,$A377,'20'!$I$7:$I$100,1)+SUMIFS('20a'!$N$7:$N$100,'20a'!$H$7:$H$100,$A377,'20a'!$I$7:$I$100,1)+SUMIFS('21'!$N$7:$N$100,'21'!$H$7:$H$100,$A377,'21'!$I$7:$I$100,1)+SUMIFS('22'!$N$7:$N$100,'22'!$H$7:$H$100,$A377,'22'!$I$7:$I$100,1)+SUMIFS('22a'!$N$7:$N$100,'22a'!$H$7:$H$100,$A377,'22a'!$I$7:$I$100,1)+SUMIFS('22b'!$N$7:$N$100,'22b'!$H$7:$H$100,$A377,'22b'!$I$7:$I$100,1)+SUMIFS('23'!$N$7:$N$100,'23'!$H$7:$H$100,$A377,'23'!$I$7:$I$100,1)+SUMIFS('24'!$N$7:$N$100,'24'!$H$7:$H$100,$A377,'24'!$I$7:$I$100,1)+SUMIFS('24a'!$N$7:$N$100,'24a'!$H$7:$H$100,$A377,'24a'!$I$7:$I$100,1)+SUMIFS('24b'!$N$7:$N$100,'24b'!$H$7:$H$100,$A377,'24b'!$I$7:$I$100,1)+SUMIFS('24c'!$N$7:$N$100,'24c'!$H$7:$H$100,$A377,'24c'!$I$7:$I$100,1)+SUMIFS('24d'!$N$7:$N$100,'24d'!$H$7:$H$100,$A377,'24d'!$I$7:$I$100,1)+SUMIFS('24e'!$N$7:$N$100,'24e'!$H$7:$H$100,$A377,'24e'!$I$7:$I$100,1)+SUMIFS('24f'!$N$7:$N$100,'24f'!$H$7:$H$100,$A377,'24f'!$I$7:$I$100,1)+SUMIFS('24g'!$N$7:$N$100,'24g'!$H$7:$H$100,$A377,'24g'!$I$7:$I$100,1)+SUMIFS('24h'!$N$7:$N$100,'24h'!$H$7:$H$100,$A377,'24h'!$I$7:$I$100,1)+SUMIFS('24i'!$N$7:$N$100,'24i'!$H$7:$H$100,$A377,'24i'!$I$7:$I$100,1)+SUMIFS('25'!$N$7:$N$100,'25'!$H$7:$H$100,$A377,'25'!$I$7:$I$100,1)+SUMIFS('26'!$N$7:$N$100,'26'!$H$7:$H$100,$A377,'26'!$I$7:$I$100,1)+SUMIFS('26a'!$N$7:$N$100,'26a'!$H$7:$H$100,$A377,'26a'!$I$7:$I$100,1)+SUMIFS('27'!$N$7:$N$100,'27'!$H$7:$H$100,$A377,'27'!$I$7:$I$100,1)+SUMIFS('27a'!$N$7:$N$100,'27a'!$H$7:$H$100,$A377,'27a'!$I$7:$I$100,1)+SUMIFS('28'!$N$7:$N$100,'28'!$H$7:$H$100,$A377,'28'!$I$7:$I$100,1)+SUMIFS('29'!$N$7:$N$100,'29'!$H$7:$H$100,$A377,'29'!$I$7:$I$100,1)</f>
        <v>0</v>
      </c>
      <c r="D377" s="1315">
        <f>SUMIFS('12'!$N$7:$N$100,'12'!$H$7:$H$100,$A377,'12'!$I$7:$I$100,2)+SUMIFS('13'!$N$7:$N$100,'13'!$H$7:$H$100,$A377,'13'!$I$7:$I$100,2)+SUMIFS('14'!$N$7:$N$100,'14'!$H$7:$H$100,$A377,'14'!$I$7:$I$100,2)+SUMIFS('15'!$N$7:$N$100,'15'!$H$7:$H$100,$A377,'15'!$I$7:$I$100,2)+SUMIFS('15a'!$N$7:$N$100,'15a'!$H$7:$H$100,$A377,'15a'!$I$7:$I$100,2)+SUMIFS('15b'!$N$7:$N$100,'15b'!$H$7:$H$100,$A377,'15b'!$I$7:$I$100,2)+SUMIFS('15c'!$N$7:$N$100,'15c'!$H$7:$H$100,$A377,'15c'!$I$7:$I$100,2)+SUMIFS('15d'!$N$7:$N$100,'15d'!$H$7:$H$100,$A377,'15d'!$I$7:$I$100,2)+SUMIFS('15e'!$N$7:$N$100,'15e'!$H$7:$H$100,$A377,'15e'!$I$7:$I$100,2)+SUMIFS('15f'!$N$7:$N$100,'15f'!$H$7:$H$100,$A377,'15f'!$I$7:$I$100,2)+SUMIFS('15g'!$N$7:$N$100,'15g'!$H$7:$H$100,$A377,'15g'!$I$7:$I$100,2)+SUMIFS('15h'!$N$7:$N$100,'15h'!$H$7:$H$100,$A377,'15h'!$I$7:$I$100,2)+SUMIFS('15i'!$N$7:$N$100,'15i'!$H$7:$H$100,$A377,'15i'!$I$7:$I$100,2)+SUMIFS('15j'!$N$7:$N$100,'15j'!$H$7:$H$100,$A377,'15j'!$I$7:$I$100,2)+SUMIFS('15k'!$N$7:$N$100,'15k'!$H$7:$H$100,$A377,'15k'!$I$7:$I$100,2)+SUMIFS('15l'!$N$7:$N$100,'15l'!$H$7:$H$100,$A377,'15l'!$I$7:$I$100,2)+SUMIFS('15m'!$N$7:$N$100,'15m'!$H$7:$H$100,$A377,'15m'!$I$7:$I$100,2)+SUMIFS('15n'!$N$7:$N$100,'15n'!$H$7:$H$100,$A377,'15n'!$I$7:$I$100,2)+SUMIFS('16'!$N$7:$N$100,'16'!$H$7:$H$100,$A377,'16'!$I$7:$I$100,2)+SUMIFS('16a'!$N$7:$N$100,'16a'!$H$7:$H$100,$A377,'16a'!$I$7:$I$100,2)+SUMIFS('17'!$N$7:$N$100,'17'!$H$7:$H$100,$A377,'17'!$I$7:$I$100,2)+SUMIFS('17a'!$N$7:$N$100,'17a'!$H$7:$H$100,$A377,'17a'!$I$7:$I$100,2)+SUMIFS('18'!$N$7:$N$100,'18'!$H$7:$H$100,$A377,'18'!$I$7:$I$100,2)+SUMIFS('18a'!$N$7:$N$100,'18a'!$H$7:$H$100,$A377,'18a'!$I$7:$I$100,2)
+SUMIFS('19'!$N$7:$N$100,'19'!$H$7:$H$100,$A377,'19'!$I$7:$I$100,2)+SUMIFS('20'!$N$7:$N$100,'20'!$H$7:$H$100,$A377,'20'!$I$7:$I$100,2)+SUMIFS('20a'!$N$7:$N$100,'20a'!$H$7:$H$100,$A377,'20a'!$I$7:$I$100,2)+SUMIFS('21'!$N$7:$N$100,'21'!$H$7:$H$100,$A377,'21'!$I$7:$I$100,2)+SUMIFS('22'!$N$7:$N$100,'22'!$H$7:$H$100,$A377,'22'!$I$7:$I$100,2)+SUMIFS('22a'!$N$7:$N$100,'22a'!$H$7:$H$100,$A377,'22a'!$I$7:$I$100,2)+SUMIFS('22b'!$N$7:$N$100,'22b'!$H$7:$H$100,$A377,'22b'!$I$7:$I$100,2)+SUMIFS('23'!$N$7:$N$100,'23'!$H$7:$H$100,$A377,'23'!$I$7:$I$100,2)+SUMIFS('24'!$N$7:$N$100,'24'!$H$7:$H$100,$A377,'24'!$I$7:$I$100,2)+SUMIFS('24a'!$N$7:$N$100,'24a'!$H$7:$H$100,$A377,'24a'!$I$7:$I$100,2)+SUMIFS('24b'!$N$7:$N$100,'24b'!$H$7:$H$100,$A377,'24b'!$I$7:$I$100,2)+SUMIFS('24c'!$N$7:$N$100,'24c'!$H$7:$H$100,$A377,'24c'!$I$7:$I$100,2)+SUMIFS('24d'!$N$7:$N$100,'24d'!$H$7:$H$100,$A377,'24d'!$I$7:$I$100,2)+SUMIFS('24e'!$N$7:$N$100,'24e'!$H$7:$H$100,$A377,'24e'!$I$7:$I$100,2)+SUMIFS('24f'!$N$7:$N$100,'24f'!$H$7:$H$100,$A377,'24f'!$I$7:$I$100,2)+SUMIFS('24g'!$N$7:$N$100,'24g'!$H$7:$H$100,$A377,'24g'!$I$7:$I$100,2)+SUMIFS('24h'!$N$7:$N$100,'24h'!$H$7:$H$100,$A377,'24h'!$I$7:$I$100,2)+SUMIFS('24i'!$N$7:$N$100,'24i'!$H$7:$H$100,$A377,'24i'!$I$7:$I$100,2)+SUMIFS('25'!$N$7:$N$100,'25'!$H$7:$H$100,$A377,'25'!$I$7:$I$100,2)+SUMIFS('26'!$N$7:$N$100,'26'!$H$7:$H$100,$A377,'26'!$I$7:$I$100,2)+SUMIFS('26a'!$N$7:$N$100,'26a'!$H$7:$H$100,$A377,'26a'!$I$7:$I$100,2)+SUMIFS('27'!$N$7:$N$100,'27'!$H$7:$H$100,$A377,'27'!$I$7:$I$100,2)+SUMIFS('27a'!$N$7:$N$100,'27a'!$H$7:$H$100,$A377,'27a'!$I$7:$I$100,2)+SUMIFS('28'!$N$7:$N$100,'28'!$H$7:$H$100,$A377,'28'!$I$7:$I$100,2)+SUMIFS('29'!$N$7:$N$100,'29'!$H$7:$H$100,$A377,'29'!$I$7:$I$100,2)</f>
        <v>0</v>
      </c>
      <c r="E377" s="1315">
        <f>SUMIFS('12'!$N$7:$N$100,'12'!$H$7:$H$100,$A377,'12'!$I$7:$I$100,"")+SUMIFS('13'!$N$7:$N$100,'13'!$H$7:$H$100,$A377,'13'!$I$7:$I$100,"")+SUMIFS('14'!$N$7:$N$100,'14'!$H$7:$H$100,$A377,'14'!$I$7:$I$100,"")+SUMIFS('15'!$N$7:$N$100,'15'!$H$7:$H$100,$A377,'15'!$I$7:$I$100,"")+SUMIFS('15a'!$N$7:$N$100,'15a'!$H$7:$H$100,$A377,'15a'!$I$7:$I$100,"")+SUMIFS('15b'!$N$7:$N$100,'15b'!$H$7:$H$100,$A377,'15b'!$I$7:$I$100,"")+SUMIFS('15c'!$N$7:$N$100,'15c'!$H$7:$H$100,$A377,'15c'!$I$7:$I$100,"")+SUMIFS('15d'!$N$7:$N$100,'15d'!$H$7:$H$100,$A377,'15d'!$I$7:$I$100,"")+SUMIFS('15e'!$N$7:$N$100,'15e'!$H$7:$H$100,$A377,'15e'!$I$7:$I$100,"")+SUMIFS('15f'!$N$7:$N$100,'15f'!$H$7:$H$100,$A377,'15f'!$I$7:$I$100,"")+SUMIFS('15g'!$N$7:$N$100,'15g'!$H$7:$H$100,$A377,'15g'!$I$7:$I$100,"")+SUMIFS('15h'!$N$7:$N$100,'15h'!$H$7:$H$100,$A377,'15h'!$I$7:$I$100,"")+SUMIFS('15i'!$N$7:$N$100,'15i'!$H$7:$H$100,$A377,'15i'!$I$7:$I$100,"")+SUMIFS('15j'!$N$7:$N$100,'15j'!$H$7:$H$100,$A377,'15j'!$I$7:$I$100,"")+SUMIFS('15k'!$N$7:$N$100,'15k'!$H$7:$H$100,$A377,'15k'!$I$7:$I$100,"")+SUMIFS('15l'!$N$7:$N$100,'15l'!$H$7:$H$100,$A377,'15l'!$I$7:$I$100,"")+SUMIFS('15m'!$N$7:$N$100,'15m'!$H$7:$H$100,$A377,'15m'!$I$7:$I$100,"")+SUMIFS('15n'!$N$7:$N$100,'15n'!$H$7:$H$100,$A377,'15n'!$I$7:$I$100,"")+SUMIFS('16'!$N$7:$N$100,'16'!$H$7:$H$100,$A377,'16'!$I$7:$I$100,"")+SUMIFS('16a'!$N$7:$N$100,'16a'!$H$7:$H$100,$A377,'16a'!$I$7:$I$100,"")+SUMIFS('17'!$N$7:$N$100,'17'!$H$7:$H$100,$A377,'17'!$I$7:$I$100,"")+SUMIFS('17a'!$N$7:$N$100,'17a'!$H$7:$H$100,$A377,'17a'!$I$7:$I$100,"")+SUMIFS('18'!$N$7:$N$100,'18'!$H$7:$H$100,$A377,'18'!$I$7:$I$100,"")+SUMIFS('18a'!$N$7:$N$100,'18a'!$H$7:$H$100,$A377,'18a'!$I$7:$I$100,"")
+SUMIFS('19'!$N$7:$N$100,'19'!$H$7:$H$100,$A377,'19'!$I$7:$I$100,"")+SUMIFS('20'!$N$7:$N$100,'20'!$H$7:$H$100,$A377,'20'!$I$7:$I$100,"")+SUMIFS('20a'!$N$7:$N$100,'20a'!$H$7:$H$100,$A377,'20a'!$I$7:$I$100,"")+SUMIFS('21'!$N$7:$N$100,'21'!$H$7:$H$100,$A377,'21'!$I$7:$I$100,"")+SUMIFS('22'!$N$7:$N$100,'22'!$H$7:$H$100,$A377,'22'!$I$7:$I$100,"")+SUMIFS('22a'!$N$7:$N$100,'22a'!$H$7:$H$100,$A377,'22a'!$I$7:$I$100,"")+SUMIFS('22b'!$N$7:$N$100,'22b'!$H$7:$H$100,$A377,'22b'!$I$7:$I$100,"")+SUMIFS('23'!$N$7:$N$100,'23'!$H$7:$H$100,$A377,'23'!$I$7:$I$100,"")+SUMIFS('24'!$N$7:$N$100,'24'!$H$7:$H$100,$A377,'24'!$I$7:$I$100,"")+SUMIFS('24a'!$N$7:$N$100,'24a'!$H$7:$H$100,$A377,'24a'!$I$7:$I$100,"")+SUMIFS('24b'!$N$7:$N$100,'24b'!$H$7:$H$100,$A377,'24b'!$I$7:$I$100,"")+SUMIFS('24c'!$N$7:$N$100,'24c'!$H$7:$H$100,$A377,'24c'!$I$7:$I$100,"")+SUMIFS('24d'!$N$7:$N$100,'24d'!$H$7:$H$100,$A377,'24d'!$I$7:$I$100,"")+SUMIFS('24e'!$N$7:$N$100,'24e'!$H$7:$H$100,$A377,'24e'!$I$7:$I$100,"")+SUMIFS('24f'!$N$7:$N$100,'24f'!$H$7:$H$100,$A377,'24f'!$I$7:$I$100,"")+SUMIFS('24g'!$N$7:$N$100,'24g'!$H$7:$H$100,$A377,'24g'!$I$7:$I$100,"")+SUMIFS('24h'!$N$7:$N$100,'24h'!$H$7:$H$100,$A377,'24h'!$I$7:$I$100,"")+SUMIFS('24i'!$N$7:$N$100,'24i'!$H$7:$H$100,$A377,'24i'!$I$7:$I$100,"")+SUMIFS('25'!$N$7:$N$100,'25'!$H$7:$H$100,$A377,'25'!$I$7:$I$100,"")+SUMIFS('26'!$N$7:$N$100,'26'!$H$7:$H$100,$A377,'26'!$I$7:$I$100,"")+SUMIFS('26a'!$N$7:$N$100,'26a'!$H$7:$H$100,$A377,'26a'!$I$7:$I$100,"")+SUMIFS('27'!$N$7:$N$100,'27'!$H$7:$H$100,$A377,'27'!$I$7:$I$100,"")+SUMIFS('27a'!$N$7:$N$100,'27a'!$H$7:$H$100,$A377,'27a'!$I$7:$I$100,"")+SUMIFS('28'!$N$7:$N$100,'28'!$H$7:$H$100,$A377,'28'!$I$7:$I$100,"")+SUMIFS('29'!$N$7:$N$100,'29'!$H$7:$H$100,$A377,'29'!$I$7:$I$100,"")</f>
        <v>0</v>
      </c>
      <c r="F377" s="1296">
        <f t="shared" si="55"/>
        <v>0</v>
      </c>
      <c r="G377" s="1295">
        <f>SUMIFS('12'!$J$7:$J$100,'12'!$H$7:$H$100,$A377,'12'!$I$7:$I$100,1)+SUMIFS('13'!$J$7:$J$100,'13'!$H$7:$H$100,$A377,'13'!$I$7:$I$100,1)+SUMIFS('14'!$J$7:$J$100,'14'!$H$7:$H$100,$A377,'14'!$I$7:$I$100,1)+SUMIFS('15'!$J$7:$J$100,'15'!$H$7:$H$100,$A377,'15'!$I$7:$I$100,1)+SUMIFS('15a'!$J$7:$J$100,'15a'!$H$7:$H$100,$A377,'15a'!$I$7:$I$100,1)+SUMIFS('15b'!$J$7:$J$100,'15b'!$H$7:$H$100,$A377,'15b'!$I$7:$I$100,1)+SUMIFS('15c'!$J$7:$J$100,'15c'!$H$7:$H$100,$A377,'15c'!$I$7:$I$100,1)+SUMIFS('15d'!$J$7:$J$100,'15d'!$H$7:$H$100,$A377,'15d'!$I$7:$I$100,1)+SUMIFS('15e'!$J$7:$J$100,'15e'!$H$7:$H$100,$A377,'15e'!$I$7:$I$100,1)+SUMIFS('15f'!$J$7:$J$100,'15f'!$H$7:$H$100,$A377,'15f'!$I$7:$I$100,1)+SUMIFS('15g'!$J$7:$J$100,'15g'!$H$7:$H$100,$A377,'15g'!$I$7:$I$100,1)+SUMIFS('15h'!$J$7:$J$100,'15h'!$H$7:$H$100,$A377,'15h'!$I$7:$I$100,1)+SUMIFS('15i'!$J$7:$J$100,'15i'!$H$7:$H$100,$A377,'15i'!$I$7:$I$100,1)+SUMIFS('15j'!$J$7:$J$100,'15j'!$H$7:$H$100,$A377,'15j'!$I$7:$I$100,1)+SUMIFS('15k'!$J$7:$J$100,'15k'!$H$7:$H$100,$A377,'15k'!$I$7:$I$100,1)+SUMIFS('15l'!$J$7:$J$100,'15l'!$H$7:$H$100,$A377,'15l'!$I$7:$I$100,1)+SUMIFS('15m'!$J$7:$J$100,'15m'!$H$7:$H$100,$A377,'15m'!$I$7:$I$100,1)+SUMIFS('15n'!$J$7:$J$100,'15n'!$H$7:$H$100,$A377,'15n'!$I$7:$I$100,1)+SUMIFS('16'!$J$7:$J$100,'16'!$H$7:$H$100,$A377,'16'!$I$7:$I$100,1)+SUMIFS('16a'!$J$7:$J$100,'16a'!$H$7:$H$100,$A377,'16a'!$I$7:$I$100,1)+SUMIFS('17'!$J$7:$J$100,'17'!$H$7:$H$100,$A377,'17'!$I$7:$I$100,1)+SUMIFS('17a'!$J$7:$J$100,'17a'!$H$7:$H$100,$A377,'17a'!$I$7:$I$100,1)+SUMIFS('18'!$J$7:$J$100,'18'!$H$7:$H$100,$A377,'18'!$I$7:$I$100,1)+SUMIFS('18a'!$J$7:$J$100,'18a'!$H$7:$H$100,$A377,'18a'!$I$7:$I$100,1)
+SUMIFS('19'!$J$7:$J$100,'19'!$H$7:$H$100,$A377,'19'!$I$7:$I$100,1)+SUMIFS('20'!$J$7:$J$100,'20'!$H$7:$H$100,$A377,'20'!$I$7:$I$100,1)+SUMIFS('20a'!$J$7:$J$100,'20a'!$H$7:$H$100,$A377,'20a'!$I$7:$I$100,1)+SUMIFS('21'!$J$7:$J$100,'21'!$H$7:$H$100,$A377,'21'!$I$7:$I$100,1)+SUMIFS('22'!$J$7:$J$100,'22'!$H$7:$H$100,$A377,'22'!$I$7:$I$100,1)+SUMIFS('22a'!$J$7:$J$100,'22a'!$H$7:$H$100,$A377,'22a'!$I$7:$I$100,1)+SUMIFS('22b'!$J$7:$J$100,'22b'!$H$7:$H$100,$A377,'22b'!$I$7:$I$100,1)+SUMIFS('23'!$J$7:$J$100,'23'!$H$7:$H$100,$A377,'23'!$I$7:$I$100,1)+SUMIFS('24'!$J$7:$J$100,'24'!$H$7:$H$100,$A377,'24'!$I$7:$I$100,1)+SUMIFS('24a'!$J$7:$J$100,'24a'!$H$7:$H$100,$A377,'24a'!$I$7:$I$100,1)+SUMIFS('24b'!$J$7:$J$100,'24b'!$H$7:$H$100,$A377,'24b'!$I$7:$I$100,1)+SUMIFS('24c'!$J$7:$J$100,'24c'!$H$7:$H$100,$A377,'24c'!$I$7:$I$100,1)+SUMIFS('24d'!$J$7:$J$100,'24d'!$H$7:$H$100,$A377,'24d'!$I$7:$I$100,1)+SUMIFS('24e'!$J$7:$J$100,'24e'!$H$7:$H$100,$A377,'24e'!$I$7:$I$100,1)+SUMIFS('24f'!$J$7:$J$100,'24f'!$H$7:$H$100,$A377,'24f'!$I$7:$I$100,1)+SUMIFS('24g'!$J$7:$J$100,'24g'!$H$7:$H$100,$A377,'24g'!$I$7:$I$100,1)+SUMIFS('24h'!$J$7:$J$100,'24h'!$H$7:$H$100,$A377,'24h'!$I$7:$I$100,1)+SUMIFS('24i'!$J$7:$J$100,'24i'!$H$7:$H$100,$A377,'24i'!$I$7:$I$100,1)+SUMIFS('25'!$J$7:$J$100,'25'!$H$7:$H$100,$A377,'25'!$I$7:$I$100,1)+SUMIFS('26'!$J$7:$J$100,'26'!$H$7:$H$100,$A377,'26'!$I$7:$I$100,1)+SUMIFS('26a'!$J$7:$J$100,'26a'!$H$7:$H$100,$A377,'26a'!$I$7:$I$100,1)+SUMIFS('27'!$J$7:$J$100,'27'!$H$7:$H$100,$A377,'27'!$I$7:$I$100,1)+SUMIFS('27a'!$J$7:$J$100,'27a'!$H$7:$H$100,$A377,'27a'!$I$7:$I$100,1)+SUMIFS('28'!$J$7:$J$100,'28'!$H$7:$H$100,$A377,'28'!$I$7:$I$100,1)+SUMIFS('29'!$J$7:$J$100,'29'!$H$7:$H$100,$A377,'29'!$I$7:$I$100,1)</f>
        <v>0</v>
      </c>
      <c r="H377" s="1315">
        <f>SUMIFS('12'!$J$7:$J$100,'12'!$H$7:$H$100,$A377,'12'!$I$7:$I$100,2)+SUMIFS('13'!$J$7:$J$100,'13'!$H$7:$H$100,$A377,'13'!$I$7:$I$100,2)+SUMIFS('14'!$J$7:$J$100,'14'!$H$7:$H$100,$A377,'14'!$I$7:$I$100,2)+SUMIFS('15'!$J$7:$J$100,'15'!$H$7:$H$100,$A377,'15'!$I$7:$I$100,2)+SUMIFS('15a'!$J$7:$J$100,'15a'!$H$7:$H$100,$A377,'15a'!$I$7:$I$100,2)+SUMIFS('15b'!$J$7:$J$100,'15b'!$H$7:$H$100,$A377,'15b'!$I$7:$I$100,2)+SUMIFS('15c'!$J$7:$J$100,'15c'!$H$7:$H$100,$A377,'15c'!$I$7:$I$100,2)+SUMIFS('15d'!$J$7:$J$100,'15d'!$H$7:$H$100,$A377,'15d'!$I$7:$I$100,2)+SUMIFS('15e'!$J$7:$J$100,'15e'!$H$7:$H$100,$A377,'15e'!$I$7:$I$100,2)+SUMIFS('15f'!$J$7:$J$100,'15f'!$H$7:$H$100,$A377,'15f'!$I$7:$I$100,2)+SUMIFS('15g'!$J$7:$J$100,'15g'!$H$7:$H$100,$A377,'15g'!$I$7:$I$100,2)+SUMIFS('15h'!$J$7:$J$100,'15h'!$H$7:$H$100,$A377,'15h'!$I$7:$I$100,2)+SUMIFS('15i'!$J$7:$J$100,'15i'!$H$7:$H$100,$A377,'15i'!$I$7:$I$100,2)+SUMIFS('15j'!$J$7:$J$100,'15j'!$H$7:$H$100,$A377,'15j'!$I$7:$I$100,2)+SUMIFS('15k'!$J$7:$J$100,'15k'!$H$7:$H$100,$A377,'15k'!$I$7:$I$100,2)+SUMIFS('15l'!$J$7:$J$100,'15l'!$H$7:$H$100,$A377,'15l'!$I$7:$I$100,2)+SUMIFS('15m'!$J$7:$J$100,'15m'!$H$7:$H$100,$A377,'15m'!$I$7:$I$100,2)+SUMIFS('15n'!$J$7:$J$100,'15n'!$H$7:$H$100,$A377,'15n'!$I$7:$I$100,2)+SUMIFS('16'!$J$7:$J$100,'16'!$H$7:$H$100,$A377,'16'!$I$7:$I$100,2)+SUMIFS('16a'!$J$7:$J$100,'16a'!$H$7:$H$100,$A377,'16a'!$I$7:$I$100,2)+SUMIFS('17'!$J$7:$J$100,'17'!$H$7:$H$100,$A377,'17'!$I$7:$I$100,2)+SUMIFS('17a'!$J$7:$J$100,'17a'!$H$7:$H$100,$A377,'17a'!$I$7:$I$100,2)+SUMIFS('18'!$J$7:$J$100,'18'!$H$7:$H$100,$A377,'18'!$I$7:$I$100,2)+SUMIFS('18a'!$J$7:$J$100,'18a'!$H$7:$H$100,$A377,'18a'!$I$7:$I$100,2)
+SUMIFS('19'!$J$7:$J$100,'19'!$H$7:$H$100,$A377,'19'!$I$7:$I$100,2)+SUMIFS('20'!$J$7:$J$100,'20'!$H$7:$H$100,$A377,'20'!$I$7:$I$100,2)+SUMIFS('20a'!$J$7:$J$100,'20a'!$H$7:$H$100,$A377,'20a'!$I$7:$I$100,2)+SUMIFS('21'!$J$7:$J$100,'21'!$H$7:$H$100,$A377,'21'!$I$7:$I$100,2)+SUMIFS('22'!$J$7:$J$100,'22'!$H$7:$H$100,$A377,'22'!$I$7:$I$100,2)+SUMIFS('22a'!$J$7:$J$100,'22a'!$H$7:$H$100,$A377,'22a'!$I$7:$I$100,2)+SUMIFS('22b'!$J$7:$J$100,'22b'!$H$7:$H$100,$A377,'22b'!$I$7:$I$100,2)+SUMIFS('23'!$J$7:$J$100,'23'!$H$7:$H$100,$A377,'23'!$I$7:$I$100,2)+SUMIFS('24'!$J$7:$J$100,'24'!$H$7:$H$100,$A377,'24'!$I$7:$I$100,2)+SUMIFS('24a'!$J$7:$J$100,'24a'!$H$7:$H$100,$A377,'24a'!$I$7:$I$100,2)+SUMIFS('24b'!$J$7:$J$100,'24b'!$H$7:$H$100,$A377,'24b'!$I$7:$I$100,2)+SUMIFS('24c'!$J$7:$J$100,'24c'!$H$7:$H$100,$A377,'24c'!$I$7:$I$100,2)+SUMIFS('24d'!$J$7:$J$100,'24d'!$H$7:$H$100,$A377,'24d'!$I$7:$I$100,2)+SUMIFS('24e'!$J$7:$J$100,'24e'!$H$7:$H$100,$A377,'24e'!$I$7:$I$100,2)+SUMIFS('24f'!$J$7:$J$100,'24f'!$H$7:$H$100,$A377,'24f'!$I$7:$I$100,2)+SUMIFS('24g'!$J$7:$J$100,'24g'!$H$7:$H$100,$A377,'24g'!$I$7:$I$100,2)+SUMIFS('24h'!$J$7:$J$100,'24h'!$H$7:$H$100,$A377,'24h'!$I$7:$I$100,2)+SUMIFS('24i'!$J$7:$J$100,'24i'!$H$7:$H$100,$A377,'24i'!$I$7:$I$100,2)+SUMIFS('25'!$J$7:$J$100,'25'!$H$7:$H$100,$A377,'25'!$I$7:$I$100,2)+SUMIFS('26'!$J$7:$J$100,'26'!$H$7:$H$100,$A377,'26'!$I$7:$I$100,2)+SUMIFS('26a'!$J$7:$J$100,'26a'!$H$7:$H$100,$A377,'26a'!$I$7:$I$100,2)+SUMIFS('27'!$J$7:$J$100,'27'!$H$7:$H$100,$A377,'27'!$I$7:$I$100,2)+SUMIFS('27a'!$J$7:$J$100,'27a'!$H$7:$H$100,$A377,'27a'!$I$7:$I$100,2)+SUMIFS('28'!$J$7:$J$100,'28'!$H$7:$H$100,$A377,'28'!$I$7:$I$100,2)+SUMIFS('29'!$J$7:$J$100,'29'!$H$7:$H$100,$A377,'29'!$I$7:$I$100,2)</f>
        <v>0</v>
      </c>
      <c r="I377" s="1315">
        <f>SUMIFS('12'!$J$7:$J$100,'12'!$H$7:$H$100,$A377,'12'!$I$7:$I$100,"")+SUMIFS('13'!$J$7:$J$100,'13'!$H$7:$H$100,$A377,'13'!$I$7:$I$100,"")+SUMIFS('14'!$J$7:$J$100,'14'!$H$7:$H$100,$A377,'14'!$I$7:$I$100,"")+SUMIFS('15'!$J$7:$J$100,'15'!$H$7:$H$100,$A377,'15'!$I$7:$I$100,"")+SUMIFS('15a'!$J$7:$J$100,'15a'!$H$7:$H$100,$A377,'15a'!$I$7:$I$100,"")+SUMIFS('15b'!$J$7:$J$100,'15b'!$H$7:$H$100,$A377,'15b'!$I$7:$I$100,"")+SUMIFS('15c'!$J$7:$J$100,'15c'!$H$7:$H$100,$A377,'15c'!$I$7:$I$100,"")+SUMIFS('15d'!$J$7:$J$100,'15d'!$H$7:$H$100,$A377,'15d'!$I$7:$I$100,"")+SUMIFS('15e'!$J$7:$J$100,'15e'!$H$7:$H$100,$A377,'15e'!$I$7:$I$100,"")+SUMIFS('15f'!$J$7:$J$100,'15f'!$H$7:$H$100,$A377,'15f'!$I$7:$I$100,"")+SUMIFS('15g'!$J$7:$J$100,'15g'!$H$7:$H$100,$A377,'15g'!$I$7:$I$100,"")+SUMIFS('15h'!$J$7:$J$100,'15h'!$H$7:$H$100,$A377,'15h'!$I$7:$I$100,"")+SUMIFS('15i'!$J$7:$J$100,'15i'!$H$7:$H$100,$A377,'15i'!$I$7:$I$100,"")+SUMIFS('15j'!$J$7:$J$100,'15j'!$H$7:$H$100,$A377,'15j'!$I$7:$I$100,"")+SUMIFS('15k'!$J$7:$J$100,'15k'!$H$7:$H$100,$A377,'15k'!$I$7:$I$100,"")+SUMIFS('15l'!$J$7:$J$100,'15l'!$H$7:$H$100,$A377,'15l'!$I$7:$I$100,"")+SUMIFS('15m'!$J$7:$J$100,'15m'!$H$7:$H$100,$A377,'15m'!$I$7:$I$100,"")+SUMIFS('15n'!$J$7:$J$100,'15n'!$H$7:$H$100,$A377,'15n'!$I$7:$I$100,"")+SUMIFS('16'!$J$7:$J$100,'16'!$H$7:$H$100,$A377,'16'!$I$7:$I$100,"")+SUMIFS('16a'!$J$7:$J$100,'16a'!$H$7:$H$100,$A377,'16a'!$I$7:$I$100,"")+SUMIFS('17'!$J$7:$J$100,'17'!$H$7:$H$100,$A377,'17'!$I$7:$I$100,"")+SUMIFS('17a'!$J$7:$J$100,'17a'!$H$7:$H$100,$A377,'17a'!$I$7:$I$100,"")+SUMIFS('18'!$J$7:$J$100,'18'!$H$7:$H$100,$A377,'18'!$I$7:$I$100,"")+SUMIFS('18a'!$J$7:$J$100,'18a'!$H$7:$H$100,$A377,'18a'!$I$7:$I$100,"")
+SUMIFS('19'!$J$7:$J$100,'19'!$H$7:$H$100,$A377,'19'!$I$7:$I$100,"")+SUMIFS('20'!$J$7:$J$100,'20'!$H$7:$H$100,$A377,'20'!$I$7:$I$100,"")+SUMIFS('20a'!$J$7:$J$100,'20a'!$H$7:$H$100,$A377,'20a'!$I$7:$I$100,"")+SUMIFS('21'!$J$7:$J$100,'21'!$H$7:$H$100,$A377,'21'!$I$7:$I$100,"")+SUMIFS('22'!$J$7:$J$100,'22'!$H$7:$H$100,$A377,'22'!$I$7:$I$100,"")+SUMIFS('22a'!$J$7:$J$100,'22a'!$H$7:$H$100,$A377,'22a'!$I$7:$I$100,"")+SUMIFS('22b'!$J$7:$J$100,'22b'!$H$7:$H$100,$A377,'22b'!$I$7:$I$100,"")+SUMIFS('23'!$J$7:$J$100,'23'!$H$7:$H$100,$A377,'23'!$I$7:$I$100,"")+SUMIFS('24'!$J$7:$J$100,'24'!$H$7:$H$100,$A377,'24'!$I$7:$I$100,"")+SUMIFS('24a'!$J$7:$J$100,'24a'!$H$7:$H$100,$A377,'24a'!$I$7:$I$100,"")+SUMIFS('24b'!$J$7:$J$100,'24b'!$H$7:$H$100,$A377,'24b'!$I$7:$I$100,"")+SUMIFS('24c'!$J$7:$J$100,'24c'!$H$7:$H$100,$A377,'24c'!$I$7:$I$100,"")+SUMIFS('24d'!$J$7:$J$100,'24d'!$H$7:$H$100,$A377,'24d'!$I$7:$I$100,"")+SUMIFS('24e'!$J$7:$J$100,'24e'!$H$7:$H$100,$A377,'24e'!$I$7:$I$100,"")+SUMIFS('24f'!$J$7:$J$100,'24f'!$H$7:$H$100,$A377,'24f'!$I$7:$I$100,"")+SUMIFS('24g'!$J$7:$J$100,'24g'!$H$7:$H$100,$A377,'24g'!$I$7:$I$100,"")+SUMIFS('24h'!$J$7:$J$100,'24h'!$H$7:$H$100,$A377,'24h'!$I$7:$I$100,"")+SUMIFS('24i'!$J$7:$J$100,'24i'!$H$7:$H$100,$A377,'24i'!$I$7:$I$100,"")+SUMIFS('25'!$J$7:$J$100,'25'!$H$7:$H$100,$A377,'25'!$I$7:$I$100,"")+SUMIFS('26'!$J$7:$J$100,'26'!$H$7:$H$100,$A377,'26'!$I$7:$I$100,"")+SUMIFS('26a'!$J$7:$J$100,'26a'!$H$7:$H$100,$A377,'26a'!$I$7:$I$100,"")+SUMIFS('27'!$J$7:$J$100,'27'!$H$7:$H$100,$A377,'27'!$I$7:$I$100,"")+SUMIFS('27a'!$J$7:$J$100,'27a'!$H$7:$H$100,$A377,'27a'!$I$7:$I$100,"")+SUMIFS('28'!$J$7:$J$100,'28'!$H$7:$H$100,$A377,'28'!$I$7:$I$100,"")+SUMIFS('29'!$J$7:$J$100,'29'!$H$7:$H$100,$A377,'29'!$I$7:$I$100,"")</f>
        <v>0</v>
      </c>
      <c r="J377" s="1296">
        <f t="shared" si="56"/>
        <v>0</v>
      </c>
      <c r="K377"/>
      <c r="L377"/>
      <c r="M377"/>
      <c r="N377"/>
      <c r="O377"/>
      <c r="P377"/>
      <c r="Q377"/>
      <c r="R377"/>
      <c r="S377" s="1307">
        <f t="shared" si="48"/>
        <v>0</v>
      </c>
      <c r="T377"/>
    </row>
    <row r="378" spans="1:20" x14ac:dyDescent="0.2">
      <c r="A378" t="s">
        <v>5119</v>
      </c>
      <c r="B378" t="s">
        <v>5402</v>
      </c>
      <c r="C378" s="1295">
        <f>SUMIFS('12'!$N$7:$N$100,'12'!$H$7:$H$100,$A378,'12'!$I$7:$I$100,1)+SUMIFS('13'!$N$7:$N$100,'13'!$H$7:$H$100,$A378,'13'!$I$7:$I$100,1)+SUMIFS('14'!$N$7:$N$100,'14'!$H$7:$H$100,$A378,'14'!$I$7:$I$100,1)+SUMIFS('15'!$N$7:$N$100,'15'!$H$7:$H$100,$A378,'15'!$I$7:$I$100,1)+SUMIFS('15a'!$N$7:$N$100,'15a'!$H$7:$H$100,$A378,'15a'!$I$7:$I$100,1)+SUMIFS('15b'!$N$7:$N$100,'15b'!$H$7:$H$100,$A378,'15b'!$I$7:$I$100,1)+SUMIFS('15c'!$N$7:$N$100,'15c'!$H$7:$H$100,$A378,'15c'!$I$7:$I$100,1)+SUMIFS('15d'!$N$7:$N$100,'15d'!$H$7:$H$100,$A378,'15d'!$I$7:$I$100,1)+SUMIFS('15e'!$N$7:$N$100,'15e'!$H$7:$H$100,$A378,'15e'!$I$7:$I$100,1)+SUMIFS('15f'!$N$7:$N$100,'15f'!$H$7:$H$100,$A378,'15f'!$I$7:$I$100,1)+SUMIFS('15g'!$N$7:$N$100,'15g'!$H$7:$H$100,$A378,'15g'!$I$7:$I$100,1)+SUMIFS('15h'!$N$7:$N$100,'15h'!$H$7:$H$100,$A378,'15h'!$I$7:$I$100,1)+SUMIFS('15i'!$N$7:$N$100,'15i'!$H$7:$H$100,$A378,'15i'!$I$7:$I$100,1)+SUMIFS('15j'!$N$7:$N$100,'15j'!$H$7:$H$100,$A378,'15j'!$I$7:$I$100,1)+SUMIFS('15k'!$N$7:$N$100,'15k'!$H$7:$H$100,$A378,'15k'!$I$7:$I$100,1)+SUMIFS('15l'!$N$7:$N$100,'15l'!$H$7:$H$100,$A378,'15l'!$I$7:$I$100,1)+SUMIFS('15m'!$N$7:$N$100,'15m'!$H$7:$H$100,$A378,'15m'!$I$7:$I$100,1)+SUMIFS('15n'!$N$7:$N$100,'15n'!$H$7:$H$100,$A378,'15n'!$I$7:$I$100,1)+SUMIFS('16'!$N$7:$N$100,'16'!$H$7:$H$100,$A378,'16'!$I$7:$I$100,1)+SUMIFS('16a'!$N$7:$N$100,'16a'!$H$7:$H$100,$A378,'16a'!$I$7:$I$100,1)+SUMIFS('17'!$N$7:$N$100,'17'!$H$7:$H$100,$A378,'17'!$I$7:$I$100,1)+SUMIFS('17a'!$N$7:$N$100,'17a'!$H$7:$H$100,$A378,'17a'!$I$7:$I$100,1)+SUMIFS('18'!$N$7:$N$100,'18'!$H$7:$H$100,$A378,'18'!$I$7:$I$100,1)+SUMIFS('18a'!$N$7:$N$100,'18a'!$H$7:$H$100,$A378,'18a'!$I$7:$I$100,1)
+SUMIFS('19'!$N$7:$N$100,'19'!$H$7:$H$100,$A378,'19'!$I$7:$I$100,1)+SUMIFS('20'!$N$7:$N$100,'20'!$H$7:$H$100,$A378,'20'!$I$7:$I$100,1)+SUMIFS('20a'!$N$7:$N$100,'20a'!$H$7:$H$100,$A378,'20a'!$I$7:$I$100,1)+SUMIFS('21'!$N$7:$N$100,'21'!$H$7:$H$100,$A378,'21'!$I$7:$I$100,1)+SUMIFS('22'!$N$7:$N$100,'22'!$H$7:$H$100,$A378,'22'!$I$7:$I$100,1)+SUMIFS('22a'!$N$7:$N$100,'22a'!$H$7:$H$100,$A378,'22a'!$I$7:$I$100,1)+SUMIFS('22b'!$N$7:$N$100,'22b'!$H$7:$H$100,$A378,'22b'!$I$7:$I$100,1)+SUMIFS('23'!$N$7:$N$100,'23'!$H$7:$H$100,$A378,'23'!$I$7:$I$100,1)+SUMIFS('24'!$N$7:$N$100,'24'!$H$7:$H$100,$A378,'24'!$I$7:$I$100,1)+SUMIFS('24a'!$N$7:$N$100,'24a'!$H$7:$H$100,$A378,'24a'!$I$7:$I$100,1)+SUMIFS('24b'!$N$7:$N$100,'24b'!$H$7:$H$100,$A378,'24b'!$I$7:$I$100,1)+SUMIFS('24c'!$N$7:$N$100,'24c'!$H$7:$H$100,$A378,'24c'!$I$7:$I$100,1)+SUMIFS('24d'!$N$7:$N$100,'24d'!$H$7:$H$100,$A378,'24d'!$I$7:$I$100,1)+SUMIFS('24e'!$N$7:$N$100,'24e'!$H$7:$H$100,$A378,'24e'!$I$7:$I$100,1)+SUMIFS('24f'!$N$7:$N$100,'24f'!$H$7:$H$100,$A378,'24f'!$I$7:$I$100,1)+SUMIFS('24g'!$N$7:$N$100,'24g'!$H$7:$H$100,$A378,'24g'!$I$7:$I$100,1)+SUMIFS('24h'!$N$7:$N$100,'24h'!$H$7:$H$100,$A378,'24h'!$I$7:$I$100,1)+SUMIFS('24i'!$N$7:$N$100,'24i'!$H$7:$H$100,$A378,'24i'!$I$7:$I$100,1)+SUMIFS('25'!$N$7:$N$100,'25'!$H$7:$H$100,$A378,'25'!$I$7:$I$100,1)+SUMIFS('26'!$N$7:$N$100,'26'!$H$7:$H$100,$A378,'26'!$I$7:$I$100,1)+SUMIFS('26a'!$N$7:$N$100,'26a'!$H$7:$H$100,$A378,'26a'!$I$7:$I$100,1)+SUMIFS('27'!$N$7:$N$100,'27'!$H$7:$H$100,$A378,'27'!$I$7:$I$100,1)+SUMIFS('27a'!$N$7:$N$100,'27a'!$H$7:$H$100,$A378,'27a'!$I$7:$I$100,1)+SUMIFS('28'!$N$7:$N$100,'28'!$H$7:$H$100,$A378,'28'!$I$7:$I$100,1)+SUMIFS('29'!$N$7:$N$100,'29'!$H$7:$H$100,$A378,'29'!$I$7:$I$100,1)</f>
        <v>0</v>
      </c>
      <c r="D378" s="1315">
        <f>SUMIFS('12'!$N$7:$N$100,'12'!$H$7:$H$100,$A378,'12'!$I$7:$I$100,2)+SUMIFS('13'!$N$7:$N$100,'13'!$H$7:$H$100,$A378,'13'!$I$7:$I$100,2)+SUMIFS('14'!$N$7:$N$100,'14'!$H$7:$H$100,$A378,'14'!$I$7:$I$100,2)+SUMIFS('15'!$N$7:$N$100,'15'!$H$7:$H$100,$A378,'15'!$I$7:$I$100,2)+SUMIFS('15a'!$N$7:$N$100,'15a'!$H$7:$H$100,$A378,'15a'!$I$7:$I$100,2)+SUMIFS('15b'!$N$7:$N$100,'15b'!$H$7:$H$100,$A378,'15b'!$I$7:$I$100,2)+SUMIFS('15c'!$N$7:$N$100,'15c'!$H$7:$H$100,$A378,'15c'!$I$7:$I$100,2)+SUMIFS('15d'!$N$7:$N$100,'15d'!$H$7:$H$100,$A378,'15d'!$I$7:$I$100,2)+SUMIFS('15e'!$N$7:$N$100,'15e'!$H$7:$H$100,$A378,'15e'!$I$7:$I$100,2)+SUMIFS('15f'!$N$7:$N$100,'15f'!$H$7:$H$100,$A378,'15f'!$I$7:$I$100,2)+SUMIFS('15g'!$N$7:$N$100,'15g'!$H$7:$H$100,$A378,'15g'!$I$7:$I$100,2)+SUMIFS('15h'!$N$7:$N$100,'15h'!$H$7:$H$100,$A378,'15h'!$I$7:$I$100,2)+SUMIFS('15i'!$N$7:$N$100,'15i'!$H$7:$H$100,$A378,'15i'!$I$7:$I$100,2)+SUMIFS('15j'!$N$7:$N$100,'15j'!$H$7:$H$100,$A378,'15j'!$I$7:$I$100,2)+SUMIFS('15k'!$N$7:$N$100,'15k'!$H$7:$H$100,$A378,'15k'!$I$7:$I$100,2)+SUMIFS('15l'!$N$7:$N$100,'15l'!$H$7:$H$100,$A378,'15l'!$I$7:$I$100,2)+SUMIFS('15m'!$N$7:$N$100,'15m'!$H$7:$H$100,$A378,'15m'!$I$7:$I$100,2)+SUMIFS('15n'!$N$7:$N$100,'15n'!$H$7:$H$100,$A378,'15n'!$I$7:$I$100,2)+SUMIFS('16'!$N$7:$N$100,'16'!$H$7:$H$100,$A378,'16'!$I$7:$I$100,2)+SUMIFS('16a'!$N$7:$N$100,'16a'!$H$7:$H$100,$A378,'16a'!$I$7:$I$100,2)+SUMIFS('17'!$N$7:$N$100,'17'!$H$7:$H$100,$A378,'17'!$I$7:$I$100,2)+SUMIFS('17a'!$N$7:$N$100,'17a'!$H$7:$H$100,$A378,'17a'!$I$7:$I$100,2)+SUMIFS('18'!$N$7:$N$100,'18'!$H$7:$H$100,$A378,'18'!$I$7:$I$100,2)+SUMIFS('18a'!$N$7:$N$100,'18a'!$H$7:$H$100,$A378,'18a'!$I$7:$I$100,2)
+SUMIFS('19'!$N$7:$N$100,'19'!$H$7:$H$100,$A378,'19'!$I$7:$I$100,2)+SUMIFS('20'!$N$7:$N$100,'20'!$H$7:$H$100,$A378,'20'!$I$7:$I$100,2)+SUMIFS('20a'!$N$7:$N$100,'20a'!$H$7:$H$100,$A378,'20a'!$I$7:$I$100,2)+SUMIFS('21'!$N$7:$N$100,'21'!$H$7:$H$100,$A378,'21'!$I$7:$I$100,2)+SUMIFS('22'!$N$7:$N$100,'22'!$H$7:$H$100,$A378,'22'!$I$7:$I$100,2)+SUMIFS('22a'!$N$7:$N$100,'22a'!$H$7:$H$100,$A378,'22a'!$I$7:$I$100,2)+SUMIFS('22b'!$N$7:$N$100,'22b'!$H$7:$H$100,$A378,'22b'!$I$7:$I$100,2)+SUMIFS('23'!$N$7:$N$100,'23'!$H$7:$H$100,$A378,'23'!$I$7:$I$100,2)+SUMIFS('24'!$N$7:$N$100,'24'!$H$7:$H$100,$A378,'24'!$I$7:$I$100,2)+SUMIFS('24a'!$N$7:$N$100,'24a'!$H$7:$H$100,$A378,'24a'!$I$7:$I$100,2)+SUMIFS('24b'!$N$7:$N$100,'24b'!$H$7:$H$100,$A378,'24b'!$I$7:$I$100,2)+SUMIFS('24c'!$N$7:$N$100,'24c'!$H$7:$H$100,$A378,'24c'!$I$7:$I$100,2)+SUMIFS('24d'!$N$7:$N$100,'24d'!$H$7:$H$100,$A378,'24d'!$I$7:$I$100,2)+SUMIFS('24e'!$N$7:$N$100,'24e'!$H$7:$H$100,$A378,'24e'!$I$7:$I$100,2)+SUMIFS('24f'!$N$7:$N$100,'24f'!$H$7:$H$100,$A378,'24f'!$I$7:$I$100,2)+SUMIFS('24g'!$N$7:$N$100,'24g'!$H$7:$H$100,$A378,'24g'!$I$7:$I$100,2)+SUMIFS('24h'!$N$7:$N$100,'24h'!$H$7:$H$100,$A378,'24h'!$I$7:$I$100,2)+SUMIFS('24i'!$N$7:$N$100,'24i'!$H$7:$H$100,$A378,'24i'!$I$7:$I$100,2)+SUMIFS('25'!$N$7:$N$100,'25'!$H$7:$H$100,$A378,'25'!$I$7:$I$100,2)+SUMIFS('26'!$N$7:$N$100,'26'!$H$7:$H$100,$A378,'26'!$I$7:$I$100,2)+SUMIFS('26a'!$N$7:$N$100,'26a'!$H$7:$H$100,$A378,'26a'!$I$7:$I$100,2)+SUMIFS('27'!$N$7:$N$100,'27'!$H$7:$H$100,$A378,'27'!$I$7:$I$100,2)+SUMIFS('27a'!$N$7:$N$100,'27a'!$H$7:$H$100,$A378,'27a'!$I$7:$I$100,2)+SUMIFS('28'!$N$7:$N$100,'28'!$H$7:$H$100,$A378,'28'!$I$7:$I$100,2)+SUMIFS('29'!$N$7:$N$100,'29'!$H$7:$H$100,$A378,'29'!$I$7:$I$100,2)</f>
        <v>0</v>
      </c>
      <c r="E378" s="1315">
        <f>SUMIFS('12'!$N$7:$N$100,'12'!$H$7:$H$100,$A378,'12'!$I$7:$I$100,"")+SUMIFS('13'!$N$7:$N$100,'13'!$H$7:$H$100,$A378,'13'!$I$7:$I$100,"")+SUMIFS('14'!$N$7:$N$100,'14'!$H$7:$H$100,$A378,'14'!$I$7:$I$100,"")+SUMIFS('15'!$N$7:$N$100,'15'!$H$7:$H$100,$A378,'15'!$I$7:$I$100,"")+SUMIFS('15a'!$N$7:$N$100,'15a'!$H$7:$H$100,$A378,'15a'!$I$7:$I$100,"")+SUMIFS('15b'!$N$7:$N$100,'15b'!$H$7:$H$100,$A378,'15b'!$I$7:$I$100,"")+SUMIFS('15c'!$N$7:$N$100,'15c'!$H$7:$H$100,$A378,'15c'!$I$7:$I$100,"")+SUMIFS('15d'!$N$7:$N$100,'15d'!$H$7:$H$100,$A378,'15d'!$I$7:$I$100,"")+SUMIFS('15e'!$N$7:$N$100,'15e'!$H$7:$H$100,$A378,'15e'!$I$7:$I$100,"")+SUMIFS('15f'!$N$7:$N$100,'15f'!$H$7:$H$100,$A378,'15f'!$I$7:$I$100,"")+SUMIFS('15g'!$N$7:$N$100,'15g'!$H$7:$H$100,$A378,'15g'!$I$7:$I$100,"")+SUMIFS('15h'!$N$7:$N$100,'15h'!$H$7:$H$100,$A378,'15h'!$I$7:$I$100,"")+SUMIFS('15i'!$N$7:$N$100,'15i'!$H$7:$H$100,$A378,'15i'!$I$7:$I$100,"")+SUMIFS('15j'!$N$7:$N$100,'15j'!$H$7:$H$100,$A378,'15j'!$I$7:$I$100,"")+SUMIFS('15k'!$N$7:$N$100,'15k'!$H$7:$H$100,$A378,'15k'!$I$7:$I$100,"")+SUMIFS('15l'!$N$7:$N$100,'15l'!$H$7:$H$100,$A378,'15l'!$I$7:$I$100,"")+SUMIFS('15m'!$N$7:$N$100,'15m'!$H$7:$H$100,$A378,'15m'!$I$7:$I$100,"")+SUMIFS('15n'!$N$7:$N$100,'15n'!$H$7:$H$100,$A378,'15n'!$I$7:$I$100,"")+SUMIFS('16'!$N$7:$N$100,'16'!$H$7:$H$100,$A378,'16'!$I$7:$I$100,"")+SUMIFS('16a'!$N$7:$N$100,'16a'!$H$7:$H$100,$A378,'16a'!$I$7:$I$100,"")+SUMIFS('17'!$N$7:$N$100,'17'!$H$7:$H$100,$A378,'17'!$I$7:$I$100,"")+SUMIFS('17a'!$N$7:$N$100,'17a'!$H$7:$H$100,$A378,'17a'!$I$7:$I$100,"")+SUMIFS('18'!$N$7:$N$100,'18'!$H$7:$H$100,$A378,'18'!$I$7:$I$100,"")+SUMIFS('18a'!$N$7:$N$100,'18a'!$H$7:$H$100,$A378,'18a'!$I$7:$I$100,"")
+SUMIFS('19'!$N$7:$N$100,'19'!$H$7:$H$100,$A378,'19'!$I$7:$I$100,"")+SUMIFS('20'!$N$7:$N$100,'20'!$H$7:$H$100,$A378,'20'!$I$7:$I$100,"")+SUMIFS('20a'!$N$7:$N$100,'20a'!$H$7:$H$100,$A378,'20a'!$I$7:$I$100,"")+SUMIFS('21'!$N$7:$N$100,'21'!$H$7:$H$100,$A378,'21'!$I$7:$I$100,"")+SUMIFS('22'!$N$7:$N$100,'22'!$H$7:$H$100,$A378,'22'!$I$7:$I$100,"")+SUMIFS('22a'!$N$7:$N$100,'22a'!$H$7:$H$100,$A378,'22a'!$I$7:$I$100,"")+SUMIFS('22b'!$N$7:$N$100,'22b'!$H$7:$H$100,$A378,'22b'!$I$7:$I$100,"")+SUMIFS('23'!$N$7:$N$100,'23'!$H$7:$H$100,$A378,'23'!$I$7:$I$100,"")+SUMIFS('24'!$N$7:$N$100,'24'!$H$7:$H$100,$A378,'24'!$I$7:$I$100,"")+SUMIFS('24a'!$N$7:$N$100,'24a'!$H$7:$H$100,$A378,'24a'!$I$7:$I$100,"")+SUMIFS('24b'!$N$7:$N$100,'24b'!$H$7:$H$100,$A378,'24b'!$I$7:$I$100,"")+SUMIFS('24c'!$N$7:$N$100,'24c'!$H$7:$H$100,$A378,'24c'!$I$7:$I$100,"")+SUMIFS('24d'!$N$7:$N$100,'24d'!$H$7:$H$100,$A378,'24d'!$I$7:$I$100,"")+SUMIFS('24e'!$N$7:$N$100,'24e'!$H$7:$H$100,$A378,'24e'!$I$7:$I$100,"")+SUMIFS('24f'!$N$7:$N$100,'24f'!$H$7:$H$100,$A378,'24f'!$I$7:$I$100,"")+SUMIFS('24g'!$N$7:$N$100,'24g'!$H$7:$H$100,$A378,'24g'!$I$7:$I$100,"")+SUMIFS('24h'!$N$7:$N$100,'24h'!$H$7:$H$100,$A378,'24h'!$I$7:$I$100,"")+SUMIFS('24i'!$N$7:$N$100,'24i'!$H$7:$H$100,$A378,'24i'!$I$7:$I$100,"")+SUMIFS('25'!$N$7:$N$100,'25'!$H$7:$H$100,$A378,'25'!$I$7:$I$100,"")+SUMIFS('26'!$N$7:$N$100,'26'!$H$7:$H$100,$A378,'26'!$I$7:$I$100,"")+SUMIFS('26a'!$N$7:$N$100,'26a'!$H$7:$H$100,$A378,'26a'!$I$7:$I$100,"")+SUMIFS('27'!$N$7:$N$100,'27'!$H$7:$H$100,$A378,'27'!$I$7:$I$100,"")+SUMIFS('27a'!$N$7:$N$100,'27a'!$H$7:$H$100,$A378,'27a'!$I$7:$I$100,"")+SUMIFS('28'!$N$7:$N$100,'28'!$H$7:$H$100,$A378,'28'!$I$7:$I$100,"")+SUMIFS('29'!$N$7:$N$100,'29'!$H$7:$H$100,$A378,'29'!$I$7:$I$100,"")</f>
        <v>0</v>
      </c>
      <c r="F378" s="1296">
        <f t="shared" si="55"/>
        <v>0</v>
      </c>
      <c r="G378" s="1295">
        <f>SUMIFS('12'!$J$7:$J$100,'12'!$H$7:$H$100,$A378,'12'!$I$7:$I$100,1)+SUMIFS('13'!$J$7:$J$100,'13'!$H$7:$H$100,$A378,'13'!$I$7:$I$100,1)+SUMIFS('14'!$J$7:$J$100,'14'!$H$7:$H$100,$A378,'14'!$I$7:$I$100,1)+SUMIFS('15'!$J$7:$J$100,'15'!$H$7:$H$100,$A378,'15'!$I$7:$I$100,1)+SUMIFS('15a'!$J$7:$J$100,'15a'!$H$7:$H$100,$A378,'15a'!$I$7:$I$100,1)+SUMIFS('15b'!$J$7:$J$100,'15b'!$H$7:$H$100,$A378,'15b'!$I$7:$I$100,1)+SUMIFS('15c'!$J$7:$J$100,'15c'!$H$7:$H$100,$A378,'15c'!$I$7:$I$100,1)+SUMIFS('15d'!$J$7:$J$100,'15d'!$H$7:$H$100,$A378,'15d'!$I$7:$I$100,1)+SUMIFS('15e'!$J$7:$J$100,'15e'!$H$7:$H$100,$A378,'15e'!$I$7:$I$100,1)+SUMIFS('15f'!$J$7:$J$100,'15f'!$H$7:$H$100,$A378,'15f'!$I$7:$I$100,1)+SUMIFS('15g'!$J$7:$J$100,'15g'!$H$7:$H$100,$A378,'15g'!$I$7:$I$100,1)+SUMIFS('15h'!$J$7:$J$100,'15h'!$H$7:$H$100,$A378,'15h'!$I$7:$I$100,1)+SUMIFS('15i'!$J$7:$J$100,'15i'!$H$7:$H$100,$A378,'15i'!$I$7:$I$100,1)+SUMIFS('15j'!$J$7:$J$100,'15j'!$H$7:$H$100,$A378,'15j'!$I$7:$I$100,1)+SUMIFS('15k'!$J$7:$J$100,'15k'!$H$7:$H$100,$A378,'15k'!$I$7:$I$100,1)+SUMIFS('15l'!$J$7:$J$100,'15l'!$H$7:$H$100,$A378,'15l'!$I$7:$I$100,1)+SUMIFS('15m'!$J$7:$J$100,'15m'!$H$7:$H$100,$A378,'15m'!$I$7:$I$100,1)+SUMIFS('15n'!$J$7:$J$100,'15n'!$H$7:$H$100,$A378,'15n'!$I$7:$I$100,1)+SUMIFS('16'!$J$7:$J$100,'16'!$H$7:$H$100,$A378,'16'!$I$7:$I$100,1)+SUMIFS('16a'!$J$7:$J$100,'16a'!$H$7:$H$100,$A378,'16a'!$I$7:$I$100,1)+SUMIFS('17'!$J$7:$J$100,'17'!$H$7:$H$100,$A378,'17'!$I$7:$I$100,1)+SUMIFS('17a'!$J$7:$J$100,'17a'!$H$7:$H$100,$A378,'17a'!$I$7:$I$100,1)+SUMIFS('18'!$J$7:$J$100,'18'!$H$7:$H$100,$A378,'18'!$I$7:$I$100,1)+SUMIFS('18a'!$J$7:$J$100,'18a'!$H$7:$H$100,$A378,'18a'!$I$7:$I$100,1)
+SUMIFS('19'!$J$7:$J$100,'19'!$H$7:$H$100,$A378,'19'!$I$7:$I$100,1)+SUMIFS('20'!$J$7:$J$100,'20'!$H$7:$H$100,$A378,'20'!$I$7:$I$100,1)+SUMIFS('20a'!$J$7:$J$100,'20a'!$H$7:$H$100,$A378,'20a'!$I$7:$I$100,1)+SUMIFS('21'!$J$7:$J$100,'21'!$H$7:$H$100,$A378,'21'!$I$7:$I$100,1)+SUMIFS('22'!$J$7:$J$100,'22'!$H$7:$H$100,$A378,'22'!$I$7:$I$100,1)+SUMIFS('22a'!$J$7:$J$100,'22a'!$H$7:$H$100,$A378,'22a'!$I$7:$I$100,1)+SUMIFS('22b'!$J$7:$J$100,'22b'!$H$7:$H$100,$A378,'22b'!$I$7:$I$100,1)+SUMIFS('23'!$J$7:$J$100,'23'!$H$7:$H$100,$A378,'23'!$I$7:$I$100,1)+SUMIFS('24'!$J$7:$J$100,'24'!$H$7:$H$100,$A378,'24'!$I$7:$I$100,1)+SUMIFS('24a'!$J$7:$J$100,'24a'!$H$7:$H$100,$A378,'24a'!$I$7:$I$100,1)+SUMIFS('24b'!$J$7:$J$100,'24b'!$H$7:$H$100,$A378,'24b'!$I$7:$I$100,1)+SUMIFS('24c'!$J$7:$J$100,'24c'!$H$7:$H$100,$A378,'24c'!$I$7:$I$100,1)+SUMIFS('24d'!$J$7:$J$100,'24d'!$H$7:$H$100,$A378,'24d'!$I$7:$I$100,1)+SUMIFS('24e'!$J$7:$J$100,'24e'!$H$7:$H$100,$A378,'24e'!$I$7:$I$100,1)+SUMIFS('24f'!$J$7:$J$100,'24f'!$H$7:$H$100,$A378,'24f'!$I$7:$I$100,1)+SUMIFS('24g'!$J$7:$J$100,'24g'!$H$7:$H$100,$A378,'24g'!$I$7:$I$100,1)+SUMIFS('24h'!$J$7:$J$100,'24h'!$H$7:$H$100,$A378,'24h'!$I$7:$I$100,1)+SUMIFS('24i'!$J$7:$J$100,'24i'!$H$7:$H$100,$A378,'24i'!$I$7:$I$100,1)+SUMIFS('25'!$J$7:$J$100,'25'!$H$7:$H$100,$A378,'25'!$I$7:$I$100,1)+SUMIFS('26'!$J$7:$J$100,'26'!$H$7:$H$100,$A378,'26'!$I$7:$I$100,1)+SUMIFS('26a'!$J$7:$J$100,'26a'!$H$7:$H$100,$A378,'26a'!$I$7:$I$100,1)+SUMIFS('27'!$J$7:$J$100,'27'!$H$7:$H$100,$A378,'27'!$I$7:$I$100,1)+SUMIFS('27a'!$J$7:$J$100,'27a'!$H$7:$H$100,$A378,'27a'!$I$7:$I$100,1)+SUMIFS('28'!$J$7:$J$100,'28'!$H$7:$H$100,$A378,'28'!$I$7:$I$100,1)+SUMIFS('29'!$J$7:$J$100,'29'!$H$7:$H$100,$A378,'29'!$I$7:$I$100,1)</f>
        <v>0</v>
      </c>
      <c r="H378" s="1315">
        <f>SUMIFS('12'!$J$7:$J$100,'12'!$H$7:$H$100,$A378,'12'!$I$7:$I$100,2)+SUMIFS('13'!$J$7:$J$100,'13'!$H$7:$H$100,$A378,'13'!$I$7:$I$100,2)+SUMIFS('14'!$J$7:$J$100,'14'!$H$7:$H$100,$A378,'14'!$I$7:$I$100,2)+SUMIFS('15'!$J$7:$J$100,'15'!$H$7:$H$100,$A378,'15'!$I$7:$I$100,2)+SUMIFS('15a'!$J$7:$J$100,'15a'!$H$7:$H$100,$A378,'15a'!$I$7:$I$100,2)+SUMIFS('15b'!$J$7:$J$100,'15b'!$H$7:$H$100,$A378,'15b'!$I$7:$I$100,2)+SUMIFS('15c'!$J$7:$J$100,'15c'!$H$7:$H$100,$A378,'15c'!$I$7:$I$100,2)+SUMIFS('15d'!$J$7:$J$100,'15d'!$H$7:$H$100,$A378,'15d'!$I$7:$I$100,2)+SUMIFS('15e'!$J$7:$J$100,'15e'!$H$7:$H$100,$A378,'15e'!$I$7:$I$100,2)+SUMIFS('15f'!$J$7:$J$100,'15f'!$H$7:$H$100,$A378,'15f'!$I$7:$I$100,2)+SUMIFS('15g'!$J$7:$J$100,'15g'!$H$7:$H$100,$A378,'15g'!$I$7:$I$100,2)+SUMIFS('15h'!$J$7:$J$100,'15h'!$H$7:$H$100,$A378,'15h'!$I$7:$I$100,2)+SUMIFS('15i'!$J$7:$J$100,'15i'!$H$7:$H$100,$A378,'15i'!$I$7:$I$100,2)+SUMIFS('15j'!$J$7:$J$100,'15j'!$H$7:$H$100,$A378,'15j'!$I$7:$I$100,2)+SUMIFS('15k'!$J$7:$J$100,'15k'!$H$7:$H$100,$A378,'15k'!$I$7:$I$100,2)+SUMIFS('15l'!$J$7:$J$100,'15l'!$H$7:$H$100,$A378,'15l'!$I$7:$I$100,2)+SUMIFS('15m'!$J$7:$J$100,'15m'!$H$7:$H$100,$A378,'15m'!$I$7:$I$100,2)+SUMIFS('15n'!$J$7:$J$100,'15n'!$H$7:$H$100,$A378,'15n'!$I$7:$I$100,2)+SUMIFS('16'!$J$7:$J$100,'16'!$H$7:$H$100,$A378,'16'!$I$7:$I$100,2)+SUMIFS('16a'!$J$7:$J$100,'16a'!$H$7:$H$100,$A378,'16a'!$I$7:$I$100,2)+SUMIFS('17'!$J$7:$J$100,'17'!$H$7:$H$100,$A378,'17'!$I$7:$I$100,2)+SUMIFS('17a'!$J$7:$J$100,'17a'!$H$7:$H$100,$A378,'17a'!$I$7:$I$100,2)+SUMIFS('18'!$J$7:$J$100,'18'!$H$7:$H$100,$A378,'18'!$I$7:$I$100,2)+SUMIFS('18a'!$J$7:$J$100,'18a'!$H$7:$H$100,$A378,'18a'!$I$7:$I$100,2)
+SUMIFS('19'!$J$7:$J$100,'19'!$H$7:$H$100,$A378,'19'!$I$7:$I$100,2)+SUMIFS('20'!$J$7:$J$100,'20'!$H$7:$H$100,$A378,'20'!$I$7:$I$100,2)+SUMIFS('20a'!$J$7:$J$100,'20a'!$H$7:$H$100,$A378,'20a'!$I$7:$I$100,2)+SUMIFS('21'!$J$7:$J$100,'21'!$H$7:$H$100,$A378,'21'!$I$7:$I$100,2)+SUMIFS('22'!$J$7:$J$100,'22'!$H$7:$H$100,$A378,'22'!$I$7:$I$100,2)+SUMIFS('22a'!$J$7:$J$100,'22a'!$H$7:$H$100,$A378,'22a'!$I$7:$I$100,2)+SUMIFS('22b'!$J$7:$J$100,'22b'!$H$7:$H$100,$A378,'22b'!$I$7:$I$100,2)+SUMIFS('23'!$J$7:$J$100,'23'!$H$7:$H$100,$A378,'23'!$I$7:$I$100,2)+SUMIFS('24'!$J$7:$J$100,'24'!$H$7:$H$100,$A378,'24'!$I$7:$I$100,2)+SUMIFS('24a'!$J$7:$J$100,'24a'!$H$7:$H$100,$A378,'24a'!$I$7:$I$100,2)+SUMIFS('24b'!$J$7:$J$100,'24b'!$H$7:$H$100,$A378,'24b'!$I$7:$I$100,2)+SUMIFS('24c'!$J$7:$J$100,'24c'!$H$7:$H$100,$A378,'24c'!$I$7:$I$100,2)+SUMIFS('24d'!$J$7:$J$100,'24d'!$H$7:$H$100,$A378,'24d'!$I$7:$I$100,2)+SUMIFS('24e'!$J$7:$J$100,'24e'!$H$7:$H$100,$A378,'24e'!$I$7:$I$100,2)+SUMIFS('24f'!$J$7:$J$100,'24f'!$H$7:$H$100,$A378,'24f'!$I$7:$I$100,2)+SUMIFS('24g'!$J$7:$J$100,'24g'!$H$7:$H$100,$A378,'24g'!$I$7:$I$100,2)+SUMIFS('24h'!$J$7:$J$100,'24h'!$H$7:$H$100,$A378,'24h'!$I$7:$I$100,2)+SUMIFS('24i'!$J$7:$J$100,'24i'!$H$7:$H$100,$A378,'24i'!$I$7:$I$100,2)+SUMIFS('25'!$J$7:$J$100,'25'!$H$7:$H$100,$A378,'25'!$I$7:$I$100,2)+SUMIFS('26'!$J$7:$J$100,'26'!$H$7:$H$100,$A378,'26'!$I$7:$I$100,2)+SUMIFS('26a'!$J$7:$J$100,'26a'!$H$7:$H$100,$A378,'26a'!$I$7:$I$100,2)+SUMIFS('27'!$J$7:$J$100,'27'!$H$7:$H$100,$A378,'27'!$I$7:$I$100,2)+SUMIFS('27a'!$J$7:$J$100,'27a'!$H$7:$H$100,$A378,'27a'!$I$7:$I$100,2)+SUMIFS('28'!$J$7:$J$100,'28'!$H$7:$H$100,$A378,'28'!$I$7:$I$100,2)+SUMIFS('29'!$J$7:$J$100,'29'!$H$7:$H$100,$A378,'29'!$I$7:$I$100,2)</f>
        <v>0</v>
      </c>
      <c r="I378" s="1315">
        <f>SUMIFS('12'!$J$7:$J$100,'12'!$H$7:$H$100,$A378,'12'!$I$7:$I$100,"")+SUMIFS('13'!$J$7:$J$100,'13'!$H$7:$H$100,$A378,'13'!$I$7:$I$100,"")+SUMIFS('14'!$J$7:$J$100,'14'!$H$7:$H$100,$A378,'14'!$I$7:$I$100,"")+SUMIFS('15'!$J$7:$J$100,'15'!$H$7:$H$100,$A378,'15'!$I$7:$I$100,"")+SUMIFS('15a'!$J$7:$J$100,'15a'!$H$7:$H$100,$A378,'15a'!$I$7:$I$100,"")+SUMIFS('15b'!$J$7:$J$100,'15b'!$H$7:$H$100,$A378,'15b'!$I$7:$I$100,"")+SUMIFS('15c'!$J$7:$J$100,'15c'!$H$7:$H$100,$A378,'15c'!$I$7:$I$100,"")+SUMIFS('15d'!$J$7:$J$100,'15d'!$H$7:$H$100,$A378,'15d'!$I$7:$I$100,"")+SUMIFS('15e'!$J$7:$J$100,'15e'!$H$7:$H$100,$A378,'15e'!$I$7:$I$100,"")+SUMIFS('15f'!$J$7:$J$100,'15f'!$H$7:$H$100,$A378,'15f'!$I$7:$I$100,"")+SUMIFS('15g'!$J$7:$J$100,'15g'!$H$7:$H$100,$A378,'15g'!$I$7:$I$100,"")+SUMIFS('15h'!$J$7:$J$100,'15h'!$H$7:$H$100,$A378,'15h'!$I$7:$I$100,"")+SUMIFS('15i'!$J$7:$J$100,'15i'!$H$7:$H$100,$A378,'15i'!$I$7:$I$100,"")+SUMIFS('15j'!$J$7:$J$100,'15j'!$H$7:$H$100,$A378,'15j'!$I$7:$I$100,"")+SUMIFS('15k'!$J$7:$J$100,'15k'!$H$7:$H$100,$A378,'15k'!$I$7:$I$100,"")+SUMIFS('15l'!$J$7:$J$100,'15l'!$H$7:$H$100,$A378,'15l'!$I$7:$I$100,"")+SUMIFS('15m'!$J$7:$J$100,'15m'!$H$7:$H$100,$A378,'15m'!$I$7:$I$100,"")+SUMIFS('15n'!$J$7:$J$100,'15n'!$H$7:$H$100,$A378,'15n'!$I$7:$I$100,"")+SUMIFS('16'!$J$7:$J$100,'16'!$H$7:$H$100,$A378,'16'!$I$7:$I$100,"")+SUMIFS('16a'!$J$7:$J$100,'16a'!$H$7:$H$100,$A378,'16a'!$I$7:$I$100,"")+SUMIFS('17'!$J$7:$J$100,'17'!$H$7:$H$100,$A378,'17'!$I$7:$I$100,"")+SUMIFS('17a'!$J$7:$J$100,'17a'!$H$7:$H$100,$A378,'17a'!$I$7:$I$100,"")+SUMIFS('18'!$J$7:$J$100,'18'!$H$7:$H$100,$A378,'18'!$I$7:$I$100,"")+SUMIFS('18a'!$J$7:$J$100,'18a'!$H$7:$H$100,$A378,'18a'!$I$7:$I$100,"")
+SUMIFS('19'!$J$7:$J$100,'19'!$H$7:$H$100,$A378,'19'!$I$7:$I$100,"")+SUMIFS('20'!$J$7:$J$100,'20'!$H$7:$H$100,$A378,'20'!$I$7:$I$100,"")+SUMIFS('20a'!$J$7:$J$100,'20a'!$H$7:$H$100,$A378,'20a'!$I$7:$I$100,"")+SUMIFS('21'!$J$7:$J$100,'21'!$H$7:$H$100,$A378,'21'!$I$7:$I$100,"")+SUMIFS('22'!$J$7:$J$100,'22'!$H$7:$H$100,$A378,'22'!$I$7:$I$100,"")+SUMIFS('22a'!$J$7:$J$100,'22a'!$H$7:$H$100,$A378,'22a'!$I$7:$I$100,"")+SUMIFS('22b'!$J$7:$J$100,'22b'!$H$7:$H$100,$A378,'22b'!$I$7:$I$100,"")+SUMIFS('23'!$J$7:$J$100,'23'!$H$7:$H$100,$A378,'23'!$I$7:$I$100,"")+SUMIFS('24'!$J$7:$J$100,'24'!$H$7:$H$100,$A378,'24'!$I$7:$I$100,"")+SUMIFS('24a'!$J$7:$J$100,'24a'!$H$7:$H$100,$A378,'24a'!$I$7:$I$100,"")+SUMIFS('24b'!$J$7:$J$100,'24b'!$H$7:$H$100,$A378,'24b'!$I$7:$I$100,"")+SUMIFS('24c'!$J$7:$J$100,'24c'!$H$7:$H$100,$A378,'24c'!$I$7:$I$100,"")+SUMIFS('24d'!$J$7:$J$100,'24d'!$H$7:$H$100,$A378,'24d'!$I$7:$I$100,"")+SUMIFS('24e'!$J$7:$J$100,'24e'!$H$7:$H$100,$A378,'24e'!$I$7:$I$100,"")+SUMIFS('24f'!$J$7:$J$100,'24f'!$H$7:$H$100,$A378,'24f'!$I$7:$I$100,"")+SUMIFS('24g'!$J$7:$J$100,'24g'!$H$7:$H$100,$A378,'24g'!$I$7:$I$100,"")+SUMIFS('24h'!$J$7:$J$100,'24h'!$H$7:$H$100,$A378,'24h'!$I$7:$I$100,"")+SUMIFS('24i'!$J$7:$J$100,'24i'!$H$7:$H$100,$A378,'24i'!$I$7:$I$100,"")+SUMIFS('25'!$J$7:$J$100,'25'!$H$7:$H$100,$A378,'25'!$I$7:$I$100,"")+SUMIFS('26'!$J$7:$J$100,'26'!$H$7:$H$100,$A378,'26'!$I$7:$I$100,"")+SUMIFS('26a'!$J$7:$J$100,'26a'!$H$7:$H$100,$A378,'26a'!$I$7:$I$100,"")+SUMIFS('27'!$J$7:$J$100,'27'!$H$7:$H$100,$A378,'27'!$I$7:$I$100,"")+SUMIFS('27a'!$J$7:$J$100,'27a'!$H$7:$H$100,$A378,'27a'!$I$7:$I$100,"")+SUMIFS('28'!$J$7:$J$100,'28'!$H$7:$H$100,$A378,'28'!$I$7:$I$100,"")+SUMIFS('29'!$J$7:$J$100,'29'!$H$7:$H$100,$A378,'29'!$I$7:$I$100,"")</f>
        <v>0</v>
      </c>
      <c r="J378" s="1296">
        <f t="shared" si="56"/>
        <v>0</v>
      </c>
      <c r="K378"/>
      <c r="L378"/>
      <c r="M378"/>
      <c r="N378"/>
      <c r="O378"/>
      <c r="P378"/>
      <c r="Q378"/>
      <c r="R378"/>
      <c r="S378" s="1307">
        <f t="shared" si="48"/>
        <v>0</v>
      </c>
      <c r="T378"/>
    </row>
    <row r="379" spans="1:20" x14ac:dyDescent="0.2">
      <c r="A379" t="s">
        <v>5122</v>
      </c>
      <c r="B379" t="s">
        <v>5403</v>
      </c>
      <c r="C379" s="1295">
        <f>SUMIFS('12'!$N$7:$N$100,'12'!$H$7:$H$100,$A379,'12'!$I$7:$I$100,1)+SUMIFS('13'!$N$7:$N$100,'13'!$H$7:$H$100,$A379,'13'!$I$7:$I$100,1)+SUMIFS('14'!$N$7:$N$100,'14'!$H$7:$H$100,$A379,'14'!$I$7:$I$100,1)+SUMIFS('15'!$N$7:$N$100,'15'!$H$7:$H$100,$A379,'15'!$I$7:$I$100,1)+SUMIFS('15a'!$N$7:$N$100,'15a'!$H$7:$H$100,$A379,'15a'!$I$7:$I$100,1)+SUMIFS('15b'!$N$7:$N$100,'15b'!$H$7:$H$100,$A379,'15b'!$I$7:$I$100,1)+SUMIFS('15c'!$N$7:$N$100,'15c'!$H$7:$H$100,$A379,'15c'!$I$7:$I$100,1)+SUMIFS('15d'!$N$7:$N$100,'15d'!$H$7:$H$100,$A379,'15d'!$I$7:$I$100,1)+SUMIFS('15e'!$N$7:$N$100,'15e'!$H$7:$H$100,$A379,'15e'!$I$7:$I$100,1)+SUMIFS('15f'!$N$7:$N$100,'15f'!$H$7:$H$100,$A379,'15f'!$I$7:$I$100,1)+SUMIFS('15g'!$N$7:$N$100,'15g'!$H$7:$H$100,$A379,'15g'!$I$7:$I$100,1)+SUMIFS('15h'!$N$7:$N$100,'15h'!$H$7:$H$100,$A379,'15h'!$I$7:$I$100,1)+SUMIFS('15i'!$N$7:$N$100,'15i'!$H$7:$H$100,$A379,'15i'!$I$7:$I$100,1)+SUMIFS('15j'!$N$7:$N$100,'15j'!$H$7:$H$100,$A379,'15j'!$I$7:$I$100,1)+SUMIFS('15k'!$N$7:$N$100,'15k'!$H$7:$H$100,$A379,'15k'!$I$7:$I$100,1)+SUMIFS('15l'!$N$7:$N$100,'15l'!$H$7:$H$100,$A379,'15l'!$I$7:$I$100,1)+SUMIFS('15m'!$N$7:$N$100,'15m'!$H$7:$H$100,$A379,'15m'!$I$7:$I$100,1)+SUMIFS('15n'!$N$7:$N$100,'15n'!$H$7:$H$100,$A379,'15n'!$I$7:$I$100,1)+SUMIFS('16'!$N$7:$N$100,'16'!$H$7:$H$100,$A379,'16'!$I$7:$I$100,1)+SUMIFS('16a'!$N$7:$N$100,'16a'!$H$7:$H$100,$A379,'16a'!$I$7:$I$100,1)+SUMIFS('17'!$N$7:$N$100,'17'!$H$7:$H$100,$A379,'17'!$I$7:$I$100,1)+SUMIFS('17a'!$N$7:$N$100,'17a'!$H$7:$H$100,$A379,'17a'!$I$7:$I$100,1)+SUMIFS('18'!$N$7:$N$100,'18'!$H$7:$H$100,$A379,'18'!$I$7:$I$100,1)+SUMIFS('18a'!$N$7:$N$100,'18a'!$H$7:$H$100,$A379,'18a'!$I$7:$I$100,1)
+SUMIFS('19'!$N$7:$N$100,'19'!$H$7:$H$100,$A379,'19'!$I$7:$I$100,1)+SUMIFS('20'!$N$7:$N$100,'20'!$H$7:$H$100,$A379,'20'!$I$7:$I$100,1)+SUMIFS('20a'!$N$7:$N$100,'20a'!$H$7:$H$100,$A379,'20a'!$I$7:$I$100,1)+SUMIFS('21'!$N$7:$N$100,'21'!$H$7:$H$100,$A379,'21'!$I$7:$I$100,1)+SUMIFS('22'!$N$7:$N$100,'22'!$H$7:$H$100,$A379,'22'!$I$7:$I$100,1)+SUMIFS('22a'!$N$7:$N$100,'22a'!$H$7:$H$100,$A379,'22a'!$I$7:$I$100,1)+SUMIFS('22b'!$N$7:$N$100,'22b'!$H$7:$H$100,$A379,'22b'!$I$7:$I$100,1)+SUMIFS('23'!$N$7:$N$100,'23'!$H$7:$H$100,$A379,'23'!$I$7:$I$100,1)+SUMIFS('24'!$N$7:$N$100,'24'!$H$7:$H$100,$A379,'24'!$I$7:$I$100,1)+SUMIFS('24a'!$N$7:$N$100,'24a'!$H$7:$H$100,$A379,'24a'!$I$7:$I$100,1)+SUMIFS('24b'!$N$7:$N$100,'24b'!$H$7:$H$100,$A379,'24b'!$I$7:$I$100,1)+SUMIFS('24c'!$N$7:$N$100,'24c'!$H$7:$H$100,$A379,'24c'!$I$7:$I$100,1)+SUMIFS('24d'!$N$7:$N$100,'24d'!$H$7:$H$100,$A379,'24d'!$I$7:$I$100,1)+SUMIFS('24e'!$N$7:$N$100,'24e'!$H$7:$H$100,$A379,'24e'!$I$7:$I$100,1)+SUMIFS('24f'!$N$7:$N$100,'24f'!$H$7:$H$100,$A379,'24f'!$I$7:$I$100,1)+SUMIFS('24g'!$N$7:$N$100,'24g'!$H$7:$H$100,$A379,'24g'!$I$7:$I$100,1)+SUMIFS('24h'!$N$7:$N$100,'24h'!$H$7:$H$100,$A379,'24h'!$I$7:$I$100,1)+SUMIFS('24i'!$N$7:$N$100,'24i'!$H$7:$H$100,$A379,'24i'!$I$7:$I$100,1)+SUMIFS('25'!$N$7:$N$100,'25'!$H$7:$H$100,$A379,'25'!$I$7:$I$100,1)+SUMIFS('26'!$N$7:$N$100,'26'!$H$7:$H$100,$A379,'26'!$I$7:$I$100,1)+SUMIFS('26a'!$N$7:$N$100,'26a'!$H$7:$H$100,$A379,'26a'!$I$7:$I$100,1)+SUMIFS('27'!$N$7:$N$100,'27'!$H$7:$H$100,$A379,'27'!$I$7:$I$100,1)+SUMIFS('27a'!$N$7:$N$100,'27a'!$H$7:$H$100,$A379,'27a'!$I$7:$I$100,1)+SUMIFS('28'!$N$7:$N$100,'28'!$H$7:$H$100,$A379,'28'!$I$7:$I$100,1)+SUMIFS('29'!$N$7:$N$100,'29'!$H$7:$H$100,$A379,'29'!$I$7:$I$100,1)</f>
        <v>0</v>
      </c>
      <c r="D379" s="1315">
        <f>SUMIFS('12'!$N$7:$N$100,'12'!$H$7:$H$100,$A379,'12'!$I$7:$I$100,2)+SUMIFS('13'!$N$7:$N$100,'13'!$H$7:$H$100,$A379,'13'!$I$7:$I$100,2)+SUMIFS('14'!$N$7:$N$100,'14'!$H$7:$H$100,$A379,'14'!$I$7:$I$100,2)+SUMIFS('15'!$N$7:$N$100,'15'!$H$7:$H$100,$A379,'15'!$I$7:$I$100,2)+SUMIFS('15a'!$N$7:$N$100,'15a'!$H$7:$H$100,$A379,'15a'!$I$7:$I$100,2)+SUMIFS('15b'!$N$7:$N$100,'15b'!$H$7:$H$100,$A379,'15b'!$I$7:$I$100,2)+SUMIFS('15c'!$N$7:$N$100,'15c'!$H$7:$H$100,$A379,'15c'!$I$7:$I$100,2)+SUMIFS('15d'!$N$7:$N$100,'15d'!$H$7:$H$100,$A379,'15d'!$I$7:$I$100,2)+SUMIFS('15e'!$N$7:$N$100,'15e'!$H$7:$H$100,$A379,'15e'!$I$7:$I$100,2)+SUMIFS('15f'!$N$7:$N$100,'15f'!$H$7:$H$100,$A379,'15f'!$I$7:$I$100,2)+SUMIFS('15g'!$N$7:$N$100,'15g'!$H$7:$H$100,$A379,'15g'!$I$7:$I$100,2)+SUMIFS('15h'!$N$7:$N$100,'15h'!$H$7:$H$100,$A379,'15h'!$I$7:$I$100,2)+SUMIFS('15i'!$N$7:$N$100,'15i'!$H$7:$H$100,$A379,'15i'!$I$7:$I$100,2)+SUMIFS('15j'!$N$7:$N$100,'15j'!$H$7:$H$100,$A379,'15j'!$I$7:$I$100,2)+SUMIFS('15k'!$N$7:$N$100,'15k'!$H$7:$H$100,$A379,'15k'!$I$7:$I$100,2)+SUMIFS('15l'!$N$7:$N$100,'15l'!$H$7:$H$100,$A379,'15l'!$I$7:$I$100,2)+SUMIFS('15m'!$N$7:$N$100,'15m'!$H$7:$H$100,$A379,'15m'!$I$7:$I$100,2)+SUMIFS('15n'!$N$7:$N$100,'15n'!$H$7:$H$100,$A379,'15n'!$I$7:$I$100,2)+SUMIFS('16'!$N$7:$N$100,'16'!$H$7:$H$100,$A379,'16'!$I$7:$I$100,2)+SUMIFS('16a'!$N$7:$N$100,'16a'!$H$7:$H$100,$A379,'16a'!$I$7:$I$100,2)+SUMIFS('17'!$N$7:$N$100,'17'!$H$7:$H$100,$A379,'17'!$I$7:$I$100,2)+SUMIFS('17a'!$N$7:$N$100,'17a'!$H$7:$H$100,$A379,'17a'!$I$7:$I$100,2)+SUMIFS('18'!$N$7:$N$100,'18'!$H$7:$H$100,$A379,'18'!$I$7:$I$100,2)+SUMIFS('18a'!$N$7:$N$100,'18a'!$H$7:$H$100,$A379,'18a'!$I$7:$I$100,2)
+SUMIFS('19'!$N$7:$N$100,'19'!$H$7:$H$100,$A379,'19'!$I$7:$I$100,2)+SUMIFS('20'!$N$7:$N$100,'20'!$H$7:$H$100,$A379,'20'!$I$7:$I$100,2)+SUMIFS('20a'!$N$7:$N$100,'20a'!$H$7:$H$100,$A379,'20a'!$I$7:$I$100,2)+SUMIFS('21'!$N$7:$N$100,'21'!$H$7:$H$100,$A379,'21'!$I$7:$I$100,2)+SUMIFS('22'!$N$7:$N$100,'22'!$H$7:$H$100,$A379,'22'!$I$7:$I$100,2)+SUMIFS('22a'!$N$7:$N$100,'22a'!$H$7:$H$100,$A379,'22a'!$I$7:$I$100,2)+SUMIFS('22b'!$N$7:$N$100,'22b'!$H$7:$H$100,$A379,'22b'!$I$7:$I$100,2)+SUMIFS('23'!$N$7:$N$100,'23'!$H$7:$H$100,$A379,'23'!$I$7:$I$100,2)+SUMIFS('24'!$N$7:$N$100,'24'!$H$7:$H$100,$A379,'24'!$I$7:$I$100,2)+SUMIFS('24a'!$N$7:$N$100,'24a'!$H$7:$H$100,$A379,'24a'!$I$7:$I$100,2)+SUMIFS('24b'!$N$7:$N$100,'24b'!$H$7:$H$100,$A379,'24b'!$I$7:$I$100,2)+SUMIFS('24c'!$N$7:$N$100,'24c'!$H$7:$H$100,$A379,'24c'!$I$7:$I$100,2)+SUMIFS('24d'!$N$7:$N$100,'24d'!$H$7:$H$100,$A379,'24d'!$I$7:$I$100,2)+SUMIFS('24e'!$N$7:$N$100,'24e'!$H$7:$H$100,$A379,'24e'!$I$7:$I$100,2)+SUMIFS('24f'!$N$7:$N$100,'24f'!$H$7:$H$100,$A379,'24f'!$I$7:$I$100,2)+SUMIFS('24g'!$N$7:$N$100,'24g'!$H$7:$H$100,$A379,'24g'!$I$7:$I$100,2)+SUMIFS('24h'!$N$7:$N$100,'24h'!$H$7:$H$100,$A379,'24h'!$I$7:$I$100,2)+SUMIFS('24i'!$N$7:$N$100,'24i'!$H$7:$H$100,$A379,'24i'!$I$7:$I$100,2)+SUMIFS('25'!$N$7:$N$100,'25'!$H$7:$H$100,$A379,'25'!$I$7:$I$100,2)+SUMIFS('26'!$N$7:$N$100,'26'!$H$7:$H$100,$A379,'26'!$I$7:$I$100,2)+SUMIFS('26a'!$N$7:$N$100,'26a'!$H$7:$H$100,$A379,'26a'!$I$7:$I$100,2)+SUMIFS('27'!$N$7:$N$100,'27'!$H$7:$H$100,$A379,'27'!$I$7:$I$100,2)+SUMIFS('27a'!$N$7:$N$100,'27a'!$H$7:$H$100,$A379,'27a'!$I$7:$I$100,2)+SUMIFS('28'!$N$7:$N$100,'28'!$H$7:$H$100,$A379,'28'!$I$7:$I$100,2)+SUMIFS('29'!$N$7:$N$100,'29'!$H$7:$H$100,$A379,'29'!$I$7:$I$100,2)</f>
        <v>0</v>
      </c>
      <c r="E379" s="1315">
        <f>SUMIFS('12'!$N$7:$N$100,'12'!$H$7:$H$100,$A379,'12'!$I$7:$I$100,"")+SUMIFS('13'!$N$7:$N$100,'13'!$H$7:$H$100,$A379,'13'!$I$7:$I$100,"")+SUMIFS('14'!$N$7:$N$100,'14'!$H$7:$H$100,$A379,'14'!$I$7:$I$100,"")+SUMIFS('15'!$N$7:$N$100,'15'!$H$7:$H$100,$A379,'15'!$I$7:$I$100,"")+SUMIFS('15a'!$N$7:$N$100,'15a'!$H$7:$H$100,$A379,'15a'!$I$7:$I$100,"")+SUMIFS('15b'!$N$7:$N$100,'15b'!$H$7:$H$100,$A379,'15b'!$I$7:$I$100,"")+SUMIFS('15c'!$N$7:$N$100,'15c'!$H$7:$H$100,$A379,'15c'!$I$7:$I$100,"")+SUMIFS('15d'!$N$7:$N$100,'15d'!$H$7:$H$100,$A379,'15d'!$I$7:$I$100,"")+SUMIFS('15e'!$N$7:$N$100,'15e'!$H$7:$H$100,$A379,'15e'!$I$7:$I$100,"")+SUMIFS('15f'!$N$7:$N$100,'15f'!$H$7:$H$100,$A379,'15f'!$I$7:$I$100,"")+SUMIFS('15g'!$N$7:$N$100,'15g'!$H$7:$H$100,$A379,'15g'!$I$7:$I$100,"")+SUMIFS('15h'!$N$7:$N$100,'15h'!$H$7:$H$100,$A379,'15h'!$I$7:$I$100,"")+SUMIFS('15i'!$N$7:$N$100,'15i'!$H$7:$H$100,$A379,'15i'!$I$7:$I$100,"")+SUMIFS('15j'!$N$7:$N$100,'15j'!$H$7:$H$100,$A379,'15j'!$I$7:$I$100,"")+SUMIFS('15k'!$N$7:$N$100,'15k'!$H$7:$H$100,$A379,'15k'!$I$7:$I$100,"")+SUMIFS('15l'!$N$7:$N$100,'15l'!$H$7:$H$100,$A379,'15l'!$I$7:$I$100,"")+SUMIFS('15m'!$N$7:$N$100,'15m'!$H$7:$H$100,$A379,'15m'!$I$7:$I$100,"")+SUMIFS('15n'!$N$7:$N$100,'15n'!$H$7:$H$100,$A379,'15n'!$I$7:$I$100,"")+SUMIFS('16'!$N$7:$N$100,'16'!$H$7:$H$100,$A379,'16'!$I$7:$I$100,"")+SUMIFS('16a'!$N$7:$N$100,'16a'!$H$7:$H$100,$A379,'16a'!$I$7:$I$100,"")+SUMIFS('17'!$N$7:$N$100,'17'!$H$7:$H$100,$A379,'17'!$I$7:$I$100,"")+SUMIFS('17a'!$N$7:$N$100,'17a'!$H$7:$H$100,$A379,'17a'!$I$7:$I$100,"")+SUMIFS('18'!$N$7:$N$100,'18'!$H$7:$H$100,$A379,'18'!$I$7:$I$100,"")+SUMIFS('18a'!$N$7:$N$100,'18a'!$H$7:$H$100,$A379,'18a'!$I$7:$I$100,"")
+SUMIFS('19'!$N$7:$N$100,'19'!$H$7:$H$100,$A379,'19'!$I$7:$I$100,"")+SUMIFS('20'!$N$7:$N$100,'20'!$H$7:$H$100,$A379,'20'!$I$7:$I$100,"")+SUMIFS('20a'!$N$7:$N$100,'20a'!$H$7:$H$100,$A379,'20a'!$I$7:$I$100,"")+SUMIFS('21'!$N$7:$N$100,'21'!$H$7:$H$100,$A379,'21'!$I$7:$I$100,"")+SUMIFS('22'!$N$7:$N$100,'22'!$H$7:$H$100,$A379,'22'!$I$7:$I$100,"")+SUMIFS('22a'!$N$7:$N$100,'22a'!$H$7:$H$100,$A379,'22a'!$I$7:$I$100,"")+SUMIFS('22b'!$N$7:$N$100,'22b'!$H$7:$H$100,$A379,'22b'!$I$7:$I$100,"")+SUMIFS('23'!$N$7:$N$100,'23'!$H$7:$H$100,$A379,'23'!$I$7:$I$100,"")+SUMIFS('24'!$N$7:$N$100,'24'!$H$7:$H$100,$A379,'24'!$I$7:$I$100,"")+SUMIFS('24a'!$N$7:$N$100,'24a'!$H$7:$H$100,$A379,'24a'!$I$7:$I$100,"")+SUMIFS('24b'!$N$7:$N$100,'24b'!$H$7:$H$100,$A379,'24b'!$I$7:$I$100,"")+SUMIFS('24c'!$N$7:$N$100,'24c'!$H$7:$H$100,$A379,'24c'!$I$7:$I$100,"")+SUMIFS('24d'!$N$7:$N$100,'24d'!$H$7:$H$100,$A379,'24d'!$I$7:$I$100,"")+SUMIFS('24e'!$N$7:$N$100,'24e'!$H$7:$H$100,$A379,'24e'!$I$7:$I$100,"")+SUMIFS('24f'!$N$7:$N$100,'24f'!$H$7:$H$100,$A379,'24f'!$I$7:$I$100,"")+SUMIFS('24g'!$N$7:$N$100,'24g'!$H$7:$H$100,$A379,'24g'!$I$7:$I$100,"")+SUMIFS('24h'!$N$7:$N$100,'24h'!$H$7:$H$100,$A379,'24h'!$I$7:$I$100,"")+SUMIFS('24i'!$N$7:$N$100,'24i'!$H$7:$H$100,$A379,'24i'!$I$7:$I$100,"")+SUMIFS('25'!$N$7:$N$100,'25'!$H$7:$H$100,$A379,'25'!$I$7:$I$100,"")+SUMIFS('26'!$N$7:$N$100,'26'!$H$7:$H$100,$A379,'26'!$I$7:$I$100,"")+SUMIFS('26a'!$N$7:$N$100,'26a'!$H$7:$H$100,$A379,'26a'!$I$7:$I$100,"")+SUMIFS('27'!$N$7:$N$100,'27'!$H$7:$H$100,$A379,'27'!$I$7:$I$100,"")+SUMIFS('27a'!$N$7:$N$100,'27a'!$H$7:$H$100,$A379,'27a'!$I$7:$I$100,"")+SUMIFS('28'!$N$7:$N$100,'28'!$H$7:$H$100,$A379,'28'!$I$7:$I$100,"")+SUMIFS('29'!$N$7:$N$100,'29'!$H$7:$H$100,$A379,'29'!$I$7:$I$100,"")</f>
        <v>0</v>
      </c>
      <c r="F379" s="1296">
        <f t="shared" si="55"/>
        <v>0</v>
      </c>
      <c r="G379" s="1295">
        <f>SUMIFS('12'!$J$7:$J$100,'12'!$H$7:$H$100,$A379,'12'!$I$7:$I$100,1)+SUMIFS('13'!$J$7:$J$100,'13'!$H$7:$H$100,$A379,'13'!$I$7:$I$100,1)+SUMIFS('14'!$J$7:$J$100,'14'!$H$7:$H$100,$A379,'14'!$I$7:$I$100,1)+SUMIFS('15'!$J$7:$J$100,'15'!$H$7:$H$100,$A379,'15'!$I$7:$I$100,1)+SUMIFS('15a'!$J$7:$J$100,'15a'!$H$7:$H$100,$A379,'15a'!$I$7:$I$100,1)+SUMIFS('15b'!$J$7:$J$100,'15b'!$H$7:$H$100,$A379,'15b'!$I$7:$I$100,1)+SUMIFS('15c'!$J$7:$J$100,'15c'!$H$7:$H$100,$A379,'15c'!$I$7:$I$100,1)+SUMIFS('15d'!$J$7:$J$100,'15d'!$H$7:$H$100,$A379,'15d'!$I$7:$I$100,1)+SUMIFS('15e'!$J$7:$J$100,'15e'!$H$7:$H$100,$A379,'15e'!$I$7:$I$100,1)+SUMIFS('15f'!$J$7:$J$100,'15f'!$H$7:$H$100,$A379,'15f'!$I$7:$I$100,1)+SUMIFS('15g'!$J$7:$J$100,'15g'!$H$7:$H$100,$A379,'15g'!$I$7:$I$100,1)+SUMIFS('15h'!$J$7:$J$100,'15h'!$H$7:$H$100,$A379,'15h'!$I$7:$I$100,1)+SUMIFS('15i'!$J$7:$J$100,'15i'!$H$7:$H$100,$A379,'15i'!$I$7:$I$100,1)+SUMIFS('15j'!$J$7:$J$100,'15j'!$H$7:$H$100,$A379,'15j'!$I$7:$I$100,1)+SUMIFS('15k'!$J$7:$J$100,'15k'!$H$7:$H$100,$A379,'15k'!$I$7:$I$100,1)+SUMIFS('15l'!$J$7:$J$100,'15l'!$H$7:$H$100,$A379,'15l'!$I$7:$I$100,1)+SUMIFS('15m'!$J$7:$J$100,'15m'!$H$7:$H$100,$A379,'15m'!$I$7:$I$100,1)+SUMIFS('15n'!$J$7:$J$100,'15n'!$H$7:$H$100,$A379,'15n'!$I$7:$I$100,1)+SUMIFS('16'!$J$7:$J$100,'16'!$H$7:$H$100,$A379,'16'!$I$7:$I$100,1)+SUMIFS('16a'!$J$7:$J$100,'16a'!$H$7:$H$100,$A379,'16a'!$I$7:$I$100,1)+SUMIFS('17'!$J$7:$J$100,'17'!$H$7:$H$100,$A379,'17'!$I$7:$I$100,1)+SUMIFS('17a'!$J$7:$J$100,'17a'!$H$7:$H$100,$A379,'17a'!$I$7:$I$100,1)+SUMIFS('18'!$J$7:$J$100,'18'!$H$7:$H$100,$A379,'18'!$I$7:$I$100,1)+SUMIFS('18a'!$J$7:$J$100,'18a'!$H$7:$H$100,$A379,'18a'!$I$7:$I$100,1)
+SUMIFS('19'!$J$7:$J$100,'19'!$H$7:$H$100,$A379,'19'!$I$7:$I$100,1)+SUMIFS('20'!$J$7:$J$100,'20'!$H$7:$H$100,$A379,'20'!$I$7:$I$100,1)+SUMIFS('20a'!$J$7:$J$100,'20a'!$H$7:$H$100,$A379,'20a'!$I$7:$I$100,1)+SUMIFS('21'!$J$7:$J$100,'21'!$H$7:$H$100,$A379,'21'!$I$7:$I$100,1)+SUMIFS('22'!$J$7:$J$100,'22'!$H$7:$H$100,$A379,'22'!$I$7:$I$100,1)+SUMIFS('22a'!$J$7:$J$100,'22a'!$H$7:$H$100,$A379,'22a'!$I$7:$I$100,1)+SUMIFS('22b'!$J$7:$J$100,'22b'!$H$7:$H$100,$A379,'22b'!$I$7:$I$100,1)+SUMIFS('23'!$J$7:$J$100,'23'!$H$7:$H$100,$A379,'23'!$I$7:$I$100,1)+SUMIFS('24'!$J$7:$J$100,'24'!$H$7:$H$100,$A379,'24'!$I$7:$I$100,1)+SUMIFS('24a'!$J$7:$J$100,'24a'!$H$7:$H$100,$A379,'24a'!$I$7:$I$100,1)+SUMIFS('24b'!$J$7:$J$100,'24b'!$H$7:$H$100,$A379,'24b'!$I$7:$I$100,1)+SUMIFS('24c'!$J$7:$J$100,'24c'!$H$7:$H$100,$A379,'24c'!$I$7:$I$100,1)+SUMIFS('24d'!$J$7:$J$100,'24d'!$H$7:$H$100,$A379,'24d'!$I$7:$I$100,1)+SUMIFS('24e'!$J$7:$J$100,'24e'!$H$7:$H$100,$A379,'24e'!$I$7:$I$100,1)+SUMIFS('24f'!$J$7:$J$100,'24f'!$H$7:$H$100,$A379,'24f'!$I$7:$I$100,1)+SUMIFS('24g'!$J$7:$J$100,'24g'!$H$7:$H$100,$A379,'24g'!$I$7:$I$100,1)+SUMIFS('24h'!$J$7:$J$100,'24h'!$H$7:$H$100,$A379,'24h'!$I$7:$I$100,1)+SUMIFS('24i'!$J$7:$J$100,'24i'!$H$7:$H$100,$A379,'24i'!$I$7:$I$100,1)+SUMIFS('25'!$J$7:$J$100,'25'!$H$7:$H$100,$A379,'25'!$I$7:$I$100,1)+SUMIFS('26'!$J$7:$J$100,'26'!$H$7:$H$100,$A379,'26'!$I$7:$I$100,1)+SUMIFS('26a'!$J$7:$J$100,'26a'!$H$7:$H$100,$A379,'26a'!$I$7:$I$100,1)+SUMIFS('27'!$J$7:$J$100,'27'!$H$7:$H$100,$A379,'27'!$I$7:$I$100,1)+SUMIFS('27a'!$J$7:$J$100,'27a'!$H$7:$H$100,$A379,'27a'!$I$7:$I$100,1)+SUMIFS('28'!$J$7:$J$100,'28'!$H$7:$H$100,$A379,'28'!$I$7:$I$100,1)+SUMIFS('29'!$J$7:$J$100,'29'!$H$7:$H$100,$A379,'29'!$I$7:$I$100,1)</f>
        <v>0</v>
      </c>
      <c r="H379" s="1315">
        <f>SUMIFS('12'!$J$7:$J$100,'12'!$H$7:$H$100,$A379,'12'!$I$7:$I$100,2)+SUMIFS('13'!$J$7:$J$100,'13'!$H$7:$H$100,$A379,'13'!$I$7:$I$100,2)+SUMIFS('14'!$J$7:$J$100,'14'!$H$7:$H$100,$A379,'14'!$I$7:$I$100,2)+SUMIFS('15'!$J$7:$J$100,'15'!$H$7:$H$100,$A379,'15'!$I$7:$I$100,2)+SUMIFS('15a'!$J$7:$J$100,'15a'!$H$7:$H$100,$A379,'15a'!$I$7:$I$100,2)+SUMIFS('15b'!$J$7:$J$100,'15b'!$H$7:$H$100,$A379,'15b'!$I$7:$I$100,2)+SUMIFS('15c'!$J$7:$J$100,'15c'!$H$7:$H$100,$A379,'15c'!$I$7:$I$100,2)+SUMIFS('15d'!$J$7:$J$100,'15d'!$H$7:$H$100,$A379,'15d'!$I$7:$I$100,2)+SUMIFS('15e'!$J$7:$J$100,'15e'!$H$7:$H$100,$A379,'15e'!$I$7:$I$100,2)+SUMIFS('15f'!$J$7:$J$100,'15f'!$H$7:$H$100,$A379,'15f'!$I$7:$I$100,2)+SUMIFS('15g'!$J$7:$J$100,'15g'!$H$7:$H$100,$A379,'15g'!$I$7:$I$100,2)+SUMIFS('15h'!$J$7:$J$100,'15h'!$H$7:$H$100,$A379,'15h'!$I$7:$I$100,2)+SUMIFS('15i'!$J$7:$J$100,'15i'!$H$7:$H$100,$A379,'15i'!$I$7:$I$100,2)+SUMIFS('15j'!$J$7:$J$100,'15j'!$H$7:$H$100,$A379,'15j'!$I$7:$I$100,2)+SUMIFS('15k'!$J$7:$J$100,'15k'!$H$7:$H$100,$A379,'15k'!$I$7:$I$100,2)+SUMIFS('15l'!$J$7:$J$100,'15l'!$H$7:$H$100,$A379,'15l'!$I$7:$I$100,2)+SUMIFS('15m'!$J$7:$J$100,'15m'!$H$7:$H$100,$A379,'15m'!$I$7:$I$100,2)+SUMIFS('15n'!$J$7:$J$100,'15n'!$H$7:$H$100,$A379,'15n'!$I$7:$I$100,2)+SUMIFS('16'!$J$7:$J$100,'16'!$H$7:$H$100,$A379,'16'!$I$7:$I$100,2)+SUMIFS('16a'!$J$7:$J$100,'16a'!$H$7:$H$100,$A379,'16a'!$I$7:$I$100,2)+SUMIFS('17'!$J$7:$J$100,'17'!$H$7:$H$100,$A379,'17'!$I$7:$I$100,2)+SUMIFS('17a'!$J$7:$J$100,'17a'!$H$7:$H$100,$A379,'17a'!$I$7:$I$100,2)+SUMIFS('18'!$J$7:$J$100,'18'!$H$7:$H$100,$A379,'18'!$I$7:$I$100,2)+SUMIFS('18a'!$J$7:$J$100,'18a'!$H$7:$H$100,$A379,'18a'!$I$7:$I$100,2)
+SUMIFS('19'!$J$7:$J$100,'19'!$H$7:$H$100,$A379,'19'!$I$7:$I$100,2)+SUMIFS('20'!$J$7:$J$100,'20'!$H$7:$H$100,$A379,'20'!$I$7:$I$100,2)+SUMIFS('20a'!$J$7:$J$100,'20a'!$H$7:$H$100,$A379,'20a'!$I$7:$I$100,2)+SUMIFS('21'!$J$7:$J$100,'21'!$H$7:$H$100,$A379,'21'!$I$7:$I$100,2)+SUMIFS('22'!$J$7:$J$100,'22'!$H$7:$H$100,$A379,'22'!$I$7:$I$100,2)+SUMIFS('22a'!$J$7:$J$100,'22a'!$H$7:$H$100,$A379,'22a'!$I$7:$I$100,2)+SUMIFS('22b'!$J$7:$J$100,'22b'!$H$7:$H$100,$A379,'22b'!$I$7:$I$100,2)+SUMIFS('23'!$J$7:$J$100,'23'!$H$7:$H$100,$A379,'23'!$I$7:$I$100,2)+SUMIFS('24'!$J$7:$J$100,'24'!$H$7:$H$100,$A379,'24'!$I$7:$I$100,2)+SUMIFS('24a'!$J$7:$J$100,'24a'!$H$7:$H$100,$A379,'24a'!$I$7:$I$100,2)+SUMIFS('24b'!$J$7:$J$100,'24b'!$H$7:$H$100,$A379,'24b'!$I$7:$I$100,2)+SUMIFS('24c'!$J$7:$J$100,'24c'!$H$7:$H$100,$A379,'24c'!$I$7:$I$100,2)+SUMIFS('24d'!$J$7:$J$100,'24d'!$H$7:$H$100,$A379,'24d'!$I$7:$I$100,2)+SUMIFS('24e'!$J$7:$J$100,'24e'!$H$7:$H$100,$A379,'24e'!$I$7:$I$100,2)+SUMIFS('24f'!$J$7:$J$100,'24f'!$H$7:$H$100,$A379,'24f'!$I$7:$I$100,2)+SUMIFS('24g'!$J$7:$J$100,'24g'!$H$7:$H$100,$A379,'24g'!$I$7:$I$100,2)+SUMIFS('24h'!$J$7:$J$100,'24h'!$H$7:$H$100,$A379,'24h'!$I$7:$I$100,2)+SUMIFS('24i'!$J$7:$J$100,'24i'!$H$7:$H$100,$A379,'24i'!$I$7:$I$100,2)+SUMIFS('25'!$J$7:$J$100,'25'!$H$7:$H$100,$A379,'25'!$I$7:$I$100,2)+SUMIFS('26'!$J$7:$J$100,'26'!$H$7:$H$100,$A379,'26'!$I$7:$I$100,2)+SUMIFS('26a'!$J$7:$J$100,'26a'!$H$7:$H$100,$A379,'26a'!$I$7:$I$100,2)+SUMIFS('27'!$J$7:$J$100,'27'!$H$7:$H$100,$A379,'27'!$I$7:$I$100,2)+SUMIFS('27a'!$J$7:$J$100,'27a'!$H$7:$H$100,$A379,'27a'!$I$7:$I$100,2)+SUMIFS('28'!$J$7:$J$100,'28'!$H$7:$H$100,$A379,'28'!$I$7:$I$100,2)+SUMIFS('29'!$J$7:$J$100,'29'!$H$7:$H$100,$A379,'29'!$I$7:$I$100,2)</f>
        <v>0</v>
      </c>
      <c r="I379" s="1315">
        <f>SUMIFS('12'!$J$7:$J$100,'12'!$H$7:$H$100,$A379,'12'!$I$7:$I$100,"")+SUMIFS('13'!$J$7:$J$100,'13'!$H$7:$H$100,$A379,'13'!$I$7:$I$100,"")+SUMIFS('14'!$J$7:$J$100,'14'!$H$7:$H$100,$A379,'14'!$I$7:$I$100,"")+SUMIFS('15'!$J$7:$J$100,'15'!$H$7:$H$100,$A379,'15'!$I$7:$I$100,"")+SUMIFS('15a'!$J$7:$J$100,'15a'!$H$7:$H$100,$A379,'15a'!$I$7:$I$100,"")+SUMIFS('15b'!$J$7:$J$100,'15b'!$H$7:$H$100,$A379,'15b'!$I$7:$I$100,"")+SUMIFS('15c'!$J$7:$J$100,'15c'!$H$7:$H$100,$A379,'15c'!$I$7:$I$100,"")+SUMIFS('15d'!$J$7:$J$100,'15d'!$H$7:$H$100,$A379,'15d'!$I$7:$I$100,"")+SUMIFS('15e'!$J$7:$J$100,'15e'!$H$7:$H$100,$A379,'15e'!$I$7:$I$100,"")+SUMIFS('15f'!$J$7:$J$100,'15f'!$H$7:$H$100,$A379,'15f'!$I$7:$I$100,"")+SUMIFS('15g'!$J$7:$J$100,'15g'!$H$7:$H$100,$A379,'15g'!$I$7:$I$100,"")+SUMIFS('15h'!$J$7:$J$100,'15h'!$H$7:$H$100,$A379,'15h'!$I$7:$I$100,"")+SUMIFS('15i'!$J$7:$J$100,'15i'!$H$7:$H$100,$A379,'15i'!$I$7:$I$100,"")+SUMIFS('15j'!$J$7:$J$100,'15j'!$H$7:$H$100,$A379,'15j'!$I$7:$I$100,"")+SUMIFS('15k'!$J$7:$J$100,'15k'!$H$7:$H$100,$A379,'15k'!$I$7:$I$100,"")+SUMIFS('15l'!$J$7:$J$100,'15l'!$H$7:$H$100,$A379,'15l'!$I$7:$I$100,"")+SUMIFS('15m'!$J$7:$J$100,'15m'!$H$7:$H$100,$A379,'15m'!$I$7:$I$100,"")+SUMIFS('15n'!$J$7:$J$100,'15n'!$H$7:$H$100,$A379,'15n'!$I$7:$I$100,"")+SUMIFS('16'!$J$7:$J$100,'16'!$H$7:$H$100,$A379,'16'!$I$7:$I$100,"")+SUMIFS('16a'!$J$7:$J$100,'16a'!$H$7:$H$100,$A379,'16a'!$I$7:$I$100,"")+SUMIFS('17'!$J$7:$J$100,'17'!$H$7:$H$100,$A379,'17'!$I$7:$I$100,"")+SUMIFS('17a'!$J$7:$J$100,'17a'!$H$7:$H$100,$A379,'17a'!$I$7:$I$100,"")+SUMIFS('18'!$J$7:$J$100,'18'!$H$7:$H$100,$A379,'18'!$I$7:$I$100,"")+SUMIFS('18a'!$J$7:$J$100,'18a'!$H$7:$H$100,$A379,'18a'!$I$7:$I$100,"")
+SUMIFS('19'!$J$7:$J$100,'19'!$H$7:$H$100,$A379,'19'!$I$7:$I$100,"")+SUMIFS('20'!$J$7:$J$100,'20'!$H$7:$H$100,$A379,'20'!$I$7:$I$100,"")+SUMIFS('20a'!$J$7:$J$100,'20a'!$H$7:$H$100,$A379,'20a'!$I$7:$I$100,"")+SUMIFS('21'!$J$7:$J$100,'21'!$H$7:$H$100,$A379,'21'!$I$7:$I$100,"")+SUMIFS('22'!$J$7:$J$100,'22'!$H$7:$H$100,$A379,'22'!$I$7:$I$100,"")+SUMIFS('22a'!$J$7:$J$100,'22a'!$H$7:$H$100,$A379,'22a'!$I$7:$I$100,"")+SUMIFS('22b'!$J$7:$J$100,'22b'!$H$7:$H$100,$A379,'22b'!$I$7:$I$100,"")+SUMIFS('23'!$J$7:$J$100,'23'!$H$7:$H$100,$A379,'23'!$I$7:$I$100,"")+SUMIFS('24'!$J$7:$J$100,'24'!$H$7:$H$100,$A379,'24'!$I$7:$I$100,"")+SUMIFS('24a'!$J$7:$J$100,'24a'!$H$7:$H$100,$A379,'24a'!$I$7:$I$100,"")+SUMIFS('24b'!$J$7:$J$100,'24b'!$H$7:$H$100,$A379,'24b'!$I$7:$I$100,"")+SUMIFS('24c'!$J$7:$J$100,'24c'!$H$7:$H$100,$A379,'24c'!$I$7:$I$100,"")+SUMIFS('24d'!$J$7:$J$100,'24d'!$H$7:$H$100,$A379,'24d'!$I$7:$I$100,"")+SUMIFS('24e'!$J$7:$J$100,'24e'!$H$7:$H$100,$A379,'24e'!$I$7:$I$100,"")+SUMIFS('24f'!$J$7:$J$100,'24f'!$H$7:$H$100,$A379,'24f'!$I$7:$I$100,"")+SUMIFS('24g'!$J$7:$J$100,'24g'!$H$7:$H$100,$A379,'24g'!$I$7:$I$100,"")+SUMIFS('24h'!$J$7:$J$100,'24h'!$H$7:$H$100,$A379,'24h'!$I$7:$I$100,"")+SUMIFS('24i'!$J$7:$J$100,'24i'!$H$7:$H$100,$A379,'24i'!$I$7:$I$100,"")+SUMIFS('25'!$J$7:$J$100,'25'!$H$7:$H$100,$A379,'25'!$I$7:$I$100,"")+SUMIFS('26'!$J$7:$J$100,'26'!$H$7:$H$100,$A379,'26'!$I$7:$I$100,"")+SUMIFS('26a'!$J$7:$J$100,'26a'!$H$7:$H$100,$A379,'26a'!$I$7:$I$100,"")+SUMIFS('27'!$J$7:$J$100,'27'!$H$7:$H$100,$A379,'27'!$I$7:$I$100,"")+SUMIFS('27a'!$J$7:$J$100,'27a'!$H$7:$H$100,$A379,'27a'!$I$7:$I$100,"")+SUMIFS('28'!$J$7:$J$100,'28'!$H$7:$H$100,$A379,'28'!$I$7:$I$100,"")+SUMIFS('29'!$J$7:$J$100,'29'!$H$7:$H$100,$A379,'29'!$I$7:$I$100,"")</f>
        <v>0</v>
      </c>
      <c r="J379" s="1296">
        <f t="shared" si="56"/>
        <v>0</v>
      </c>
      <c r="K379"/>
      <c r="L379"/>
      <c r="M379"/>
      <c r="N379"/>
      <c r="O379"/>
      <c r="P379"/>
      <c r="Q379"/>
      <c r="R379"/>
      <c r="S379" s="1307">
        <f t="shared" si="48"/>
        <v>0</v>
      </c>
      <c r="T379"/>
    </row>
    <row r="380" spans="1:20" x14ac:dyDescent="0.2">
      <c r="A380" t="s">
        <v>5124</v>
      </c>
      <c r="B380" t="s">
        <v>5404</v>
      </c>
      <c r="C380" s="1295">
        <f>SUMIFS('12'!$N$7:$N$100,'12'!$H$7:$H$100,$A380,'12'!$I$7:$I$100,1)+SUMIFS('13'!$N$7:$N$100,'13'!$H$7:$H$100,$A380,'13'!$I$7:$I$100,1)+SUMIFS('14'!$N$7:$N$100,'14'!$H$7:$H$100,$A380,'14'!$I$7:$I$100,1)+SUMIFS('15'!$N$7:$N$100,'15'!$H$7:$H$100,$A380,'15'!$I$7:$I$100,1)+SUMIFS('15a'!$N$7:$N$100,'15a'!$H$7:$H$100,$A380,'15a'!$I$7:$I$100,1)+SUMIFS('15b'!$N$7:$N$100,'15b'!$H$7:$H$100,$A380,'15b'!$I$7:$I$100,1)+SUMIFS('15c'!$N$7:$N$100,'15c'!$H$7:$H$100,$A380,'15c'!$I$7:$I$100,1)+SUMIFS('15d'!$N$7:$N$100,'15d'!$H$7:$H$100,$A380,'15d'!$I$7:$I$100,1)+SUMIFS('15e'!$N$7:$N$100,'15e'!$H$7:$H$100,$A380,'15e'!$I$7:$I$100,1)+SUMIFS('15f'!$N$7:$N$100,'15f'!$H$7:$H$100,$A380,'15f'!$I$7:$I$100,1)+SUMIFS('15g'!$N$7:$N$100,'15g'!$H$7:$H$100,$A380,'15g'!$I$7:$I$100,1)+SUMIFS('15h'!$N$7:$N$100,'15h'!$H$7:$H$100,$A380,'15h'!$I$7:$I$100,1)+SUMIFS('15i'!$N$7:$N$100,'15i'!$H$7:$H$100,$A380,'15i'!$I$7:$I$100,1)+SUMIFS('15j'!$N$7:$N$100,'15j'!$H$7:$H$100,$A380,'15j'!$I$7:$I$100,1)+SUMIFS('15k'!$N$7:$N$100,'15k'!$H$7:$H$100,$A380,'15k'!$I$7:$I$100,1)+SUMIFS('15l'!$N$7:$N$100,'15l'!$H$7:$H$100,$A380,'15l'!$I$7:$I$100,1)+SUMIFS('15m'!$N$7:$N$100,'15m'!$H$7:$H$100,$A380,'15m'!$I$7:$I$100,1)+SUMIFS('15n'!$N$7:$N$100,'15n'!$H$7:$H$100,$A380,'15n'!$I$7:$I$100,1)+SUMIFS('16'!$N$7:$N$100,'16'!$H$7:$H$100,$A380,'16'!$I$7:$I$100,1)+SUMIFS('16a'!$N$7:$N$100,'16a'!$H$7:$H$100,$A380,'16a'!$I$7:$I$100,1)+SUMIFS('17'!$N$7:$N$100,'17'!$H$7:$H$100,$A380,'17'!$I$7:$I$100,1)+SUMIFS('17a'!$N$7:$N$100,'17a'!$H$7:$H$100,$A380,'17a'!$I$7:$I$100,1)+SUMIFS('18'!$N$7:$N$100,'18'!$H$7:$H$100,$A380,'18'!$I$7:$I$100,1)+SUMIFS('18a'!$N$7:$N$100,'18a'!$H$7:$H$100,$A380,'18a'!$I$7:$I$100,1)
+SUMIFS('19'!$N$7:$N$100,'19'!$H$7:$H$100,$A380,'19'!$I$7:$I$100,1)+SUMIFS('20'!$N$7:$N$100,'20'!$H$7:$H$100,$A380,'20'!$I$7:$I$100,1)+SUMIFS('20a'!$N$7:$N$100,'20a'!$H$7:$H$100,$A380,'20a'!$I$7:$I$100,1)+SUMIFS('21'!$N$7:$N$100,'21'!$H$7:$H$100,$A380,'21'!$I$7:$I$100,1)+SUMIFS('22'!$N$7:$N$100,'22'!$H$7:$H$100,$A380,'22'!$I$7:$I$100,1)+SUMIFS('22a'!$N$7:$N$100,'22a'!$H$7:$H$100,$A380,'22a'!$I$7:$I$100,1)+SUMIFS('22b'!$N$7:$N$100,'22b'!$H$7:$H$100,$A380,'22b'!$I$7:$I$100,1)+SUMIFS('23'!$N$7:$N$100,'23'!$H$7:$H$100,$A380,'23'!$I$7:$I$100,1)+SUMIFS('24'!$N$7:$N$100,'24'!$H$7:$H$100,$A380,'24'!$I$7:$I$100,1)+SUMIFS('24a'!$N$7:$N$100,'24a'!$H$7:$H$100,$A380,'24a'!$I$7:$I$100,1)+SUMIFS('24b'!$N$7:$N$100,'24b'!$H$7:$H$100,$A380,'24b'!$I$7:$I$100,1)+SUMIFS('24c'!$N$7:$N$100,'24c'!$H$7:$H$100,$A380,'24c'!$I$7:$I$100,1)+SUMIFS('24d'!$N$7:$N$100,'24d'!$H$7:$H$100,$A380,'24d'!$I$7:$I$100,1)+SUMIFS('24e'!$N$7:$N$100,'24e'!$H$7:$H$100,$A380,'24e'!$I$7:$I$100,1)+SUMIFS('24f'!$N$7:$N$100,'24f'!$H$7:$H$100,$A380,'24f'!$I$7:$I$100,1)+SUMIFS('24g'!$N$7:$N$100,'24g'!$H$7:$H$100,$A380,'24g'!$I$7:$I$100,1)+SUMIFS('24h'!$N$7:$N$100,'24h'!$H$7:$H$100,$A380,'24h'!$I$7:$I$100,1)+SUMIFS('24i'!$N$7:$N$100,'24i'!$H$7:$H$100,$A380,'24i'!$I$7:$I$100,1)+SUMIFS('25'!$N$7:$N$100,'25'!$H$7:$H$100,$A380,'25'!$I$7:$I$100,1)+SUMIFS('26'!$N$7:$N$100,'26'!$H$7:$H$100,$A380,'26'!$I$7:$I$100,1)+SUMIFS('26a'!$N$7:$N$100,'26a'!$H$7:$H$100,$A380,'26a'!$I$7:$I$100,1)+SUMIFS('27'!$N$7:$N$100,'27'!$H$7:$H$100,$A380,'27'!$I$7:$I$100,1)+SUMIFS('27a'!$N$7:$N$100,'27a'!$H$7:$H$100,$A380,'27a'!$I$7:$I$100,1)+SUMIFS('28'!$N$7:$N$100,'28'!$H$7:$H$100,$A380,'28'!$I$7:$I$100,1)+SUMIFS('29'!$N$7:$N$100,'29'!$H$7:$H$100,$A380,'29'!$I$7:$I$100,1)</f>
        <v>0</v>
      </c>
      <c r="D380" s="1315">
        <f>SUMIFS('12'!$N$7:$N$100,'12'!$H$7:$H$100,$A380,'12'!$I$7:$I$100,2)+SUMIFS('13'!$N$7:$N$100,'13'!$H$7:$H$100,$A380,'13'!$I$7:$I$100,2)+SUMIFS('14'!$N$7:$N$100,'14'!$H$7:$H$100,$A380,'14'!$I$7:$I$100,2)+SUMIFS('15'!$N$7:$N$100,'15'!$H$7:$H$100,$A380,'15'!$I$7:$I$100,2)+SUMIFS('15a'!$N$7:$N$100,'15a'!$H$7:$H$100,$A380,'15a'!$I$7:$I$100,2)+SUMIFS('15b'!$N$7:$N$100,'15b'!$H$7:$H$100,$A380,'15b'!$I$7:$I$100,2)+SUMIFS('15c'!$N$7:$N$100,'15c'!$H$7:$H$100,$A380,'15c'!$I$7:$I$100,2)+SUMIFS('15d'!$N$7:$N$100,'15d'!$H$7:$H$100,$A380,'15d'!$I$7:$I$100,2)+SUMIFS('15e'!$N$7:$N$100,'15e'!$H$7:$H$100,$A380,'15e'!$I$7:$I$100,2)+SUMIFS('15f'!$N$7:$N$100,'15f'!$H$7:$H$100,$A380,'15f'!$I$7:$I$100,2)+SUMIFS('15g'!$N$7:$N$100,'15g'!$H$7:$H$100,$A380,'15g'!$I$7:$I$100,2)+SUMIFS('15h'!$N$7:$N$100,'15h'!$H$7:$H$100,$A380,'15h'!$I$7:$I$100,2)+SUMIFS('15i'!$N$7:$N$100,'15i'!$H$7:$H$100,$A380,'15i'!$I$7:$I$100,2)+SUMIFS('15j'!$N$7:$N$100,'15j'!$H$7:$H$100,$A380,'15j'!$I$7:$I$100,2)+SUMIFS('15k'!$N$7:$N$100,'15k'!$H$7:$H$100,$A380,'15k'!$I$7:$I$100,2)+SUMIFS('15l'!$N$7:$N$100,'15l'!$H$7:$H$100,$A380,'15l'!$I$7:$I$100,2)+SUMIFS('15m'!$N$7:$N$100,'15m'!$H$7:$H$100,$A380,'15m'!$I$7:$I$100,2)+SUMIFS('15n'!$N$7:$N$100,'15n'!$H$7:$H$100,$A380,'15n'!$I$7:$I$100,2)+SUMIFS('16'!$N$7:$N$100,'16'!$H$7:$H$100,$A380,'16'!$I$7:$I$100,2)+SUMIFS('16a'!$N$7:$N$100,'16a'!$H$7:$H$100,$A380,'16a'!$I$7:$I$100,2)+SUMIFS('17'!$N$7:$N$100,'17'!$H$7:$H$100,$A380,'17'!$I$7:$I$100,2)+SUMIFS('17a'!$N$7:$N$100,'17a'!$H$7:$H$100,$A380,'17a'!$I$7:$I$100,2)+SUMIFS('18'!$N$7:$N$100,'18'!$H$7:$H$100,$A380,'18'!$I$7:$I$100,2)+SUMIFS('18a'!$N$7:$N$100,'18a'!$H$7:$H$100,$A380,'18a'!$I$7:$I$100,2)
+SUMIFS('19'!$N$7:$N$100,'19'!$H$7:$H$100,$A380,'19'!$I$7:$I$100,2)+SUMIFS('20'!$N$7:$N$100,'20'!$H$7:$H$100,$A380,'20'!$I$7:$I$100,2)+SUMIFS('20a'!$N$7:$N$100,'20a'!$H$7:$H$100,$A380,'20a'!$I$7:$I$100,2)+SUMIFS('21'!$N$7:$N$100,'21'!$H$7:$H$100,$A380,'21'!$I$7:$I$100,2)+SUMIFS('22'!$N$7:$N$100,'22'!$H$7:$H$100,$A380,'22'!$I$7:$I$100,2)+SUMIFS('22a'!$N$7:$N$100,'22a'!$H$7:$H$100,$A380,'22a'!$I$7:$I$100,2)+SUMIFS('22b'!$N$7:$N$100,'22b'!$H$7:$H$100,$A380,'22b'!$I$7:$I$100,2)+SUMIFS('23'!$N$7:$N$100,'23'!$H$7:$H$100,$A380,'23'!$I$7:$I$100,2)+SUMIFS('24'!$N$7:$N$100,'24'!$H$7:$H$100,$A380,'24'!$I$7:$I$100,2)+SUMIFS('24a'!$N$7:$N$100,'24a'!$H$7:$H$100,$A380,'24a'!$I$7:$I$100,2)+SUMIFS('24b'!$N$7:$N$100,'24b'!$H$7:$H$100,$A380,'24b'!$I$7:$I$100,2)+SUMIFS('24c'!$N$7:$N$100,'24c'!$H$7:$H$100,$A380,'24c'!$I$7:$I$100,2)+SUMIFS('24d'!$N$7:$N$100,'24d'!$H$7:$H$100,$A380,'24d'!$I$7:$I$100,2)+SUMIFS('24e'!$N$7:$N$100,'24e'!$H$7:$H$100,$A380,'24e'!$I$7:$I$100,2)+SUMIFS('24f'!$N$7:$N$100,'24f'!$H$7:$H$100,$A380,'24f'!$I$7:$I$100,2)+SUMIFS('24g'!$N$7:$N$100,'24g'!$H$7:$H$100,$A380,'24g'!$I$7:$I$100,2)+SUMIFS('24h'!$N$7:$N$100,'24h'!$H$7:$H$100,$A380,'24h'!$I$7:$I$100,2)+SUMIFS('24i'!$N$7:$N$100,'24i'!$H$7:$H$100,$A380,'24i'!$I$7:$I$100,2)+SUMIFS('25'!$N$7:$N$100,'25'!$H$7:$H$100,$A380,'25'!$I$7:$I$100,2)+SUMIFS('26'!$N$7:$N$100,'26'!$H$7:$H$100,$A380,'26'!$I$7:$I$100,2)+SUMIFS('26a'!$N$7:$N$100,'26a'!$H$7:$H$100,$A380,'26a'!$I$7:$I$100,2)+SUMIFS('27'!$N$7:$N$100,'27'!$H$7:$H$100,$A380,'27'!$I$7:$I$100,2)+SUMIFS('27a'!$N$7:$N$100,'27a'!$H$7:$H$100,$A380,'27a'!$I$7:$I$100,2)+SUMIFS('28'!$N$7:$N$100,'28'!$H$7:$H$100,$A380,'28'!$I$7:$I$100,2)+SUMIFS('29'!$N$7:$N$100,'29'!$H$7:$H$100,$A380,'29'!$I$7:$I$100,2)</f>
        <v>0</v>
      </c>
      <c r="E380" s="1315">
        <f>SUMIFS('12'!$N$7:$N$100,'12'!$H$7:$H$100,$A380,'12'!$I$7:$I$100,"")+SUMIFS('13'!$N$7:$N$100,'13'!$H$7:$H$100,$A380,'13'!$I$7:$I$100,"")+SUMIFS('14'!$N$7:$N$100,'14'!$H$7:$H$100,$A380,'14'!$I$7:$I$100,"")+SUMIFS('15'!$N$7:$N$100,'15'!$H$7:$H$100,$A380,'15'!$I$7:$I$100,"")+SUMIFS('15a'!$N$7:$N$100,'15a'!$H$7:$H$100,$A380,'15a'!$I$7:$I$100,"")+SUMIFS('15b'!$N$7:$N$100,'15b'!$H$7:$H$100,$A380,'15b'!$I$7:$I$100,"")+SUMIFS('15c'!$N$7:$N$100,'15c'!$H$7:$H$100,$A380,'15c'!$I$7:$I$100,"")+SUMIFS('15d'!$N$7:$N$100,'15d'!$H$7:$H$100,$A380,'15d'!$I$7:$I$100,"")+SUMIFS('15e'!$N$7:$N$100,'15e'!$H$7:$H$100,$A380,'15e'!$I$7:$I$100,"")+SUMIFS('15f'!$N$7:$N$100,'15f'!$H$7:$H$100,$A380,'15f'!$I$7:$I$100,"")+SUMIFS('15g'!$N$7:$N$100,'15g'!$H$7:$H$100,$A380,'15g'!$I$7:$I$100,"")+SUMIFS('15h'!$N$7:$N$100,'15h'!$H$7:$H$100,$A380,'15h'!$I$7:$I$100,"")+SUMIFS('15i'!$N$7:$N$100,'15i'!$H$7:$H$100,$A380,'15i'!$I$7:$I$100,"")+SUMIFS('15j'!$N$7:$N$100,'15j'!$H$7:$H$100,$A380,'15j'!$I$7:$I$100,"")+SUMIFS('15k'!$N$7:$N$100,'15k'!$H$7:$H$100,$A380,'15k'!$I$7:$I$100,"")+SUMIFS('15l'!$N$7:$N$100,'15l'!$H$7:$H$100,$A380,'15l'!$I$7:$I$100,"")+SUMIFS('15m'!$N$7:$N$100,'15m'!$H$7:$H$100,$A380,'15m'!$I$7:$I$100,"")+SUMIFS('15n'!$N$7:$N$100,'15n'!$H$7:$H$100,$A380,'15n'!$I$7:$I$100,"")+SUMIFS('16'!$N$7:$N$100,'16'!$H$7:$H$100,$A380,'16'!$I$7:$I$100,"")+SUMIFS('16a'!$N$7:$N$100,'16a'!$H$7:$H$100,$A380,'16a'!$I$7:$I$100,"")+SUMIFS('17'!$N$7:$N$100,'17'!$H$7:$H$100,$A380,'17'!$I$7:$I$100,"")+SUMIFS('17a'!$N$7:$N$100,'17a'!$H$7:$H$100,$A380,'17a'!$I$7:$I$100,"")+SUMIFS('18'!$N$7:$N$100,'18'!$H$7:$H$100,$A380,'18'!$I$7:$I$100,"")+SUMIFS('18a'!$N$7:$N$100,'18a'!$H$7:$H$100,$A380,'18a'!$I$7:$I$100,"")
+SUMIFS('19'!$N$7:$N$100,'19'!$H$7:$H$100,$A380,'19'!$I$7:$I$100,"")+SUMIFS('20'!$N$7:$N$100,'20'!$H$7:$H$100,$A380,'20'!$I$7:$I$100,"")+SUMIFS('20a'!$N$7:$N$100,'20a'!$H$7:$H$100,$A380,'20a'!$I$7:$I$100,"")+SUMIFS('21'!$N$7:$N$100,'21'!$H$7:$H$100,$A380,'21'!$I$7:$I$100,"")+SUMIFS('22'!$N$7:$N$100,'22'!$H$7:$H$100,$A380,'22'!$I$7:$I$100,"")+SUMIFS('22a'!$N$7:$N$100,'22a'!$H$7:$H$100,$A380,'22a'!$I$7:$I$100,"")+SUMIFS('22b'!$N$7:$N$100,'22b'!$H$7:$H$100,$A380,'22b'!$I$7:$I$100,"")+SUMIFS('23'!$N$7:$N$100,'23'!$H$7:$H$100,$A380,'23'!$I$7:$I$100,"")+SUMIFS('24'!$N$7:$N$100,'24'!$H$7:$H$100,$A380,'24'!$I$7:$I$100,"")+SUMIFS('24a'!$N$7:$N$100,'24a'!$H$7:$H$100,$A380,'24a'!$I$7:$I$100,"")+SUMIFS('24b'!$N$7:$N$100,'24b'!$H$7:$H$100,$A380,'24b'!$I$7:$I$100,"")+SUMIFS('24c'!$N$7:$N$100,'24c'!$H$7:$H$100,$A380,'24c'!$I$7:$I$100,"")+SUMIFS('24d'!$N$7:$N$100,'24d'!$H$7:$H$100,$A380,'24d'!$I$7:$I$100,"")+SUMIFS('24e'!$N$7:$N$100,'24e'!$H$7:$H$100,$A380,'24e'!$I$7:$I$100,"")+SUMIFS('24f'!$N$7:$N$100,'24f'!$H$7:$H$100,$A380,'24f'!$I$7:$I$100,"")+SUMIFS('24g'!$N$7:$N$100,'24g'!$H$7:$H$100,$A380,'24g'!$I$7:$I$100,"")+SUMIFS('24h'!$N$7:$N$100,'24h'!$H$7:$H$100,$A380,'24h'!$I$7:$I$100,"")+SUMIFS('24i'!$N$7:$N$100,'24i'!$H$7:$H$100,$A380,'24i'!$I$7:$I$100,"")+SUMIFS('25'!$N$7:$N$100,'25'!$H$7:$H$100,$A380,'25'!$I$7:$I$100,"")+SUMIFS('26'!$N$7:$N$100,'26'!$H$7:$H$100,$A380,'26'!$I$7:$I$100,"")+SUMIFS('26a'!$N$7:$N$100,'26a'!$H$7:$H$100,$A380,'26a'!$I$7:$I$100,"")+SUMIFS('27'!$N$7:$N$100,'27'!$H$7:$H$100,$A380,'27'!$I$7:$I$100,"")+SUMIFS('27a'!$N$7:$N$100,'27a'!$H$7:$H$100,$A380,'27a'!$I$7:$I$100,"")+SUMIFS('28'!$N$7:$N$100,'28'!$H$7:$H$100,$A380,'28'!$I$7:$I$100,"")+SUMIFS('29'!$N$7:$N$100,'29'!$H$7:$H$100,$A380,'29'!$I$7:$I$100,"")</f>
        <v>0</v>
      </c>
      <c r="F380" s="1296">
        <f t="shared" si="55"/>
        <v>0</v>
      </c>
      <c r="G380" s="1295">
        <f>SUMIFS('12'!$J$7:$J$100,'12'!$H$7:$H$100,$A380,'12'!$I$7:$I$100,1)+SUMIFS('13'!$J$7:$J$100,'13'!$H$7:$H$100,$A380,'13'!$I$7:$I$100,1)+SUMIFS('14'!$J$7:$J$100,'14'!$H$7:$H$100,$A380,'14'!$I$7:$I$100,1)+SUMIFS('15'!$J$7:$J$100,'15'!$H$7:$H$100,$A380,'15'!$I$7:$I$100,1)+SUMIFS('15a'!$J$7:$J$100,'15a'!$H$7:$H$100,$A380,'15a'!$I$7:$I$100,1)+SUMIFS('15b'!$J$7:$J$100,'15b'!$H$7:$H$100,$A380,'15b'!$I$7:$I$100,1)+SUMIFS('15c'!$J$7:$J$100,'15c'!$H$7:$H$100,$A380,'15c'!$I$7:$I$100,1)+SUMIFS('15d'!$J$7:$J$100,'15d'!$H$7:$H$100,$A380,'15d'!$I$7:$I$100,1)+SUMIFS('15e'!$J$7:$J$100,'15e'!$H$7:$H$100,$A380,'15e'!$I$7:$I$100,1)+SUMIFS('15f'!$J$7:$J$100,'15f'!$H$7:$H$100,$A380,'15f'!$I$7:$I$100,1)+SUMIFS('15g'!$J$7:$J$100,'15g'!$H$7:$H$100,$A380,'15g'!$I$7:$I$100,1)+SUMIFS('15h'!$J$7:$J$100,'15h'!$H$7:$H$100,$A380,'15h'!$I$7:$I$100,1)+SUMIFS('15i'!$J$7:$J$100,'15i'!$H$7:$H$100,$A380,'15i'!$I$7:$I$100,1)+SUMIFS('15j'!$J$7:$J$100,'15j'!$H$7:$H$100,$A380,'15j'!$I$7:$I$100,1)+SUMIFS('15k'!$J$7:$J$100,'15k'!$H$7:$H$100,$A380,'15k'!$I$7:$I$100,1)+SUMIFS('15l'!$J$7:$J$100,'15l'!$H$7:$H$100,$A380,'15l'!$I$7:$I$100,1)+SUMIFS('15m'!$J$7:$J$100,'15m'!$H$7:$H$100,$A380,'15m'!$I$7:$I$100,1)+SUMIFS('15n'!$J$7:$J$100,'15n'!$H$7:$H$100,$A380,'15n'!$I$7:$I$100,1)+SUMIFS('16'!$J$7:$J$100,'16'!$H$7:$H$100,$A380,'16'!$I$7:$I$100,1)+SUMIFS('16a'!$J$7:$J$100,'16a'!$H$7:$H$100,$A380,'16a'!$I$7:$I$100,1)+SUMIFS('17'!$J$7:$J$100,'17'!$H$7:$H$100,$A380,'17'!$I$7:$I$100,1)+SUMIFS('17a'!$J$7:$J$100,'17a'!$H$7:$H$100,$A380,'17a'!$I$7:$I$100,1)+SUMIFS('18'!$J$7:$J$100,'18'!$H$7:$H$100,$A380,'18'!$I$7:$I$100,1)+SUMIFS('18a'!$J$7:$J$100,'18a'!$H$7:$H$100,$A380,'18a'!$I$7:$I$100,1)
+SUMIFS('19'!$J$7:$J$100,'19'!$H$7:$H$100,$A380,'19'!$I$7:$I$100,1)+SUMIFS('20'!$J$7:$J$100,'20'!$H$7:$H$100,$A380,'20'!$I$7:$I$100,1)+SUMIFS('20a'!$J$7:$J$100,'20a'!$H$7:$H$100,$A380,'20a'!$I$7:$I$100,1)+SUMIFS('21'!$J$7:$J$100,'21'!$H$7:$H$100,$A380,'21'!$I$7:$I$100,1)+SUMIFS('22'!$J$7:$J$100,'22'!$H$7:$H$100,$A380,'22'!$I$7:$I$100,1)+SUMIFS('22a'!$J$7:$J$100,'22a'!$H$7:$H$100,$A380,'22a'!$I$7:$I$100,1)+SUMIFS('22b'!$J$7:$J$100,'22b'!$H$7:$H$100,$A380,'22b'!$I$7:$I$100,1)+SUMIFS('23'!$J$7:$J$100,'23'!$H$7:$H$100,$A380,'23'!$I$7:$I$100,1)+SUMIFS('24'!$J$7:$J$100,'24'!$H$7:$H$100,$A380,'24'!$I$7:$I$100,1)+SUMIFS('24a'!$J$7:$J$100,'24a'!$H$7:$H$100,$A380,'24a'!$I$7:$I$100,1)+SUMIFS('24b'!$J$7:$J$100,'24b'!$H$7:$H$100,$A380,'24b'!$I$7:$I$100,1)+SUMIFS('24c'!$J$7:$J$100,'24c'!$H$7:$H$100,$A380,'24c'!$I$7:$I$100,1)+SUMIFS('24d'!$J$7:$J$100,'24d'!$H$7:$H$100,$A380,'24d'!$I$7:$I$100,1)+SUMIFS('24e'!$J$7:$J$100,'24e'!$H$7:$H$100,$A380,'24e'!$I$7:$I$100,1)+SUMIFS('24f'!$J$7:$J$100,'24f'!$H$7:$H$100,$A380,'24f'!$I$7:$I$100,1)+SUMIFS('24g'!$J$7:$J$100,'24g'!$H$7:$H$100,$A380,'24g'!$I$7:$I$100,1)+SUMIFS('24h'!$J$7:$J$100,'24h'!$H$7:$H$100,$A380,'24h'!$I$7:$I$100,1)+SUMIFS('24i'!$J$7:$J$100,'24i'!$H$7:$H$100,$A380,'24i'!$I$7:$I$100,1)+SUMIFS('25'!$J$7:$J$100,'25'!$H$7:$H$100,$A380,'25'!$I$7:$I$100,1)+SUMIFS('26'!$J$7:$J$100,'26'!$H$7:$H$100,$A380,'26'!$I$7:$I$100,1)+SUMIFS('26a'!$J$7:$J$100,'26a'!$H$7:$H$100,$A380,'26a'!$I$7:$I$100,1)+SUMIFS('27'!$J$7:$J$100,'27'!$H$7:$H$100,$A380,'27'!$I$7:$I$100,1)+SUMIFS('27a'!$J$7:$J$100,'27a'!$H$7:$H$100,$A380,'27a'!$I$7:$I$100,1)+SUMIFS('28'!$J$7:$J$100,'28'!$H$7:$H$100,$A380,'28'!$I$7:$I$100,1)+SUMIFS('29'!$J$7:$J$100,'29'!$H$7:$H$100,$A380,'29'!$I$7:$I$100,1)</f>
        <v>0</v>
      </c>
      <c r="H380" s="1315">
        <f>SUMIFS('12'!$J$7:$J$100,'12'!$H$7:$H$100,$A380,'12'!$I$7:$I$100,2)+SUMIFS('13'!$J$7:$J$100,'13'!$H$7:$H$100,$A380,'13'!$I$7:$I$100,2)+SUMIFS('14'!$J$7:$J$100,'14'!$H$7:$H$100,$A380,'14'!$I$7:$I$100,2)+SUMIFS('15'!$J$7:$J$100,'15'!$H$7:$H$100,$A380,'15'!$I$7:$I$100,2)+SUMIFS('15a'!$J$7:$J$100,'15a'!$H$7:$H$100,$A380,'15a'!$I$7:$I$100,2)+SUMIFS('15b'!$J$7:$J$100,'15b'!$H$7:$H$100,$A380,'15b'!$I$7:$I$100,2)+SUMIFS('15c'!$J$7:$J$100,'15c'!$H$7:$H$100,$A380,'15c'!$I$7:$I$100,2)+SUMIFS('15d'!$J$7:$J$100,'15d'!$H$7:$H$100,$A380,'15d'!$I$7:$I$100,2)+SUMIFS('15e'!$J$7:$J$100,'15e'!$H$7:$H$100,$A380,'15e'!$I$7:$I$100,2)+SUMIFS('15f'!$J$7:$J$100,'15f'!$H$7:$H$100,$A380,'15f'!$I$7:$I$100,2)+SUMIFS('15g'!$J$7:$J$100,'15g'!$H$7:$H$100,$A380,'15g'!$I$7:$I$100,2)+SUMIFS('15h'!$J$7:$J$100,'15h'!$H$7:$H$100,$A380,'15h'!$I$7:$I$100,2)+SUMIFS('15i'!$J$7:$J$100,'15i'!$H$7:$H$100,$A380,'15i'!$I$7:$I$100,2)+SUMIFS('15j'!$J$7:$J$100,'15j'!$H$7:$H$100,$A380,'15j'!$I$7:$I$100,2)+SUMIFS('15k'!$J$7:$J$100,'15k'!$H$7:$H$100,$A380,'15k'!$I$7:$I$100,2)+SUMIFS('15l'!$J$7:$J$100,'15l'!$H$7:$H$100,$A380,'15l'!$I$7:$I$100,2)+SUMIFS('15m'!$J$7:$J$100,'15m'!$H$7:$H$100,$A380,'15m'!$I$7:$I$100,2)+SUMIFS('15n'!$J$7:$J$100,'15n'!$H$7:$H$100,$A380,'15n'!$I$7:$I$100,2)+SUMIFS('16'!$J$7:$J$100,'16'!$H$7:$H$100,$A380,'16'!$I$7:$I$100,2)+SUMIFS('16a'!$J$7:$J$100,'16a'!$H$7:$H$100,$A380,'16a'!$I$7:$I$100,2)+SUMIFS('17'!$J$7:$J$100,'17'!$H$7:$H$100,$A380,'17'!$I$7:$I$100,2)+SUMIFS('17a'!$J$7:$J$100,'17a'!$H$7:$H$100,$A380,'17a'!$I$7:$I$100,2)+SUMIFS('18'!$J$7:$J$100,'18'!$H$7:$H$100,$A380,'18'!$I$7:$I$100,2)+SUMIFS('18a'!$J$7:$J$100,'18a'!$H$7:$H$100,$A380,'18a'!$I$7:$I$100,2)
+SUMIFS('19'!$J$7:$J$100,'19'!$H$7:$H$100,$A380,'19'!$I$7:$I$100,2)+SUMIFS('20'!$J$7:$J$100,'20'!$H$7:$H$100,$A380,'20'!$I$7:$I$100,2)+SUMIFS('20a'!$J$7:$J$100,'20a'!$H$7:$H$100,$A380,'20a'!$I$7:$I$100,2)+SUMIFS('21'!$J$7:$J$100,'21'!$H$7:$H$100,$A380,'21'!$I$7:$I$100,2)+SUMIFS('22'!$J$7:$J$100,'22'!$H$7:$H$100,$A380,'22'!$I$7:$I$100,2)+SUMIFS('22a'!$J$7:$J$100,'22a'!$H$7:$H$100,$A380,'22a'!$I$7:$I$100,2)+SUMIFS('22b'!$J$7:$J$100,'22b'!$H$7:$H$100,$A380,'22b'!$I$7:$I$100,2)+SUMIFS('23'!$J$7:$J$100,'23'!$H$7:$H$100,$A380,'23'!$I$7:$I$100,2)+SUMIFS('24'!$J$7:$J$100,'24'!$H$7:$H$100,$A380,'24'!$I$7:$I$100,2)+SUMIFS('24a'!$J$7:$J$100,'24a'!$H$7:$H$100,$A380,'24a'!$I$7:$I$100,2)+SUMIFS('24b'!$J$7:$J$100,'24b'!$H$7:$H$100,$A380,'24b'!$I$7:$I$100,2)+SUMIFS('24c'!$J$7:$J$100,'24c'!$H$7:$H$100,$A380,'24c'!$I$7:$I$100,2)+SUMIFS('24d'!$J$7:$J$100,'24d'!$H$7:$H$100,$A380,'24d'!$I$7:$I$100,2)+SUMIFS('24e'!$J$7:$J$100,'24e'!$H$7:$H$100,$A380,'24e'!$I$7:$I$100,2)+SUMIFS('24f'!$J$7:$J$100,'24f'!$H$7:$H$100,$A380,'24f'!$I$7:$I$100,2)+SUMIFS('24g'!$J$7:$J$100,'24g'!$H$7:$H$100,$A380,'24g'!$I$7:$I$100,2)+SUMIFS('24h'!$J$7:$J$100,'24h'!$H$7:$H$100,$A380,'24h'!$I$7:$I$100,2)+SUMIFS('24i'!$J$7:$J$100,'24i'!$H$7:$H$100,$A380,'24i'!$I$7:$I$100,2)+SUMIFS('25'!$J$7:$J$100,'25'!$H$7:$H$100,$A380,'25'!$I$7:$I$100,2)+SUMIFS('26'!$J$7:$J$100,'26'!$H$7:$H$100,$A380,'26'!$I$7:$I$100,2)+SUMIFS('26a'!$J$7:$J$100,'26a'!$H$7:$H$100,$A380,'26a'!$I$7:$I$100,2)+SUMIFS('27'!$J$7:$J$100,'27'!$H$7:$H$100,$A380,'27'!$I$7:$I$100,2)+SUMIFS('27a'!$J$7:$J$100,'27a'!$H$7:$H$100,$A380,'27a'!$I$7:$I$100,2)+SUMIFS('28'!$J$7:$J$100,'28'!$H$7:$H$100,$A380,'28'!$I$7:$I$100,2)+SUMIFS('29'!$J$7:$J$100,'29'!$H$7:$H$100,$A380,'29'!$I$7:$I$100,2)</f>
        <v>0</v>
      </c>
      <c r="I380" s="1315">
        <f>SUMIFS('12'!$J$7:$J$100,'12'!$H$7:$H$100,$A380,'12'!$I$7:$I$100,"")+SUMIFS('13'!$J$7:$J$100,'13'!$H$7:$H$100,$A380,'13'!$I$7:$I$100,"")+SUMIFS('14'!$J$7:$J$100,'14'!$H$7:$H$100,$A380,'14'!$I$7:$I$100,"")+SUMIFS('15'!$J$7:$J$100,'15'!$H$7:$H$100,$A380,'15'!$I$7:$I$100,"")+SUMIFS('15a'!$J$7:$J$100,'15a'!$H$7:$H$100,$A380,'15a'!$I$7:$I$100,"")+SUMIFS('15b'!$J$7:$J$100,'15b'!$H$7:$H$100,$A380,'15b'!$I$7:$I$100,"")+SUMIFS('15c'!$J$7:$J$100,'15c'!$H$7:$H$100,$A380,'15c'!$I$7:$I$100,"")+SUMIFS('15d'!$J$7:$J$100,'15d'!$H$7:$H$100,$A380,'15d'!$I$7:$I$100,"")+SUMIFS('15e'!$J$7:$J$100,'15e'!$H$7:$H$100,$A380,'15e'!$I$7:$I$100,"")+SUMIFS('15f'!$J$7:$J$100,'15f'!$H$7:$H$100,$A380,'15f'!$I$7:$I$100,"")+SUMIFS('15g'!$J$7:$J$100,'15g'!$H$7:$H$100,$A380,'15g'!$I$7:$I$100,"")+SUMIFS('15h'!$J$7:$J$100,'15h'!$H$7:$H$100,$A380,'15h'!$I$7:$I$100,"")+SUMIFS('15i'!$J$7:$J$100,'15i'!$H$7:$H$100,$A380,'15i'!$I$7:$I$100,"")+SUMIFS('15j'!$J$7:$J$100,'15j'!$H$7:$H$100,$A380,'15j'!$I$7:$I$100,"")+SUMIFS('15k'!$J$7:$J$100,'15k'!$H$7:$H$100,$A380,'15k'!$I$7:$I$100,"")+SUMIFS('15l'!$J$7:$J$100,'15l'!$H$7:$H$100,$A380,'15l'!$I$7:$I$100,"")+SUMIFS('15m'!$J$7:$J$100,'15m'!$H$7:$H$100,$A380,'15m'!$I$7:$I$100,"")+SUMIFS('15n'!$J$7:$J$100,'15n'!$H$7:$H$100,$A380,'15n'!$I$7:$I$100,"")+SUMIFS('16'!$J$7:$J$100,'16'!$H$7:$H$100,$A380,'16'!$I$7:$I$100,"")+SUMIFS('16a'!$J$7:$J$100,'16a'!$H$7:$H$100,$A380,'16a'!$I$7:$I$100,"")+SUMIFS('17'!$J$7:$J$100,'17'!$H$7:$H$100,$A380,'17'!$I$7:$I$100,"")+SUMIFS('17a'!$J$7:$J$100,'17a'!$H$7:$H$100,$A380,'17a'!$I$7:$I$100,"")+SUMIFS('18'!$J$7:$J$100,'18'!$H$7:$H$100,$A380,'18'!$I$7:$I$100,"")+SUMIFS('18a'!$J$7:$J$100,'18a'!$H$7:$H$100,$A380,'18a'!$I$7:$I$100,"")
+SUMIFS('19'!$J$7:$J$100,'19'!$H$7:$H$100,$A380,'19'!$I$7:$I$100,"")+SUMIFS('20'!$J$7:$J$100,'20'!$H$7:$H$100,$A380,'20'!$I$7:$I$100,"")+SUMIFS('20a'!$J$7:$J$100,'20a'!$H$7:$H$100,$A380,'20a'!$I$7:$I$100,"")+SUMIFS('21'!$J$7:$J$100,'21'!$H$7:$H$100,$A380,'21'!$I$7:$I$100,"")+SUMIFS('22'!$J$7:$J$100,'22'!$H$7:$H$100,$A380,'22'!$I$7:$I$100,"")+SUMIFS('22a'!$J$7:$J$100,'22a'!$H$7:$H$100,$A380,'22a'!$I$7:$I$100,"")+SUMIFS('22b'!$J$7:$J$100,'22b'!$H$7:$H$100,$A380,'22b'!$I$7:$I$100,"")+SUMIFS('23'!$J$7:$J$100,'23'!$H$7:$H$100,$A380,'23'!$I$7:$I$100,"")+SUMIFS('24'!$J$7:$J$100,'24'!$H$7:$H$100,$A380,'24'!$I$7:$I$100,"")+SUMIFS('24a'!$J$7:$J$100,'24a'!$H$7:$H$100,$A380,'24a'!$I$7:$I$100,"")+SUMIFS('24b'!$J$7:$J$100,'24b'!$H$7:$H$100,$A380,'24b'!$I$7:$I$100,"")+SUMIFS('24c'!$J$7:$J$100,'24c'!$H$7:$H$100,$A380,'24c'!$I$7:$I$100,"")+SUMIFS('24d'!$J$7:$J$100,'24d'!$H$7:$H$100,$A380,'24d'!$I$7:$I$100,"")+SUMIFS('24e'!$J$7:$J$100,'24e'!$H$7:$H$100,$A380,'24e'!$I$7:$I$100,"")+SUMIFS('24f'!$J$7:$J$100,'24f'!$H$7:$H$100,$A380,'24f'!$I$7:$I$100,"")+SUMIFS('24g'!$J$7:$J$100,'24g'!$H$7:$H$100,$A380,'24g'!$I$7:$I$100,"")+SUMIFS('24h'!$J$7:$J$100,'24h'!$H$7:$H$100,$A380,'24h'!$I$7:$I$100,"")+SUMIFS('24i'!$J$7:$J$100,'24i'!$H$7:$H$100,$A380,'24i'!$I$7:$I$100,"")+SUMIFS('25'!$J$7:$J$100,'25'!$H$7:$H$100,$A380,'25'!$I$7:$I$100,"")+SUMIFS('26'!$J$7:$J$100,'26'!$H$7:$H$100,$A380,'26'!$I$7:$I$100,"")+SUMIFS('26a'!$J$7:$J$100,'26a'!$H$7:$H$100,$A380,'26a'!$I$7:$I$100,"")+SUMIFS('27'!$J$7:$J$100,'27'!$H$7:$H$100,$A380,'27'!$I$7:$I$100,"")+SUMIFS('27a'!$J$7:$J$100,'27a'!$H$7:$H$100,$A380,'27a'!$I$7:$I$100,"")+SUMIFS('28'!$J$7:$J$100,'28'!$H$7:$H$100,$A380,'28'!$I$7:$I$100,"")+SUMIFS('29'!$J$7:$J$100,'29'!$H$7:$H$100,$A380,'29'!$I$7:$I$100,"")</f>
        <v>0</v>
      </c>
      <c r="J380" s="1296">
        <f t="shared" si="56"/>
        <v>0</v>
      </c>
      <c r="K380"/>
      <c r="L380"/>
      <c r="M380"/>
      <c r="N380"/>
      <c r="O380"/>
      <c r="P380"/>
      <c r="Q380"/>
      <c r="R380"/>
      <c r="S380" s="1307">
        <f t="shared" si="48"/>
        <v>0</v>
      </c>
      <c r="T380"/>
    </row>
    <row r="381" spans="1:20" x14ac:dyDescent="0.2">
      <c r="A381" t="s">
        <v>5127</v>
      </c>
      <c r="B381" t="s">
        <v>5550</v>
      </c>
      <c r="C381" s="1295">
        <f>SUMIFS('12'!$N$7:$N$100,'12'!$H$7:$H$100,$A381,'12'!$I$7:$I$100,1)+SUMIFS('13'!$N$7:$N$100,'13'!$H$7:$H$100,$A381,'13'!$I$7:$I$100,1)+SUMIFS('14'!$N$7:$N$100,'14'!$H$7:$H$100,$A381,'14'!$I$7:$I$100,1)+SUMIFS('15'!$N$7:$N$100,'15'!$H$7:$H$100,$A381,'15'!$I$7:$I$100,1)+SUMIFS('15a'!$N$7:$N$100,'15a'!$H$7:$H$100,$A381,'15a'!$I$7:$I$100,1)+SUMIFS('15b'!$N$7:$N$100,'15b'!$H$7:$H$100,$A381,'15b'!$I$7:$I$100,1)+SUMIFS('15c'!$N$7:$N$100,'15c'!$H$7:$H$100,$A381,'15c'!$I$7:$I$100,1)+SUMIFS('15d'!$N$7:$N$100,'15d'!$H$7:$H$100,$A381,'15d'!$I$7:$I$100,1)+SUMIFS('15e'!$N$7:$N$100,'15e'!$H$7:$H$100,$A381,'15e'!$I$7:$I$100,1)+SUMIFS('15f'!$N$7:$N$100,'15f'!$H$7:$H$100,$A381,'15f'!$I$7:$I$100,1)+SUMIFS('15g'!$N$7:$N$100,'15g'!$H$7:$H$100,$A381,'15g'!$I$7:$I$100,1)+SUMIFS('15h'!$N$7:$N$100,'15h'!$H$7:$H$100,$A381,'15h'!$I$7:$I$100,1)+SUMIFS('15i'!$N$7:$N$100,'15i'!$H$7:$H$100,$A381,'15i'!$I$7:$I$100,1)+SUMIFS('15j'!$N$7:$N$100,'15j'!$H$7:$H$100,$A381,'15j'!$I$7:$I$100,1)+SUMIFS('15k'!$N$7:$N$100,'15k'!$H$7:$H$100,$A381,'15k'!$I$7:$I$100,1)+SUMIFS('15l'!$N$7:$N$100,'15l'!$H$7:$H$100,$A381,'15l'!$I$7:$I$100,1)+SUMIFS('15m'!$N$7:$N$100,'15m'!$H$7:$H$100,$A381,'15m'!$I$7:$I$100,1)+SUMIFS('15n'!$N$7:$N$100,'15n'!$H$7:$H$100,$A381,'15n'!$I$7:$I$100,1)+SUMIFS('16'!$N$7:$N$100,'16'!$H$7:$H$100,$A381,'16'!$I$7:$I$100,1)+SUMIFS('16a'!$N$7:$N$100,'16a'!$H$7:$H$100,$A381,'16a'!$I$7:$I$100,1)+SUMIFS('17'!$N$7:$N$100,'17'!$H$7:$H$100,$A381,'17'!$I$7:$I$100,1)+SUMIFS('17a'!$N$7:$N$100,'17a'!$H$7:$H$100,$A381,'17a'!$I$7:$I$100,1)+SUMIFS('18'!$N$7:$N$100,'18'!$H$7:$H$100,$A381,'18'!$I$7:$I$100,1)+SUMIFS('18a'!$N$7:$N$100,'18a'!$H$7:$H$100,$A381,'18a'!$I$7:$I$100,1)
+SUMIFS('19'!$N$7:$N$100,'19'!$H$7:$H$100,$A381,'19'!$I$7:$I$100,1)+SUMIFS('20'!$N$7:$N$100,'20'!$H$7:$H$100,$A381,'20'!$I$7:$I$100,1)+SUMIFS('20a'!$N$7:$N$100,'20a'!$H$7:$H$100,$A381,'20a'!$I$7:$I$100,1)+SUMIFS('21'!$N$7:$N$100,'21'!$H$7:$H$100,$A381,'21'!$I$7:$I$100,1)+SUMIFS('22'!$N$7:$N$100,'22'!$H$7:$H$100,$A381,'22'!$I$7:$I$100,1)+SUMIFS('22a'!$N$7:$N$100,'22a'!$H$7:$H$100,$A381,'22a'!$I$7:$I$100,1)+SUMIFS('22b'!$N$7:$N$100,'22b'!$H$7:$H$100,$A381,'22b'!$I$7:$I$100,1)+SUMIFS('23'!$N$7:$N$100,'23'!$H$7:$H$100,$A381,'23'!$I$7:$I$100,1)+SUMIFS('24'!$N$7:$N$100,'24'!$H$7:$H$100,$A381,'24'!$I$7:$I$100,1)+SUMIFS('24a'!$N$7:$N$100,'24a'!$H$7:$H$100,$A381,'24a'!$I$7:$I$100,1)+SUMIFS('24b'!$N$7:$N$100,'24b'!$H$7:$H$100,$A381,'24b'!$I$7:$I$100,1)+SUMIFS('24c'!$N$7:$N$100,'24c'!$H$7:$H$100,$A381,'24c'!$I$7:$I$100,1)+SUMIFS('24d'!$N$7:$N$100,'24d'!$H$7:$H$100,$A381,'24d'!$I$7:$I$100,1)+SUMIFS('24e'!$N$7:$N$100,'24e'!$H$7:$H$100,$A381,'24e'!$I$7:$I$100,1)+SUMIFS('24f'!$N$7:$N$100,'24f'!$H$7:$H$100,$A381,'24f'!$I$7:$I$100,1)+SUMIFS('24g'!$N$7:$N$100,'24g'!$H$7:$H$100,$A381,'24g'!$I$7:$I$100,1)+SUMIFS('24h'!$N$7:$N$100,'24h'!$H$7:$H$100,$A381,'24h'!$I$7:$I$100,1)+SUMIFS('24i'!$N$7:$N$100,'24i'!$H$7:$H$100,$A381,'24i'!$I$7:$I$100,1)+SUMIFS('25'!$N$7:$N$100,'25'!$H$7:$H$100,$A381,'25'!$I$7:$I$100,1)+SUMIFS('26'!$N$7:$N$100,'26'!$H$7:$H$100,$A381,'26'!$I$7:$I$100,1)+SUMIFS('26a'!$N$7:$N$100,'26a'!$H$7:$H$100,$A381,'26a'!$I$7:$I$100,1)+SUMIFS('27'!$N$7:$N$100,'27'!$H$7:$H$100,$A381,'27'!$I$7:$I$100,1)+SUMIFS('27a'!$N$7:$N$100,'27a'!$H$7:$H$100,$A381,'27a'!$I$7:$I$100,1)+SUMIFS('28'!$N$7:$N$100,'28'!$H$7:$H$100,$A381,'28'!$I$7:$I$100,1)+SUMIFS('29'!$N$7:$N$100,'29'!$H$7:$H$100,$A381,'29'!$I$7:$I$100,1)</f>
        <v>0</v>
      </c>
      <c r="D381" s="1315">
        <f>SUMIFS('12'!$N$7:$N$100,'12'!$H$7:$H$100,$A381,'12'!$I$7:$I$100,2)+SUMIFS('13'!$N$7:$N$100,'13'!$H$7:$H$100,$A381,'13'!$I$7:$I$100,2)+SUMIFS('14'!$N$7:$N$100,'14'!$H$7:$H$100,$A381,'14'!$I$7:$I$100,2)+SUMIFS('15'!$N$7:$N$100,'15'!$H$7:$H$100,$A381,'15'!$I$7:$I$100,2)+SUMIFS('15a'!$N$7:$N$100,'15a'!$H$7:$H$100,$A381,'15a'!$I$7:$I$100,2)+SUMIFS('15b'!$N$7:$N$100,'15b'!$H$7:$H$100,$A381,'15b'!$I$7:$I$100,2)+SUMIFS('15c'!$N$7:$N$100,'15c'!$H$7:$H$100,$A381,'15c'!$I$7:$I$100,2)+SUMIFS('15d'!$N$7:$N$100,'15d'!$H$7:$H$100,$A381,'15d'!$I$7:$I$100,2)+SUMIFS('15e'!$N$7:$N$100,'15e'!$H$7:$H$100,$A381,'15e'!$I$7:$I$100,2)+SUMIFS('15f'!$N$7:$N$100,'15f'!$H$7:$H$100,$A381,'15f'!$I$7:$I$100,2)+SUMIFS('15g'!$N$7:$N$100,'15g'!$H$7:$H$100,$A381,'15g'!$I$7:$I$100,2)+SUMIFS('15h'!$N$7:$N$100,'15h'!$H$7:$H$100,$A381,'15h'!$I$7:$I$100,2)+SUMIFS('15i'!$N$7:$N$100,'15i'!$H$7:$H$100,$A381,'15i'!$I$7:$I$100,2)+SUMIFS('15j'!$N$7:$N$100,'15j'!$H$7:$H$100,$A381,'15j'!$I$7:$I$100,2)+SUMIFS('15k'!$N$7:$N$100,'15k'!$H$7:$H$100,$A381,'15k'!$I$7:$I$100,2)+SUMIFS('15l'!$N$7:$N$100,'15l'!$H$7:$H$100,$A381,'15l'!$I$7:$I$100,2)+SUMIFS('15m'!$N$7:$N$100,'15m'!$H$7:$H$100,$A381,'15m'!$I$7:$I$100,2)+SUMIFS('15n'!$N$7:$N$100,'15n'!$H$7:$H$100,$A381,'15n'!$I$7:$I$100,2)+SUMIFS('16'!$N$7:$N$100,'16'!$H$7:$H$100,$A381,'16'!$I$7:$I$100,2)+SUMIFS('16a'!$N$7:$N$100,'16a'!$H$7:$H$100,$A381,'16a'!$I$7:$I$100,2)+SUMIFS('17'!$N$7:$N$100,'17'!$H$7:$H$100,$A381,'17'!$I$7:$I$100,2)+SUMIFS('17a'!$N$7:$N$100,'17a'!$H$7:$H$100,$A381,'17a'!$I$7:$I$100,2)+SUMIFS('18'!$N$7:$N$100,'18'!$H$7:$H$100,$A381,'18'!$I$7:$I$100,2)+SUMIFS('18a'!$N$7:$N$100,'18a'!$H$7:$H$100,$A381,'18a'!$I$7:$I$100,2)
+SUMIFS('19'!$N$7:$N$100,'19'!$H$7:$H$100,$A381,'19'!$I$7:$I$100,2)+SUMIFS('20'!$N$7:$N$100,'20'!$H$7:$H$100,$A381,'20'!$I$7:$I$100,2)+SUMIFS('20a'!$N$7:$N$100,'20a'!$H$7:$H$100,$A381,'20a'!$I$7:$I$100,2)+SUMIFS('21'!$N$7:$N$100,'21'!$H$7:$H$100,$A381,'21'!$I$7:$I$100,2)+SUMIFS('22'!$N$7:$N$100,'22'!$H$7:$H$100,$A381,'22'!$I$7:$I$100,2)+SUMIFS('22a'!$N$7:$N$100,'22a'!$H$7:$H$100,$A381,'22a'!$I$7:$I$100,2)+SUMIFS('22b'!$N$7:$N$100,'22b'!$H$7:$H$100,$A381,'22b'!$I$7:$I$100,2)+SUMIFS('23'!$N$7:$N$100,'23'!$H$7:$H$100,$A381,'23'!$I$7:$I$100,2)+SUMIFS('24'!$N$7:$N$100,'24'!$H$7:$H$100,$A381,'24'!$I$7:$I$100,2)+SUMIFS('24a'!$N$7:$N$100,'24a'!$H$7:$H$100,$A381,'24a'!$I$7:$I$100,2)+SUMIFS('24b'!$N$7:$N$100,'24b'!$H$7:$H$100,$A381,'24b'!$I$7:$I$100,2)+SUMIFS('24c'!$N$7:$N$100,'24c'!$H$7:$H$100,$A381,'24c'!$I$7:$I$100,2)+SUMIFS('24d'!$N$7:$N$100,'24d'!$H$7:$H$100,$A381,'24d'!$I$7:$I$100,2)+SUMIFS('24e'!$N$7:$N$100,'24e'!$H$7:$H$100,$A381,'24e'!$I$7:$I$100,2)+SUMIFS('24f'!$N$7:$N$100,'24f'!$H$7:$H$100,$A381,'24f'!$I$7:$I$100,2)+SUMIFS('24g'!$N$7:$N$100,'24g'!$H$7:$H$100,$A381,'24g'!$I$7:$I$100,2)+SUMIFS('24h'!$N$7:$N$100,'24h'!$H$7:$H$100,$A381,'24h'!$I$7:$I$100,2)+SUMIFS('24i'!$N$7:$N$100,'24i'!$H$7:$H$100,$A381,'24i'!$I$7:$I$100,2)+SUMIFS('25'!$N$7:$N$100,'25'!$H$7:$H$100,$A381,'25'!$I$7:$I$100,2)+SUMIFS('26'!$N$7:$N$100,'26'!$H$7:$H$100,$A381,'26'!$I$7:$I$100,2)+SUMIFS('26a'!$N$7:$N$100,'26a'!$H$7:$H$100,$A381,'26a'!$I$7:$I$100,2)+SUMIFS('27'!$N$7:$N$100,'27'!$H$7:$H$100,$A381,'27'!$I$7:$I$100,2)+SUMIFS('27a'!$N$7:$N$100,'27a'!$H$7:$H$100,$A381,'27a'!$I$7:$I$100,2)+SUMIFS('28'!$N$7:$N$100,'28'!$H$7:$H$100,$A381,'28'!$I$7:$I$100,2)+SUMIFS('29'!$N$7:$N$100,'29'!$H$7:$H$100,$A381,'29'!$I$7:$I$100,2)</f>
        <v>0</v>
      </c>
      <c r="E381" s="1315">
        <f>SUMIFS('12'!$N$7:$N$100,'12'!$H$7:$H$100,$A381,'12'!$I$7:$I$100,"")+SUMIFS('13'!$N$7:$N$100,'13'!$H$7:$H$100,$A381,'13'!$I$7:$I$100,"")+SUMIFS('14'!$N$7:$N$100,'14'!$H$7:$H$100,$A381,'14'!$I$7:$I$100,"")+SUMIFS('15'!$N$7:$N$100,'15'!$H$7:$H$100,$A381,'15'!$I$7:$I$100,"")+SUMIFS('15a'!$N$7:$N$100,'15a'!$H$7:$H$100,$A381,'15a'!$I$7:$I$100,"")+SUMIFS('15b'!$N$7:$N$100,'15b'!$H$7:$H$100,$A381,'15b'!$I$7:$I$100,"")+SUMIFS('15c'!$N$7:$N$100,'15c'!$H$7:$H$100,$A381,'15c'!$I$7:$I$100,"")+SUMIFS('15d'!$N$7:$N$100,'15d'!$H$7:$H$100,$A381,'15d'!$I$7:$I$100,"")+SUMIFS('15e'!$N$7:$N$100,'15e'!$H$7:$H$100,$A381,'15e'!$I$7:$I$100,"")+SUMIFS('15f'!$N$7:$N$100,'15f'!$H$7:$H$100,$A381,'15f'!$I$7:$I$100,"")+SUMIFS('15g'!$N$7:$N$100,'15g'!$H$7:$H$100,$A381,'15g'!$I$7:$I$100,"")+SUMIFS('15h'!$N$7:$N$100,'15h'!$H$7:$H$100,$A381,'15h'!$I$7:$I$100,"")+SUMIFS('15i'!$N$7:$N$100,'15i'!$H$7:$H$100,$A381,'15i'!$I$7:$I$100,"")+SUMIFS('15j'!$N$7:$N$100,'15j'!$H$7:$H$100,$A381,'15j'!$I$7:$I$100,"")+SUMIFS('15k'!$N$7:$N$100,'15k'!$H$7:$H$100,$A381,'15k'!$I$7:$I$100,"")+SUMIFS('15l'!$N$7:$N$100,'15l'!$H$7:$H$100,$A381,'15l'!$I$7:$I$100,"")+SUMIFS('15m'!$N$7:$N$100,'15m'!$H$7:$H$100,$A381,'15m'!$I$7:$I$100,"")+SUMIFS('15n'!$N$7:$N$100,'15n'!$H$7:$H$100,$A381,'15n'!$I$7:$I$100,"")+SUMIFS('16'!$N$7:$N$100,'16'!$H$7:$H$100,$A381,'16'!$I$7:$I$100,"")+SUMIFS('16a'!$N$7:$N$100,'16a'!$H$7:$H$100,$A381,'16a'!$I$7:$I$100,"")+SUMIFS('17'!$N$7:$N$100,'17'!$H$7:$H$100,$A381,'17'!$I$7:$I$100,"")+SUMIFS('17a'!$N$7:$N$100,'17a'!$H$7:$H$100,$A381,'17a'!$I$7:$I$100,"")+SUMIFS('18'!$N$7:$N$100,'18'!$H$7:$H$100,$A381,'18'!$I$7:$I$100,"")+SUMIFS('18a'!$N$7:$N$100,'18a'!$H$7:$H$100,$A381,'18a'!$I$7:$I$100,"")
+SUMIFS('19'!$N$7:$N$100,'19'!$H$7:$H$100,$A381,'19'!$I$7:$I$100,"")+SUMIFS('20'!$N$7:$N$100,'20'!$H$7:$H$100,$A381,'20'!$I$7:$I$100,"")+SUMIFS('20a'!$N$7:$N$100,'20a'!$H$7:$H$100,$A381,'20a'!$I$7:$I$100,"")+SUMIFS('21'!$N$7:$N$100,'21'!$H$7:$H$100,$A381,'21'!$I$7:$I$100,"")+SUMIFS('22'!$N$7:$N$100,'22'!$H$7:$H$100,$A381,'22'!$I$7:$I$100,"")+SUMIFS('22a'!$N$7:$N$100,'22a'!$H$7:$H$100,$A381,'22a'!$I$7:$I$100,"")+SUMIFS('22b'!$N$7:$N$100,'22b'!$H$7:$H$100,$A381,'22b'!$I$7:$I$100,"")+SUMIFS('23'!$N$7:$N$100,'23'!$H$7:$H$100,$A381,'23'!$I$7:$I$100,"")+SUMIFS('24'!$N$7:$N$100,'24'!$H$7:$H$100,$A381,'24'!$I$7:$I$100,"")+SUMIFS('24a'!$N$7:$N$100,'24a'!$H$7:$H$100,$A381,'24a'!$I$7:$I$100,"")+SUMIFS('24b'!$N$7:$N$100,'24b'!$H$7:$H$100,$A381,'24b'!$I$7:$I$100,"")+SUMIFS('24c'!$N$7:$N$100,'24c'!$H$7:$H$100,$A381,'24c'!$I$7:$I$100,"")+SUMIFS('24d'!$N$7:$N$100,'24d'!$H$7:$H$100,$A381,'24d'!$I$7:$I$100,"")+SUMIFS('24e'!$N$7:$N$100,'24e'!$H$7:$H$100,$A381,'24e'!$I$7:$I$100,"")+SUMIFS('24f'!$N$7:$N$100,'24f'!$H$7:$H$100,$A381,'24f'!$I$7:$I$100,"")+SUMIFS('24g'!$N$7:$N$100,'24g'!$H$7:$H$100,$A381,'24g'!$I$7:$I$100,"")+SUMIFS('24h'!$N$7:$N$100,'24h'!$H$7:$H$100,$A381,'24h'!$I$7:$I$100,"")+SUMIFS('24i'!$N$7:$N$100,'24i'!$H$7:$H$100,$A381,'24i'!$I$7:$I$100,"")+SUMIFS('25'!$N$7:$N$100,'25'!$H$7:$H$100,$A381,'25'!$I$7:$I$100,"")+SUMIFS('26'!$N$7:$N$100,'26'!$H$7:$H$100,$A381,'26'!$I$7:$I$100,"")+SUMIFS('26a'!$N$7:$N$100,'26a'!$H$7:$H$100,$A381,'26a'!$I$7:$I$100,"")+SUMIFS('27'!$N$7:$N$100,'27'!$H$7:$H$100,$A381,'27'!$I$7:$I$100,"")+SUMIFS('27a'!$N$7:$N$100,'27a'!$H$7:$H$100,$A381,'27a'!$I$7:$I$100,"")+SUMIFS('28'!$N$7:$N$100,'28'!$H$7:$H$100,$A381,'28'!$I$7:$I$100,"")+SUMIFS('29'!$N$7:$N$100,'29'!$H$7:$H$100,$A381,'29'!$I$7:$I$100,"")</f>
        <v>0</v>
      </c>
      <c r="F381" s="1296">
        <f t="shared" si="55"/>
        <v>0</v>
      </c>
      <c r="G381" s="1295">
        <f>SUMIFS('12'!$J$7:$J$100,'12'!$H$7:$H$100,$A381,'12'!$I$7:$I$100,1)+SUMIFS('13'!$J$7:$J$100,'13'!$H$7:$H$100,$A381,'13'!$I$7:$I$100,1)+SUMIFS('14'!$J$7:$J$100,'14'!$H$7:$H$100,$A381,'14'!$I$7:$I$100,1)+SUMIFS('15'!$J$7:$J$100,'15'!$H$7:$H$100,$A381,'15'!$I$7:$I$100,1)+SUMIFS('15a'!$J$7:$J$100,'15a'!$H$7:$H$100,$A381,'15a'!$I$7:$I$100,1)+SUMIFS('15b'!$J$7:$J$100,'15b'!$H$7:$H$100,$A381,'15b'!$I$7:$I$100,1)+SUMIFS('15c'!$J$7:$J$100,'15c'!$H$7:$H$100,$A381,'15c'!$I$7:$I$100,1)+SUMIFS('15d'!$J$7:$J$100,'15d'!$H$7:$H$100,$A381,'15d'!$I$7:$I$100,1)+SUMIFS('15e'!$J$7:$J$100,'15e'!$H$7:$H$100,$A381,'15e'!$I$7:$I$100,1)+SUMIFS('15f'!$J$7:$J$100,'15f'!$H$7:$H$100,$A381,'15f'!$I$7:$I$100,1)+SUMIFS('15g'!$J$7:$J$100,'15g'!$H$7:$H$100,$A381,'15g'!$I$7:$I$100,1)+SUMIFS('15h'!$J$7:$J$100,'15h'!$H$7:$H$100,$A381,'15h'!$I$7:$I$100,1)+SUMIFS('15i'!$J$7:$J$100,'15i'!$H$7:$H$100,$A381,'15i'!$I$7:$I$100,1)+SUMIFS('15j'!$J$7:$J$100,'15j'!$H$7:$H$100,$A381,'15j'!$I$7:$I$100,1)+SUMIFS('15k'!$J$7:$J$100,'15k'!$H$7:$H$100,$A381,'15k'!$I$7:$I$100,1)+SUMIFS('15l'!$J$7:$J$100,'15l'!$H$7:$H$100,$A381,'15l'!$I$7:$I$100,1)+SUMIFS('15m'!$J$7:$J$100,'15m'!$H$7:$H$100,$A381,'15m'!$I$7:$I$100,1)+SUMIFS('15n'!$J$7:$J$100,'15n'!$H$7:$H$100,$A381,'15n'!$I$7:$I$100,1)+SUMIFS('16'!$J$7:$J$100,'16'!$H$7:$H$100,$A381,'16'!$I$7:$I$100,1)+SUMIFS('16a'!$J$7:$J$100,'16a'!$H$7:$H$100,$A381,'16a'!$I$7:$I$100,1)+SUMIFS('17'!$J$7:$J$100,'17'!$H$7:$H$100,$A381,'17'!$I$7:$I$100,1)+SUMIFS('17a'!$J$7:$J$100,'17a'!$H$7:$H$100,$A381,'17a'!$I$7:$I$100,1)+SUMIFS('18'!$J$7:$J$100,'18'!$H$7:$H$100,$A381,'18'!$I$7:$I$100,1)+SUMIFS('18a'!$J$7:$J$100,'18a'!$H$7:$H$100,$A381,'18a'!$I$7:$I$100,1)
+SUMIFS('19'!$J$7:$J$100,'19'!$H$7:$H$100,$A381,'19'!$I$7:$I$100,1)+SUMIFS('20'!$J$7:$J$100,'20'!$H$7:$H$100,$A381,'20'!$I$7:$I$100,1)+SUMIFS('20a'!$J$7:$J$100,'20a'!$H$7:$H$100,$A381,'20a'!$I$7:$I$100,1)+SUMIFS('21'!$J$7:$J$100,'21'!$H$7:$H$100,$A381,'21'!$I$7:$I$100,1)+SUMIFS('22'!$J$7:$J$100,'22'!$H$7:$H$100,$A381,'22'!$I$7:$I$100,1)+SUMIFS('22a'!$J$7:$J$100,'22a'!$H$7:$H$100,$A381,'22a'!$I$7:$I$100,1)+SUMIFS('22b'!$J$7:$J$100,'22b'!$H$7:$H$100,$A381,'22b'!$I$7:$I$100,1)+SUMIFS('23'!$J$7:$J$100,'23'!$H$7:$H$100,$A381,'23'!$I$7:$I$100,1)+SUMIFS('24'!$J$7:$J$100,'24'!$H$7:$H$100,$A381,'24'!$I$7:$I$100,1)+SUMIFS('24a'!$J$7:$J$100,'24a'!$H$7:$H$100,$A381,'24a'!$I$7:$I$100,1)+SUMIFS('24b'!$J$7:$J$100,'24b'!$H$7:$H$100,$A381,'24b'!$I$7:$I$100,1)+SUMIFS('24c'!$J$7:$J$100,'24c'!$H$7:$H$100,$A381,'24c'!$I$7:$I$100,1)+SUMIFS('24d'!$J$7:$J$100,'24d'!$H$7:$H$100,$A381,'24d'!$I$7:$I$100,1)+SUMIFS('24e'!$J$7:$J$100,'24e'!$H$7:$H$100,$A381,'24e'!$I$7:$I$100,1)+SUMIFS('24f'!$J$7:$J$100,'24f'!$H$7:$H$100,$A381,'24f'!$I$7:$I$100,1)+SUMIFS('24g'!$J$7:$J$100,'24g'!$H$7:$H$100,$A381,'24g'!$I$7:$I$100,1)+SUMIFS('24h'!$J$7:$J$100,'24h'!$H$7:$H$100,$A381,'24h'!$I$7:$I$100,1)+SUMIFS('24i'!$J$7:$J$100,'24i'!$H$7:$H$100,$A381,'24i'!$I$7:$I$100,1)+SUMIFS('25'!$J$7:$J$100,'25'!$H$7:$H$100,$A381,'25'!$I$7:$I$100,1)+SUMIFS('26'!$J$7:$J$100,'26'!$H$7:$H$100,$A381,'26'!$I$7:$I$100,1)+SUMIFS('26a'!$J$7:$J$100,'26a'!$H$7:$H$100,$A381,'26a'!$I$7:$I$100,1)+SUMIFS('27'!$J$7:$J$100,'27'!$H$7:$H$100,$A381,'27'!$I$7:$I$100,1)+SUMIFS('27a'!$J$7:$J$100,'27a'!$H$7:$H$100,$A381,'27a'!$I$7:$I$100,1)+SUMIFS('28'!$J$7:$J$100,'28'!$H$7:$H$100,$A381,'28'!$I$7:$I$100,1)+SUMIFS('29'!$J$7:$J$100,'29'!$H$7:$H$100,$A381,'29'!$I$7:$I$100,1)</f>
        <v>0</v>
      </c>
      <c r="H381" s="1315">
        <f>SUMIFS('12'!$J$7:$J$100,'12'!$H$7:$H$100,$A381,'12'!$I$7:$I$100,2)+SUMIFS('13'!$J$7:$J$100,'13'!$H$7:$H$100,$A381,'13'!$I$7:$I$100,2)+SUMIFS('14'!$J$7:$J$100,'14'!$H$7:$H$100,$A381,'14'!$I$7:$I$100,2)+SUMIFS('15'!$J$7:$J$100,'15'!$H$7:$H$100,$A381,'15'!$I$7:$I$100,2)+SUMIFS('15a'!$J$7:$J$100,'15a'!$H$7:$H$100,$A381,'15a'!$I$7:$I$100,2)+SUMIFS('15b'!$J$7:$J$100,'15b'!$H$7:$H$100,$A381,'15b'!$I$7:$I$100,2)+SUMIFS('15c'!$J$7:$J$100,'15c'!$H$7:$H$100,$A381,'15c'!$I$7:$I$100,2)+SUMIFS('15d'!$J$7:$J$100,'15d'!$H$7:$H$100,$A381,'15d'!$I$7:$I$100,2)+SUMIFS('15e'!$J$7:$J$100,'15e'!$H$7:$H$100,$A381,'15e'!$I$7:$I$100,2)+SUMIFS('15f'!$J$7:$J$100,'15f'!$H$7:$H$100,$A381,'15f'!$I$7:$I$100,2)+SUMIFS('15g'!$J$7:$J$100,'15g'!$H$7:$H$100,$A381,'15g'!$I$7:$I$100,2)+SUMIFS('15h'!$J$7:$J$100,'15h'!$H$7:$H$100,$A381,'15h'!$I$7:$I$100,2)+SUMIFS('15i'!$J$7:$J$100,'15i'!$H$7:$H$100,$A381,'15i'!$I$7:$I$100,2)+SUMIFS('15j'!$J$7:$J$100,'15j'!$H$7:$H$100,$A381,'15j'!$I$7:$I$100,2)+SUMIFS('15k'!$J$7:$J$100,'15k'!$H$7:$H$100,$A381,'15k'!$I$7:$I$100,2)+SUMIFS('15l'!$J$7:$J$100,'15l'!$H$7:$H$100,$A381,'15l'!$I$7:$I$100,2)+SUMIFS('15m'!$J$7:$J$100,'15m'!$H$7:$H$100,$A381,'15m'!$I$7:$I$100,2)+SUMIFS('15n'!$J$7:$J$100,'15n'!$H$7:$H$100,$A381,'15n'!$I$7:$I$100,2)+SUMIFS('16'!$J$7:$J$100,'16'!$H$7:$H$100,$A381,'16'!$I$7:$I$100,2)+SUMIFS('16a'!$J$7:$J$100,'16a'!$H$7:$H$100,$A381,'16a'!$I$7:$I$100,2)+SUMIFS('17'!$J$7:$J$100,'17'!$H$7:$H$100,$A381,'17'!$I$7:$I$100,2)+SUMIFS('17a'!$J$7:$J$100,'17a'!$H$7:$H$100,$A381,'17a'!$I$7:$I$100,2)+SUMIFS('18'!$J$7:$J$100,'18'!$H$7:$H$100,$A381,'18'!$I$7:$I$100,2)+SUMIFS('18a'!$J$7:$J$100,'18a'!$H$7:$H$100,$A381,'18a'!$I$7:$I$100,2)
+SUMIFS('19'!$J$7:$J$100,'19'!$H$7:$H$100,$A381,'19'!$I$7:$I$100,2)+SUMIFS('20'!$J$7:$J$100,'20'!$H$7:$H$100,$A381,'20'!$I$7:$I$100,2)+SUMIFS('20a'!$J$7:$J$100,'20a'!$H$7:$H$100,$A381,'20a'!$I$7:$I$100,2)+SUMIFS('21'!$J$7:$J$100,'21'!$H$7:$H$100,$A381,'21'!$I$7:$I$100,2)+SUMIFS('22'!$J$7:$J$100,'22'!$H$7:$H$100,$A381,'22'!$I$7:$I$100,2)+SUMIFS('22a'!$J$7:$J$100,'22a'!$H$7:$H$100,$A381,'22a'!$I$7:$I$100,2)+SUMIFS('22b'!$J$7:$J$100,'22b'!$H$7:$H$100,$A381,'22b'!$I$7:$I$100,2)+SUMIFS('23'!$J$7:$J$100,'23'!$H$7:$H$100,$A381,'23'!$I$7:$I$100,2)+SUMIFS('24'!$J$7:$J$100,'24'!$H$7:$H$100,$A381,'24'!$I$7:$I$100,2)+SUMIFS('24a'!$J$7:$J$100,'24a'!$H$7:$H$100,$A381,'24a'!$I$7:$I$100,2)+SUMIFS('24b'!$J$7:$J$100,'24b'!$H$7:$H$100,$A381,'24b'!$I$7:$I$100,2)+SUMIFS('24c'!$J$7:$J$100,'24c'!$H$7:$H$100,$A381,'24c'!$I$7:$I$100,2)+SUMIFS('24d'!$J$7:$J$100,'24d'!$H$7:$H$100,$A381,'24d'!$I$7:$I$100,2)+SUMIFS('24e'!$J$7:$J$100,'24e'!$H$7:$H$100,$A381,'24e'!$I$7:$I$100,2)+SUMIFS('24f'!$J$7:$J$100,'24f'!$H$7:$H$100,$A381,'24f'!$I$7:$I$100,2)+SUMIFS('24g'!$J$7:$J$100,'24g'!$H$7:$H$100,$A381,'24g'!$I$7:$I$100,2)+SUMIFS('24h'!$J$7:$J$100,'24h'!$H$7:$H$100,$A381,'24h'!$I$7:$I$100,2)+SUMIFS('24i'!$J$7:$J$100,'24i'!$H$7:$H$100,$A381,'24i'!$I$7:$I$100,2)+SUMIFS('25'!$J$7:$J$100,'25'!$H$7:$H$100,$A381,'25'!$I$7:$I$100,2)+SUMIFS('26'!$J$7:$J$100,'26'!$H$7:$H$100,$A381,'26'!$I$7:$I$100,2)+SUMIFS('26a'!$J$7:$J$100,'26a'!$H$7:$H$100,$A381,'26a'!$I$7:$I$100,2)+SUMIFS('27'!$J$7:$J$100,'27'!$H$7:$H$100,$A381,'27'!$I$7:$I$100,2)+SUMIFS('27a'!$J$7:$J$100,'27a'!$H$7:$H$100,$A381,'27a'!$I$7:$I$100,2)+SUMIFS('28'!$J$7:$J$100,'28'!$H$7:$H$100,$A381,'28'!$I$7:$I$100,2)+SUMIFS('29'!$J$7:$J$100,'29'!$H$7:$H$100,$A381,'29'!$I$7:$I$100,2)</f>
        <v>0</v>
      </c>
      <c r="I381" s="1315">
        <f>SUMIFS('12'!$J$7:$J$100,'12'!$H$7:$H$100,$A381,'12'!$I$7:$I$100,"")+SUMIFS('13'!$J$7:$J$100,'13'!$H$7:$H$100,$A381,'13'!$I$7:$I$100,"")+SUMIFS('14'!$J$7:$J$100,'14'!$H$7:$H$100,$A381,'14'!$I$7:$I$100,"")+SUMIFS('15'!$J$7:$J$100,'15'!$H$7:$H$100,$A381,'15'!$I$7:$I$100,"")+SUMIFS('15a'!$J$7:$J$100,'15a'!$H$7:$H$100,$A381,'15a'!$I$7:$I$100,"")+SUMIFS('15b'!$J$7:$J$100,'15b'!$H$7:$H$100,$A381,'15b'!$I$7:$I$100,"")+SUMIFS('15c'!$J$7:$J$100,'15c'!$H$7:$H$100,$A381,'15c'!$I$7:$I$100,"")+SUMIFS('15d'!$J$7:$J$100,'15d'!$H$7:$H$100,$A381,'15d'!$I$7:$I$100,"")+SUMIFS('15e'!$J$7:$J$100,'15e'!$H$7:$H$100,$A381,'15e'!$I$7:$I$100,"")+SUMIFS('15f'!$J$7:$J$100,'15f'!$H$7:$H$100,$A381,'15f'!$I$7:$I$100,"")+SUMIFS('15g'!$J$7:$J$100,'15g'!$H$7:$H$100,$A381,'15g'!$I$7:$I$100,"")+SUMIFS('15h'!$J$7:$J$100,'15h'!$H$7:$H$100,$A381,'15h'!$I$7:$I$100,"")+SUMIFS('15i'!$J$7:$J$100,'15i'!$H$7:$H$100,$A381,'15i'!$I$7:$I$100,"")+SUMIFS('15j'!$J$7:$J$100,'15j'!$H$7:$H$100,$A381,'15j'!$I$7:$I$100,"")+SUMIFS('15k'!$J$7:$J$100,'15k'!$H$7:$H$100,$A381,'15k'!$I$7:$I$100,"")+SUMIFS('15l'!$J$7:$J$100,'15l'!$H$7:$H$100,$A381,'15l'!$I$7:$I$100,"")+SUMIFS('15m'!$J$7:$J$100,'15m'!$H$7:$H$100,$A381,'15m'!$I$7:$I$100,"")+SUMIFS('15n'!$J$7:$J$100,'15n'!$H$7:$H$100,$A381,'15n'!$I$7:$I$100,"")+SUMIFS('16'!$J$7:$J$100,'16'!$H$7:$H$100,$A381,'16'!$I$7:$I$100,"")+SUMIFS('16a'!$J$7:$J$100,'16a'!$H$7:$H$100,$A381,'16a'!$I$7:$I$100,"")+SUMIFS('17'!$J$7:$J$100,'17'!$H$7:$H$100,$A381,'17'!$I$7:$I$100,"")+SUMIFS('17a'!$J$7:$J$100,'17a'!$H$7:$H$100,$A381,'17a'!$I$7:$I$100,"")+SUMIFS('18'!$J$7:$J$100,'18'!$H$7:$H$100,$A381,'18'!$I$7:$I$100,"")+SUMIFS('18a'!$J$7:$J$100,'18a'!$H$7:$H$100,$A381,'18a'!$I$7:$I$100,"")
+SUMIFS('19'!$J$7:$J$100,'19'!$H$7:$H$100,$A381,'19'!$I$7:$I$100,"")+SUMIFS('20'!$J$7:$J$100,'20'!$H$7:$H$100,$A381,'20'!$I$7:$I$100,"")+SUMIFS('20a'!$J$7:$J$100,'20a'!$H$7:$H$100,$A381,'20a'!$I$7:$I$100,"")+SUMIFS('21'!$J$7:$J$100,'21'!$H$7:$H$100,$A381,'21'!$I$7:$I$100,"")+SUMIFS('22'!$J$7:$J$100,'22'!$H$7:$H$100,$A381,'22'!$I$7:$I$100,"")+SUMIFS('22a'!$J$7:$J$100,'22a'!$H$7:$H$100,$A381,'22a'!$I$7:$I$100,"")+SUMIFS('22b'!$J$7:$J$100,'22b'!$H$7:$H$100,$A381,'22b'!$I$7:$I$100,"")+SUMIFS('23'!$J$7:$J$100,'23'!$H$7:$H$100,$A381,'23'!$I$7:$I$100,"")+SUMIFS('24'!$J$7:$J$100,'24'!$H$7:$H$100,$A381,'24'!$I$7:$I$100,"")+SUMIFS('24a'!$J$7:$J$100,'24a'!$H$7:$H$100,$A381,'24a'!$I$7:$I$100,"")+SUMIFS('24b'!$J$7:$J$100,'24b'!$H$7:$H$100,$A381,'24b'!$I$7:$I$100,"")+SUMIFS('24c'!$J$7:$J$100,'24c'!$H$7:$H$100,$A381,'24c'!$I$7:$I$100,"")+SUMIFS('24d'!$J$7:$J$100,'24d'!$H$7:$H$100,$A381,'24d'!$I$7:$I$100,"")+SUMIFS('24e'!$J$7:$J$100,'24e'!$H$7:$H$100,$A381,'24e'!$I$7:$I$100,"")+SUMIFS('24f'!$J$7:$J$100,'24f'!$H$7:$H$100,$A381,'24f'!$I$7:$I$100,"")+SUMIFS('24g'!$J$7:$J$100,'24g'!$H$7:$H$100,$A381,'24g'!$I$7:$I$100,"")+SUMIFS('24h'!$J$7:$J$100,'24h'!$H$7:$H$100,$A381,'24h'!$I$7:$I$100,"")+SUMIFS('24i'!$J$7:$J$100,'24i'!$H$7:$H$100,$A381,'24i'!$I$7:$I$100,"")+SUMIFS('25'!$J$7:$J$100,'25'!$H$7:$H$100,$A381,'25'!$I$7:$I$100,"")+SUMIFS('26'!$J$7:$J$100,'26'!$H$7:$H$100,$A381,'26'!$I$7:$I$100,"")+SUMIFS('26a'!$J$7:$J$100,'26a'!$H$7:$H$100,$A381,'26a'!$I$7:$I$100,"")+SUMIFS('27'!$J$7:$J$100,'27'!$H$7:$H$100,$A381,'27'!$I$7:$I$100,"")+SUMIFS('27a'!$J$7:$J$100,'27a'!$H$7:$H$100,$A381,'27a'!$I$7:$I$100,"")+SUMIFS('28'!$J$7:$J$100,'28'!$H$7:$H$100,$A381,'28'!$I$7:$I$100,"")+SUMIFS('29'!$J$7:$J$100,'29'!$H$7:$H$100,$A381,'29'!$I$7:$I$100,"")</f>
        <v>0</v>
      </c>
      <c r="J381" s="1296">
        <f t="shared" si="56"/>
        <v>0</v>
      </c>
      <c r="K381"/>
      <c r="L381"/>
      <c r="M381"/>
      <c r="N381"/>
      <c r="O381"/>
      <c r="P381"/>
      <c r="Q381"/>
      <c r="R381"/>
      <c r="S381" s="1307">
        <f t="shared" si="48"/>
        <v>0</v>
      </c>
      <c r="T381"/>
    </row>
    <row r="382" spans="1:20" x14ac:dyDescent="0.2">
      <c r="A382" t="s">
        <v>5129</v>
      </c>
      <c r="B382" t="s">
        <v>5406</v>
      </c>
      <c r="C382" s="1295">
        <f>SUMIFS('12'!$N$7:$N$100,'12'!$H$7:$H$100,$A382,'12'!$I$7:$I$100,1)+SUMIFS('13'!$N$7:$N$100,'13'!$H$7:$H$100,$A382,'13'!$I$7:$I$100,1)+SUMIFS('14'!$N$7:$N$100,'14'!$H$7:$H$100,$A382,'14'!$I$7:$I$100,1)+SUMIFS('15'!$N$7:$N$100,'15'!$H$7:$H$100,$A382,'15'!$I$7:$I$100,1)+SUMIFS('15a'!$N$7:$N$100,'15a'!$H$7:$H$100,$A382,'15a'!$I$7:$I$100,1)+SUMIFS('15b'!$N$7:$N$100,'15b'!$H$7:$H$100,$A382,'15b'!$I$7:$I$100,1)+SUMIFS('15c'!$N$7:$N$100,'15c'!$H$7:$H$100,$A382,'15c'!$I$7:$I$100,1)+SUMIFS('15d'!$N$7:$N$100,'15d'!$H$7:$H$100,$A382,'15d'!$I$7:$I$100,1)+SUMIFS('15e'!$N$7:$N$100,'15e'!$H$7:$H$100,$A382,'15e'!$I$7:$I$100,1)+SUMIFS('15f'!$N$7:$N$100,'15f'!$H$7:$H$100,$A382,'15f'!$I$7:$I$100,1)+SUMIFS('15g'!$N$7:$N$100,'15g'!$H$7:$H$100,$A382,'15g'!$I$7:$I$100,1)+SUMIFS('15h'!$N$7:$N$100,'15h'!$H$7:$H$100,$A382,'15h'!$I$7:$I$100,1)+SUMIFS('15i'!$N$7:$N$100,'15i'!$H$7:$H$100,$A382,'15i'!$I$7:$I$100,1)+SUMIFS('15j'!$N$7:$N$100,'15j'!$H$7:$H$100,$A382,'15j'!$I$7:$I$100,1)+SUMIFS('15k'!$N$7:$N$100,'15k'!$H$7:$H$100,$A382,'15k'!$I$7:$I$100,1)+SUMIFS('15l'!$N$7:$N$100,'15l'!$H$7:$H$100,$A382,'15l'!$I$7:$I$100,1)+SUMIFS('15m'!$N$7:$N$100,'15m'!$H$7:$H$100,$A382,'15m'!$I$7:$I$100,1)+SUMIFS('15n'!$N$7:$N$100,'15n'!$H$7:$H$100,$A382,'15n'!$I$7:$I$100,1)+SUMIFS('16'!$N$7:$N$100,'16'!$H$7:$H$100,$A382,'16'!$I$7:$I$100,1)+SUMIFS('16a'!$N$7:$N$100,'16a'!$H$7:$H$100,$A382,'16a'!$I$7:$I$100,1)+SUMIFS('17'!$N$7:$N$100,'17'!$H$7:$H$100,$A382,'17'!$I$7:$I$100,1)+SUMIFS('17a'!$N$7:$N$100,'17a'!$H$7:$H$100,$A382,'17a'!$I$7:$I$100,1)+SUMIFS('18'!$N$7:$N$100,'18'!$H$7:$H$100,$A382,'18'!$I$7:$I$100,1)+SUMIFS('18a'!$N$7:$N$100,'18a'!$H$7:$H$100,$A382,'18a'!$I$7:$I$100,1)
+SUMIFS('19'!$N$7:$N$100,'19'!$H$7:$H$100,$A382,'19'!$I$7:$I$100,1)+SUMIFS('20'!$N$7:$N$100,'20'!$H$7:$H$100,$A382,'20'!$I$7:$I$100,1)+SUMIFS('20a'!$N$7:$N$100,'20a'!$H$7:$H$100,$A382,'20a'!$I$7:$I$100,1)+SUMIFS('21'!$N$7:$N$100,'21'!$H$7:$H$100,$A382,'21'!$I$7:$I$100,1)+SUMIFS('22'!$N$7:$N$100,'22'!$H$7:$H$100,$A382,'22'!$I$7:$I$100,1)+SUMIFS('22a'!$N$7:$N$100,'22a'!$H$7:$H$100,$A382,'22a'!$I$7:$I$100,1)+SUMIFS('22b'!$N$7:$N$100,'22b'!$H$7:$H$100,$A382,'22b'!$I$7:$I$100,1)+SUMIFS('23'!$N$7:$N$100,'23'!$H$7:$H$100,$A382,'23'!$I$7:$I$100,1)+SUMIFS('24'!$N$7:$N$100,'24'!$H$7:$H$100,$A382,'24'!$I$7:$I$100,1)+SUMIFS('24a'!$N$7:$N$100,'24a'!$H$7:$H$100,$A382,'24a'!$I$7:$I$100,1)+SUMIFS('24b'!$N$7:$N$100,'24b'!$H$7:$H$100,$A382,'24b'!$I$7:$I$100,1)+SUMIFS('24c'!$N$7:$N$100,'24c'!$H$7:$H$100,$A382,'24c'!$I$7:$I$100,1)+SUMIFS('24d'!$N$7:$N$100,'24d'!$H$7:$H$100,$A382,'24d'!$I$7:$I$100,1)+SUMIFS('24e'!$N$7:$N$100,'24e'!$H$7:$H$100,$A382,'24e'!$I$7:$I$100,1)+SUMIFS('24f'!$N$7:$N$100,'24f'!$H$7:$H$100,$A382,'24f'!$I$7:$I$100,1)+SUMIFS('24g'!$N$7:$N$100,'24g'!$H$7:$H$100,$A382,'24g'!$I$7:$I$100,1)+SUMIFS('24h'!$N$7:$N$100,'24h'!$H$7:$H$100,$A382,'24h'!$I$7:$I$100,1)+SUMIFS('24i'!$N$7:$N$100,'24i'!$H$7:$H$100,$A382,'24i'!$I$7:$I$100,1)+SUMIFS('25'!$N$7:$N$100,'25'!$H$7:$H$100,$A382,'25'!$I$7:$I$100,1)+SUMIFS('26'!$N$7:$N$100,'26'!$H$7:$H$100,$A382,'26'!$I$7:$I$100,1)+SUMIFS('26a'!$N$7:$N$100,'26a'!$H$7:$H$100,$A382,'26a'!$I$7:$I$100,1)+SUMIFS('27'!$N$7:$N$100,'27'!$H$7:$H$100,$A382,'27'!$I$7:$I$100,1)+SUMIFS('27a'!$N$7:$N$100,'27a'!$H$7:$H$100,$A382,'27a'!$I$7:$I$100,1)+SUMIFS('28'!$N$7:$N$100,'28'!$H$7:$H$100,$A382,'28'!$I$7:$I$100,1)+SUMIFS('29'!$N$7:$N$100,'29'!$H$7:$H$100,$A382,'29'!$I$7:$I$100,1)</f>
        <v>0</v>
      </c>
      <c r="D382" s="1315">
        <f>SUMIFS('12'!$N$7:$N$100,'12'!$H$7:$H$100,$A382,'12'!$I$7:$I$100,2)+SUMIFS('13'!$N$7:$N$100,'13'!$H$7:$H$100,$A382,'13'!$I$7:$I$100,2)+SUMIFS('14'!$N$7:$N$100,'14'!$H$7:$H$100,$A382,'14'!$I$7:$I$100,2)+SUMIFS('15'!$N$7:$N$100,'15'!$H$7:$H$100,$A382,'15'!$I$7:$I$100,2)+SUMIFS('15a'!$N$7:$N$100,'15a'!$H$7:$H$100,$A382,'15a'!$I$7:$I$100,2)+SUMIFS('15b'!$N$7:$N$100,'15b'!$H$7:$H$100,$A382,'15b'!$I$7:$I$100,2)+SUMIFS('15c'!$N$7:$N$100,'15c'!$H$7:$H$100,$A382,'15c'!$I$7:$I$100,2)+SUMIFS('15d'!$N$7:$N$100,'15d'!$H$7:$H$100,$A382,'15d'!$I$7:$I$100,2)+SUMIFS('15e'!$N$7:$N$100,'15e'!$H$7:$H$100,$A382,'15e'!$I$7:$I$100,2)+SUMIFS('15f'!$N$7:$N$100,'15f'!$H$7:$H$100,$A382,'15f'!$I$7:$I$100,2)+SUMIFS('15g'!$N$7:$N$100,'15g'!$H$7:$H$100,$A382,'15g'!$I$7:$I$100,2)+SUMIFS('15h'!$N$7:$N$100,'15h'!$H$7:$H$100,$A382,'15h'!$I$7:$I$100,2)+SUMIFS('15i'!$N$7:$N$100,'15i'!$H$7:$H$100,$A382,'15i'!$I$7:$I$100,2)+SUMIFS('15j'!$N$7:$N$100,'15j'!$H$7:$H$100,$A382,'15j'!$I$7:$I$100,2)+SUMIFS('15k'!$N$7:$N$100,'15k'!$H$7:$H$100,$A382,'15k'!$I$7:$I$100,2)+SUMIFS('15l'!$N$7:$N$100,'15l'!$H$7:$H$100,$A382,'15l'!$I$7:$I$100,2)+SUMIFS('15m'!$N$7:$N$100,'15m'!$H$7:$H$100,$A382,'15m'!$I$7:$I$100,2)+SUMIFS('15n'!$N$7:$N$100,'15n'!$H$7:$H$100,$A382,'15n'!$I$7:$I$100,2)+SUMIFS('16'!$N$7:$N$100,'16'!$H$7:$H$100,$A382,'16'!$I$7:$I$100,2)+SUMIFS('16a'!$N$7:$N$100,'16a'!$H$7:$H$100,$A382,'16a'!$I$7:$I$100,2)+SUMIFS('17'!$N$7:$N$100,'17'!$H$7:$H$100,$A382,'17'!$I$7:$I$100,2)+SUMIFS('17a'!$N$7:$N$100,'17a'!$H$7:$H$100,$A382,'17a'!$I$7:$I$100,2)+SUMIFS('18'!$N$7:$N$100,'18'!$H$7:$H$100,$A382,'18'!$I$7:$I$100,2)+SUMIFS('18a'!$N$7:$N$100,'18a'!$H$7:$H$100,$A382,'18a'!$I$7:$I$100,2)
+SUMIFS('19'!$N$7:$N$100,'19'!$H$7:$H$100,$A382,'19'!$I$7:$I$100,2)+SUMIFS('20'!$N$7:$N$100,'20'!$H$7:$H$100,$A382,'20'!$I$7:$I$100,2)+SUMIFS('20a'!$N$7:$N$100,'20a'!$H$7:$H$100,$A382,'20a'!$I$7:$I$100,2)+SUMIFS('21'!$N$7:$N$100,'21'!$H$7:$H$100,$A382,'21'!$I$7:$I$100,2)+SUMIFS('22'!$N$7:$N$100,'22'!$H$7:$H$100,$A382,'22'!$I$7:$I$100,2)+SUMIFS('22a'!$N$7:$N$100,'22a'!$H$7:$H$100,$A382,'22a'!$I$7:$I$100,2)+SUMIFS('22b'!$N$7:$N$100,'22b'!$H$7:$H$100,$A382,'22b'!$I$7:$I$100,2)+SUMIFS('23'!$N$7:$N$100,'23'!$H$7:$H$100,$A382,'23'!$I$7:$I$100,2)+SUMIFS('24'!$N$7:$N$100,'24'!$H$7:$H$100,$A382,'24'!$I$7:$I$100,2)+SUMIFS('24a'!$N$7:$N$100,'24a'!$H$7:$H$100,$A382,'24a'!$I$7:$I$100,2)+SUMIFS('24b'!$N$7:$N$100,'24b'!$H$7:$H$100,$A382,'24b'!$I$7:$I$100,2)+SUMIFS('24c'!$N$7:$N$100,'24c'!$H$7:$H$100,$A382,'24c'!$I$7:$I$100,2)+SUMIFS('24d'!$N$7:$N$100,'24d'!$H$7:$H$100,$A382,'24d'!$I$7:$I$100,2)+SUMIFS('24e'!$N$7:$N$100,'24e'!$H$7:$H$100,$A382,'24e'!$I$7:$I$100,2)+SUMIFS('24f'!$N$7:$N$100,'24f'!$H$7:$H$100,$A382,'24f'!$I$7:$I$100,2)+SUMIFS('24g'!$N$7:$N$100,'24g'!$H$7:$H$100,$A382,'24g'!$I$7:$I$100,2)+SUMIFS('24h'!$N$7:$N$100,'24h'!$H$7:$H$100,$A382,'24h'!$I$7:$I$100,2)+SUMIFS('24i'!$N$7:$N$100,'24i'!$H$7:$H$100,$A382,'24i'!$I$7:$I$100,2)+SUMIFS('25'!$N$7:$N$100,'25'!$H$7:$H$100,$A382,'25'!$I$7:$I$100,2)+SUMIFS('26'!$N$7:$N$100,'26'!$H$7:$H$100,$A382,'26'!$I$7:$I$100,2)+SUMIFS('26a'!$N$7:$N$100,'26a'!$H$7:$H$100,$A382,'26a'!$I$7:$I$100,2)+SUMIFS('27'!$N$7:$N$100,'27'!$H$7:$H$100,$A382,'27'!$I$7:$I$100,2)+SUMIFS('27a'!$N$7:$N$100,'27a'!$H$7:$H$100,$A382,'27a'!$I$7:$I$100,2)+SUMIFS('28'!$N$7:$N$100,'28'!$H$7:$H$100,$A382,'28'!$I$7:$I$100,2)+SUMIFS('29'!$N$7:$N$100,'29'!$H$7:$H$100,$A382,'29'!$I$7:$I$100,2)</f>
        <v>0</v>
      </c>
      <c r="E382" s="1315">
        <f>SUMIFS('12'!$N$7:$N$100,'12'!$H$7:$H$100,$A382,'12'!$I$7:$I$100,"")+SUMIFS('13'!$N$7:$N$100,'13'!$H$7:$H$100,$A382,'13'!$I$7:$I$100,"")+SUMIFS('14'!$N$7:$N$100,'14'!$H$7:$H$100,$A382,'14'!$I$7:$I$100,"")+SUMIFS('15'!$N$7:$N$100,'15'!$H$7:$H$100,$A382,'15'!$I$7:$I$100,"")+SUMIFS('15a'!$N$7:$N$100,'15a'!$H$7:$H$100,$A382,'15a'!$I$7:$I$100,"")+SUMIFS('15b'!$N$7:$N$100,'15b'!$H$7:$H$100,$A382,'15b'!$I$7:$I$100,"")+SUMIFS('15c'!$N$7:$N$100,'15c'!$H$7:$H$100,$A382,'15c'!$I$7:$I$100,"")+SUMIFS('15d'!$N$7:$N$100,'15d'!$H$7:$H$100,$A382,'15d'!$I$7:$I$100,"")+SUMIFS('15e'!$N$7:$N$100,'15e'!$H$7:$H$100,$A382,'15e'!$I$7:$I$100,"")+SUMIFS('15f'!$N$7:$N$100,'15f'!$H$7:$H$100,$A382,'15f'!$I$7:$I$100,"")+SUMIFS('15g'!$N$7:$N$100,'15g'!$H$7:$H$100,$A382,'15g'!$I$7:$I$100,"")+SUMIFS('15h'!$N$7:$N$100,'15h'!$H$7:$H$100,$A382,'15h'!$I$7:$I$100,"")+SUMIFS('15i'!$N$7:$N$100,'15i'!$H$7:$H$100,$A382,'15i'!$I$7:$I$100,"")+SUMIFS('15j'!$N$7:$N$100,'15j'!$H$7:$H$100,$A382,'15j'!$I$7:$I$100,"")+SUMIFS('15k'!$N$7:$N$100,'15k'!$H$7:$H$100,$A382,'15k'!$I$7:$I$100,"")+SUMIFS('15l'!$N$7:$N$100,'15l'!$H$7:$H$100,$A382,'15l'!$I$7:$I$100,"")+SUMIFS('15m'!$N$7:$N$100,'15m'!$H$7:$H$100,$A382,'15m'!$I$7:$I$100,"")+SUMIFS('15n'!$N$7:$N$100,'15n'!$H$7:$H$100,$A382,'15n'!$I$7:$I$100,"")+SUMIFS('16'!$N$7:$N$100,'16'!$H$7:$H$100,$A382,'16'!$I$7:$I$100,"")+SUMIFS('16a'!$N$7:$N$100,'16a'!$H$7:$H$100,$A382,'16a'!$I$7:$I$100,"")+SUMIFS('17'!$N$7:$N$100,'17'!$H$7:$H$100,$A382,'17'!$I$7:$I$100,"")+SUMIFS('17a'!$N$7:$N$100,'17a'!$H$7:$H$100,$A382,'17a'!$I$7:$I$100,"")+SUMIFS('18'!$N$7:$N$100,'18'!$H$7:$H$100,$A382,'18'!$I$7:$I$100,"")+SUMIFS('18a'!$N$7:$N$100,'18a'!$H$7:$H$100,$A382,'18a'!$I$7:$I$100,"")
+SUMIFS('19'!$N$7:$N$100,'19'!$H$7:$H$100,$A382,'19'!$I$7:$I$100,"")+SUMIFS('20'!$N$7:$N$100,'20'!$H$7:$H$100,$A382,'20'!$I$7:$I$100,"")+SUMIFS('20a'!$N$7:$N$100,'20a'!$H$7:$H$100,$A382,'20a'!$I$7:$I$100,"")+SUMIFS('21'!$N$7:$N$100,'21'!$H$7:$H$100,$A382,'21'!$I$7:$I$100,"")+SUMIFS('22'!$N$7:$N$100,'22'!$H$7:$H$100,$A382,'22'!$I$7:$I$100,"")+SUMIFS('22a'!$N$7:$N$100,'22a'!$H$7:$H$100,$A382,'22a'!$I$7:$I$100,"")+SUMIFS('22b'!$N$7:$N$100,'22b'!$H$7:$H$100,$A382,'22b'!$I$7:$I$100,"")+SUMIFS('23'!$N$7:$N$100,'23'!$H$7:$H$100,$A382,'23'!$I$7:$I$100,"")+SUMIFS('24'!$N$7:$N$100,'24'!$H$7:$H$100,$A382,'24'!$I$7:$I$100,"")+SUMIFS('24a'!$N$7:$N$100,'24a'!$H$7:$H$100,$A382,'24a'!$I$7:$I$100,"")+SUMIFS('24b'!$N$7:$N$100,'24b'!$H$7:$H$100,$A382,'24b'!$I$7:$I$100,"")+SUMIFS('24c'!$N$7:$N$100,'24c'!$H$7:$H$100,$A382,'24c'!$I$7:$I$100,"")+SUMIFS('24d'!$N$7:$N$100,'24d'!$H$7:$H$100,$A382,'24d'!$I$7:$I$100,"")+SUMIFS('24e'!$N$7:$N$100,'24e'!$H$7:$H$100,$A382,'24e'!$I$7:$I$100,"")+SUMIFS('24f'!$N$7:$N$100,'24f'!$H$7:$H$100,$A382,'24f'!$I$7:$I$100,"")+SUMIFS('24g'!$N$7:$N$100,'24g'!$H$7:$H$100,$A382,'24g'!$I$7:$I$100,"")+SUMIFS('24h'!$N$7:$N$100,'24h'!$H$7:$H$100,$A382,'24h'!$I$7:$I$100,"")+SUMIFS('24i'!$N$7:$N$100,'24i'!$H$7:$H$100,$A382,'24i'!$I$7:$I$100,"")+SUMIFS('25'!$N$7:$N$100,'25'!$H$7:$H$100,$A382,'25'!$I$7:$I$100,"")+SUMIFS('26'!$N$7:$N$100,'26'!$H$7:$H$100,$A382,'26'!$I$7:$I$100,"")+SUMIFS('26a'!$N$7:$N$100,'26a'!$H$7:$H$100,$A382,'26a'!$I$7:$I$100,"")+SUMIFS('27'!$N$7:$N$100,'27'!$H$7:$H$100,$A382,'27'!$I$7:$I$100,"")+SUMIFS('27a'!$N$7:$N$100,'27a'!$H$7:$H$100,$A382,'27a'!$I$7:$I$100,"")+SUMIFS('28'!$N$7:$N$100,'28'!$H$7:$H$100,$A382,'28'!$I$7:$I$100,"")+SUMIFS('29'!$N$7:$N$100,'29'!$H$7:$H$100,$A382,'29'!$I$7:$I$100,"")</f>
        <v>0</v>
      </c>
      <c r="F382" s="1296">
        <f t="shared" si="55"/>
        <v>0</v>
      </c>
      <c r="G382" s="1295">
        <f>SUMIFS('12'!$J$7:$J$100,'12'!$H$7:$H$100,$A382,'12'!$I$7:$I$100,1)+SUMIFS('13'!$J$7:$J$100,'13'!$H$7:$H$100,$A382,'13'!$I$7:$I$100,1)+SUMIFS('14'!$J$7:$J$100,'14'!$H$7:$H$100,$A382,'14'!$I$7:$I$100,1)+SUMIFS('15'!$J$7:$J$100,'15'!$H$7:$H$100,$A382,'15'!$I$7:$I$100,1)+SUMIFS('15a'!$J$7:$J$100,'15a'!$H$7:$H$100,$A382,'15a'!$I$7:$I$100,1)+SUMIFS('15b'!$J$7:$J$100,'15b'!$H$7:$H$100,$A382,'15b'!$I$7:$I$100,1)+SUMIFS('15c'!$J$7:$J$100,'15c'!$H$7:$H$100,$A382,'15c'!$I$7:$I$100,1)+SUMIFS('15d'!$J$7:$J$100,'15d'!$H$7:$H$100,$A382,'15d'!$I$7:$I$100,1)+SUMIFS('15e'!$J$7:$J$100,'15e'!$H$7:$H$100,$A382,'15e'!$I$7:$I$100,1)+SUMIFS('15f'!$J$7:$J$100,'15f'!$H$7:$H$100,$A382,'15f'!$I$7:$I$100,1)+SUMIFS('15g'!$J$7:$J$100,'15g'!$H$7:$H$100,$A382,'15g'!$I$7:$I$100,1)+SUMIFS('15h'!$J$7:$J$100,'15h'!$H$7:$H$100,$A382,'15h'!$I$7:$I$100,1)+SUMIFS('15i'!$J$7:$J$100,'15i'!$H$7:$H$100,$A382,'15i'!$I$7:$I$100,1)+SUMIFS('15j'!$J$7:$J$100,'15j'!$H$7:$H$100,$A382,'15j'!$I$7:$I$100,1)+SUMIFS('15k'!$J$7:$J$100,'15k'!$H$7:$H$100,$A382,'15k'!$I$7:$I$100,1)+SUMIFS('15l'!$J$7:$J$100,'15l'!$H$7:$H$100,$A382,'15l'!$I$7:$I$100,1)+SUMIFS('15m'!$J$7:$J$100,'15m'!$H$7:$H$100,$A382,'15m'!$I$7:$I$100,1)+SUMIFS('15n'!$J$7:$J$100,'15n'!$H$7:$H$100,$A382,'15n'!$I$7:$I$100,1)+SUMIFS('16'!$J$7:$J$100,'16'!$H$7:$H$100,$A382,'16'!$I$7:$I$100,1)+SUMIFS('16a'!$J$7:$J$100,'16a'!$H$7:$H$100,$A382,'16a'!$I$7:$I$100,1)+SUMIFS('17'!$J$7:$J$100,'17'!$H$7:$H$100,$A382,'17'!$I$7:$I$100,1)+SUMIFS('17a'!$J$7:$J$100,'17a'!$H$7:$H$100,$A382,'17a'!$I$7:$I$100,1)+SUMIFS('18'!$J$7:$J$100,'18'!$H$7:$H$100,$A382,'18'!$I$7:$I$100,1)+SUMIFS('18a'!$J$7:$J$100,'18a'!$H$7:$H$100,$A382,'18a'!$I$7:$I$100,1)
+SUMIFS('19'!$J$7:$J$100,'19'!$H$7:$H$100,$A382,'19'!$I$7:$I$100,1)+SUMIFS('20'!$J$7:$J$100,'20'!$H$7:$H$100,$A382,'20'!$I$7:$I$100,1)+SUMIFS('20a'!$J$7:$J$100,'20a'!$H$7:$H$100,$A382,'20a'!$I$7:$I$100,1)+SUMIFS('21'!$J$7:$J$100,'21'!$H$7:$H$100,$A382,'21'!$I$7:$I$100,1)+SUMIFS('22'!$J$7:$J$100,'22'!$H$7:$H$100,$A382,'22'!$I$7:$I$100,1)+SUMIFS('22a'!$J$7:$J$100,'22a'!$H$7:$H$100,$A382,'22a'!$I$7:$I$100,1)+SUMIFS('22b'!$J$7:$J$100,'22b'!$H$7:$H$100,$A382,'22b'!$I$7:$I$100,1)+SUMIFS('23'!$J$7:$J$100,'23'!$H$7:$H$100,$A382,'23'!$I$7:$I$100,1)+SUMIFS('24'!$J$7:$J$100,'24'!$H$7:$H$100,$A382,'24'!$I$7:$I$100,1)+SUMIFS('24a'!$J$7:$J$100,'24a'!$H$7:$H$100,$A382,'24a'!$I$7:$I$100,1)+SUMIFS('24b'!$J$7:$J$100,'24b'!$H$7:$H$100,$A382,'24b'!$I$7:$I$100,1)+SUMIFS('24c'!$J$7:$J$100,'24c'!$H$7:$H$100,$A382,'24c'!$I$7:$I$100,1)+SUMIFS('24d'!$J$7:$J$100,'24d'!$H$7:$H$100,$A382,'24d'!$I$7:$I$100,1)+SUMIFS('24e'!$J$7:$J$100,'24e'!$H$7:$H$100,$A382,'24e'!$I$7:$I$100,1)+SUMIFS('24f'!$J$7:$J$100,'24f'!$H$7:$H$100,$A382,'24f'!$I$7:$I$100,1)+SUMIFS('24g'!$J$7:$J$100,'24g'!$H$7:$H$100,$A382,'24g'!$I$7:$I$100,1)+SUMIFS('24h'!$J$7:$J$100,'24h'!$H$7:$H$100,$A382,'24h'!$I$7:$I$100,1)+SUMIFS('24i'!$J$7:$J$100,'24i'!$H$7:$H$100,$A382,'24i'!$I$7:$I$100,1)+SUMIFS('25'!$J$7:$J$100,'25'!$H$7:$H$100,$A382,'25'!$I$7:$I$100,1)+SUMIFS('26'!$J$7:$J$100,'26'!$H$7:$H$100,$A382,'26'!$I$7:$I$100,1)+SUMIFS('26a'!$J$7:$J$100,'26a'!$H$7:$H$100,$A382,'26a'!$I$7:$I$100,1)+SUMIFS('27'!$J$7:$J$100,'27'!$H$7:$H$100,$A382,'27'!$I$7:$I$100,1)+SUMIFS('27a'!$J$7:$J$100,'27a'!$H$7:$H$100,$A382,'27a'!$I$7:$I$100,1)+SUMIFS('28'!$J$7:$J$100,'28'!$H$7:$H$100,$A382,'28'!$I$7:$I$100,1)+SUMIFS('29'!$J$7:$J$100,'29'!$H$7:$H$100,$A382,'29'!$I$7:$I$100,1)</f>
        <v>0</v>
      </c>
      <c r="H382" s="1315">
        <f>SUMIFS('12'!$J$7:$J$100,'12'!$H$7:$H$100,$A382,'12'!$I$7:$I$100,2)+SUMIFS('13'!$J$7:$J$100,'13'!$H$7:$H$100,$A382,'13'!$I$7:$I$100,2)+SUMIFS('14'!$J$7:$J$100,'14'!$H$7:$H$100,$A382,'14'!$I$7:$I$100,2)+SUMIFS('15'!$J$7:$J$100,'15'!$H$7:$H$100,$A382,'15'!$I$7:$I$100,2)+SUMIFS('15a'!$J$7:$J$100,'15a'!$H$7:$H$100,$A382,'15a'!$I$7:$I$100,2)+SUMIFS('15b'!$J$7:$J$100,'15b'!$H$7:$H$100,$A382,'15b'!$I$7:$I$100,2)+SUMIFS('15c'!$J$7:$J$100,'15c'!$H$7:$H$100,$A382,'15c'!$I$7:$I$100,2)+SUMIFS('15d'!$J$7:$J$100,'15d'!$H$7:$H$100,$A382,'15d'!$I$7:$I$100,2)+SUMIFS('15e'!$J$7:$J$100,'15e'!$H$7:$H$100,$A382,'15e'!$I$7:$I$100,2)+SUMIFS('15f'!$J$7:$J$100,'15f'!$H$7:$H$100,$A382,'15f'!$I$7:$I$100,2)+SUMIFS('15g'!$J$7:$J$100,'15g'!$H$7:$H$100,$A382,'15g'!$I$7:$I$100,2)+SUMIFS('15h'!$J$7:$J$100,'15h'!$H$7:$H$100,$A382,'15h'!$I$7:$I$100,2)+SUMIFS('15i'!$J$7:$J$100,'15i'!$H$7:$H$100,$A382,'15i'!$I$7:$I$100,2)+SUMIFS('15j'!$J$7:$J$100,'15j'!$H$7:$H$100,$A382,'15j'!$I$7:$I$100,2)+SUMIFS('15k'!$J$7:$J$100,'15k'!$H$7:$H$100,$A382,'15k'!$I$7:$I$100,2)+SUMIFS('15l'!$J$7:$J$100,'15l'!$H$7:$H$100,$A382,'15l'!$I$7:$I$100,2)+SUMIFS('15m'!$J$7:$J$100,'15m'!$H$7:$H$100,$A382,'15m'!$I$7:$I$100,2)+SUMIFS('15n'!$J$7:$J$100,'15n'!$H$7:$H$100,$A382,'15n'!$I$7:$I$100,2)+SUMIFS('16'!$J$7:$J$100,'16'!$H$7:$H$100,$A382,'16'!$I$7:$I$100,2)+SUMIFS('16a'!$J$7:$J$100,'16a'!$H$7:$H$100,$A382,'16a'!$I$7:$I$100,2)+SUMIFS('17'!$J$7:$J$100,'17'!$H$7:$H$100,$A382,'17'!$I$7:$I$100,2)+SUMIFS('17a'!$J$7:$J$100,'17a'!$H$7:$H$100,$A382,'17a'!$I$7:$I$100,2)+SUMIFS('18'!$J$7:$J$100,'18'!$H$7:$H$100,$A382,'18'!$I$7:$I$100,2)+SUMIFS('18a'!$J$7:$J$100,'18a'!$H$7:$H$100,$A382,'18a'!$I$7:$I$100,2)
+SUMIFS('19'!$J$7:$J$100,'19'!$H$7:$H$100,$A382,'19'!$I$7:$I$100,2)+SUMIFS('20'!$J$7:$J$100,'20'!$H$7:$H$100,$A382,'20'!$I$7:$I$100,2)+SUMIFS('20a'!$J$7:$J$100,'20a'!$H$7:$H$100,$A382,'20a'!$I$7:$I$100,2)+SUMIFS('21'!$J$7:$J$100,'21'!$H$7:$H$100,$A382,'21'!$I$7:$I$100,2)+SUMIFS('22'!$J$7:$J$100,'22'!$H$7:$H$100,$A382,'22'!$I$7:$I$100,2)+SUMIFS('22a'!$J$7:$J$100,'22a'!$H$7:$H$100,$A382,'22a'!$I$7:$I$100,2)+SUMIFS('22b'!$J$7:$J$100,'22b'!$H$7:$H$100,$A382,'22b'!$I$7:$I$100,2)+SUMIFS('23'!$J$7:$J$100,'23'!$H$7:$H$100,$A382,'23'!$I$7:$I$100,2)+SUMIFS('24'!$J$7:$J$100,'24'!$H$7:$H$100,$A382,'24'!$I$7:$I$100,2)+SUMIFS('24a'!$J$7:$J$100,'24a'!$H$7:$H$100,$A382,'24a'!$I$7:$I$100,2)+SUMIFS('24b'!$J$7:$J$100,'24b'!$H$7:$H$100,$A382,'24b'!$I$7:$I$100,2)+SUMIFS('24c'!$J$7:$J$100,'24c'!$H$7:$H$100,$A382,'24c'!$I$7:$I$100,2)+SUMIFS('24d'!$J$7:$J$100,'24d'!$H$7:$H$100,$A382,'24d'!$I$7:$I$100,2)+SUMIFS('24e'!$J$7:$J$100,'24e'!$H$7:$H$100,$A382,'24e'!$I$7:$I$100,2)+SUMIFS('24f'!$J$7:$J$100,'24f'!$H$7:$H$100,$A382,'24f'!$I$7:$I$100,2)+SUMIFS('24g'!$J$7:$J$100,'24g'!$H$7:$H$100,$A382,'24g'!$I$7:$I$100,2)+SUMIFS('24h'!$J$7:$J$100,'24h'!$H$7:$H$100,$A382,'24h'!$I$7:$I$100,2)+SUMIFS('24i'!$J$7:$J$100,'24i'!$H$7:$H$100,$A382,'24i'!$I$7:$I$100,2)+SUMIFS('25'!$J$7:$J$100,'25'!$H$7:$H$100,$A382,'25'!$I$7:$I$100,2)+SUMIFS('26'!$J$7:$J$100,'26'!$H$7:$H$100,$A382,'26'!$I$7:$I$100,2)+SUMIFS('26a'!$J$7:$J$100,'26a'!$H$7:$H$100,$A382,'26a'!$I$7:$I$100,2)+SUMIFS('27'!$J$7:$J$100,'27'!$H$7:$H$100,$A382,'27'!$I$7:$I$100,2)+SUMIFS('27a'!$J$7:$J$100,'27a'!$H$7:$H$100,$A382,'27a'!$I$7:$I$100,2)+SUMIFS('28'!$J$7:$J$100,'28'!$H$7:$H$100,$A382,'28'!$I$7:$I$100,2)+SUMIFS('29'!$J$7:$J$100,'29'!$H$7:$H$100,$A382,'29'!$I$7:$I$100,2)</f>
        <v>0</v>
      </c>
      <c r="I382" s="1315">
        <f>SUMIFS('12'!$J$7:$J$100,'12'!$H$7:$H$100,$A382,'12'!$I$7:$I$100,"")+SUMIFS('13'!$J$7:$J$100,'13'!$H$7:$H$100,$A382,'13'!$I$7:$I$100,"")+SUMIFS('14'!$J$7:$J$100,'14'!$H$7:$H$100,$A382,'14'!$I$7:$I$100,"")+SUMIFS('15'!$J$7:$J$100,'15'!$H$7:$H$100,$A382,'15'!$I$7:$I$100,"")+SUMIFS('15a'!$J$7:$J$100,'15a'!$H$7:$H$100,$A382,'15a'!$I$7:$I$100,"")+SUMIFS('15b'!$J$7:$J$100,'15b'!$H$7:$H$100,$A382,'15b'!$I$7:$I$100,"")+SUMIFS('15c'!$J$7:$J$100,'15c'!$H$7:$H$100,$A382,'15c'!$I$7:$I$100,"")+SUMIFS('15d'!$J$7:$J$100,'15d'!$H$7:$H$100,$A382,'15d'!$I$7:$I$100,"")+SUMIFS('15e'!$J$7:$J$100,'15e'!$H$7:$H$100,$A382,'15e'!$I$7:$I$100,"")+SUMIFS('15f'!$J$7:$J$100,'15f'!$H$7:$H$100,$A382,'15f'!$I$7:$I$100,"")+SUMIFS('15g'!$J$7:$J$100,'15g'!$H$7:$H$100,$A382,'15g'!$I$7:$I$100,"")+SUMIFS('15h'!$J$7:$J$100,'15h'!$H$7:$H$100,$A382,'15h'!$I$7:$I$100,"")+SUMIFS('15i'!$J$7:$J$100,'15i'!$H$7:$H$100,$A382,'15i'!$I$7:$I$100,"")+SUMIFS('15j'!$J$7:$J$100,'15j'!$H$7:$H$100,$A382,'15j'!$I$7:$I$100,"")+SUMIFS('15k'!$J$7:$J$100,'15k'!$H$7:$H$100,$A382,'15k'!$I$7:$I$100,"")+SUMIFS('15l'!$J$7:$J$100,'15l'!$H$7:$H$100,$A382,'15l'!$I$7:$I$100,"")+SUMIFS('15m'!$J$7:$J$100,'15m'!$H$7:$H$100,$A382,'15m'!$I$7:$I$100,"")+SUMIFS('15n'!$J$7:$J$100,'15n'!$H$7:$H$100,$A382,'15n'!$I$7:$I$100,"")+SUMIFS('16'!$J$7:$J$100,'16'!$H$7:$H$100,$A382,'16'!$I$7:$I$100,"")+SUMIFS('16a'!$J$7:$J$100,'16a'!$H$7:$H$100,$A382,'16a'!$I$7:$I$100,"")+SUMIFS('17'!$J$7:$J$100,'17'!$H$7:$H$100,$A382,'17'!$I$7:$I$100,"")+SUMIFS('17a'!$J$7:$J$100,'17a'!$H$7:$H$100,$A382,'17a'!$I$7:$I$100,"")+SUMIFS('18'!$J$7:$J$100,'18'!$H$7:$H$100,$A382,'18'!$I$7:$I$100,"")+SUMIFS('18a'!$J$7:$J$100,'18a'!$H$7:$H$100,$A382,'18a'!$I$7:$I$100,"")
+SUMIFS('19'!$J$7:$J$100,'19'!$H$7:$H$100,$A382,'19'!$I$7:$I$100,"")+SUMIFS('20'!$J$7:$J$100,'20'!$H$7:$H$100,$A382,'20'!$I$7:$I$100,"")+SUMIFS('20a'!$J$7:$J$100,'20a'!$H$7:$H$100,$A382,'20a'!$I$7:$I$100,"")+SUMIFS('21'!$J$7:$J$100,'21'!$H$7:$H$100,$A382,'21'!$I$7:$I$100,"")+SUMIFS('22'!$J$7:$J$100,'22'!$H$7:$H$100,$A382,'22'!$I$7:$I$100,"")+SUMIFS('22a'!$J$7:$J$100,'22a'!$H$7:$H$100,$A382,'22a'!$I$7:$I$100,"")+SUMIFS('22b'!$J$7:$J$100,'22b'!$H$7:$H$100,$A382,'22b'!$I$7:$I$100,"")+SUMIFS('23'!$J$7:$J$100,'23'!$H$7:$H$100,$A382,'23'!$I$7:$I$100,"")+SUMIFS('24'!$J$7:$J$100,'24'!$H$7:$H$100,$A382,'24'!$I$7:$I$100,"")+SUMIFS('24a'!$J$7:$J$100,'24a'!$H$7:$H$100,$A382,'24a'!$I$7:$I$100,"")+SUMIFS('24b'!$J$7:$J$100,'24b'!$H$7:$H$100,$A382,'24b'!$I$7:$I$100,"")+SUMIFS('24c'!$J$7:$J$100,'24c'!$H$7:$H$100,$A382,'24c'!$I$7:$I$100,"")+SUMIFS('24d'!$J$7:$J$100,'24d'!$H$7:$H$100,$A382,'24d'!$I$7:$I$100,"")+SUMIFS('24e'!$J$7:$J$100,'24e'!$H$7:$H$100,$A382,'24e'!$I$7:$I$100,"")+SUMIFS('24f'!$J$7:$J$100,'24f'!$H$7:$H$100,$A382,'24f'!$I$7:$I$100,"")+SUMIFS('24g'!$J$7:$J$100,'24g'!$H$7:$H$100,$A382,'24g'!$I$7:$I$100,"")+SUMIFS('24h'!$J$7:$J$100,'24h'!$H$7:$H$100,$A382,'24h'!$I$7:$I$100,"")+SUMIFS('24i'!$J$7:$J$100,'24i'!$H$7:$H$100,$A382,'24i'!$I$7:$I$100,"")+SUMIFS('25'!$J$7:$J$100,'25'!$H$7:$H$100,$A382,'25'!$I$7:$I$100,"")+SUMIFS('26'!$J$7:$J$100,'26'!$H$7:$H$100,$A382,'26'!$I$7:$I$100,"")+SUMIFS('26a'!$J$7:$J$100,'26a'!$H$7:$H$100,$A382,'26a'!$I$7:$I$100,"")+SUMIFS('27'!$J$7:$J$100,'27'!$H$7:$H$100,$A382,'27'!$I$7:$I$100,"")+SUMIFS('27a'!$J$7:$J$100,'27a'!$H$7:$H$100,$A382,'27a'!$I$7:$I$100,"")+SUMIFS('28'!$J$7:$J$100,'28'!$H$7:$H$100,$A382,'28'!$I$7:$I$100,"")+SUMIFS('29'!$J$7:$J$100,'29'!$H$7:$H$100,$A382,'29'!$I$7:$I$100,"")</f>
        <v>0</v>
      </c>
      <c r="J382" s="1296">
        <f t="shared" si="56"/>
        <v>0</v>
      </c>
      <c r="K382"/>
      <c r="L382"/>
      <c r="M382"/>
      <c r="N382"/>
      <c r="O382"/>
      <c r="P382"/>
      <c r="Q382"/>
      <c r="R382"/>
      <c r="S382" s="1307">
        <f t="shared" si="48"/>
        <v>0</v>
      </c>
      <c r="T382"/>
    </row>
    <row r="383" spans="1:20" x14ac:dyDescent="0.2">
      <c r="A383" t="s">
        <v>5131</v>
      </c>
      <c r="B383" t="s">
        <v>5407</v>
      </c>
      <c r="C383" s="1295">
        <f>SUMIFS('12'!$N$7:$N$100,'12'!$H$7:$H$100,$A383,'12'!$I$7:$I$100,1)+SUMIFS('13'!$N$7:$N$100,'13'!$H$7:$H$100,$A383,'13'!$I$7:$I$100,1)+SUMIFS('14'!$N$7:$N$100,'14'!$H$7:$H$100,$A383,'14'!$I$7:$I$100,1)+SUMIFS('15'!$N$7:$N$100,'15'!$H$7:$H$100,$A383,'15'!$I$7:$I$100,1)+SUMIFS('15a'!$N$7:$N$100,'15a'!$H$7:$H$100,$A383,'15a'!$I$7:$I$100,1)+SUMIFS('15b'!$N$7:$N$100,'15b'!$H$7:$H$100,$A383,'15b'!$I$7:$I$100,1)+SUMIFS('15c'!$N$7:$N$100,'15c'!$H$7:$H$100,$A383,'15c'!$I$7:$I$100,1)+SUMIFS('15d'!$N$7:$N$100,'15d'!$H$7:$H$100,$A383,'15d'!$I$7:$I$100,1)+SUMIFS('15e'!$N$7:$N$100,'15e'!$H$7:$H$100,$A383,'15e'!$I$7:$I$100,1)+SUMIFS('15f'!$N$7:$N$100,'15f'!$H$7:$H$100,$A383,'15f'!$I$7:$I$100,1)+SUMIFS('15g'!$N$7:$N$100,'15g'!$H$7:$H$100,$A383,'15g'!$I$7:$I$100,1)+SUMIFS('15h'!$N$7:$N$100,'15h'!$H$7:$H$100,$A383,'15h'!$I$7:$I$100,1)+SUMIFS('15i'!$N$7:$N$100,'15i'!$H$7:$H$100,$A383,'15i'!$I$7:$I$100,1)+SUMIFS('15j'!$N$7:$N$100,'15j'!$H$7:$H$100,$A383,'15j'!$I$7:$I$100,1)+SUMIFS('15k'!$N$7:$N$100,'15k'!$H$7:$H$100,$A383,'15k'!$I$7:$I$100,1)+SUMIFS('15l'!$N$7:$N$100,'15l'!$H$7:$H$100,$A383,'15l'!$I$7:$I$100,1)+SUMIFS('15m'!$N$7:$N$100,'15m'!$H$7:$H$100,$A383,'15m'!$I$7:$I$100,1)+SUMIFS('15n'!$N$7:$N$100,'15n'!$H$7:$H$100,$A383,'15n'!$I$7:$I$100,1)+SUMIFS('16'!$N$7:$N$100,'16'!$H$7:$H$100,$A383,'16'!$I$7:$I$100,1)+SUMIFS('16a'!$N$7:$N$100,'16a'!$H$7:$H$100,$A383,'16a'!$I$7:$I$100,1)+SUMIFS('17'!$N$7:$N$100,'17'!$H$7:$H$100,$A383,'17'!$I$7:$I$100,1)+SUMIFS('17a'!$N$7:$N$100,'17a'!$H$7:$H$100,$A383,'17a'!$I$7:$I$100,1)+SUMIFS('18'!$N$7:$N$100,'18'!$H$7:$H$100,$A383,'18'!$I$7:$I$100,1)+SUMIFS('18a'!$N$7:$N$100,'18a'!$H$7:$H$100,$A383,'18a'!$I$7:$I$100,1)
+SUMIFS('19'!$N$7:$N$100,'19'!$H$7:$H$100,$A383,'19'!$I$7:$I$100,1)+SUMIFS('20'!$N$7:$N$100,'20'!$H$7:$H$100,$A383,'20'!$I$7:$I$100,1)+SUMIFS('20a'!$N$7:$N$100,'20a'!$H$7:$H$100,$A383,'20a'!$I$7:$I$100,1)+SUMIFS('21'!$N$7:$N$100,'21'!$H$7:$H$100,$A383,'21'!$I$7:$I$100,1)+SUMIFS('22'!$N$7:$N$100,'22'!$H$7:$H$100,$A383,'22'!$I$7:$I$100,1)+SUMIFS('22a'!$N$7:$N$100,'22a'!$H$7:$H$100,$A383,'22a'!$I$7:$I$100,1)+SUMIFS('22b'!$N$7:$N$100,'22b'!$H$7:$H$100,$A383,'22b'!$I$7:$I$100,1)+SUMIFS('23'!$N$7:$N$100,'23'!$H$7:$H$100,$A383,'23'!$I$7:$I$100,1)+SUMIFS('24'!$N$7:$N$100,'24'!$H$7:$H$100,$A383,'24'!$I$7:$I$100,1)+SUMIFS('24a'!$N$7:$N$100,'24a'!$H$7:$H$100,$A383,'24a'!$I$7:$I$100,1)+SUMIFS('24b'!$N$7:$N$100,'24b'!$H$7:$H$100,$A383,'24b'!$I$7:$I$100,1)+SUMIFS('24c'!$N$7:$N$100,'24c'!$H$7:$H$100,$A383,'24c'!$I$7:$I$100,1)+SUMIFS('24d'!$N$7:$N$100,'24d'!$H$7:$H$100,$A383,'24d'!$I$7:$I$100,1)+SUMIFS('24e'!$N$7:$N$100,'24e'!$H$7:$H$100,$A383,'24e'!$I$7:$I$100,1)+SUMIFS('24f'!$N$7:$N$100,'24f'!$H$7:$H$100,$A383,'24f'!$I$7:$I$100,1)+SUMIFS('24g'!$N$7:$N$100,'24g'!$H$7:$H$100,$A383,'24g'!$I$7:$I$100,1)+SUMIFS('24h'!$N$7:$N$100,'24h'!$H$7:$H$100,$A383,'24h'!$I$7:$I$100,1)+SUMIFS('24i'!$N$7:$N$100,'24i'!$H$7:$H$100,$A383,'24i'!$I$7:$I$100,1)+SUMIFS('25'!$N$7:$N$100,'25'!$H$7:$H$100,$A383,'25'!$I$7:$I$100,1)+SUMIFS('26'!$N$7:$N$100,'26'!$H$7:$H$100,$A383,'26'!$I$7:$I$100,1)+SUMIFS('26a'!$N$7:$N$100,'26a'!$H$7:$H$100,$A383,'26a'!$I$7:$I$100,1)+SUMIFS('27'!$N$7:$N$100,'27'!$H$7:$H$100,$A383,'27'!$I$7:$I$100,1)+SUMIFS('27a'!$N$7:$N$100,'27a'!$H$7:$H$100,$A383,'27a'!$I$7:$I$100,1)+SUMIFS('28'!$N$7:$N$100,'28'!$H$7:$H$100,$A383,'28'!$I$7:$I$100,1)+SUMIFS('29'!$N$7:$N$100,'29'!$H$7:$H$100,$A383,'29'!$I$7:$I$100,1)</f>
        <v>0</v>
      </c>
      <c r="D383" s="1315">
        <f>SUMIFS('12'!$N$7:$N$100,'12'!$H$7:$H$100,$A383,'12'!$I$7:$I$100,2)+SUMIFS('13'!$N$7:$N$100,'13'!$H$7:$H$100,$A383,'13'!$I$7:$I$100,2)+SUMIFS('14'!$N$7:$N$100,'14'!$H$7:$H$100,$A383,'14'!$I$7:$I$100,2)+SUMIFS('15'!$N$7:$N$100,'15'!$H$7:$H$100,$A383,'15'!$I$7:$I$100,2)+SUMIFS('15a'!$N$7:$N$100,'15a'!$H$7:$H$100,$A383,'15a'!$I$7:$I$100,2)+SUMIFS('15b'!$N$7:$N$100,'15b'!$H$7:$H$100,$A383,'15b'!$I$7:$I$100,2)+SUMIFS('15c'!$N$7:$N$100,'15c'!$H$7:$H$100,$A383,'15c'!$I$7:$I$100,2)+SUMIFS('15d'!$N$7:$N$100,'15d'!$H$7:$H$100,$A383,'15d'!$I$7:$I$100,2)+SUMIFS('15e'!$N$7:$N$100,'15e'!$H$7:$H$100,$A383,'15e'!$I$7:$I$100,2)+SUMIFS('15f'!$N$7:$N$100,'15f'!$H$7:$H$100,$A383,'15f'!$I$7:$I$100,2)+SUMIFS('15g'!$N$7:$N$100,'15g'!$H$7:$H$100,$A383,'15g'!$I$7:$I$100,2)+SUMIFS('15h'!$N$7:$N$100,'15h'!$H$7:$H$100,$A383,'15h'!$I$7:$I$100,2)+SUMIFS('15i'!$N$7:$N$100,'15i'!$H$7:$H$100,$A383,'15i'!$I$7:$I$100,2)+SUMIFS('15j'!$N$7:$N$100,'15j'!$H$7:$H$100,$A383,'15j'!$I$7:$I$100,2)+SUMIFS('15k'!$N$7:$N$100,'15k'!$H$7:$H$100,$A383,'15k'!$I$7:$I$100,2)+SUMIFS('15l'!$N$7:$N$100,'15l'!$H$7:$H$100,$A383,'15l'!$I$7:$I$100,2)+SUMIFS('15m'!$N$7:$N$100,'15m'!$H$7:$H$100,$A383,'15m'!$I$7:$I$100,2)+SUMIFS('15n'!$N$7:$N$100,'15n'!$H$7:$H$100,$A383,'15n'!$I$7:$I$100,2)+SUMIFS('16'!$N$7:$N$100,'16'!$H$7:$H$100,$A383,'16'!$I$7:$I$100,2)+SUMIFS('16a'!$N$7:$N$100,'16a'!$H$7:$H$100,$A383,'16a'!$I$7:$I$100,2)+SUMIFS('17'!$N$7:$N$100,'17'!$H$7:$H$100,$A383,'17'!$I$7:$I$100,2)+SUMIFS('17a'!$N$7:$N$100,'17a'!$H$7:$H$100,$A383,'17a'!$I$7:$I$100,2)+SUMIFS('18'!$N$7:$N$100,'18'!$H$7:$H$100,$A383,'18'!$I$7:$I$100,2)+SUMIFS('18a'!$N$7:$N$100,'18a'!$H$7:$H$100,$A383,'18a'!$I$7:$I$100,2)
+SUMIFS('19'!$N$7:$N$100,'19'!$H$7:$H$100,$A383,'19'!$I$7:$I$100,2)+SUMIFS('20'!$N$7:$N$100,'20'!$H$7:$H$100,$A383,'20'!$I$7:$I$100,2)+SUMIFS('20a'!$N$7:$N$100,'20a'!$H$7:$H$100,$A383,'20a'!$I$7:$I$100,2)+SUMIFS('21'!$N$7:$N$100,'21'!$H$7:$H$100,$A383,'21'!$I$7:$I$100,2)+SUMIFS('22'!$N$7:$N$100,'22'!$H$7:$H$100,$A383,'22'!$I$7:$I$100,2)+SUMIFS('22a'!$N$7:$N$100,'22a'!$H$7:$H$100,$A383,'22a'!$I$7:$I$100,2)+SUMIFS('22b'!$N$7:$N$100,'22b'!$H$7:$H$100,$A383,'22b'!$I$7:$I$100,2)+SUMIFS('23'!$N$7:$N$100,'23'!$H$7:$H$100,$A383,'23'!$I$7:$I$100,2)+SUMIFS('24'!$N$7:$N$100,'24'!$H$7:$H$100,$A383,'24'!$I$7:$I$100,2)+SUMIFS('24a'!$N$7:$N$100,'24a'!$H$7:$H$100,$A383,'24a'!$I$7:$I$100,2)+SUMIFS('24b'!$N$7:$N$100,'24b'!$H$7:$H$100,$A383,'24b'!$I$7:$I$100,2)+SUMIFS('24c'!$N$7:$N$100,'24c'!$H$7:$H$100,$A383,'24c'!$I$7:$I$100,2)+SUMIFS('24d'!$N$7:$N$100,'24d'!$H$7:$H$100,$A383,'24d'!$I$7:$I$100,2)+SUMIFS('24e'!$N$7:$N$100,'24e'!$H$7:$H$100,$A383,'24e'!$I$7:$I$100,2)+SUMIFS('24f'!$N$7:$N$100,'24f'!$H$7:$H$100,$A383,'24f'!$I$7:$I$100,2)+SUMIFS('24g'!$N$7:$N$100,'24g'!$H$7:$H$100,$A383,'24g'!$I$7:$I$100,2)+SUMIFS('24h'!$N$7:$N$100,'24h'!$H$7:$H$100,$A383,'24h'!$I$7:$I$100,2)+SUMIFS('24i'!$N$7:$N$100,'24i'!$H$7:$H$100,$A383,'24i'!$I$7:$I$100,2)+SUMIFS('25'!$N$7:$N$100,'25'!$H$7:$H$100,$A383,'25'!$I$7:$I$100,2)+SUMIFS('26'!$N$7:$N$100,'26'!$H$7:$H$100,$A383,'26'!$I$7:$I$100,2)+SUMIFS('26a'!$N$7:$N$100,'26a'!$H$7:$H$100,$A383,'26a'!$I$7:$I$100,2)+SUMIFS('27'!$N$7:$N$100,'27'!$H$7:$H$100,$A383,'27'!$I$7:$I$100,2)+SUMIFS('27a'!$N$7:$N$100,'27a'!$H$7:$H$100,$A383,'27a'!$I$7:$I$100,2)+SUMIFS('28'!$N$7:$N$100,'28'!$H$7:$H$100,$A383,'28'!$I$7:$I$100,2)+SUMIFS('29'!$N$7:$N$100,'29'!$H$7:$H$100,$A383,'29'!$I$7:$I$100,2)</f>
        <v>0</v>
      </c>
      <c r="E383" s="1315">
        <f>SUMIFS('12'!$N$7:$N$100,'12'!$H$7:$H$100,$A383,'12'!$I$7:$I$100,"")+SUMIFS('13'!$N$7:$N$100,'13'!$H$7:$H$100,$A383,'13'!$I$7:$I$100,"")+SUMIFS('14'!$N$7:$N$100,'14'!$H$7:$H$100,$A383,'14'!$I$7:$I$100,"")+SUMIFS('15'!$N$7:$N$100,'15'!$H$7:$H$100,$A383,'15'!$I$7:$I$100,"")+SUMIFS('15a'!$N$7:$N$100,'15a'!$H$7:$H$100,$A383,'15a'!$I$7:$I$100,"")+SUMIFS('15b'!$N$7:$N$100,'15b'!$H$7:$H$100,$A383,'15b'!$I$7:$I$100,"")+SUMIFS('15c'!$N$7:$N$100,'15c'!$H$7:$H$100,$A383,'15c'!$I$7:$I$100,"")+SUMIFS('15d'!$N$7:$N$100,'15d'!$H$7:$H$100,$A383,'15d'!$I$7:$I$100,"")+SUMIFS('15e'!$N$7:$N$100,'15e'!$H$7:$H$100,$A383,'15e'!$I$7:$I$100,"")+SUMIFS('15f'!$N$7:$N$100,'15f'!$H$7:$H$100,$A383,'15f'!$I$7:$I$100,"")+SUMIFS('15g'!$N$7:$N$100,'15g'!$H$7:$H$100,$A383,'15g'!$I$7:$I$100,"")+SUMIFS('15h'!$N$7:$N$100,'15h'!$H$7:$H$100,$A383,'15h'!$I$7:$I$100,"")+SUMIFS('15i'!$N$7:$N$100,'15i'!$H$7:$H$100,$A383,'15i'!$I$7:$I$100,"")+SUMIFS('15j'!$N$7:$N$100,'15j'!$H$7:$H$100,$A383,'15j'!$I$7:$I$100,"")+SUMIFS('15k'!$N$7:$N$100,'15k'!$H$7:$H$100,$A383,'15k'!$I$7:$I$100,"")+SUMIFS('15l'!$N$7:$N$100,'15l'!$H$7:$H$100,$A383,'15l'!$I$7:$I$100,"")+SUMIFS('15m'!$N$7:$N$100,'15m'!$H$7:$H$100,$A383,'15m'!$I$7:$I$100,"")+SUMIFS('15n'!$N$7:$N$100,'15n'!$H$7:$H$100,$A383,'15n'!$I$7:$I$100,"")+SUMIFS('16'!$N$7:$N$100,'16'!$H$7:$H$100,$A383,'16'!$I$7:$I$100,"")+SUMIFS('16a'!$N$7:$N$100,'16a'!$H$7:$H$100,$A383,'16a'!$I$7:$I$100,"")+SUMIFS('17'!$N$7:$N$100,'17'!$H$7:$H$100,$A383,'17'!$I$7:$I$100,"")+SUMIFS('17a'!$N$7:$N$100,'17a'!$H$7:$H$100,$A383,'17a'!$I$7:$I$100,"")+SUMIFS('18'!$N$7:$N$100,'18'!$H$7:$H$100,$A383,'18'!$I$7:$I$100,"")+SUMIFS('18a'!$N$7:$N$100,'18a'!$H$7:$H$100,$A383,'18a'!$I$7:$I$100,"")
+SUMIFS('19'!$N$7:$N$100,'19'!$H$7:$H$100,$A383,'19'!$I$7:$I$100,"")+SUMIFS('20'!$N$7:$N$100,'20'!$H$7:$H$100,$A383,'20'!$I$7:$I$100,"")+SUMIFS('20a'!$N$7:$N$100,'20a'!$H$7:$H$100,$A383,'20a'!$I$7:$I$100,"")+SUMIFS('21'!$N$7:$N$100,'21'!$H$7:$H$100,$A383,'21'!$I$7:$I$100,"")+SUMIFS('22'!$N$7:$N$100,'22'!$H$7:$H$100,$A383,'22'!$I$7:$I$100,"")+SUMIFS('22a'!$N$7:$N$100,'22a'!$H$7:$H$100,$A383,'22a'!$I$7:$I$100,"")+SUMIFS('22b'!$N$7:$N$100,'22b'!$H$7:$H$100,$A383,'22b'!$I$7:$I$100,"")+SUMIFS('23'!$N$7:$N$100,'23'!$H$7:$H$100,$A383,'23'!$I$7:$I$100,"")+SUMIFS('24'!$N$7:$N$100,'24'!$H$7:$H$100,$A383,'24'!$I$7:$I$100,"")+SUMIFS('24a'!$N$7:$N$100,'24a'!$H$7:$H$100,$A383,'24a'!$I$7:$I$100,"")+SUMIFS('24b'!$N$7:$N$100,'24b'!$H$7:$H$100,$A383,'24b'!$I$7:$I$100,"")+SUMIFS('24c'!$N$7:$N$100,'24c'!$H$7:$H$100,$A383,'24c'!$I$7:$I$100,"")+SUMIFS('24d'!$N$7:$N$100,'24d'!$H$7:$H$100,$A383,'24d'!$I$7:$I$100,"")+SUMIFS('24e'!$N$7:$N$100,'24e'!$H$7:$H$100,$A383,'24e'!$I$7:$I$100,"")+SUMIFS('24f'!$N$7:$N$100,'24f'!$H$7:$H$100,$A383,'24f'!$I$7:$I$100,"")+SUMIFS('24g'!$N$7:$N$100,'24g'!$H$7:$H$100,$A383,'24g'!$I$7:$I$100,"")+SUMIFS('24h'!$N$7:$N$100,'24h'!$H$7:$H$100,$A383,'24h'!$I$7:$I$100,"")+SUMIFS('24i'!$N$7:$N$100,'24i'!$H$7:$H$100,$A383,'24i'!$I$7:$I$100,"")+SUMIFS('25'!$N$7:$N$100,'25'!$H$7:$H$100,$A383,'25'!$I$7:$I$100,"")+SUMIFS('26'!$N$7:$N$100,'26'!$H$7:$H$100,$A383,'26'!$I$7:$I$100,"")+SUMIFS('26a'!$N$7:$N$100,'26a'!$H$7:$H$100,$A383,'26a'!$I$7:$I$100,"")+SUMIFS('27'!$N$7:$N$100,'27'!$H$7:$H$100,$A383,'27'!$I$7:$I$100,"")+SUMIFS('27a'!$N$7:$N$100,'27a'!$H$7:$H$100,$A383,'27a'!$I$7:$I$100,"")+SUMIFS('28'!$N$7:$N$100,'28'!$H$7:$H$100,$A383,'28'!$I$7:$I$100,"")+SUMIFS('29'!$N$7:$N$100,'29'!$H$7:$H$100,$A383,'29'!$I$7:$I$100,"")</f>
        <v>0</v>
      </c>
      <c r="F383" s="1296">
        <f t="shared" si="55"/>
        <v>0</v>
      </c>
      <c r="G383" s="1295">
        <f>SUMIFS('12'!$J$7:$J$100,'12'!$H$7:$H$100,$A383,'12'!$I$7:$I$100,1)+SUMIFS('13'!$J$7:$J$100,'13'!$H$7:$H$100,$A383,'13'!$I$7:$I$100,1)+SUMIFS('14'!$J$7:$J$100,'14'!$H$7:$H$100,$A383,'14'!$I$7:$I$100,1)+SUMIFS('15'!$J$7:$J$100,'15'!$H$7:$H$100,$A383,'15'!$I$7:$I$100,1)+SUMIFS('15a'!$J$7:$J$100,'15a'!$H$7:$H$100,$A383,'15a'!$I$7:$I$100,1)+SUMIFS('15b'!$J$7:$J$100,'15b'!$H$7:$H$100,$A383,'15b'!$I$7:$I$100,1)+SUMIFS('15c'!$J$7:$J$100,'15c'!$H$7:$H$100,$A383,'15c'!$I$7:$I$100,1)+SUMIFS('15d'!$J$7:$J$100,'15d'!$H$7:$H$100,$A383,'15d'!$I$7:$I$100,1)+SUMIFS('15e'!$J$7:$J$100,'15e'!$H$7:$H$100,$A383,'15e'!$I$7:$I$100,1)+SUMIFS('15f'!$J$7:$J$100,'15f'!$H$7:$H$100,$A383,'15f'!$I$7:$I$100,1)+SUMIFS('15g'!$J$7:$J$100,'15g'!$H$7:$H$100,$A383,'15g'!$I$7:$I$100,1)+SUMIFS('15h'!$J$7:$J$100,'15h'!$H$7:$H$100,$A383,'15h'!$I$7:$I$100,1)+SUMIFS('15i'!$J$7:$J$100,'15i'!$H$7:$H$100,$A383,'15i'!$I$7:$I$100,1)+SUMIFS('15j'!$J$7:$J$100,'15j'!$H$7:$H$100,$A383,'15j'!$I$7:$I$100,1)+SUMIFS('15k'!$J$7:$J$100,'15k'!$H$7:$H$100,$A383,'15k'!$I$7:$I$100,1)+SUMIFS('15l'!$J$7:$J$100,'15l'!$H$7:$H$100,$A383,'15l'!$I$7:$I$100,1)+SUMIFS('15m'!$J$7:$J$100,'15m'!$H$7:$H$100,$A383,'15m'!$I$7:$I$100,1)+SUMIFS('15n'!$J$7:$J$100,'15n'!$H$7:$H$100,$A383,'15n'!$I$7:$I$100,1)+SUMIFS('16'!$J$7:$J$100,'16'!$H$7:$H$100,$A383,'16'!$I$7:$I$100,1)+SUMIFS('16a'!$J$7:$J$100,'16a'!$H$7:$H$100,$A383,'16a'!$I$7:$I$100,1)+SUMIFS('17'!$J$7:$J$100,'17'!$H$7:$H$100,$A383,'17'!$I$7:$I$100,1)+SUMIFS('17a'!$J$7:$J$100,'17a'!$H$7:$H$100,$A383,'17a'!$I$7:$I$100,1)+SUMIFS('18'!$J$7:$J$100,'18'!$H$7:$H$100,$A383,'18'!$I$7:$I$100,1)+SUMIFS('18a'!$J$7:$J$100,'18a'!$H$7:$H$100,$A383,'18a'!$I$7:$I$100,1)
+SUMIFS('19'!$J$7:$J$100,'19'!$H$7:$H$100,$A383,'19'!$I$7:$I$100,1)+SUMIFS('20'!$J$7:$J$100,'20'!$H$7:$H$100,$A383,'20'!$I$7:$I$100,1)+SUMIFS('20a'!$J$7:$J$100,'20a'!$H$7:$H$100,$A383,'20a'!$I$7:$I$100,1)+SUMIFS('21'!$J$7:$J$100,'21'!$H$7:$H$100,$A383,'21'!$I$7:$I$100,1)+SUMIFS('22'!$J$7:$J$100,'22'!$H$7:$H$100,$A383,'22'!$I$7:$I$100,1)+SUMIFS('22a'!$J$7:$J$100,'22a'!$H$7:$H$100,$A383,'22a'!$I$7:$I$100,1)+SUMIFS('22b'!$J$7:$J$100,'22b'!$H$7:$H$100,$A383,'22b'!$I$7:$I$100,1)+SUMIFS('23'!$J$7:$J$100,'23'!$H$7:$H$100,$A383,'23'!$I$7:$I$100,1)+SUMIFS('24'!$J$7:$J$100,'24'!$H$7:$H$100,$A383,'24'!$I$7:$I$100,1)+SUMIFS('24a'!$J$7:$J$100,'24a'!$H$7:$H$100,$A383,'24a'!$I$7:$I$100,1)+SUMIFS('24b'!$J$7:$J$100,'24b'!$H$7:$H$100,$A383,'24b'!$I$7:$I$100,1)+SUMIFS('24c'!$J$7:$J$100,'24c'!$H$7:$H$100,$A383,'24c'!$I$7:$I$100,1)+SUMIFS('24d'!$J$7:$J$100,'24d'!$H$7:$H$100,$A383,'24d'!$I$7:$I$100,1)+SUMIFS('24e'!$J$7:$J$100,'24e'!$H$7:$H$100,$A383,'24e'!$I$7:$I$100,1)+SUMIFS('24f'!$J$7:$J$100,'24f'!$H$7:$H$100,$A383,'24f'!$I$7:$I$100,1)+SUMIFS('24g'!$J$7:$J$100,'24g'!$H$7:$H$100,$A383,'24g'!$I$7:$I$100,1)+SUMIFS('24h'!$J$7:$J$100,'24h'!$H$7:$H$100,$A383,'24h'!$I$7:$I$100,1)+SUMIFS('24i'!$J$7:$J$100,'24i'!$H$7:$H$100,$A383,'24i'!$I$7:$I$100,1)+SUMIFS('25'!$J$7:$J$100,'25'!$H$7:$H$100,$A383,'25'!$I$7:$I$100,1)+SUMIFS('26'!$J$7:$J$100,'26'!$H$7:$H$100,$A383,'26'!$I$7:$I$100,1)+SUMIFS('26a'!$J$7:$J$100,'26a'!$H$7:$H$100,$A383,'26a'!$I$7:$I$100,1)+SUMIFS('27'!$J$7:$J$100,'27'!$H$7:$H$100,$A383,'27'!$I$7:$I$100,1)+SUMIFS('27a'!$J$7:$J$100,'27a'!$H$7:$H$100,$A383,'27a'!$I$7:$I$100,1)+SUMIFS('28'!$J$7:$J$100,'28'!$H$7:$H$100,$A383,'28'!$I$7:$I$100,1)+SUMIFS('29'!$J$7:$J$100,'29'!$H$7:$H$100,$A383,'29'!$I$7:$I$100,1)</f>
        <v>0</v>
      </c>
      <c r="H383" s="1315">
        <f>SUMIFS('12'!$J$7:$J$100,'12'!$H$7:$H$100,$A383,'12'!$I$7:$I$100,2)+SUMIFS('13'!$J$7:$J$100,'13'!$H$7:$H$100,$A383,'13'!$I$7:$I$100,2)+SUMIFS('14'!$J$7:$J$100,'14'!$H$7:$H$100,$A383,'14'!$I$7:$I$100,2)+SUMIFS('15'!$J$7:$J$100,'15'!$H$7:$H$100,$A383,'15'!$I$7:$I$100,2)+SUMIFS('15a'!$J$7:$J$100,'15a'!$H$7:$H$100,$A383,'15a'!$I$7:$I$100,2)+SUMIFS('15b'!$J$7:$J$100,'15b'!$H$7:$H$100,$A383,'15b'!$I$7:$I$100,2)+SUMIFS('15c'!$J$7:$J$100,'15c'!$H$7:$H$100,$A383,'15c'!$I$7:$I$100,2)+SUMIFS('15d'!$J$7:$J$100,'15d'!$H$7:$H$100,$A383,'15d'!$I$7:$I$100,2)+SUMIFS('15e'!$J$7:$J$100,'15e'!$H$7:$H$100,$A383,'15e'!$I$7:$I$100,2)+SUMIFS('15f'!$J$7:$J$100,'15f'!$H$7:$H$100,$A383,'15f'!$I$7:$I$100,2)+SUMIFS('15g'!$J$7:$J$100,'15g'!$H$7:$H$100,$A383,'15g'!$I$7:$I$100,2)+SUMIFS('15h'!$J$7:$J$100,'15h'!$H$7:$H$100,$A383,'15h'!$I$7:$I$100,2)+SUMIFS('15i'!$J$7:$J$100,'15i'!$H$7:$H$100,$A383,'15i'!$I$7:$I$100,2)+SUMIFS('15j'!$J$7:$J$100,'15j'!$H$7:$H$100,$A383,'15j'!$I$7:$I$100,2)+SUMIFS('15k'!$J$7:$J$100,'15k'!$H$7:$H$100,$A383,'15k'!$I$7:$I$100,2)+SUMIFS('15l'!$J$7:$J$100,'15l'!$H$7:$H$100,$A383,'15l'!$I$7:$I$100,2)+SUMIFS('15m'!$J$7:$J$100,'15m'!$H$7:$H$100,$A383,'15m'!$I$7:$I$100,2)+SUMIFS('15n'!$J$7:$J$100,'15n'!$H$7:$H$100,$A383,'15n'!$I$7:$I$100,2)+SUMIFS('16'!$J$7:$J$100,'16'!$H$7:$H$100,$A383,'16'!$I$7:$I$100,2)+SUMIFS('16a'!$J$7:$J$100,'16a'!$H$7:$H$100,$A383,'16a'!$I$7:$I$100,2)+SUMIFS('17'!$J$7:$J$100,'17'!$H$7:$H$100,$A383,'17'!$I$7:$I$100,2)+SUMIFS('17a'!$J$7:$J$100,'17a'!$H$7:$H$100,$A383,'17a'!$I$7:$I$100,2)+SUMIFS('18'!$J$7:$J$100,'18'!$H$7:$H$100,$A383,'18'!$I$7:$I$100,2)+SUMIFS('18a'!$J$7:$J$100,'18a'!$H$7:$H$100,$A383,'18a'!$I$7:$I$100,2)
+SUMIFS('19'!$J$7:$J$100,'19'!$H$7:$H$100,$A383,'19'!$I$7:$I$100,2)+SUMIFS('20'!$J$7:$J$100,'20'!$H$7:$H$100,$A383,'20'!$I$7:$I$100,2)+SUMIFS('20a'!$J$7:$J$100,'20a'!$H$7:$H$100,$A383,'20a'!$I$7:$I$100,2)+SUMIFS('21'!$J$7:$J$100,'21'!$H$7:$H$100,$A383,'21'!$I$7:$I$100,2)+SUMIFS('22'!$J$7:$J$100,'22'!$H$7:$H$100,$A383,'22'!$I$7:$I$100,2)+SUMIFS('22a'!$J$7:$J$100,'22a'!$H$7:$H$100,$A383,'22a'!$I$7:$I$100,2)+SUMIFS('22b'!$J$7:$J$100,'22b'!$H$7:$H$100,$A383,'22b'!$I$7:$I$100,2)+SUMIFS('23'!$J$7:$J$100,'23'!$H$7:$H$100,$A383,'23'!$I$7:$I$100,2)+SUMIFS('24'!$J$7:$J$100,'24'!$H$7:$H$100,$A383,'24'!$I$7:$I$100,2)+SUMIFS('24a'!$J$7:$J$100,'24a'!$H$7:$H$100,$A383,'24a'!$I$7:$I$100,2)+SUMIFS('24b'!$J$7:$J$100,'24b'!$H$7:$H$100,$A383,'24b'!$I$7:$I$100,2)+SUMIFS('24c'!$J$7:$J$100,'24c'!$H$7:$H$100,$A383,'24c'!$I$7:$I$100,2)+SUMIFS('24d'!$J$7:$J$100,'24d'!$H$7:$H$100,$A383,'24d'!$I$7:$I$100,2)+SUMIFS('24e'!$J$7:$J$100,'24e'!$H$7:$H$100,$A383,'24e'!$I$7:$I$100,2)+SUMIFS('24f'!$J$7:$J$100,'24f'!$H$7:$H$100,$A383,'24f'!$I$7:$I$100,2)+SUMIFS('24g'!$J$7:$J$100,'24g'!$H$7:$H$100,$A383,'24g'!$I$7:$I$100,2)+SUMIFS('24h'!$J$7:$J$100,'24h'!$H$7:$H$100,$A383,'24h'!$I$7:$I$100,2)+SUMIFS('24i'!$J$7:$J$100,'24i'!$H$7:$H$100,$A383,'24i'!$I$7:$I$100,2)+SUMIFS('25'!$J$7:$J$100,'25'!$H$7:$H$100,$A383,'25'!$I$7:$I$100,2)+SUMIFS('26'!$J$7:$J$100,'26'!$H$7:$H$100,$A383,'26'!$I$7:$I$100,2)+SUMIFS('26a'!$J$7:$J$100,'26a'!$H$7:$H$100,$A383,'26a'!$I$7:$I$100,2)+SUMIFS('27'!$J$7:$J$100,'27'!$H$7:$H$100,$A383,'27'!$I$7:$I$100,2)+SUMIFS('27a'!$J$7:$J$100,'27a'!$H$7:$H$100,$A383,'27a'!$I$7:$I$100,2)+SUMIFS('28'!$J$7:$J$100,'28'!$H$7:$H$100,$A383,'28'!$I$7:$I$100,2)+SUMIFS('29'!$J$7:$J$100,'29'!$H$7:$H$100,$A383,'29'!$I$7:$I$100,2)</f>
        <v>0</v>
      </c>
      <c r="I383" s="1315">
        <f>SUMIFS('12'!$J$7:$J$100,'12'!$H$7:$H$100,$A383,'12'!$I$7:$I$100,"")+SUMIFS('13'!$J$7:$J$100,'13'!$H$7:$H$100,$A383,'13'!$I$7:$I$100,"")+SUMIFS('14'!$J$7:$J$100,'14'!$H$7:$H$100,$A383,'14'!$I$7:$I$100,"")+SUMIFS('15'!$J$7:$J$100,'15'!$H$7:$H$100,$A383,'15'!$I$7:$I$100,"")+SUMIFS('15a'!$J$7:$J$100,'15a'!$H$7:$H$100,$A383,'15a'!$I$7:$I$100,"")+SUMIFS('15b'!$J$7:$J$100,'15b'!$H$7:$H$100,$A383,'15b'!$I$7:$I$100,"")+SUMIFS('15c'!$J$7:$J$100,'15c'!$H$7:$H$100,$A383,'15c'!$I$7:$I$100,"")+SUMIFS('15d'!$J$7:$J$100,'15d'!$H$7:$H$100,$A383,'15d'!$I$7:$I$100,"")+SUMIFS('15e'!$J$7:$J$100,'15e'!$H$7:$H$100,$A383,'15e'!$I$7:$I$100,"")+SUMIFS('15f'!$J$7:$J$100,'15f'!$H$7:$H$100,$A383,'15f'!$I$7:$I$100,"")+SUMIFS('15g'!$J$7:$J$100,'15g'!$H$7:$H$100,$A383,'15g'!$I$7:$I$100,"")+SUMIFS('15h'!$J$7:$J$100,'15h'!$H$7:$H$100,$A383,'15h'!$I$7:$I$100,"")+SUMIFS('15i'!$J$7:$J$100,'15i'!$H$7:$H$100,$A383,'15i'!$I$7:$I$100,"")+SUMIFS('15j'!$J$7:$J$100,'15j'!$H$7:$H$100,$A383,'15j'!$I$7:$I$100,"")+SUMIFS('15k'!$J$7:$J$100,'15k'!$H$7:$H$100,$A383,'15k'!$I$7:$I$100,"")+SUMIFS('15l'!$J$7:$J$100,'15l'!$H$7:$H$100,$A383,'15l'!$I$7:$I$100,"")+SUMIFS('15m'!$J$7:$J$100,'15m'!$H$7:$H$100,$A383,'15m'!$I$7:$I$100,"")+SUMIFS('15n'!$J$7:$J$100,'15n'!$H$7:$H$100,$A383,'15n'!$I$7:$I$100,"")+SUMIFS('16'!$J$7:$J$100,'16'!$H$7:$H$100,$A383,'16'!$I$7:$I$100,"")+SUMIFS('16a'!$J$7:$J$100,'16a'!$H$7:$H$100,$A383,'16a'!$I$7:$I$100,"")+SUMIFS('17'!$J$7:$J$100,'17'!$H$7:$H$100,$A383,'17'!$I$7:$I$100,"")+SUMIFS('17a'!$J$7:$J$100,'17a'!$H$7:$H$100,$A383,'17a'!$I$7:$I$100,"")+SUMIFS('18'!$J$7:$J$100,'18'!$H$7:$H$100,$A383,'18'!$I$7:$I$100,"")+SUMIFS('18a'!$J$7:$J$100,'18a'!$H$7:$H$100,$A383,'18a'!$I$7:$I$100,"")
+SUMIFS('19'!$J$7:$J$100,'19'!$H$7:$H$100,$A383,'19'!$I$7:$I$100,"")+SUMIFS('20'!$J$7:$J$100,'20'!$H$7:$H$100,$A383,'20'!$I$7:$I$100,"")+SUMIFS('20a'!$J$7:$J$100,'20a'!$H$7:$H$100,$A383,'20a'!$I$7:$I$100,"")+SUMIFS('21'!$J$7:$J$100,'21'!$H$7:$H$100,$A383,'21'!$I$7:$I$100,"")+SUMIFS('22'!$J$7:$J$100,'22'!$H$7:$H$100,$A383,'22'!$I$7:$I$100,"")+SUMIFS('22a'!$J$7:$J$100,'22a'!$H$7:$H$100,$A383,'22a'!$I$7:$I$100,"")+SUMIFS('22b'!$J$7:$J$100,'22b'!$H$7:$H$100,$A383,'22b'!$I$7:$I$100,"")+SUMIFS('23'!$J$7:$J$100,'23'!$H$7:$H$100,$A383,'23'!$I$7:$I$100,"")+SUMIFS('24'!$J$7:$J$100,'24'!$H$7:$H$100,$A383,'24'!$I$7:$I$100,"")+SUMIFS('24a'!$J$7:$J$100,'24a'!$H$7:$H$100,$A383,'24a'!$I$7:$I$100,"")+SUMIFS('24b'!$J$7:$J$100,'24b'!$H$7:$H$100,$A383,'24b'!$I$7:$I$100,"")+SUMIFS('24c'!$J$7:$J$100,'24c'!$H$7:$H$100,$A383,'24c'!$I$7:$I$100,"")+SUMIFS('24d'!$J$7:$J$100,'24d'!$H$7:$H$100,$A383,'24d'!$I$7:$I$100,"")+SUMIFS('24e'!$J$7:$J$100,'24e'!$H$7:$H$100,$A383,'24e'!$I$7:$I$100,"")+SUMIFS('24f'!$J$7:$J$100,'24f'!$H$7:$H$100,$A383,'24f'!$I$7:$I$100,"")+SUMIFS('24g'!$J$7:$J$100,'24g'!$H$7:$H$100,$A383,'24g'!$I$7:$I$100,"")+SUMIFS('24h'!$J$7:$J$100,'24h'!$H$7:$H$100,$A383,'24h'!$I$7:$I$100,"")+SUMIFS('24i'!$J$7:$J$100,'24i'!$H$7:$H$100,$A383,'24i'!$I$7:$I$100,"")+SUMIFS('25'!$J$7:$J$100,'25'!$H$7:$H$100,$A383,'25'!$I$7:$I$100,"")+SUMIFS('26'!$J$7:$J$100,'26'!$H$7:$H$100,$A383,'26'!$I$7:$I$100,"")+SUMIFS('26a'!$J$7:$J$100,'26a'!$H$7:$H$100,$A383,'26a'!$I$7:$I$100,"")+SUMIFS('27'!$J$7:$J$100,'27'!$H$7:$H$100,$A383,'27'!$I$7:$I$100,"")+SUMIFS('27a'!$J$7:$J$100,'27a'!$H$7:$H$100,$A383,'27a'!$I$7:$I$100,"")+SUMIFS('28'!$J$7:$J$100,'28'!$H$7:$H$100,$A383,'28'!$I$7:$I$100,"")+SUMIFS('29'!$J$7:$J$100,'29'!$H$7:$H$100,$A383,'29'!$I$7:$I$100,"")</f>
        <v>0</v>
      </c>
      <c r="J383" s="1296">
        <f t="shared" si="56"/>
        <v>0</v>
      </c>
      <c r="K383"/>
      <c r="L383"/>
      <c r="M383"/>
      <c r="N383"/>
      <c r="O383"/>
      <c r="P383"/>
      <c r="Q383"/>
      <c r="R383"/>
      <c r="S383" s="1307">
        <f t="shared" si="48"/>
        <v>0</v>
      </c>
      <c r="T383"/>
    </row>
    <row r="384" spans="1:20" x14ac:dyDescent="0.2">
      <c r="A384" t="s">
        <v>5133</v>
      </c>
      <c r="B384" t="s">
        <v>5408</v>
      </c>
      <c r="C384" s="1295">
        <f>SUMIFS('12'!$N$7:$N$100,'12'!$H$7:$H$100,$A384,'12'!$I$7:$I$100,1)+SUMIFS('13'!$N$7:$N$100,'13'!$H$7:$H$100,$A384,'13'!$I$7:$I$100,1)+SUMIFS('14'!$N$7:$N$100,'14'!$H$7:$H$100,$A384,'14'!$I$7:$I$100,1)+SUMIFS('15'!$N$7:$N$100,'15'!$H$7:$H$100,$A384,'15'!$I$7:$I$100,1)+SUMIFS('15a'!$N$7:$N$100,'15a'!$H$7:$H$100,$A384,'15a'!$I$7:$I$100,1)+SUMIFS('15b'!$N$7:$N$100,'15b'!$H$7:$H$100,$A384,'15b'!$I$7:$I$100,1)+SUMIFS('15c'!$N$7:$N$100,'15c'!$H$7:$H$100,$A384,'15c'!$I$7:$I$100,1)+SUMIFS('15d'!$N$7:$N$100,'15d'!$H$7:$H$100,$A384,'15d'!$I$7:$I$100,1)+SUMIFS('15e'!$N$7:$N$100,'15e'!$H$7:$H$100,$A384,'15e'!$I$7:$I$100,1)+SUMIFS('15f'!$N$7:$N$100,'15f'!$H$7:$H$100,$A384,'15f'!$I$7:$I$100,1)+SUMIFS('15g'!$N$7:$N$100,'15g'!$H$7:$H$100,$A384,'15g'!$I$7:$I$100,1)+SUMIFS('15h'!$N$7:$N$100,'15h'!$H$7:$H$100,$A384,'15h'!$I$7:$I$100,1)+SUMIFS('15i'!$N$7:$N$100,'15i'!$H$7:$H$100,$A384,'15i'!$I$7:$I$100,1)+SUMIFS('15j'!$N$7:$N$100,'15j'!$H$7:$H$100,$A384,'15j'!$I$7:$I$100,1)+SUMIFS('15k'!$N$7:$N$100,'15k'!$H$7:$H$100,$A384,'15k'!$I$7:$I$100,1)+SUMIFS('15l'!$N$7:$N$100,'15l'!$H$7:$H$100,$A384,'15l'!$I$7:$I$100,1)+SUMIFS('15m'!$N$7:$N$100,'15m'!$H$7:$H$100,$A384,'15m'!$I$7:$I$100,1)+SUMIFS('15n'!$N$7:$N$100,'15n'!$H$7:$H$100,$A384,'15n'!$I$7:$I$100,1)+SUMIFS('16'!$N$7:$N$100,'16'!$H$7:$H$100,$A384,'16'!$I$7:$I$100,1)+SUMIFS('16a'!$N$7:$N$100,'16a'!$H$7:$H$100,$A384,'16a'!$I$7:$I$100,1)+SUMIFS('17'!$N$7:$N$100,'17'!$H$7:$H$100,$A384,'17'!$I$7:$I$100,1)+SUMIFS('17a'!$N$7:$N$100,'17a'!$H$7:$H$100,$A384,'17a'!$I$7:$I$100,1)+SUMIFS('18'!$N$7:$N$100,'18'!$H$7:$H$100,$A384,'18'!$I$7:$I$100,1)+SUMIFS('18a'!$N$7:$N$100,'18a'!$H$7:$H$100,$A384,'18a'!$I$7:$I$100,1)
+SUMIFS('19'!$N$7:$N$100,'19'!$H$7:$H$100,$A384,'19'!$I$7:$I$100,1)+SUMIFS('20'!$N$7:$N$100,'20'!$H$7:$H$100,$A384,'20'!$I$7:$I$100,1)+SUMIFS('20a'!$N$7:$N$100,'20a'!$H$7:$H$100,$A384,'20a'!$I$7:$I$100,1)+SUMIFS('21'!$N$7:$N$100,'21'!$H$7:$H$100,$A384,'21'!$I$7:$I$100,1)+SUMIFS('22'!$N$7:$N$100,'22'!$H$7:$H$100,$A384,'22'!$I$7:$I$100,1)+SUMIFS('22a'!$N$7:$N$100,'22a'!$H$7:$H$100,$A384,'22a'!$I$7:$I$100,1)+SUMIFS('22b'!$N$7:$N$100,'22b'!$H$7:$H$100,$A384,'22b'!$I$7:$I$100,1)+SUMIFS('23'!$N$7:$N$100,'23'!$H$7:$H$100,$A384,'23'!$I$7:$I$100,1)+SUMIFS('24'!$N$7:$N$100,'24'!$H$7:$H$100,$A384,'24'!$I$7:$I$100,1)+SUMIFS('24a'!$N$7:$N$100,'24a'!$H$7:$H$100,$A384,'24a'!$I$7:$I$100,1)+SUMIFS('24b'!$N$7:$N$100,'24b'!$H$7:$H$100,$A384,'24b'!$I$7:$I$100,1)+SUMIFS('24c'!$N$7:$N$100,'24c'!$H$7:$H$100,$A384,'24c'!$I$7:$I$100,1)+SUMIFS('24d'!$N$7:$N$100,'24d'!$H$7:$H$100,$A384,'24d'!$I$7:$I$100,1)+SUMIFS('24e'!$N$7:$N$100,'24e'!$H$7:$H$100,$A384,'24e'!$I$7:$I$100,1)+SUMIFS('24f'!$N$7:$N$100,'24f'!$H$7:$H$100,$A384,'24f'!$I$7:$I$100,1)+SUMIFS('24g'!$N$7:$N$100,'24g'!$H$7:$H$100,$A384,'24g'!$I$7:$I$100,1)+SUMIFS('24h'!$N$7:$N$100,'24h'!$H$7:$H$100,$A384,'24h'!$I$7:$I$100,1)+SUMIFS('24i'!$N$7:$N$100,'24i'!$H$7:$H$100,$A384,'24i'!$I$7:$I$100,1)+SUMIFS('25'!$N$7:$N$100,'25'!$H$7:$H$100,$A384,'25'!$I$7:$I$100,1)+SUMIFS('26'!$N$7:$N$100,'26'!$H$7:$H$100,$A384,'26'!$I$7:$I$100,1)+SUMIFS('26a'!$N$7:$N$100,'26a'!$H$7:$H$100,$A384,'26a'!$I$7:$I$100,1)+SUMIFS('27'!$N$7:$N$100,'27'!$H$7:$H$100,$A384,'27'!$I$7:$I$100,1)+SUMIFS('27a'!$N$7:$N$100,'27a'!$H$7:$H$100,$A384,'27a'!$I$7:$I$100,1)+SUMIFS('28'!$N$7:$N$100,'28'!$H$7:$H$100,$A384,'28'!$I$7:$I$100,1)+SUMIFS('29'!$N$7:$N$100,'29'!$H$7:$H$100,$A384,'29'!$I$7:$I$100,1)</f>
        <v>0</v>
      </c>
      <c r="D384" s="1315">
        <f>SUMIFS('12'!$N$7:$N$100,'12'!$H$7:$H$100,$A384,'12'!$I$7:$I$100,2)+SUMIFS('13'!$N$7:$N$100,'13'!$H$7:$H$100,$A384,'13'!$I$7:$I$100,2)+SUMIFS('14'!$N$7:$N$100,'14'!$H$7:$H$100,$A384,'14'!$I$7:$I$100,2)+SUMIFS('15'!$N$7:$N$100,'15'!$H$7:$H$100,$A384,'15'!$I$7:$I$100,2)+SUMIFS('15a'!$N$7:$N$100,'15a'!$H$7:$H$100,$A384,'15a'!$I$7:$I$100,2)+SUMIFS('15b'!$N$7:$N$100,'15b'!$H$7:$H$100,$A384,'15b'!$I$7:$I$100,2)+SUMIFS('15c'!$N$7:$N$100,'15c'!$H$7:$H$100,$A384,'15c'!$I$7:$I$100,2)+SUMIFS('15d'!$N$7:$N$100,'15d'!$H$7:$H$100,$A384,'15d'!$I$7:$I$100,2)+SUMIFS('15e'!$N$7:$N$100,'15e'!$H$7:$H$100,$A384,'15e'!$I$7:$I$100,2)+SUMIFS('15f'!$N$7:$N$100,'15f'!$H$7:$H$100,$A384,'15f'!$I$7:$I$100,2)+SUMIFS('15g'!$N$7:$N$100,'15g'!$H$7:$H$100,$A384,'15g'!$I$7:$I$100,2)+SUMIFS('15h'!$N$7:$N$100,'15h'!$H$7:$H$100,$A384,'15h'!$I$7:$I$100,2)+SUMIFS('15i'!$N$7:$N$100,'15i'!$H$7:$H$100,$A384,'15i'!$I$7:$I$100,2)+SUMIFS('15j'!$N$7:$N$100,'15j'!$H$7:$H$100,$A384,'15j'!$I$7:$I$100,2)+SUMIFS('15k'!$N$7:$N$100,'15k'!$H$7:$H$100,$A384,'15k'!$I$7:$I$100,2)+SUMIFS('15l'!$N$7:$N$100,'15l'!$H$7:$H$100,$A384,'15l'!$I$7:$I$100,2)+SUMIFS('15m'!$N$7:$N$100,'15m'!$H$7:$H$100,$A384,'15m'!$I$7:$I$100,2)+SUMIFS('15n'!$N$7:$N$100,'15n'!$H$7:$H$100,$A384,'15n'!$I$7:$I$100,2)+SUMIFS('16'!$N$7:$N$100,'16'!$H$7:$H$100,$A384,'16'!$I$7:$I$100,2)+SUMIFS('16a'!$N$7:$N$100,'16a'!$H$7:$H$100,$A384,'16a'!$I$7:$I$100,2)+SUMIFS('17'!$N$7:$N$100,'17'!$H$7:$H$100,$A384,'17'!$I$7:$I$100,2)+SUMIFS('17a'!$N$7:$N$100,'17a'!$H$7:$H$100,$A384,'17a'!$I$7:$I$100,2)+SUMIFS('18'!$N$7:$N$100,'18'!$H$7:$H$100,$A384,'18'!$I$7:$I$100,2)+SUMIFS('18a'!$N$7:$N$100,'18a'!$H$7:$H$100,$A384,'18a'!$I$7:$I$100,2)
+SUMIFS('19'!$N$7:$N$100,'19'!$H$7:$H$100,$A384,'19'!$I$7:$I$100,2)+SUMIFS('20'!$N$7:$N$100,'20'!$H$7:$H$100,$A384,'20'!$I$7:$I$100,2)+SUMIFS('20a'!$N$7:$N$100,'20a'!$H$7:$H$100,$A384,'20a'!$I$7:$I$100,2)+SUMIFS('21'!$N$7:$N$100,'21'!$H$7:$H$100,$A384,'21'!$I$7:$I$100,2)+SUMIFS('22'!$N$7:$N$100,'22'!$H$7:$H$100,$A384,'22'!$I$7:$I$100,2)+SUMIFS('22a'!$N$7:$N$100,'22a'!$H$7:$H$100,$A384,'22a'!$I$7:$I$100,2)+SUMIFS('22b'!$N$7:$N$100,'22b'!$H$7:$H$100,$A384,'22b'!$I$7:$I$100,2)+SUMIFS('23'!$N$7:$N$100,'23'!$H$7:$H$100,$A384,'23'!$I$7:$I$100,2)+SUMIFS('24'!$N$7:$N$100,'24'!$H$7:$H$100,$A384,'24'!$I$7:$I$100,2)+SUMIFS('24a'!$N$7:$N$100,'24a'!$H$7:$H$100,$A384,'24a'!$I$7:$I$100,2)+SUMIFS('24b'!$N$7:$N$100,'24b'!$H$7:$H$100,$A384,'24b'!$I$7:$I$100,2)+SUMIFS('24c'!$N$7:$N$100,'24c'!$H$7:$H$100,$A384,'24c'!$I$7:$I$100,2)+SUMIFS('24d'!$N$7:$N$100,'24d'!$H$7:$H$100,$A384,'24d'!$I$7:$I$100,2)+SUMIFS('24e'!$N$7:$N$100,'24e'!$H$7:$H$100,$A384,'24e'!$I$7:$I$100,2)+SUMIFS('24f'!$N$7:$N$100,'24f'!$H$7:$H$100,$A384,'24f'!$I$7:$I$100,2)+SUMIFS('24g'!$N$7:$N$100,'24g'!$H$7:$H$100,$A384,'24g'!$I$7:$I$100,2)+SUMIFS('24h'!$N$7:$N$100,'24h'!$H$7:$H$100,$A384,'24h'!$I$7:$I$100,2)+SUMIFS('24i'!$N$7:$N$100,'24i'!$H$7:$H$100,$A384,'24i'!$I$7:$I$100,2)+SUMIFS('25'!$N$7:$N$100,'25'!$H$7:$H$100,$A384,'25'!$I$7:$I$100,2)+SUMIFS('26'!$N$7:$N$100,'26'!$H$7:$H$100,$A384,'26'!$I$7:$I$100,2)+SUMIFS('26a'!$N$7:$N$100,'26a'!$H$7:$H$100,$A384,'26a'!$I$7:$I$100,2)+SUMIFS('27'!$N$7:$N$100,'27'!$H$7:$H$100,$A384,'27'!$I$7:$I$100,2)+SUMIFS('27a'!$N$7:$N$100,'27a'!$H$7:$H$100,$A384,'27a'!$I$7:$I$100,2)+SUMIFS('28'!$N$7:$N$100,'28'!$H$7:$H$100,$A384,'28'!$I$7:$I$100,2)+SUMIFS('29'!$N$7:$N$100,'29'!$H$7:$H$100,$A384,'29'!$I$7:$I$100,2)</f>
        <v>0</v>
      </c>
      <c r="E384" s="1315">
        <f>SUMIFS('12'!$N$7:$N$100,'12'!$H$7:$H$100,$A384,'12'!$I$7:$I$100,"")+SUMIFS('13'!$N$7:$N$100,'13'!$H$7:$H$100,$A384,'13'!$I$7:$I$100,"")+SUMIFS('14'!$N$7:$N$100,'14'!$H$7:$H$100,$A384,'14'!$I$7:$I$100,"")+SUMIFS('15'!$N$7:$N$100,'15'!$H$7:$H$100,$A384,'15'!$I$7:$I$100,"")+SUMIFS('15a'!$N$7:$N$100,'15a'!$H$7:$H$100,$A384,'15a'!$I$7:$I$100,"")+SUMIFS('15b'!$N$7:$N$100,'15b'!$H$7:$H$100,$A384,'15b'!$I$7:$I$100,"")+SUMIFS('15c'!$N$7:$N$100,'15c'!$H$7:$H$100,$A384,'15c'!$I$7:$I$100,"")+SUMIFS('15d'!$N$7:$N$100,'15d'!$H$7:$H$100,$A384,'15d'!$I$7:$I$100,"")+SUMIFS('15e'!$N$7:$N$100,'15e'!$H$7:$H$100,$A384,'15e'!$I$7:$I$100,"")+SUMIFS('15f'!$N$7:$N$100,'15f'!$H$7:$H$100,$A384,'15f'!$I$7:$I$100,"")+SUMIFS('15g'!$N$7:$N$100,'15g'!$H$7:$H$100,$A384,'15g'!$I$7:$I$100,"")+SUMIFS('15h'!$N$7:$N$100,'15h'!$H$7:$H$100,$A384,'15h'!$I$7:$I$100,"")+SUMIFS('15i'!$N$7:$N$100,'15i'!$H$7:$H$100,$A384,'15i'!$I$7:$I$100,"")+SUMIFS('15j'!$N$7:$N$100,'15j'!$H$7:$H$100,$A384,'15j'!$I$7:$I$100,"")+SUMIFS('15k'!$N$7:$N$100,'15k'!$H$7:$H$100,$A384,'15k'!$I$7:$I$100,"")+SUMIFS('15l'!$N$7:$N$100,'15l'!$H$7:$H$100,$A384,'15l'!$I$7:$I$100,"")+SUMIFS('15m'!$N$7:$N$100,'15m'!$H$7:$H$100,$A384,'15m'!$I$7:$I$100,"")+SUMIFS('15n'!$N$7:$N$100,'15n'!$H$7:$H$100,$A384,'15n'!$I$7:$I$100,"")+SUMIFS('16'!$N$7:$N$100,'16'!$H$7:$H$100,$A384,'16'!$I$7:$I$100,"")+SUMIFS('16a'!$N$7:$N$100,'16a'!$H$7:$H$100,$A384,'16a'!$I$7:$I$100,"")+SUMIFS('17'!$N$7:$N$100,'17'!$H$7:$H$100,$A384,'17'!$I$7:$I$100,"")+SUMIFS('17a'!$N$7:$N$100,'17a'!$H$7:$H$100,$A384,'17a'!$I$7:$I$100,"")+SUMIFS('18'!$N$7:$N$100,'18'!$H$7:$H$100,$A384,'18'!$I$7:$I$100,"")+SUMIFS('18a'!$N$7:$N$100,'18a'!$H$7:$H$100,$A384,'18a'!$I$7:$I$100,"")
+SUMIFS('19'!$N$7:$N$100,'19'!$H$7:$H$100,$A384,'19'!$I$7:$I$100,"")+SUMIFS('20'!$N$7:$N$100,'20'!$H$7:$H$100,$A384,'20'!$I$7:$I$100,"")+SUMIFS('20a'!$N$7:$N$100,'20a'!$H$7:$H$100,$A384,'20a'!$I$7:$I$100,"")+SUMIFS('21'!$N$7:$N$100,'21'!$H$7:$H$100,$A384,'21'!$I$7:$I$100,"")+SUMIFS('22'!$N$7:$N$100,'22'!$H$7:$H$100,$A384,'22'!$I$7:$I$100,"")+SUMIFS('22a'!$N$7:$N$100,'22a'!$H$7:$H$100,$A384,'22a'!$I$7:$I$100,"")+SUMIFS('22b'!$N$7:$N$100,'22b'!$H$7:$H$100,$A384,'22b'!$I$7:$I$100,"")+SUMIFS('23'!$N$7:$N$100,'23'!$H$7:$H$100,$A384,'23'!$I$7:$I$100,"")+SUMIFS('24'!$N$7:$N$100,'24'!$H$7:$H$100,$A384,'24'!$I$7:$I$100,"")+SUMIFS('24a'!$N$7:$N$100,'24a'!$H$7:$H$100,$A384,'24a'!$I$7:$I$100,"")+SUMIFS('24b'!$N$7:$N$100,'24b'!$H$7:$H$100,$A384,'24b'!$I$7:$I$100,"")+SUMIFS('24c'!$N$7:$N$100,'24c'!$H$7:$H$100,$A384,'24c'!$I$7:$I$100,"")+SUMIFS('24d'!$N$7:$N$100,'24d'!$H$7:$H$100,$A384,'24d'!$I$7:$I$100,"")+SUMIFS('24e'!$N$7:$N$100,'24e'!$H$7:$H$100,$A384,'24e'!$I$7:$I$100,"")+SUMIFS('24f'!$N$7:$N$100,'24f'!$H$7:$H$100,$A384,'24f'!$I$7:$I$100,"")+SUMIFS('24g'!$N$7:$N$100,'24g'!$H$7:$H$100,$A384,'24g'!$I$7:$I$100,"")+SUMIFS('24h'!$N$7:$N$100,'24h'!$H$7:$H$100,$A384,'24h'!$I$7:$I$100,"")+SUMIFS('24i'!$N$7:$N$100,'24i'!$H$7:$H$100,$A384,'24i'!$I$7:$I$100,"")+SUMIFS('25'!$N$7:$N$100,'25'!$H$7:$H$100,$A384,'25'!$I$7:$I$100,"")+SUMIFS('26'!$N$7:$N$100,'26'!$H$7:$H$100,$A384,'26'!$I$7:$I$100,"")+SUMIFS('26a'!$N$7:$N$100,'26a'!$H$7:$H$100,$A384,'26a'!$I$7:$I$100,"")+SUMIFS('27'!$N$7:$N$100,'27'!$H$7:$H$100,$A384,'27'!$I$7:$I$100,"")+SUMIFS('27a'!$N$7:$N$100,'27a'!$H$7:$H$100,$A384,'27a'!$I$7:$I$100,"")+SUMIFS('28'!$N$7:$N$100,'28'!$H$7:$H$100,$A384,'28'!$I$7:$I$100,"")+SUMIFS('29'!$N$7:$N$100,'29'!$H$7:$H$100,$A384,'29'!$I$7:$I$100,"")</f>
        <v>0</v>
      </c>
      <c r="F384" s="1296">
        <f t="shared" si="55"/>
        <v>0</v>
      </c>
      <c r="G384" s="1295">
        <f>SUMIFS('12'!$J$7:$J$100,'12'!$H$7:$H$100,$A384,'12'!$I$7:$I$100,1)+SUMIFS('13'!$J$7:$J$100,'13'!$H$7:$H$100,$A384,'13'!$I$7:$I$100,1)+SUMIFS('14'!$J$7:$J$100,'14'!$H$7:$H$100,$A384,'14'!$I$7:$I$100,1)+SUMIFS('15'!$J$7:$J$100,'15'!$H$7:$H$100,$A384,'15'!$I$7:$I$100,1)+SUMIFS('15a'!$J$7:$J$100,'15a'!$H$7:$H$100,$A384,'15a'!$I$7:$I$100,1)+SUMIFS('15b'!$J$7:$J$100,'15b'!$H$7:$H$100,$A384,'15b'!$I$7:$I$100,1)+SUMIFS('15c'!$J$7:$J$100,'15c'!$H$7:$H$100,$A384,'15c'!$I$7:$I$100,1)+SUMIFS('15d'!$J$7:$J$100,'15d'!$H$7:$H$100,$A384,'15d'!$I$7:$I$100,1)+SUMIFS('15e'!$J$7:$J$100,'15e'!$H$7:$H$100,$A384,'15e'!$I$7:$I$100,1)+SUMIFS('15f'!$J$7:$J$100,'15f'!$H$7:$H$100,$A384,'15f'!$I$7:$I$100,1)+SUMIFS('15g'!$J$7:$J$100,'15g'!$H$7:$H$100,$A384,'15g'!$I$7:$I$100,1)+SUMIFS('15h'!$J$7:$J$100,'15h'!$H$7:$H$100,$A384,'15h'!$I$7:$I$100,1)+SUMIFS('15i'!$J$7:$J$100,'15i'!$H$7:$H$100,$A384,'15i'!$I$7:$I$100,1)+SUMIFS('15j'!$J$7:$J$100,'15j'!$H$7:$H$100,$A384,'15j'!$I$7:$I$100,1)+SUMIFS('15k'!$J$7:$J$100,'15k'!$H$7:$H$100,$A384,'15k'!$I$7:$I$100,1)+SUMIFS('15l'!$J$7:$J$100,'15l'!$H$7:$H$100,$A384,'15l'!$I$7:$I$100,1)+SUMIFS('15m'!$J$7:$J$100,'15m'!$H$7:$H$100,$A384,'15m'!$I$7:$I$100,1)+SUMIFS('15n'!$J$7:$J$100,'15n'!$H$7:$H$100,$A384,'15n'!$I$7:$I$100,1)+SUMIFS('16'!$J$7:$J$100,'16'!$H$7:$H$100,$A384,'16'!$I$7:$I$100,1)+SUMIFS('16a'!$J$7:$J$100,'16a'!$H$7:$H$100,$A384,'16a'!$I$7:$I$100,1)+SUMIFS('17'!$J$7:$J$100,'17'!$H$7:$H$100,$A384,'17'!$I$7:$I$100,1)+SUMIFS('17a'!$J$7:$J$100,'17a'!$H$7:$H$100,$A384,'17a'!$I$7:$I$100,1)+SUMIFS('18'!$J$7:$J$100,'18'!$H$7:$H$100,$A384,'18'!$I$7:$I$100,1)+SUMIFS('18a'!$J$7:$J$100,'18a'!$H$7:$H$100,$A384,'18a'!$I$7:$I$100,1)
+SUMIFS('19'!$J$7:$J$100,'19'!$H$7:$H$100,$A384,'19'!$I$7:$I$100,1)+SUMIFS('20'!$J$7:$J$100,'20'!$H$7:$H$100,$A384,'20'!$I$7:$I$100,1)+SUMIFS('20a'!$J$7:$J$100,'20a'!$H$7:$H$100,$A384,'20a'!$I$7:$I$100,1)+SUMIFS('21'!$J$7:$J$100,'21'!$H$7:$H$100,$A384,'21'!$I$7:$I$100,1)+SUMIFS('22'!$J$7:$J$100,'22'!$H$7:$H$100,$A384,'22'!$I$7:$I$100,1)+SUMIFS('22a'!$J$7:$J$100,'22a'!$H$7:$H$100,$A384,'22a'!$I$7:$I$100,1)+SUMIFS('22b'!$J$7:$J$100,'22b'!$H$7:$H$100,$A384,'22b'!$I$7:$I$100,1)+SUMIFS('23'!$J$7:$J$100,'23'!$H$7:$H$100,$A384,'23'!$I$7:$I$100,1)+SUMIFS('24'!$J$7:$J$100,'24'!$H$7:$H$100,$A384,'24'!$I$7:$I$100,1)+SUMIFS('24a'!$J$7:$J$100,'24a'!$H$7:$H$100,$A384,'24a'!$I$7:$I$100,1)+SUMIFS('24b'!$J$7:$J$100,'24b'!$H$7:$H$100,$A384,'24b'!$I$7:$I$100,1)+SUMIFS('24c'!$J$7:$J$100,'24c'!$H$7:$H$100,$A384,'24c'!$I$7:$I$100,1)+SUMIFS('24d'!$J$7:$J$100,'24d'!$H$7:$H$100,$A384,'24d'!$I$7:$I$100,1)+SUMIFS('24e'!$J$7:$J$100,'24e'!$H$7:$H$100,$A384,'24e'!$I$7:$I$100,1)+SUMIFS('24f'!$J$7:$J$100,'24f'!$H$7:$H$100,$A384,'24f'!$I$7:$I$100,1)+SUMIFS('24g'!$J$7:$J$100,'24g'!$H$7:$H$100,$A384,'24g'!$I$7:$I$100,1)+SUMIFS('24h'!$J$7:$J$100,'24h'!$H$7:$H$100,$A384,'24h'!$I$7:$I$100,1)+SUMIFS('24i'!$J$7:$J$100,'24i'!$H$7:$H$100,$A384,'24i'!$I$7:$I$100,1)+SUMIFS('25'!$J$7:$J$100,'25'!$H$7:$H$100,$A384,'25'!$I$7:$I$100,1)+SUMIFS('26'!$J$7:$J$100,'26'!$H$7:$H$100,$A384,'26'!$I$7:$I$100,1)+SUMIFS('26a'!$J$7:$J$100,'26a'!$H$7:$H$100,$A384,'26a'!$I$7:$I$100,1)+SUMIFS('27'!$J$7:$J$100,'27'!$H$7:$H$100,$A384,'27'!$I$7:$I$100,1)+SUMIFS('27a'!$J$7:$J$100,'27a'!$H$7:$H$100,$A384,'27a'!$I$7:$I$100,1)+SUMIFS('28'!$J$7:$J$100,'28'!$H$7:$H$100,$A384,'28'!$I$7:$I$100,1)+SUMIFS('29'!$J$7:$J$100,'29'!$H$7:$H$100,$A384,'29'!$I$7:$I$100,1)</f>
        <v>0</v>
      </c>
      <c r="H384" s="1315">
        <f>SUMIFS('12'!$J$7:$J$100,'12'!$H$7:$H$100,$A384,'12'!$I$7:$I$100,2)+SUMIFS('13'!$J$7:$J$100,'13'!$H$7:$H$100,$A384,'13'!$I$7:$I$100,2)+SUMIFS('14'!$J$7:$J$100,'14'!$H$7:$H$100,$A384,'14'!$I$7:$I$100,2)+SUMIFS('15'!$J$7:$J$100,'15'!$H$7:$H$100,$A384,'15'!$I$7:$I$100,2)+SUMIFS('15a'!$J$7:$J$100,'15a'!$H$7:$H$100,$A384,'15a'!$I$7:$I$100,2)+SUMIFS('15b'!$J$7:$J$100,'15b'!$H$7:$H$100,$A384,'15b'!$I$7:$I$100,2)+SUMIFS('15c'!$J$7:$J$100,'15c'!$H$7:$H$100,$A384,'15c'!$I$7:$I$100,2)+SUMIFS('15d'!$J$7:$J$100,'15d'!$H$7:$H$100,$A384,'15d'!$I$7:$I$100,2)+SUMIFS('15e'!$J$7:$J$100,'15e'!$H$7:$H$100,$A384,'15e'!$I$7:$I$100,2)+SUMIFS('15f'!$J$7:$J$100,'15f'!$H$7:$H$100,$A384,'15f'!$I$7:$I$100,2)+SUMIFS('15g'!$J$7:$J$100,'15g'!$H$7:$H$100,$A384,'15g'!$I$7:$I$100,2)+SUMIFS('15h'!$J$7:$J$100,'15h'!$H$7:$H$100,$A384,'15h'!$I$7:$I$100,2)+SUMIFS('15i'!$J$7:$J$100,'15i'!$H$7:$H$100,$A384,'15i'!$I$7:$I$100,2)+SUMIFS('15j'!$J$7:$J$100,'15j'!$H$7:$H$100,$A384,'15j'!$I$7:$I$100,2)+SUMIFS('15k'!$J$7:$J$100,'15k'!$H$7:$H$100,$A384,'15k'!$I$7:$I$100,2)+SUMIFS('15l'!$J$7:$J$100,'15l'!$H$7:$H$100,$A384,'15l'!$I$7:$I$100,2)+SUMIFS('15m'!$J$7:$J$100,'15m'!$H$7:$H$100,$A384,'15m'!$I$7:$I$100,2)+SUMIFS('15n'!$J$7:$J$100,'15n'!$H$7:$H$100,$A384,'15n'!$I$7:$I$100,2)+SUMIFS('16'!$J$7:$J$100,'16'!$H$7:$H$100,$A384,'16'!$I$7:$I$100,2)+SUMIFS('16a'!$J$7:$J$100,'16a'!$H$7:$H$100,$A384,'16a'!$I$7:$I$100,2)+SUMIFS('17'!$J$7:$J$100,'17'!$H$7:$H$100,$A384,'17'!$I$7:$I$100,2)+SUMIFS('17a'!$J$7:$J$100,'17a'!$H$7:$H$100,$A384,'17a'!$I$7:$I$100,2)+SUMIFS('18'!$J$7:$J$100,'18'!$H$7:$H$100,$A384,'18'!$I$7:$I$100,2)+SUMIFS('18a'!$J$7:$J$100,'18a'!$H$7:$H$100,$A384,'18a'!$I$7:$I$100,2)
+SUMIFS('19'!$J$7:$J$100,'19'!$H$7:$H$100,$A384,'19'!$I$7:$I$100,2)+SUMIFS('20'!$J$7:$J$100,'20'!$H$7:$H$100,$A384,'20'!$I$7:$I$100,2)+SUMIFS('20a'!$J$7:$J$100,'20a'!$H$7:$H$100,$A384,'20a'!$I$7:$I$100,2)+SUMIFS('21'!$J$7:$J$100,'21'!$H$7:$H$100,$A384,'21'!$I$7:$I$100,2)+SUMIFS('22'!$J$7:$J$100,'22'!$H$7:$H$100,$A384,'22'!$I$7:$I$100,2)+SUMIFS('22a'!$J$7:$J$100,'22a'!$H$7:$H$100,$A384,'22a'!$I$7:$I$100,2)+SUMIFS('22b'!$J$7:$J$100,'22b'!$H$7:$H$100,$A384,'22b'!$I$7:$I$100,2)+SUMIFS('23'!$J$7:$J$100,'23'!$H$7:$H$100,$A384,'23'!$I$7:$I$100,2)+SUMIFS('24'!$J$7:$J$100,'24'!$H$7:$H$100,$A384,'24'!$I$7:$I$100,2)+SUMIFS('24a'!$J$7:$J$100,'24a'!$H$7:$H$100,$A384,'24a'!$I$7:$I$100,2)+SUMIFS('24b'!$J$7:$J$100,'24b'!$H$7:$H$100,$A384,'24b'!$I$7:$I$100,2)+SUMIFS('24c'!$J$7:$J$100,'24c'!$H$7:$H$100,$A384,'24c'!$I$7:$I$100,2)+SUMIFS('24d'!$J$7:$J$100,'24d'!$H$7:$H$100,$A384,'24d'!$I$7:$I$100,2)+SUMIFS('24e'!$J$7:$J$100,'24e'!$H$7:$H$100,$A384,'24e'!$I$7:$I$100,2)+SUMIFS('24f'!$J$7:$J$100,'24f'!$H$7:$H$100,$A384,'24f'!$I$7:$I$100,2)+SUMIFS('24g'!$J$7:$J$100,'24g'!$H$7:$H$100,$A384,'24g'!$I$7:$I$100,2)+SUMIFS('24h'!$J$7:$J$100,'24h'!$H$7:$H$100,$A384,'24h'!$I$7:$I$100,2)+SUMIFS('24i'!$J$7:$J$100,'24i'!$H$7:$H$100,$A384,'24i'!$I$7:$I$100,2)+SUMIFS('25'!$J$7:$J$100,'25'!$H$7:$H$100,$A384,'25'!$I$7:$I$100,2)+SUMIFS('26'!$J$7:$J$100,'26'!$H$7:$H$100,$A384,'26'!$I$7:$I$100,2)+SUMIFS('26a'!$J$7:$J$100,'26a'!$H$7:$H$100,$A384,'26a'!$I$7:$I$100,2)+SUMIFS('27'!$J$7:$J$100,'27'!$H$7:$H$100,$A384,'27'!$I$7:$I$100,2)+SUMIFS('27a'!$J$7:$J$100,'27a'!$H$7:$H$100,$A384,'27a'!$I$7:$I$100,2)+SUMIFS('28'!$J$7:$J$100,'28'!$H$7:$H$100,$A384,'28'!$I$7:$I$100,2)+SUMIFS('29'!$J$7:$J$100,'29'!$H$7:$H$100,$A384,'29'!$I$7:$I$100,2)</f>
        <v>0</v>
      </c>
      <c r="I384" s="1315">
        <f>SUMIFS('12'!$J$7:$J$100,'12'!$H$7:$H$100,$A384,'12'!$I$7:$I$100,"")+SUMIFS('13'!$J$7:$J$100,'13'!$H$7:$H$100,$A384,'13'!$I$7:$I$100,"")+SUMIFS('14'!$J$7:$J$100,'14'!$H$7:$H$100,$A384,'14'!$I$7:$I$100,"")+SUMIFS('15'!$J$7:$J$100,'15'!$H$7:$H$100,$A384,'15'!$I$7:$I$100,"")+SUMIFS('15a'!$J$7:$J$100,'15a'!$H$7:$H$100,$A384,'15a'!$I$7:$I$100,"")+SUMIFS('15b'!$J$7:$J$100,'15b'!$H$7:$H$100,$A384,'15b'!$I$7:$I$100,"")+SUMIFS('15c'!$J$7:$J$100,'15c'!$H$7:$H$100,$A384,'15c'!$I$7:$I$100,"")+SUMIFS('15d'!$J$7:$J$100,'15d'!$H$7:$H$100,$A384,'15d'!$I$7:$I$100,"")+SUMIFS('15e'!$J$7:$J$100,'15e'!$H$7:$H$100,$A384,'15e'!$I$7:$I$100,"")+SUMIFS('15f'!$J$7:$J$100,'15f'!$H$7:$H$100,$A384,'15f'!$I$7:$I$100,"")+SUMIFS('15g'!$J$7:$J$100,'15g'!$H$7:$H$100,$A384,'15g'!$I$7:$I$100,"")+SUMIFS('15h'!$J$7:$J$100,'15h'!$H$7:$H$100,$A384,'15h'!$I$7:$I$100,"")+SUMIFS('15i'!$J$7:$J$100,'15i'!$H$7:$H$100,$A384,'15i'!$I$7:$I$100,"")+SUMIFS('15j'!$J$7:$J$100,'15j'!$H$7:$H$100,$A384,'15j'!$I$7:$I$100,"")+SUMIFS('15k'!$J$7:$J$100,'15k'!$H$7:$H$100,$A384,'15k'!$I$7:$I$100,"")+SUMIFS('15l'!$J$7:$J$100,'15l'!$H$7:$H$100,$A384,'15l'!$I$7:$I$100,"")+SUMIFS('15m'!$J$7:$J$100,'15m'!$H$7:$H$100,$A384,'15m'!$I$7:$I$100,"")+SUMIFS('15n'!$J$7:$J$100,'15n'!$H$7:$H$100,$A384,'15n'!$I$7:$I$100,"")+SUMIFS('16'!$J$7:$J$100,'16'!$H$7:$H$100,$A384,'16'!$I$7:$I$100,"")+SUMIFS('16a'!$J$7:$J$100,'16a'!$H$7:$H$100,$A384,'16a'!$I$7:$I$100,"")+SUMIFS('17'!$J$7:$J$100,'17'!$H$7:$H$100,$A384,'17'!$I$7:$I$100,"")+SUMIFS('17a'!$J$7:$J$100,'17a'!$H$7:$H$100,$A384,'17a'!$I$7:$I$100,"")+SUMIFS('18'!$J$7:$J$100,'18'!$H$7:$H$100,$A384,'18'!$I$7:$I$100,"")+SUMIFS('18a'!$J$7:$J$100,'18a'!$H$7:$H$100,$A384,'18a'!$I$7:$I$100,"")
+SUMIFS('19'!$J$7:$J$100,'19'!$H$7:$H$100,$A384,'19'!$I$7:$I$100,"")+SUMIFS('20'!$J$7:$J$100,'20'!$H$7:$H$100,$A384,'20'!$I$7:$I$100,"")+SUMIFS('20a'!$J$7:$J$100,'20a'!$H$7:$H$100,$A384,'20a'!$I$7:$I$100,"")+SUMIFS('21'!$J$7:$J$100,'21'!$H$7:$H$100,$A384,'21'!$I$7:$I$100,"")+SUMIFS('22'!$J$7:$J$100,'22'!$H$7:$H$100,$A384,'22'!$I$7:$I$100,"")+SUMIFS('22a'!$J$7:$J$100,'22a'!$H$7:$H$100,$A384,'22a'!$I$7:$I$100,"")+SUMIFS('22b'!$J$7:$J$100,'22b'!$H$7:$H$100,$A384,'22b'!$I$7:$I$100,"")+SUMIFS('23'!$J$7:$J$100,'23'!$H$7:$H$100,$A384,'23'!$I$7:$I$100,"")+SUMIFS('24'!$J$7:$J$100,'24'!$H$7:$H$100,$A384,'24'!$I$7:$I$100,"")+SUMIFS('24a'!$J$7:$J$100,'24a'!$H$7:$H$100,$A384,'24a'!$I$7:$I$100,"")+SUMIFS('24b'!$J$7:$J$100,'24b'!$H$7:$H$100,$A384,'24b'!$I$7:$I$100,"")+SUMIFS('24c'!$J$7:$J$100,'24c'!$H$7:$H$100,$A384,'24c'!$I$7:$I$100,"")+SUMIFS('24d'!$J$7:$J$100,'24d'!$H$7:$H$100,$A384,'24d'!$I$7:$I$100,"")+SUMIFS('24e'!$J$7:$J$100,'24e'!$H$7:$H$100,$A384,'24e'!$I$7:$I$100,"")+SUMIFS('24f'!$J$7:$J$100,'24f'!$H$7:$H$100,$A384,'24f'!$I$7:$I$100,"")+SUMIFS('24g'!$J$7:$J$100,'24g'!$H$7:$H$100,$A384,'24g'!$I$7:$I$100,"")+SUMIFS('24h'!$J$7:$J$100,'24h'!$H$7:$H$100,$A384,'24h'!$I$7:$I$100,"")+SUMIFS('24i'!$J$7:$J$100,'24i'!$H$7:$H$100,$A384,'24i'!$I$7:$I$100,"")+SUMIFS('25'!$J$7:$J$100,'25'!$H$7:$H$100,$A384,'25'!$I$7:$I$100,"")+SUMIFS('26'!$J$7:$J$100,'26'!$H$7:$H$100,$A384,'26'!$I$7:$I$100,"")+SUMIFS('26a'!$J$7:$J$100,'26a'!$H$7:$H$100,$A384,'26a'!$I$7:$I$100,"")+SUMIFS('27'!$J$7:$J$100,'27'!$H$7:$H$100,$A384,'27'!$I$7:$I$100,"")+SUMIFS('27a'!$J$7:$J$100,'27a'!$H$7:$H$100,$A384,'27a'!$I$7:$I$100,"")+SUMIFS('28'!$J$7:$J$100,'28'!$H$7:$H$100,$A384,'28'!$I$7:$I$100,"")+SUMIFS('29'!$J$7:$J$100,'29'!$H$7:$H$100,$A384,'29'!$I$7:$I$100,"")</f>
        <v>0</v>
      </c>
      <c r="J384" s="1296">
        <f t="shared" si="56"/>
        <v>0</v>
      </c>
      <c r="K384"/>
      <c r="L384"/>
      <c r="M384"/>
      <c r="N384"/>
      <c r="O384"/>
      <c r="P384"/>
      <c r="Q384"/>
      <c r="R384"/>
      <c r="S384" s="1307">
        <f t="shared" si="48"/>
        <v>0</v>
      </c>
      <c r="T384"/>
    </row>
    <row r="385" spans="1:20" x14ac:dyDescent="0.2">
      <c r="A385"/>
      <c r="B385" t="s">
        <v>5427</v>
      </c>
      <c r="C385" s="1295">
        <f>SUM(C386:C392)</f>
        <v>0</v>
      </c>
      <c r="D385" s="1315">
        <f t="shared" ref="D385:E385" si="57">SUM(D386:D392)</f>
        <v>33417.630000000005</v>
      </c>
      <c r="E385" s="1315">
        <f t="shared" si="57"/>
        <v>0</v>
      </c>
      <c r="F385" s="1296">
        <f t="shared" si="55"/>
        <v>33417.630000000005</v>
      </c>
      <c r="G385" s="1295">
        <f t="shared" ref="G385" si="58">SUM(G386:G392)</f>
        <v>0</v>
      </c>
      <c r="H385" s="1315">
        <f>SUM(H386:H392)</f>
        <v>41350</v>
      </c>
      <c r="I385" s="1315">
        <f t="shared" ref="I385" si="59">SUM(I386:I392)</f>
        <v>0</v>
      </c>
      <c r="J385" s="1296">
        <f t="shared" si="56"/>
        <v>41350</v>
      </c>
      <c r="K385"/>
      <c r="L385"/>
      <c r="M385"/>
      <c r="N385"/>
      <c r="O385"/>
      <c r="P385"/>
      <c r="Q385"/>
      <c r="R385"/>
      <c r="S385" s="1307">
        <f t="shared" si="48"/>
        <v>149535.26</v>
      </c>
      <c r="T385"/>
    </row>
    <row r="386" spans="1:20" outlineLevel="1" x14ac:dyDescent="0.2">
      <c r="A386" t="s">
        <v>5135</v>
      </c>
      <c r="B386" t="s">
        <v>5409</v>
      </c>
      <c r="C386" s="1295">
        <f>SUMIFS('12'!$N$7:$N$100,'12'!$H$7:$H$100,$A385,'12'!$I$7:$I$100,1)+SUMIFS('13'!$N$7:$N$100,'13'!$H$7:$H$100,$A385,'13'!$I$7:$I$100,1)+SUMIFS('14'!$N$7:$N$100,'14'!$H$7:$H$100,$A385,'14'!$I$7:$I$100,1)+SUMIFS('15'!$N$7:$N$100,'15'!$H$7:$H$100,$A385,'15'!$I$7:$I$100,1)+SUMIFS('15a'!$N$7:$N$100,'15a'!$H$7:$H$100,$A385,'15a'!$I$7:$I$100,1)+SUMIFS('15b'!$N$7:$N$100,'15b'!$H$7:$H$100,$A385,'15b'!$I$7:$I$100,1)+SUMIFS('15c'!$N$7:$N$100,'15c'!$H$7:$H$100,$A385,'15c'!$I$7:$I$100,1)+SUMIFS('15d'!$N$7:$N$100,'15d'!$H$7:$H$100,$A385,'15d'!$I$7:$I$100,1)+SUMIFS('15e'!$N$7:$N$100,'15e'!$H$7:$H$100,$A385,'15e'!$I$7:$I$100,1)+SUMIFS('15f'!$N$7:$N$100,'15f'!$H$7:$H$100,$A385,'15f'!$I$7:$I$100,1)+SUMIFS('15g'!$N$7:$N$100,'15g'!$H$7:$H$100,$A385,'15g'!$I$7:$I$100,1)+SUMIFS('15h'!$N$7:$N$100,'15h'!$H$7:$H$100,$A385,'15h'!$I$7:$I$100,1)+SUMIFS('15i'!$N$7:$N$100,'15i'!$H$7:$H$100,$A385,'15i'!$I$7:$I$100,1)+SUMIFS('15j'!$N$7:$N$100,'15j'!$H$7:$H$100,$A385,'15j'!$I$7:$I$100,1)+SUMIFS('15k'!$N$7:$N$100,'15k'!$H$7:$H$100,$A385,'15k'!$I$7:$I$100,1)+SUMIFS('15l'!$N$7:$N$100,'15l'!$H$7:$H$100,$A385,'15l'!$I$7:$I$100,1)+SUMIFS('15m'!$N$7:$N$100,'15m'!$H$7:$H$100,$A385,'15m'!$I$7:$I$100,1)+SUMIFS('15n'!$N$7:$N$100,'15n'!$H$7:$H$100,$A385,'15n'!$I$7:$I$100,1)+SUMIFS('16'!$N$7:$N$100,'16'!$H$7:$H$100,$A385,'16'!$I$7:$I$100,1)+SUMIFS('16a'!$N$7:$N$100,'16a'!$H$7:$H$100,$A385,'16a'!$I$7:$I$100,1)+SUMIFS('17'!$N$7:$N$100,'17'!$H$7:$H$100,$A385,'17'!$I$7:$I$100,1)+SUMIFS('17a'!$N$7:$N$100,'17a'!$H$7:$H$100,$A385,'17a'!$I$7:$I$100,1)+SUMIFS('18'!$N$7:$N$100,'18'!$H$7:$H$100,$A385,'18'!$I$7:$I$100,1)+SUMIFS('18a'!$N$7:$N$100,'18a'!$H$7:$H$100,$A385,'18a'!$I$7:$I$100,1)
+SUMIFS('19'!$N$7:$N$100,'19'!$H$7:$H$100,$A385,'19'!$I$7:$I$100,1)+SUMIFS('20'!$N$7:$N$100,'20'!$H$7:$H$100,$A385,'20'!$I$7:$I$100,1)+SUMIFS('20a'!$N$7:$N$100,'20a'!$H$7:$H$100,$A385,'20a'!$I$7:$I$100,1)+SUMIFS('21'!$N$7:$N$100,'21'!$H$7:$H$100,$A385,'21'!$I$7:$I$100,1)+SUMIFS('22'!$N$7:$N$100,'22'!$H$7:$H$100,$A385,'22'!$I$7:$I$100,1)+SUMIFS('22a'!$N$7:$N$100,'22a'!$H$7:$H$100,$A385,'22a'!$I$7:$I$100,1)+SUMIFS('22b'!$N$7:$N$100,'22b'!$H$7:$H$100,$A385,'22b'!$I$7:$I$100,1)+SUMIFS('23'!$N$7:$N$100,'23'!$H$7:$H$100,$A385,'23'!$I$7:$I$100,1)+SUMIFS('24'!$N$7:$N$100,'24'!$H$7:$H$100,$A385,'24'!$I$7:$I$100,1)+SUMIFS('24a'!$N$7:$N$100,'24a'!$H$7:$H$100,$A385,'24a'!$I$7:$I$100,1)+SUMIFS('24b'!$N$7:$N$100,'24b'!$H$7:$H$100,$A385,'24b'!$I$7:$I$100,1)+SUMIFS('24c'!$N$7:$N$100,'24c'!$H$7:$H$100,$A385,'24c'!$I$7:$I$100,1)+SUMIFS('24d'!$N$7:$N$100,'24d'!$H$7:$H$100,$A385,'24d'!$I$7:$I$100,1)+SUMIFS('24e'!$N$7:$N$100,'24e'!$H$7:$H$100,$A385,'24e'!$I$7:$I$100,1)+SUMIFS('24f'!$N$7:$N$100,'24f'!$H$7:$H$100,$A385,'24f'!$I$7:$I$100,1)+SUMIFS('24g'!$N$7:$N$100,'24g'!$H$7:$H$100,$A385,'24g'!$I$7:$I$100,1)+SUMIFS('24h'!$N$7:$N$100,'24h'!$H$7:$H$100,$A385,'24h'!$I$7:$I$100,1)+SUMIFS('24i'!$N$7:$N$100,'24i'!$H$7:$H$100,$A385,'24i'!$I$7:$I$100,1)+SUMIFS('25'!$N$7:$N$100,'25'!$H$7:$H$100,$A385,'25'!$I$7:$I$100,1)+SUMIFS('26'!$N$7:$N$100,'26'!$H$7:$H$100,$A385,'26'!$I$7:$I$100,1)+SUMIFS('26a'!$N$7:$N$100,'26a'!$H$7:$H$100,$A385,'26a'!$I$7:$I$100,1)+SUMIFS('27'!$N$7:$N$100,'27'!$H$7:$H$100,$A385,'27'!$I$7:$I$100,1)+SUMIFS('27a'!$N$7:$N$100,'27a'!$H$7:$H$100,$A385,'27a'!$I$7:$I$100,1)+SUMIFS('28'!$N$7:$N$100,'28'!$H$7:$H$100,$A385,'28'!$I$7:$I$100,1)+SUMIFS('29'!$N$7:$N$100,'29'!$H$7:$H$100,$A385,'29'!$I$7:$I$100,1)</f>
        <v>0</v>
      </c>
      <c r="D386" s="1315">
        <f>SUMIFS('12'!$N$7:$N$100,'12'!$H$7:$H$100,$A385,'12'!$I$7:$I$100,2)+SUMIFS('13'!$N$7:$N$100,'13'!$H$7:$H$100,$A385,'13'!$I$7:$I$100,2)+SUMIFS('14'!$N$7:$N$100,'14'!$H$7:$H$100,$A385,'14'!$I$7:$I$100,2)+SUMIFS('15'!$N$7:$N$100,'15'!$H$7:$H$100,$A385,'15'!$I$7:$I$100,2)+SUMIFS('15a'!$N$7:$N$100,'15a'!$H$7:$H$100,$A385,'15a'!$I$7:$I$100,2)+SUMIFS('15b'!$N$7:$N$100,'15b'!$H$7:$H$100,$A385,'15b'!$I$7:$I$100,2)+SUMIFS('15c'!$N$7:$N$100,'15c'!$H$7:$H$100,$A385,'15c'!$I$7:$I$100,2)+SUMIFS('15d'!$N$7:$N$100,'15d'!$H$7:$H$100,$A385,'15d'!$I$7:$I$100,2)+SUMIFS('15e'!$N$7:$N$100,'15e'!$H$7:$H$100,$A385,'15e'!$I$7:$I$100,2)+SUMIFS('15f'!$N$7:$N$100,'15f'!$H$7:$H$100,$A385,'15f'!$I$7:$I$100,2)+SUMIFS('15g'!$N$7:$N$100,'15g'!$H$7:$H$100,$A385,'15g'!$I$7:$I$100,2)+SUMIFS('15h'!$N$7:$N$100,'15h'!$H$7:$H$100,$A385,'15h'!$I$7:$I$100,2)+SUMIFS('15i'!$N$7:$N$100,'15i'!$H$7:$H$100,$A385,'15i'!$I$7:$I$100,2)+SUMIFS('15j'!$N$7:$N$100,'15j'!$H$7:$H$100,$A385,'15j'!$I$7:$I$100,2)+SUMIFS('15k'!$N$7:$N$100,'15k'!$H$7:$H$100,$A385,'15k'!$I$7:$I$100,2)+SUMIFS('15l'!$N$7:$N$100,'15l'!$H$7:$H$100,$A385,'15l'!$I$7:$I$100,2)+SUMIFS('15m'!$N$7:$N$100,'15m'!$H$7:$H$100,$A385,'15m'!$I$7:$I$100,2)+SUMIFS('15n'!$N$7:$N$100,'15n'!$H$7:$H$100,$A385,'15n'!$I$7:$I$100,2)+SUMIFS('16'!$N$7:$N$100,'16'!$H$7:$H$100,$A385,'16'!$I$7:$I$100,2)+SUMIFS('16a'!$N$7:$N$100,'16a'!$H$7:$H$100,$A385,'16a'!$I$7:$I$100,2)+SUMIFS('17'!$N$7:$N$100,'17'!$H$7:$H$100,$A385,'17'!$I$7:$I$100,2)+SUMIFS('17a'!$N$7:$N$100,'17a'!$H$7:$H$100,$A385,'17a'!$I$7:$I$100,2)+SUMIFS('18'!$N$7:$N$100,'18'!$H$7:$H$100,$A385,'18'!$I$7:$I$100,2)+SUMIFS('18a'!$N$7:$N$100,'18a'!$H$7:$H$100,$A385,'18a'!$I$7:$I$100,2)
+SUMIFS('19'!$N$7:$N$100,'19'!$H$7:$H$100,$A385,'19'!$I$7:$I$100,2)+SUMIFS('20'!$N$7:$N$100,'20'!$H$7:$H$100,$A385,'20'!$I$7:$I$100,2)+SUMIFS('20a'!$N$7:$N$100,'20a'!$H$7:$H$100,$A385,'20a'!$I$7:$I$100,2)+SUMIFS('21'!$N$7:$N$100,'21'!$H$7:$H$100,$A385,'21'!$I$7:$I$100,2)+SUMIFS('22'!$N$7:$N$100,'22'!$H$7:$H$100,$A385,'22'!$I$7:$I$100,2)+SUMIFS('22a'!$N$7:$N$100,'22a'!$H$7:$H$100,$A385,'22a'!$I$7:$I$100,2)+SUMIFS('22b'!$N$7:$N$100,'22b'!$H$7:$H$100,$A385,'22b'!$I$7:$I$100,2)+SUMIFS('23'!$N$7:$N$100,'23'!$H$7:$H$100,$A385,'23'!$I$7:$I$100,2)+SUMIFS('24'!$N$7:$N$100,'24'!$H$7:$H$100,$A385,'24'!$I$7:$I$100,2)+SUMIFS('24a'!$N$7:$N$100,'24a'!$H$7:$H$100,$A385,'24a'!$I$7:$I$100,2)+SUMIFS('24b'!$N$7:$N$100,'24b'!$H$7:$H$100,$A385,'24b'!$I$7:$I$100,2)+SUMIFS('24c'!$N$7:$N$100,'24c'!$H$7:$H$100,$A385,'24c'!$I$7:$I$100,2)+SUMIFS('24d'!$N$7:$N$100,'24d'!$H$7:$H$100,$A385,'24d'!$I$7:$I$100,2)+SUMIFS('24e'!$N$7:$N$100,'24e'!$H$7:$H$100,$A385,'24e'!$I$7:$I$100,2)+SUMIFS('24f'!$N$7:$N$100,'24f'!$H$7:$H$100,$A385,'24f'!$I$7:$I$100,2)+SUMIFS('24g'!$N$7:$N$100,'24g'!$H$7:$H$100,$A385,'24g'!$I$7:$I$100,2)+SUMIFS('24h'!$N$7:$N$100,'24h'!$H$7:$H$100,$A385,'24h'!$I$7:$I$100,2)+SUMIFS('24i'!$N$7:$N$100,'24i'!$H$7:$H$100,$A385,'24i'!$I$7:$I$100,2)+SUMIFS('25'!$N$7:$N$100,'25'!$H$7:$H$100,$A385,'25'!$I$7:$I$100,2)+SUMIFS('26'!$N$7:$N$100,'26'!$H$7:$H$100,$A385,'26'!$I$7:$I$100,2)+SUMIFS('26a'!$N$7:$N$100,'26a'!$H$7:$H$100,$A385,'26a'!$I$7:$I$100,2)+SUMIFS('27'!$N$7:$N$100,'27'!$H$7:$H$100,$A385,'27'!$I$7:$I$100,2)+SUMIFS('27a'!$N$7:$N$100,'27a'!$H$7:$H$100,$A385,'27a'!$I$7:$I$100,2)+SUMIFS('28'!$N$7:$N$100,'28'!$H$7:$H$100,$A385,'28'!$I$7:$I$100,2)+SUMIFS('29'!$N$7:$N$100,'29'!$H$7:$H$100,$A385,'29'!$I$7:$I$100,2)</f>
        <v>0</v>
      </c>
      <c r="E386" s="1315">
        <f>SUMIFS('12'!$N$7:$N$100,'12'!$H$7:$H$100,$A385,'12'!$I$7:$I$100,"")+SUMIFS('13'!$N$7:$N$100,'13'!$H$7:$H$100,$A385,'13'!$I$7:$I$100,"")+SUMIFS('14'!$N$7:$N$100,'14'!$H$7:$H$100,$A385,'14'!$I$7:$I$100,"")+SUMIFS('15'!$N$7:$N$100,'15'!$H$7:$H$100,$A385,'15'!$I$7:$I$100,"")+SUMIFS('15a'!$N$7:$N$100,'15a'!$H$7:$H$100,$A385,'15a'!$I$7:$I$100,"")+SUMIFS('15b'!$N$7:$N$100,'15b'!$H$7:$H$100,$A385,'15b'!$I$7:$I$100,"")+SUMIFS('15c'!$N$7:$N$100,'15c'!$H$7:$H$100,$A385,'15c'!$I$7:$I$100,"")+SUMIFS('15d'!$N$7:$N$100,'15d'!$H$7:$H$100,$A385,'15d'!$I$7:$I$100,"")+SUMIFS('15e'!$N$7:$N$100,'15e'!$H$7:$H$100,$A385,'15e'!$I$7:$I$100,"")+SUMIFS('15f'!$N$7:$N$100,'15f'!$H$7:$H$100,$A385,'15f'!$I$7:$I$100,"")+SUMIFS('15g'!$N$7:$N$100,'15g'!$H$7:$H$100,$A385,'15g'!$I$7:$I$100,"")+SUMIFS('15h'!$N$7:$N$100,'15h'!$H$7:$H$100,$A385,'15h'!$I$7:$I$100,"")+SUMIFS('15i'!$N$7:$N$100,'15i'!$H$7:$H$100,$A385,'15i'!$I$7:$I$100,"")+SUMIFS('15j'!$N$7:$N$100,'15j'!$H$7:$H$100,$A385,'15j'!$I$7:$I$100,"")+SUMIFS('15k'!$N$7:$N$100,'15k'!$H$7:$H$100,$A385,'15k'!$I$7:$I$100,"")+SUMIFS('15l'!$N$7:$N$100,'15l'!$H$7:$H$100,$A385,'15l'!$I$7:$I$100,"")+SUMIFS('15m'!$N$7:$N$100,'15m'!$H$7:$H$100,$A385,'15m'!$I$7:$I$100,"")+SUMIFS('15n'!$N$7:$N$100,'15n'!$H$7:$H$100,$A385,'15n'!$I$7:$I$100,"")+SUMIFS('16'!$N$7:$N$100,'16'!$H$7:$H$100,$A385,'16'!$I$7:$I$100,"")+SUMIFS('16a'!$N$7:$N$100,'16a'!$H$7:$H$100,$A385,'16a'!$I$7:$I$100,"")+SUMIFS('17'!$N$7:$N$100,'17'!$H$7:$H$100,$A385,'17'!$I$7:$I$100,"")+SUMIFS('17a'!$N$7:$N$100,'17a'!$H$7:$H$100,$A385,'17a'!$I$7:$I$100,"")+SUMIFS('18'!$N$7:$N$100,'18'!$H$7:$H$100,$A385,'18'!$I$7:$I$100,"")+SUMIFS('18a'!$N$7:$N$100,'18a'!$H$7:$H$100,$A385,'18a'!$I$7:$I$100,"")
+SUMIFS('19'!$N$7:$N$100,'19'!$H$7:$H$100,$A385,'19'!$I$7:$I$100,"")+SUMIFS('20'!$N$7:$N$100,'20'!$H$7:$H$100,$A385,'20'!$I$7:$I$100,"")+SUMIFS('20a'!$N$7:$N$100,'20a'!$H$7:$H$100,$A385,'20a'!$I$7:$I$100,"")+SUMIFS('21'!$N$7:$N$100,'21'!$H$7:$H$100,$A385,'21'!$I$7:$I$100,"")+SUMIFS('22'!$N$7:$N$100,'22'!$H$7:$H$100,$A385,'22'!$I$7:$I$100,"")+SUMIFS('22a'!$N$7:$N$100,'22a'!$H$7:$H$100,$A385,'22a'!$I$7:$I$100,"")+SUMIFS('22b'!$N$7:$N$100,'22b'!$H$7:$H$100,$A385,'22b'!$I$7:$I$100,"")+SUMIFS('23'!$N$7:$N$100,'23'!$H$7:$H$100,$A385,'23'!$I$7:$I$100,"")+SUMIFS('24'!$N$7:$N$100,'24'!$H$7:$H$100,$A385,'24'!$I$7:$I$100,"")+SUMIFS('24a'!$N$7:$N$100,'24a'!$H$7:$H$100,$A385,'24a'!$I$7:$I$100,"")+SUMIFS('24b'!$N$7:$N$100,'24b'!$H$7:$H$100,$A385,'24b'!$I$7:$I$100,"")+SUMIFS('24c'!$N$7:$N$100,'24c'!$H$7:$H$100,$A385,'24c'!$I$7:$I$100,"")+SUMIFS('24d'!$N$7:$N$100,'24d'!$H$7:$H$100,$A385,'24d'!$I$7:$I$100,"")+SUMIFS('24e'!$N$7:$N$100,'24e'!$H$7:$H$100,$A385,'24e'!$I$7:$I$100,"")+SUMIFS('24f'!$N$7:$N$100,'24f'!$H$7:$H$100,$A385,'24f'!$I$7:$I$100,"")+SUMIFS('24g'!$N$7:$N$100,'24g'!$H$7:$H$100,$A385,'24g'!$I$7:$I$100,"")+SUMIFS('24h'!$N$7:$N$100,'24h'!$H$7:$H$100,$A385,'24h'!$I$7:$I$100,"")+SUMIFS('24i'!$N$7:$N$100,'24i'!$H$7:$H$100,$A385,'24i'!$I$7:$I$100,"")+SUMIFS('25'!$N$7:$N$100,'25'!$H$7:$H$100,$A385,'25'!$I$7:$I$100,"")+SUMIFS('26'!$N$7:$N$100,'26'!$H$7:$H$100,$A385,'26'!$I$7:$I$100,"")+SUMIFS('26a'!$N$7:$N$100,'26a'!$H$7:$H$100,$A385,'26a'!$I$7:$I$100,"")+SUMIFS('27'!$N$7:$N$100,'27'!$H$7:$H$100,$A385,'27'!$I$7:$I$100,"")+SUMIFS('27a'!$N$7:$N$100,'27a'!$H$7:$H$100,$A385,'27a'!$I$7:$I$100,"")+SUMIFS('28'!$N$7:$N$100,'28'!$H$7:$H$100,$A385,'28'!$I$7:$I$100,"")+SUMIFS('29'!$N$7:$N$100,'29'!$H$7:$H$100,$A385,'29'!$I$7:$I$100,"")</f>
        <v>0</v>
      </c>
      <c r="F386" s="1296">
        <f t="shared" ref="F386:F392" si="60">SUM(C386:E386)</f>
        <v>0</v>
      </c>
      <c r="G386" s="1295">
        <f>SUMIFS('12'!$J$7:$J$100,'12'!$H$7:$H$100,$A385,'12'!$I$7:$I$100,1)+SUMIFS('13'!$J$7:$J$100,'13'!$H$7:$H$100,$A385,'13'!$I$7:$I$100,1)+SUMIFS('14'!$J$7:$J$100,'14'!$H$7:$H$100,$A385,'14'!$I$7:$I$100,1)+SUMIFS('15'!$J$7:$J$100,'15'!$H$7:$H$100,$A385,'15'!$I$7:$I$100,1)+SUMIFS('15a'!$J$7:$J$100,'15a'!$H$7:$H$100,$A385,'15a'!$I$7:$I$100,1)+SUMIFS('15b'!$J$7:$J$100,'15b'!$H$7:$H$100,$A385,'15b'!$I$7:$I$100,1)+SUMIFS('15c'!$J$7:$J$100,'15c'!$H$7:$H$100,$A385,'15c'!$I$7:$I$100,1)+SUMIFS('15d'!$J$7:$J$100,'15d'!$H$7:$H$100,$A385,'15d'!$I$7:$I$100,1)+SUMIFS('15e'!$J$7:$J$100,'15e'!$H$7:$H$100,$A385,'15e'!$I$7:$I$100,1)+SUMIFS('15f'!$J$7:$J$100,'15f'!$H$7:$H$100,$A385,'15f'!$I$7:$I$100,1)+SUMIFS('15g'!$J$7:$J$100,'15g'!$H$7:$H$100,$A385,'15g'!$I$7:$I$100,1)+SUMIFS('15h'!$J$7:$J$100,'15h'!$H$7:$H$100,$A385,'15h'!$I$7:$I$100,1)+SUMIFS('15i'!$J$7:$J$100,'15i'!$H$7:$H$100,$A385,'15i'!$I$7:$I$100,1)+SUMIFS('15j'!$J$7:$J$100,'15j'!$H$7:$H$100,$A385,'15j'!$I$7:$I$100,1)+SUMIFS('15k'!$J$7:$J$100,'15k'!$H$7:$H$100,$A385,'15k'!$I$7:$I$100,1)+SUMIFS('15l'!$J$7:$J$100,'15l'!$H$7:$H$100,$A385,'15l'!$I$7:$I$100,1)+SUMIFS('15m'!$J$7:$J$100,'15m'!$H$7:$H$100,$A385,'15m'!$I$7:$I$100,1)+SUMIFS('15n'!$J$7:$J$100,'15n'!$H$7:$H$100,$A385,'15n'!$I$7:$I$100,1)+SUMIFS('16'!$J$7:$J$100,'16'!$H$7:$H$100,$A385,'16'!$I$7:$I$100,1)+SUMIFS('16a'!$J$7:$J$100,'16a'!$H$7:$H$100,$A385,'16a'!$I$7:$I$100,1)+SUMIFS('17'!$J$7:$J$100,'17'!$H$7:$H$100,$A385,'17'!$I$7:$I$100,1)+SUMIFS('17a'!$J$7:$J$100,'17a'!$H$7:$H$100,$A385,'17a'!$I$7:$I$100,1)+SUMIFS('18'!$J$7:$J$100,'18'!$H$7:$H$100,$A385,'18'!$I$7:$I$100,1)+SUMIFS('18a'!$J$7:$J$100,'18a'!$H$7:$H$100,$A385,'18a'!$I$7:$I$100,1)
+SUMIFS('19'!$J$7:$J$100,'19'!$H$7:$H$100,$A385,'19'!$I$7:$I$100,1)+SUMIFS('20'!$J$7:$J$100,'20'!$H$7:$H$100,$A385,'20'!$I$7:$I$100,1)+SUMIFS('20a'!$J$7:$J$100,'20a'!$H$7:$H$100,$A385,'20a'!$I$7:$I$100,1)+SUMIFS('21'!$J$7:$J$100,'21'!$H$7:$H$100,$A385,'21'!$I$7:$I$100,1)+SUMIFS('22'!$J$7:$J$100,'22'!$H$7:$H$100,$A385,'22'!$I$7:$I$100,1)+SUMIFS('22a'!$J$7:$J$100,'22a'!$H$7:$H$100,$A385,'22a'!$I$7:$I$100,1)+SUMIFS('22b'!$J$7:$J$100,'22b'!$H$7:$H$100,$A385,'22b'!$I$7:$I$100,1)+SUMIFS('23'!$J$7:$J$100,'23'!$H$7:$H$100,$A385,'23'!$I$7:$I$100,1)+SUMIFS('24'!$J$7:$J$100,'24'!$H$7:$H$100,$A385,'24'!$I$7:$I$100,1)+SUMIFS('24a'!$J$7:$J$100,'24a'!$H$7:$H$100,$A385,'24a'!$I$7:$I$100,1)+SUMIFS('24b'!$J$7:$J$100,'24b'!$H$7:$H$100,$A385,'24b'!$I$7:$I$100,1)+SUMIFS('24c'!$J$7:$J$100,'24c'!$H$7:$H$100,$A385,'24c'!$I$7:$I$100,1)+SUMIFS('24d'!$J$7:$J$100,'24d'!$H$7:$H$100,$A385,'24d'!$I$7:$I$100,1)+SUMIFS('24e'!$J$7:$J$100,'24e'!$H$7:$H$100,$A385,'24e'!$I$7:$I$100,1)+SUMIFS('24f'!$J$7:$J$100,'24f'!$H$7:$H$100,$A385,'24f'!$I$7:$I$100,1)+SUMIFS('24g'!$J$7:$J$100,'24g'!$H$7:$H$100,$A385,'24g'!$I$7:$I$100,1)+SUMIFS('24h'!$J$7:$J$100,'24h'!$H$7:$H$100,$A385,'24h'!$I$7:$I$100,1)+SUMIFS('24i'!$J$7:$J$100,'24i'!$H$7:$H$100,$A385,'24i'!$I$7:$I$100,1)+SUMIFS('25'!$J$7:$J$100,'25'!$H$7:$H$100,$A385,'25'!$I$7:$I$100,1)+SUMIFS('26'!$J$7:$J$100,'26'!$H$7:$H$100,$A385,'26'!$I$7:$I$100,1)+SUMIFS('26a'!$J$7:$J$100,'26a'!$H$7:$H$100,$A385,'26a'!$I$7:$I$100,1)+SUMIFS('27'!$J$7:$J$100,'27'!$H$7:$H$100,$A385,'27'!$I$7:$I$100,1)+SUMIFS('27a'!$J$7:$J$100,'27a'!$H$7:$H$100,$A385,'27a'!$I$7:$I$100,1)+SUMIFS('28'!$J$7:$J$100,'28'!$H$7:$H$100,$A385,'28'!$I$7:$I$100,1)+SUMIFS('29'!$J$7:$J$100,'29'!$H$7:$H$100,$A385,'29'!$I$7:$I$100,1)</f>
        <v>0</v>
      </c>
      <c r="H386" s="1315">
        <f>SUMIFS('12'!$J$7:$J$100,'12'!$H$7:$H$100,$A385,'12'!$I$7:$I$100,2)+SUMIFS('13'!$J$7:$J$100,'13'!$H$7:$H$100,$A385,'13'!$I$7:$I$100,2)+SUMIFS('14'!$J$7:$J$100,'14'!$H$7:$H$100,$A385,'14'!$I$7:$I$100,2)+SUMIFS('15'!$J$7:$J$100,'15'!$H$7:$H$100,$A385,'15'!$I$7:$I$100,2)+SUMIFS('15a'!$J$7:$J$100,'15a'!$H$7:$H$100,$A385,'15a'!$I$7:$I$100,2)+SUMIFS('15b'!$J$7:$J$100,'15b'!$H$7:$H$100,$A385,'15b'!$I$7:$I$100,2)+SUMIFS('15c'!$J$7:$J$100,'15c'!$H$7:$H$100,$A385,'15c'!$I$7:$I$100,2)+SUMIFS('15d'!$J$7:$J$100,'15d'!$H$7:$H$100,$A385,'15d'!$I$7:$I$100,2)+SUMIFS('15e'!$J$7:$J$100,'15e'!$H$7:$H$100,$A385,'15e'!$I$7:$I$100,2)+SUMIFS('15f'!$J$7:$J$100,'15f'!$H$7:$H$100,$A385,'15f'!$I$7:$I$100,2)+SUMIFS('15g'!$J$7:$J$100,'15g'!$H$7:$H$100,$A385,'15g'!$I$7:$I$100,2)+SUMIFS('15h'!$J$7:$J$100,'15h'!$H$7:$H$100,$A385,'15h'!$I$7:$I$100,2)+SUMIFS('15i'!$J$7:$J$100,'15i'!$H$7:$H$100,$A385,'15i'!$I$7:$I$100,2)+SUMIFS('15j'!$J$7:$J$100,'15j'!$H$7:$H$100,$A385,'15j'!$I$7:$I$100,2)+SUMIFS('15k'!$J$7:$J$100,'15k'!$H$7:$H$100,$A385,'15k'!$I$7:$I$100,2)+SUMIFS('15l'!$J$7:$J$100,'15l'!$H$7:$H$100,$A385,'15l'!$I$7:$I$100,2)+SUMIFS('15m'!$J$7:$J$100,'15m'!$H$7:$H$100,$A385,'15m'!$I$7:$I$100,2)+SUMIFS('15n'!$J$7:$J$100,'15n'!$H$7:$H$100,$A385,'15n'!$I$7:$I$100,2)+SUMIFS('16'!$J$7:$J$100,'16'!$H$7:$H$100,$A385,'16'!$I$7:$I$100,2)+SUMIFS('16a'!$J$7:$J$100,'16a'!$H$7:$H$100,$A385,'16a'!$I$7:$I$100,2)+SUMIFS('17'!$J$7:$J$100,'17'!$H$7:$H$100,$A385,'17'!$I$7:$I$100,2)+SUMIFS('17a'!$J$7:$J$100,'17a'!$H$7:$H$100,$A385,'17a'!$I$7:$I$100,2)+SUMIFS('18'!$J$7:$J$100,'18'!$H$7:$H$100,$A385,'18'!$I$7:$I$100,2)+SUMIFS('18a'!$J$7:$J$100,'18a'!$H$7:$H$100,$A385,'18a'!$I$7:$I$100,2)
+SUMIFS('19'!$J$7:$J$100,'19'!$H$7:$H$100,$A385,'19'!$I$7:$I$100,2)+SUMIFS('20'!$J$7:$J$100,'20'!$H$7:$H$100,$A385,'20'!$I$7:$I$100,2)+SUMIFS('20a'!$J$7:$J$100,'20a'!$H$7:$H$100,$A385,'20a'!$I$7:$I$100,2)+SUMIFS('21'!$J$7:$J$100,'21'!$H$7:$H$100,$A385,'21'!$I$7:$I$100,2)+SUMIFS('22'!$J$7:$J$100,'22'!$H$7:$H$100,$A385,'22'!$I$7:$I$100,2)+SUMIFS('22a'!$J$7:$J$100,'22a'!$H$7:$H$100,$A385,'22a'!$I$7:$I$100,2)+SUMIFS('22b'!$J$7:$J$100,'22b'!$H$7:$H$100,$A385,'22b'!$I$7:$I$100,2)+SUMIFS('23'!$J$7:$J$100,'23'!$H$7:$H$100,$A385,'23'!$I$7:$I$100,2)+SUMIFS('24'!$J$7:$J$100,'24'!$H$7:$H$100,$A385,'24'!$I$7:$I$100,2)+SUMIFS('24a'!$J$7:$J$100,'24a'!$H$7:$H$100,$A385,'24a'!$I$7:$I$100,2)+SUMIFS('24b'!$J$7:$J$100,'24b'!$H$7:$H$100,$A385,'24b'!$I$7:$I$100,2)+SUMIFS('24c'!$J$7:$J$100,'24c'!$H$7:$H$100,$A385,'24c'!$I$7:$I$100,2)+SUMIFS('24d'!$J$7:$J$100,'24d'!$H$7:$H$100,$A385,'24d'!$I$7:$I$100,2)+SUMIFS('24e'!$J$7:$J$100,'24e'!$H$7:$H$100,$A385,'24e'!$I$7:$I$100,2)+SUMIFS('24f'!$J$7:$J$100,'24f'!$H$7:$H$100,$A385,'24f'!$I$7:$I$100,2)+SUMIFS('24g'!$J$7:$J$100,'24g'!$H$7:$H$100,$A385,'24g'!$I$7:$I$100,2)+SUMIFS('24h'!$J$7:$J$100,'24h'!$H$7:$H$100,$A385,'24h'!$I$7:$I$100,2)+SUMIFS('24i'!$J$7:$J$100,'24i'!$H$7:$H$100,$A385,'24i'!$I$7:$I$100,2)+SUMIFS('25'!$J$7:$J$100,'25'!$H$7:$H$100,$A385,'25'!$I$7:$I$100,2)+SUMIFS('26'!$J$7:$J$100,'26'!$H$7:$H$100,$A385,'26'!$I$7:$I$100,2)+SUMIFS('26a'!$J$7:$J$100,'26a'!$H$7:$H$100,$A385,'26a'!$I$7:$I$100,2)+SUMIFS('27'!$J$7:$J$100,'27'!$H$7:$H$100,$A385,'27'!$I$7:$I$100,2)+SUMIFS('27a'!$J$7:$J$100,'27a'!$H$7:$H$100,$A385,'27a'!$I$7:$I$100,2)+SUMIFS('28'!$J$7:$J$100,'28'!$H$7:$H$100,$A385,'28'!$I$7:$I$100,2)+SUMIFS('29'!$J$7:$J$100,'29'!$H$7:$H$100,$A385,'29'!$I$7:$I$100,2)</f>
        <v>0</v>
      </c>
      <c r="I386" s="1315">
        <f>SUMIFS('12'!$J$7:$J$100,'12'!$H$7:$H$100,$A385,'12'!$I$7:$I$100,"")+SUMIFS('13'!$J$7:$J$100,'13'!$H$7:$H$100,$A385,'13'!$I$7:$I$100,"")+SUMIFS('14'!$J$7:$J$100,'14'!$H$7:$H$100,$A385,'14'!$I$7:$I$100,"")+SUMIFS('15'!$J$7:$J$100,'15'!$H$7:$H$100,$A385,'15'!$I$7:$I$100,"")+SUMIFS('15a'!$J$7:$J$100,'15a'!$H$7:$H$100,$A385,'15a'!$I$7:$I$100,"")+SUMIFS('15b'!$J$7:$J$100,'15b'!$H$7:$H$100,$A385,'15b'!$I$7:$I$100,"")+SUMIFS('15c'!$J$7:$J$100,'15c'!$H$7:$H$100,$A385,'15c'!$I$7:$I$100,"")+SUMIFS('15d'!$J$7:$J$100,'15d'!$H$7:$H$100,$A385,'15d'!$I$7:$I$100,"")+SUMIFS('15e'!$J$7:$J$100,'15e'!$H$7:$H$100,$A385,'15e'!$I$7:$I$100,"")+SUMIFS('15f'!$J$7:$J$100,'15f'!$H$7:$H$100,$A385,'15f'!$I$7:$I$100,"")+SUMIFS('15g'!$J$7:$J$100,'15g'!$H$7:$H$100,$A385,'15g'!$I$7:$I$100,"")+SUMIFS('15h'!$J$7:$J$100,'15h'!$H$7:$H$100,$A385,'15h'!$I$7:$I$100,"")+SUMIFS('15i'!$J$7:$J$100,'15i'!$H$7:$H$100,$A385,'15i'!$I$7:$I$100,"")+SUMIFS('15j'!$J$7:$J$100,'15j'!$H$7:$H$100,$A385,'15j'!$I$7:$I$100,"")+SUMIFS('15k'!$J$7:$J$100,'15k'!$H$7:$H$100,$A385,'15k'!$I$7:$I$100,"")+SUMIFS('15l'!$J$7:$J$100,'15l'!$H$7:$H$100,$A385,'15l'!$I$7:$I$100,"")+SUMIFS('15m'!$J$7:$J$100,'15m'!$H$7:$H$100,$A385,'15m'!$I$7:$I$100,"")+SUMIFS('15n'!$J$7:$J$100,'15n'!$H$7:$H$100,$A385,'15n'!$I$7:$I$100,"")+SUMIFS('16'!$J$7:$J$100,'16'!$H$7:$H$100,$A385,'16'!$I$7:$I$100,"")+SUMIFS('16a'!$J$7:$J$100,'16a'!$H$7:$H$100,$A385,'16a'!$I$7:$I$100,"")+SUMIFS('17'!$J$7:$J$100,'17'!$H$7:$H$100,$A385,'17'!$I$7:$I$100,"")+SUMIFS('17a'!$J$7:$J$100,'17a'!$H$7:$H$100,$A385,'17a'!$I$7:$I$100,"")+SUMIFS('18'!$J$7:$J$100,'18'!$H$7:$H$100,$A385,'18'!$I$7:$I$100,"")+SUMIFS('18a'!$J$7:$J$100,'18a'!$H$7:$H$100,$A385,'18a'!$I$7:$I$100,"")
+SUMIFS('19'!$J$7:$J$100,'19'!$H$7:$H$100,$A385,'19'!$I$7:$I$100,"")+SUMIFS('20'!$J$7:$J$100,'20'!$H$7:$H$100,$A385,'20'!$I$7:$I$100,"")+SUMIFS('20a'!$J$7:$J$100,'20a'!$H$7:$H$100,$A385,'20a'!$I$7:$I$100,"")+SUMIFS('21'!$J$7:$J$100,'21'!$H$7:$H$100,$A385,'21'!$I$7:$I$100,"")+SUMIFS('22'!$J$7:$J$100,'22'!$H$7:$H$100,$A385,'22'!$I$7:$I$100,"")+SUMIFS('22a'!$J$7:$J$100,'22a'!$H$7:$H$100,$A385,'22a'!$I$7:$I$100,"")+SUMIFS('22b'!$J$7:$J$100,'22b'!$H$7:$H$100,$A385,'22b'!$I$7:$I$100,"")+SUMIFS('23'!$J$7:$J$100,'23'!$H$7:$H$100,$A385,'23'!$I$7:$I$100,"")+SUMIFS('24'!$J$7:$J$100,'24'!$H$7:$H$100,$A385,'24'!$I$7:$I$100,"")+SUMIFS('24a'!$J$7:$J$100,'24a'!$H$7:$H$100,$A385,'24a'!$I$7:$I$100,"")+SUMIFS('24b'!$J$7:$J$100,'24b'!$H$7:$H$100,$A385,'24b'!$I$7:$I$100,"")+SUMIFS('24c'!$J$7:$J$100,'24c'!$H$7:$H$100,$A385,'24c'!$I$7:$I$100,"")+SUMIFS('24d'!$J$7:$J$100,'24d'!$H$7:$H$100,$A385,'24d'!$I$7:$I$100,"")+SUMIFS('24e'!$J$7:$J$100,'24e'!$H$7:$H$100,$A385,'24e'!$I$7:$I$100,"")+SUMIFS('24f'!$J$7:$J$100,'24f'!$H$7:$H$100,$A385,'24f'!$I$7:$I$100,"")+SUMIFS('24g'!$J$7:$J$100,'24g'!$H$7:$H$100,$A385,'24g'!$I$7:$I$100,"")+SUMIFS('24h'!$J$7:$J$100,'24h'!$H$7:$H$100,$A385,'24h'!$I$7:$I$100,"")+SUMIFS('24i'!$J$7:$J$100,'24i'!$H$7:$H$100,$A385,'24i'!$I$7:$I$100,"")+SUMIFS('25'!$J$7:$J$100,'25'!$H$7:$H$100,$A385,'25'!$I$7:$I$100,"")+SUMIFS('26'!$J$7:$J$100,'26'!$H$7:$H$100,$A385,'26'!$I$7:$I$100,"")+SUMIFS('26a'!$J$7:$J$100,'26a'!$H$7:$H$100,$A385,'26a'!$I$7:$I$100,"")+SUMIFS('27'!$J$7:$J$100,'27'!$H$7:$H$100,$A385,'27'!$I$7:$I$100,"")+SUMIFS('27a'!$J$7:$J$100,'27a'!$H$7:$H$100,$A385,'27a'!$I$7:$I$100,"")+SUMIFS('28'!$J$7:$J$100,'28'!$H$7:$H$100,$A385,'28'!$I$7:$I$100,"")+SUMIFS('29'!$J$7:$J$100,'29'!$H$7:$H$100,$A385,'29'!$I$7:$I$100,"")</f>
        <v>0</v>
      </c>
      <c r="J386" s="1296">
        <f t="shared" ref="J386:J392" si="61">SUM(G386:I386)</f>
        <v>0</v>
      </c>
      <c r="K386"/>
      <c r="L386"/>
      <c r="M386"/>
      <c r="N386"/>
      <c r="O386"/>
      <c r="P386"/>
      <c r="Q386"/>
      <c r="R386"/>
      <c r="S386" s="1307">
        <f t="shared" si="48"/>
        <v>0</v>
      </c>
      <c r="T386"/>
    </row>
    <row r="387" spans="1:20" outlineLevel="1" x14ac:dyDescent="0.2">
      <c r="A387" t="s">
        <v>5137</v>
      </c>
      <c r="B387" t="s">
        <v>5409</v>
      </c>
      <c r="C387" s="1295">
        <f>SUMIFS('12'!$N$7:$N$100,'12'!$H$7:$H$100,$A386,'12'!$I$7:$I$100,1)+SUMIFS('13'!$N$7:$N$100,'13'!$H$7:$H$100,$A386,'13'!$I$7:$I$100,1)+SUMIFS('14'!$N$7:$N$100,'14'!$H$7:$H$100,$A386,'14'!$I$7:$I$100,1)+SUMIFS('15'!$N$7:$N$100,'15'!$H$7:$H$100,$A386,'15'!$I$7:$I$100,1)+SUMIFS('15a'!$N$7:$N$100,'15a'!$H$7:$H$100,$A386,'15a'!$I$7:$I$100,1)+SUMIFS('15b'!$N$7:$N$100,'15b'!$H$7:$H$100,$A386,'15b'!$I$7:$I$100,1)+SUMIFS('15c'!$N$7:$N$100,'15c'!$H$7:$H$100,$A386,'15c'!$I$7:$I$100,1)+SUMIFS('15d'!$N$7:$N$100,'15d'!$H$7:$H$100,$A386,'15d'!$I$7:$I$100,1)+SUMIFS('15e'!$N$7:$N$100,'15e'!$H$7:$H$100,$A386,'15e'!$I$7:$I$100,1)+SUMIFS('15f'!$N$7:$N$100,'15f'!$H$7:$H$100,$A386,'15f'!$I$7:$I$100,1)+SUMIFS('15g'!$N$7:$N$100,'15g'!$H$7:$H$100,$A386,'15g'!$I$7:$I$100,1)+SUMIFS('15h'!$N$7:$N$100,'15h'!$H$7:$H$100,$A386,'15h'!$I$7:$I$100,1)+SUMIFS('15i'!$N$7:$N$100,'15i'!$H$7:$H$100,$A386,'15i'!$I$7:$I$100,1)+SUMIFS('15j'!$N$7:$N$100,'15j'!$H$7:$H$100,$A386,'15j'!$I$7:$I$100,1)+SUMIFS('15k'!$N$7:$N$100,'15k'!$H$7:$H$100,$A386,'15k'!$I$7:$I$100,1)+SUMIFS('15l'!$N$7:$N$100,'15l'!$H$7:$H$100,$A386,'15l'!$I$7:$I$100,1)+SUMIFS('15m'!$N$7:$N$100,'15m'!$H$7:$H$100,$A386,'15m'!$I$7:$I$100,1)+SUMIFS('15n'!$N$7:$N$100,'15n'!$H$7:$H$100,$A386,'15n'!$I$7:$I$100,1)+SUMIFS('16'!$N$7:$N$100,'16'!$H$7:$H$100,$A386,'16'!$I$7:$I$100,1)+SUMIFS('16a'!$N$7:$N$100,'16a'!$H$7:$H$100,$A386,'16a'!$I$7:$I$100,1)+SUMIFS('17'!$N$7:$N$100,'17'!$H$7:$H$100,$A386,'17'!$I$7:$I$100,1)+SUMIFS('17a'!$N$7:$N$100,'17a'!$H$7:$H$100,$A386,'17a'!$I$7:$I$100,1)+SUMIFS('18'!$N$7:$N$100,'18'!$H$7:$H$100,$A386,'18'!$I$7:$I$100,1)+SUMIFS('18a'!$N$7:$N$100,'18a'!$H$7:$H$100,$A386,'18a'!$I$7:$I$100,1)
+SUMIFS('19'!$N$7:$N$100,'19'!$H$7:$H$100,$A386,'19'!$I$7:$I$100,1)+SUMIFS('20'!$N$7:$N$100,'20'!$H$7:$H$100,$A386,'20'!$I$7:$I$100,1)+SUMIFS('20a'!$N$7:$N$100,'20a'!$H$7:$H$100,$A386,'20a'!$I$7:$I$100,1)+SUMIFS('21'!$N$7:$N$100,'21'!$H$7:$H$100,$A386,'21'!$I$7:$I$100,1)+SUMIFS('22'!$N$7:$N$100,'22'!$H$7:$H$100,$A386,'22'!$I$7:$I$100,1)+SUMIFS('22a'!$N$7:$N$100,'22a'!$H$7:$H$100,$A386,'22a'!$I$7:$I$100,1)+SUMIFS('22b'!$N$7:$N$100,'22b'!$H$7:$H$100,$A386,'22b'!$I$7:$I$100,1)+SUMIFS('23'!$N$7:$N$100,'23'!$H$7:$H$100,$A386,'23'!$I$7:$I$100,1)+SUMIFS('24'!$N$7:$N$100,'24'!$H$7:$H$100,$A386,'24'!$I$7:$I$100,1)+SUMIFS('24a'!$N$7:$N$100,'24a'!$H$7:$H$100,$A386,'24a'!$I$7:$I$100,1)+SUMIFS('24b'!$N$7:$N$100,'24b'!$H$7:$H$100,$A386,'24b'!$I$7:$I$100,1)+SUMIFS('24c'!$N$7:$N$100,'24c'!$H$7:$H$100,$A386,'24c'!$I$7:$I$100,1)+SUMIFS('24d'!$N$7:$N$100,'24d'!$H$7:$H$100,$A386,'24d'!$I$7:$I$100,1)+SUMIFS('24e'!$N$7:$N$100,'24e'!$H$7:$H$100,$A386,'24e'!$I$7:$I$100,1)+SUMIFS('24f'!$N$7:$N$100,'24f'!$H$7:$H$100,$A386,'24f'!$I$7:$I$100,1)+SUMIFS('24g'!$N$7:$N$100,'24g'!$H$7:$H$100,$A386,'24g'!$I$7:$I$100,1)+SUMIFS('24h'!$N$7:$N$100,'24h'!$H$7:$H$100,$A386,'24h'!$I$7:$I$100,1)+SUMIFS('24i'!$N$7:$N$100,'24i'!$H$7:$H$100,$A386,'24i'!$I$7:$I$100,1)+SUMIFS('25'!$N$7:$N$100,'25'!$H$7:$H$100,$A386,'25'!$I$7:$I$100,1)+SUMIFS('26'!$N$7:$N$100,'26'!$H$7:$H$100,$A386,'26'!$I$7:$I$100,1)+SUMIFS('26a'!$N$7:$N$100,'26a'!$H$7:$H$100,$A386,'26a'!$I$7:$I$100,1)+SUMIFS('27'!$N$7:$N$100,'27'!$H$7:$H$100,$A386,'27'!$I$7:$I$100,1)+SUMIFS('27a'!$N$7:$N$100,'27a'!$H$7:$H$100,$A386,'27a'!$I$7:$I$100,1)+SUMIFS('28'!$N$7:$N$100,'28'!$H$7:$H$100,$A386,'28'!$I$7:$I$100,1)+SUMIFS('29'!$N$7:$N$100,'29'!$H$7:$H$100,$A386,'29'!$I$7:$I$100,1)</f>
        <v>0</v>
      </c>
      <c r="D387" s="1315">
        <f>SUMIFS('12'!$N$7:$N$100,'12'!$H$7:$H$100,$A386,'12'!$I$7:$I$100,2)+SUMIFS('13'!$N$7:$N$100,'13'!$H$7:$H$100,$A386,'13'!$I$7:$I$100,2)+SUMIFS('14'!$N$7:$N$100,'14'!$H$7:$H$100,$A386,'14'!$I$7:$I$100,2)+SUMIFS('15'!$N$7:$N$100,'15'!$H$7:$H$100,$A386,'15'!$I$7:$I$100,2)+SUMIFS('15a'!$N$7:$N$100,'15a'!$H$7:$H$100,$A386,'15a'!$I$7:$I$100,2)+SUMIFS('15b'!$N$7:$N$100,'15b'!$H$7:$H$100,$A386,'15b'!$I$7:$I$100,2)+SUMIFS('15c'!$N$7:$N$100,'15c'!$H$7:$H$100,$A386,'15c'!$I$7:$I$100,2)+SUMIFS('15d'!$N$7:$N$100,'15d'!$H$7:$H$100,$A386,'15d'!$I$7:$I$100,2)+SUMIFS('15e'!$N$7:$N$100,'15e'!$H$7:$H$100,$A386,'15e'!$I$7:$I$100,2)+SUMIFS('15f'!$N$7:$N$100,'15f'!$H$7:$H$100,$A386,'15f'!$I$7:$I$100,2)+SUMIFS('15g'!$N$7:$N$100,'15g'!$H$7:$H$100,$A386,'15g'!$I$7:$I$100,2)+SUMIFS('15h'!$N$7:$N$100,'15h'!$H$7:$H$100,$A386,'15h'!$I$7:$I$100,2)+SUMIFS('15i'!$N$7:$N$100,'15i'!$H$7:$H$100,$A386,'15i'!$I$7:$I$100,2)+SUMIFS('15j'!$N$7:$N$100,'15j'!$H$7:$H$100,$A386,'15j'!$I$7:$I$100,2)+SUMIFS('15k'!$N$7:$N$100,'15k'!$H$7:$H$100,$A386,'15k'!$I$7:$I$100,2)+SUMIFS('15l'!$N$7:$N$100,'15l'!$H$7:$H$100,$A386,'15l'!$I$7:$I$100,2)+SUMIFS('15m'!$N$7:$N$100,'15m'!$H$7:$H$100,$A386,'15m'!$I$7:$I$100,2)+SUMIFS('15n'!$N$7:$N$100,'15n'!$H$7:$H$100,$A386,'15n'!$I$7:$I$100,2)+SUMIFS('16'!$N$7:$N$100,'16'!$H$7:$H$100,$A386,'16'!$I$7:$I$100,2)+SUMIFS('16a'!$N$7:$N$100,'16a'!$H$7:$H$100,$A386,'16a'!$I$7:$I$100,2)+SUMIFS('17'!$N$7:$N$100,'17'!$H$7:$H$100,$A386,'17'!$I$7:$I$100,2)+SUMIFS('17a'!$N$7:$N$100,'17a'!$H$7:$H$100,$A386,'17a'!$I$7:$I$100,2)+SUMIFS('18'!$N$7:$N$100,'18'!$H$7:$H$100,$A386,'18'!$I$7:$I$100,2)+SUMIFS('18a'!$N$7:$N$100,'18a'!$H$7:$H$100,$A386,'18a'!$I$7:$I$100,2)
+SUMIFS('19'!$N$7:$N$100,'19'!$H$7:$H$100,$A386,'19'!$I$7:$I$100,2)+SUMIFS('20'!$N$7:$N$100,'20'!$H$7:$H$100,$A386,'20'!$I$7:$I$100,2)+SUMIFS('20a'!$N$7:$N$100,'20a'!$H$7:$H$100,$A386,'20a'!$I$7:$I$100,2)+SUMIFS('21'!$N$7:$N$100,'21'!$H$7:$H$100,$A386,'21'!$I$7:$I$100,2)+SUMIFS('22'!$N$7:$N$100,'22'!$H$7:$H$100,$A386,'22'!$I$7:$I$100,2)+SUMIFS('22a'!$N$7:$N$100,'22a'!$H$7:$H$100,$A386,'22a'!$I$7:$I$100,2)+SUMIFS('22b'!$N$7:$N$100,'22b'!$H$7:$H$100,$A386,'22b'!$I$7:$I$100,2)+SUMIFS('23'!$N$7:$N$100,'23'!$H$7:$H$100,$A386,'23'!$I$7:$I$100,2)+SUMIFS('24'!$N$7:$N$100,'24'!$H$7:$H$100,$A386,'24'!$I$7:$I$100,2)+SUMIFS('24a'!$N$7:$N$100,'24a'!$H$7:$H$100,$A386,'24a'!$I$7:$I$100,2)+SUMIFS('24b'!$N$7:$N$100,'24b'!$H$7:$H$100,$A386,'24b'!$I$7:$I$100,2)+SUMIFS('24c'!$N$7:$N$100,'24c'!$H$7:$H$100,$A386,'24c'!$I$7:$I$100,2)+SUMIFS('24d'!$N$7:$N$100,'24d'!$H$7:$H$100,$A386,'24d'!$I$7:$I$100,2)+SUMIFS('24e'!$N$7:$N$100,'24e'!$H$7:$H$100,$A386,'24e'!$I$7:$I$100,2)+SUMIFS('24f'!$N$7:$N$100,'24f'!$H$7:$H$100,$A386,'24f'!$I$7:$I$100,2)+SUMIFS('24g'!$N$7:$N$100,'24g'!$H$7:$H$100,$A386,'24g'!$I$7:$I$100,2)+SUMIFS('24h'!$N$7:$N$100,'24h'!$H$7:$H$100,$A386,'24h'!$I$7:$I$100,2)+SUMIFS('24i'!$N$7:$N$100,'24i'!$H$7:$H$100,$A386,'24i'!$I$7:$I$100,2)+SUMIFS('25'!$N$7:$N$100,'25'!$H$7:$H$100,$A386,'25'!$I$7:$I$100,2)+SUMIFS('26'!$N$7:$N$100,'26'!$H$7:$H$100,$A386,'26'!$I$7:$I$100,2)+SUMIFS('26a'!$N$7:$N$100,'26a'!$H$7:$H$100,$A386,'26a'!$I$7:$I$100,2)+SUMIFS('27'!$N$7:$N$100,'27'!$H$7:$H$100,$A386,'27'!$I$7:$I$100,2)+SUMIFS('27a'!$N$7:$N$100,'27a'!$H$7:$H$100,$A386,'27a'!$I$7:$I$100,2)+SUMIFS('28'!$N$7:$N$100,'28'!$H$7:$H$100,$A386,'28'!$I$7:$I$100,2)+SUMIFS('29'!$N$7:$N$100,'29'!$H$7:$H$100,$A386,'29'!$I$7:$I$100,2)</f>
        <v>20093.97</v>
      </c>
      <c r="E387" s="1315">
        <f>SUMIFS('12'!$N$7:$N$100,'12'!$H$7:$H$100,$A386,'12'!$I$7:$I$100,"")+SUMIFS('13'!$N$7:$N$100,'13'!$H$7:$H$100,$A386,'13'!$I$7:$I$100,"")+SUMIFS('14'!$N$7:$N$100,'14'!$H$7:$H$100,$A386,'14'!$I$7:$I$100,"")+SUMIFS('15'!$N$7:$N$100,'15'!$H$7:$H$100,$A386,'15'!$I$7:$I$100,"")+SUMIFS('15a'!$N$7:$N$100,'15a'!$H$7:$H$100,$A386,'15a'!$I$7:$I$100,"")+SUMIFS('15b'!$N$7:$N$100,'15b'!$H$7:$H$100,$A386,'15b'!$I$7:$I$100,"")+SUMIFS('15c'!$N$7:$N$100,'15c'!$H$7:$H$100,$A386,'15c'!$I$7:$I$100,"")+SUMIFS('15d'!$N$7:$N$100,'15d'!$H$7:$H$100,$A386,'15d'!$I$7:$I$100,"")+SUMIFS('15e'!$N$7:$N$100,'15e'!$H$7:$H$100,$A386,'15e'!$I$7:$I$100,"")+SUMIFS('15f'!$N$7:$N$100,'15f'!$H$7:$H$100,$A386,'15f'!$I$7:$I$100,"")+SUMIFS('15g'!$N$7:$N$100,'15g'!$H$7:$H$100,$A386,'15g'!$I$7:$I$100,"")+SUMIFS('15h'!$N$7:$N$100,'15h'!$H$7:$H$100,$A386,'15h'!$I$7:$I$100,"")+SUMIFS('15i'!$N$7:$N$100,'15i'!$H$7:$H$100,$A386,'15i'!$I$7:$I$100,"")+SUMIFS('15j'!$N$7:$N$100,'15j'!$H$7:$H$100,$A386,'15j'!$I$7:$I$100,"")+SUMIFS('15k'!$N$7:$N$100,'15k'!$H$7:$H$100,$A386,'15k'!$I$7:$I$100,"")+SUMIFS('15l'!$N$7:$N$100,'15l'!$H$7:$H$100,$A386,'15l'!$I$7:$I$100,"")+SUMIFS('15m'!$N$7:$N$100,'15m'!$H$7:$H$100,$A386,'15m'!$I$7:$I$100,"")+SUMIFS('15n'!$N$7:$N$100,'15n'!$H$7:$H$100,$A386,'15n'!$I$7:$I$100,"")+SUMIFS('16'!$N$7:$N$100,'16'!$H$7:$H$100,$A386,'16'!$I$7:$I$100,"")+SUMIFS('16a'!$N$7:$N$100,'16a'!$H$7:$H$100,$A386,'16a'!$I$7:$I$100,"")+SUMIFS('17'!$N$7:$N$100,'17'!$H$7:$H$100,$A386,'17'!$I$7:$I$100,"")+SUMIFS('17a'!$N$7:$N$100,'17a'!$H$7:$H$100,$A386,'17a'!$I$7:$I$100,"")+SUMIFS('18'!$N$7:$N$100,'18'!$H$7:$H$100,$A386,'18'!$I$7:$I$100,"")+SUMIFS('18a'!$N$7:$N$100,'18a'!$H$7:$H$100,$A386,'18a'!$I$7:$I$100,"")
+SUMIFS('19'!$N$7:$N$100,'19'!$H$7:$H$100,$A386,'19'!$I$7:$I$100,"")+SUMIFS('20'!$N$7:$N$100,'20'!$H$7:$H$100,$A386,'20'!$I$7:$I$100,"")+SUMIFS('20a'!$N$7:$N$100,'20a'!$H$7:$H$100,$A386,'20a'!$I$7:$I$100,"")+SUMIFS('21'!$N$7:$N$100,'21'!$H$7:$H$100,$A386,'21'!$I$7:$I$100,"")+SUMIFS('22'!$N$7:$N$100,'22'!$H$7:$H$100,$A386,'22'!$I$7:$I$100,"")+SUMIFS('22a'!$N$7:$N$100,'22a'!$H$7:$H$100,$A386,'22a'!$I$7:$I$100,"")+SUMIFS('22b'!$N$7:$N$100,'22b'!$H$7:$H$100,$A386,'22b'!$I$7:$I$100,"")+SUMIFS('23'!$N$7:$N$100,'23'!$H$7:$H$100,$A386,'23'!$I$7:$I$100,"")+SUMIFS('24'!$N$7:$N$100,'24'!$H$7:$H$100,$A386,'24'!$I$7:$I$100,"")+SUMIFS('24a'!$N$7:$N$100,'24a'!$H$7:$H$100,$A386,'24a'!$I$7:$I$100,"")+SUMIFS('24b'!$N$7:$N$100,'24b'!$H$7:$H$100,$A386,'24b'!$I$7:$I$100,"")+SUMIFS('24c'!$N$7:$N$100,'24c'!$H$7:$H$100,$A386,'24c'!$I$7:$I$100,"")+SUMIFS('24d'!$N$7:$N$100,'24d'!$H$7:$H$100,$A386,'24d'!$I$7:$I$100,"")+SUMIFS('24e'!$N$7:$N$100,'24e'!$H$7:$H$100,$A386,'24e'!$I$7:$I$100,"")+SUMIFS('24f'!$N$7:$N$100,'24f'!$H$7:$H$100,$A386,'24f'!$I$7:$I$100,"")+SUMIFS('24g'!$N$7:$N$100,'24g'!$H$7:$H$100,$A386,'24g'!$I$7:$I$100,"")+SUMIFS('24h'!$N$7:$N$100,'24h'!$H$7:$H$100,$A386,'24h'!$I$7:$I$100,"")+SUMIFS('24i'!$N$7:$N$100,'24i'!$H$7:$H$100,$A386,'24i'!$I$7:$I$100,"")+SUMIFS('25'!$N$7:$N$100,'25'!$H$7:$H$100,$A386,'25'!$I$7:$I$100,"")+SUMIFS('26'!$N$7:$N$100,'26'!$H$7:$H$100,$A386,'26'!$I$7:$I$100,"")+SUMIFS('26a'!$N$7:$N$100,'26a'!$H$7:$H$100,$A386,'26a'!$I$7:$I$100,"")+SUMIFS('27'!$N$7:$N$100,'27'!$H$7:$H$100,$A386,'27'!$I$7:$I$100,"")+SUMIFS('27a'!$N$7:$N$100,'27a'!$H$7:$H$100,$A386,'27a'!$I$7:$I$100,"")+SUMIFS('28'!$N$7:$N$100,'28'!$H$7:$H$100,$A386,'28'!$I$7:$I$100,"")+SUMIFS('29'!$N$7:$N$100,'29'!$H$7:$H$100,$A386,'29'!$I$7:$I$100,"")</f>
        <v>0</v>
      </c>
      <c r="F387" s="1296">
        <f t="shared" si="60"/>
        <v>20093.97</v>
      </c>
      <c r="G387" s="1295">
        <f>SUMIFS('12'!$J$7:$J$100,'12'!$H$7:$H$100,$A386,'12'!$I$7:$I$100,1)+SUMIFS('13'!$J$7:$J$100,'13'!$H$7:$H$100,$A386,'13'!$I$7:$I$100,1)+SUMIFS('14'!$J$7:$J$100,'14'!$H$7:$H$100,$A386,'14'!$I$7:$I$100,1)+SUMIFS('15'!$J$7:$J$100,'15'!$H$7:$H$100,$A386,'15'!$I$7:$I$100,1)+SUMIFS('15a'!$J$7:$J$100,'15a'!$H$7:$H$100,$A386,'15a'!$I$7:$I$100,1)+SUMIFS('15b'!$J$7:$J$100,'15b'!$H$7:$H$100,$A386,'15b'!$I$7:$I$100,1)+SUMIFS('15c'!$J$7:$J$100,'15c'!$H$7:$H$100,$A386,'15c'!$I$7:$I$100,1)+SUMIFS('15d'!$J$7:$J$100,'15d'!$H$7:$H$100,$A386,'15d'!$I$7:$I$100,1)+SUMIFS('15e'!$J$7:$J$100,'15e'!$H$7:$H$100,$A386,'15e'!$I$7:$I$100,1)+SUMIFS('15f'!$J$7:$J$100,'15f'!$H$7:$H$100,$A386,'15f'!$I$7:$I$100,1)+SUMIFS('15g'!$J$7:$J$100,'15g'!$H$7:$H$100,$A386,'15g'!$I$7:$I$100,1)+SUMIFS('15h'!$J$7:$J$100,'15h'!$H$7:$H$100,$A386,'15h'!$I$7:$I$100,1)+SUMIFS('15i'!$J$7:$J$100,'15i'!$H$7:$H$100,$A386,'15i'!$I$7:$I$100,1)+SUMIFS('15j'!$J$7:$J$100,'15j'!$H$7:$H$100,$A386,'15j'!$I$7:$I$100,1)+SUMIFS('15k'!$J$7:$J$100,'15k'!$H$7:$H$100,$A386,'15k'!$I$7:$I$100,1)+SUMIFS('15l'!$J$7:$J$100,'15l'!$H$7:$H$100,$A386,'15l'!$I$7:$I$100,1)+SUMIFS('15m'!$J$7:$J$100,'15m'!$H$7:$H$100,$A386,'15m'!$I$7:$I$100,1)+SUMIFS('15n'!$J$7:$J$100,'15n'!$H$7:$H$100,$A386,'15n'!$I$7:$I$100,1)+SUMIFS('16'!$J$7:$J$100,'16'!$H$7:$H$100,$A386,'16'!$I$7:$I$100,1)+SUMIFS('16a'!$J$7:$J$100,'16a'!$H$7:$H$100,$A386,'16a'!$I$7:$I$100,1)+SUMIFS('17'!$J$7:$J$100,'17'!$H$7:$H$100,$A386,'17'!$I$7:$I$100,1)+SUMIFS('17a'!$J$7:$J$100,'17a'!$H$7:$H$100,$A386,'17a'!$I$7:$I$100,1)+SUMIFS('18'!$J$7:$J$100,'18'!$H$7:$H$100,$A386,'18'!$I$7:$I$100,1)+SUMIFS('18a'!$J$7:$J$100,'18a'!$H$7:$H$100,$A386,'18a'!$I$7:$I$100,1)
+SUMIFS('19'!$J$7:$J$100,'19'!$H$7:$H$100,$A386,'19'!$I$7:$I$100,1)+SUMIFS('20'!$J$7:$J$100,'20'!$H$7:$H$100,$A386,'20'!$I$7:$I$100,1)+SUMIFS('20a'!$J$7:$J$100,'20a'!$H$7:$H$100,$A386,'20a'!$I$7:$I$100,1)+SUMIFS('21'!$J$7:$J$100,'21'!$H$7:$H$100,$A386,'21'!$I$7:$I$100,1)+SUMIFS('22'!$J$7:$J$100,'22'!$H$7:$H$100,$A386,'22'!$I$7:$I$100,1)+SUMIFS('22a'!$J$7:$J$100,'22a'!$H$7:$H$100,$A386,'22a'!$I$7:$I$100,1)+SUMIFS('22b'!$J$7:$J$100,'22b'!$H$7:$H$100,$A386,'22b'!$I$7:$I$100,1)+SUMIFS('23'!$J$7:$J$100,'23'!$H$7:$H$100,$A386,'23'!$I$7:$I$100,1)+SUMIFS('24'!$J$7:$J$100,'24'!$H$7:$H$100,$A386,'24'!$I$7:$I$100,1)+SUMIFS('24a'!$J$7:$J$100,'24a'!$H$7:$H$100,$A386,'24a'!$I$7:$I$100,1)+SUMIFS('24b'!$J$7:$J$100,'24b'!$H$7:$H$100,$A386,'24b'!$I$7:$I$100,1)+SUMIFS('24c'!$J$7:$J$100,'24c'!$H$7:$H$100,$A386,'24c'!$I$7:$I$100,1)+SUMIFS('24d'!$J$7:$J$100,'24d'!$H$7:$H$100,$A386,'24d'!$I$7:$I$100,1)+SUMIFS('24e'!$J$7:$J$100,'24e'!$H$7:$H$100,$A386,'24e'!$I$7:$I$100,1)+SUMIFS('24f'!$J$7:$J$100,'24f'!$H$7:$H$100,$A386,'24f'!$I$7:$I$100,1)+SUMIFS('24g'!$J$7:$J$100,'24g'!$H$7:$H$100,$A386,'24g'!$I$7:$I$100,1)+SUMIFS('24h'!$J$7:$J$100,'24h'!$H$7:$H$100,$A386,'24h'!$I$7:$I$100,1)+SUMIFS('24i'!$J$7:$J$100,'24i'!$H$7:$H$100,$A386,'24i'!$I$7:$I$100,1)+SUMIFS('25'!$J$7:$J$100,'25'!$H$7:$H$100,$A386,'25'!$I$7:$I$100,1)+SUMIFS('26'!$J$7:$J$100,'26'!$H$7:$H$100,$A386,'26'!$I$7:$I$100,1)+SUMIFS('26a'!$J$7:$J$100,'26a'!$H$7:$H$100,$A386,'26a'!$I$7:$I$100,1)+SUMIFS('27'!$J$7:$J$100,'27'!$H$7:$H$100,$A386,'27'!$I$7:$I$100,1)+SUMIFS('27a'!$J$7:$J$100,'27a'!$H$7:$H$100,$A386,'27a'!$I$7:$I$100,1)+SUMIFS('28'!$J$7:$J$100,'28'!$H$7:$H$100,$A386,'28'!$I$7:$I$100,1)+SUMIFS('29'!$J$7:$J$100,'29'!$H$7:$H$100,$A386,'29'!$I$7:$I$100,1)</f>
        <v>0</v>
      </c>
      <c r="H387" s="1315">
        <f>SUMIFS('12'!$J$7:$J$100,'12'!$H$7:$H$100,$A386,'12'!$I$7:$I$100,2)+SUMIFS('13'!$J$7:$J$100,'13'!$H$7:$H$100,$A386,'13'!$I$7:$I$100,2)+SUMIFS('14'!$J$7:$J$100,'14'!$H$7:$H$100,$A386,'14'!$I$7:$I$100,2)+SUMIFS('15'!$J$7:$J$100,'15'!$H$7:$H$100,$A386,'15'!$I$7:$I$100,2)+SUMIFS('15a'!$J$7:$J$100,'15a'!$H$7:$H$100,$A386,'15a'!$I$7:$I$100,2)+SUMIFS('15b'!$J$7:$J$100,'15b'!$H$7:$H$100,$A386,'15b'!$I$7:$I$100,2)+SUMIFS('15c'!$J$7:$J$100,'15c'!$H$7:$H$100,$A386,'15c'!$I$7:$I$100,2)+SUMIFS('15d'!$J$7:$J$100,'15d'!$H$7:$H$100,$A386,'15d'!$I$7:$I$100,2)+SUMIFS('15e'!$J$7:$J$100,'15e'!$H$7:$H$100,$A386,'15e'!$I$7:$I$100,2)+SUMIFS('15f'!$J$7:$J$100,'15f'!$H$7:$H$100,$A386,'15f'!$I$7:$I$100,2)+SUMIFS('15g'!$J$7:$J$100,'15g'!$H$7:$H$100,$A386,'15g'!$I$7:$I$100,2)+SUMIFS('15h'!$J$7:$J$100,'15h'!$H$7:$H$100,$A386,'15h'!$I$7:$I$100,2)+SUMIFS('15i'!$J$7:$J$100,'15i'!$H$7:$H$100,$A386,'15i'!$I$7:$I$100,2)+SUMIFS('15j'!$J$7:$J$100,'15j'!$H$7:$H$100,$A386,'15j'!$I$7:$I$100,2)+SUMIFS('15k'!$J$7:$J$100,'15k'!$H$7:$H$100,$A386,'15k'!$I$7:$I$100,2)+SUMIFS('15l'!$J$7:$J$100,'15l'!$H$7:$H$100,$A386,'15l'!$I$7:$I$100,2)+SUMIFS('15m'!$J$7:$J$100,'15m'!$H$7:$H$100,$A386,'15m'!$I$7:$I$100,2)+SUMIFS('15n'!$J$7:$J$100,'15n'!$H$7:$H$100,$A386,'15n'!$I$7:$I$100,2)+SUMIFS('16'!$J$7:$J$100,'16'!$H$7:$H$100,$A386,'16'!$I$7:$I$100,2)+SUMIFS('16a'!$J$7:$J$100,'16a'!$H$7:$H$100,$A386,'16a'!$I$7:$I$100,2)+SUMIFS('17'!$J$7:$J$100,'17'!$H$7:$H$100,$A386,'17'!$I$7:$I$100,2)+SUMIFS('17a'!$J$7:$J$100,'17a'!$H$7:$H$100,$A386,'17a'!$I$7:$I$100,2)+SUMIFS('18'!$J$7:$J$100,'18'!$H$7:$H$100,$A386,'18'!$I$7:$I$100,2)+SUMIFS('18a'!$J$7:$J$100,'18a'!$H$7:$H$100,$A386,'18a'!$I$7:$I$100,2)
+SUMIFS('19'!$J$7:$J$100,'19'!$H$7:$H$100,$A386,'19'!$I$7:$I$100,2)+SUMIFS('20'!$J$7:$J$100,'20'!$H$7:$H$100,$A386,'20'!$I$7:$I$100,2)+SUMIFS('20a'!$J$7:$J$100,'20a'!$H$7:$H$100,$A386,'20a'!$I$7:$I$100,2)+SUMIFS('21'!$J$7:$J$100,'21'!$H$7:$H$100,$A386,'21'!$I$7:$I$100,2)+SUMIFS('22'!$J$7:$J$100,'22'!$H$7:$H$100,$A386,'22'!$I$7:$I$100,2)+SUMIFS('22a'!$J$7:$J$100,'22a'!$H$7:$H$100,$A386,'22a'!$I$7:$I$100,2)+SUMIFS('22b'!$J$7:$J$100,'22b'!$H$7:$H$100,$A386,'22b'!$I$7:$I$100,2)+SUMIFS('23'!$J$7:$J$100,'23'!$H$7:$H$100,$A386,'23'!$I$7:$I$100,2)+SUMIFS('24'!$J$7:$J$100,'24'!$H$7:$H$100,$A386,'24'!$I$7:$I$100,2)+SUMIFS('24a'!$J$7:$J$100,'24a'!$H$7:$H$100,$A386,'24a'!$I$7:$I$100,2)+SUMIFS('24b'!$J$7:$J$100,'24b'!$H$7:$H$100,$A386,'24b'!$I$7:$I$100,2)+SUMIFS('24c'!$J$7:$J$100,'24c'!$H$7:$H$100,$A386,'24c'!$I$7:$I$100,2)+SUMIFS('24d'!$J$7:$J$100,'24d'!$H$7:$H$100,$A386,'24d'!$I$7:$I$100,2)+SUMIFS('24e'!$J$7:$J$100,'24e'!$H$7:$H$100,$A386,'24e'!$I$7:$I$100,2)+SUMIFS('24f'!$J$7:$J$100,'24f'!$H$7:$H$100,$A386,'24f'!$I$7:$I$100,2)+SUMIFS('24g'!$J$7:$J$100,'24g'!$H$7:$H$100,$A386,'24g'!$I$7:$I$100,2)+SUMIFS('24h'!$J$7:$J$100,'24h'!$H$7:$H$100,$A386,'24h'!$I$7:$I$100,2)+SUMIFS('24i'!$J$7:$J$100,'24i'!$H$7:$H$100,$A386,'24i'!$I$7:$I$100,2)+SUMIFS('25'!$J$7:$J$100,'25'!$H$7:$H$100,$A386,'25'!$I$7:$I$100,2)+SUMIFS('26'!$J$7:$J$100,'26'!$H$7:$H$100,$A386,'26'!$I$7:$I$100,2)+SUMIFS('26a'!$J$7:$J$100,'26a'!$H$7:$H$100,$A386,'26a'!$I$7:$I$100,2)+SUMIFS('27'!$J$7:$J$100,'27'!$H$7:$H$100,$A386,'27'!$I$7:$I$100,2)+SUMIFS('27a'!$J$7:$J$100,'27a'!$H$7:$H$100,$A386,'27a'!$I$7:$I$100,2)+SUMIFS('28'!$J$7:$J$100,'28'!$H$7:$H$100,$A386,'28'!$I$7:$I$100,2)+SUMIFS('29'!$J$7:$J$100,'29'!$H$7:$H$100,$A386,'29'!$I$7:$I$100,2)</f>
        <v>23700</v>
      </c>
      <c r="I387" s="1315">
        <f>SUMIFS('12'!$J$7:$J$100,'12'!$H$7:$H$100,$A386,'12'!$I$7:$I$100,"")+SUMIFS('13'!$J$7:$J$100,'13'!$H$7:$H$100,$A386,'13'!$I$7:$I$100,"")+SUMIFS('14'!$J$7:$J$100,'14'!$H$7:$H$100,$A386,'14'!$I$7:$I$100,"")+SUMIFS('15'!$J$7:$J$100,'15'!$H$7:$H$100,$A386,'15'!$I$7:$I$100,"")+SUMIFS('15a'!$J$7:$J$100,'15a'!$H$7:$H$100,$A386,'15a'!$I$7:$I$100,"")+SUMIFS('15b'!$J$7:$J$100,'15b'!$H$7:$H$100,$A386,'15b'!$I$7:$I$100,"")+SUMIFS('15c'!$J$7:$J$100,'15c'!$H$7:$H$100,$A386,'15c'!$I$7:$I$100,"")+SUMIFS('15d'!$J$7:$J$100,'15d'!$H$7:$H$100,$A386,'15d'!$I$7:$I$100,"")+SUMIFS('15e'!$J$7:$J$100,'15e'!$H$7:$H$100,$A386,'15e'!$I$7:$I$100,"")+SUMIFS('15f'!$J$7:$J$100,'15f'!$H$7:$H$100,$A386,'15f'!$I$7:$I$100,"")+SUMIFS('15g'!$J$7:$J$100,'15g'!$H$7:$H$100,$A386,'15g'!$I$7:$I$100,"")+SUMIFS('15h'!$J$7:$J$100,'15h'!$H$7:$H$100,$A386,'15h'!$I$7:$I$100,"")+SUMIFS('15i'!$J$7:$J$100,'15i'!$H$7:$H$100,$A386,'15i'!$I$7:$I$100,"")+SUMIFS('15j'!$J$7:$J$100,'15j'!$H$7:$H$100,$A386,'15j'!$I$7:$I$100,"")+SUMIFS('15k'!$J$7:$J$100,'15k'!$H$7:$H$100,$A386,'15k'!$I$7:$I$100,"")+SUMIFS('15l'!$J$7:$J$100,'15l'!$H$7:$H$100,$A386,'15l'!$I$7:$I$100,"")+SUMIFS('15m'!$J$7:$J$100,'15m'!$H$7:$H$100,$A386,'15m'!$I$7:$I$100,"")+SUMIFS('15n'!$J$7:$J$100,'15n'!$H$7:$H$100,$A386,'15n'!$I$7:$I$100,"")+SUMIFS('16'!$J$7:$J$100,'16'!$H$7:$H$100,$A386,'16'!$I$7:$I$100,"")+SUMIFS('16a'!$J$7:$J$100,'16a'!$H$7:$H$100,$A386,'16a'!$I$7:$I$100,"")+SUMIFS('17'!$J$7:$J$100,'17'!$H$7:$H$100,$A386,'17'!$I$7:$I$100,"")+SUMIFS('17a'!$J$7:$J$100,'17a'!$H$7:$H$100,$A386,'17a'!$I$7:$I$100,"")+SUMIFS('18'!$J$7:$J$100,'18'!$H$7:$H$100,$A386,'18'!$I$7:$I$100,"")+SUMIFS('18a'!$J$7:$J$100,'18a'!$H$7:$H$100,$A386,'18a'!$I$7:$I$100,"")
+SUMIFS('19'!$J$7:$J$100,'19'!$H$7:$H$100,$A386,'19'!$I$7:$I$100,"")+SUMIFS('20'!$J$7:$J$100,'20'!$H$7:$H$100,$A386,'20'!$I$7:$I$100,"")+SUMIFS('20a'!$J$7:$J$100,'20a'!$H$7:$H$100,$A386,'20a'!$I$7:$I$100,"")+SUMIFS('21'!$J$7:$J$100,'21'!$H$7:$H$100,$A386,'21'!$I$7:$I$100,"")+SUMIFS('22'!$J$7:$J$100,'22'!$H$7:$H$100,$A386,'22'!$I$7:$I$100,"")+SUMIFS('22a'!$J$7:$J$100,'22a'!$H$7:$H$100,$A386,'22a'!$I$7:$I$100,"")+SUMIFS('22b'!$J$7:$J$100,'22b'!$H$7:$H$100,$A386,'22b'!$I$7:$I$100,"")+SUMIFS('23'!$J$7:$J$100,'23'!$H$7:$H$100,$A386,'23'!$I$7:$I$100,"")+SUMIFS('24'!$J$7:$J$100,'24'!$H$7:$H$100,$A386,'24'!$I$7:$I$100,"")+SUMIFS('24a'!$J$7:$J$100,'24a'!$H$7:$H$100,$A386,'24a'!$I$7:$I$100,"")+SUMIFS('24b'!$J$7:$J$100,'24b'!$H$7:$H$100,$A386,'24b'!$I$7:$I$100,"")+SUMIFS('24c'!$J$7:$J$100,'24c'!$H$7:$H$100,$A386,'24c'!$I$7:$I$100,"")+SUMIFS('24d'!$J$7:$J$100,'24d'!$H$7:$H$100,$A386,'24d'!$I$7:$I$100,"")+SUMIFS('24e'!$J$7:$J$100,'24e'!$H$7:$H$100,$A386,'24e'!$I$7:$I$100,"")+SUMIFS('24f'!$J$7:$J$100,'24f'!$H$7:$H$100,$A386,'24f'!$I$7:$I$100,"")+SUMIFS('24g'!$J$7:$J$100,'24g'!$H$7:$H$100,$A386,'24g'!$I$7:$I$100,"")+SUMIFS('24h'!$J$7:$J$100,'24h'!$H$7:$H$100,$A386,'24h'!$I$7:$I$100,"")+SUMIFS('24i'!$J$7:$J$100,'24i'!$H$7:$H$100,$A386,'24i'!$I$7:$I$100,"")+SUMIFS('25'!$J$7:$J$100,'25'!$H$7:$H$100,$A386,'25'!$I$7:$I$100,"")+SUMIFS('26'!$J$7:$J$100,'26'!$H$7:$H$100,$A386,'26'!$I$7:$I$100,"")+SUMIFS('26a'!$J$7:$J$100,'26a'!$H$7:$H$100,$A386,'26a'!$I$7:$I$100,"")+SUMIFS('27'!$J$7:$J$100,'27'!$H$7:$H$100,$A386,'27'!$I$7:$I$100,"")+SUMIFS('27a'!$J$7:$J$100,'27a'!$H$7:$H$100,$A386,'27a'!$I$7:$I$100,"")+SUMIFS('28'!$J$7:$J$100,'28'!$H$7:$H$100,$A386,'28'!$I$7:$I$100,"")+SUMIFS('29'!$J$7:$J$100,'29'!$H$7:$H$100,$A386,'29'!$I$7:$I$100,"")</f>
        <v>0</v>
      </c>
      <c r="J387" s="1296">
        <f t="shared" si="61"/>
        <v>23700</v>
      </c>
      <c r="K387"/>
      <c r="L387"/>
      <c r="M387"/>
      <c r="N387"/>
      <c r="O387"/>
      <c r="P387"/>
      <c r="Q387"/>
      <c r="R387"/>
      <c r="S387" s="1307">
        <f t="shared" si="48"/>
        <v>87587.94</v>
      </c>
      <c r="T387"/>
    </row>
    <row r="388" spans="1:20" outlineLevel="1" x14ac:dyDescent="0.2">
      <c r="A388" t="s">
        <v>5139</v>
      </c>
      <c r="B388" t="s">
        <v>5409</v>
      </c>
      <c r="C388" s="1295">
        <f>SUMIFS('12'!$N$7:$N$100,'12'!$H$7:$H$100,$A387,'12'!$I$7:$I$100,1)+SUMIFS('13'!$N$7:$N$100,'13'!$H$7:$H$100,$A387,'13'!$I$7:$I$100,1)+SUMIFS('14'!$N$7:$N$100,'14'!$H$7:$H$100,$A387,'14'!$I$7:$I$100,1)+SUMIFS('15'!$N$7:$N$100,'15'!$H$7:$H$100,$A387,'15'!$I$7:$I$100,1)+SUMIFS('15a'!$N$7:$N$100,'15a'!$H$7:$H$100,$A387,'15a'!$I$7:$I$100,1)+SUMIFS('15b'!$N$7:$N$100,'15b'!$H$7:$H$100,$A387,'15b'!$I$7:$I$100,1)+SUMIFS('15c'!$N$7:$N$100,'15c'!$H$7:$H$100,$A387,'15c'!$I$7:$I$100,1)+SUMIFS('15d'!$N$7:$N$100,'15d'!$H$7:$H$100,$A387,'15d'!$I$7:$I$100,1)+SUMIFS('15e'!$N$7:$N$100,'15e'!$H$7:$H$100,$A387,'15e'!$I$7:$I$100,1)+SUMIFS('15f'!$N$7:$N$100,'15f'!$H$7:$H$100,$A387,'15f'!$I$7:$I$100,1)+SUMIFS('15g'!$N$7:$N$100,'15g'!$H$7:$H$100,$A387,'15g'!$I$7:$I$100,1)+SUMIFS('15h'!$N$7:$N$100,'15h'!$H$7:$H$100,$A387,'15h'!$I$7:$I$100,1)+SUMIFS('15i'!$N$7:$N$100,'15i'!$H$7:$H$100,$A387,'15i'!$I$7:$I$100,1)+SUMIFS('15j'!$N$7:$N$100,'15j'!$H$7:$H$100,$A387,'15j'!$I$7:$I$100,1)+SUMIFS('15k'!$N$7:$N$100,'15k'!$H$7:$H$100,$A387,'15k'!$I$7:$I$100,1)+SUMIFS('15l'!$N$7:$N$100,'15l'!$H$7:$H$100,$A387,'15l'!$I$7:$I$100,1)+SUMIFS('15m'!$N$7:$N$100,'15m'!$H$7:$H$100,$A387,'15m'!$I$7:$I$100,1)+SUMIFS('15n'!$N$7:$N$100,'15n'!$H$7:$H$100,$A387,'15n'!$I$7:$I$100,1)+SUMIFS('16'!$N$7:$N$100,'16'!$H$7:$H$100,$A387,'16'!$I$7:$I$100,1)+SUMIFS('16a'!$N$7:$N$100,'16a'!$H$7:$H$100,$A387,'16a'!$I$7:$I$100,1)+SUMIFS('17'!$N$7:$N$100,'17'!$H$7:$H$100,$A387,'17'!$I$7:$I$100,1)+SUMIFS('17a'!$N$7:$N$100,'17a'!$H$7:$H$100,$A387,'17a'!$I$7:$I$100,1)+SUMIFS('18'!$N$7:$N$100,'18'!$H$7:$H$100,$A387,'18'!$I$7:$I$100,1)+SUMIFS('18a'!$N$7:$N$100,'18a'!$H$7:$H$100,$A387,'18a'!$I$7:$I$100,1)
+SUMIFS('19'!$N$7:$N$100,'19'!$H$7:$H$100,$A387,'19'!$I$7:$I$100,1)+SUMIFS('20'!$N$7:$N$100,'20'!$H$7:$H$100,$A387,'20'!$I$7:$I$100,1)+SUMIFS('20a'!$N$7:$N$100,'20a'!$H$7:$H$100,$A387,'20a'!$I$7:$I$100,1)+SUMIFS('21'!$N$7:$N$100,'21'!$H$7:$H$100,$A387,'21'!$I$7:$I$100,1)+SUMIFS('22'!$N$7:$N$100,'22'!$H$7:$H$100,$A387,'22'!$I$7:$I$100,1)+SUMIFS('22a'!$N$7:$N$100,'22a'!$H$7:$H$100,$A387,'22a'!$I$7:$I$100,1)+SUMIFS('22b'!$N$7:$N$100,'22b'!$H$7:$H$100,$A387,'22b'!$I$7:$I$100,1)+SUMIFS('23'!$N$7:$N$100,'23'!$H$7:$H$100,$A387,'23'!$I$7:$I$100,1)+SUMIFS('24'!$N$7:$N$100,'24'!$H$7:$H$100,$A387,'24'!$I$7:$I$100,1)+SUMIFS('24a'!$N$7:$N$100,'24a'!$H$7:$H$100,$A387,'24a'!$I$7:$I$100,1)+SUMIFS('24b'!$N$7:$N$100,'24b'!$H$7:$H$100,$A387,'24b'!$I$7:$I$100,1)+SUMIFS('24c'!$N$7:$N$100,'24c'!$H$7:$H$100,$A387,'24c'!$I$7:$I$100,1)+SUMIFS('24d'!$N$7:$N$100,'24d'!$H$7:$H$100,$A387,'24d'!$I$7:$I$100,1)+SUMIFS('24e'!$N$7:$N$100,'24e'!$H$7:$H$100,$A387,'24e'!$I$7:$I$100,1)+SUMIFS('24f'!$N$7:$N$100,'24f'!$H$7:$H$100,$A387,'24f'!$I$7:$I$100,1)+SUMIFS('24g'!$N$7:$N$100,'24g'!$H$7:$H$100,$A387,'24g'!$I$7:$I$100,1)+SUMIFS('24h'!$N$7:$N$100,'24h'!$H$7:$H$100,$A387,'24h'!$I$7:$I$100,1)+SUMIFS('24i'!$N$7:$N$100,'24i'!$H$7:$H$100,$A387,'24i'!$I$7:$I$100,1)+SUMIFS('25'!$N$7:$N$100,'25'!$H$7:$H$100,$A387,'25'!$I$7:$I$100,1)+SUMIFS('26'!$N$7:$N$100,'26'!$H$7:$H$100,$A387,'26'!$I$7:$I$100,1)+SUMIFS('26a'!$N$7:$N$100,'26a'!$H$7:$H$100,$A387,'26a'!$I$7:$I$100,1)+SUMIFS('27'!$N$7:$N$100,'27'!$H$7:$H$100,$A387,'27'!$I$7:$I$100,1)+SUMIFS('27a'!$N$7:$N$100,'27a'!$H$7:$H$100,$A387,'27a'!$I$7:$I$100,1)+SUMIFS('28'!$N$7:$N$100,'28'!$H$7:$H$100,$A387,'28'!$I$7:$I$100,1)+SUMIFS('29'!$N$7:$N$100,'29'!$H$7:$H$100,$A387,'29'!$I$7:$I$100,1)</f>
        <v>0</v>
      </c>
      <c r="D388" s="1315">
        <f>SUMIFS('12'!$N$7:$N$100,'12'!$H$7:$H$100,$A387,'12'!$I$7:$I$100,2)+SUMIFS('13'!$N$7:$N$100,'13'!$H$7:$H$100,$A387,'13'!$I$7:$I$100,2)+SUMIFS('14'!$N$7:$N$100,'14'!$H$7:$H$100,$A387,'14'!$I$7:$I$100,2)+SUMIFS('15'!$N$7:$N$100,'15'!$H$7:$H$100,$A387,'15'!$I$7:$I$100,2)+SUMIFS('15a'!$N$7:$N$100,'15a'!$H$7:$H$100,$A387,'15a'!$I$7:$I$100,2)+SUMIFS('15b'!$N$7:$N$100,'15b'!$H$7:$H$100,$A387,'15b'!$I$7:$I$100,2)+SUMIFS('15c'!$N$7:$N$100,'15c'!$H$7:$H$100,$A387,'15c'!$I$7:$I$100,2)+SUMIFS('15d'!$N$7:$N$100,'15d'!$H$7:$H$100,$A387,'15d'!$I$7:$I$100,2)+SUMIFS('15e'!$N$7:$N$100,'15e'!$H$7:$H$100,$A387,'15e'!$I$7:$I$100,2)+SUMIFS('15f'!$N$7:$N$100,'15f'!$H$7:$H$100,$A387,'15f'!$I$7:$I$100,2)+SUMIFS('15g'!$N$7:$N$100,'15g'!$H$7:$H$100,$A387,'15g'!$I$7:$I$100,2)+SUMIFS('15h'!$N$7:$N$100,'15h'!$H$7:$H$100,$A387,'15h'!$I$7:$I$100,2)+SUMIFS('15i'!$N$7:$N$100,'15i'!$H$7:$H$100,$A387,'15i'!$I$7:$I$100,2)+SUMIFS('15j'!$N$7:$N$100,'15j'!$H$7:$H$100,$A387,'15j'!$I$7:$I$100,2)+SUMIFS('15k'!$N$7:$N$100,'15k'!$H$7:$H$100,$A387,'15k'!$I$7:$I$100,2)+SUMIFS('15l'!$N$7:$N$100,'15l'!$H$7:$H$100,$A387,'15l'!$I$7:$I$100,2)+SUMIFS('15m'!$N$7:$N$100,'15m'!$H$7:$H$100,$A387,'15m'!$I$7:$I$100,2)+SUMIFS('15n'!$N$7:$N$100,'15n'!$H$7:$H$100,$A387,'15n'!$I$7:$I$100,2)+SUMIFS('16'!$N$7:$N$100,'16'!$H$7:$H$100,$A387,'16'!$I$7:$I$100,2)+SUMIFS('16a'!$N$7:$N$100,'16a'!$H$7:$H$100,$A387,'16a'!$I$7:$I$100,2)+SUMIFS('17'!$N$7:$N$100,'17'!$H$7:$H$100,$A387,'17'!$I$7:$I$100,2)+SUMIFS('17a'!$N$7:$N$100,'17a'!$H$7:$H$100,$A387,'17a'!$I$7:$I$100,2)+SUMIFS('18'!$N$7:$N$100,'18'!$H$7:$H$100,$A387,'18'!$I$7:$I$100,2)+SUMIFS('18a'!$N$7:$N$100,'18a'!$H$7:$H$100,$A387,'18a'!$I$7:$I$100,2)
+SUMIFS('19'!$N$7:$N$100,'19'!$H$7:$H$100,$A387,'19'!$I$7:$I$100,2)+SUMIFS('20'!$N$7:$N$100,'20'!$H$7:$H$100,$A387,'20'!$I$7:$I$100,2)+SUMIFS('20a'!$N$7:$N$100,'20a'!$H$7:$H$100,$A387,'20a'!$I$7:$I$100,2)+SUMIFS('21'!$N$7:$N$100,'21'!$H$7:$H$100,$A387,'21'!$I$7:$I$100,2)+SUMIFS('22'!$N$7:$N$100,'22'!$H$7:$H$100,$A387,'22'!$I$7:$I$100,2)+SUMIFS('22a'!$N$7:$N$100,'22a'!$H$7:$H$100,$A387,'22a'!$I$7:$I$100,2)+SUMIFS('22b'!$N$7:$N$100,'22b'!$H$7:$H$100,$A387,'22b'!$I$7:$I$100,2)+SUMIFS('23'!$N$7:$N$100,'23'!$H$7:$H$100,$A387,'23'!$I$7:$I$100,2)+SUMIFS('24'!$N$7:$N$100,'24'!$H$7:$H$100,$A387,'24'!$I$7:$I$100,2)+SUMIFS('24a'!$N$7:$N$100,'24a'!$H$7:$H$100,$A387,'24a'!$I$7:$I$100,2)+SUMIFS('24b'!$N$7:$N$100,'24b'!$H$7:$H$100,$A387,'24b'!$I$7:$I$100,2)+SUMIFS('24c'!$N$7:$N$100,'24c'!$H$7:$H$100,$A387,'24c'!$I$7:$I$100,2)+SUMIFS('24d'!$N$7:$N$100,'24d'!$H$7:$H$100,$A387,'24d'!$I$7:$I$100,2)+SUMIFS('24e'!$N$7:$N$100,'24e'!$H$7:$H$100,$A387,'24e'!$I$7:$I$100,2)+SUMIFS('24f'!$N$7:$N$100,'24f'!$H$7:$H$100,$A387,'24f'!$I$7:$I$100,2)+SUMIFS('24g'!$N$7:$N$100,'24g'!$H$7:$H$100,$A387,'24g'!$I$7:$I$100,2)+SUMIFS('24h'!$N$7:$N$100,'24h'!$H$7:$H$100,$A387,'24h'!$I$7:$I$100,2)+SUMIFS('24i'!$N$7:$N$100,'24i'!$H$7:$H$100,$A387,'24i'!$I$7:$I$100,2)+SUMIFS('25'!$N$7:$N$100,'25'!$H$7:$H$100,$A387,'25'!$I$7:$I$100,2)+SUMIFS('26'!$N$7:$N$100,'26'!$H$7:$H$100,$A387,'26'!$I$7:$I$100,2)+SUMIFS('26a'!$N$7:$N$100,'26a'!$H$7:$H$100,$A387,'26a'!$I$7:$I$100,2)+SUMIFS('27'!$N$7:$N$100,'27'!$H$7:$H$100,$A387,'27'!$I$7:$I$100,2)+SUMIFS('27a'!$N$7:$N$100,'27a'!$H$7:$H$100,$A387,'27a'!$I$7:$I$100,2)+SUMIFS('28'!$N$7:$N$100,'28'!$H$7:$H$100,$A387,'28'!$I$7:$I$100,2)+SUMIFS('29'!$N$7:$N$100,'29'!$H$7:$H$100,$A387,'29'!$I$7:$I$100,2)</f>
        <v>5175.66</v>
      </c>
      <c r="E388" s="1315">
        <f>SUMIFS('12'!$N$7:$N$100,'12'!$H$7:$H$100,$A387,'12'!$I$7:$I$100,"")+SUMIFS('13'!$N$7:$N$100,'13'!$H$7:$H$100,$A387,'13'!$I$7:$I$100,"")+SUMIFS('14'!$N$7:$N$100,'14'!$H$7:$H$100,$A387,'14'!$I$7:$I$100,"")+SUMIFS('15'!$N$7:$N$100,'15'!$H$7:$H$100,$A387,'15'!$I$7:$I$100,"")+SUMIFS('15a'!$N$7:$N$100,'15a'!$H$7:$H$100,$A387,'15a'!$I$7:$I$100,"")+SUMIFS('15b'!$N$7:$N$100,'15b'!$H$7:$H$100,$A387,'15b'!$I$7:$I$100,"")+SUMIFS('15c'!$N$7:$N$100,'15c'!$H$7:$H$100,$A387,'15c'!$I$7:$I$100,"")+SUMIFS('15d'!$N$7:$N$100,'15d'!$H$7:$H$100,$A387,'15d'!$I$7:$I$100,"")+SUMIFS('15e'!$N$7:$N$100,'15e'!$H$7:$H$100,$A387,'15e'!$I$7:$I$100,"")+SUMIFS('15f'!$N$7:$N$100,'15f'!$H$7:$H$100,$A387,'15f'!$I$7:$I$100,"")+SUMIFS('15g'!$N$7:$N$100,'15g'!$H$7:$H$100,$A387,'15g'!$I$7:$I$100,"")+SUMIFS('15h'!$N$7:$N$100,'15h'!$H$7:$H$100,$A387,'15h'!$I$7:$I$100,"")+SUMIFS('15i'!$N$7:$N$100,'15i'!$H$7:$H$100,$A387,'15i'!$I$7:$I$100,"")+SUMIFS('15j'!$N$7:$N$100,'15j'!$H$7:$H$100,$A387,'15j'!$I$7:$I$100,"")+SUMIFS('15k'!$N$7:$N$100,'15k'!$H$7:$H$100,$A387,'15k'!$I$7:$I$100,"")+SUMIFS('15l'!$N$7:$N$100,'15l'!$H$7:$H$100,$A387,'15l'!$I$7:$I$100,"")+SUMIFS('15m'!$N$7:$N$100,'15m'!$H$7:$H$100,$A387,'15m'!$I$7:$I$100,"")+SUMIFS('15n'!$N$7:$N$100,'15n'!$H$7:$H$100,$A387,'15n'!$I$7:$I$100,"")+SUMIFS('16'!$N$7:$N$100,'16'!$H$7:$H$100,$A387,'16'!$I$7:$I$100,"")+SUMIFS('16a'!$N$7:$N$100,'16a'!$H$7:$H$100,$A387,'16a'!$I$7:$I$100,"")+SUMIFS('17'!$N$7:$N$100,'17'!$H$7:$H$100,$A387,'17'!$I$7:$I$100,"")+SUMIFS('17a'!$N$7:$N$100,'17a'!$H$7:$H$100,$A387,'17a'!$I$7:$I$100,"")+SUMIFS('18'!$N$7:$N$100,'18'!$H$7:$H$100,$A387,'18'!$I$7:$I$100,"")+SUMIFS('18a'!$N$7:$N$100,'18a'!$H$7:$H$100,$A387,'18a'!$I$7:$I$100,"")
+SUMIFS('19'!$N$7:$N$100,'19'!$H$7:$H$100,$A387,'19'!$I$7:$I$100,"")+SUMIFS('20'!$N$7:$N$100,'20'!$H$7:$H$100,$A387,'20'!$I$7:$I$100,"")+SUMIFS('20a'!$N$7:$N$100,'20a'!$H$7:$H$100,$A387,'20a'!$I$7:$I$100,"")+SUMIFS('21'!$N$7:$N$100,'21'!$H$7:$H$100,$A387,'21'!$I$7:$I$100,"")+SUMIFS('22'!$N$7:$N$100,'22'!$H$7:$H$100,$A387,'22'!$I$7:$I$100,"")+SUMIFS('22a'!$N$7:$N$100,'22a'!$H$7:$H$100,$A387,'22a'!$I$7:$I$100,"")+SUMIFS('22b'!$N$7:$N$100,'22b'!$H$7:$H$100,$A387,'22b'!$I$7:$I$100,"")+SUMIFS('23'!$N$7:$N$100,'23'!$H$7:$H$100,$A387,'23'!$I$7:$I$100,"")+SUMIFS('24'!$N$7:$N$100,'24'!$H$7:$H$100,$A387,'24'!$I$7:$I$100,"")+SUMIFS('24a'!$N$7:$N$100,'24a'!$H$7:$H$100,$A387,'24a'!$I$7:$I$100,"")+SUMIFS('24b'!$N$7:$N$100,'24b'!$H$7:$H$100,$A387,'24b'!$I$7:$I$100,"")+SUMIFS('24c'!$N$7:$N$100,'24c'!$H$7:$H$100,$A387,'24c'!$I$7:$I$100,"")+SUMIFS('24d'!$N$7:$N$100,'24d'!$H$7:$H$100,$A387,'24d'!$I$7:$I$100,"")+SUMIFS('24e'!$N$7:$N$100,'24e'!$H$7:$H$100,$A387,'24e'!$I$7:$I$100,"")+SUMIFS('24f'!$N$7:$N$100,'24f'!$H$7:$H$100,$A387,'24f'!$I$7:$I$100,"")+SUMIFS('24g'!$N$7:$N$100,'24g'!$H$7:$H$100,$A387,'24g'!$I$7:$I$100,"")+SUMIFS('24h'!$N$7:$N$100,'24h'!$H$7:$H$100,$A387,'24h'!$I$7:$I$100,"")+SUMIFS('24i'!$N$7:$N$100,'24i'!$H$7:$H$100,$A387,'24i'!$I$7:$I$100,"")+SUMIFS('25'!$N$7:$N$100,'25'!$H$7:$H$100,$A387,'25'!$I$7:$I$100,"")+SUMIFS('26'!$N$7:$N$100,'26'!$H$7:$H$100,$A387,'26'!$I$7:$I$100,"")+SUMIFS('26a'!$N$7:$N$100,'26a'!$H$7:$H$100,$A387,'26a'!$I$7:$I$100,"")+SUMIFS('27'!$N$7:$N$100,'27'!$H$7:$H$100,$A387,'27'!$I$7:$I$100,"")+SUMIFS('27a'!$N$7:$N$100,'27a'!$H$7:$H$100,$A387,'27a'!$I$7:$I$100,"")+SUMIFS('28'!$N$7:$N$100,'28'!$H$7:$H$100,$A387,'28'!$I$7:$I$100,"")+SUMIFS('29'!$N$7:$N$100,'29'!$H$7:$H$100,$A387,'29'!$I$7:$I$100,"")</f>
        <v>0</v>
      </c>
      <c r="F388" s="1296">
        <f t="shared" si="60"/>
        <v>5175.66</v>
      </c>
      <c r="G388" s="1295">
        <f>SUMIFS('12'!$J$7:$J$100,'12'!$H$7:$H$100,$A387,'12'!$I$7:$I$100,1)+SUMIFS('13'!$J$7:$J$100,'13'!$H$7:$H$100,$A387,'13'!$I$7:$I$100,1)+SUMIFS('14'!$J$7:$J$100,'14'!$H$7:$H$100,$A387,'14'!$I$7:$I$100,1)+SUMIFS('15'!$J$7:$J$100,'15'!$H$7:$H$100,$A387,'15'!$I$7:$I$100,1)+SUMIFS('15a'!$J$7:$J$100,'15a'!$H$7:$H$100,$A387,'15a'!$I$7:$I$100,1)+SUMIFS('15b'!$J$7:$J$100,'15b'!$H$7:$H$100,$A387,'15b'!$I$7:$I$100,1)+SUMIFS('15c'!$J$7:$J$100,'15c'!$H$7:$H$100,$A387,'15c'!$I$7:$I$100,1)+SUMIFS('15d'!$J$7:$J$100,'15d'!$H$7:$H$100,$A387,'15d'!$I$7:$I$100,1)+SUMIFS('15e'!$J$7:$J$100,'15e'!$H$7:$H$100,$A387,'15e'!$I$7:$I$100,1)+SUMIFS('15f'!$J$7:$J$100,'15f'!$H$7:$H$100,$A387,'15f'!$I$7:$I$100,1)+SUMIFS('15g'!$J$7:$J$100,'15g'!$H$7:$H$100,$A387,'15g'!$I$7:$I$100,1)+SUMIFS('15h'!$J$7:$J$100,'15h'!$H$7:$H$100,$A387,'15h'!$I$7:$I$100,1)+SUMIFS('15i'!$J$7:$J$100,'15i'!$H$7:$H$100,$A387,'15i'!$I$7:$I$100,1)+SUMIFS('15j'!$J$7:$J$100,'15j'!$H$7:$H$100,$A387,'15j'!$I$7:$I$100,1)+SUMIFS('15k'!$J$7:$J$100,'15k'!$H$7:$H$100,$A387,'15k'!$I$7:$I$100,1)+SUMIFS('15l'!$J$7:$J$100,'15l'!$H$7:$H$100,$A387,'15l'!$I$7:$I$100,1)+SUMIFS('15m'!$J$7:$J$100,'15m'!$H$7:$H$100,$A387,'15m'!$I$7:$I$100,1)+SUMIFS('15n'!$J$7:$J$100,'15n'!$H$7:$H$100,$A387,'15n'!$I$7:$I$100,1)+SUMIFS('16'!$J$7:$J$100,'16'!$H$7:$H$100,$A387,'16'!$I$7:$I$100,1)+SUMIFS('16a'!$J$7:$J$100,'16a'!$H$7:$H$100,$A387,'16a'!$I$7:$I$100,1)+SUMIFS('17'!$J$7:$J$100,'17'!$H$7:$H$100,$A387,'17'!$I$7:$I$100,1)+SUMIFS('17a'!$J$7:$J$100,'17a'!$H$7:$H$100,$A387,'17a'!$I$7:$I$100,1)+SUMIFS('18'!$J$7:$J$100,'18'!$H$7:$H$100,$A387,'18'!$I$7:$I$100,1)+SUMIFS('18a'!$J$7:$J$100,'18a'!$H$7:$H$100,$A387,'18a'!$I$7:$I$100,1)
+SUMIFS('19'!$J$7:$J$100,'19'!$H$7:$H$100,$A387,'19'!$I$7:$I$100,1)+SUMIFS('20'!$J$7:$J$100,'20'!$H$7:$H$100,$A387,'20'!$I$7:$I$100,1)+SUMIFS('20a'!$J$7:$J$100,'20a'!$H$7:$H$100,$A387,'20a'!$I$7:$I$100,1)+SUMIFS('21'!$J$7:$J$100,'21'!$H$7:$H$100,$A387,'21'!$I$7:$I$100,1)+SUMIFS('22'!$J$7:$J$100,'22'!$H$7:$H$100,$A387,'22'!$I$7:$I$100,1)+SUMIFS('22a'!$J$7:$J$100,'22a'!$H$7:$H$100,$A387,'22a'!$I$7:$I$100,1)+SUMIFS('22b'!$J$7:$J$100,'22b'!$H$7:$H$100,$A387,'22b'!$I$7:$I$100,1)+SUMIFS('23'!$J$7:$J$100,'23'!$H$7:$H$100,$A387,'23'!$I$7:$I$100,1)+SUMIFS('24'!$J$7:$J$100,'24'!$H$7:$H$100,$A387,'24'!$I$7:$I$100,1)+SUMIFS('24a'!$J$7:$J$100,'24a'!$H$7:$H$100,$A387,'24a'!$I$7:$I$100,1)+SUMIFS('24b'!$J$7:$J$100,'24b'!$H$7:$H$100,$A387,'24b'!$I$7:$I$100,1)+SUMIFS('24c'!$J$7:$J$100,'24c'!$H$7:$H$100,$A387,'24c'!$I$7:$I$100,1)+SUMIFS('24d'!$J$7:$J$100,'24d'!$H$7:$H$100,$A387,'24d'!$I$7:$I$100,1)+SUMIFS('24e'!$J$7:$J$100,'24e'!$H$7:$H$100,$A387,'24e'!$I$7:$I$100,1)+SUMIFS('24f'!$J$7:$J$100,'24f'!$H$7:$H$100,$A387,'24f'!$I$7:$I$100,1)+SUMIFS('24g'!$J$7:$J$100,'24g'!$H$7:$H$100,$A387,'24g'!$I$7:$I$100,1)+SUMIFS('24h'!$J$7:$J$100,'24h'!$H$7:$H$100,$A387,'24h'!$I$7:$I$100,1)+SUMIFS('24i'!$J$7:$J$100,'24i'!$H$7:$H$100,$A387,'24i'!$I$7:$I$100,1)+SUMIFS('25'!$J$7:$J$100,'25'!$H$7:$H$100,$A387,'25'!$I$7:$I$100,1)+SUMIFS('26'!$J$7:$J$100,'26'!$H$7:$H$100,$A387,'26'!$I$7:$I$100,1)+SUMIFS('26a'!$J$7:$J$100,'26a'!$H$7:$H$100,$A387,'26a'!$I$7:$I$100,1)+SUMIFS('27'!$J$7:$J$100,'27'!$H$7:$H$100,$A387,'27'!$I$7:$I$100,1)+SUMIFS('27a'!$J$7:$J$100,'27a'!$H$7:$H$100,$A387,'27a'!$I$7:$I$100,1)+SUMIFS('28'!$J$7:$J$100,'28'!$H$7:$H$100,$A387,'28'!$I$7:$I$100,1)+SUMIFS('29'!$J$7:$J$100,'29'!$H$7:$H$100,$A387,'29'!$I$7:$I$100,1)</f>
        <v>0</v>
      </c>
      <c r="H388" s="1315">
        <f>SUMIFS('12'!$J$7:$J$100,'12'!$H$7:$H$100,$A387,'12'!$I$7:$I$100,2)+SUMIFS('13'!$J$7:$J$100,'13'!$H$7:$H$100,$A387,'13'!$I$7:$I$100,2)+SUMIFS('14'!$J$7:$J$100,'14'!$H$7:$H$100,$A387,'14'!$I$7:$I$100,2)+SUMIFS('15'!$J$7:$J$100,'15'!$H$7:$H$100,$A387,'15'!$I$7:$I$100,2)+SUMIFS('15a'!$J$7:$J$100,'15a'!$H$7:$H$100,$A387,'15a'!$I$7:$I$100,2)+SUMIFS('15b'!$J$7:$J$100,'15b'!$H$7:$H$100,$A387,'15b'!$I$7:$I$100,2)+SUMIFS('15c'!$J$7:$J$100,'15c'!$H$7:$H$100,$A387,'15c'!$I$7:$I$100,2)+SUMIFS('15d'!$J$7:$J$100,'15d'!$H$7:$H$100,$A387,'15d'!$I$7:$I$100,2)+SUMIFS('15e'!$J$7:$J$100,'15e'!$H$7:$H$100,$A387,'15e'!$I$7:$I$100,2)+SUMIFS('15f'!$J$7:$J$100,'15f'!$H$7:$H$100,$A387,'15f'!$I$7:$I$100,2)+SUMIFS('15g'!$J$7:$J$100,'15g'!$H$7:$H$100,$A387,'15g'!$I$7:$I$100,2)+SUMIFS('15h'!$J$7:$J$100,'15h'!$H$7:$H$100,$A387,'15h'!$I$7:$I$100,2)+SUMIFS('15i'!$J$7:$J$100,'15i'!$H$7:$H$100,$A387,'15i'!$I$7:$I$100,2)+SUMIFS('15j'!$J$7:$J$100,'15j'!$H$7:$H$100,$A387,'15j'!$I$7:$I$100,2)+SUMIFS('15k'!$J$7:$J$100,'15k'!$H$7:$H$100,$A387,'15k'!$I$7:$I$100,2)+SUMIFS('15l'!$J$7:$J$100,'15l'!$H$7:$H$100,$A387,'15l'!$I$7:$I$100,2)+SUMIFS('15m'!$J$7:$J$100,'15m'!$H$7:$H$100,$A387,'15m'!$I$7:$I$100,2)+SUMIFS('15n'!$J$7:$J$100,'15n'!$H$7:$H$100,$A387,'15n'!$I$7:$I$100,2)+SUMIFS('16'!$J$7:$J$100,'16'!$H$7:$H$100,$A387,'16'!$I$7:$I$100,2)+SUMIFS('16a'!$J$7:$J$100,'16a'!$H$7:$H$100,$A387,'16a'!$I$7:$I$100,2)+SUMIFS('17'!$J$7:$J$100,'17'!$H$7:$H$100,$A387,'17'!$I$7:$I$100,2)+SUMIFS('17a'!$J$7:$J$100,'17a'!$H$7:$H$100,$A387,'17a'!$I$7:$I$100,2)+SUMIFS('18'!$J$7:$J$100,'18'!$H$7:$H$100,$A387,'18'!$I$7:$I$100,2)+SUMIFS('18a'!$J$7:$J$100,'18a'!$H$7:$H$100,$A387,'18a'!$I$7:$I$100,2)
+SUMIFS('19'!$J$7:$J$100,'19'!$H$7:$H$100,$A387,'19'!$I$7:$I$100,2)+SUMIFS('20'!$J$7:$J$100,'20'!$H$7:$H$100,$A387,'20'!$I$7:$I$100,2)+SUMIFS('20a'!$J$7:$J$100,'20a'!$H$7:$H$100,$A387,'20a'!$I$7:$I$100,2)+SUMIFS('21'!$J$7:$J$100,'21'!$H$7:$H$100,$A387,'21'!$I$7:$I$100,2)+SUMIFS('22'!$J$7:$J$100,'22'!$H$7:$H$100,$A387,'22'!$I$7:$I$100,2)+SUMIFS('22a'!$J$7:$J$100,'22a'!$H$7:$H$100,$A387,'22a'!$I$7:$I$100,2)+SUMIFS('22b'!$J$7:$J$100,'22b'!$H$7:$H$100,$A387,'22b'!$I$7:$I$100,2)+SUMIFS('23'!$J$7:$J$100,'23'!$H$7:$H$100,$A387,'23'!$I$7:$I$100,2)+SUMIFS('24'!$J$7:$J$100,'24'!$H$7:$H$100,$A387,'24'!$I$7:$I$100,2)+SUMIFS('24a'!$J$7:$J$100,'24a'!$H$7:$H$100,$A387,'24a'!$I$7:$I$100,2)+SUMIFS('24b'!$J$7:$J$100,'24b'!$H$7:$H$100,$A387,'24b'!$I$7:$I$100,2)+SUMIFS('24c'!$J$7:$J$100,'24c'!$H$7:$H$100,$A387,'24c'!$I$7:$I$100,2)+SUMIFS('24d'!$J$7:$J$100,'24d'!$H$7:$H$100,$A387,'24d'!$I$7:$I$100,2)+SUMIFS('24e'!$J$7:$J$100,'24e'!$H$7:$H$100,$A387,'24e'!$I$7:$I$100,2)+SUMIFS('24f'!$J$7:$J$100,'24f'!$H$7:$H$100,$A387,'24f'!$I$7:$I$100,2)+SUMIFS('24g'!$J$7:$J$100,'24g'!$H$7:$H$100,$A387,'24g'!$I$7:$I$100,2)+SUMIFS('24h'!$J$7:$J$100,'24h'!$H$7:$H$100,$A387,'24h'!$I$7:$I$100,2)+SUMIFS('24i'!$J$7:$J$100,'24i'!$H$7:$H$100,$A387,'24i'!$I$7:$I$100,2)+SUMIFS('25'!$J$7:$J$100,'25'!$H$7:$H$100,$A387,'25'!$I$7:$I$100,2)+SUMIFS('26'!$J$7:$J$100,'26'!$H$7:$H$100,$A387,'26'!$I$7:$I$100,2)+SUMIFS('26a'!$J$7:$J$100,'26a'!$H$7:$H$100,$A387,'26a'!$I$7:$I$100,2)+SUMIFS('27'!$J$7:$J$100,'27'!$H$7:$H$100,$A387,'27'!$I$7:$I$100,2)+SUMIFS('27a'!$J$7:$J$100,'27a'!$H$7:$H$100,$A387,'27a'!$I$7:$I$100,2)+SUMIFS('28'!$J$7:$J$100,'28'!$H$7:$H$100,$A387,'28'!$I$7:$I$100,2)+SUMIFS('29'!$J$7:$J$100,'29'!$H$7:$H$100,$A387,'29'!$I$7:$I$100,2)</f>
        <v>8000</v>
      </c>
      <c r="I388" s="1315">
        <f>SUMIFS('12'!$J$7:$J$100,'12'!$H$7:$H$100,$A387,'12'!$I$7:$I$100,"")+SUMIFS('13'!$J$7:$J$100,'13'!$H$7:$H$100,$A387,'13'!$I$7:$I$100,"")+SUMIFS('14'!$J$7:$J$100,'14'!$H$7:$H$100,$A387,'14'!$I$7:$I$100,"")+SUMIFS('15'!$J$7:$J$100,'15'!$H$7:$H$100,$A387,'15'!$I$7:$I$100,"")+SUMIFS('15a'!$J$7:$J$100,'15a'!$H$7:$H$100,$A387,'15a'!$I$7:$I$100,"")+SUMIFS('15b'!$J$7:$J$100,'15b'!$H$7:$H$100,$A387,'15b'!$I$7:$I$100,"")+SUMIFS('15c'!$J$7:$J$100,'15c'!$H$7:$H$100,$A387,'15c'!$I$7:$I$100,"")+SUMIFS('15d'!$J$7:$J$100,'15d'!$H$7:$H$100,$A387,'15d'!$I$7:$I$100,"")+SUMIFS('15e'!$J$7:$J$100,'15e'!$H$7:$H$100,$A387,'15e'!$I$7:$I$100,"")+SUMIFS('15f'!$J$7:$J$100,'15f'!$H$7:$H$100,$A387,'15f'!$I$7:$I$100,"")+SUMIFS('15g'!$J$7:$J$100,'15g'!$H$7:$H$100,$A387,'15g'!$I$7:$I$100,"")+SUMIFS('15h'!$J$7:$J$100,'15h'!$H$7:$H$100,$A387,'15h'!$I$7:$I$100,"")+SUMIFS('15i'!$J$7:$J$100,'15i'!$H$7:$H$100,$A387,'15i'!$I$7:$I$100,"")+SUMIFS('15j'!$J$7:$J$100,'15j'!$H$7:$H$100,$A387,'15j'!$I$7:$I$100,"")+SUMIFS('15k'!$J$7:$J$100,'15k'!$H$7:$H$100,$A387,'15k'!$I$7:$I$100,"")+SUMIFS('15l'!$J$7:$J$100,'15l'!$H$7:$H$100,$A387,'15l'!$I$7:$I$100,"")+SUMIFS('15m'!$J$7:$J$100,'15m'!$H$7:$H$100,$A387,'15m'!$I$7:$I$100,"")+SUMIFS('15n'!$J$7:$J$100,'15n'!$H$7:$H$100,$A387,'15n'!$I$7:$I$100,"")+SUMIFS('16'!$J$7:$J$100,'16'!$H$7:$H$100,$A387,'16'!$I$7:$I$100,"")+SUMIFS('16a'!$J$7:$J$100,'16a'!$H$7:$H$100,$A387,'16a'!$I$7:$I$100,"")+SUMIFS('17'!$J$7:$J$100,'17'!$H$7:$H$100,$A387,'17'!$I$7:$I$100,"")+SUMIFS('17a'!$J$7:$J$100,'17a'!$H$7:$H$100,$A387,'17a'!$I$7:$I$100,"")+SUMIFS('18'!$J$7:$J$100,'18'!$H$7:$H$100,$A387,'18'!$I$7:$I$100,"")+SUMIFS('18a'!$J$7:$J$100,'18a'!$H$7:$H$100,$A387,'18a'!$I$7:$I$100,"")
+SUMIFS('19'!$J$7:$J$100,'19'!$H$7:$H$100,$A387,'19'!$I$7:$I$100,"")+SUMIFS('20'!$J$7:$J$100,'20'!$H$7:$H$100,$A387,'20'!$I$7:$I$100,"")+SUMIFS('20a'!$J$7:$J$100,'20a'!$H$7:$H$100,$A387,'20a'!$I$7:$I$100,"")+SUMIFS('21'!$J$7:$J$100,'21'!$H$7:$H$100,$A387,'21'!$I$7:$I$100,"")+SUMIFS('22'!$J$7:$J$100,'22'!$H$7:$H$100,$A387,'22'!$I$7:$I$100,"")+SUMIFS('22a'!$J$7:$J$100,'22a'!$H$7:$H$100,$A387,'22a'!$I$7:$I$100,"")+SUMIFS('22b'!$J$7:$J$100,'22b'!$H$7:$H$100,$A387,'22b'!$I$7:$I$100,"")+SUMIFS('23'!$J$7:$J$100,'23'!$H$7:$H$100,$A387,'23'!$I$7:$I$100,"")+SUMIFS('24'!$J$7:$J$100,'24'!$H$7:$H$100,$A387,'24'!$I$7:$I$100,"")+SUMIFS('24a'!$J$7:$J$100,'24a'!$H$7:$H$100,$A387,'24a'!$I$7:$I$100,"")+SUMIFS('24b'!$J$7:$J$100,'24b'!$H$7:$H$100,$A387,'24b'!$I$7:$I$100,"")+SUMIFS('24c'!$J$7:$J$100,'24c'!$H$7:$H$100,$A387,'24c'!$I$7:$I$100,"")+SUMIFS('24d'!$J$7:$J$100,'24d'!$H$7:$H$100,$A387,'24d'!$I$7:$I$100,"")+SUMIFS('24e'!$J$7:$J$100,'24e'!$H$7:$H$100,$A387,'24e'!$I$7:$I$100,"")+SUMIFS('24f'!$J$7:$J$100,'24f'!$H$7:$H$100,$A387,'24f'!$I$7:$I$100,"")+SUMIFS('24g'!$J$7:$J$100,'24g'!$H$7:$H$100,$A387,'24g'!$I$7:$I$100,"")+SUMIFS('24h'!$J$7:$J$100,'24h'!$H$7:$H$100,$A387,'24h'!$I$7:$I$100,"")+SUMIFS('24i'!$J$7:$J$100,'24i'!$H$7:$H$100,$A387,'24i'!$I$7:$I$100,"")+SUMIFS('25'!$J$7:$J$100,'25'!$H$7:$H$100,$A387,'25'!$I$7:$I$100,"")+SUMIFS('26'!$J$7:$J$100,'26'!$H$7:$H$100,$A387,'26'!$I$7:$I$100,"")+SUMIFS('26a'!$J$7:$J$100,'26a'!$H$7:$H$100,$A387,'26a'!$I$7:$I$100,"")+SUMIFS('27'!$J$7:$J$100,'27'!$H$7:$H$100,$A387,'27'!$I$7:$I$100,"")+SUMIFS('27a'!$J$7:$J$100,'27a'!$H$7:$H$100,$A387,'27a'!$I$7:$I$100,"")+SUMIFS('28'!$J$7:$J$100,'28'!$H$7:$H$100,$A387,'28'!$I$7:$I$100,"")+SUMIFS('29'!$J$7:$J$100,'29'!$H$7:$H$100,$A387,'29'!$I$7:$I$100,"")</f>
        <v>0</v>
      </c>
      <c r="J388" s="1296">
        <f t="shared" si="61"/>
        <v>8000</v>
      </c>
      <c r="K388"/>
      <c r="L388"/>
      <c r="M388"/>
      <c r="N388"/>
      <c r="O388"/>
      <c r="P388"/>
      <c r="Q388"/>
      <c r="R388"/>
      <c r="S388" s="1307">
        <f t="shared" si="48"/>
        <v>26351.32</v>
      </c>
      <c r="T388"/>
    </row>
    <row r="389" spans="1:20" outlineLevel="1" x14ac:dyDescent="0.2">
      <c r="A389" t="s">
        <v>5141</v>
      </c>
      <c r="B389" t="s">
        <v>5409</v>
      </c>
      <c r="C389" s="1295">
        <f>SUMIFS('12'!$N$7:$N$100,'12'!$H$7:$H$100,$A388,'12'!$I$7:$I$100,1)+SUMIFS('13'!$N$7:$N$100,'13'!$H$7:$H$100,$A388,'13'!$I$7:$I$100,1)+SUMIFS('14'!$N$7:$N$100,'14'!$H$7:$H$100,$A388,'14'!$I$7:$I$100,1)+SUMIFS('15'!$N$7:$N$100,'15'!$H$7:$H$100,$A388,'15'!$I$7:$I$100,1)+SUMIFS('15a'!$N$7:$N$100,'15a'!$H$7:$H$100,$A388,'15a'!$I$7:$I$100,1)+SUMIFS('15b'!$N$7:$N$100,'15b'!$H$7:$H$100,$A388,'15b'!$I$7:$I$100,1)+SUMIFS('15c'!$N$7:$N$100,'15c'!$H$7:$H$100,$A388,'15c'!$I$7:$I$100,1)+SUMIFS('15d'!$N$7:$N$100,'15d'!$H$7:$H$100,$A388,'15d'!$I$7:$I$100,1)+SUMIFS('15e'!$N$7:$N$100,'15e'!$H$7:$H$100,$A388,'15e'!$I$7:$I$100,1)+SUMIFS('15f'!$N$7:$N$100,'15f'!$H$7:$H$100,$A388,'15f'!$I$7:$I$100,1)+SUMIFS('15g'!$N$7:$N$100,'15g'!$H$7:$H$100,$A388,'15g'!$I$7:$I$100,1)+SUMIFS('15h'!$N$7:$N$100,'15h'!$H$7:$H$100,$A388,'15h'!$I$7:$I$100,1)+SUMIFS('15i'!$N$7:$N$100,'15i'!$H$7:$H$100,$A388,'15i'!$I$7:$I$100,1)+SUMIFS('15j'!$N$7:$N$100,'15j'!$H$7:$H$100,$A388,'15j'!$I$7:$I$100,1)+SUMIFS('15k'!$N$7:$N$100,'15k'!$H$7:$H$100,$A388,'15k'!$I$7:$I$100,1)+SUMIFS('15l'!$N$7:$N$100,'15l'!$H$7:$H$100,$A388,'15l'!$I$7:$I$100,1)+SUMIFS('15m'!$N$7:$N$100,'15m'!$H$7:$H$100,$A388,'15m'!$I$7:$I$100,1)+SUMIFS('15n'!$N$7:$N$100,'15n'!$H$7:$H$100,$A388,'15n'!$I$7:$I$100,1)+SUMIFS('16'!$N$7:$N$100,'16'!$H$7:$H$100,$A388,'16'!$I$7:$I$100,1)+SUMIFS('16a'!$N$7:$N$100,'16a'!$H$7:$H$100,$A388,'16a'!$I$7:$I$100,1)+SUMIFS('17'!$N$7:$N$100,'17'!$H$7:$H$100,$A388,'17'!$I$7:$I$100,1)+SUMIFS('17a'!$N$7:$N$100,'17a'!$H$7:$H$100,$A388,'17a'!$I$7:$I$100,1)+SUMIFS('18'!$N$7:$N$100,'18'!$H$7:$H$100,$A388,'18'!$I$7:$I$100,1)+SUMIFS('18a'!$N$7:$N$100,'18a'!$H$7:$H$100,$A388,'18a'!$I$7:$I$100,1)
+SUMIFS('19'!$N$7:$N$100,'19'!$H$7:$H$100,$A388,'19'!$I$7:$I$100,1)+SUMIFS('20'!$N$7:$N$100,'20'!$H$7:$H$100,$A388,'20'!$I$7:$I$100,1)+SUMIFS('20a'!$N$7:$N$100,'20a'!$H$7:$H$100,$A388,'20a'!$I$7:$I$100,1)+SUMIFS('21'!$N$7:$N$100,'21'!$H$7:$H$100,$A388,'21'!$I$7:$I$100,1)+SUMIFS('22'!$N$7:$N$100,'22'!$H$7:$H$100,$A388,'22'!$I$7:$I$100,1)+SUMIFS('22a'!$N$7:$N$100,'22a'!$H$7:$H$100,$A388,'22a'!$I$7:$I$100,1)+SUMIFS('22b'!$N$7:$N$100,'22b'!$H$7:$H$100,$A388,'22b'!$I$7:$I$100,1)+SUMIFS('23'!$N$7:$N$100,'23'!$H$7:$H$100,$A388,'23'!$I$7:$I$100,1)+SUMIFS('24'!$N$7:$N$100,'24'!$H$7:$H$100,$A388,'24'!$I$7:$I$100,1)+SUMIFS('24a'!$N$7:$N$100,'24a'!$H$7:$H$100,$A388,'24a'!$I$7:$I$100,1)+SUMIFS('24b'!$N$7:$N$100,'24b'!$H$7:$H$100,$A388,'24b'!$I$7:$I$100,1)+SUMIFS('24c'!$N$7:$N$100,'24c'!$H$7:$H$100,$A388,'24c'!$I$7:$I$100,1)+SUMIFS('24d'!$N$7:$N$100,'24d'!$H$7:$H$100,$A388,'24d'!$I$7:$I$100,1)+SUMIFS('24e'!$N$7:$N$100,'24e'!$H$7:$H$100,$A388,'24e'!$I$7:$I$100,1)+SUMIFS('24f'!$N$7:$N$100,'24f'!$H$7:$H$100,$A388,'24f'!$I$7:$I$100,1)+SUMIFS('24g'!$N$7:$N$100,'24g'!$H$7:$H$100,$A388,'24g'!$I$7:$I$100,1)+SUMIFS('24h'!$N$7:$N$100,'24h'!$H$7:$H$100,$A388,'24h'!$I$7:$I$100,1)+SUMIFS('24i'!$N$7:$N$100,'24i'!$H$7:$H$100,$A388,'24i'!$I$7:$I$100,1)+SUMIFS('25'!$N$7:$N$100,'25'!$H$7:$H$100,$A388,'25'!$I$7:$I$100,1)+SUMIFS('26'!$N$7:$N$100,'26'!$H$7:$H$100,$A388,'26'!$I$7:$I$100,1)+SUMIFS('26a'!$N$7:$N$100,'26a'!$H$7:$H$100,$A388,'26a'!$I$7:$I$100,1)+SUMIFS('27'!$N$7:$N$100,'27'!$H$7:$H$100,$A388,'27'!$I$7:$I$100,1)+SUMIFS('27a'!$N$7:$N$100,'27a'!$H$7:$H$100,$A388,'27a'!$I$7:$I$100,1)+SUMIFS('28'!$N$7:$N$100,'28'!$H$7:$H$100,$A388,'28'!$I$7:$I$100,1)+SUMIFS('29'!$N$7:$N$100,'29'!$H$7:$H$100,$A388,'29'!$I$7:$I$100,1)</f>
        <v>0</v>
      </c>
      <c r="D389" s="1315">
        <f>SUMIFS('12'!$N$7:$N$100,'12'!$H$7:$H$100,$A388,'12'!$I$7:$I$100,2)+SUMIFS('13'!$N$7:$N$100,'13'!$H$7:$H$100,$A388,'13'!$I$7:$I$100,2)+SUMIFS('14'!$N$7:$N$100,'14'!$H$7:$H$100,$A388,'14'!$I$7:$I$100,2)+SUMIFS('15'!$N$7:$N$100,'15'!$H$7:$H$100,$A388,'15'!$I$7:$I$100,2)+SUMIFS('15a'!$N$7:$N$100,'15a'!$H$7:$H$100,$A388,'15a'!$I$7:$I$100,2)+SUMIFS('15b'!$N$7:$N$100,'15b'!$H$7:$H$100,$A388,'15b'!$I$7:$I$100,2)+SUMIFS('15c'!$N$7:$N$100,'15c'!$H$7:$H$100,$A388,'15c'!$I$7:$I$100,2)+SUMIFS('15d'!$N$7:$N$100,'15d'!$H$7:$H$100,$A388,'15d'!$I$7:$I$100,2)+SUMIFS('15e'!$N$7:$N$100,'15e'!$H$7:$H$100,$A388,'15e'!$I$7:$I$100,2)+SUMIFS('15f'!$N$7:$N$100,'15f'!$H$7:$H$100,$A388,'15f'!$I$7:$I$100,2)+SUMIFS('15g'!$N$7:$N$100,'15g'!$H$7:$H$100,$A388,'15g'!$I$7:$I$100,2)+SUMIFS('15h'!$N$7:$N$100,'15h'!$H$7:$H$100,$A388,'15h'!$I$7:$I$100,2)+SUMIFS('15i'!$N$7:$N$100,'15i'!$H$7:$H$100,$A388,'15i'!$I$7:$I$100,2)+SUMIFS('15j'!$N$7:$N$100,'15j'!$H$7:$H$100,$A388,'15j'!$I$7:$I$100,2)+SUMIFS('15k'!$N$7:$N$100,'15k'!$H$7:$H$100,$A388,'15k'!$I$7:$I$100,2)+SUMIFS('15l'!$N$7:$N$100,'15l'!$H$7:$H$100,$A388,'15l'!$I$7:$I$100,2)+SUMIFS('15m'!$N$7:$N$100,'15m'!$H$7:$H$100,$A388,'15m'!$I$7:$I$100,2)+SUMIFS('15n'!$N$7:$N$100,'15n'!$H$7:$H$100,$A388,'15n'!$I$7:$I$100,2)+SUMIFS('16'!$N$7:$N$100,'16'!$H$7:$H$100,$A388,'16'!$I$7:$I$100,2)+SUMIFS('16a'!$N$7:$N$100,'16a'!$H$7:$H$100,$A388,'16a'!$I$7:$I$100,2)+SUMIFS('17'!$N$7:$N$100,'17'!$H$7:$H$100,$A388,'17'!$I$7:$I$100,2)+SUMIFS('17a'!$N$7:$N$100,'17a'!$H$7:$H$100,$A388,'17a'!$I$7:$I$100,2)+SUMIFS('18'!$N$7:$N$100,'18'!$H$7:$H$100,$A388,'18'!$I$7:$I$100,2)+SUMIFS('18a'!$N$7:$N$100,'18a'!$H$7:$H$100,$A388,'18a'!$I$7:$I$100,2)
+SUMIFS('19'!$N$7:$N$100,'19'!$H$7:$H$100,$A388,'19'!$I$7:$I$100,2)+SUMIFS('20'!$N$7:$N$100,'20'!$H$7:$H$100,$A388,'20'!$I$7:$I$100,2)+SUMIFS('20a'!$N$7:$N$100,'20a'!$H$7:$H$100,$A388,'20a'!$I$7:$I$100,2)+SUMIFS('21'!$N$7:$N$100,'21'!$H$7:$H$100,$A388,'21'!$I$7:$I$100,2)+SUMIFS('22'!$N$7:$N$100,'22'!$H$7:$H$100,$A388,'22'!$I$7:$I$100,2)+SUMIFS('22a'!$N$7:$N$100,'22a'!$H$7:$H$100,$A388,'22a'!$I$7:$I$100,2)+SUMIFS('22b'!$N$7:$N$100,'22b'!$H$7:$H$100,$A388,'22b'!$I$7:$I$100,2)+SUMIFS('23'!$N$7:$N$100,'23'!$H$7:$H$100,$A388,'23'!$I$7:$I$100,2)+SUMIFS('24'!$N$7:$N$100,'24'!$H$7:$H$100,$A388,'24'!$I$7:$I$100,2)+SUMIFS('24a'!$N$7:$N$100,'24a'!$H$7:$H$100,$A388,'24a'!$I$7:$I$100,2)+SUMIFS('24b'!$N$7:$N$100,'24b'!$H$7:$H$100,$A388,'24b'!$I$7:$I$100,2)+SUMIFS('24c'!$N$7:$N$100,'24c'!$H$7:$H$100,$A388,'24c'!$I$7:$I$100,2)+SUMIFS('24d'!$N$7:$N$100,'24d'!$H$7:$H$100,$A388,'24d'!$I$7:$I$100,2)+SUMIFS('24e'!$N$7:$N$100,'24e'!$H$7:$H$100,$A388,'24e'!$I$7:$I$100,2)+SUMIFS('24f'!$N$7:$N$100,'24f'!$H$7:$H$100,$A388,'24f'!$I$7:$I$100,2)+SUMIFS('24g'!$N$7:$N$100,'24g'!$H$7:$H$100,$A388,'24g'!$I$7:$I$100,2)+SUMIFS('24h'!$N$7:$N$100,'24h'!$H$7:$H$100,$A388,'24h'!$I$7:$I$100,2)+SUMIFS('24i'!$N$7:$N$100,'24i'!$H$7:$H$100,$A388,'24i'!$I$7:$I$100,2)+SUMIFS('25'!$N$7:$N$100,'25'!$H$7:$H$100,$A388,'25'!$I$7:$I$100,2)+SUMIFS('26'!$N$7:$N$100,'26'!$H$7:$H$100,$A388,'26'!$I$7:$I$100,2)+SUMIFS('26a'!$N$7:$N$100,'26a'!$H$7:$H$100,$A388,'26a'!$I$7:$I$100,2)+SUMIFS('27'!$N$7:$N$100,'27'!$H$7:$H$100,$A388,'27'!$I$7:$I$100,2)+SUMIFS('27a'!$N$7:$N$100,'27a'!$H$7:$H$100,$A388,'27a'!$I$7:$I$100,2)+SUMIFS('28'!$N$7:$N$100,'28'!$H$7:$H$100,$A388,'28'!$I$7:$I$100,2)+SUMIFS('29'!$N$7:$N$100,'29'!$H$7:$H$100,$A388,'29'!$I$7:$I$100,2)</f>
        <v>7600</v>
      </c>
      <c r="E389" s="1315">
        <f>SUMIFS('12'!$N$7:$N$100,'12'!$H$7:$H$100,$A388,'12'!$I$7:$I$100,"")+SUMIFS('13'!$N$7:$N$100,'13'!$H$7:$H$100,$A388,'13'!$I$7:$I$100,"")+SUMIFS('14'!$N$7:$N$100,'14'!$H$7:$H$100,$A388,'14'!$I$7:$I$100,"")+SUMIFS('15'!$N$7:$N$100,'15'!$H$7:$H$100,$A388,'15'!$I$7:$I$100,"")+SUMIFS('15a'!$N$7:$N$100,'15a'!$H$7:$H$100,$A388,'15a'!$I$7:$I$100,"")+SUMIFS('15b'!$N$7:$N$100,'15b'!$H$7:$H$100,$A388,'15b'!$I$7:$I$100,"")+SUMIFS('15c'!$N$7:$N$100,'15c'!$H$7:$H$100,$A388,'15c'!$I$7:$I$100,"")+SUMIFS('15d'!$N$7:$N$100,'15d'!$H$7:$H$100,$A388,'15d'!$I$7:$I$100,"")+SUMIFS('15e'!$N$7:$N$100,'15e'!$H$7:$H$100,$A388,'15e'!$I$7:$I$100,"")+SUMIFS('15f'!$N$7:$N$100,'15f'!$H$7:$H$100,$A388,'15f'!$I$7:$I$100,"")+SUMIFS('15g'!$N$7:$N$100,'15g'!$H$7:$H$100,$A388,'15g'!$I$7:$I$100,"")+SUMIFS('15h'!$N$7:$N$100,'15h'!$H$7:$H$100,$A388,'15h'!$I$7:$I$100,"")+SUMIFS('15i'!$N$7:$N$100,'15i'!$H$7:$H$100,$A388,'15i'!$I$7:$I$100,"")+SUMIFS('15j'!$N$7:$N$100,'15j'!$H$7:$H$100,$A388,'15j'!$I$7:$I$100,"")+SUMIFS('15k'!$N$7:$N$100,'15k'!$H$7:$H$100,$A388,'15k'!$I$7:$I$100,"")+SUMIFS('15l'!$N$7:$N$100,'15l'!$H$7:$H$100,$A388,'15l'!$I$7:$I$100,"")+SUMIFS('15m'!$N$7:$N$100,'15m'!$H$7:$H$100,$A388,'15m'!$I$7:$I$100,"")+SUMIFS('15n'!$N$7:$N$100,'15n'!$H$7:$H$100,$A388,'15n'!$I$7:$I$100,"")+SUMIFS('16'!$N$7:$N$100,'16'!$H$7:$H$100,$A388,'16'!$I$7:$I$100,"")+SUMIFS('16a'!$N$7:$N$100,'16a'!$H$7:$H$100,$A388,'16a'!$I$7:$I$100,"")+SUMIFS('17'!$N$7:$N$100,'17'!$H$7:$H$100,$A388,'17'!$I$7:$I$100,"")+SUMIFS('17a'!$N$7:$N$100,'17a'!$H$7:$H$100,$A388,'17a'!$I$7:$I$100,"")+SUMIFS('18'!$N$7:$N$100,'18'!$H$7:$H$100,$A388,'18'!$I$7:$I$100,"")+SUMIFS('18a'!$N$7:$N$100,'18a'!$H$7:$H$100,$A388,'18a'!$I$7:$I$100,"")
+SUMIFS('19'!$N$7:$N$100,'19'!$H$7:$H$100,$A388,'19'!$I$7:$I$100,"")+SUMIFS('20'!$N$7:$N$100,'20'!$H$7:$H$100,$A388,'20'!$I$7:$I$100,"")+SUMIFS('20a'!$N$7:$N$100,'20a'!$H$7:$H$100,$A388,'20a'!$I$7:$I$100,"")+SUMIFS('21'!$N$7:$N$100,'21'!$H$7:$H$100,$A388,'21'!$I$7:$I$100,"")+SUMIFS('22'!$N$7:$N$100,'22'!$H$7:$H$100,$A388,'22'!$I$7:$I$100,"")+SUMIFS('22a'!$N$7:$N$100,'22a'!$H$7:$H$100,$A388,'22a'!$I$7:$I$100,"")+SUMIFS('22b'!$N$7:$N$100,'22b'!$H$7:$H$100,$A388,'22b'!$I$7:$I$100,"")+SUMIFS('23'!$N$7:$N$100,'23'!$H$7:$H$100,$A388,'23'!$I$7:$I$100,"")+SUMIFS('24'!$N$7:$N$100,'24'!$H$7:$H$100,$A388,'24'!$I$7:$I$100,"")+SUMIFS('24a'!$N$7:$N$100,'24a'!$H$7:$H$100,$A388,'24a'!$I$7:$I$100,"")+SUMIFS('24b'!$N$7:$N$100,'24b'!$H$7:$H$100,$A388,'24b'!$I$7:$I$100,"")+SUMIFS('24c'!$N$7:$N$100,'24c'!$H$7:$H$100,$A388,'24c'!$I$7:$I$100,"")+SUMIFS('24d'!$N$7:$N$100,'24d'!$H$7:$H$100,$A388,'24d'!$I$7:$I$100,"")+SUMIFS('24e'!$N$7:$N$100,'24e'!$H$7:$H$100,$A388,'24e'!$I$7:$I$100,"")+SUMIFS('24f'!$N$7:$N$100,'24f'!$H$7:$H$100,$A388,'24f'!$I$7:$I$100,"")+SUMIFS('24g'!$N$7:$N$100,'24g'!$H$7:$H$100,$A388,'24g'!$I$7:$I$100,"")+SUMIFS('24h'!$N$7:$N$100,'24h'!$H$7:$H$100,$A388,'24h'!$I$7:$I$100,"")+SUMIFS('24i'!$N$7:$N$100,'24i'!$H$7:$H$100,$A388,'24i'!$I$7:$I$100,"")+SUMIFS('25'!$N$7:$N$100,'25'!$H$7:$H$100,$A388,'25'!$I$7:$I$100,"")+SUMIFS('26'!$N$7:$N$100,'26'!$H$7:$H$100,$A388,'26'!$I$7:$I$100,"")+SUMIFS('26a'!$N$7:$N$100,'26a'!$H$7:$H$100,$A388,'26a'!$I$7:$I$100,"")+SUMIFS('27'!$N$7:$N$100,'27'!$H$7:$H$100,$A388,'27'!$I$7:$I$100,"")+SUMIFS('27a'!$N$7:$N$100,'27a'!$H$7:$H$100,$A388,'27a'!$I$7:$I$100,"")+SUMIFS('28'!$N$7:$N$100,'28'!$H$7:$H$100,$A388,'28'!$I$7:$I$100,"")+SUMIFS('29'!$N$7:$N$100,'29'!$H$7:$H$100,$A388,'29'!$I$7:$I$100,"")</f>
        <v>0</v>
      </c>
      <c r="F389" s="1296">
        <f t="shared" si="60"/>
        <v>7600</v>
      </c>
      <c r="G389" s="1295">
        <f>SUMIFS('12'!$J$7:$J$100,'12'!$H$7:$H$100,$A388,'12'!$I$7:$I$100,1)+SUMIFS('13'!$J$7:$J$100,'13'!$H$7:$H$100,$A388,'13'!$I$7:$I$100,1)+SUMIFS('14'!$J$7:$J$100,'14'!$H$7:$H$100,$A388,'14'!$I$7:$I$100,1)+SUMIFS('15'!$J$7:$J$100,'15'!$H$7:$H$100,$A388,'15'!$I$7:$I$100,1)+SUMIFS('15a'!$J$7:$J$100,'15a'!$H$7:$H$100,$A388,'15a'!$I$7:$I$100,1)+SUMIFS('15b'!$J$7:$J$100,'15b'!$H$7:$H$100,$A388,'15b'!$I$7:$I$100,1)+SUMIFS('15c'!$J$7:$J$100,'15c'!$H$7:$H$100,$A388,'15c'!$I$7:$I$100,1)+SUMIFS('15d'!$J$7:$J$100,'15d'!$H$7:$H$100,$A388,'15d'!$I$7:$I$100,1)+SUMIFS('15e'!$J$7:$J$100,'15e'!$H$7:$H$100,$A388,'15e'!$I$7:$I$100,1)+SUMIFS('15f'!$J$7:$J$100,'15f'!$H$7:$H$100,$A388,'15f'!$I$7:$I$100,1)+SUMIFS('15g'!$J$7:$J$100,'15g'!$H$7:$H$100,$A388,'15g'!$I$7:$I$100,1)+SUMIFS('15h'!$J$7:$J$100,'15h'!$H$7:$H$100,$A388,'15h'!$I$7:$I$100,1)+SUMIFS('15i'!$J$7:$J$100,'15i'!$H$7:$H$100,$A388,'15i'!$I$7:$I$100,1)+SUMIFS('15j'!$J$7:$J$100,'15j'!$H$7:$H$100,$A388,'15j'!$I$7:$I$100,1)+SUMIFS('15k'!$J$7:$J$100,'15k'!$H$7:$H$100,$A388,'15k'!$I$7:$I$100,1)+SUMIFS('15l'!$J$7:$J$100,'15l'!$H$7:$H$100,$A388,'15l'!$I$7:$I$100,1)+SUMIFS('15m'!$J$7:$J$100,'15m'!$H$7:$H$100,$A388,'15m'!$I$7:$I$100,1)+SUMIFS('15n'!$J$7:$J$100,'15n'!$H$7:$H$100,$A388,'15n'!$I$7:$I$100,1)+SUMIFS('16'!$J$7:$J$100,'16'!$H$7:$H$100,$A388,'16'!$I$7:$I$100,1)+SUMIFS('16a'!$J$7:$J$100,'16a'!$H$7:$H$100,$A388,'16a'!$I$7:$I$100,1)+SUMIFS('17'!$J$7:$J$100,'17'!$H$7:$H$100,$A388,'17'!$I$7:$I$100,1)+SUMIFS('17a'!$J$7:$J$100,'17a'!$H$7:$H$100,$A388,'17a'!$I$7:$I$100,1)+SUMIFS('18'!$J$7:$J$100,'18'!$H$7:$H$100,$A388,'18'!$I$7:$I$100,1)+SUMIFS('18a'!$J$7:$J$100,'18a'!$H$7:$H$100,$A388,'18a'!$I$7:$I$100,1)
+SUMIFS('19'!$J$7:$J$100,'19'!$H$7:$H$100,$A388,'19'!$I$7:$I$100,1)+SUMIFS('20'!$J$7:$J$100,'20'!$H$7:$H$100,$A388,'20'!$I$7:$I$100,1)+SUMIFS('20a'!$J$7:$J$100,'20a'!$H$7:$H$100,$A388,'20a'!$I$7:$I$100,1)+SUMIFS('21'!$J$7:$J$100,'21'!$H$7:$H$100,$A388,'21'!$I$7:$I$100,1)+SUMIFS('22'!$J$7:$J$100,'22'!$H$7:$H$100,$A388,'22'!$I$7:$I$100,1)+SUMIFS('22a'!$J$7:$J$100,'22a'!$H$7:$H$100,$A388,'22a'!$I$7:$I$100,1)+SUMIFS('22b'!$J$7:$J$100,'22b'!$H$7:$H$100,$A388,'22b'!$I$7:$I$100,1)+SUMIFS('23'!$J$7:$J$100,'23'!$H$7:$H$100,$A388,'23'!$I$7:$I$100,1)+SUMIFS('24'!$J$7:$J$100,'24'!$H$7:$H$100,$A388,'24'!$I$7:$I$100,1)+SUMIFS('24a'!$J$7:$J$100,'24a'!$H$7:$H$100,$A388,'24a'!$I$7:$I$100,1)+SUMIFS('24b'!$J$7:$J$100,'24b'!$H$7:$H$100,$A388,'24b'!$I$7:$I$100,1)+SUMIFS('24c'!$J$7:$J$100,'24c'!$H$7:$H$100,$A388,'24c'!$I$7:$I$100,1)+SUMIFS('24d'!$J$7:$J$100,'24d'!$H$7:$H$100,$A388,'24d'!$I$7:$I$100,1)+SUMIFS('24e'!$J$7:$J$100,'24e'!$H$7:$H$100,$A388,'24e'!$I$7:$I$100,1)+SUMIFS('24f'!$J$7:$J$100,'24f'!$H$7:$H$100,$A388,'24f'!$I$7:$I$100,1)+SUMIFS('24g'!$J$7:$J$100,'24g'!$H$7:$H$100,$A388,'24g'!$I$7:$I$100,1)+SUMIFS('24h'!$J$7:$J$100,'24h'!$H$7:$H$100,$A388,'24h'!$I$7:$I$100,1)+SUMIFS('24i'!$J$7:$J$100,'24i'!$H$7:$H$100,$A388,'24i'!$I$7:$I$100,1)+SUMIFS('25'!$J$7:$J$100,'25'!$H$7:$H$100,$A388,'25'!$I$7:$I$100,1)+SUMIFS('26'!$J$7:$J$100,'26'!$H$7:$H$100,$A388,'26'!$I$7:$I$100,1)+SUMIFS('26a'!$J$7:$J$100,'26a'!$H$7:$H$100,$A388,'26a'!$I$7:$I$100,1)+SUMIFS('27'!$J$7:$J$100,'27'!$H$7:$H$100,$A388,'27'!$I$7:$I$100,1)+SUMIFS('27a'!$J$7:$J$100,'27a'!$H$7:$H$100,$A388,'27a'!$I$7:$I$100,1)+SUMIFS('28'!$J$7:$J$100,'28'!$H$7:$H$100,$A388,'28'!$I$7:$I$100,1)+SUMIFS('29'!$J$7:$J$100,'29'!$H$7:$H$100,$A388,'29'!$I$7:$I$100,1)</f>
        <v>0</v>
      </c>
      <c r="H389" s="1315">
        <f>SUMIFS('12'!$J$7:$J$100,'12'!$H$7:$H$100,$A388,'12'!$I$7:$I$100,2)+SUMIFS('13'!$J$7:$J$100,'13'!$H$7:$H$100,$A388,'13'!$I$7:$I$100,2)+SUMIFS('14'!$J$7:$J$100,'14'!$H$7:$H$100,$A388,'14'!$I$7:$I$100,2)+SUMIFS('15'!$J$7:$J$100,'15'!$H$7:$H$100,$A388,'15'!$I$7:$I$100,2)+SUMIFS('15a'!$J$7:$J$100,'15a'!$H$7:$H$100,$A388,'15a'!$I$7:$I$100,2)+SUMIFS('15b'!$J$7:$J$100,'15b'!$H$7:$H$100,$A388,'15b'!$I$7:$I$100,2)+SUMIFS('15c'!$J$7:$J$100,'15c'!$H$7:$H$100,$A388,'15c'!$I$7:$I$100,2)+SUMIFS('15d'!$J$7:$J$100,'15d'!$H$7:$H$100,$A388,'15d'!$I$7:$I$100,2)+SUMIFS('15e'!$J$7:$J$100,'15e'!$H$7:$H$100,$A388,'15e'!$I$7:$I$100,2)+SUMIFS('15f'!$J$7:$J$100,'15f'!$H$7:$H$100,$A388,'15f'!$I$7:$I$100,2)+SUMIFS('15g'!$J$7:$J$100,'15g'!$H$7:$H$100,$A388,'15g'!$I$7:$I$100,2)+SUMIFS('15h'!$J$7:$J$100,'15h'!$H$7:$H$100,$A388,'15h'!$I$7:$I$100,2)+SUMIFS('15i'!$J$7:$J$100,'15i'!$H$7:$H$100,$A388,'15i'!$I$7:$I$100,2)+SUMIFS('15j'!$J$7:$J$100,'15j'!$H$7:$H$100,$A388,'15j'!$I$7:$I$100,2)+SUMIFS('15k'!$J$7:$J$100,'15k'!$H$7:$H$100,$A388,'15k'!$I$7:$I$100,2)+SUMIFS('15l'!$J$7:$J$100,'15l'!$H$7:$H$100,$A388,'15l'!$I$7:$I$100,2)+SUMIFS('15m'!$J$7:$J$100,'15m'!$H$7:$H$100,$A388,'15m'!$I$7:$I$100,2)+SUMIFS('15n'!$J$7:$J$100,'15n'!$H$7:$H$100,$A388,'15n'!$I$7:$I$100,2)+SUMIFS('16'!$J$7:$J$100,'16'!$H$7:$H$100,$A388,'16'!$I$7:$I$100,2)+SUMIFS('16a'!$J$7:$J$100,'16a'!$H$7:$H$100,$A388,'16a'!$I$7:$I$100,2)+SUMIFS('17'!$J$7:$J$100,'17'!$H$7:$H$100,$A388,'17'!$I$7:$I$100,2)+SUMIFS('17a'!$J$7:$J$100,'17a'!$H$7:$H$100,$A388,'17a'!$I$7:$I$100,2)+SUMIFS('18'!$J$7:$J$100,'18'!$H$7:$H$100,$A388,'18'!$I$7:$I$100,2)+SUMIFS('18a'!$J$7:$J$100,'18a'!$H$7:$H$100,$A388,'18a'!$I$7:$I$100,2)
+SUMIFS('19'!$J$7:$J$100,'19'!$H$7:$H$100,$A388,'19'!$I$7:$I$100,2)+SUMIFS('20'!$J$7:$J$100,'20'!$H$7:$H$100,$A388,'20'!$I$7:$I$100,2)+SUMIFS('20a'!$J$7:$J$100,'20a'!$H$7:$H$100,$A388,'20a'!$I$7:$I$100,2)+SUMIFS('21'!$J$7:$J$100,'21'!$H$7:$H$100,$A388,'21'!$I$7:$I$100,2)+SUMIFS('22'!$J$7:$J$100,'22'!$H$7:$H$100,$A388,'22'!$I$7:$I$100,2)+SUMIFS('22a'!$J$7:$J$100,'22a'!$H$7:$H$100,$A388,'22a'!$I$7:$I$100,2)+SUMIFS('22b'!$J$7:$J$100,'22b'!$H$7:$H$100,$A388,'22b'!$I$7:$I$100,2)+SUMIFS('23'!$J$7:$J$100,'23'!$H$7:$H$100,$A388,'23'!$I$7:$I$100,2)+SUMIFS('24'!$J$7:$J$100,'24'!$H$7:$H$100,$A388,'24'!$I$7:$I$100,2)+SUMIFS('24a'!$J$7:$J$100,'24a'!$H$7:$H$100,$A388,'24a'!$I$7:$I$100,2)+SUMIFS('24b'!$J$7:$J$100,'24b'!$H$7:$H$100,$A388,'24b'!$I$7:$I$100,2)+SUMIFS('24c'!$J$7:$J$100,'24c'!$H$7:$H$100,$A388,'24c'!$I$7:$I$100,2)+SUMIFS('24d'!$J$7:$J$100,'24d'!$H$7:$H$100,$A388,'24d'!$I$7:$I$100,2)+SUMIFS('24e'!$J$7:$J$100,'24e'!$H$7:$H$100,$A388,'24e'!$I$7:$I$100,2)+SUMIFS('24f'!$J$7:$J$100,'24f'!$H$7:$H$100,$A388,'24f'!$I$7:$I$100,2)+SUMIFS('24g'!$J$7:$J$100,'24g'!$H$7:$H$100,$A388,'24g'!$I$7:$I$100,2)+SUMIFS('24h'!$J$7:$J$100,'24h'!$H$7:$H$100,$A388,'24h'!$I$7:$I$100,2)+SUMIFS('24i'!$J$7:$J$100,'24i'!$H$7:$H$100,$A388,'24i'!$I$7:$I$100,2)+SUMIFS('25'!$J$7:$J$100,'25'!$H$7:$H$100,$A388,'25'!$I$7:$I$100,2)+SUMIFS('26'!$J$7:$J$100,'26'!$H$7:$H$100,$A388,'26'!$I$7:$I$100,2)+SUMIFS('26a'!$J$7:$J$100,'26a'!$H$7:$H$100,$A388,'26a'!$I$7:$I$100,2)+SUMIFS('27'!$J$7:$J$100,'27'!$H$7:$H$100,$A388,'27'!$I$7:$I$100,2)+SUMIFS('27a'!$J$7:$J$100,'27a'!$H$7:$H$100,$A388,'27a'!$I$7:$I$100,2)+SUMIFS('28'!$J$7:$J$100,'28'!$H$7:$H$100,$A388,'28'!$I$7:$I$100,2)+SUMIFS('29'!$J$7:$J$100,'29'!$H$7:$H$100,$A388,'29'!$I$7:$I$100,2)</f>
        <v>7600</v>
      </c>
      <c r="I389" s="1315">
        <f>SUMIFS('12'!$J$7:$J$100,'12'!$H$7:$H$100,$A388,'12'!$I$7:$I$100,"")+SUMIFS('13'!$J$7:$J$100,'13'!$H$7:$H$100,$A388,'13'!$I$7:$I$100,"")+SUMIFS('14'!$J$7:$J$100,'14'!$H$7:$H$100,$A388,'14'!$I$7:$I$100,"")+SUMIFS('15'!$J$7:$J$100,'15'!$H$7:$H$100,$A388,'15'!$I$7:$I$100,"")+SUMIFS('15a'!$J$7:$J$100,'15a'!$H$7:$H$100,$A388,'15a'!$I$7:$I$100,"")+SUMIFS('15b'!$J$7:$J$100,'15b'!$H$7:$H$100,$A388,'15b'!$I$7:$I$100,"")+SUMIFS('15c'!$J$7:$J$100,'15c'!$H$7:$H$100,$A388,'15c'!$I$7:$I$100,"")+SUMIFS('15d'!$J$7:$J$100,'15d'!$H$7:$H$100,$A388,'15d'!$I$7:$I$100,"")+SUMIFS('15e'!$J$7:$J$100,'15e'!$H$7:$H$100,$A388,'15e'!$I$7:$I$100,"")+SUMIFS('15f'!$J$7:$J$100,'15f'!$H$7:$H$100,$A388,'15f'!$I$7:$I$100,"")+SUMIFS('15g'!$J$7:$J$100,'15g'!$H$7:$H$100,$A388,'15g'!$I$7:$I$100,"")+SUMIFS('15h'!$J$7:$J$100,'15h'!$H$7:$H$100,$A388,'15h'!$I$7:$I$100,"")+SUMIFS('15i'!$J$7:$J$100,'15i'!$H$7:$H$100,$A388,'15i'!$I$7:$I$100,"")+SUMIFS('15j'!$J$7:$J$100,'15j'!$H$7:$H$100,$A388,'15j'!$I$7:$I$100,"")+SUMIFS('15k'!$J$7:$J$100,'15k'!$H$7:$H$100,$A388,'15k'!$I$7:$I$100,"")+SUMIFS('15l'!$J$7:$J$100,'15l'!$H$7:$H$100,$A388,'15l'!$I$7:$I$100,"")+SUMIFS('15m'!$J$7:$J$100,'15m'!$H$7:$H$100,$A388,'15m'!$I$7:$I$100,"")+SUMIFS('15n'!$J$7:$J$100,'15n'!$H$7:$H$100,$A388,'15n'!$I$7:$I$100,"")+SUMIFS('16'!$J$7:$J$100,'16'!$H$7:$H$100,$A388,'16'!$I$7:$I$100,"")+SUMIFS('16a'!$J$7:$J$100,'16a'!$H$7:$H$100,$A388,'16a'!$I$7:$I$100,"")+SUMIFS('17'!$J$7:$J$100,'17'!$H$7:$H$100,$A388,'17'!$I$7:$I$100,"")+SUMIFS('17a'!$J$7:$J$100,'17a'!$H$7:$H$100,$A388,'17a'!$I$7:$I$100,"")+SUMIFS('18'!$J$7:$J$100,'18'!$H$7:$H$100,$A388,'18'!$I$7:$I$100,"")+SUMIFS('18a'!$J$7:$J$100,'18a'!$H$7:$H$100,$A388,'18a'!$I$7:$I$100,"")
+SUMIFS('19'!$J$7:$J$100,'19'!$H$7:$H$100,$A388,'19'!$I$7:$I$100,"")+SUMIFS('20'!$J$7:$J$100,'20'!$H$7:$H$100,$A388,'20'!$I$7:$I$100,"")+SUMIFS('20a'!$J$7:$J$100,'20a'!$H$7:$H$100,$A388,'20a'!$I$7:$I$100,"")+SUMIFS('21'!$J$7:$J$100,'21'!$H$7:$H$100,$A388,'21'!$I$7:$I$100,"")+SUMIFS('22'!$J$7:$J$100,'22'!$H$7:$H$100,$A388,'22'!$I$7:$I$100,"")+SUMIFS('22a'!$J$7:$J$100,'22a'!$H$7:$H$100,$A388,'22a'!$I$7:$I$100,"")+SUMIFS('22b'!$J$7:$J$100,'22b'!$H$7:$H$100,$A388,'22b'!$I$7:$I$100,"")+SUMIFS('23'!$J$7:$J$100,'23'!$H$7:$H$100,$A388,'23'!$I$7:$I$100,"")+SUMIFS('24'!$J$7:$J$100,'24'!$H$7:$H$100,$A388,'24'!$I$7:$I$100,"")+SUMIFS('24a'!$J$7:$J$100,'24a'!$H$7:$H$100,$A388,'24a'!$I$7:$I$100,"")+SUMIFS('24b'!$J$7:$J$100,'24b'!$H$7:$H$100,$A388,'24b'!$I$7:$I$100,"")+SUMIFS('24c'!$J$7:$J$100,'24c'!$H$7:$H$100,$A388,'24c'!$I$7:$I$100,"")+SUMIFS('24d'!$J$7:$J$100,'24d'!$H$7:$H$100,$A388,'24d'!$I$7:$I$100,"")+SUMIFS('24e'!$J$7:$J$100,'24e'!$H$7:$H$100,$A388,'24e'!$I$7:$I$100,"")+SUMIFS('24f'!$J$7:$J$100,'24f'!$H$7:$H$100,$A388,'24f'!$I$7:$I$100,"")+SUMIFS('24g'!$J$7:$J$100,'24g'!$H$7:$H$100,$A388,'24g'!$I$7:$I$100,"")+SUMIFS('24h'!$J$7:$J$100,'24h'!$H$7:$H$100,$A388,'24h'!$I$7:$I$100,"")+SUMIFS('24i'!$J$7:$J$100,'24i'!$H$7:$H$100,$A388,'24i'!$I$7:$I$100,"")+SUMIFS('25'!$J$7:$J$100,'25'!$H$7:$H$100,$A388,'25'!$I$7:$I$100,"")+SUMIFS('26'!$J$7:$J$100,'26'!$H$7:$H$100,$A388,'26'!$I$7:$I$100,"")+SUMIFS('26a'!$J$7:$J$100,'26a'!$H$7:$H$100,$A388,'26a'!$I$7:$I$100,"")+SUMIFS('27'!$J$7:$J$100,'27'!$H$7:$H$100,$A388,'27'!$I$7:$I$100,"")+SUMIFS('27a'!$J$7:$J$100,'27a'!$H$7:$H$100,$A388,'27a'!$I$7:$I$100,"")+SUMIFS('28'!$J$7:$J$100,'28'!$H$7:$H$100,$A388,'28'!$I$7:$I$100,"")+SUMIFS('29'!$J$7:$J$100,'29'!$H$7:$H$100,$A388,'29'!$I$7:$I$100,"")</f>
        <v>0</v>
      </c>
      <c r="J389" s="1296">
        <f t="shared" si="61"/>
        <v>7600</v>
      </c>
      <c r="K389"/>
      <c r="L389"/>
      <c r="M389"/>
      <c r="N389"/>
      <c r="O389"/>
      <c r="P389"/>
      <c r="Q389"/>
      <c r="R389"/>
      <c r="S389" s="1307">
        <f t="shared" si="48"/>
        <v>30400</v>
      </c>
      <c r="T389"/>
    </row>
    <row r="390" spans="1:20" outlineLevel="1" x14ac:dyDescent="0.2">
      <c r="A390" t="s">
        <v>5143</v>
      </c>
      <c r="B390" t="s">
        <v>5409</v>
      </c>
      <c r="C390" s="1295">
        <f>SUMIFS('12'!$N$7:$N$100,'12'!$H$7:$H$100,$A389,'12'!$I$7:$I$100,1)+SUMIFS('13'!$N$7:$N$100,'13'!$H$7:$H$100,$A389,'13'!$I$7:$I$100,1)+SUMIFS('14'!$N$7:$N$100,'14'!$H$7:$H$100,$A389,'14'!$I$7:$I$100,1)+SUMIFS('15'!$N$7:$N$100,'15'!$H$7:$H$100,$A389,'15'!$I$7:$I$100,1)+SUMIFS('15a'!$N$7:$N$100,'15a'!$H$7:$H$100,$A389,'15a'!$I$7:$I$100,1)+SUMIFS('15b'!$N$7:$N$100,'15b'!$H$7:$H$100,$A389,'15b'!$I$7:$I$100,1)+SUMIFS('15c'!$N$7:$N$100,'15c'!$H$7:$H$100,$A389,'15c'!$I$7:$I$100,1)+SUMIFS('15d'!$N$7:$N$100,'15d'!$H$7:$H$100,$A389,'15d'!$I$7:$I$100,1)+SUMIFS('15e'!$N$7:$N$100,'15e'!$H$7:$H$100,$A389,'15e'!$I$7:$I$100,1)+SUMIFS('15f'!$N$7:$N$100,'15f'!$H$7:$H$100,$A389,'15f'!$I$7:$I$100,1)+SUMIFS('15g'!$N$7:$N$100,'15g'!$H$7:$H$100,$A389,'15g'!$I$7:$I$100,1)+SUMIFS('15h'!$N$7:$N$100,'15h'!$H$7:$H$100,$A389,'15h'!$I$7:$I$100,1)+SUMIFS('15i'!$N$7:$N$100,'15i'!$H$7:$H$100,$A389,'15i'!$I$7:$I$100,1)+SUMIFS('15j'!$N$7:$N$100,'15j'!$H$7:$H$100,$A389,'15j'!$I$7:$I$100,1)+SUMIFS('15k'!$N$7:$N$100,'15k'!$H$7:$H$100,$A389,'15k'!$I$7:$I$100,1)+SUMIFS('15l'!$N$7:$N$100,'15l'!$H$7:$H$100,$A389,'15l'!$I$7:$I$100,1)+SUMIFS('15m'!$N$7:$N$100,'15m'!$H$7:$H$100,$A389,'15m'!$I$7:$I$100,1)+SUMIFS('15n'!$N$7:$N$100,'15n'!$H$7:$H$100,$A389,'15n'!$I$7:$I$100,1)+SUMIFS('16'!$N$7:$N$100,'16'!$H$7:$H$100,$A389,'16'!$I$7:$I$100,1)+SUMIFS('16a'!$N$7:$N$100,'16a'!$H$7:$H$100,$A389,'16a'!$I$7:$I$100,1)+SUMIFS('17'!$N$7:$N$100,'17'!$H$7:$H$100,$A389,'17'!$I$7:$I$100,1)+SUMIFS('17a'!$N$7:$N$100,'17a'!$H$7:$H$100,$A389,'17a'!$I$7:$I$100,1)+SUMIFS('18'!$N$7:$N$100,'18'!$H$7:$H$100,$A389,'18'!$I$7:$I$100,1)+SUMIFS('18a'!$N$7:$N$100,'18a'!$H$7:$H$100,$A389,'18a'!$I$7:$I$100,1)
+SUMIFS('19'!$N$7:$N$100,'19'!$H$7:$H$100,$A389,'19'!$I$7:$I$100,1)+SUMIFS('20'!$N$7:$N$100,'20'!$H$7:$H$100,$A389,'20'!$I$7:$I$100,1)+SUMIFS('20a'!$N$7:$N$100,'20a'!$H$7:$H$100,$A389,'20a'!$I$7:$I$100,1)+SUMIFS('21'!$N$7:$N$100,'21'!$H$7:$H$100,$A389,'21'!$I$7:$I$100,1)+SUMIFS('22'!$N$7:$N$100,'22'!$H$7:$H$100,$A389,'22'!$I$7:$I$100,1)+SUMIFS('22a'!$N$7:$N$100,'22a'!$H$7:$H$100,$A389,'22a'!$I$7:$I$100,1)+SUMIFS('22b'!$N$7:$N$100,'22b'!$H$7:$H$100,$A389,'22b'!$I$7:$I$100,1)+SUMIFS('23'!$N$7:$N$100,'23'!$H$7:$H$100,$A389,'23'!$I$7:$I$100,1)+SUMIFS('24'!$N$7:$N$100,'24'!$H$7:$H$100,$A389,'24'!$I$7:$I$100,1)+SUMIFS('24a'!$N$7:$N$100,'24a'!$H$7:$H$100,$A389,'24a'!$I$7:$I$100,1)+SUMIFS('24b'!$N$7:$N$100,'24b'!$H$7:$H$100,$A389,'24b'!$I$7:$I$100,1)+SUMIFS('24c'!$N$7:$N$100,'24c'!$H$7:$H$100,$A389,'24c'!$I$7:$I$100,1)+SUMIFS('24d'!$N$7:$N$100,'24d'!$H$7:$H$100,$A389,'24d'!$I$7:$I$100,1)+SUMIFS('24e'!$N$7:$N$100,'24e'!$H$7:$H$100,$A389,'24e'!$I$7:$I$100,1)+SUMIFS('24f'!$N$7:$N$100,'24f'!$H$7:$H$100,$A389,'24f'!$I$7:$I$100,1)+SUMIFS('24g'!$N$7:$N$100,'24g'!$H$7:$H$100,$A389,'24g'!$I$7:$I$100,1)+SUMIFS('24h'!$N$7:$N$100,'24h'!$H$7:$H$100,$A389,'24h'!$I$7:$I$100,1)+SUMIFS('24i'!$N$7:$N$100,'24i'!$H$7:$H$100,$A389,'24i'!$I$7:$I$100,1)+SUMIFS('25'!$N$7:$N$100,'25'!$H$7:$H$100,$A389,'25'!$I$7:$I$100,1)+SUMIFS('26'!$N$7:$N$100,'26'!$H$7:$H$100,$A389,'26'!$I$7:$I$100,1)+SUMIFS('26a'!$N$7:$N$100,'26a'!$H$7:$H$100,$A389,'26a'!$I$7:$I$100,1)+SUMIFS('27'!$N$7:$N$100,'27'!$H$7:$H$100,$A389,'27'!$I$7:$I$100,1)+SUMIFS('27a'!$N$7:$N$100,'27a'!$H$7:$H$100,$A389,'27a'!$I$7:$I$100,1)+SUMIFS('28'!$N$7:$N$100,'28'!$H$7:$H$100,$A389,'28'!$I$7:$I$100,1)+SUMIFS('29'!$N$7:$N$100,'29'!$H$7:$H$100,$A389,'29'!$I$7:$I$100,1)</f>
        <v>0</v>
      </c>
      <c r="D390" s="1315">
        <f>SUMIFS('12'!$N$7:$N$100,'12'!$H$7:$H$100,$A389,'12'!$I$7:$I$100,2)+SUMIFS('13'!$N$7:$N$100,'13'!$H$7:$H$100,$A389,'13'!$I$7:$I$100,2)+SUMIFS('14'!$N$7:$N$100,'14'!$H$7:$H$100,$A389,'14'!$I$7:$I$100,2)+SUMIFS('15'!$N$7:$N$100,'15'!$H$7:$H$100,$A389,'15'!$I$7:$I$100,2)+SUMIFS('15a'!$N$7:$N$100,'15a'!$H$7:$H$100,$A389,'15a'!$I$7:$I$100,2)+SUMIFS('15b'!$N$7:$N$100,'15b'!$H$7:$H$100,$A389,'15b'!$I$7:$I$100,2)+SUMIFS('15c'!$N$7:$N$100,'15c'!$H$7:$H$100,$A389,'15c'!$I$7:$I$100,2)+SUMIFS('15d'!$N$7:$N$100,'15d'!$H$7:$H$100,$A389,'15d'!$I$7:$I$100,2)+SUMIFS('15e'!$N$7:$N$100,'15e'!$H$7:$H$100,$A389,'15e'!$I$7:$I$100,2)+SUMIFS('15f'!$N$7:$N$100,'15f'!$H$7:$H$100,$A389,'15f'!$I$7:$I$100,2)+SUMIFS('15g'!$N$7:$N$100,'15g'!$H$7:$H$100,$A389,'15g'!$I$7:$I$100,2)+SUMIFS('15h'!$N$7:$N$100,'15h'!$H$7:$H$100,$A389,'15h'!$I$7:$I$100,2)+SUMIFS('15i'!$N$7:$N$100,'15i'!$H$7:$H$100,$A389,'15i'!$I$7:$I$100,2)+SUMIFS('15j'!$N$7:$N$100,'15j'!$H$7:$H$100,$A389,'15j'!$I$7:$I$100,2)+SUMIFS('15k'!$N$7:$N$100,'15k'!$H$7:$H$100,$A389,'15k'!$I$7:$I$100,2)+SUMIFS('15l'!$N$7:$N$100,'15l'!$H$7:$H$100,$A389,'15l'!$I$7:$I$100,2)+SUMIFS('15m'!$N$7:$N$100,'15m'!$H$7:$H$100,$A389,'15m'!$I$7:$I$100,2)+SUMIFS('15n'!$N$7:$N$100,'15n'!$H$7:$H$100,$A389,'15n'!$I$7:$I$100,2)+SUMIFS('16'!$N$7:$N$100,'16'!$H$7:$H$100,$A389,'16'!$I$7:$I$100,2)+SUMIFS('16a'!$N$7:$N$100,'16a'!$H$7:$H$100,$A389,'16a'!$I$7:$I$100,2)+SUMIFS('17'!$N$7:$N$100,'17'!$H$7:$H$100,$A389,'17'!$I$7:$I$100,2)+SUMIFS('17a'!$N$7:$N$100,'17a'!$H$7:$H$100,$A389,'17a'!$I$7:$I$100,2)+SUMIFS('18'!$N$7:$N$100,'18'!$H$7:$H$100,$A389,'18'!$I$7:$I$100,2)+SUMIFS('18a'!$N$7:$N$100,'18a'!$H$7:$H$100,$A389,'18a'!$I$7:$I$100,2)
+SUMIFS('19'!$N$7:$N$100,'19'!$H$7:$H$100,$A389,'19'!$I$7:$I$100,2)+SUMIFS('20'!$N$7:$N$100,'20'!$H$7:$H$100,$A389,'20'!$I$7:$I$100,2)+SUMIFS('20a'!$N$7:$N$100,'20a'!$H$7:$H$100,$A389,'20a'!$I$7:$I$100,2)+SUMIFS('21'!$N$7:$N$100,'21'!$H$7:$H$100,$A389,'21'!$I$7:$I$100,2)+SUMIFS('22'!$N$7:$N$100,'22'!$H$7:$H$100,$A389,'22'!$I$7:$I$100,2)+SUMIFS('22a'!$N$7:$N$100,'22a'!$H$7:$H$100,$A389,'22a'!$I$7:$I$100,2)+SUMIFS('22b'!$N$7:$N$100,'22b'!$H$7:$H$100,$A389,'22b'!$I$7:$I$100,2)+SUMIFS('23'!$N$7:$N$100,'23'!$H$7:$H$100,$A389,'23'!$I$7:$I$100,2)+SUMIFS('24'!$N$7:$N$100,'24'!$H$7:$H$100,$A389,'24'!$I$7:$I$100,2)+SUMIFS('24a'!$N$7:$N$100,'24a'!$H$7:$H$100,$A389,'24a'!$I$7:$I$100,2)+SUMIFS('24b'!$N$7:$N$100,'24b'!$H$7:$H$100,$A389,'24b'!$I$7:$I$100,2)+SUMIFS('24c'!$N$7:$N$100,'24c'!$H$7:$H$100,$A389,'24c'!$I$7:$I$100,2)+SUMIFS('24d'!$N$7:$N$100,'24d'!$H$7:$H$100,$A389,'24d'!$I$7:$I$100,2)+SUMIFS('24e'!$N$7:$N$100,'24e'!$H$7:$H$100,$A389,'24e'!$I$7:$I$100,2)+SUMIFS('24f'!$N$7:$N$100,'24f'!$H$7:$H$100,$A389,'24f'!$I$7:$I$100,2)+SUMIFS('24g'!$N$7:$N$100,'24g'!$H$7:$H$100,$A389,'24g'!$I$7:$I$100,2)+SUMIFS('24h'!$N$7:$N$100,'24h'!$H$7:$H$100,$A389,'24h'!$I$7:$I$100,2)+SUMIFS('24i'!$N$7:$N$100,'24i'!$H$7:$H$100,$A389,'24i'!$I$7:$I$100,2)+SUMIFS('25'!$N$7:$N$100,'25'!$H$7:$H$100,$A389,'25'!$I$7:$I$100,2)+SUMIFS('26'!$N$7:$N$100,'26'!$H$7:$H$100,$A389,'26'!$I$7:$I$100,2)+SUMIFS('26a'!$N$7:$N$100,'26a'!$H$7:$H$100,$A389,'26a'!$I$7:$I$100,2)+SUMIFS('27'!$N$7:$N$100,'27'!$H$7:$H$100,$A389,'27'!$I$7:$I$100,2)+SUMIFS('27a'!$N$7:$N$100,'27a'!$H$7:$H$100,$A389,'27a'!$I$7:$I$100,2)+SUMIFS('28'!$N$7:$N$100,'28'!$H$7:$H$100,$A389,'28'!$I$7:$I$100,2)+SUMIFS('29'!$N$7:$N$100,'29'!$H$7:$H$100,$A389,'29'!$I$7:$I$100,2)</f>
        <v>548</v>
      </c>
      <c r="E390" s="1315">
        <f>SUMIFS('12'!$N$7:$N$100,'12'!$H$7:$H$100,$A389,'12'!$I$7:$I$100,"")+SUMIFS('13'!$N$7:$N$100,'13'!$H$7:$H$100,$A389,'13'!$I$7:$I$100,"")+SUMIFS('14'!$N$7:$N$100,'14'!$H$7:$H$100,$A389,'14'!$I$7:$I$100,"")+SUMIFS('15'!$N$7:$N$100,'15'!$H$7:$H$100,$A389,'15'!$I$7:$I$100,"")+SUMIFS('15a'!$N$7:$N$100,'15a'!$H$7:$H$100,$A389,'15a'!$I$7:$I$100,"")+SUMIFS('15b'!$N$7:$N$100,'15b'!$H$7:$H$100,$A389,'15b'!$I$7:$I$100,"")+SUMIFS('15c'!$N$7:$N$100,'15c'!$H$7:$H$100,$A389,'15c'!$I$7:$I$100,"")+SUMIFS('15d'!$N$7:$N$100,'15d'!$H$7:$H$100,$A389,'15d'!$I$7:$I$100,"")+SUMIFS('15e'!$N$7:$N$100,'15e'!$H$7:$H$100,$A389,'15e'!$I$7:$I$100,"")+SUMIFS('15f'!$N$7:$N$100,'15f'!$H$7:$H$100,$A389,'15f'!$I$7:$I$100,"")+SUMIFS('15g'!$N$7:$N$100,'15g'!$H$7:$H$100,$A389,'15g'!$I$7:$I$100,"")+SUMIFS('15h'!$N$7:$N$100,'15h'!$H$7:$H$100,$A389,'15h'!$I$7:$I$100,"")+SUMIFS('15i'!$N$7:$N$100,'15i'!$H$7:$H$100,$A389,'15i'!$I$7:$I$100,"")+SUMIFS('15j'!$N$7:$N$100,'15j'!$H$7:$H$100,$A389,'15j'!$I$7:$I$100,"")+SUMIFS('15k'!$N$7:$N$100,'15k'!$H$7:$H$100,$A389,'15k'!$I$7:$I$100,"")+SUMIFS('15l'!$N$7:$N$100,'15l'!$H$7:$H$100,$A389,'15l'!$I$7:$I$100,"")+SUMIFS('15m'!$N$7:$N$100,'15m'!$H$7:$H$100,$A389,'15m'!$I$7:$I$100,"")+SUMIFS('15n'!$N$7:$N$100,'15n'!$H$7:$H$100,$A389,'15n'!$I$7:$I$100,"")+SUMIFS('16'!$N$7:$N$100,'16'!$H$7:$H$100,$A389,'16'!$I$7:$I$100,"")+SUMIFS('16a'!$N$7:$N$100,'16a'!$H$7:$H$100,$A389,'16a'!$I$7:$I$100,"")+SUMIFS('17'!$N$7:$N$100,'17'!$H$7:$H$100,$A389,'17'!$I$7:$I$100,"")+SUMIFS('17a'!$N$7:$N$100,'17a'!$H$7:$H$100,$A389,'17a'!$I$7:$I$100,"")+SUMIFS('18'!$N$7:$N$100,'18'!$H$7:$H$100,$A389,'18'!$I$7:$I$100,"")+SUMIFS('18a'!$N$7:$N$100,'18a'!$H$7:$H$100,$A389,'18a'!$I$7:$I$100,"")
+SUMIFS('19'!$N$7:$N$100,'19'!$H$7:$H$100,$A389,'19'!$I$7:$I$100,"")+SUMIFS('20'!$N$7:$N$100,'20'!$H$7:$H$100,$A389,'20'!$I$7:$I$100,"")+SUMIFS('20a'!$N$7:$N$100,'20a'!$H$7:$H$100,$A389,'20a'!$I$7:$I$100,"")+SUMIFS('21'!$N$7:$N$100,'21'!$H$7:$H$100,$A389,'21'!$I$7:$I$100,"")+SUMIFS('22'!$N$7:$N$100,'22'!$H$7:$H$100,$A389,'22'!$I$7:$I$100,"")+SUMIFS('22a'!$N$7:$N$100,'22a'!$H$7:$H$100,$A389,'22a'!$I$7:$I$100,"")+SUMIFS('22b'!$N$7:$N$100,'22b'!$H$7:$H$100,$A389,'22b'!$I$7:$I$100,"")+SUMIFS('23'!$N$7:$N$100,'23'!$H$7:$H$100,$A389,'23'!$I$7:$I$100,"")+SUMIFS('24'!$N$7:$N$100,'24'!$H$7:$H$100,$A389,'24'!$I$7:$I$100,"")+SUMIFS('24a'!$N$7:$N$100,'24a'!$H$7:$H$100,$A389,'24a'!$I$7:$I$100,"")+SUMIFS('24b'!$N$7:$N$100,'24b'!$H$7:$H$100,$A389,'24b'!$I$7:$I$100,"")+SUMIFS('24c'!$N$7:$N$100,'24c'!$H$7:$H$100,$A389,'24c'!$I$7:$I$100,"")+SUMIFS('24d'!$N$7:$N$100,'24d'!$H$7:$H$100,$A389,'24d'!$I$7:$I$100,"")+SUMIFS('24e'!$N$7:$N$100,'24e'!$H$7:$H$100,$A389,'24e'!$I$7:$I$100,"")+SUMIFS('24f'!$N$7:$N$100,'24f'!$H$7:$H$100,$A389,'24f'!$I$7:$I$100,"")+SUMIFS('24g'!$N$7:$N$100,'24g'!$H$7:$H$100,$A389,'24g'!$I$7:$I$100,"")+SUMIFS('24h'!$N$7:$N$100,'24h'!$H$7:$H$100,$A389,'24h'!$I$7:$I$100,"")+SUMIFS('24i'!$N$7:$N$100,'24i'!$H$7:$H$100,$A389,'24i'!$I$7:$I$100,"")+SUMIFS('25'!$N$7:$N$100,'25'!$H$7:$H$100,$A389,'25'!$I$7:$I$100,"")+SUMIFS('26'!$N$7:$N$100,'26'!$H$7:$H$100,$A389,'26'!$I$7:$I$100,"")+SUMIFS('26a'!$N$7:$N$100,'26a'!$H$7:$H$100,$A389,'26a'!$I$7:$I$100,"")+SUMIFS('27'!$N$7:$N$100,'27'!$H$7:$H$100,$A389,'27'!$I$7:$I$100,"")+SUMIFS('27a'!$N$7:$N$100,'27a'!$H$7:$H$100,$A389,'27a'!$I$7:$I$100,"")+SUMIFS('28'!$N$7:$N$100,'28'!$H$7:$H$100,$A389,'28'!$I$7:$I$100,"")+SUMIFS('29'!$N$7:$N$100,'29'!$H$7:$H$100,$A389,'29'!$I$7:$I$100,"")</f>
        <v>0</v>
      </c>
      <c r="F390" s="1296">
        <f t="shared" si="60"/>
        <v>548</v>
      </c>
      <c r="G390" s="1295">
        <f>SUMIFS('12'!$J$7:$J$100,'12'!$H$7:$H$100,$A389,'12'!$I$7:$I$100,1)+SUMIFS('13'!$J$7:$J$100,'13'!$H$7:$H$100,$A389,'13'!$I$7:$I$100,1)+SUMIFS('14'!$J$7:$J$100,'14'!$H$7:$H$100,$A389,'14'!$I$7:$I$100,1)+SUMIFS('15'!$J$7:$J$100,'15'!$H$7:$H$100,$A389,'15'!$I$7:$I$100,1)+SUMIFS('15a'!$J$7:$J$100,'15a'!$H$7:$H$100,$A389,'15a'!$I$7:$I$100,1)+SUMIFS('15b'!$J$7:$J$100,'15b'!$H$7:$H$100,$A389,'15b'!$I$7:$I$100,1)+SUMIFS('15c'!$J$7:$J$100,'15c'!$H$7:$H$100,$A389,'15c'!$I$7:$I$100,1)+SUMIFS('15d'!$J$7:$J$100,'15d'!$H$7:$H$100,$A389,'15d'!$I$7:$I$100,1)+SUMIFS('15e'!$J$7:$J$100,'15e'!$H$7:$H$100,$A389,'15e'!$I$7:$I$100,1)+SUMIFS('15f'!$J$7:$J$100,'15f'!$H$7:$H$100,$A389,'15f'!$I$7:$I$100,1)+SUMIFS('15g'!$J$7:$J$100,'15g'!$H$7:$H$100,$A389,'15g'!$I$7:$I$100,1)+SUMIFS('15h'!$J$7:$J$100,'15h'!$H$7:$H$100,$A389,'15h'!$I$7:$I$100,1)+SUMIFS('15i'!$J$7:$J$100,'15i'!$H$7:$H$100,$A389,'15i'!$I$7:$I$100,1)+SUMIFS('15j'!$J$7:$J$100,'15j'!$H$7:$H$100,$A389,'15j'!$I$7:$I$100,1)+SUMIFS('15k'!$J$7:$J$100,'15k'!$H$7:$H$100,$A389,'15k'!$I$7:$I$100,1)+SUMIFS('15l'!$J$7:$J$100,'15l'!$H$7:$H$100,$A389,'15l'!$I$7:$I$100,1)+SUMIFS('15m'!$J$7:$J$100,'15m'!$H$7:$H$100,$A389,'15m'!$I$7:$I$100,1)+SUMIFS('15n'!$J$7:$J$100,'15n'!$H$7:$H$100,$A389,'15n'!$I$7:$I$100,1)+SUMIFS('16'!$J$7:$J$100,'16'!$H$7:$H$100,$A389,'16'!$I$7:$I$100,1)+SUMIFS('16a'!$J$7:$J$100,'16a'!$H$7:$H$100,$A389,'16a'!$I$7:$I$100,1)+SUMIFS('17'!$J$7:$J$100,'17'!$H$7:$H$100,$A389,'17'!$I$7:$I$100,1)+SUMIFS('17a'!$J$7:$J$100,'17a'!$H$7:$H$100,$A389,'17a'!$I$7:$I$100,1)+SUMIFS('18'!$J$7:$J$100,'18'!$H$7:$H$100,$A389,'18'!$I$7:$I$100,1)+SUMIFS('18a'!$J$7:$J$100,'18a'!$H$7:$H$100,$A389,'18a'!$I$7:$I$100,1)
+SUMIFS('19'!$J$7:$J$100,'19'!$H$7:$H$100,$A389,'19'!$I$7:$I$100,1)+SUMIFS('20'!$J$7:$J$100,'20'!$H$7:$H$100,$A389,'20'!$I$7:$I$100,1)+SUMIFS('20a'!$J$7:$J$100,'20a'!$H$7:$H$100,$A389,'20a'!$I$7:$I$100,1)+SUMIFS('21'!$J$7:$J$100,'21'!$H$7:$H$100,$A389,'21'!$I$7:$I$100,1)+SUMIFS('22'!$J$7:$J$100,'22'!$H$7:$H$100,$A389,'22'!$I$7:$I$100,1)+SUMIFS('22a'!$J$7:$J$100,'22a'!$H$7:$H$100,$A389,'22a'!$I$7:$I$100,1)+SUMIFS('22b'!$J$7:$J$100,'22b'!$H$7:$H$100,$A389,'22b'!$I$7:$I$100,1)+SUMIFS('23'!$J$7:$J$100,'23'!$H$7:$H$100,$A389,'23'!$I$7:$I$100,1)+SUMIFS('24'!$J$7:$J$100,'24'!$H$7:$H$100,$A389,'24'!$I$7:$I$100,1)+SUMIFS('24a'!$J$7:$J$100,'24a'!$H$7:$H$100,$A389,'24a'!$I$7:$I$100,1)+SUMIFS('24b'!$J$7:$J$100,'24b'!$H$7:$H$100,$A389,'24b'!$I$7:$I$100,1)+SUMIFS('24c'!$J$7:$J$100,'24c'!$H$7:$H$100,$A389,'24c'!$I$7:$I$100,1)+SUMIFS('24d'!$J$7:$J$100,'24d'!$H$7:$H$100,$A389,'24d'!$I$7:$I$100,1)+SUMIFS('24e'!$J$7:$J$100,'24e'!$H$7:$H$100,$A389,'24e'!$I$7:$I$100,1)+SUMIFS('24f'!$J$7:$J$100,'24f'!$H$7:$H$100,$A389,'24f'!$I$7:$I$100,1)+SUMIFS('24g'!$J$7:$J$100,'24g'!$H$7:$H$100,$A389,'24g'!$I$7:$I$100,1)+SUMIFS('24h'!$J$7:$J$100,'24h'!$H$7:$H$100,$A389,'24h'!$I$7:$I$100,1)+SUMIFS('24i'!$J$7:$J$100,'24i'!$H$7:$H$100,$A389,'24i'!$I$7:$I$100,1)+SUMIFS('25'!$J$7:$J$100,'25'!$H$7:$H$100,$A389,'25'!$I$7:$I$100,1)+SUMIFS('26'!$J$7:$J$100,'26'!$H$7:$H$100,$A389,'26'!$I$7:$I$100,1)+SUMIFS('26a'!$J$7:$J$100,'26a'!$H$7:$H$100,$A389,'26a'!$I$7:$I$100,1)+SUMIFS('27'!$J$7:$J$100,'27'!$H$7:$H$100,$A389,'27'!$I$7:$I$100,1)+SUMIFS('27a'!$J$7:$J$100,'27a'!$H$7:$H$100,$A389,'27a'!$I$7:$I$100,1)+SUMIFS('28'!$J$7:$J$100,'28'!$H$7:$H$100,$A389,'28'!$I$7:$I$100,1)+SUMIFS('29'!$J$7:$J$100,'29'!$H$7:$H$100,$A389,'29'!$I$7:$I$100,1)</f>
        <v>0</v>
      </c>
      <c r="H390" s="1315">
        <f>SUMIFS('12'!$J$7:$J$100,'12'!$H$7:$H$100,$A389,'12'!$I$7:$I$100,2)+SUMIFS('13'!$J$7:$J$100,'13'!$H$7:$H$100,$A389,'13'!$I$7:$I$100,2)+SUMIFS('14'!$J$7:$J$100,'14'!$H$7:$H$100,$A389,'14'!$I$7:$I$100,2)+SUMIFS('15'!$J$7:$J$100,'15'!$H$7:$H$100,$A389,'15'!$I$7:$I$100,2)+SUMIFS('15a'!$J$7:$J$100,'15a'!$H$7:$H$100,$A389,'15a'!$I$7:$I$100,2)+SUMIFS('15b'!$J$7:$J$100,'15b'!$H$7:$H$100,$A389,'15b'!$I$7:$I$100,2)+SUMIFS('15c'!$J$7:$J$100,'15c'!$H$7:$H$100,$A389,'15c'!$I$7:$I$100,2)+SUMIFS('15d'!$J$7:$J$100,'15d'!$H$7:$H$100,$A389,'15d'!$I$7:$I$100,2)+SUMIFS('15e'!$J$7:$J$100,'15e'!$H$7:$H$100,$A389,'15e'!$I$7:$I$100,2)+SUMIFS('15f'!$J$7:$J$100,'15f'!$H$7:$H$100,$A389,'15f'!$I$7:$I$100,2)+SUMIFS('15g'!$J$7:$J$100,'15g'!$H$7:$H$100,$A389,'15g'!$I$7:$I$100,2)+SUMIFS('15h'!$J$7:$J$100,'15h'!$H$7:$H$100,$A389,'15h'!$I$7:$I$100,2)+SUMIFS('15i'!$J$7:$J$100,'15i'!$H$7:$H$100,$A389,'15i'!$I$7:$I$100,2)+SUMIFS('15j'!$J$7:$J$100,'15j'!$H$7:$H$100,$A389,'15j'!$I$7:$I$100,2)+SUMIFS('15k'!$J$7:$J$100,'15k'!$H$7:$H$100,$A389,'15k'!$I$7:$I$100,2)+SUMIFS('15l'!$J$7:$J$100,'15l'!$H$7:$H$100,$A389,'15l'!$I$7:$I$100,2)+SUMIFS('15m'!$J$7:$J$100,'15m'!$H$7:$H$100,$A389,'15m'!$I$7:$I$100,2)+SUMIFS('15n'!$J$7:$J$100,'15n'!$H$7:$H$100,$A389,'15n'!$I$7:$I$100,2)+SUMIFS('16'!$J$7:$J$100,'16'!$H$7:$H$100,$A389,'16'!$I$7:$I$100,2)+SUMIFS('16a'!$J$7:$J$100,'16a'!$H$7:$H$100,$A389,'16a'!$I$7:$I$100,2)+SUMIFS('17'!$J$7:$J$100,'17'!$H$7:$H$100,$A389,'17'!$I$7:$I$100,2)+SUMIFS('17a'!$J$7:$J$100,'17a'!$H$7:$H$100,$A389,'17a'!$I$7:$I$100,2)+SUMIFS('18'!$J$7:$J$100,'18'!$H$7:$H$100,$A389,'18'!$I$7:$I$100,2)+SUMIFS('18a'!$J$7:$J$100,'18a'!$H$7:$H$100,$A389,'18a'!$I$7:$I$100,2)
+SUMIFS('19'!$J$7:$J$100,'19'!$H$7:$H$100,$A389,'19'!$I$7:$I$100,2)+SUMIFS('20'!$J$7:$J$100,'20'!$H$7:$H$100,$A389,'20'!$I$7:$I$100,2)+SUMIFS('20a'!$J$7:$J$100,'20a'!$H$7:$H$100,$A389,'20a'!$I$7:$I$100,2)+SUMIFS('21'!$J$7:$J$100,'21'!$H$7:$H$100,$A389,'21'!$I$7:$I$100,2)+SUMIFS('22'!$J$7:$J$100,'22'!$H$7:$H$100,$A389,'22'!$I$7:$I$100,2)+SUMIFS('22a'!$J$7:$J$100,'22a'!$H$7:$H$100,$A389,'22a'!$I$7:$I$100,2)+SUMIFS('22b'!$J$7:$J$100,'22b'!$H$7:$H$100,$A389,'22b'!$I$7:$I$100,2)+SUMIFS('23'!$J$7:$J$100,'23'!$H$7:$H$100,$A389,'23'!$I$7:$I$100,2)+SUMIFS('24'!$J$7:$J$100,'24'!$H$7:$H$100,$A389,'24'!$I$7:$I$100,2)+SUMIFS('24a'!$J$7:$J$100,'24a'!$H$7:$H$100,$A389,'24a'!$I$7:$I$100,2)+SUMIFS('24b'!$J$7:$J$100,'24b'!$H$7:$H$100,$A389,'24b'!$I$7:$I$100,2)+SUMIFS('24c'!$J$7:$J$100,'24c'!$H$7:$H$100,$A389,'24c'!$I$7:$I$100,2)+SUMIFS('24d'!$J$7:$J$100,'24d'!$H$7:$H$100,$A389,'24d'!$I$7:$I$100,2)+SUMIFS('24e'!$J$7:$J$100,'24e'!$H$7:$H$100,$A389,'24e'!$I$7:$I$100,2)+SUMIFS('24f'!$J$7:$J$100,'24f'!$H$7:$H$100,$A389,'24f'!$I$7:$I$100,2)+SUMIFS('24g'!$J$7:$J$100,'24g'!$H$7:$H$100,$A389,'24g'!$I$7:$I$100,2)+SUMIFS('24h'!$J$7:$J$100,'24h'!$H$7:$H$100,$A389,'24h'!$I$7:$I$100,2)+SUMIFS('24i'!$J$7:$J$100,'24i'!$H$7:$H$100,$A389,'24i'!$I$7:$I$100,2)+SUMIFS('25'!$J$7:$J$100,'25'!$H$7:$H$100,$A389,'25'!$I$7:$I$100,2)+SUMIFS('26'!$J$7:$J$100,'26'!$H$7:$H$100,$A389,'26'!$I$7:$I$100,2)+SUMIFS('26a'!$J$7:$J$100,'26a'!$H$7:$H$100,$A389,'26a'!$I$7:$I$100,2)+SUMIFS('27'!$J$7:$J$100,'27'!$H$7:$H$100,$A389,'27'!$I$7:$I$100,2)+SUMIFS('27a'!$J$7:$J$100,'27a'!$H$7:$H$100,$A389,'27a'!$I$7:$I$100,2)+SUMIFS('28'!$J$7:$J$100,'28'!$H$7:$H$100,$A389,'28'!$I$7:$I$100,2)+SUMIFS('29'!$J$7:$J$100,'29'!$H$7:$H$100,$A389,'29'!$I$7:$I$100,2)</f>
        <v>550</v>
      </c>
      <c r="I390" s="1315">
        <f>SUMIFS('12'!$J$7:$J$100,'12'!$H$7:$H$100,$A389,'12'!$I$7:$I$100,"")+SUMIFS('13'!$J$7:$J$100,'13'!$H$7:$H$100,$A389,'13'!$I$7:$I$100,"")+SUMIFS('14'!$J$7:$J$100,'14'!$H$7:$H$100,$A389,'14'!$I$7:$I$100,"")+SUMIFS('15'!$J$7:$J$100,'15'!$H$7:$H$100,$A389,'15'!$I$7:$I$100,"")+SUMIFS('15a'!$J$7:$J$100,'15a'!$H$7:$H$100,$A389,'15a'!$I$7:$I$100,"")+SUMIFS('15b'!$J$7:$J$100,'15b'!$H$7:$H$100,$A389,'15b'!$I$7:$I$100,"")+SUMIFS('15c'!$J$7:$J$100,'15c'!$H$7:$H$100,$A389,'15c'!$I$7:$I$100,"")+SUMIFS('15d'!$J$7:$J$100,'15d'!$H$7:$H$100,$A389,'15d'!$I$7:$I$100,"")+SUMIFS('15e'!$J$7:$J$100,'15e'!$H$7:$H$100,$A389,'15e'!$I$7:$I$100,"")+SUMIFS('15f'!$J$7:$J$100,'15f'!$H$7:$H$100,$A389,'15f'!$I$7:$I$100,"")+SUMIFS('15g'!$J$7:$J$100,'15g'!$H$7:$H$100,$A389,'15g'!$I$7:$I$100,"")+SUMIFS('15h'!$J$7:$J$100,'15h'!$H$7:$H$100,$A389,'15h'!$I$7:$I$100,"")+SUMIFS('15i'!$J$7:$J$100,'15i'!$H$7:$H$100,$A389,'15i'!$I$7:$I$100,"")+SUMIFS('15j'!$J$7:$J$100,'15j'!$H$7:$H$100,$A389,'15j'!$I$7:$I$100,"")+SUMIFS('15k'!$J$7:$J$100,'15k'!$H$7:$H$100,$A389,'15k'!$I$7:$I$100,"")+SUMIFS('15l'!$J$7:$J$100,'15l'!$H$7:$H$100,$A389,'15l'!$I$7:$I$100,"")+SUMIFS('15m'!$J$7:$J$100,'15m'!$H$7:$H$100,$A389,'15m'!$I$7:$I$100,"")+SUMIFS('15n'!$J$7:$J$100,'15n'!$H$7:$H$100,$A389,'15n'!$I$7:$I$100,"")+SUMIFS('16'!$J$7:$J$100,'16'!$H$7:$H$100,$A389,'16'!$I$7:$I$100,"")+SUMIFS('16a'!$J$7:$J$100,'16a'!$H$7:$H$100,$A389,'16a'!$I$7:$I$100,"")+SUMIFS('17'!$J$7:$J$100,'17'!$H$7:$H$100,$A389,'17'!$I$7:$I$100,"")+SUMIFS('17a'!$J$7:$J$100,'17a'!$H$7:$H$100,$A389,'17a'!$I$7:$I$100,"")+SUMIFS('18'!$J$7:$J$100,'18'!$H$7:$H$100,$A389,'18'!$I$7:$I$100,"")+SUMIFS('18a'!$J$7:$J$100,'18a'!$H$7:$H$100,$A389,'18a'!$I$7:$I$100,"")
+SUMIFS('19'!$J$7:$J$100,'19'!$H$7:$H$100,$A389,'19'!$I$7:$I$100,"")+SUMIFS('20'!$J$7:$J$100,'20'!$H$7:$H$100,$A389,'20'!$I$7:$I$100,"")+SUMIFS('20a'!$J$7:$J$100,'20a'!$H$7:$H$100,$A389,'20a'!$I$7:$I$100,"")+SUMIFS('21'!$J$7:$J$100,'21'!$H$7:$H$100,$A389,'21'!$I$7:$I$100,"")+SUMIFS('22'!$J$7:$J$100,'22'!$H$7:$H$100,$A389,'22'!$I$7:$I$100,"")+SUMIFS('22a'!$J$7:$J$100,'22a'!$H$7:$H$100,$A389,'22a'!$I$7:$I$100,"")+SUMIFS('22b'!$J$7:$J$100,'22b'!$H$7:$H$100,$A389,'22b'!$I$7:$I$100,"")+SUMIFS('23'!$J$7:$J$100,'23'!$H$7:$H$100,$A389,'23'!$I$7:$I$100,"")+SUMIFS('24'!$J$7:$J$100,'24'!$H$7:$H$100,$A389,'24'!$I$7:$I$100,"")+SUMIFS('24a'!$J$7:$J$100,'24a'!$H$7:$H$100,$A389,'24a'!$I$7:$I$100,"")+SUMIFS('24b'!$J$7:$J$100,'24b'!$H$7:$H$100,$A389,'24b'!$I$7:$I$100,"")+SUMIFS('24c'!$J$7:$J$100,'24c'!$H$7:$H$100,$A389,'24c'!$I$7:$I$100,"")+SUMIFS('24d'!$J$7:$J$100,'24d'!$H$7:$H$100,$A389,'24d'!$I$7:$I$100,"")+SUMIFS('24e'!$J$7:$J$100,'24e'!$H$7:$H$100,$A389,'24e'!$I$7:$I$100,"")+SUMIFS('24f'!$J$7:$J$100,'24f'!$H$7:$H$100,$A389,'24f'!$I$7:$I$100,"")+SUMIFS('24g'!$J$7:$J$100,'24g'!$H$7:$H$100,$A389,'24g'!$I$7:$I$100,"")+SUMIFS('24h'!$J$7:$J$100,'24h'!$H$7:$H$100,$A389,'24h'!$I$7:$I$100,"")+SUMIFS('24i'!$J$7:$J$100,'24i'!$H$7:$H$100,$A389,'24i'!$I$7:$I$100,"")+SUMIFS('25'!$J$7:$J$100,'25'!$H$7:$H$100,$A389,'25'!$I$7:$I$100,"")+SUMIFS('26'!$J$7:$J$100,'26'!$H$7:$H$100,$A389,'26'!$I$7:$I$100,"")+SUMIFS('26a'!$J$7:$J$100,'26a'!$H$7:$H$100,$A389,'26a'!$I$7:$I$100,"")+SUMIFS('27'!$J$7:$J$100,'27'!$H$7:$H$100,$A389,'27'!$I$7:$I$100,"")+SUMIFS('27a'!$J$7:$J$100,'27a'!$H$7:$H$100,$A389,'27a'!$I$7:$I$100,"")+SUMIFS('28'!$J$7:$J$100,'28'!$H$7:$H$100,$A389,'28'!$I$7:$I$100,"")+SUMIFS('29'!$J$7:$J$100,'29'!$H$7:$H$100,$A389,'29'!$I$7:$I$100,"")</f>
        <v>0</v>
      </c>
      <c r="J390" s="1296">
        <f t="shared" si="61"/>
        <v>550</v>
      </c>
      <c r="K390"/>
      <c r="L390"/>
      <c r="M390"/>
      <c r="N390"/>
      <c r="O390"/>
      <c r="P390"/>
      <c r="Q390"/>
      <c r="R390"/>
      <c r="S390" s="1307">
        <f t="shared" si="48"/>
        <v>2196</v>
      </c>
      <c r="T390"/>
    </row>
    <row r="391" spans="1:20" outlineLevel="1" x14ac:dyDescent="0.2">
      <c r="A391" t="s">
        <v>5145</v>
      </c>
      <c r="B391" t="s">
        <v>5409</v>
      </c>
      <c r="C391" s="1295">
        <f>SUMIFS('12'!$N$7:$N$100,'12'!$H$7:$H$100,$A390,'12'!$I$7:$I$100,1)+SUMIFS('13'!$N$7:$N$100,'13'!$H$7:$H$100,$A390,'13'!$I$7:$I$100,1)+SUMIFS('14'!$N$7:$N$100,'14'!$H$7:$H$100,$A390,'14'!$I$7:$I$100,1)+SUMIFS('15'!$N$7:$N$100,'15'!$H$7:$H$100,$A390,'15'!$I$7:$I$100,1)+SUMIFS('15a'!$N$7:$N$100,'15a'!$H$7:$H$100,$A390,'15a'!$I$7:$I$100,1)+SUMIFS('15b'!$N$7:$N$100,'15b'!$H$7:$H$100,$A390,'15b'!$I$7:$I$100,1)+SUMIFS('15c'!$N$7:$N$100,'15c'!$H$7:$H$100,$A390,'15c'!$I$7:$I$100,1)+SUMIFS('15d'!$N$7:$N$100,'15d'!$H$7:$H$100,$A390,'15d'!$I$7:$I$100,1)+SUMIFS('15e'!$N$7:$N$100,'15e'!$H$7:$H$100,$A390,'15e'!$I$7:$I$100,1)+SUMIFS('15f'!$N$7:$N$100,'15f'!$H$7:$H$100,$A390,'15f'!$I$7:$I$100,1)+SUMIFS('15g'!$N$7:$N$100,'15g'!$H$7:$H$100,$A390,'15g'!$I$7:$I$100,1)+SUMIFS('15h'!$N$7:$N$100,'15h'!$H$7:$H$100,$A390,'15h'!$I$7:$I$100,1)+SUMIFS('15i'!$N$7:$N$100,'15i'!$H$7:$H$100,$A390,'15i'!$I$7:$I$100,1)+SUMIFS('15j'!$N$7:$N$100,'15j'!$H$7:$H$100,$A390,'15j'!$I$7:$I$100,1)+SUMIFS('15k'!$N$7:$N$100,'15k'!$H$7:$H$100,$A390,'15k'!$I$7:$I$100,1)+SUMIFS('15l'!$N$7:$N$100,'15l'!$H$7:$H$100,$A390,'15l'!$I$7:$I$100,1)+SUMIFS('15m'!$N$7:$N$100,'15m'!$H$7:$H$100,$A390,'15m'!$I$7:$I$100,1)+SUMIFS('15n'!$N$7:$N$100,'15n'!$H$7:$H$100,$A390,'15n'!$I$7:$I$100,1)+SUMIFS('16'!$N$7:$N$100,'16'!$H$7:$H$100,$A390,'16'!$I$7:$I$100,1)+SUMIFS('16a'!$N$7:$N$100,'16a'!$H$7:$H$100,$A390,'16a'!$I$7:$I$100,1)+SUMIFS('17'!$N$7:$N$100,'17'!$H$7:$H$100,$A390,'17'!$I$7:$I$100,1)+SUMIFS('17a'!$N$7:$N$100,'17a'!$H$7:$H$100,$A390,'17a'!$I$7:$I$100,1)+SUMIFS('18'!$N$7:$N$100,'18'!$H$7:$H$100,$A390,'18'!$I$7:$I$100,1)+SUMIFS('18a'!$N$7:$N$100,'18a'!$H$7:$H$100,$A390,'18a'!$I$7:$I$100,1)
+SUMIFS('19'!$N$7:$N$100,'19'!$H$7:$H$100,$A390,'19'!$I$7:$I$100,1)+SUMIFS('20'!$N$7:$N$100,'20'!$H$7:$H$100,$A390,'20'!$I$7:$I$100,1)+SUMIFS('20a'!$N$7:$N$100,'20a'!$H$7:$H$100,$A390,'20a'!$I$7:$I$100,1)+SUMIFS('21'!$N$7:$N$100,'21'!$H$7:$H$100,$A390,'21'!$I$7:$I$100,1)+SUMIFS('22'!$N$7:$N$100,'22'!$H$7:$H$100,$A390,'22'!$I$7:$I$100,1)+SUMIFS('22a'!$N$7:$N$100,'22a'!$H$7:$H$100,$A390,'22a'!$I$7:$I$100,1)+SUMIFS('22b'!$N$7:$N$100,'22b'!$H$7:$H$100,$A390,'22b'!$I$7:$I$100,1)+SUMIFS('23'!$N$7:$N$100,'23'!$H$7:$H$100,$A390,'23'!$I$7:$I$100,1)+SUMIFS('24'!$N$7:$N$100,'24'!$H$7:$H$100,$A390,'24'!$I$7:$I$100,1)+SUMIFS('24a'!$N$7:$N$100,'24a'!$H$7:$H$100,$A390,'24a'!$I$7:$I$100,1)+SUMIFS('24b'!$N$7:$N$100,'24b'!$H$7:$H$100,$A390,'24b'!$I$7:$I$100,1)+SUMIFS('24c'!$N$7:$N$100,'24c'!$H$7:$H$100,$A390,'24c'!$I$7:$I$100,1)+SUMIFS('24d'!$N$7:$N$100,'24d'!$H$7:$H$100,$A390,'24d'!$I$7:$I$100,1)+SUMIFS('24e'!$N$7:$N$100,'24e'!$H$7:$H$100,$A390,'24e'!$I$7:$I$100,1)+SUMIFS('24f'!$N$7:$N$100,'24f'!$H$7:$H$100,$A390,'24f'!$I$7:$I$100,1)+SUMIFS('24g'!$N$7:$N$100,'24g'!$H$7:$H$100,$A390,'24g'!$I$7:$I$100,1)+SUMIFS('24h'!$N$7:$N$100,'24h'!$H$7:$H$100,$A390,'24h'!$I$7:$I$100,1)+SUMIFS('24i'!$N$7:$N$100,'24i'!$H$7:$H$100,$A390,'24i'!$I$7:$I$100,1)+SUMIFS('25'!$N$7:$N$100,'25'!$H$7:$H$100,$A390,'25'!$I$7:$I$100,1)+SUMIFS('26'!$N$7:$N$100,'26'!$H$7:$H$100,$A390,'26'!$I$7:$I$100,1)+SUMIFS('26a'!$N$7:$N$100,'26a'!$H$7:$H$100,$A390,'26a'!$I$7:$I$100,1)+SUMIFS('27'!$N$7:$N$100,'27'!$H$7:$H$100,$A390,'27'!$I$7:$I$100,1)+SUMIFS('27a'!$N$7:$N$100,'27a'!$H$7:$H$100,$A390,'27a'!$I$7:$I$100,1)+SUMIFS('28'!$N$7:$N$100,'28'!$H$7:$H$100,$A390,'28'!$I$7:$I$100,1)+SUMIFS('29'!$N$7:$N$100,'29'!$H$7:$H$100,$A390,'29'!$I$7:$I$100,1)</f>
        <v>0</v>
      </c>
      <c r="D391" s="1315">
        <f>SUMIFS('12'!$N$7:$N$100,'12'!$H$7:$H$100,$A390,'12'!$I$7:$I$100,2)+SUMIFS('13'!$N$7:$N$100,'13'!$H$7:$H$100,$A390,'13'!$I$7:$I$100,2)+SUMIFS('14'!$N$7:$N$100,'14'!$H$7:$H$100,$A390,'14'!$I$7:$I$100,2)+SUMIFS('15'!$N$7:$N$100,'15'!$H$7:$H$100,$A390,'15'!$I$7:$I$100,2)+SUMIFS('15a'!$N$7:$N$100,'15a'!$H$7:$H$100,$A390,'15a'!$I$7:$I$100,2)+SUMIFS('15b'!$N$7:$N$100,'15b'!$H$7:$H$100,$A390,'15b'!$I$7:$I$100,2)+SUMIFS('15c'!$N$7:$N$100,'15c'!$H$7:$H$100,$A390,'15c'!$I$7:$I$100,2)+SUMIFS('15d'!$N$7:$N$100,'15d'!$H$7:$H$100,$A390,'15d'!$I$7:$I$100,2)+SUMIFS('15e'!$N$7:$N$100,'15e'!$H$7:$H$100,$A390,'15e'!$I$7:$I$100,2)+SUMIFS('15f'!$N$7:$N$100,'15f'!$H$7:$H$100,$A390,'15f'!$I$7:$I$100,2)+SUMIFS('15g'!$N$7:$N$100,'15g'!$H$7:$H$100,$A390,'15g'!$I$7:$I$100,2)+SUMIFS('15h'!$N$7:$N$100,'15h'!$H$7:$H$100,$A390,'15h'!$I$7:$I$100,2)+SUMIFS('15i'!$N$7:$N$100,'15i'!$H$7:$H$100,$A390,'15i'!$I$7:$I$100,2)+SUMIFS('15j'!$N$7:$N$100,'15j'!$H$7:$H$100,$A390,'15j'!$I$7:$I$100,2)+SUMIFS('15k'!$N$7:$N$100,'15k'!$H$7:$H$100,$A390,'15k'!$I$7:$I$100,2)+SUMIFS('15l'!$N$7:$N$100,'15l'!$H$7:$H$100,$A390,'15l'!$I$7:$I$100,2)+SUMIFS('15m'!$N$7:$N$100,'15m'!$H$7:$H$100,$A390,'15m'!$I$7:$I$100,2)+SUMIFS('15n'!$N$7:$N$100,'15n'!$H$7:$H$100,$A390,'15n'!$I$7:$I$100,2)+SUMIFS('16'!$N$7:$N$100,'16'!$H$7:$H$100,$A390,'16'!$I$7:$I$100,2)+SUMIFS('16a'!$N$7:$N$100,'16a'!$H$7:$H$100,$A390,'16a'!$I$7:$I$100,2)+SUMIFS('17'!$N$7:$N$100,'17'!$H$7:$H$100,$A390,'17'!$I$7:$I$100,2)+SUMIFS('17a'!$N$7:$N$100,'17a'!$H$7:$H$100,$A390,'17a'!$I$7:$I$100,2)+SUMIFS('18'!$N$7:$N$100,'18'!$H$7:$H$100,$A390,'18'!$I$7:$I$100,2)+SUMIFS('18a'!$N$7:$N$100,'18a'!$H$7:$H$100,$A390,'18a'!$I$7:$I$100,2)
+SUMIFS('19'!$N$7:$N$100,'19'!$H$7:$H$100,$A390,'19'!$I$7:$I$100,2)+SUMIFS('20'!$N$7:$N$100,'20'!$H$7:$H$100,$A390,'20'!$I$7:$I$100,2)+SUMIFS('20a'!$N$7:$N$100,'20a'!$H$7:$H$100,$A390,'20a'!$I$7:$I$100,2)+SUMIFS('21'!$N$7:$N$100,'21'!$H$7:$H$100,$A390,'21'!$I$7:$I$100,2)+SUMIFS('22'!$N$7:$N$100,'22'!$H$7:$H$100,$A390,'22'!$I$7:$I$100,2)+SUMIFS('22a'!$N$7:$N$100,'22a'!$H$7:$H$100,$A390,'22a'!$I$7:$I$100,2)+SUMIFS('22b'!$N$7:$N$100,'22b'!$H$7:$H$100,$A390,'22b'!$I$7:$I$100,2)+SUMIFS('23'!$N$7:$N$100,'23'!$H$7:$H$100,$A390,'23'!$I$7:$I$100,2)+SUMIFS('24'!$N$7:$N$100,'24'!$H$7:$H$100,$A390,'24'!$I$7:$I$100,2)+SUMIFS('24a'!$N$7:$N$100,'24a'!$H$7:$H$100,$A390,'24a'!$I$7:$I$100,2)+SUMIFS('24b'!$N$7:$N$100,'24b'!$H$7:$H$100,$A390,'24b'!$I$7:$I$100,2)+SUMIFS('24c'!$N$7:$N$100,'24c'!$H$7:$H$100,$A390,'24c'!$I$7:$I$100,2)+SUMIFS('24d'!$N$7:$N$100,'24d'!$H$7:$H$100,$A390,'24d'!$I$7:$I$100,2)+SUMIFS('24e'!$N$7:$N$100,'24e'!$H$7:$H$100,$A390,'24e'!$I$7:$I$100,2)+SUMIFS('24f'!$N$7:$N$100,'24f'!$H$7:$H$100,$A390,'24f'!$I$7:$I$100,2)+SUMIFS('24g'!$N$7:$N$100,'24g'!$H$7:$H$100,$A390,'24g'!$I$7:$I$100,2)+SUMIFS('24h'!$N$7:$N$100,'24h'!$H$7:$H$100,$A390,'24h'!$I$7:$I$100,2)+SUMIFS('24i'!$N$7:$N$100,'24i'!$H$7:$H$100,$A390,'24i'!$I$7:$I$100,2)+SUMIFS('25'!$N$7:$N$100,'25'!$H$7:$H$100,$A390,'25'!$I$7:$I$100,2)+SUMIFS('26'!$N$7:$N$100,'26'!$H$7:$H$100,$A390,'26'!$I$7:$I$100,2)+SUMIFS('26a'!$N$7:$N$100,'26a'!$H$7:$H$100,$A390,'26a'!$I$7:$I$100,2)+SUMIFS('27'!$N$7:$N$100,'27'!$H$7:$H$100,$A390,'27'!$I$7:$I$100,2)+SUMIFS('27a'!$N$7:$N$100,'27a'!$H$7:$H$100,$A390,'27a'!$I$7:$I$100,2)+SUMIFS('28'!$N$7:$N$100,'28'!$H$7:$H$100,$A390,'28'!$I$7:$I$100,2)+SUMIFS('29'!$N$7:$N$100,'29'!$H$7:$H$100,$A390,'29'!$I$7:$I$100,2)</f>
        <v>0</v>
      </c>
      <c r="E391" s="1315">
        <f>SUMIFS('12'!$N$7:$N$100,'12'!$H$7:$H$100,$A390,'12'!$I$7:$I$100,"")+SUMIFS('13'!$N$7:$N$100,'13'!$H$7:$H$100,$A390,'13'!$I$7:$I$100,"")+SUMIFS('14'!$N$7:$N$100,'14'!$H$7:$H$100,$A390,'14'!$I$7:$I$100,"")+SUMIFS('15'!$N$7:$N$100,'15'!$H$7:$H$100,$A390,'15'!$I$7:$I$100,"")+SUMIFS('15a'!$N$7:$N$100,'15a'!$H$7:$H$100,$A390,'15a'!$I$7:$I$100,"")+SUMIFS('15b'!$N$7:$N$100,'15b'!$H$7:$H$100,$A390,'15b'!$I$7:$I$100,"")+SUMIFS('15c'!$N$7:$N$100,'15c'!$H$7:$H$100,$A390,'15c'!$I$7:$I$100,"")+SUMIFS('15d'!$N$7:$N$100,'15d'!$H$7:$H$100,$A390,'15d'!$I$7:$I$100,"")+SUMIFS('15e'!$N$7:$N$100,'15e'!$H$7:$H$100,$A390,'15e'!$I$7:$I$100,"")+SUMIFS('15f'!$N$7:$N$100,'15f'!$H$7:$H$100,$A390,'15f'!$I$7:$I$100,"")+SUMIFS('15g'!$N$7:$N$100,'15g'!$H$7:$H$100,$A390,'15g'!$I$7:$I$100,"")+SUMIFS('15h'!$N$7:$N$100,'15h'!$H$7:$H$100,$A390,'15h'!$I$7:$I$100,"")+SUMIFS('15i'!$N$7:$N$100,'15i'!$H$7:$H$100,$A390,'15i'!$I$7:$I$100,"")+SUMIFS('15j'!$N$7:$N$100,'15j'!$H$7:$H$100,$A390,'15j'!$I$7:$I$100,"")+SUMIFS('15k'!$N$7:$N$100,'15k'!$H$7:$H$100,$A390,'15k'!$I$7:$I$100,"")+SUMIFS('15l'!$N$7:$N$100,'15l'!$H$7:$H$100,$A390,'15l'!$I$7:$I$100,"")+SUMIFS('15m'!$N$7:$N$100,'15m'!$H$7:$H$100,$A390,'15m'!$I$7:$I$100,"")+SUMIFS('15n'!$N$7:$N$100,'15n'!$H$7:$H$100,$A390,'15n'!$I$7:$I$100,"")+SUMIFS('16'!$N$7:$N$100,'16'!$H$7:$H$100,$A390,'16'!$I$7:$I$100,"")+SUMIFS('16a'!$N$7:$N$100,'16a'!$H$7:$H$100,$A390,'16a'!$I$7:$I$100,"")+SUMIFS('17'!$N$7:$N$100,'17'!$H$7:$H$100,$A390,'17'!$I$7:$I$100,"")+SUMIFS('17a'!$N$7:$N$100,'17a'!$H$7:$H$100,$A390,'17a'!$I$7:$I$100,"")+SUMIFS('18'!$N$7:$N$100,'18'!$H$7:$H$100,$A390,'18'!$I$7:$I$100,"")+SUMIFS('18a'!$N$7:$N$100,'18a'!$H$7:$H$100,$A390,'18a'!$I$7:$I$100,"")
+SUMIFS('19'!$N$7:$N$100,'19'!$H$7:$H$100,$A390,'19'!$I$7:$I$100,"")+SUMIFS('20'!$N$7:$N$100,'20'!$H$7:$H$100,$A390,'20'!$I$7:$I$100,"")+SUMIFS('20a'!$N$7:$N$100,'20a'!$H$7:$H$100,$A390,'20a'!$I$7:$I$100,"")+SUMIFS('21'!$N$7:$N$100,'21'!$H$7:$H$100,$A390,'21'!$I$7:$I$100,"")+SUMIFS('22'!$N$7:$N$100,'22'!$H$7:$H$100,$A390,'22'!$I$7:$I$100,"")+SUMIFS('22a'!$N$7:$N$100,'22a'!$H$7:$H$100,$A390,'22a'!$I$7:$I$100,"")+SUMIFS('22b'!$N$7:$N$100,'22b'!$H$7:$H$100,$A390,'22b'!$I$7:$I$100,"")+SUMIFS('23'!$N$7:$N$100,'23'!$H$7:$H$100,$A390,'23'!$I$7:$I$100,"")+SUMIFS('24'!$N$7:$N$100,'24'!$H$7:$H$100,$A390,'24'!$I$7:$I$100,"")+SUMIFS('24a'!$N$7:$N$100,'24a'!$H$7:$H$100,$A390,'24a'!$I$7:$I$100,"")+SUMIFS('24b'!$N$7:$N$100,'24b'!$H$7:$H$100,$A390,'24b'!$I$7:$I$100,"")+SUMIFS('24c'!$N$7:$N$100,'24c'!$H$7:$H$100,$A390,'24c'!$I$7:$I$100,"")+SUMIFS('24d'!$N$7:$N$100,'24d'!$H$7:$H$100,$A390,'24d'!$I$7:$I$100,"")+SUMIFS('24e'!$N$7:$N$100,'24e'!$H$7:$H$100,$A390,'24e'!$I$7:$I$100,"")+SUMIFS('24f'!$N$7:$N$100,'24f'!$H$7:$H$100,$A390,'24f'!$I$7:$I$100,"")+SUMIFS('24g'!$N$7:$N$100,'24g'!$H$7:$H$100,$A390,'24g'!$I$7:$I$100,"")+SUMIFS('24h'!$N$7:$N$100,'24h'!$H$7:$H$100,$A390,'24h'!$I$7:$I$100,"")+SUMIFS('24i'!$N$7:$N$100,'24i'!$H$7:$H$100,$A390,'24i'!$I$7:$I$100,"")+SUMIFS('25'!$N$7:$N$100,'25'!$H$7:$H$100,$A390,'25'!$I$7:$I$100,"")+SUMIFS('26'!$N$7:$N$100,'26'!$H$7:$H$100,$A390,'26'!$I$7:$I$100,"")+SUMIFS('26a'!$N$7:$N$100,'26a'!$H$7:$H$100,$A390,'26a'!$I$7:$I$100,"")+SUMIFS('27'!$N$7:$N$100,'27'!$H$7:$H$100,$A390,'27'!$I$7:$I$100,"")+SUMIFS('27a'!$N$7:$N$100,'27a'!$H$7:$H$100,$A390,'27a'!$I$7:$I$100,"")+SUMIFS('28'!$N$7:$N$100,'28'!$H$7:$H$100,$A390,'28'!$I$7:$I$100,"")+SUMIFS('29'!$N$7:$N$100,'29'!$H$7:$H$100,$A390,'29'!$I$7:$I$100,"")</f>
        <v>0</v>
      </c>
      <c r="F391" s="1296">
        <f t="shared" si="60"/>
        <v>0</v>
      </c>
      <c r="G391" s="1295">
        <f>SUMIFS('12'!$J$7:$J$100,'12'!$H$7:$H$100,$A390,'12'!$I$7:$I$100,1)+SUMIFS('13'!$J$7:$J$100,'13'!$H$7:$H$100,$A390,'13'!$I$7:$I$100,1)+SUMIFS('14'!$J$7:$J$100,'14'!$H$7:$H$100,$A390,'14'!$I$7:$I$100,1)+SUMIFS('15'!$J$7:$J$100,'15'!$H$7:$H$100,$A390,'15'!$I$7:$I$100,1)+SUMIFS('15a'!$J$7:$J$100,'15a'!$H$7:$H$100,$A390,'15a'!$I$7:$I$100,1)+SUMIFS('15b'!$J$7:$J$100,'15b'!$H$7:$H$100,$A390,'15b'!$I$7:$I$100,1)+SUMIFS('15c'!$J$7:$J$100,'15c'!$H$7:$H$100,$A390,'15c'!$I$7:$I$100,1)+SUMIFS('15d'!$J$7:$J$100,'15d'!$H$7:$H$100,$A390,'15d'!$I$7:$I$100,1)+SUMIFS('15e'!$J$7:$J$100,'15e'!$H$7:$H$100,$A390,'15e'!$I$7:$I$100,1)+SUMIFS('15f'!$J$7:$J$100,'15f'!$H$7:$H$100,$A390,'15f'!$I$7:$I$100,1)+SUMIFS('15g'!$J$7:$J$100,'15g'!$H$7:$H$100,$A390,'15g'!$I$7:$I$100,1)+SUMIFS('15h'!$J$7:$J$100,'15h'!$H$7:$H$100,$A390,'15h'!$I$7:$I$100,1)+SUMIFS('15i'!$J$7:$J$100,'15i'!$H$7:$H$100,$A390,'15i'!$I$7:$I$100,1)+SUMIFS('15j'!$J$7:$J$100,'15j'!$H$7:$H$100,$A390,'15j'!$I$7:$I$100,1)+SUMIFS('15k'!$J$7:$J$100,'15k'!$H$7:$H$100,$A390,'15k'!$I$7:$I$100,1)+SUMIFS('15l'!$J$7:$J$100,'15l'!$H$7:$H$100,$A390,'15l'!$I$7:$I$100,1)+SUMIFS('15m'!$J$7:$J$100,'15m'!$H$7:$H$100,$A390,'15m'!$I$7:$I$100,1)+SUMIFS('15n'!$J$7:$J$100,'15n'!$H$7:$H$100,$A390,'15n'!$I$7:$I$100,1)+SUMIFS('16'!$J$7:$J$100,'16'!$H$7:$H$100,$A390,'16'!$I$7:$I$100,1)+SUMIFS('16a'!$J$7:$J$100,'16a'!$H$7:$H$100,$A390,'16a'!$I$7:$I$100,1)+SUMIFS('17'!$J$7:$J$100,'17'!$H$7:$H$100,$A390,'17'!$I$7:$I$100,1)+SUMIFS('17a'!$J$7:$J$100,'17a'!$H$7:$H$100,$A390,'17a'!$I$7:$I$100,1)+SUMIFS('18'!$J$7:$J$100,'18'!$H$7:$H$100,$A390,'18'!$I$7:$I$100,1)+SUMIFS('18a'!$J$7:$J$100,'18a'!$H$7:$H$100,$A390,'18a'!$I$7:$I$100,1)
+SUMIFS('19'!$J$7:$J$100,'19'!$H$7:$H$100,$A390,'19'!$I$7:$I$100,1)+SUMIFS('20'!$J$7:$J$100,'20'!$H$7:$H$100,$A390,'20'!$I$7:$I$100,1)+SUMIFS('20a'!$J$7:$J$100,'20a'!$H$7:$H$100,$A390,'20a'!$I$7:$I$100,1)+SUMIFS('21'!$J$7:$J$100,'21'!$H$7:$H$100,$A390,'21'!$I$7:$I$100,1)+SUMIFS('22'!$J$7:$J$100,'22'!$H$7:$H$100,$A390,'22'!$I$7:$I$100,1)+SUMIFS('22a'!$J$7:$J$100,'22a'!$H$7:$H$100,$A390,'22a'!$I$7:$I$100,1)+SUMIFS('22b'!$J$7:$J$100,'22b'!$H$7:$H$100,$A390,'22b'!$I$7:$I$100,1)+SUMIFS('23'!$J$7:$J$100,'23'!$H$7:$H$100,$A390,'23'!$I$7:$I$100,1)+SUMIFS('24'!$J$7:$J$100,'24'!$H$7:$H$100,$A390,'24'!$I$7:$I$100,1)+SUMIFS('24a'!$J$7:$J$100,'24a'!$H$7:$H$100,$A390,'24a'!$I$7:$I$100,1)+SUMIFS('24b'!$J$7:$J$100,'24b'!$H$7:$H$100,$A390,'24b'!$I$7:$I$100,1)+SUMIFS('24c'!$J$7:$J$100,'24c'!$H$7:$H$100,$A390,'24c'!$I$7:$I$100,1)+SUMIFS('24d'!$J$7:$J$100,'24d'!$H$7:$H$100,$A390,'24d'!$I$7:$I$100,1)+SUMIFS('24e'!$J$7:$J$100,'24e'!$H$7:$H$100,$A390,'24e'!$I$7:$I$100,1)+SUMIFS('24f'!$J$7:$J$100,'24f'!$H$7:$H$100,$A390,'24f'!$I$7:$I$100,1)+SUMIFS('24g'!$J$7:$J$100,'24g'!$H$7:$H$100,$A390,'24g'!$I$7:$I$100,1)+SUMIFS('24h'!$J$7:$J$100,'24h'!$H$7:$H$100,$A390,'24h'!$I$7:$I$100,1)+SUMIFS('24i'!$J$7:$J$100,'24i'!$H$7:$H$100,$A390,'24i'!$I$7:$I$100,1)+SUMIFS('25'!$J$7:$J$100,'25'!$H$7:$H$100,$A390,'25'!$I$7:$I$100,1)+SUMIFS('26'!$J$7:$J$100,'26'!$H$7:$H$100,$A390,'26'!$I$7:$I$100,1)+SUMIFS('26a'!$J$7:$J$100,'26a'!$H$7:$H$100,$A390,'26a'!$I$7:$I$100,1)+SUMIFS('27'!$J$7:$J$100,'27'!$H$7:$H$100,$A390,'27'!$I$7:$I$100,1)+SUMIFS('27a'!$J$7:$J$100,'27a'!$H$7:$H$100,$A390,'27a'!$I$7:$I$100,1)+SUMIFS('28'!$J$7:$J$100,'28'!$H$7:$H$100,$A390,'28'!$I$7:$I$100,1)+SUMIFS('29'!$J$7:$J$100,'29'!$H$7:$H$100,$A390,'29'!$I$7:$I$100,1)</f>
        <v>0</v>
      </c>
      <c r="H391" s="1315">
        <f>SUMIFS('12'!$J$7:$J$100,'12'!$H$7:$H$100,$A390,'12'!$I$7:$I$100,2)+SUMIFS('13'!$J$7:$J$100,'13'!$H$7:$H$100,$A390,'13'!$I$7:$I$100,2)+SUMIFS('14'!$J$7:$J$100,'14'!$H$7:$H$100,$A390,'14'!$I$7:$I$100,2)+SUMIFS('15'!$J$7:$J$100,'15'!$H$7:$H$100,$A390,'15'!$I$7:$I$100,2)+SUMIFS('15a'!$J$7:$J$100,'15a'!$H$7:$H$100,$A390,'15a'!$I$7:$I$100,2)+SUMIFS('15b'!$J$7:$J$100,'15b'!$H$7:$H$100,$A390,'15b'!$I$7:$I$100,2)+SUMIFS('15c'!$J$7:$J$100,'15c'!$H$7:$H$100,$A390,'15c'!$I$7:$I$100,2)+SUMIFS('15d'!$J$7:$J$100,'15d'!$H$7:$H$100,$A390,'15d'!$I$7:$I$100,2)+SUMIFS('15e'!$J$7:$J$100,'15e'!$H$7:$H$100,$A390,'15e'!$I$7:$I$100,2)+SUMIFS('15f'!$J$7:$J$100,'15f'!$H$7:$H$100,$A390,'15f'!$I$7:$I$100,2)+SUMIFS('15g'!$J$7:$J$100,'15g'!$H$7:$H$100,$A390,'15g'!$I$7:$I$100,2)+SUMIFS('15h'!$J$7:$J$100,'15h'!$H$7:$H$100,$A390,'15h'!$I$7:$I$100,2)+SUMIFS('15i'!$J$7:$J$100,'15i'!$H$7:$H$100,$A390,'15i'!$I$7:$I$100,2)+SUMIFS('15j'!$J$7:$J$100,'15j'!$H$7:$H$100,$A390,'15j'!$I$7:$I$100,2)+SUMIFS('15k'!$J$7:$J$100,'15k'!$H$7:$H$100,$A390,'15k'!$I$7:$I$100,2)+SUMIFS('15l'!$J$7:$J$100,'15l'!$H$7:$H$100,$A390,'15l'!$I$7:$I$100,2)+SUMIFS('15m'!$J$7:$J$100,'15m'!$H$7:$H$100,$A390,'15m'!$I$7:$I$100,2)+SUMIFS('15n'!$J$7:$J$100,'15n'!$H$7:$H$100,$A390,'15n'!$I$7:$I$100,2)+SUMIFS('16'!$J$7:$J$100,'16'!$H$7:$H$100,$A390,'16'!$I$7:$I$100,2)+SUMIFS('16a'!$J$7:$J$100,'16a'!$H$7:$H$100,$A390,'16a'!$I$7:$I$100,2)+SUMIFS('17'!$J$7:$J$100,'17'!$H$7:$H$100,$A390,'17'!$I$7:$I$100,2)+SUMIFS('17a'!$J$7:$J$100,'17a'!$H$7:$H$100,$A390,'17a'!$I$7:$I$100,2)+SUMIFS('18'!$J$7:$J$100,'18'!$H$7:$H$100,$A390,'18'!$I$7:$I$100,2)+SUMIFS('18a'!$J$7:$J$100,'18a'!$H$7:$H$100,$A390,'18a'!$I$7:$I$100,2)
+SUMIFS('19'!$J$7:$J$100,'19'!$H$7:$H$100,$A390,'19'!$I$7:$I$100,2)+SUMIFS('20'!$J$7:$J$100,'20'!$H$7:$H$100,$A390,'20'!$I$7:$I$100,2)+SUMIFS('20a'!$J$7:$J$100,'20a'!$H$7:$H$100,$A390,'20a'!$I$7:$I$100,2)+SUMIFS('21'!$J$7:$J$100,'21'!$H$7:$H$100,$A390,'21'!$I$7:$I$100,2)+SUMIFS('22'!$J$7:$J$100,'22'!$H$7:$H$100,$A390,'22'!$I$7:$I$100,2)+SUMIFS('22a'!$J$7:$J$100,'22a'!$H$7:$H$100,$A390,'22a'!$I$7:$I$100,2)+SUMIFS('22b'!$J$7:$J$100,'22b'!$H$7:$H$100,$A390,'22b'!$I$7:$I$100,2)+SUMIFS('23'!$J$7:$J$100,'23'!$H$7:$H$100,$A390,'23'!$I$7:$I$100,2)+SUMIFS('24'!$J$7:$J$100,'24'!$H$7:$H$100,$A390,'24'!$I$7:$I$100,2)+SUMIFS('24a'!$J$7:$J$100,'24a'!$H$7:$H$100,$A390,'24a'!$I$7:$I$100,2)+SUMIFS('24b'!$J$7:$J$100,'24b'!$H$7:$H$100,$A390,'24b'!$I$7:$I$100,2)+SUMIFS('24c'!$J$7:$J$100,'24c'!$H$7:$H$100,$A390,'24c'!$I$7:$I$100,2)+SUMIFS('24d'!$J$7:$J$100,'24d'!$H$7:$H$100,$A390,'24d'!$I$7:$I$100,2)+SUMIFS('24e'!$J$7:$J$100,'24e'!$H$7:$H$100,$A390,'24e'!$I$7:$I$100,2)+SUMIFS('24f'!$J$7:$J$100,'24f'!$H$7:$H$100,$A390,'24f'!$I$7:$I$100,2)+SUMIFS('24g'!$J$7:$J$100,'24g'!$H$7:$H$100,$A390,'24g'!$I$7:$I$100,2)+SUMIFS('24h'!$J$7:$J$100,'24h'!$H$7:$H$100,$A390,'24h'!$I$7:$I$100,2)+SUMIFS('24i'!$J$7:$J$100,'24i'!$H$7:$H$100,$A390,'24i'!$I$7:$I$100,2)+SUMIFS('25'!$J$7:$J$100,'25'!$H$7:$H$100,$A390,'25'!$I$7:$I$100,2)+SUMIFS('26'!$J$7:$J$100,'26'!$H$7:$H$100,$A390,'26'!$I$7:$I$100,2)+SUMIFS('26a'!$J$7:$J$100,'26a'!$H$7:$H$100,$A390,'26a'!$I$7:$I$100,2)+SUMIFS('27'!$J$7:$J$100,'27'!$H$7:$H$100,$A390,'27'!$I$7:$I$100,2)+SUMIFS('27a'!$J$7:$J$100,'27a'!$H$7:$H$100,$A390,'27a'!$I$7:$I$100,2)+SUMIFS('28'!$J$7:$J$100,'28'!$H$7:$H$100,$A390,'28'!$I$7:$I$100,2)+SUMIFS('29'!$J$7:$J$100,'29'!$H$7:$H$100,$A390,'29'!$I$7:$I$100,2)</f>
        <v>1500</v>
      </c>
      <c r="I391" s="1315">
        <f>SUMIFS('12'!$J$7:$J$100,'12'!$H$7:$H$100,$A390,'12'!$I$7:$I$100,"")+SUMIFS('13'!$J$7:$J$100,'13'!$H$7:$H$100,$A390,'13'!$I$7:$I$100,"")+SUMIFS('14'!$J$7:$J$100,'14'!$H$7:$H$100,$A390,'14'!$I$7:$I$100,"")+SUMIFS('15'!$J$7:$J$100,'15'!$H$7:$H$100,$A390,'15'!$I$7:$I$100,"")+SUMIFS('15a'!$J$7:$J$100,'15a'!$H$7:$H$100,$A390,'15a'!$I$7:$I$100,"")+SUMIFS('15b'!$J$7:$J$100,'15b'!$H$7:$H$100,$A390,'15b'!$I$7:$I$100,"")+SUMIFS('15c'!$J$7:$J$100,'15c'!$H$7:$H$100,$A390,'15c'!$I$7:$I$100,"")+SUMIFS('15d'!$J$7:$J$100,'15d'!$H$7:$H$100,$A390,'15d'!$I$7:$I$100,"")+SUMIFS('15e'!$J$7:$J$100,'15e'!$H$7:$H$100,$A390,'15e'!$I$7:$I$100,"")+SUMIFS('15f'!$J$7:$J$100,'15f'!$H$7:$H$100,$A390,'15f'!$I$7:$I$100,"")+SUMIFS('15g'!$J$7:$J$100,'15g'!$H$7:$H$100,$A390,'15g'!$I$7:$I$100,"")+SUMIFS('15h'!$J$7:$J$100,'15h'!$H$7:$H$100,$A390,'15h'!$I$7:$I$100,"")+SUMIFS('15i'!$J$7:$J$100,'15i'!$H$7:$H$100,$A390,'15i'!$I$7:$I$100,"")+SUMIFS('15j'!$J$7:$J$100,'15j'!$H$7:$H$100,$A390,'15j'!$I$7:$I$100,"")+SUMIFS('15k'!$J$7:$J$100,'15k'!$H$7:$H$100,$A390,'15k'!$I$7:$I$100,"")+SUMIFS('15l'!$J$7:$J$100,'15l'!$H$7:$H$100,$A390,'15l'!$I$7:$I$100,"")+SUMIFS('15m'!$J$7:$J$100,'15m'!$H$7:$H$100,$A390,'15m'!$I$7:$I$100,"")+SUMIFS('15n'!$J$7:$J$100,'15n'!$H$7:$H$100,$A390,'15n'!$I$7:$I$100,"")+SUMIFS('16'!$J$7:$J$100,'16'!$H$7:$H$100,$A390,'16'!$I$7:$I$100,"")+SUMIFS('16a'!$J$7:$J$100,'16a'!$H$7:$H$100,$A390,'16a'!$I$7:$I$100,"")+SUMIFS('17'!$J$7:$J$100,'17'!$H$7:$H$100,$A390,'17'!$I$7:$I$100,"")+SUMIFS('17a'!$J$7:$J$100,'17a'!$H$7:$H$100,$A390,'17a'!$I$7:$I$100,"")+SUMIFS('18'!$J$7:$J$100,'18'!$H$7:$H$100,$A390,'18'!$I$7:$I$100,"")+SUMIFS('18a'!$J$7:$J$100,'18a'!$H$7:$H$100,$A390,'18a'!$I$7:$I$100,"")
+SUMIFS('19'!$J$7:$J$100,'19'!$H$7:$H$100,$A390,'19'!$I$7:$I$100,"")+SUMIFS('20'!$J$7:$J$100,'20'!$H$7:$H$100,$A390,'20'!$I$7:$I$100,"")+SUMIFS('20a'!$J$7:$J$100,'20a'!$H$7:$H$100,$A390,'20a'!$I$7:$I$100,"")+SUMIFS('21'!$J$7:$J$100,'21'!$H$7:$H$100,$A390,'21'!$I$7:$I$100,"")+SUMIFS('22'!$J$7:$J$100,'22'!$H$7:$H$100,$A390,'22'!$I$7:$I$100,"")+SUMIFS('22a'!$J$7:$J$100,'22a'!$H$7:$H$100,$A390,'22a'!$I$7:$I$100,"")+SUMIFS('22b'!$J$7:$J$100,'22b'!$H$7:$H$100,$A390,'22b'!$I$7:$I$100,"")+SUMIFS('23'!$J$7:$J$100,'23'!$H$7:$H$100,$A390,'23'!$I$7:$I$100,"")+SUMIFS('24'!$J$7:$J$100,'24'!$H$7:$H$100,$A390,'24'!$I$7:$I$100,"")+SUMIFS('24a'!$J$7:$J$100,'24a'!$H$7:$H$100,$A390,'24a'!$I$7:$I$100,"")+SUMIFS('24b'!$J$7:$J$100,'24b'!$H$7:$H$100,$A390,'24b'!$I$7:$I$100,"")+SUMIFS('24c'!$J$7:$J$100,'24c'!$H$7:$H$100,$A390,'24c'!$I$7:$I$100,"")+SUMIFS('24d'!$J$7:$J$100,'24d'!$H$7:$H$100,$A390,'24d'!$I$7:$I$100,"")+SUMIFS('24e'!$J$7:$J$100,'24e'!$H$7:$H$100,$A390,'24e'!$I$7:$I$100,"")+SUMIFS('24f'!$J$7:$J$100,'24f'!$H$7:$H$100,$A390,'24f'!$I$7:$I$100,"")+SUMIFS('24g'!$J$7:$J$100,'24g'!$H$7:$H$100,$A390,'24g'!$I$7:$I$100,"")+SUMIFS('24h'!$J$7:$J$100,'24h'!$H$7:$H$100,$A390,'24h'!$I$7:$I$100,"")+SUMIFS('24i'!$J$7:$J$100,'24i'!$H$7:$H$100,$A390,'24i'!$I$7:$I$100,"")+SUMIFS('25'!$J$7:$J$100,'25'!$H$7:$H$100,$A390,'25'!$I$7:$I$100,"")+SUMIFS('26'!$J$7:$J$100,'26'!$H$7:$H$100,$A390,'26'!$I$7:$I$100,"")+SUMIFS('26a'!$J$7:$J$100,'26a'!$H$7:$H$100,$A390,'26a'!$I$7:$I$100,"")+SUMIFS('27'!$J$7:$J$100,'27'!$H$7:$H$100,$A390,'27'!$I$7:$I$100,"")+SUMIFS('27a'!$J$7:$J$100,'27a'!$H$7:$H$100,$A390,'27a'!$I$7:$I$100,"")+SUMIFS('28'!$J$7:$J$100,'28'!$H$7:$H$100,$A390,'28'!$I$7:$I$100,"")+SUMIFS('29'!$J$7:$J$100,'29'!$H$7:$H$100,$A390,'29'!$I$7:$I$100,"")</f>
        <v>0</v>
      </c>
      <c r="J391" s="1296">
        <f t="shared" si="61"/>
        <v>1500</v>
      </c>
      <c r="K391"/>
      <c r="L391"/>
      <c r="M391"/>
      <c r="N391"/>
      <c r="O391"/>
      <c r="P391"/>
      <c r="Q391"/>
      <c r="R391"/>
      <c r="S391" s="1307">
        <f t="shared" si="48"/>
        <v>3000</v>
      </c>
      <c r="T391"/>
    </row>
    <row r="392" spans="1:20" outlineLevel="1" x14ac:dyDescent="0.2">
      <c r="A392" t="s">
        <v>5147</v>
      </c>
      <c r="B392" t="s">
        <v>5409</v>
      </c>
      <c r="C392" s="1295">
        <f>SUMIFS('12'!$N$7:$N$100,'12'!$H$7:$H$100,$A391,'12'!$I$7:$I$100,1)+SUMIFS('13'!$N$7:$N$100,'13'!$H$7:$H$100,$A391,'13'!$I$7:$I$100,1)+SUMIFS('14'!$N$7:$N$100,'14'!$H$7:$H$100,$A391,'14'!$I$7:$I$100,1)+SUMIFS('15'!$N$7:$N$100,'15'!$H$7:$H$100,$A391,'15'!$I$7:$I$100,1)+SUMIFS('15a'!$N$7:$N$100,'15a'!$H$7:$H$100,$A391,'15a'!$I$7:$I$100,1)+SUMIFS('15b'!$N$7:$N$100,'15b'!$H$7:$H$100,$A391,'15b'!$I$7:$I$100,1)+SUMIFS('15c'!$N$7:$N$100,'15c'!$H$7:$H$100,$A391,'15c'!$I$7:$I$100,1)+SUMIFS('15d'!$N$7:$N$100,'15d'!$H$7:$H$100,$A391,'15d'!$I$7:$I$100,1)+SUMIFS('15e'!$N$7:$N$100,'15e'!$H$7:$H$100,$A391,'15e'!$I$7:$I$100,1)+SUMIFS('15f'!$N$7:$N$100,'15f'!$H$7:$H$100,$A391,'15f'!$I$7:$I$100,1)+SUMIFS('15g'!$N$7:$N$100,'15g'!$H$7:$H$100,$A391,'15g'!$I$7:$I$100,1)+SUMIFS('15h'!$N$7:$N$100,'15h'!$H$7:$H$100,$A391,'15h'!$I$7:$I$100,1)+SUMIFS('15i'!$N$7:$N$100,'15i'!$H$7:$H$100,$A391,'15i'!$I$7:$I$100,1)+SUMIFS('15j'!$N$7:$N$100,'15j'!$H$7:$H$100,$A391,'15j'!$I$7:$I$100,1)+SUMIFS('15k'!$N$7:$N$100,'15k'!$H$7:$H$100,$A391,'15k'!$I$7:$I$100,1)+SUMIFS('15l'!$N$7:$N$100,'15l'!$H$7:$H$100,$A391,'15l'!$I$7:$I$100,1)+SUMIFS('15m'!$N$7:$N$100,'15m'!$H$7:$H$100,$A391,'15m'!$I$7:$I$100,1)+SUMIFS('15n'!$N$7:$N$100,'15n'!$H$7:$H$100,$A391,'15n'!$I$7:$I$100,1)+SUMIFS('16'!$N$7:$N$100,'16'!$H$7:$H$100,$A391,'16'!$I$7:$I$100,1)+SUMIFS('16a'!$N$7:$N$100,'16a'!$H$7:$H$100,$A391,'16a'!$I$7:$I$100,1)+SUMIFS('17'!$N$7:$N$100,'17'!$H$7:$H$100,$A391,'17'!$I$7:$I$100,1)+SUMIFS('17a'!$N$7:$N$100,'17a'!$H$7:$H$100,$A391,'17a'!$I$7:$I$100,1)+SUMIFS('18'!$N$7:$N$100,'18'!$H$7:$H$100,$A391,'18'!$I$7:$I$100,1)+SUMIFS('18a'!$N$7:$N$100,'18a'!$H$7:$H$100,$A391,'18a'!$I$7:$I$100,1)
+SUMIFS('19'!$N$7:$N$100,'19'!$H$7:$H$100,$A391,'19'!$I$7:$I$100,1)+SUMIFS('20'!$N$7:$N$100,'20'!$H$7:$H$100,$A391,'20'!$I$7:$I$100,1)+SUMIFS('20a'!$N$7:$N$100,'20a'!$H$7:$H$100,$A391,'20a'!$I$7:$I$100,1)+SUMIFS('21'!$N$7:$N$100,'21'!$H$7:$H$100,$A391,'21'!$I$7:$I$100,1)+SUMIFS('22'!$N$7:$N$100,'22'!$H$7:$H$100,$A391,'22'!$I$7:$I$100,1)+SUMIFS('22a'!$N$7:$N$100,'22a'!$H$7:$H$100,$A391,'22a'!$I$7:$I$100,1)+SUMIFS('22b'!$N$7:$N$100,'22b'!$H$7:$H$100,$A391,'22b'!$I$7:$I$100,1)+SUMIFS('23'!$N$7:$N$100,'23'!$H$7:$H$100,$A391,'23'!$I$7:$I$100,1)+SUMIFS('24'!$N$7:$N$100,'24'!$H$7:$H$100,$A391,'24'!$I$7:$I$100,1)+SUMIFS('24a'!$N$7:$N$100,'24a'!$H$7:$H$100,$A391,'24a'!$I$7:$I$100,1)+SUMIFS('24b'!$N$7:$N$100,'24b'!$H$7:$H$100,$A391,'24b'!$I$7:$I$100,1)+SUMIFS('24c'!$N$7:$N$100,'24c'!$H$7:$H$100,$A391,'24c'!$I$7:$I$100,1)+SUMIFS('24d'!$N$7:$N$100,'24d'!$H$7:$H$100,$A391,'24d'!$I$7:$I$100,1)+SUMIFS('24e'!$N$7:$N$100,'24e'!$H$7:$H$100,$A391,'24e'!$I$7:$I$100,1)+SUMIFS('24f'!$N$7:$N$100,'24f'!$H$7:$H$100,$A391,'24f'!$I$7:$I$100,1)+SUMIFS('24g'!$N$7:$N$100,'24g'!$H$7:$H$100,$A391,'24g'!$I$7:$I$100,1)+SUMIFS('24h'!$N$7:$N$100,'24h'!$H$7:$H$100,$A391,'24h'!$I$7:$I$100,1)+SUMIFS('24i'!$N$7:$N$100,'24i'!$H$7:$H$100,$A391,'24i'!$I$7:$I$100,1)+SUMIFS('25'!$N$7:$N$100,'25'!$H$7:$H$100,$A391,'25'!$I$7:$I$100,1)+SUMIFS('26'!$N$7:$N$100,'26'!$H$7:$H$100,$A391,'26'!$I$7:$I$100,1)+SUMIFS('26a'!$N$7:$N$100,'26a'!$H$7:$H$100,$A391,'26a'!$I$7:$I$100,1)+SUMIFS('27'!$N$7:$N$100,'27'!$H$7:$H$100,$A391,'27'!$I$7:$I$100,1)+SUMIFS('27a'!$N$7:$N$100,'27a'!$H$7:$H$100,$A391,'27a'!$I$7:$I$100,1)+SUMIFS('28'!$N$7:$N$100,'28'!$H$7:$H$100,$A391,'28'!$I$7:$I$100,1)+SUMIFS('29'!$N$7:$N$100,'29'!$H$7:$H$100,$A391,'29'!$I$7:$I$100,1)</f>
        <v>0</v>
      </c>
      <c r="D392" s="1315">
        <f>SUMIFS('12'!$N$7:$N$100,'12'!$H$7:$H$100,$A391,'12'!$I$7:$I$100,2)+SUMIFS('13'!$N$7:$N$100,'13'!$H$7:$H$100,$A391,'13'!$I$7:$I$100,2)+SUMIFS('14'!$N$7:$N$100,'14'!$H$7:$H$100,$A391,'14'!$I$7:$I$100,2)+SUMIFS('15'!$N$7:$N$100,'15'!$H$7:$H$100,$A391,'15'!$I$7:$I$100,2)+SUMIFS('15a'!$N$7:$N$100,'15a'!$H$7:$H$100,$A391,'15a'!$I$7:$I$100,2)+SUMIFS('15b'!$N$7:$N$100,'15b'!$H$7:$H$100,$A391,'15b'!$I$7:$I$100,2)+SUMIFS('15c'!$N$7:$N$100,'15c'!$H$7:$H$100,$A391,'15c'!$I$7:$I$100,2)+SUMIFS('15d'!$N$7:$N$100,'15d'!$H$7:$H$100,$A391,'15d'!$I$7:$I$100,2)+SUMIFS('15e'!$N$7:$N$100,'15e'!$H$7:$H$100,$A391,'15e'!$I$7:$I$100,2)+SUMIFS('15f'!$N$7:$N$100,'15f'!$H$7:$H$100,$A391,'15f'!$I$7:$I$100,2)+SUMIFS('15g'!$N$7:$N$100,'15g'!$H$7:$H$100,$A391,'15g'!$I$7:$I$100,2)+SUMIFS('15h'!$N$7:$N$100,'15h'!$H$7:$H$100,$A391,'15h'!$I$7:$I$100,2)+SUMIFS('15i'!$N$7:$N$100,'15i'!$H$7:$H$100,$A391,'15i'!$I$7:$I$100,2)+SUMIFS('15j'!$N$7:$N$100,'15j'!$H$7:$H$100,$A391,'15j'!$I$7:$I$100,2)+SUMIFS('15k'!$N$7:$N$100,'15k'!$H$7:$H$100,$A391,'15k'!$I$7:$I$100,2)+SUMIFS('15l'!$N$7:$N$100,'15l'!$H$7:$H$100,$A391,'15l'!$I$7:$I$100,2)+SUMIFS('15m'!$N$7:$N$100,'15m'!$H$7:$H$100,$A391,'15m'!$I$7:$I$100,2)+SUMIFS('15n'!$N$7:$N$100,'15n'!$H$7:$H$100,$A391,'15n'!$I$7:$I$100,2)+SUMIFS('16'!$N$7:$N$100,'16'!$H$7:$H$100,$A391,'16'!$I$7:$I$100,2)+SUMIFS('16a'!$N$7:$N$100,'16a'!$H$7:$H$100,$A391,'16a'!$I$7:$I$100,2)+SUMIFS('17'!$N$7:$N$100,'17'!$H$7:$H$100,$A391,'17'!$I$7:$I$100,2)+SUMIFS('17a'!$N$7:$N$100,'17a'!$H$7:$H$100,$A391,'17a'!$I$7:$I$100,2)+SUMIFS('18'!$N$7:$N$100,'18'!$H$7:$H$100,$A391,'18'!$I$7:$I$100,2)+SUMIFS('18a'!$N$7:$N$100,'18a'!$H$7:$H$100,$A391,'18a'!$I$7:$I$100,2)
+SUMIFS('19'!$N$7:$N$100,'19'!$H$7:$H$100,$A391,'19'!$I$7:$I$100,2)+SUMIFS('20'!$N$7:$N$100,'20'!$H$7:$H$100,$A391,'20'!$I$7:$I$100,2)+SUMIFS('20a'!$N$7:$N$100,'20a'!$H$7:$H$100,$A391,'20a'!$I$7:$I$100,2)+SUMIFS('21'!$N$7:$N$100,'21'!$H$7:$H$100,$A391,'21'!$I$7:$I$100,2)+SUMIFS('22'!$N$7:$N$100,'22'!$H$7:$H$100,$A391,'22'!$I$7:$I$100,2)+SUMIFS('22a'!$N$7:$N$100,'22a'!$H$7:$H$100,$A391,'22a'!$I$7:$I$100,2)+SUMIFS('22b'!$N$7:$N$100,'22b'!$H$7:$H$100,$A391,'22b'!$I$7:$I$100,2)+SUMIFS('23'!$N$7:$N$100,'23'!$H$7:$H$100,$A391,'23'!$I$7:$I$100,2)+SUMIFS('24'!$N$7:$N$100,'24'!$H$7:$H$100,$A391,'24'!$I$7:$I$100,2)+SUMIFS('24a'!$N$7:$N$100,'24a'!$H$7:$H$100,$A391,'24a'!$I$7:$I$100,2)+SUMIFS('24b'!$N$7:$N$100,'24b'!$H$7:$H$100,$A391,'24b'!$I$7:$I$100,2)+SUMIFS('24c'!$N$7:$N$100,'24c'!$H$7:$H$100,$A391,'24c'!$I$7:$I$100,2)+SUMIFS('24d'!$N$7:$N$100,'24d'!$H$7:$H$100,$A391,'24d'!$I$7:$I$100,2)+SUMIFS('24e'!$N$7:$N$100,'24e'!$H$7:$H$100,$A391,'24e'!$I$7:$I$100,2)+SUMIFS('24f'!$N$7:$N$100,'24f'!$H$7:$H$100,$A391,'24f'!$I$7:$I$100,2)+SUMIFS('24g'!$N$7:$N$100,'24g'!$H$7:$H$100,$A391,'24g'!$I$7:$I$100,2)+SUMIFS('24h'!$N$7:$N$100,'24h'!$H$7:$H$100,$A391,'24h'!$I$7:$I$100,2)+SUMIFS('24i'!$N$7:$N$100,'24i'!$H$7:$H$100,$A391,'24i'!$I$7:$I$100,2)+SUMIFS('25'!$N$7:$N$100,'25'!$H$7:$H$100,$A391,'25'!$I$7:$I$100,2)+SUMIFS('26'!$N$7:$N$100,'26'!$H$7:$H$100,$A391,'26'!$I$7:$I$100,2)+SUMIFS('26a'!$N$7:$N$100,'26a'!$H$7:$H$100,$A391,'26a'!$I$7:$I$100,2)+SUMIFS('27'!$N$7:$N$100,'27'!$H$7:$H$100,$A391,'27'!$I$7:$I$100,2)+SUMIFS('27a'!$N$7:$N$100,'27a'!$H$7:$H$100,$A391,'27a'!$I$7:$I$100,2)+SUMIFS('28'!$N$7:$N$100,'28'!$H$7:$H$100,$A391,'28'!$I$7:$I$100,2)+SUMIFS('29'!$N$7:$N$100,'29'!$H$7:$H$100,$A391,'29'!$I$7:$I$100,2)</f>
        <v>0</v>
      </c>
      <c r="E392" s="1315">
        <f>SUMIFS('12'!$N$7:$N$100,'12'!$H$7:$H$100,$A391,'12'!$I$7:$I$100,"")+SUMIFS('13'!$N$7:$N$100,'13'!$H$7:$H$100,$A391,'13'!$I$7:$I$100,"")+SUMIFS('14'!$N$7:$N$100,'14'!$H$7:$H$100,$A391,'14'!$I$7:$I$100,"")+SUMIFS('15'!$N$7:$N$100,'15'!$H$7:$H$100,$A391,'15'!$I$7:$I$100,"")+SUMIFS('15a'!$N$7:$N$100,'15a'!$H$7:$H$100,$A391,'15a'!$I$7:$I$100,"")+SUMIFS('15b'!$N$7:$N$100,'15b'!$H$7:$H$100,$A391,'15b'!$I$7:$I$100,"")+SUMIFS('15c'!$N$7:$N$100,'15c'!$H$7:$H$100,$A391,'15c'!$I$7:$I$100,"")+SUMIFS('15d'!$N$7:$N$100,'15d'!$H$7:$H$100,$A391,'15d'!$I$7:$I$100,"")+SUMIFS('15e'!$N$7:$N$100,'15e'!$H$7:$H$100,$A391,'15e'!$I$7:$I$100,"")+SUMIFS('15f'!$N$7:$N$100,'15f'!$H$7:$H$100,$A391,'15f'!$I$7:$I$100,"")+SUMIFS('15g'!$N$7:$N$100,'15g'!$H$7:$H$100,$A391,'15g'!$I$7:$I$100,"")+SUMIFS('15h'!$N$7:$N$100,'15h'!$H$7:$H$100,$A391,'15h'!$I$7:$I$100,"")+SUMIFS('15i'!$N$7:$N$100,'15i'!$H$7:$H$100,$A391,'15i'!$I$7:$I$100,"")+SUMIFS('15j'!$N$7:$N$100,'15j'!$H$7:$H$100,$A391,'15j'!$I$7:$I$100,"")+SUMIFS('15k'!$N$7:$N$100,'15k'!$H$7:$H$100,$A391,'15k'!$I$7:$I$100,"")+SUMIFS('15l'!$N$7:$N$100,'15l'!$H$7:$H$100,$A391,'15l'!$I$7:$I$100,"")+SUMIFS('15m'!$N$7:$N$100,'15m'!$H$7:$H$100,$A391,'15m'!$I$7:$I$100,"")+SUMIFS('15n'!$N$7:$N$100,'15n'!$H$7:$H$100,$A391,'15n'!$I$7:$I$100,"")+SUMIFS('16'!$N$7:$N$100,'16'!$H$7:$H$100,$A391,'16'!$I$7:$I$100,"")+SUMIFS('16a'!$N$7:$N$100,'16a'!$H$7:$H$100,$A391,'16a'!$I$7:$I$100,"")+SUMIFS('17'!$N$7:$N$100,'17'!$H$7:$H$100,$A391,'17'!$I$7:$I$100,"")+SUMIFS('17a'!$N$7:$N$100,'17a'!$H$7:$H$100,$A391,'17a'!$I$7:$I$100,"")+SUMIFS('18'!$N$7:$N$100,'18'!$H$7:$H$100,$A391,'18'!$I$7:$I$100,"")+SUMIFS('18a'!$N$7:$N$100,'18a'!$H$7:$H$100,$A391,'18a'!$I$7:$I$100,"")
+SUMIFS('19'!$N$7:$N$100,'19'!$H$7:$H$100,$A391,'19'!$I$7:$I$100,"")+SUMIFS('20'!$N$7:$N$100,'20'!$H$7:$H$100,$A391,'20'!$I$7:$I$100,"")+SUMIFS('20a'!$N$7:$N$100,'20a'!$H$7:$H$100,$A391,'20a'!$I$7:$I$100,"")+SUMIFS('21'!$N$7:$N$100,'21'!$H$7:$H$100,$A391,'21'!$I$7:$I$100,"")+SUMIFS('22'!$N$7:$N$100,'22'!$H$7:$H$100,$A391,'22'!$I$7:$I$100,"")+SUMIFS('22a'!$N$7:$N$100,'22a'!$H$7:$H$100,$A391,'22a'!$I$7:$I$100,"")+SUMIFS('22b'!$N$7:$N$100,'22b'!$H$7:$H$100,$A391,'22b'!$I$7:$I$100,"")+SUMIFS('23'!$N$7:$N$100,'23'!$H$7:$H$100,$A391,'23'!$I$7:$I$100,"")+SUMIFS('24'!$N$7:$N$100,'24'!$H$7:$H$100,$A391,'24'!$I$7:$I$100,"")+SUMIFS('24a'!$N$7:$N$100,'24a'!$H$7:$H$100,$A391,'24a'!$I$7:$I$100,"")+SUMIFS('24b'!$N$7:$N$100,'24b'!$H$7:$H$100,$A391,'24b'!$I$7:$I$100,"")+SUMIFS('24c'!$N$7:$N$100,'24c'!$H$7:$H$100,$A391,'24c'!$I$7:$I$100,"")+SUMIFS('24d'!$N$7:$N$100,'24d'!$H$7:$H$100,$A391,'24d'!$I$7:$I$100,"")+SUMIFS('24e'!$N$7:$N$100,'24e'!$H$7:$H$100,$A391,'24e'!$I$7:$I$100,"")+SUMIFS('24f'!$N$7:$N$100,'24f'!$H$7:$H$100,$A391,'24f'!$I$7:$I$100,"")+SUMIFS('24g'!$N$7:$N$100,'24g'!$H$7:$H$100,$A391,'24g'!$I$7:$I$100,"")+SUMIFS('24h'!$N$7:$N$100,'24h'!$H$7:$H$100,$A391,'24h'!$I$7:$I$100,"")+SUMIFS('24i'!$N$7:$N$100,'24i'!$H$7:$H$100,$A391,'24i'!$I$7:$I$100,"")+SUMIFS('25'!$N$7:$N$100,'25'!$H$7:$H$100,$A391,'25'!$I$7:$I$100,"")+SUMIFS('26'!$N$7:$N$100,'26'!$H$7:$H$100,$A391,'26'!$I$7:$I$100,"")+SUMIFS('26a'!$N$7:$N$100,'26a'!$H$7:$H$100,$A391,'26a'!$I$7:$I$100,"")+SUMIFS('27'!$N$7:$N$100,'27'!$H$7:$H$100,$A391,'27'!$I$7:$I$100,"")+SUMIFS('27a'!$N$7:$N$100,'27a'!$H$7:$H$100,$A391,'27a'!$I$7:$I$100,"")+SUMIFS('28'!$N$7:$N$100,'28'!$H$7:$H$100,$A391,'28'!$I$7:$I$100,"")+SUMIFS('29'!$N$7:$N$100,'29'!$H$7:$H$100,$A391,'29'!$I$7:$I$100,"")</f>
        <v>0</v>
      </c>
      <c r="F392" s="1296">
        <f t="shared" si="60"/>
        <v>0</v>
      </c>
      <c r="G392" s="1295">
        <f>SUMIFS('12'!$J$7:$J$100,'12'!$H$7:$H$100,$A391,'12'!$I$7:$I$100,1)+SUMIFS('13'!$J$7:$J$100,'13'!$H$7:$H$100,$A391,'13'!$I$7:$I$100,1)+SUMIFS('14'!$J$7:$J$100,'14'!$H$7:$H$100,$A391,'14'!$I$7:$I$100,1)+SUMIFS('15'!$J$7:$J$100,'15'!$H$7:$H$100,$A391,'15'!$I$7:$I$100,1)+SUMIFS('15a'!$J$7:$J$100,'15a'!$H$7:$H$100,$A391,'15a'!$I$7:$I$100,1)+SUMIFS('15b'!$J$7:$J$100,'15b'!$H$7:$H$100,$A391,'15b'!$I$7:$I$100,1)+SUMIFS('15c'!$J$7:$J$100,'15c'!$H$7:$H$100,$A391,'15c'!$I$7:$I$100,1)+SUMIFS('15d'!$J$7:$J$100,'15d'!$H$7:$H$100,$A391,'15d'!$I$7:$I$100,1)+SUMIFS('15e'!$J$7:$J$100,'15e'!$H$7:$H$100,$A391,'15e'!$I$7:$I$100,1)+SUMIFS('15f'!$J$7:$J$100,'15f'!$H$7:$H$100,$A391,'15f'!$I$7:$I$100,1)+SUMIFS('15g'!$J$7:$J$100,'15g'!$H$7:$H$100,$A391,'15g'!$I$7:$I$100,1)+SUMIFS('15h'!$J$7:$J$100,'15h'!$H$7:$H$100,$A391,'15h'!$I$7:$I$100,1)+SUMIFS('15i'!$J$7:$J$100,'15i'!$H$7:$H$100,$A391,'15i'!$I$7:$I$100,1)+SUMIFS('15j'!$J$7:$J$100,'15j'!$H$7:$H$100,$A391,'15j'!$I$7:$I$100,1)+SUMIFS('15k'!$J$7:$J$100,'15k'!$H$7:$H$100,$A391,'15k'!$I$7:$I$100,1)+SUMIFS('15l'!$J$7:$J$100,'15l'!$H$7:$H$100,$A391,'15l'!$I$7:$I$100,1)+SUMIFS('15m'!$J$7:$J$100,'15m'!$H$7:$H$100,$A391,'15m'!$I$7:$I$100,1)+SUMIFS('15n'!$J$7:$J$100,'15n'!$H$7:$H$100,$A391,'15n'!$I$7:$I$100,1)+SUMIFS('16'!$J$7:$J$100,'16'!$H$7:$H$100,$A391,'16'!$I$7:$I$100,1)+SUMIFS('16a'!$J$7:$J$100,'16a'!$H$7:$H$100,$A391,'16a'!$I$7:$I$100,1)+SUMIFS('17'!$J$7:$J$100,'17'!$H$7:$H$100,$A391,'17'!$I$7:$I$100,1)+SUMIFS('17a'!$J$7:$J$100,'17a'!$H$7:$H$100,$A391,'17a'!$I$7:$I$100,1)+SUMIFS('18'!$J$7:$J$100,'18'!$H$7:$H$100,$A391,'18'!$I$7:$I$100,1)+SUMIFS('18a'!$J$7:$J$100,'18a'!$H$7:$H$100,$A391,'18a'!$I$7:$I$100,1)
+SUMIFS('19'!$J$7:$J$100,'19'!$H$7:$H$100,$A391,'19'!$I$7:$I$100,1)+SUMIFS('20'!$J$7:$J$100,'20'!$H$7:$H$100,$A391,'20'!$I$7:$I$100,1)+SUMIFS('20a'!$J$7:$J$100,'20a'!$H$7:$H$100,$A391,'20a'!$I$7:$I$100,1)+SUMIFS('21'!$J$7:$J$100,'21'!$H$7:$H$100,$A391,'21'!$I$7:$I$100,1)+SUMIFS('22'!$J$7:$J$100,'22'!$H$7:$H$100,$A391,'22'!$I$7:$I$100,1)+SUMIFS('22a'!$J$7:$J$100,'22a'!$H$7:$H$100,$A391,'22a'!$I$7:$I$100,1)+SUMIFS('22b'!$J$7:$J$100,'22b'!$H$7:$H$100,$A391,'22b'!$I$7:$I$100,1)+SUMIFS('23'!$J$7:$J$100,'23'!$H$7:$H$100,$A391,'23'!$I$7:$I$100,1)+SUMIFS('24'!$J$7:$J$100,'24'!$H$7:$H$100,$A391,'24'!$I$7:$I$100,1)+SUMIFS('24a'!$J$7:$J$100,'24a'!$H$7:$H$100,$A391,'24a'!$I$7:$I$100,1)+SUMIFS('24b'!$J$7:$J$100,'24b'!$H$7:$H$100,$A391,'24b'!$I$7:$I$100,1)+SUMIFS('24c'!$J$7:$J$100,'24c'!$H$7:$H$100,$A391,'24c'!$I$7:$I$100,1)+SUMIFS('24d'!$J$7:$J$100,'24d'!$H$7:$H$100,$A391,'24d'!$I$7:$I$100,1)+SUMIFS('24e'!$J$7:$J$100,'24e'!$H$7:$H$100,$A391,'24e'!$I$7:$I$100,1)+SUMIFS('24f'!$J$7:$J$100,'24f'!$H$7:$H$100,$A391,'24f'!$I$7:$I$100,1)+SUMIFS('24g'!$J$7:$J$100,'24g'!$H$7:$H$100,$A391,'24g'!$I$7:$I$100,1)+SUMIFS('24h'!$J$7:$J$100,'24h'!$H$7:$H$100,$A391,'24h'!$I$7:$I$100,1)+SUMIFS('24i'!$J$7:$J$100,'24i'!$H$7:$H$100,$A391,'24i'!$I$7:$I$100,1)+SUMIFS('25'!$J$7:$J$100,'25'!$H$7:$H$100,$A391,'25'!$I$7:$I$100,1)+SUMIFS('26'!$J$7:$J$100,'26'!$H$7:$H$100,$A391,'26'!$I$7:$I$100,1)+SUMIFS('26a'!$J$7:$J$100,'26a'!$H$7:$H$100,$A391,'26a'!$I$7:$I$100,1)+SUMIFS('27'!$J$7:$J$100,'27'!$H$7:$H$100,$A391,'27'!$I$7:$I$100,1)+SUMIFS('27a'!$J$7:$J$100,'27a'!$H$7:$H$100,$A391,'27a'!$I$7:$I$100,1)+SUMIFS('28'!$J$7:$J$100,'28'!$H$7:$H$100,$A391,'28'!$I$7:$I$100,1)+SUMIFS('29'!$J$7:$J$100,'29'!$H$7:$H$100,$A391,'29'!$I$7:$I$100,1)</f>
        <v>0</v>
      </c>
      <c r="H392" s="1315">
        <f>SUMIFS('12'!$J$7:$J$100,'12'!$H$7:$H$100,$A391,'12'!$I$7:$I$100,2)+SUMIFS('13'!$J$7:$J$100,'13'!$H$7:$H$100,$A391,'13'!$I$7:$I$100,2)+SUMIFS('14'!$J$7:$J$100,'14'!$H$7:$H$100,$A391,'14'!$I$7:$I$100,2)+SUMIFS('15'!$J$7:$J$100,'15'!$H$7:$H$100,$A391,'15'!$I$7:$I$100,2)+SUMIFS('15a'!$J$7:$J$100,'15a'!$H$7:$H$100,$A391,'15a'!$I$7:$I$100,2)+SUMIFS('15b'!$J$7:$J$100,'15b'!$H$7:$H$100,$A391,'15b'!$I$7:$I$100,2)+SUMIFS('15c'!$J$7:$J$100,'15c'!$H$7:$H$100,$A391,'15c'!$I$7:$I$100,2)+SUMIFS('15d'!$J$7:$J$100,'15d'!$H$7:$H$100,$A391,'15d'!$I$7:$I$100,2)+SUMIFS('15e'!$J$7:$J$100,'15e'!$H$7:$H$100,$A391,'15e'!$I$7:$I$100,2)+SUMIFS('15f'!$J$7:$J$100,'15f'!$H$7:$H$100,$A391,'15f'!$I$7:$I$100,2)+SUMIFS('15g'!$J$7:$J$100,'15g'!$H$7:$H$100,$A391,'15g'!$I$7:$I$100,2)+SUMIFS('15h'!$J$7:$J$100,'15h'!$H$7:$H$100,$A391,'15h'!$I$7:$I$100,2)+SUMIFS('15i'!$J$7:$J$100,'15i'!$H$7:$H$100,$A391,'15i'!$I$7:$I$100,2)+SUMIFS('15j'!$J$7:$J$100,'15j'!$H$7:$H$100,$A391,'15j'!$I$7:$I$100,2)+SUMIFS('15k'!$J$7:$J$100,'15k'!$H$7:$H$100,$A391,'15k'!$I$7:$I$100,2)+SUMIFS('15l'!$J$7:$J$100,'15l'!$H$7:$H$100,$A391,'15l'!$I$7:$I$100,2)+SUMIFS('15m'!$J$7:$J$100,'15m'!$H$7:$H$100,$A391,'15m'!$I$7:$I$100,2)+SUMIFS('15n'!$J$7:$J$100,'15n'!$H$7:$H$100,$A391,'15n'!$I$7:$I$100,2)+SUMIFS('16'!$J$7:$J$100,'16'!$H$7:$H$100,$A391,'16'!$I$7:$I$100,2)+SUMIFS('16a'!$J$7:$J$100,'16a'!$H$7:$H$100,$A391,'16a'!$I$7:$I$100,2)+SUMIFS('17'!$J$7:$J$100,'17'!$H$7:$H$100,$A391,'17'!$I$7:$I$100,2)+SUMIFS('17a'!$J$7:$J$100,'17a'!$H$7:$H$100,$A391,'17a'!$I$7:$I$100,2)+SUMIFS('18'!$J$7:$J$100,'18'!$H$7:$H$100,$A391,'18'!$I$7:$I$100,2)+SUMIFS('18a'!$J$7:$J$100,'18a'!$H$7:$H$100,$A391,'18a'!$I$7:$I$100,2)
+SUMIFS('19'!$J$7:$J$100,'19'!$H$7:$H$100,$A391,'19'!$I$7:$I$100,2)+SUMIFS('20'!$J$7:$J$100,'20'!$H$7:$H$100,$A391,'20'!$I$7:$I$100,2)+SUMIFS('20a'!$J$7:$J$100,'20a'!$H$7:$H$100,$A391,'20a'!$I$7:$I$100,2)+SUMIFS('21'!$J$7:$J$100,'21'!$H$7:$H$100,$A391,'21'!$I$7:$I$100,2)+SUMIFS('22'!$J$7:$J$100,'22'!$H$7:$H$100,$A391,'22'!$I$7:$I$100,2)+SUMIFS('22a'!$J$7:$J$100,'22a'!$H$7:$H$100,$A391,'22a'!$I$7:$I$100,2)+SUMIFS('22b'!$J$7:$J$100,'22b'!$H$7:$H$100,$A391,'22b'!$I$7:$I$100,2)+SUMIFS('23'!$J$7:$J$100,'23'!$H$7:$H$100,$A391,'23'!$I$7:$I$100,2)+SUMIFS('24'!$J$7:$J$100,'24'!$H$7:$H$100,$A391,'24'!$I$7:$I$100,2)+SUMIFS('24a'!$J$7:$J$100,'24a'!$H$7:$H$100,$A391,'24a'!$I$7:$I$100,2)+SUMIFS('24b'!$J$7:$J$100,'24b'!$H$7:$H$100,$A391,'24b'!$I$7:$I$100,2)+SUMIFS('24c'!$J$7:$J$100,'24c'!$H$7:$H$100,$A391,'24c'!$I$7:$I$100,2)+SUMIFS('24d'!$J$7:$J$100,'24d'!$H$7:$H$100,$A391,'24d'!$I$7:$I$100,2)+SUMIFS('24e'!$J$7:$J$100,'24e'!$H$7:$H$100,$A391,'24e'!$I$7:$I$100,2)+SUMIFS('24f'!$J$7:$J$100,'24f'!$H$7:$H$100,$A391,'24f'!$I$7:$I$100,2)+SUMIFS('24g'!$J$7:$J$100,'24g'!$H$7:$H$100,$A391,'24g'!$I$7:$I$100,2)+SUMIFS('24h'!$J$7:$J$100,'24h'!$H$7:$H$100,$A391,'24h'!$I$7:$I$100,2)+SUMIFS('24i'!$J$7:$J$100,'24i'!$H$7:$H$100,$A391,'24i'!$I$7:$I$100,2)+SUMIFS('25'!$J$7:$J$100,'25'!$H$7:$H$100,$A391,'25'!$I$7:$I$100,2)+SUMIFS('26'!$J$7:$J$100,'26'!$H$7:$H$100,$A391,'26'!$I$7:$I$100,2)+SUMIFS('26a'!$J$7:$J$100,'26a'!$H$7:$H$100,$A391,'26a'!$I$7:$I$100,2)+SUMIFS('27'!$J$7:$J$100,'27'!$H$7:$H$100,$A391,'27'!$I$7:$I$100,2)+SUMIFS('27a'!$J$7:$J$100,'27a'!$H$7:$H$100,$A391,'27a'!$I$7:$I$100,2)+SUMIFS('28'!$J$7:$J$100,'28'!$H$7:$H$100,$A391,'28'!$I$7:$I$100,2)+SUMIFS('29'!$J$7:$J$100,'29'!$H$7:$H$100,$A391,'29'!$I$7:$I$100,2)</f>
        <v>0</v>
      </c>
      <c r="I392" s="1315">
        <f>SUMIFS('12'!$J$7:$J$100,'12'!$H$7:$H$100,$A391,'12'!$I$7:$I$100,"")+SUMIFS('13'!$J$7:$J$100,'13'!$H$7:$H$100,$A391,'13'!$I$7:$I$100,"")+SUMIFS('14'!$J$7:$J$100,'14'!$H$7:$H$100,$A391,'14'!$I$7:$I$100,"")+SUMIFS('15'!$J$7:$J$100,'15'!$H$7:$H$100,$A391,'15'!$I$7:$I$100,"")+SUMIFS('15a'!$J$7:$J$100,'15a'!$H$7:$H$100,$A391,'15a'!$I$7:$I$100,"")+SUMIFS('15b'!$J$7:$J$100,'15b'!$H$7:$H$100,$A391,'15b'!$I$7:$I$100,"")+SUMIFS('15c'!$J$7:$J$100,'15c'!$H$7:$H$100,$A391,'15c'!$I$7:$I$100,"")+SUMIFS('15d'!$J$7:$J$100,'15d'!$H$7:$H$100,$A391,'15d'!$I$7:$I$100,"")+SUMIFS('15e'!$J$7:$J$100,'15e'!$H$7:$H$100,$A391,'15e'!$I$7:$I$100,"")+SUMIFS('15f'!$J$7:$J$100,'15f'!$H$7:$H$100,$A391,'15f'!$I$7:$I$100,"")+SUMIFS('15g'!$J$7:$J$100,'15g'!$H$7:$H$100,$A391,'15g'!$I$7:$I$100,"")+SUMIFS('15h'!$J$7:$J$100,'15h'!$H$7:$H$100,$A391,'15h'!$I$7:$I$100,"")+SUMIFS('15i'!$J$7:$J$100,'15i'!$H$7:$H$100,$A391,'15i'!$I$7:$I$100,"")+SUMIFS('15j'!$J$7:$J$100,'15j'!$H$7:$H$100,$A391,'15j'!$I$7:$I$100,"")+SUMIFS('15k'!$J$7:$J$100,'15k'!$H$7:$H$100,$A391,'15k'!$I$7:$I$100,"")+SUMIFS('15l'!$J$7:$J$100,'15l'!$H$7:$H$100,$A391,'15l'!$I$7:$I$100,"")+SUMIFS('15m'!$J$7:$J$100,'15m'!$H$7:$H$100,$A391,'15m'!$I$7:$I$100,"")+SUMIFS('15n'!$J$7:$J$100,'15n'!$H$7:$H$100,$A391,'15n'!$I$7:$I$100,"")+SUMIFS('16'!$J$7:$J$100,'16'!$H$7:$H$100,$A391,'16'!$I$7:$I$100,"")+SUMIFS('16a'!$J$7:$J$100,'16a'!$H$7:$H$100,$A391,'16a'!$I$7:$I$100,"")+SUMIFS('17'!$J$7:$J$100,'17'!$H$7:$H$100,$A391,'17'!$I$7:$I$100,"")+SUMIFS('17a'!$J$7:$J$100,'17a'!$H$7:$H$100,$A391,'17a'!$I$7:$I$100,"")+SUMIFS('18'!$J$7:$J$100,'18'!$H$7:$H$100,$A391,'18'!$I$7:$I$100,"")+SUMIFS('18a'!$J$7:$J$100,'18a'!$H$7:$H$100,$A391,'18a'!$I$7:$I$100,"")
+SUMIFS('19'!$J$7:$J$100,'19'!$H$7:$H$100,$A391,'19'!$I$7:$I$100,"")+SUMIFS('20'!$J$7:$J$100,'20'!$H$7:$H$100,$A391,'20'!$I$7:$I$100,"")+SUMIFS('20a'!$J$7:$J$100,'20a'!$H$7:$H$100,$A391,'20a'!$I$7:$I$100,"")+SUMIFS('21'!$J$7:$J$100,'21'!$H$7:$H$100,$A391,'21'!$I$7:$I$100,"")+SUMIFS('22'!$J$7:$J$100,'22'!$H$7:$H$100,$A391,'22'!$I$7:$I$100,"")+SUMIFS('22a'!$J$7:$J$100,'22a'!$H$7:$H$100,$A391,'22a'!$I$7:$I$100,"")+SUMIFS('22b'!$J$7:$J$100,'22b'!$H$7:$H$100,$A391,'22b'!$I$7:$I$100,"")+SUMIFS('23'!$J$7:$J$100,'23'!$H$7:$H$100,$A391,'23'!$I$7:$I$100,"")+SUMIFS('24'!$J$7:$J$100,'24'!$H$7:$H$100,$A391,'24'!$I$7:$I$100,"")+SUMIFS('24a'!$J$7:$J$100,'24a'!$H$7:$H$100,$A391,'24a'!$I$7:$I$100,"")+SUMIFS('24b'!$J$7:$J$100,'24b'!$H$7:$H$100,$A391,'24b'!$I$7:$I$100,"")+SUMIFS('24c'!$J$7:$J$100,'24c'!$H$7:$H$100,$A391,'24c'!$I$7:$I$100,"")+SUMIFS('24d'!$J$7:$J$100,'24d'!$H$7:$H$100,$A391,'24d'!$I$7:$I$100,"")+SUMIFS('24e'!$J$7:$J$100,'24e'!$H$7:$H$100,$A391,'24e'!$I$7:$I$100,"")+SUMIFS('24f'!$J$7:$J$100,'24f'!$H$7:$H$100,$A391,'24f'!$I$7:$I$100,"")+SUMIFS('24g'!$J$7:$J$100,'24g'!$H$7:$H$100,$A391,'24g'!$I$7:$I$100,"")+SUMIFS('24h'!$J$7:$J$100,'24h'!$H$7:$H$100,$A391,'24h'!$I$7:$I$100,"")+SUMIFS('24i'!$J$7:$J$100,'24i'!$H$7:$H$100,$A391,'24i'!$I$7:$I$100,"")+SUMIFS('25'!$J$7:$J$100,'25'!$H$7:$H$100,$A391,'25'!$I$7:$I$100,"")+SUMIFS('26'!$J$7:$J$100,'26'!$H$7:$H$100,$A391,'26'!$I$7:$I$100,"")+SUMIFS('26a'!$J$7:$J$100,'26a'!$H$7:$H$100,$A391,'26a'!$I$7:$I$100,"")+SUMIFS('27'!$J$7:$J$100,'27'!$H$7:$H$100,$A391,'27'!$I$7:$I$100,"")+SUMIFS('27a'!$J$7:$J$100,'27a'!$H$7:$H$100,$A391,'27a'!$I$7:$I$100,"")+SUMIFS('28'!$J$7:$J$100,'28'!$H$7:$H$100,$A391,'28'!$I$7:$I$100,"")+SUMIFS('29'!$J$7:$J$100,'29'!$H$7:$H$100,$A391,'29'!$I$7:$I$100,"")</f>
        <v>0</v>
      </c>
      <c r="J392" s="1296">
        <f t="shared" si="61"/>
        <v>0</v>
      </c>
      <c r="K392"/>
      <c r="L392"/>
      <c r="M392"/>
      <c r="N392"/>
      <c r="O392"/>
      <c r="P392"/>
      <c r="Q392"/>
      <c r="R392"/>
      <c r="S392" s="1307">
        <f t="shared" si="48"/>
        <v>0</v>
      </c>
      <c r="T392"/>
    </row>
    <row r="393" spans="1:20" x14ac:dyDescent="0.2">
      <c r="A393"/>
      <c r="B393" s="1289" t="str">
        <f>"Total- "&amp;A367</f>
        <v>Total- Shared Services</v>
      </c>
      <c r="C393" s="1297">
        <f>SUM(C368:C385)</f>
        <v>0</v>
      </c>
      <c r="D393" s="1290">
        <f>SUM(D368:D385)</f>
        <v>34663.670000000006</v>
      </c>
      <c r="E393" s="1290">
        <f t="shared" ref="E393:J393" si="62">SUM(E368:E385)</f>
        <v>0</v>
      </c>
      <c r="F393" s="1298">
        <f t="shared" si="62"/>
        <v>34663.670000000006</v>
      </c>
      <c r="G393" s="1297">
        <f t="shared" si="62"/>
        <v>0</v>
      </c>
      <c r="H393" s="1290">
        <f>SUM(H368:H385)</f>
        <v>42850</v>
      </c>
      <c r="I393" s="1290">
        <f t="shared" si="62"/>
        <v>0</v>
      </c>
      <c r="J393" s="1298">
        <f t="shared" si="62"/>
        <v>42850</v>
      </c>
      <c r="K393"/>
      <c r="L393"/>
      <c r="M393"/>
      <c r="N393"/>
      <c r="O393"/>
      <c r="P393"/>
      <c r="Q393"/>
      <c r="R393"/>
      <c r="S393" s="1307"/>
      <c r="T393"/>
    </row>
    <row r="394" spans="1:20" x14ac:dyDescent="0.2">
      <c r="A394"/>
      <c r="B394"/>
      <c r="C394" s="292"/>
      <c r="D394"/>
      <c r="E394"/>
      <c r="F394" s="345"/>
      <c r="G394" s="292"/>
      <c r="H394"/>
      <c r="I394"/>
      <c r="J394" s="345"/>
      <c r="K394"/>
      <c r="L394"/>
      <c r="M394"/>
      <c r="N394"/>
      <c r="O394"/>
      <c r="P394"/>
      <c r="Q394"/>
      <c r="R394"/>
      <c r="S394" s="1307"/>
      <c r="T394"/>
    </row>
    <row r="395" spans="1:20" x14ac:dyDescent="0.2">
      <c r="A395" s="106" t="s">
        <v>5452</v>
      </c>
      <c r="B395" s="5"/>
      <c r="C395" s="1299"/>
      <c r="D395" s="523"/>
      <c r="E395" s="5"/>
      <c r="F395" s="1322"/>
      <c r="G395" s="1321"/>
      <c r="H395" s="5"/>
      <c r="I395" s="5"/>
      <c r="J395" s="1322"/>
      <c r="K395"/>
      <c r="L395"/>
      <c r="M395"/>
      <c r="N395"/>
      <c r="O395"/>
      <c r="P395"/>
      <c r="Q395"/>
      <c r="R395"/>
      <c r="S395" s="1307"/>
      <c r="T395"/>
    </row>
    <row r="396" spans="1:20" x14ac:dyDescent="0.2">
      <c r="A396" t="s">
        <v>5126</v>
      </c>
      <c r="B396" s="784" t="s">
        <v>5589</v>
      </c>
      <c r="C396" s="1295">
        <f>SUMIFS('12'!$N$7:$N$100,'12'!$H$7:$H$100,$A396,'12'!$I$7:$I$100,1)+SUMIFS('13'!$N$7:$N$100,'13'!$H$7:$H$100,$A396,'13'!$I$7:$I$100,1)+SUMIFS('14'!$N$7:$N$100,'14'!$H$7:$H$100,$A396,'14'!$I$7:$I$100,1)+SUMIFS('15'!$N$7:$N$100,'15'!$H$7:$H$100,$A396,'15'!$I$7:$I$100,1)+SUMIFS('15a'!$N$7:$N$100,'15a'!$H$7:$H$100,$A396,'15a'!$I$7:$I$100,1)+SUMIFS('15b'!$N$7:$N$100,'15b'!$H$7:$H$100,$A396,'15b'!$I$7:$I$100,1)+SUMIFS('15c'!$N$7:$N$100,'15c'!$H$7:$H$100,$A396,'15c'!$I$7:$I$100,1)+SUMIFS('15d'!$N$7:$N$100,'15d'!$H$7:$H$100,$A396,'15d'!$I$7:$I$100,1)+SUMIFS('15e'!$N$7:$N$100,'15e'!$H$7:$H$100,$A396,'15e'!$I$7:$I$100,1)+SUMIFS('15f'!$N$7:$N$100,'15f'!$H$7:$H$100,$A396,'15f'!$I$7:$I$100,1)+SUMIFS('15g'!$N$7:$N$100,'15g'!$H$7:$H$100,$A396,'15g'!$I$7:$I$100,1)+SUMIFS('15h'!$N$7:$N$100,'15h'!$H$7:$H$100,$A396,'15h'!$I$7:$I$100,1)+SUMIFS('15i'!$N$7:$N$100,'15i'!$H$7:$H$100,$A396,'15i'!$I$7:$I$100,1)+SUMIFS('15j'!$N$7:$N$100,'15j'!$H$7:$H$100,$A396,'15j'!$I$7:$I$100,1)+SUMIFS('15k'!$N$7:$N$100,'15k'!$H$7:$H$100,$A396,'15k'!$I$7:$I$100,1)+SUMIFS('15l'!$N$7:$N$100,'15l'!$H$7:$H$100,$A396,'15l'!$I$7:$I$100,1)+SUMIFS('15m'!$N$7:$N$100,'15m'!$H$7:$H$100,$A396,'15m'!$I$7:$I$100,1)+SUMIFS('15n'!$N$7:$N$100,'15n'!$H$7:$H$100,$A396,'15n'!$I$7:$I$100,1)+SUMIFS('16'!$N$7:$N$100,'16'!$H$7:$H$100,$A396,'16'!$I$7:$I$100,1)+SUMIFS('16a'!$N$7:$N$100,'16a'!$H$7:$H$100,$A396,'16a'!$I$7:$I$100,1)+SUMIFS('17'!$N$7:$N$100,'17'!$H$7:$H$100,$A396,'17'!$I$7:$I$100,1)+SUMIFS('17a'!$N$7:$N$100,'17a'!$H$7:$H$100,$A396,'17a'!$I$7:$I$100,1)+SUMIFS('18'!$N$7:$N$100,'18'!$H$7:$H$100,$A396,'18'!$I$7:$I$100,1)+SUMIFS('18a'!$N$7:$N$100,'18a'!$H$7:$H$100,$A396,'18a'!$I$7:$I$100,1)
+SUMIFS('19'!$N$7:$N$100,'19'!$H$7:$H$100,$A396,'19'!$I$7:$I$100,1)+SUMIFS('20'!$N$7:$N$100,'20'!$H$7:$H$100,$A396,'20'!$I$7:$I$100,1)+SUMIFS('20a'!$N$7:$N$100,'20a'!$H$7:$H$100,$A396,'20a'!$I$7:$I$100,1)+SUMIFS('21'!$N$7:$N$100,'21'!$H$7:$H$100,$A396,'21'!$I$7:$I$100,1)+SUMIFS('22'!$N$7:$N$100,'22'!$H$7:$H$100,$A396,'22'!$I$7:$I$100,1)+SUMIFS('22a'!$N$7:$N$100,'22a'!$H$7:$H$100,$A396,'22a'!$I$7:$I$100,1)+SUMIFS('22b'!$N$7:$N$100,'22b'!$H$7:$H$100,$A396,'22b'!$I$7:$I$100,1)+SUMIFS('23'!$N$7:$N$100,'23'!$H$7:$H$100,$A396,'23'!$I$7:$I$100,1)+SUMIFS('24'!$N$7:$N$100,'24'!$H$7:$H$100,$A396,'24'!$I$7:$I$100,1)+SUMIFS('24a'!$N$7:$N$100,'24a'!$H$7:$H$100,$A396,'24a'!$I$7:$I$100,1)+SUMIFS('24b'!$N$7:$N$100,'24b'!$H$7:$H$100,$A396,'24b'!$I$7:$I$100,1)+SUMIFS('24c'!$N$7:$N$100,'24c'!$H$7:$H$100,$A396,'24c'!$I$7:$I$100,1)+SUMIFS('24d'!$N$7:$N$100,'24d'!$H$7:$H$100,$A396,'24d'!$I$7:$I$100,1)+SUMIFS('24e'!$N$7:$N$100,'24e'!$H$7:$H$100,$A396,'24e'!$I$7:$I$100,1)+SUMIFS('24f'!$N$7:$N$100,'24f'!$H$7:$H$100,$A396,'24f'!$I$7:$I$100,1)+SUMIFS('24g'!$N$7:$N$100,'24g'!$H$7:$H$100,$A396,'24g'!$I$7:$I$100,1)+SUMIFS('24h'!$N$7:$N$100,'24h'!$H$7:$H$100,$A396,'24h'!$I$7:$I$100,1)+SUMIFS('24i'!$N$7:$N$100,'24i'!$H$7:$H$100,$A396,'24i'!$I$7:$I$100,1)+SUMIFS('25'!$N$7:$N$100,'25'!$H$7:$H$100,$A396,'25'!$I$7:$I$100,1)+SUMIFS('26'!$N$7:$N$100,'26'!$H$7:$H$100,$A396,'26'!$I$7:$I$100,1)+SUMIFS('26a'!$N$7:$N$100,'26a'!$H$7:$H$100,$A396,'26a'!$I$7:$I$100,1)+SUMIFS('27'!$N$7:$N$100,'27'!$H$7:$H$100,$A396,'27'!$I$7:$I$100,1)+SUMIFS('27a'!$N$7:$N$100,'27a'!$H$7:$H$100,$A396,'27a'!$I$7:$I$100,1)+SUMIFS('28'!$N$7:$N$100,'28'!$H$7:$H$100,$A396,'28'!$I$7:$I$100,1)+SUMIFS('29'!$N$7:$N$100,'29'!$H$7:$H$100,$A396,'29'!$I$7:$I$100,1)</f>
        <v>0</v>
      </c>
      <c r="D396" s="1315">
        <f>SUMIFS('12'!$N$7:$N$100,'12'!$H$7:$H$100,$A396,'12'!$I$7:$I$100,2)+SUMIFS('13'!$N$7:$N$100,'13'!$H$7:$H$100,$A396,'13'!$I$7:$I$100,2)+SUMIFS('14'!$N$7:$N$100,'14'!$H$7:$H$100,$A396,'14'!$I$7:$I$100,2)+SUMIFS('15'!$N$7:$N$100,'15'!$H$7:$H$100,$A396,'15'!$I$7:$I$100,2)+SUMIFS('15a'!$N$7:$N$100,'15a'!$H$7:$H$100,$A396,'15a'!$I$7:$I$100,2)+SUMIFS('15b'!$N$7:$N$100,'15b'!$H$7:$H$100,$A396,'15b'!$I$7:$I$100,2)+SUMIFS('15c'!$N$7:$N$100,'15c'!$H$7:$H$100,$A396,'15c'!$I$7:$I$100,2)+SUMIFS('15d'!$N$7:$N$100,'15d'!$H$7:$H$100,$A396,'15d'!$I$7:$I$100,2)+SUMIFS('15e'!$N$7:$N$100,'15e'!$H$7:$H$100,$A396,'15e'!$I$7:$I$100,2)+SUMIFS('15f'!$N$7:$N$100,'15f'!$H$7:$H$100,$A396,'15f'!$I$7:$I$100,2)+SUMIFS('15g'!$N$7:$N$100,'15g'!$H$7:$H$100,$A396,'15g'!$I$7:$I$100,2)+SUMIFS('15h'!$N$7:$N$100,'15h'!$H$7:$H$100,$A396,'15h'!$I$7:$I$100,2)+SUMIFS('15i'!$N$7:$N$100,'15i'!$H$7:$H$100,$A396,'15i'!$I$7:$I$100,2)+SUMIFS('15j'!$N$7:$N$100,'15j'!$H$7:$H$100,$A396,'15j'!$I$7:$I$100,2)+SUMIFS('15k'!$N$7:$N$100,'15k'!$H$7:$H$100,$A396,'15k'!$I$7:$I$100,2)+SUMIFS('15l'!$N$7:$N$100,'15l'!$H$7:$H$100,$A396,'15l'!$I$7:$I$100,2)+SUMIFS('15m'!$N$7:$N$100,'15m'!$H$7:$H$100,$A396,'15m'!$I$7:$I$100,2)+SUMIFS('15n'!$N$7:$N$100,'15n'!$H$7:$H$100,$A396,'15n'!$I$7:$I$100,2)+SUMIFS('16'!$N$7:$N$100,'16'!$H$7:$H$100,$A396,'16'!$I$7:$I$100,2)+SUMIFS('16a'!$N$7:$N$100,'16a'!$H$7:$H$100,$A396,'16a'!$I$7:$I$100,2)+SUMIFS('17'!$N$7:$N$100,'17'!$H$7:$H$100,$A396,'17'!$I$7:$I$100,2)+SUMIFS('17a'!$N$7:$N$100,'17a'!$H$7:$H$100,$A396,'17a'!$I$7:$I$100,2)+SUMIFS('18'!$N$7:$N$100,'18'!$H$7:$H$100,$A396,'18'!$I$7:$I$100,2)+SUMIFS('18a'!$N$7:$N$100,'18a'!$H$7:$H$100,$A396,'18a'!$I$7:$I$100,2)
+SUMIFS('19'!$N$7:$N$100,'19'!$H$7:$H$100,$A396,'19'!$I$7:$I$100,2)+SUMIFS('20'!$N$7:$N$100,'20'!$H$7:$H$100,$A396,'20'!$I$7:$I$100,2)+SUMIFS('20a'!$N$7:$N$100,'20a'!$H$7:$H$100,$A396,'20a'!$I$7:$I$100,2)+SUMIFS('21'!$N$7:$N$100,'21'!$H$7:$H$100,$A396,'21'!$I$7:$I$100,2)+SUMIFS('22'!$N$7:$N$100,'22'!$H$7:$H$100,$A396,'22'!$I$7:$I$100,2)+SUMIFS('22a'!$N$7:$N$100,'22a'!$H$7:$H$100,$A396,'22a'!$I$7:$I$100,2)+SUMIFS('22b'!$N$7:$N$100,'22b'!$H$7:$H$100,$A396,'22b'!$I$7:$I$100,2)+SUMIFS('23'!$N$7:$N$100,'23'!$H$7:$H$100,$A396,'23'!$I$7:$I$100,2)+SUMIFS('24'!$N$7:$N$100,'24'!$H$7:$H$100,$A396,'24'!$I$7:$I$100,2)+SUMIFS('24a'!$N$7:$N$100,'24a'!$H$7:$H$100,$A396,'24a'!$I$7:$I$100,2)+SUMIFS('24b'!$N$7:$N$100,'24b'!$H$7:$H$100,$A396,'24b'!$I$7:$I$100,2)+SUMIFS('24c'!$N$7:$N$100,'24c'!$H$7:$H$100,$A396,'24c'!$I$7:$I$100,2)+SUMIFS('24d'!$N$7:$N$100,'24d'!$H$7:$H$100,$A396,'24d'!$I$7:$I$100,2)+SUMIFS('24e'!$N$7:$N$100,'24e'!$H$7:$H$100,$A396,'24e'!$I$7:$I$100,2)+SUMIFS('24f'!$N$7:$N$100,'24f'!$H$7:$H$100,$A396,'24f'!$I$7:$I$100,2)+SUMIFS('24g'!$N$7:$N$100,'24g'!$H$7:$H$100,$A396,'24g'!$I$7:$I$100,2)+SUMIFS('24h'!$N$7:$N$100,'24h'!$H$7:$H$100,$A396,'24h'!$I$7:$I$100,2)+SUMIFS('24i'!$N$7:$N$100,'24i'!$H$7:$H$100,$A396,'24i'!$I$7:$I$100,2)+SUMIFS('25'!$N$7:$N$100,'25'!$H$7:$H$100,$A396,'25'!$I$7:$I$100,2)+SUMIFS('26'!$N$7:$N$100,'26'!$H$7:$H$100,$A396,'26'!$I$7:$I$100,2)+SUMIFS('26a'!$N$7:$N$100,'26a'!$H$7:$H$100,$A396,'26a'!$I$7:$I$100,2)+SUMIFS('27'!$N$7:$N$100,'27'!$H$7:$H$100,$A396,'27'!$I$7:$I$100,2)+SUMIFS('27a'!$N$7:$N$100,'27a'!$H$7:$H$100,$A396,'27a'!$I$7:$I$100,2)+SUMIFS('28'!$N$7:$N$100,'28'!$H$7:$H$100,$A396,'28'!$I$7:$I$100,2)+SUMIFS('29'!$N$7:$N$100,'29'!$H$7:$H$100,$A396,'29'!$I$7:$I$100,2)</f>
        <v>0</v>
      </c>
      <c r="E396" s="1315">
        <f>SUMIFS('12'!$N$7:$N$100,'12'!$H$7:$H$100,$A396,'12'!$I$7:$I$100,"")+SUMIFS('13'!$N$7:$N$100,'13'!$H$7:$H$100,$A396,'13'!$I$7:$I$100,"")+SUMIFS('14'!$N$7:$N$100,'14'!$H$7:$H$100,$A396,'14'!$I$7:$I$100,"")+SUMIFS('15'!$N$7:$N$100,'15'!$H$7:$H$100,$A396,'15'!$I$7:$I$100,"")+SUMIFS('15a'!$N$7:$N$100,'15a'!$H$7:$H$100,$A396,'15a'!$I$7:$I$100,"")+SUMIFS('15b'!$N$7:$N$100,'15b'!$H$7:$H$100,$A396,'15b'!$I$7:$I$100,"")+SUMIFS('15c'!$N$7:$N$100,'15c'!$H$7:$H$100,$A396,'15c'!$I$7:$I$100,"")+SUMIFS('15d'!$N$7:$N$100,'15d'!$H$7:$H$100,$A396,'15d'!$I$7:$I$100,"")+SUMIFS('15e'!$N$7:$N$100,'15e'!$H$7:$H$100,$A396,'15e'!$I$7:$I$100,"")+SUMIFS('15f'!$N$7:$N$100,'15f'!$H$7:$H$100,$A396,'15f'!$I$7:$I$100,"")+SUMIFS('15g'!$N$7:$N$100,'15g'!$H$7:$H$100,$A396,'15g'!$I$7:$I$100,"")+SUMIFS('15h'!$N$7:$N$100,'15h'!$H$7:$H$100,$A396,'15h'!$I$7:$I$100,"")+SUMIFS('15i'!$N$7:$N$100,'15i'!$H$7:$H$100,$A396,'15i'!$I$7:$I$100,"")+SUMIFS('15j'!$N$7:$N$100,'15j'!$H$7:$H$100,$A396,'15j'!$I$7:$I$100,"")+SUMIFS('15k'!$N$7:$N$100,'15k'!$H$7:$H$100,$A396,'15k'!$I$7:$I$100,"")+SUMIFS('15l'!$N$7:$N$100,'15l'!$H$7:$H$100,$A396,'15l'!$I$7:$I$100,"")+SUMIFS('15m'!$N$7:$N$100,'15m'!$H$7:$H$100,$A396,'15m'!$I$7:$I$100,"")+SUMIFS('15n'!$N$7:$N$100,'15n'!$H$7:$H$100,$A396,'15n'!$I$7:$I$100,"")+SUMIFS('16'!$N$7:$N$100,'16'!$H$7:$H$100,$A396,'16'!$I$7:$I$100,"")+SUMIFS('16a'!$N$7:$N$100,'16a'!$H$7:$H$100,$A396,'16a'!$I$7:$I$100,"")+SUMIFS('17'!$N$7:$N$100,'17'!$H$7:$H$100,$A396,'17'!$I$7:$I$100,"")+SUMIFS('17a'!$N$7:$N$100,'17a'!$H$7:$H$100,$A396,'17a'!$I$7:$I$100,"")+SUMIFS('18'!$N$7:$N$100,'18'!$H$7:$H$100,$A396,'18'!$I$7:$I$100,"")+SUMIFS('18a'!$N$7:$N$100,'18a'!$H$7:$H$100,$A396,'18a'!$I$7:$I$100,"")
+SUMIFS('19'!$N$7:$N$100,'19'!$H$7:$H$100,$A396,'19'!$I$7:$I$100,"")+SUMIFS('20'!$N$7:$N$100,'20'!$H$7:$H$100,$A396,'20'!$I$7:$I$100,"")+SUMIFS('20a'!$N$7:$N$100,'20a'!$H$7:$H$100,$A396,'20a'!$I$7:$I$100,"")+SUMIFS('21'!$N$7:$N$100,'21'!$H$7:$H$100,$A396,'21'!$I$7:$I$100,"")+SUMIFS('22'!$N$7:$N$100,'22'!$H$7:$H$100,$A396,'22'!$I$7:$I$100,"")+SUMIFS('22a'!$N$7:$N$100,'22a'!$H$7:$H$100,$A396,'22a'!$I$7:$I$100,"")+SUMIFS('22b'!$N$7:$N$100,'22b'!$H$7:$H$100,$A396,'22b'!$I$7:$I$100,"")+SUMIFS('23'!$N$7:$N$100,'23'!$H$7:$H$100,$A396,'23'!$I$7:$I$100,"")+SUMIFS('24'!$N$7:$N$100,'24'!$H$7:$H$100,$A396,'24'!$I$7:$I$100,"")+SUMIFS('24a'!$N$7:$N$100,'24a'!$H$7:$H$100,$A396,'24a'!$I$7:$I$100,"")+SUMIFS('24b'!$N$7:$N$100,'24b'!$H$7:$H$100,$A396,'24b'!$I$7:$I$100,"")+SUMIFS('24c'!$N$7:$N$100,'24c'!$H$7:$H$100,$A396,'24c'!$I$7:$I$100,"")+SUMIFS('24d'!$N$7:$N$100,'24d'!$H$7:$H$100,$A396,'24d'!$I$7:$I$100,"")+SUMIFS('24e'!$N$7:$N$100,'24e'!$H$7:$H$100,$A396,'24e'!$I$7:$I$100,"")+SUMIFS('24f'!$N$7:$N$100,'24f'!$H$7:$H$100,$A396,'24f'!$I$7:$I$100,"")+SUMIFS('24g'!$N$7:$N$100,'24g'!$H$7:$H$100,$A396,'24g'!$I$7:$I$100,"")+SUMIFS('24h'!$N$7:$N$100,'24h'!$H$7:$H$100,$A396,'24h'!$I$7:$I$100,"")+SUMIFS('24i'!$N$7:$N$100,'24i'!$H$7:$H$100,$A396,'24i'!$I$7:$I$100,"")+SUMIFS('25'!$N$7:$N$100,'25'!$H$7:$H$100,$A396,'25'!$I$7:$I$100,"")+SUMIFS('26'!$N$7:$N$100,'26'!$H$7:$H$100,$A396,'26'!$I$7:$I$100,"")+SUMIFS('26a'!$N$7:$N$100,'26a'!$H$7:$H$100,$A396,'26a'!$I$7:$I$100,"")+SUMIFS('27'!$N$7:$N$100,'27'!$H$7:$H$100,$A396,'27'!$I$7:$I$100,"")+SUMIFS('27a'!$N$7:$N$100,'27a'!$H$7:$H$100,$A396,'27a'!$I$7:$I$100,"")+SUMIFS('28'!$N$7:$N$100,'28'!$H$7:$H$100,$A396,'28'!$I$7:$I$100,"")+SUMIFS('29'!$N$7:$N$100,'29'!$H$7:$H$100,$A396,'29'!$I$7:$I$100,"")</f>
        <v>0</v>
      </c>
      <c r="F396" s="1296">
        <f>SUM(C396:E396)</f>
        <v>0</v>
      </c>
      <c r="G396" s="1295">
        <f>SUMIFS('12'!$J$7:$J$100,'12'!$H$7:$H$100,$A396,'12'!$I$7:$I$100,1)+SUMIFS('13'!$J$7:$J$100,'13'!$H$7:$H$100,$A396,'13'!$I$7:$I$100,1)+SUMIFS('14'!$J$7:$J$100,'14'!$H$7:$H$100,$A396,'14'!$I$7:$I$100,1)+SUMIFS('15'!$J$7:$J$100,'15'!$H$7:$H$100,$A396,'15'!$I$7:$I$100,1)+SUMIFS('15a'!$J$7:$J$100,'15a'!$H$7:$H$100,$A396,'15a'!$I$7:$I$100,1)+SUMIFS('15b'!$J$7:$J$100,'15b'!$H$7:$H$100,$A396,'15b'!$I$7:$I$100,1)+SUMIFS('15c'!$J$7:$J$100,'15c'!$H$7:$H$100,$A396,'15c'!$I$7:$I$100,1)+SUMIFS('15d'!$J$7:$J$100,'15d'!$H$7:$H$100,$A396,'15d'!$I$7:$I$100,1)+SUMIFS('15e'!$J$7:$J$100,'15e'!$H$7:$H$100,$A396,'15e'!$I$7:$I$100,1)+SUMIFS('15f'!$J$7:$J$100,'15f'!$H$7:$H$100,$A396,'15f'!$I$7:$I$100,1)+SUMIFS('15g'!$J$7:$J$100,'15g'!$H$7:$H$100,$A396,'15g'!$I$7:$I$100,1)+SUMIFS('15h'!$J$7:$J$100,'15h'!$H$7:$H$100,$A396,'15h'!$I$7:$I$100,1)+SUMIFS('15i'!$J$7:$J$100,'15i'!$H$7:$H$100,$A396,'15i'!$I$7:$I$100,1)+SUMIFS('15j'!$J$7:$J$100,'15j'!$H$7:$H$100,$A396,'15j'!$I$7:$I$100,1)+SUMIFS('15k'!$J$7:$J$100,'15k'!$H$7:$H$100,$A396,'15k'!$I$7:$I$100,1)+SUMIFS('15l'!$J$7:$J$100,'15l'!$H$7:$H$100,$A396,'15l'!$I$7:$I$100,1)+SUMIFS('15m'!$J$7:$J$100,'15m'!$H$7:$H$100,$A396,'15m'!$I$7:$I$100,1)+SUMIFS('15n'!$J$7:$J$100,'15n'!$H$7:$H$100,$A396,'15n'!$I$7:$I$100,1)+SUMIFS('16'!$J$7:$J$100,'16'!$H$7:$H$100,$A396,'16'!$I$7:$I$100,1)+SUMIFS('16a'!$J$7:$J$100,'16a'!$H$7:$H$100,$A396,'16a'!$I$7:$I$100,1)+SUMIFS('17'!$J$7:$J$100,'17'!$H$7:$H$100,$A396,'17'!$I$7:$I$100,1)+SUMIFS('17a'!$J$7:$J$100,'17a'!$H$7:$H$100,$A396,'17a'!$I$7:$I$100,1)+SUMIFS('18'!$J$7:$J$100,'18'!$H$7:$H$100,$A396,'18'!$I$7:$I$100,1)+SUMIFS('18a'!$J$7:$J$100,'18a'!$H$7:$H$100,$A396,'18a'!$I$7:$I$100,1)
+SUMIFS('19'!$J$7:$J$100,'19'!$H$7:$H$100,$A396,'19'!$I$7:$I$100,1)+SUMIFS('20'!$J$7:$J$100,'20'!$H$7:$H$100,$A396,'20'!$I$7:$I$100,1)+SUMIFS('20a'!$J$7:$J$100,'20a'!$H$7:$H$100,$A396,'20a'!$I$7:$I$100,1)+SUMIFS('21'!$J$7:$J$100,'21'!$H$7:$H$100,$A396,'21'!$I$7:$I$100,1)+SUMIFS('22'!$J$7:$J$100,'22'!$H$7:$H$100,$A396,'22'!$I$7:$I$100,1)+SUMIFS('22a'!$J$7:$J$100,'22a'!$H$7:$H$100,$A396,'22a'!$I$7:$I$100,1)+SUMIFS('22b'!$J$7:$J$100,'22b'!$H$7:$H$100,$A396,'22b'!$I$7:$I$100,1)+SUMIFS('23'!$J$7:$J$100,'23'!$H$7:$H$100,$A396,'23'!$I$7:$I$100,1)+SUMIFS('24'!$J$7:$J$100,'24'!$H$7:$H$100,$A396,'24'!$I$7:$I$100,1)+SUMIFS('24a'!$J$7:$J$100,'24a'!$H$7:$H$100,$A396,'24a'!$I$7:$I$100,1)+SUMIFS('24b'!$J$7:$J$100,'24b'!$H$7:$H$100,$A396,'24b'!$I$7:$I$100,1)+SUMIFS('24c'!$J$7:$J$100,'24c'!$H$7:$H$100,$A396,'24c'!$I$7:$I$100,1)+SUMIFS('24d'!$J$7:$J$100,'24d'!$H$7:$H$100,$A396,'24d'!$I$7:$I$100,1)+SUMIFS('24e'!$J$7:$J$100,'24e'!$H$7:$H$100,$A396,'24e'!$I$7:$I$100,1)+SUMIFS('24f'!$J$7:$J$100,'24f'!$H$7:$H$100,$A396,'24f'!$I$7:$I$100,1)+SUMIFS('24g'!$J$7:$J$100,'24g'!$H$7:$H$100,$A396,'24g'!$I$7:$I$100,1)+SUMIFS('24h'!$J$7:$J$100,'24h'!$H$7:$H$100,$A396,'24h'!$I$7:$I$100,1)+SUMIFS('24i'!$J$7:$J$100,'24i'!$H$7:$H$100,$A396,'24i'!$I$7:$I$100,1)+SUMIFS('25'!$J$7:$J$100,'25'!$H$7:$H$100,$A396,'25'!$I$7:$I$100,1)+SUMIFS('26'!$J$7:$J$100,'26'!$H$7:$H$100,$A396,'26'!$I$7:$I$100,1)+SUMIFS('26a'!$J$7:$J$100,'26a'!$H$7:$H$100,$A396,'26a'!$I$7:$I$100,1)+SUMIFS('27'!$J$7:$J$100,'27'!$H$7:$H$100,$A396,'27'!$I$7:$I$100,1)+SUMIFS('27a'!$J$7:$J$100,'27a'!$H$7:$H$100,$A396,'27a'!$I$7:$I$100,1)+SUMIFS('28'!$J$7:$J$100,'28'!$H$7:$H$100,$A396,'28'!$I$7:$I$100,1)+SUMIFS('29'!$J$7:$J$100,'29'!$H$7:$H$100,$A396,'29'!$I$7:$I$100,1)</f>
        <v>0</v>
      </c>
      <c r="H396" s="1315">
        <f>SUMIFS('12'!$J$7:$J$100,'12'!$H$7:$H$100,$A396,'12'!$I$7:$I$100,2)+SUMIFS('13'!$J$7:$J$100,'13'!$H$7:$H$100,$A396,'13'!$I$7:$I$100,2)+SUMIFS('14'!$J$7:$J$100,'14'!$H$7:$H$100,$A396,'14'!$I$7:$I$100,2)+SUMIFS('15'!$J$7:$J$100,'15'!$H$7:$H$100,$A396,'15'!$I$7:$I$100,2)+SUMIFS('15a'!$J$7:$J$100,'15a'!$H$7:$H$100,$A396,'15a'!$I$7:$I$100,2)+SUMIFS('15b'!$J$7:$J$100,'15b'!$H$7:$H$100,$A396,'15b'!$I$7:$I$100,2)+SUMIFS('15c'!$J$7:$J$100,'15c'!$H$7:$H$100,$A396,'15c'!$I$7:$I$100,2)+SUMIFS('15d'!$J$7:$J$100,'15d'!$H$7:$H$100,$A396,'15d'!$I$7:$I$100,2)+SUMIFS('15e'!$J$7:$J$100,'15e'!$H$7:$H$100,$A396,'15e'!$I$7:$I$100,2)+SUMIFS('15f'!$J$7:$J$100,'15f'!$H$7:$H$100,$A396,'15f'!$I$7:$I$100,2)+SUMIFS('15g'!$J$7:$J$100,'15g'!$H$7:$H$100,$A396,'15g'!$I$7:$I$100,2)+SUMIFS('15h'!$J$7:$J$100,'15h'!$H$7:$H$100,$A396,'15h'!$I$7:$I$100,2)+SUMIFS('15i'!$J$7:$J$100,'15i'!$H$7:$H$100,$A396,'15i'!$I$7:$I$100,2)+SUMIFS('15j'!$J$7:$J$100,'15j'!$H$7:$H$100,$A396,'15j'!$I$7:$I$100,2)+SUMIFS('15k'!$J$7:$J$100,'15k'!$H$7:$H$100,$A396,'15k'!$I$7:$I$100,2)+SUMIFS('15l'!$J$7:$J$100,'15l'!$H$7:$H$100,$A396,'15l'!$I$7:$I$100,2)+SUMIFS('15m'!$J$7:$J$100,'15m'!$H$7:$H$100,$A396,'15m'!$I$7:$I$100,2)+SUMIFS('15n'!$J$7:$J$100,'15n'!$H$7:$H$100,$A396,'15n'!$I$7:$I$100,2)+SUMIFS('16'!$J$7:$J$100,'16'!$H$7:$H$100,$A396,'16'!$I$7:$I$100,2)+SUMIFS('16a'!$J$7:$J$100,'16a'!$H$7:$H$100,$A396,'16a'!$I$7:$I$100,2)+SUMIFS('17'!$J$7:$J$100,'17'!$H$7:$H$100,$A396,'17'!$I$7:$I$100,2)+SUMIFS('17a'!$J$7:$J$100,'17a'!$H$7:$H$100,$A396,'17a'!$I$7:$I$100,2)+SUMIFS('18'!$J$7:$J$100,'18'!$H$7:$H$100,$A396,'18'!$I$7:$I$100,2)+SUMIFS('18a'!$J$7:$J$100,'18a'!$H$7:$H$100,$A396,'18a'!$I$7:$I$100,2)
+SUMIFS('19'!$J$7:$J$100,'19'!$H$7:$H$100,$A396,'19'!$I$7:$I$100,2)+SUMIFS('20'!$J$7:$J$100,'20'!$H$7:$H$100,$A396,'20'!$I$7:$I$100,2)+SUMIFS('20a'!$J$7:$J$100,'20a'!$H$7:$H$100,$A396,'20a'!$I$7:$I$100,2)+SUMIFS('21'!$J$7:$J$100,'21'!$H$7:$H$100,$A396,'21'!$I$7:$I$100,2)+SUMIFS('22'!$J$7:$J$100,'22'!$H$7:$H$100,$A396,'22'!$I$7:$I$100,2)+SUMIFS('22a'!$J$7:$J$100,'22a'!$H$7:$H$100,$A396,'22a'!$I$7:$I$100,2)+SUMIFS('22b'!$J$7:$J$100,'22b'!$H$7:$H$100,$A396,'22b'!$I$7:$I$100,2)+SUMIFS('23'!$J$7:$J$100,'23'!$H$7:$H$100,$A396,'23'!$I$7:$I$100,2)+SUMIFS('24'!$J$7:$J$100,'24'!$H$7:$H$100,$A396,'24'!$I$7:$I$100,2)+SUMIFS('24a'!$J$7:$J$100,'24a'!$H$7:$H$100,$A396,'24a'!$I$7:$I$100,2)+SUMIFS('24b'!$J$7:$J$100,'24b'!$H$7:$H$100,$A396,'24b'!$I$7:$I$100,2)+SUMIFS('24c'!$J$7:$J$100,'24c'!$H$7:$H$100,$A396,'24c'!$I$7:$I$100,2)+SUMIFS('24d'!$J$7:$J$100,'24d'!$H$7:$H$100,$A396,'24d'!$I$7:$I$100,2)+SUMIFS('24e'!$J$7:$J$100,'24e'!$H$7:$H$100,$A396,'24e'!$I$7:$I$100,2)+SUMIFS('24f'!$J$7:$J$100,'24f'!$H$7:$H$100,$A396,'24f'!$I$7:$I$100,2)+SUMIFS('24g'!$J$7:$J$100,'24g'!$H$7:$H$100,$A396,'24g'!$I$7:$I$100,2)+SUMIFS('24h'!$J$7:$J$100,'24h'!$H$7:$H$100,$A396,'24h'!$I$7:$I$100,2)+SUMIFS('24i'!$J$7:$J$100,'24i'!$H$7:$H$100,$A396,'24i'!$I$7:$I$100,2)+SUMIFS('25'!$J$7:$J$100,'25'!$H$7:$H$100,$A396,'25'!$I$7:$I$100,2)+SUMIFS('26'!$J$7:$J$100,'26'!$H$7:$H$100,$A396,'26'!$I$7:$I$100,2)+SUMIFS('26a'!$J$7:$J$100,'26a'!$H$7:$H$100,$A396,'26a'!$I$7:$I$100,2)+SUMIFS('27'!$J$7:$J$100,'27'!$H$7:$H$100,$A396,'27'!$I$7:$I$100,2)+SUMIFS('27a'!$J$7:$J$100,'27a'!$H$7:$H$100,$A396,'27a'!$I$7:$I$100,2)+SUMIFS('28'!$J$7:$J$100,'28'!$H$7:$H$100,$A396,'28'!$I$7:$I$100,2)+SUMIFS('29'!$J$7:$J$100,'29'!$H$7:$H$100,$A396,'29'!$I$7:$I$100,2)</f>
        <v>0</v>
      </c>
      <c r="I396" s="1315">
        <f>SUMIFS('12'!$J$7:$J$100,'12'!$H$7:$H$100,$A396,'12'!$I$7:$I$100,"")+SUMIFS('13'!$J$7:$J$100,'13'!$H$7:$H$100,$A396,'13'!$I$7:$I$100,"")+SUMIFS('14'!$J$7:$J$100,'14'!$H$7:$H$100,$A396,'14'!$I$7:$I$100,"")+SUMIFS('15'!$J$7:$J$100,'15'!$H$7:$H$100,$A396,'15'!$I$7:$I$100,"")+SUMIFS('15a'!$J$7:$J$100,'15a'!$H$7:$H$100,$A396,'15a'!$I$7:$I$100,"")+SUMIFS('15b'!$J$7:$J$100,'15b'!$H$7:$H$100,$A396,'15b'!$I$7:$I$100,"")+SUMIFS('15c'!$J$7:$J$100,'15c'!$H$7:$H$100,$A396,'15c'!$I$7:$I$100,"")+SUMIFS('15d'!$J$7:$J$100,'15d'!$H$7:$H$100,$A396,'15d'!$I$7:$I$100,"")+SUMIFS('15e'!$J$7:$J$100,'15e'!$H$7:$H$100,$A396,'15e'!$I$7:$I$100,"")+SUMIFS('15f'!$J$7:$J$100,'15f'!$H$7:$H$100,$A396,'15f'!$I$7:$I$100,"")+SUMIFS('15g'!$J$7:$J$100,'15g'!$H$7:$H$100,$A396,'15g'!$I$7:$I$100,"")+SUMIFS('15h'!$J$7:$J$100,'15h'!$H$7:$H$100,$A396,'15h'!$I$7:$I$100,"")+SUMIFS('15i'!$J$7:$J$100,'15i'!$H$7:$H$100,$A396,'15i'!$I$7:$I$100,"")+SUMIFS('15j'!$J$7:$J$100,'15j'!$H$7:$H$100,$A396,'15j'!$I$7:$I$100,"")+SUMIFS('15k'!$J$7:$J$100,'15k'!$H$7:$H$100,$A396,'15k'!$I$7:$I$100,"")+SUMIFS('15l'!$J$7:$J$100,'15l'!$H$7:$H$100,$A396,'15l'!$I$7:$I$100,"")+SUMIFS('15m'!$J$7:$J$100,'15m'!$H$7:$H$100,$A396,'15m'!$I$7:$I$100,"")+SUMIFS('15n'!$J$7:$J$100,'15n'!$H$7:$H$100,$A396,'15n'!$I$7:$I$100,"")+SUMIFS('16'!$J$7:$J$100,'16'!$H$7:$H$100,$A396,'16'!$I$7:$I$100,"")+SUMIFS('16a'!$J$7:$J$100,'16a'!$H$7:$H$100,$A396,'16a'!$I$7:$I$100,"")+SUMIFS('17'!$J$7:$J$100,'17'!$H$7:$H$100,$A396,'17'!$I$7:$I$100,"")+SUMIFS('17a'!$J$7:$J$100,'17a'!$H$7:$H$100,$A396,'17a'!$I$7:$I$100,"")+SUMIFS('18'!$J$7:$J$100,'18'!$H$7:$H$100,$A396,'18'!$I$7:$I$100,"")+SUMIFS('18a'!$J$7:$J$100,'18a'!$H$7:$H$100,$A396,'18a'!$I$7:$I$100,"")
+SUMIFS('19'!$J$7:$J$100,'19'!$H$7:$H$100,$A396,'19'!$I$7:$I$100,"")+SUMIFS('20'!$J$7:$J$100,'20'!$H$7:$H$100,$A396,'20'!$I$7:$I$100,"")+SUMIFS('20a'!$J$7:$J$100,'20a'!$H$7:$H$100,$A396,'20a'!$I$7:$I$100,"")+SUMIFS('21'!$J$7:$J$100,'21'!$H$7:$H$100,$A396,'21'!$I$7:$I$100,"")+SUMIFS('22'!$J$7:$J$100,'22'!$H$7:$H$100,$A396,'22'!$I$7:$I$100,"")+SUMIFS('22a'!$J$7:$J$100,'22a'!$H$7:$H$100,$A396,'22a'!$I$7:$I$100,"")+SUMIFS('22b'!$J$7:$J$100,'22b'!$H$7:$H$100,$A396,'22b'!$I$7:$I$100,"")+SUMIFS('23'!$J$7:$J$100,'23'!$H$7:$H$100,$A396,'23'!$I$7:$I$100,"")+SUMIFS('24'!$J$7:$J$100,'24'!$H$7:$H$100,$A396,'24'!$I$7:$I$100,"")+SUMIFS('24a'!$J$7:$J$100,'24a'!$H$7:$H$100,$A396,'24a'!$I$7:$I$100,"")+SUMIFS('24b'!$J$7:$J$100,'24b'!$H$7:$H$100,$A396,'24b'!$I$7:$I$100,"")+SUMIFS('24c'!$J$7:$J$100,'24c'!$H$7:$H$100,$A396,'24c'!$I$7:$I$100,"")+SUMIFS('24d'!$J$7:$J$100,'24d'!$H$7:$H$100,$A396,'24d'!$I$7:$I$100,"")+SUMIFS('24e'!$J$7:$J$100,'24e'!$H$7:$H$100,$A396,'24e'!$I$7:$I$100,"")+SUMIFS('24f'!$J$7:$J$100,'24f'!$H$7:$H$100,$A396,'24f'!$I$7:$I$100,"")+SUMIFS('24g'!$J$7:$J$100,'24g'!$H$7:$H$100,$A396,'24g'!$I$7:$I$100,"")+SUMIFS('24h'!$J$7:$J$100,'24h'!$H$7:$H$100,$A396,'24h'!$I$7:$I$100,"")+SUMIFS('24i'!$J$7:$J$100,'24i'!$H$7:$H$100,$A396,'24i'!$I$7:$I$100,"")+SUMIFS('25'!$J$7:$J$100,'25'!$H$7:$H$100,$A396,'25'!$I$7:$I$100,"")+SUMIFS('26'!$J$7:$J$100,'26'!$H$7:$H$100,$A396,'26'!$I$7:$I$100,"")+SUMIFS('26a'!$J$7:$J$100,'26a'!$H$7:$H$100,$A396,'26a'!$I$7:$I$100,"")+SUMIFS('27'!$J$7:$J$100,'27'!$H$7:$H$100,$A396,'27'!$I$7:$I$100,"")+SUMIFS('27a'!$J$7:$J$100,'27a'!$H$7:$H$100,$A396,'27a'!$I$7:$I$100,"")+SUMIFS('28'!$J$7:$J$100,'28'!$H$7:$H$100,$A396,'28'!$I$7:$I$100,"")+SUMIFS('29'!$J$7:$J$100,'29'!$H$7:$H$100,$A396,'29'!$I$7:$I$100,"")</f>
        <v>0</v>
      </c>
      <c r="J396" s="1296">
        <f>SUM(G396:I396)</f>
        <v>0</v>
      </c>
      <c r="K396"/>
      <c r="L396"/>
      <c r="M396"/>
      <c r="N396"/>
      <c r="O396"/>
      <c r="P396"/>
      <c r="Q396"/>
      <c r="R396"/>
      <c r="S396" s="1307">
        <f t="shared" si="48"/>
        <v>0</v>
      </c>
      <c r="T396"/>
    </row>
    <row r="397" spans="1:20" x14ac:dyDescent="0.2">
      <c r="A397" t="s">
        <v>5205</v>
      </c>
      <c r="B397" t="s">
        <v>5551</v>
      </c>
      <c r="C397" s="1295">
        <f>SUMIFS('12'!$N$7:$N$100,'12'!$H$7:$H$100,$A397,'12'!$I$7:$I$100,1)+SUMIFS('13'!$N$7:$N$100,'13'!$H$7:$H$100,$A397,'13'!$I$7:$I$100,1)+SUMIFS('14'!$N$7:$N$100,'14'!$H$7:$H$100,$A397,'14'!$I$7:$I$100,1)+SUMIFS('15'!$N$7:$N$100,'15'!$H$7:$H$100,$A397,'15'!$I$7:$I$100,1)+SUMIFS('15a'!$N$7:$N$100,'15a'!$H$7:$H$100,$A397,'15a'!$I$7:$I$100,1)+SUMIFS('15b'!$N$7:$N$100,'15b'!$H$7:$H$100,$A397,'15b'!$I$7:$I$100,1)+SUMIFS('15c'!$N$7:$N$100,'15c'!$H$7:$H$100,$A397,'15c'!$I$7:$I$100,1)+SUMIFS('15d'!$N$7:$N$100,'15d'!$H$7:$H$100,$A397,'15d'!$I$7:$I$100,1)+SUMIFS('15e'!$N$7:$N$100,'15e'!$H$7:$H$100,$A397,'15e'!$I$7:$I$100,1)+SUMIFS('15f'!$N$7:$N$100,'15f'!$H$7:$H$100,$A397,'15f'!$I$7:$I$100,1)+SUMIFS('15g'!$N$7:$N$100,'15g'!$H$7:$H$100,$A397,'15g'!$I$7:$I$100,1)+SUMIFS('15h'!$N$7:$N$100,'15h'!$H$7:$H$100,$A397,'15h'!$I$7:$I$100,1)+SUMIFS('15i'!$N$7:$N$100,'15i'!$H$7:$H$100,$A397,'15i'!$I$7:$I$100,1)+SUMIFS('15j'!$N$7:$N$100,'15j'!$H$7:$H$100,$A397,'15j'!$I$7:$I$100,1)+SUMIFS('15k'!$N$7:$N$100,'15k'!$H$7:$H$100,$A397,'15k'!$I$7:$I$100,1)+SUMIFS('15l'!$N$7:$N$100,'15l'!$H$7:$H$100,$A397,'15l'!$I$7:$I$100,1)+SUMIFS('15m'!$N$7:$N$100,'15m'!$H$7:$H$100,$A397,'15m'!$I$7:$I$100,1)+SUMIFS('15n'!$N$7:$N$100,'15n'!$H$7:$H$100,$A397,'15n'!$I$7:$I$100,1)+SUMIFS('16'!$N$7:$N$100,'16'!$H$7:$H$100,$A397,'16'!$I$7:$I$100,1)+SUMIFS('16a'!$N$7:$N$100,'16a'!$H$7:$H$100,$A397,'16a'!$I$7:$I$100,1)+SUMIFS('17'!$N$7:$N$100,'17'!$H$7:$H$100,$A397,'17'!$I$7:$I$100,1)+SUMIFS('17a'!$N$7:$N$100,'17a'!$H$7:$H$100,$A397,'17a'!$I$7:$I$100,1)+SUMIFS('18'!$N$7:$N$100,'18'!$H$7:$H$100,$A397,'18'!$I$7:$I$100,1)+SUMIFS('18a'!$N$7:$N$100,'18a'!$H$7:$H$100,$A397,'18a'!$I$7:$I$100,1)
+SUMIFS('19'!$N$7:$N$100,'19'!$H$7:$H$100,$A397,'19'!$I$7:$I$100,1)+SUMIFS('20'!$N$7:$N$100,'20'!$H$7:$H$100,$A397,'20'!$I$7:$I$100,1)+SUMIFS('20a'!$N$7:$N$100,'20a'!$H$7:$H$100,$A397,'20a'!$I$7:$I$100,1)+SUMIFS('21'!$N$7:$N$100,'21'!$H$7:$H$100,$A397,'21'!$I$7:$I$100,1)+SUMIFS('22'!$N$7:$N$100,'22'!$H$7:$H$100,$A397,'22'!$I$7:$I$100,1)+SUMIFS('22a'!$N$7:$N$100,'22a'!$H$7:$H$100,$A397,'22a'!$I$7:$I$100,1)+SUMIFS('22b'!$N$7:$N$100,'22b'!$H$7:$H$100,$A397,'22b'!$I$7:$I$100,1)+SUMIFS('23'!$N$7:$N$100,'23'!$H$7:$H$100,$A397,'23'!$I$7:$I$100,1)+SUMIFS('24'!$N$7:$N$100,'24'!$H$7:$H$100,$A397,'24'!$I$7:$I$100,1)+SUMIFS('24a'!$N$7:$N$100,'24a'!$H$7:$H$100,$A397,'24a'!$I$7:$I$100,1)+SUMIFS('24b'!$N$7:$N$100,'24b'!$H$7:$H$100,$A397,'24b'!$I$7:$I$100,1)+SUMIFS('24c'!$N$7:$N$100,'24c'!$H$7:$H$100,$A397,'24c'!$I$7:$I$100,1)+SUMIFS('24d'!$N$7:$N$100,'24d'!$H$7:$H$100,$A397,'24d'!$I$7:$I$100,1)+SUMIFS('24e'!$N$7:$N$100,'24e'!$H$7:$H$100,$A397,'24e'!$I$7:$I$100,1)+SUMIFS('24f'!$N$7:$N$100,'24f'!$H$7:$H$100,$A397,'24f'!$I$7:$I$100,1)+SUMIFS('24g'!$N$7:$N$100,'24g'!$H$7:$H$100,$A397,'24g'!$I$7:$I$100,1)+SUMIFS('24h'!$N$7:$N$100,'24h'!$H$7:$H$100,$A397,'24h'!$I$7:$I$100,1)+SUMIFS('24i'!$N$7:$N$100,'24i'!$H$7:$H$100,$A397,'24i'!$I$7:$I$100,1)+SUMIFS('25'!$N$7:$N$100,'25'!$H$7:$H$100,$A397,'25'!$I$7:$I$100,1)+SUMIFS('26'!$N$7:$N$100,'26'!$H$7:$H$100,$A397,'26'!$I$7:$I$100,1)+SUMIFS('26a'!$N$7:$N$100,'26a'!$H$7:$H$100,$A397,'26a'!$I$7:$I$100,1)+SUMIFS('27'!$N$7:$N$100,'27'!$H$7:$H$100,$A397,'27'!$I$7:$I$100,1)+SUMIFS('27a'!$N$7:$N$100,'27a'!$H$7:$H$100,$A397,'27a'!$I$7:$I$100,1)+SUMIFS('28'!$N$7:$N$100,'28'!$H$7:$H$100,$A397,'28'!$I$7:$I$100,1)+SUMIFS('29'!$N$7:$N$100,'29'!$H$7:$H$100,$A397,'29'!$I$7:$I$100,1)</f>
        <v>0</v>
      </c>
      <c r="D397" s="1315">
        <f>SUMIFS('12'!$N$7:$N$100,'12'!$H$7:$H$100,$A397,'12'!$I$7:$I$100,2)+SUMIFS('13'!$N$7:$N$100,'13'!$H$7:$H$100,$A397,'13'!$I$7:$I$100,2)+SUMIFS('14'!$N$7:$N$100,'14'!$H$7:$H$100,$A397,'14'!$I$7:$I$100,2)+SUMIFS('15'!$N$7:$N$100,'15'!$H$7:$H$100,$A397,'15'!$I$7:$I$100,2)+SUMIFS('15a'!$N$7:$N$100,'15a'!$H$7:$H$100,$A397,'15a'!$I$7:$I$100,2)+SUMIFS('15b'!$N$7:$N$100,'15b'!$H$7:$H$100,$A397,'15b'!$I$7:$I$100,2)+SUMIFS('15c'!$N$7:$N$100,'15c'!$H$7:$H$100,$A397,'15c'!$I$7:$I$100,2)+SUMIFS('15d'!$N$7:$N$100,'15d'!$H$7:$H$100,$A397,'15d'!$I$7:$I$100,2)+SUMIFS('15e'!$N$7:$N$100,'15e'!$H$7:$H$100,$A397,'15e'!$I$7:$I$100,2)+SUMIFS('15f'!$N$7:$N$100,'15f'!$H$7:$H$100,$A397,'15f'!$I$7:$I$100,2)+SUMIFS('15g'!$N$7:$N$100,'15g'!$H$7:$H$100,$A397,'15g'!$I$7:$I$100,2)+SUMIFS('15h'!$N$7:$N$100,'15h'!$H$7:$H$100,$A397,'15h'!$I$7:$I$100,2)+SUMIFS('15i'!$N$7:$N$100,'15i'!$H$7:$H$100,$A397,'15i'!$I$7:$I$100,2)+SUMIFS('15j'!$N$7:$N$100,'15j'!$H$7:$H$100,$A397,'15j'!$I$7:$I$100,2)+SUMIFS('15k'!$N$7:$N$100,'15k'!$H$7:$H$100,$A397,'15k'!$I$7:$I$100,2)+SUMIFS('15l'!$N$7:$N$100,'15l'!$H$7:$H$100,$A397,'15l'!$I$7:$I$100,2)+SUMIFS('15m'!$N$7:$N$100,'15m'!$H$7:$H$100,$A397,'15m'!$I$7:$I$100,2)+SUMIFS('15n'!$N$7:$N$100,'15n'!$H$7:$H$100,$A397,'15n'!$I$7:$I$100,2)+SUMIFS('16'!$N$7:$N$100,'16'!$H$7:$H$100,$A397,'16'!$I$7:$I$100,2)+SUMIFS('16a'!$N$7:$N$100,'16a'!$H$7:$H$100,$A397,'16a'!$I$7:$I$100,2)+SUMIFS('17'!$N$7:$N$100,'17'!$H$7:$H$100,$A397,'17'!$I$7:$I$100,2)+SUMIFS('17a'!$N$7:$N$100,'17a'!$H$7:$H$100,$A397,'17a'!$I$7:$I$100,2)+SUMIFS('18'!$N$7:$N$100,'18'!$H$7:$H$100,$A397,'18'!$I$7:$I$100,2)+SUMIFS('18a'!$N$7:$N$100,'18a'!$H$7:$H$100,$A397,'18a'!$I$7:$I$100,2)
+SUMIFS('19'!$N$7:$N$100,'19'!$H$7:$H$100,$A397,'19'!$I$7:$I$100,2)+SUMIFS('20'!$N$7:$N$100,'20'!$H$7:$H$100,$A397,'20'!$I$7:$I$100,2)+SUMIFS('20a'!$N$7:$N$100,'20a'!$H$7:$H$100,$A397,'20a'!$I$7:$I$100,2)+SUMIFS('21'!$N$7:$N$100,'21'!$H$7:$H$100,$A397,'21'!$I$7:$I$100,2)+SUMIFS('22'!$N$7:$N$100,'22'!$H$7:$H$100,$A397,'22'!$I$7:$I$100,2)+SUMIFS('22a'!$N$7:$N$100,'22a'!$H$7:$H$100,$A397,'22a'!$I$7:$I$100,2)+SUMIFS('22b'!$N$7:$N$100,'22b'!$H$7:$H$100,$A397,'22b'!$I$7:$I$100,2)+SUMIFS('23'!$N$7:$N$100,'23'!$H$7:$H$100,$A397,'23'!$I$7:$I$100,2)+SUMIFS('24'!$N$7:$N$100,'24'!$H$7:$H$100,$A397,'24'!$I$7:$I$100,2)+SUMIFS('24a'!$N$7:$N$100,'24a'!$H$7:$H$100,$A397,'24a'!$I$7:$I$100,2)+SUMIFS('24b'!$N$7:$N$100,'24b'!$H$7:$H$100,$A397,'24b'!$I$7:$I$100,2)+SUMIFS('24c'!$N$7:$N$100,'24c'!$H$7:$H$100,$A397,'24c'!$I$7:$I$100,2)+SUMIFS('24d'!$N$7:$N$100,'24d'!$H$7:$H$100,$A397,'24d'!$I$7:$I$100,2)+SUMIFS('24e'!$N$7:$N$100,'24e'!$H$7:$H$100,$A397,'24e'!$I$7:$I$100,2)+SUMIFS('24f'!$N$7:$N$100,'24f'!$H$7:$H$100,$A397,'24f'!$I$7:$I$100,2)+SUMIFS('24g'!$N$7:$N$100,'24g'!$H$7:$H$100,$A397,'24g'!$I$7:$I$100,2)+SUMIFS('24h'!$N$7:$N$100,'24h'!$H$7:$H$100,$A397,'24h'!$I$7:$I$100,2)+SUMIFS('24i'!$N$7:$N$100,'24i'!$H$7:$H$100,$A397,'24i'!$I$7:$I$100,2)+SUMIFS('25'!$N$7:$N$100,'25'!$H$7:$H$100,$A397,'25'!$I$7:$I$100,2)+SUMIFS('26'!$N$7:$N$100,'26'!$H$7:$H$100,$A397,'26'!$I$7:$I$100,2)+SUMIFS('26a'!$N$7:$N$100,'26a'!$H$7:$H$100,$A397,'26a'!$I$7:$I$100,2)+SUMIFS('27'!$N$7:$N$100,'27'!$H$7:$H$100,$A397,'27'!$I$7:$I$100,2)+SUMIFS('27a'!$N$7:$N$100,'27a'!$H$7:$H$100,$A397,'27a'!$I$7:$I$100,2)+SUMIFS('28'!$N$7:$N$100,'28'!$H$7:$H$100,$A397,'28'!$I$7:$I$100,2)+SUMIFS('29'!$N$7:$N$100,'29'!$H$7:$H$100,$A397,'29'!$I$7:$I$100,2)</f>
        <v>0</v>
      </c>
      <c r="E397" s="1315">
        <f>SUMIFS('12'!$N$7:$N$100,'12'!$H$7:$H$100,$A397,'12'!$I$7:$I$100,"")+SUMIFS('13'!$N$7:$N$100,'13'!$H$7:$H$100,$A397,'13'!$I$7:$I$100,"")+SUMIFS('14'!$N$7:$N$100,'14'!$H$7:$H$100,$A397,'14'!$I$7:$I$100,"")+SUMIFS('15'!$N$7:$N$100,'15'!$H$7:$H$100,$A397,'15'!$I$7:$I$100,"")+SUMIFS('15a'!$N$7:$N$100,'15a'!$H$7:$H$100,$A397,'15a'!$I$7:$I$100,"")+SUMIFS('15b'!$N$7:$N$100,'15b'!$H$7:$H$100,$A397,'15b'!$I$7:$I$100,"")+SUMIFS('15c'!$N$7:$N$100,'15c'!$H$7:$H$100,$A397,'15c'!$I$7:$I$100,"")+SUMIFS('15d'!$N$7:$N$100,'15d'!$H$7:$H$100,$A397,'15d'!$I$7:$I$100,"")+SUMIFS('15e'!$N$7:$N$100,'15e'!$H$7:$H$100,$A397,'15e'!$I$7:$I$100,"")+SUMIFS('15f'!$N$7:$N$100,'15f'!$H$7:$H$100,$A397,'15f'!$I$7:$I$100,"")+SUMIFS('15g'!$N$7:$N$100,'15g'!$H$7:$H$100,$A397,'15g'!$I$7:$I$100,"")+SUMIFS('15h'!$N$7:$N$100,'15h'!$H$7:$H$100,$A397,'15h'!$I$7:$I$100,"")+SUMIFS('15i'!$N$7:$N$100,'15i'!$H$7:$H$100,$A397,'15i'!$I$7:$I$100,"")+SUMIFS('15j'!$N$7:$N$100,'15j'!$H$7:$H$100,$A397,'15j'!$I$7:$I$100,"")+SUMIFS('15k'!$N$7:$N$100,'15k'!$H$7:$H$100,$A397,'15k'!$I$7:$I$100,"")+SUMIFS('15l'!$N$7:$N$100,'15l'!$H$7:$H$100,$A397,'15l'!$I$7:$I$100,"")+SUMIFS('15m'!$N$7:$N$100,'15m'!$H$7:$H$100,$A397,'15m'!$I$7:$I$100,"")+SUMIFS('15n'!$N$7:$N$100,'15n'!$H$7:$H$100,$A397,'15n'!$I$7:$I$100,"")+SUMIFS('16'!$N$7:$N$100,'16'!$H$7:$H$100,$A397,'16'!$I$7:$I$100,"")+SUMIFS('16a'!$N$7:$N$100,'16a'!$H$7:$H$100,$A397,'16a'!$I$7:$I$100,"")+SUMIFS('17'!$N$7:$N$100,'17'!$H$7:$H$100,$A397,'17'!$I$7:$I$100,"")+SUMIFS('17a'!$N$7:$N$100,'17a'!$H$7:$H$100,$A397,'17a'!$I$7:$I$100,"")+SUMIFS('18'!$N$7:$N$100,'18'!$H$7:$H$100,$A397,'18'!$I$7:$I$100,"")+SUMIFS('18a'!$N$7:$N$100,'18a'!$H$7:$H$100,$A397,'18a'!$I$7:$I$100,"")
+SUMIFS('19'!$N$7:$N$100,'19'!$H$7:$H$100,$A397,'19'!$I$7:$I$100,"")+SUMIFS('20'!$N$7:$N$100,'20'!$H$7:$H$100,$A397,'20'!$I$7:$I$100,"")+SUMIFS('20a'!$N$7:$N$100,'20a'!$H$7:$H$100,$A397,'20a'!$I$7:$I$100,"")+SUMIFS('21'!$N$7:$N$100,'21'!$H$7:$H$100,$A397,'21'!$I$7:$I$100,"")+SUMIFS('22'!$N$7:$N$100,'22'!$H$7:$H$100,$A397,'22'!$I$7:$I$100,"")+SUMIFS('22a'!$N$7:$N$100,'22a'!$H$7:$H$100,$A397,'22a'!$I$7:$I$100,"")+SUMIFS('22b'!$N$7:$N$100,'22b'!$H$7:$H$100,$A397,'22b'!$I$7:$I$100,"")+SUMIFS('23'!$N$7:$N$100,'23'!$H$7:$H$100,$A397,'23'!$I$7:$I$100,"")+SUMIFS('24'!$N$7:$N$100,'24'!$H$7:$H$100,$A397,'24'!$I$7:$I$100,"")+SUMIFS('24a'!$N$7:$N$100,'24a'!$H$7:$H$100,$A397,'24a'!$I$7:$I$100,"")+SUMIFS('24b'!$N$7:$N$100,'24b'!$H$7:$H$100,$A397,'24b'!$I$7:$I$100,"")+SUMIFS('24c'!$N$7:$N$100,'24c'!$H$7:$H$100,$A397,'24c'!$I$7:$I$100,"")+SUMIFS('24d'!$N$7:$N$100,'24d'!$H$7:$H$100,$A397,'24d'!$I$7:$I$100,"")+SUMIFS('24e'!$N$7:$N$100,'24e'!$H$7:$H$100,$A397,'24e'!$I$7:$I$100,"")+SUMIFS('24f'!$N$7:$N$100,'24f'!$H$7:$H$100,$A397,'24f'!$I$7:$I$100,"")+SUMIFS('24g'!$N$7:$N$100,'24g'!$H$7:$H$100,$A397,'24g'!$I$7:$I$100,"")+SUMIFS('24h'!$N$7:$N$100,'24h'!$H$7:$H$100,$A397,'24h'!$I$7:$I$100,"")+SUMIFS('24i'!$N$7:$N$100,'24i'!$H$7:$H$100,$A397,'24i'!$I$7:$I$100,"")+SUMIFS('25'!$N$7:$N$100,'25'!$H$7:$H$100,$A397,'25'!$I$7:$I$100,"")+SUMIFS('26'!$N$7:$N$100,'26'!$H$7:$H$100,$A397,'26'!$I$7:$I$100,"")+SUMIFS('26a'!$N$7:$N$100,'26a'!$H$7:$H$100,$A397,'26a'!$I$7:$I$100,"")+SUMIFS('27'!$N$7:$N$100,'27'!$H$7:$H$100,$A397,'27'!$I$7:$I$100,"")+SUMIFS('27a'!$N$7:$N$100,'27a'!$H$7:$H$100,$A397,'27a'!$I$7:$I$100,"")+SUMIFS('28'!$N$7:$N$100,'28'!$H$7:$H$100,$A397,'28'!$I$7:$I$100,"")+SUMIFS('29'!$N$7:$N$100,'29'!$H$7:$H$100,$A397,'29'!$I$7:$I$100,"")</f>
        <v>0</v>
      </c>
      <c r="F397" s="1296">
        <f>SUM(C397:E397)</f>
        <v>0</v>
      </c>
      <c r="G397" s="1295">
        <f>SUMIFS('12'!$J$7:$J$100,'12'!$H$7:$H$100,$A397,'12'!$I$7:$I$100,1)+SUMIFS('13'!$J$7:$J$100,'13'!$H$7:$H$100,$A397,'13'!$I$7:$I$100,1)+SUMIFS('14'!$J$7:$J$100,'14'!$H$7:$H$100,$A397,'14'!$I$7:$I$100,1)+SUMIFS('15'!$J$7:$J$100,'15'!$H$7:$H$100,$A397,'15'!$I$7:$I$100,1)+SUMIFS('15a'!$J$7:$J$100,'15a'!$H$7:$H$100,$A397,'15a'!$I$7:$I$100,1)+SUMIFS('15b'!$J$7:$J$100,'15b'!$H$7:$H$100,$A397,'15b'!$I$7:$I$100,1)+SUMIFS('15c'!$J$7:$J$100,'15c'!$H$7:$H$100,$A397,'15c'!$I$7:$I$100,1)+SUMIFS('15d'!$J$7:$J$100,'15d'!$H$7:$H$100,$A397,'15d'!$I$7:$I$100,1)+SUMIFS('15e'!$J$7:$J$100,'15e'!$H$7:$H$100,$A397,'15e'!$I$7:$I$100,1)+SUMIFS('15f'!$J$7:$J$100,'15f'!$H$7:$H$100,$A397,'15f'!$I$7:$I$100,1)+SUMIFS('15g'!$J$7:$J$100,'15g'!$H$7:$H$100,$A397,'15g'!$I$7:$I$100,1)+SUMIFS('15h'!$J$7:$J$100,'15h'!$H$7:$H$100,$A397,'15h'!$I$7:$I$100,1)+SUMIFS('15i'!$J$7:$J$100,'15i'!$H$7:$H$100,$A397,'15i'!$I$7:$I$100,1)+SUMIFS('15j'!$J$7:$J$100,'15j'!$H$7:$H$100,$A397,'15j'!$I$7:$I$100,1)+SUMIFS('15k'!$J$7:$J$100,'15k'!$H$7:$H$100,$A397,'15k'!$I$7:$I$100,1)+SUMIFS('15l'!$J$7:$J$100,'15l'!$H$7:$H$100,$A397,'15l'!$I$7:$I$100,1)+SUMIFS('15m'!$J$7:$J$100,'15m'!$H$7:$H$100,$A397,'15m'!$I$7:$I$100,1)+SUMIFS('15n'!$J$7:$J$100,'15n'!$H$7:$H$100,$A397,'15n'!$I$7:$I$100,1)+SUMIFS('16'!$J$7:$J$100,'16'!$H$7:$H$100,$A397,'16'!$I$7:$I$100,1)+SUMIFS('16a'!$J$7:$J$100,'16a'!$H$7:$H$100,$A397,'16a'!$I$7:$I$100,1)+SUMIFS('17'!$J$7:$J$100,'17'!$H$7:$H$100,$A397,'17'!$I$7:$I$100,1)+SUMIFS('17a'!$J$7:$J$100,'17a'!$H$7:$H$100,$A397,'17a'!$I$7:$I$100,1)+SUMIFS('18'!$J$7:$J$100,'18'!$H$7:$H$100,$A397,'18'!$I$7:$I$100,1)+SUMIFS('18a'!$J$7:$J$100,'18a'!$H$7:$H$100,$A397,'18a'!$I$7:$I$100,1)
+SUMIFS('19'!$J$7:$J$100,'19'!$H$7:$H$100,$A397,'19'!$I$7:$I$100,1)+SUMIFS('20'!$J$7:$J$100,'20'!$H$7:$H$100,$A397,'20'!$I$7:$I$100,1)+SUMIFS('20a'!$J$7:$J$100,'20a'!$H$7:$H$100,$A397,'20a'!$I$7:$I$100,1)+SUMIFS('21'!$J$7:$J$100,'21'!$H$7:$H$100,$A397,'21'!$I$7:$I$100,1)+SUMIFS('22'!$J$7:$J$100,'22'!$H$7:$H$100,$A397,'22'!$I$7:$I$100,1)+SUMIFS('22a'!$J$7:$J$100,'22a'!$H$7:$H$100,$A397,'22a'!$I$7:$I$100,1)+SUMIFS('22b'!$J$7:$J$100,'22b'!$H$7:$H$100,$A397,'22b'!$I$7:$I$100,1)+SUMIFS('23'!$J$7:$J$100,'23'!$H$7:$H$100,$A397,'23'!$I$7:$I$100,1)+SUMIFS('24'!$J$7:$J$100,'24'!$H$7:$H$100,$A397,'24'!$I$7:$I$100,1)+SUMIFS('24a'!$J$7:$J$100,'24a'!$H$7:$H$100,$A397,'24a'!$I$7:$I$100,1)+SUMIFS('24b'!$J$7:$J$100,'24b'!$H$7:$H$100,$A397,'24b'!$I$7:$I$100,1)+SUMIFS('24c'!$J$7:$J$100,'24c'!$H$7:$H$100,$A397,'24c'!$I$7:$I$100,1)+SUMIFS('24d'!$J$7:$J$100,'24d'!$H$7:$H$100,$A397,'24d'!$I$7:$I$100,1)+SUMIFS('24e'!$J$7:$J$100,'24e'!$H$7:$H$100,$A397,'24e'!$I$7:$I$100,1)+SUMIFS('24f'!$J$7:$J$100,'24f'!$H$7:$H$100,$A397,'24f'!$I$7:$I$100,1)+SUMIFS('24g'!$J$7:$J$100,'24g'!$H$7:$H$100,$A397,'24g'!$I$7:$I$100,1)+SUMIFS('24h'!$J$7:$J$100,'24h'!$H$7:$H$100,$A397,'24h'!$I$7:$I$100,1)+SUMIFS('24i'!$J$7:$J$100,'24i'!$H$7:$H$100,$A397,'24i'!$I$7:$I$100,1)+SUMIFS('25'!$J$7:$J$100,'25'!$H$7:$H$100,$A397,'25'!$I$7:$I$100,1)+SUMIFS('26'!$J$7:$J$100,'26'!$H$7:$H$100,$A397,'26'!$I$7:$I$100,1)+SUMIFS('26a'!$J$7:$J$100,'26a'!$H$7:$H$100,$A397,'26a'!$I$7:$I$100,1)+SUMIFS('27'!$J$7:$J$100,'27'!$H$7:$H$100,$A397,'27'!$I$7:$I$100,1)+SUMIFS('27a'!$J$7:$J$100,'27a'!$H$7:$H$100,$A397,'27a'!$I$7:$I$100,1)+SUMIFS('28'!$J$7:$J$100,'28'!$H$7:$H$100,$A397,'28'!$I$7:$I$100,1)+SUMIFS('29'!$J$7:$J$100,'29'!$H$7:$H$100,$A397,'29'!$I$7:$I$100,1)</f>
        <v>0</v>
      </c>
      <c r="H397" s="1315">
        <f>SUMIFS('12'!$J$7:$J$100,'12'!$H$7:$H$100,$A397,'12'!$I$7:$I$100,2)+SUMIFS('13'!$J$7:$J$100,'13'!$H$7:$H$100,$A397,'13'!$I$7:$I$100,2)+SUMIFS('14'!$J$7:$J$100,'14'!$H$7:$H$100,$A397,'14'!$I$7:$I$100,2)+SUMIFS('15'!$J$7:$J$100,'15'!$H$7:$H$100,$A397,'15'!$I$7:$I$100,2)+SUMIFS('15a'!$J$7:$J$100,'15a'!$H$7:$H$100,$A397,'15a'!$I$7:$I$100,2)+SUMIFS('15b'!$J$7:$J$100,'15b'!$H$7:$H$100,$A397,'15b'!$I$7:$I$100,2)+SUMIFS('15c'!$J$7:$J$100,'15c'!$H$7:$H$100,$A397,'15c'!$I$7:$I$100,2)+SUMIFS('15d'!$J$7:$J$100,'15d'!$H$7:$H$100,$A397,'15d'!$I$7:$I$100,2)+SUMIFS('15e'!$J$7:$J$100,'15e'!$H$7:$H$100,$A397,'15e'!$I$7:$I$100,2)+SUMIFS('15f'!$J$7:$J$100,'15f'!$H$7:$H$100,$A397,'15f'!$I$7:$I$100,2)+SUMIFS('15g'!$J$7:$J$100,'15g'!$H$7:$H$100,$A397,'15g'!$I$7:$I$100,2)+SUMIFS('15h'!$J$7:$J$100,'15h'!$H$7:$H$100,$A397,'15h'!$I$7:$I$100,2)+SUMIFS('15i'!$J$7:$J$100,'15i'!$H$7:$H$100,$A397,'15i'!$I$7:$I$100,2)+SUMIFS('15j'!$J$7:$J$100,'15j'!$H$7:$H$100,$A397,'15j'!$I$7:$I$100,2)+SUMIFS('15k'!$J$7:$J$100,'15k'!$H$7:$H$100,$A397,'15k'!$I$7:$I$100,2)+SUMIFS('15l'!$J$7:$J$100,'15l'!$H$7:$H$100,$A397,'15l'!$I$7:$I$100,2)+SUMIFS('15m'!$J$7:$J$100,'15m'!$H$7:$H$100,$A397,'15m'!$I$7:$I$100,2)+SUMIFS('15n'!$J$7:$J$100,'15n'!$H$7:$H$100,$A397,'15n'!$I$7:$I$100,2)+SUMIFS('16'!$J$7:$J$100,'16'!$H$7:$H$100,$A397,'16'!$I$7:$I$100,2)+SUMIFS('16a'!$J$7:$J$100,'16a'!$H$7:$H$100,$A397,'16a'!$I$7:$I$100,2)+SUMIFS('17'!$J$7:$J$100,'17'!$H$7:$H$100,$A397,'17'!$I$7:$I$100,2)+SUMIFS('17a'!$J$7:$J$100,'17a'!$H$7:$H$100,$A397,'17a'!$I$7:$I$100,2)+SUMIFS('18'!$J$7:$J$100,'18'!$H$7:$H$100,$A397,'18'!$I$7:$I$100,2)+SUMIFS('18a'!$J$7:$J$100,'18a'!$H$7:$H$100,$A397,'18a'!$I$7:$I$100,2)
+SUMIFS('19'!$J$7:$J$100,'19'!$H$7:$H$100,$A397,'19'!$I$7:$I$100,2)+SUMIFS('20'!$J$7:$J$100,'20'!$H$7:$H$100,$A397,'20'!$I$7:$I$100,2)+SUMIFS('20a'!$J$7:$J$100,'20a'!$H$7:$H$100,$A397,'20a'!$I$7:$I$100,2)+SUMIFS('21'!$J$7:$J$100,'21'!$H$7:$H$100,$A397,'21'!$I$7:$I$100,2)+SUMIFS('22'!$J$7:$J$100,'22'!$H$7:$H$100,$A397,'22'!$I$7:$I$100,2)+SUMIFS('22a'!$J$7:$J$100,'22a'!$H$7:$H$100,$A397,'22a'!$I$7:$I$100,2)+SUMIFS('22b'!$J$7:$J$100,'22b'!$H$7:$H$100,$A397,'22b'!$I$7:$I$100,2)+SUMIFS('23'!$J$7:$J$100,'23'!$H$7:$H$100,$A397,'23'!$I$7:$I$100,2)+SUMIFS('24'!$J$7:$J$100,'24'!$H$7:$H$100,$A397,'24'!$I$7:$I$100,2)+SUMIFS('24a'!$J$7:$J$100,'24a'!$H$7:$H$100,$A397,'24a'!$I$7:$I$100,2)+SUMIFS('24b'!$J$7:$J$100,'24b'!$H$7:$H$100,$A397,'24b'!$I$7:$I$100,2)+SUMIFS('24c'!$J$7:$J$100,'24c'!$H$7:$H$100,$A397,'24c'!$I$7:$I$100,2)+SUMIFS('24d'!$J$7:$J$100,'24d'!$H$7:$H$100,$A397,'24d'!$I$7:$I$100,2)+SUMIFS('24e'!$J$7:$J$100,'24e'!$H$7:$H$100,$A397,'24e'!$I$7:$I$100,2)+SUMIFS('24f'!$J$7:$J$100,'24f'!$H$7:$H$100,$A397,'24f'!$I$7:$I$100,2)+SUMIFS('24g'!$J$7:$J$100,'24g'!$H$7:$H$100,$A397,'24g'!$I$7:$I$100,2)+SUMIFS('24h'!$J$7:$J$100,'24h'!$H$7:$H$100,$A397,'24h'!$I$7:$I$100,2)+SUMIFS('24i'!$J$7:$J$100,'24i'!$H$7:$H$100,$A397,'24i'!$I$7:$I$100,2)+SUMIFS('25'!$J$7:$J$100,'25'!$H$7:$H$100,$A397,'25'!$I$7:$I$100,2)+SUMIFS('26'!$J$7:$J$100,'26'!$H$7:$H$100,$A397,'26'!$I$7:$I$100,2)+SUMIFS('26a'!$J$7:$J$100,'26a'!$H$7:$H$100,$A397,'26a'!$I$7:$I$100,2)+SUMIFS('27'!$J$7:$J$100,'27'!$H$7:$H$100,$A397,'27'!$I$7:$I$100,2)+SUMIFS('27a'!$J$7:$J$100,'27a'!$H$7:$H$100,$A397,'27a'!$I$7:$I$100,2)+SUMIFS('28'!$J$7:$J$100,'28'!$H$7:$H$100,$A397,'28'!$I$7:$I$100,2)+SUMIFS('29'!$J$7:$J$100,'29'!$H$7:$H$100,$A397,'29'!$I$7:$I$100,2)</f>
        <v>0</v>
      </c>
      <c r="I397" s="1315">
        <f>SUMIFS('12'!$J$7:$J$100,'12'!$H$7:$H$100,$A397,'12'!$I$7:$I$100,"")+SUMIFS('13'!$J$7:$J$100,'13'!$H$7:$H$100,$A397,'13'!$I$7:$I$100,"")+SUMIFS('14'!$J$7:$J$100,'14'!$H$7:$H$100,$A397,'14'!$I$7:$I$100,"")+SUMIFS('15'!$J$7:$J$100,'15'!$H$7:$H$100,$A397,'15'!$I$7:$I$100,"")+SUMIFS('15a'!$J$7:$J$100,'15a'!$H$7:$H$100,$A397,'15a'!$I$7:$I$100,"")+SUMIFS('15b'!$J$7:$J$100,'15b'!$H$7:$H$100,$A397,'15b'!$I$7:$I$100,"")+SUMIFS('15c'!$J$7:$J$100,'15c'!$H$7:$H$100,$A397,'15c'!$I$7:$I$100,"")+SUMIFS('15d'!$J$7:$J$100,'15d'!$H$7:$H$100,$A397,'15d'!$I$7:$I$100,"")+SUMIFS('15e'!$J$7:$J$100,'15e'!$H$7:$H$100,$A397,'15e'!$I$7:$I$100,"")+SUMIFS('15f'!$J$7:$J$100,'15f'!$H$7:$H$100,$A397,'15f'!$I$7:$I$100,"")+SUMIFS('15g'!$J$7:$J$100,'15g'!$H$7:$H$100,$A397,'15g'!$I$7:$I$100,"")+SUMIFS('15h'!$J$7:$J$100,'15h'!$H$7:$H$100,$A397,'15h'!$I$7:$I$100,"")+SUMIFS('15i'!$J$7:$J$100,'15i'!$H$7:$H$100,$A397,'15i'!$I$7:$I$100,"")+SUMIFS('15j'!$J$7:$J$100,'15j'!$H$7:$H$100,$A397,'15j'!$I$7:$I$100,"")+SUMIFS('15k'!$J$7:$J$100,'15k'!$H$7:$H$100,$A397,'15k'!$I$7:$I$100,"")+SUMIFS('15l'!$J$7:$J$100,'15l'!$H$7:$H$100,$A397,'15l'!$I$7:$I$100,"")+SUMIFS('15m'!$J$7:$J$100,'15m'!$H$7:$H$100,$A397,'15m'!$I$7:$I$100,"")+SUMIFS('15n'!$J$7:$J$100,'15n'!$H$7:$H$100,$A397,'15n'!$I$7:$I$100,"")+SUMIFS('16'!$J$7:$J$100,'16'!$H$7:$H$100,$A397,'16'!$I$7:$I$100,"")+SUMIFS('16a'!$J$7:$J$100,'16a'!$H$7:$H$100,$A397,'16a'!$I$7:$I$100,"")+SUMIFS('17'!$J$7:$J$100,'17'!$H$7:$H$100,$A397,'17'!$I$7:$I$100,"")+SUMIFS('17a'!$J$7:$J$100,'17a'!$H$7:$H$100,$A397,'17a'!$I$7:$I$100,"")+SUMIFS('18'!$J$7:$J$100,'18'!$H$7:$H$100,$A397,'18'!$I$7:$I$100,"")+SUMIFS('18a'!$J$7:$J$100,'18a'!$H$7:$H$100,$A397,'18a'!$I$7:$I$100,"")
+SUMIFS('19'!$J$7:$J$100,'19'!$H$7:$H$100,$A397,'19'!$I$7:$I$100,"")+SUMIFS('20'!$J$7:$J$100,'20'!$H$7:$H$100,$A397,'20'!$I$7:$I$100,"")+SUMIFS('20a'!$J$7:$J$100,'20a'!$H$7:$H$100,$A397,'20a'!$I$7:$I$100,"")+SUMIFS('21'!$J$7:$J$100,'21'!$H$7:$H$100,$A397,'21'!$I$7:$I$100,"")+SUMIFS('22'!$J$7:$J$100,'22'!$H$7:$H$100,$A397,'22'!$I$7:$I$100,"")+SUMIFS('22a'!$J$7:$J$100,'22a'!$H$7:$H$100,$A397,'22a'!$I$7:$I$100,"")+SUMIFS('22b'!$J$7:$J$100,'22b'!$H$7:$H$100,$A397,'22b'!$I$7:$I$100,"")+SUMIFS('23'!$J$7:$J$100,'23'!$H$7:$H$100,$A397,'23'!$I$7:$I$100,"")+SUMIFS('24'!$J$7:$J$100,'24'!$H$7:$H$100,$A397,'24'!$I$7:$I$100,"")+SUMIFS('24a'!$J$7:$J$100,'24a'!$H$7:$H$100,$A397,'24a'!$I$7:$I$100,"")+SUMIFS('24b'!$J$7:$J$100,'24b'!$H$7:$H$100,$A397,'24b'!$I$7:$I$100,"")+SUMIFS('24c'!$J$7:$J$100,'24c'!$H$7:$H$100,$A397,'24c'!$I$7:$I$100,"")+SUMIFS('24d'!$J$7:$J$100,'24d'!$H$7:$H$100,$A397,'24d'!$I$7:$I$100,"")+SUMIFS('24e'!$J$7:$J$100,'24e'!$H$7:$H$100,$A397,'24e'!$I$7:$I$100,"")+SUMIFS('24f'!$J$7:$J$100,'24f'!$H$7:$H$100,$A397,'24f'!$I$7:$I$100,"")+SUMIFS('24g'!$J$7:$J$100,'24g'!$H$7:$H$100,$A397,'24g'!$I$7:$I$100,"")+SUMIFS('24h'!$J$7:$J$100,'24h'!$H$7:$H$100,$A397,'24h'!$I$7:$I$100,"")+SUMIFS('24i'!$J$7:$J$100,'24i'!$H$7:$H$100,$A397,'24i'!$I$7:$I$100,"")+SUMIFS('25'!$J$7:$J$100,'25'!$H$7:$H$100,$A397,'25'!$I$7:$I$100,"")+SUMIFS('26'!$J$7:$J$100,'26'!$H$7:$H$100,$A397,'26'!$I$7:$I$100,"")+SUMIFS('26a'!$J$7:$J$100,'26a'!$H$7:$H$100,$A397,'26a'!$I$7:$I$100,"")+SUMIFS('27'!$J$7:$J$100,'27'!$H$7:$H$100,$A397,'27'!$I$7:$I$100,"")+SUMIFS('27a'!$J$7:$J$100,'27a'!$H$7:$H$100,$A397,'27a'!$I$7:$I$100,"")+SUMIFS('28'!$J$7:$J$100,'28'!$H$7:$H$100,$A397,'28'!$I$7:$I$100,"")+SUMIFS('29'!$J$7:$J$100,'29'!$H$7:$H$100,$A397,'29'!$I$7:$I$100,"")</f>
        <v>0</v>
      </c>
      <c r="J397" s="1296">
        <f>SUM(G397:I397)</f>
        <v>0</v>
      </c>
      <c r="K397"/>
      <c r="L397"/>
      <c r="M397"/>
      <c r="N397"/>
      <c r="O397"/>
      <c r="P397"/>
      <c r="Q397"/>
      <c r="R397"/>
      <c r="S397" s="1307">
        <f t="shared" si="48"/>
        <v>0</v>
      </c>
      <c r="T397"/>
    </row>
    <row r="398" spans="1:20" x14ac:dyDescent="0.2">
      <c r="A398"/>
      <c r="B398" s="1289" t="str">
        <f>"Total- "&amp;A395</f>
        <v>Total- Court and Public Defender</v>
      </c>
      <c r="C398" s="1297">
        <f>SUM(C396:C397)</f>
        <v>0</v>
      </c>
      <c r="D398" s="1290">
        <f t="shared" ref="D398:J398" si="63">SUM(D396:D397)</f>
        <v>0</v>
      </c>
      <c r="E398" s="1290">
        <f t="shared" si="63"/>
        <v>0</v>
      </c>
      <c r="F398" s="1298">
        <f t="shared" si="63"/>
        <v>0</v>
      </c>
      <c r="G398" s="1297">
        <f t="shared" si="63"/>
        <v>0</v>
      </c>
      <c r="H398" s="1290">
        <f t="shared" si="63"/>
        <v>0</v>
      </c>
      <c r="I398" s="1290">
        <f t="shared" si="63"/>
        <v>0</v>
      </c>
      <c r="J398" s="1298">
        <f t="shared" si="63"/>
        <v>0</v>
      </c>
      <c r="K398"/>
      <c r="L398"/>
      <c r="M398"/>
      <c r="N398"/>
      <c r="O398"/>
      <c r="P398"/>
      <c r="Q398"/>
      <c r="R398"/>
      <c r="S398" s="1307"/>
      <c r="T398"/>
    </row>
    <row r="399" spans="1:20" ht="13.5" customHeight="1" x14ac:dyDescent="0.2">
      <c r="A399"/>
      <c r="B399"/>
      <c r="C399" s="1300"/>
      <c r="D399" s="29"/>
      <c r="E399"/>
      <c r="F399" s="345"/>
      <c r="G399" s="292"/>
      <c r="H399"/>
      <c r="I399"/>
      <c r="J399" s="345"/>
      <c r="K399"/>
      <c r="L399"/>
      <c r="M399"/>
      <c r="N399"/>
      <c r="O399"/>
      <c r="P399"/>
      <c r="Q399"/>
      <c r="R399"/>
      <c r="S399" s="1307"/>
      <c r="T399"/>
    </row>
    <row r="400" spans="1:20" ht="12.75" customHeight="1" x14ac:dyDescent="0.2">
      <c r="A400" s="106" t="s">
        <v>342</v>
      </c>
      <c r="B400" s="5"/>
      <c r="C400" s="1299"/>
      <c r="D400" s="523"/>
      <c r="E400" s="5"/>
      <c r="F400" s="1322"/>
      <c r="G400" s="1321"/>
      <c r="H400" s="5"/>
      <c r="I400" s="5"/>
      <c r="J400" s="1322"/>
      <c r="K400"/>
      <c r="L400"/>
      <c r="M400"/>
      <c r="N400"/>
      <c r="O400"/>
      <c r="P400"/>
      <c r="Q400"/>
      <c r="R400"/>
      <c r="S400" s="1307"/>
      <c r="T400"/>
    </row>
    <row r="401" spans="1:20" x14ac:dyDescent="0.2">
      <c r="A401" s="784" t="s">
        <v>543</v>
      </c>
      <c r="B401" t="s">
        <v>247</v>
      </c>
      <c r="C401" s="1295">
        <f>SUMIFS('12'!$N$7:$N$100,'12'!$H$7:$H$100,$A401,'12'!$I$7:$I$100,1)+SUMIFS('13'!$N$7:$N$100,'13'!$H$7:$H$100,$A401,'13'!$I$7:$I$100,1)+SUMIFS('14'!$N$7:$N$100,'14'!$H$7:$H$100,$A401,'14'!$I$7:$I$100,1)+SUMIFS('15'!$N$7:$N$100,'15'!$H$7:$H$100,$A401,'15'!$I$7:$I$100,1)+SUMIFS('15a'!$N$7:$N$100,'15a'!$H$7:$H$100,$A401,'15a'!$I$7:$I$100,1)+SUMIFS('15b'!$N$7:$N$100,'15b'!$H$7:$H$100,$A401,'15b'!$I$7:$I$100,1)+SUMIFS('15c'!$N$7:$N$100,'15c'!$H$7:$H$100,$A401,'15c'!$I$7:$I$100,1)+SUMIFS('15d'!$N$7:$N$100,'15d'!$H$7:$H$100,$A401,'15d'!$I$7:$I$100,1)+SUMIFS('15e'!$N$7:$N$100,'15e'!$H$7:$H$100,$A401,'15e'!$I$7:$I$100,1)+SUMIFS('15f'!$N$7:$N$100,'15f'!$H$7:$H$100,$A401,'15f'!$I$7:$I$100,1)+SUMIFS('15g'!$N$7:$N$100,'15g'!$H$7:$H$100,$A401,'15g'!$I$7:$I$100,1)+SUMIFS('15h'!$N$7:$N$100,'15h'!$H$7:$H$100,$A401,'15h'!$I$7:$I$100,1)+SUMIFS('15i'!$N$7:$N$100,'15i'!$H$7:$H$100,$A401,'15i'!$I$7:$I$100,1)+SUMIFS('15j'!$N$7:$N$100,'15j'!$H$7:$H$100,$A401,'15j'!$I$7:$I$100,1)+SUMIFS('15k'!$N$7:$N$100,'15k'!$H$7:$H$100,$A401,'15k'!$I$7:$I$100,1)+SUMIFS('15l'!$N$7:$N$100,'15l'!$H$7:$H$100,$A401,'15l'!$I$7:$I$100,1)+SUMIFS('15m'!$N$7:$N$100,'15m'!$H$7:$H$100,$A401,'15m'!$I$7:$I$100,1)+SUMIFS('15n'!$N$7:$N$100,'15n'!$H$7:$H$100,$A401,'15n'!$I$7:$I$100,1)+SUMIFS('16'!$N$7:$N$100,'16'!$H$7:$H$100,$A401,'16'!$I$7:$I$100,1)+SUMIFS('16a'!$N$7:$N$100,'16a'!$H$7:$H$100,$A401,'16a'!$I$7:$I$100,1)+SUMIFS('17'!$N$7:$N$100,'17'!$H$7:$H$100,$A401,'17'!$I$7:$I$100,1)+SUMIFS('17a'!$N$7:$N$100,'17a'!$H$7:$H$100,$A401,'17a'!$I$7:$I$100,1)+SUMIFS('18'!$N$7:$N$100,'18'!$H$7:$H$100,$A401,'18'!$I$7:$I$100,1)+SUMIFS('18a'!$N$7:$N$100,'18a'!$H$7:$H$100,$A401,'18a'!$I$7:$I$100,1)
+SUMIFS('19'!$N$7:$N$100,'19'!$H$7:$H$100,$A401,'19'!$I$7:$I$100,1)+SUMIFS('20'!$N$7:$N$100,'20'!$H$7:$H$100,$A401,'20'!$I$7:$I$100,1)+SUMIFS('20a'!$N$7:$N$100,'20a'!$H$7:$H$100,$A401,'20a'!$I$7:$I$100,1)+SUMIFS('21'!$N$7:$N$100,'21'!$H$7:$H$100,$A401,'21'!$I$7:$I$100,1)+SUMIFS('22'!$N$7:$N$100,'22'!$H$7:$H$100,$A401,'22'!$I$7:$I$100,1)+SUMIFS('22a'!$N$7:$N$100,'22a'!$H$7:$H$100,$A401,'22a'!$I$7:$I$100,1)+SUMIFS('22b'!$N$7:$N$100,'22b'!$H$7:$H$100,$A401,'22b'!$I$7:$I$100,1)+SUMIFS('23'!$N$7:$N$100,'23'!$H$7:$H$100,$A401,'23'!$I$7:$I$100,1)+SUMIFS('24'!$N$7:$N$100,'24'!$H$7:$H$100,$A401,'24'!$I$7:$I$100,1)+SUMIFS('24a'!$N$7:$N$100,'24a'!$H$7:$H$100,$A401,'24a'!$I$7:$I$100,1)+SUMIFS('24b'!$N$7:$N$100,'24b'!$H$7:$H$100,$A401,'24b'!$I$7:$I$100,1)+SUMIFS('24c'!$N$7:$N$100,'24c'!$H$7:$H$100,$A401,'24c'!$I$7:$I$100,1)+SUMIFS('24d'!$N$7:$N$100,'24d'!$H$7:$H$100,$A401,'24d'!$I$7:$I$100,1)+SUMIFS('24e'!$N$7:$N$100,'24e'!$H$7:$H$100,$A401,'24e'!$I$7:$I$100,1)+SUMIFS('24f'!$N$7:$N$100,'24f'!$H$7:$H$100,$A401,'24f'!$I$7:$I$100,1)+SUMIFS('24g'!$N$7:$N$100,'24g'!$H$7:$H$100,$A401,'24g'!$I$7:$I$100,1)+SUMIFS('24h'!$N$7:$N$100,'24h'!$H$7:$H$100,$A401,'24h'!$I$7:$I$100,1)+SUMIFS('24i'!$N$7:$N$100,'24i'!$H$7:$H$100,$A401,'24i'!$I$7:$I$100,1)+SUMIFS('25'!$N$7:$N$100,'25'!$H$7:$H$100,$A401,'25'!$I$7:$I$100,1)+SUMIFS('26'!$N$7:$N$100,'26'!$H$7:$H$100,$A401,'26'!$I$7:$I$100,1)+SUMIFS('26a'!$N$7:$N$100,'26a'!$H$7:$H$100,$A401,'26a'!$I$7:$I$100,1)+SUMIFS('27'!$N$7:$N$100,'27'!$H$7:$H$100,$A401,'27'!$I$7:$I$100,1)+SUMIFS('27a'!$N$7:$N$100,'27a'!$H$7:$H$100,$A401,'27a'!$I$7:$I$100,1)+SUMIFS('28'!$N$7:$N$100,'28'!$H$7:$H$100,$A401,'28'!$I$7:$I$100,1)+SUMIFS('29'!$N$7:$N$100,'29'!$H$7:$H$100,$A401,'29'!$I$7:$I$100,1)</f>
        <v>0</v>
      </c>
      <c r="D401" s="1315">
        <f>SUMIFS('12'!$N$7:$N$100,'12'!$H$7:$H$100,$A401,'12'!$I$7:$I$100,2)+SUMIFS('13'!$N$7:$N$100,'13'!$H$7:$H$100,$A401,'13'!$I$7:$I$100,2)+SUMIFS('14'!$N$7:$N$100,'14'!$H$7:$H$100,$A401,'14'!$I$7:$I$100,2)+SUMIFS('15'!$N$7:$N$100,'15'!$H$7:$H$100,$A401,'15'!$I$7:$I$100,2)+SUMIFS('15a'!$N$7:$N$100,'15a'!$H$7:$H$100,$A401,'15a'!$I$7:$I$100,2)+SUMIFS('15b'!$N$7:$N$100,'15b'!$H$7:$H$100,$A401,'15b'!$I$7:$I$100,2)+SUMIFS('15c'!$N$7:$N$100,'15c'!$H$7:$H$100,$A401,'15c'!$I$7:$I$100,2)+SUMIFS('15d'!$N$7:$N$100,'15d'!$H$7:$H$100,$A401,'15d'!$I$7:$I$100,2)+SUMIFS('15e'!$N$7:$N$100,'15e'!$H$7:$H$100,$A401,'15e'!$I$7:$I$100,2)+SUMIFS('15f'!$N$7:$N$100,'15f'!$H$7:$H$100,$A401,'15f'!$I$7:$I$100,2)+SUMIFS('15g'!$N$7:$N$100,'15g'!$H$7:$H$100,$A401,'15g'!$I$7:$I$100,2)+SUMIFS('15h'!$N$7:$N$100,'15h'!$H$7:$H$100,$A401,'15h'!$I$7:$I$100,2)+SUMIFS('15i'!$N$7:$N$100,'15i'!$H$7:$H$100,$A401,'15i'!$I$7:$I$100,2)+SUMIFS('15j'!$N$7:$N$100,'15j'!$H$7:$H$100,$A401,'15j'!$I$7:$I$100,2)+SUMIFS('15k'!$N$7:$N$100,'15k'!$H$7:$H$100,$A401,'15k'!$I$7:$I$100,2)+SUMIFS('15l'!$N$7:$N$100,'15l'!$H$7:$H$100,$A401,'15l'!$I$7:$I$100,2)+SUMIFS('15m'!$N$7:$N$100,'15m'!$H$7:$H$100,$A401,'15m'!$I$7:$I$100,2)+SUMIFS('15n'!$N$7:$N$100,'15n'!$H$7:$H$100,$A401,'15n'!$I$7:$I$100,2)+SUMIFS('16'!$N$7:$N$100,'16'!$H$7:$H$100,$A401,'16'!$I$7:$I$100,2)+SUMIFS('16a'!$N$7:$N$100,'16a'!$H$7:$H$100,$A401,'16a'!$I$7:$I$100,2)+SUMIFS('17'!$N$7:$N$100,'17'!$H$7:$H$100,$A401,'17'!$I$7:$I$100,2)+SUMIFS('17a'!$N$7:$N$100,'17a'!$H$7:$H$100,$A401,'17a'!$I$7:$I$100,2)+SUMIFS('18'!$N$7:$N$100,'18'!$H$7:$H$100,$A401,'18'!$I$7:$I$100,2)+SUMIFS('18a'!$N$7:$N$100,'18a'!$H$7:$H$100,$A401,'18a'!$I$7:$I$100,2)
+SUMIFS('19'!$N$7:$N$100,'19'!$H$7:$H$100,$A401,'19'!$I$7:$I$100,2)+SUMIFS('20'!$N$7:$N$100,'20'!$H$7:$H$100,$A401,'20'!$I$7:$I$100,2)+SUMIFS('20a'!$N$7:$N$100,'20a'!$H$7:$H$100,$A401,'20a'!$I$7:$I$100,2)+SUMIFS('21'!$N$7:$N$100,'21'!$H$7:$H$100,$A401,'21'!$I$7:$I$100,2)+SUMIFS('22'!$N$7:$N$100,'22'!$H$7:$H$100,$A401,'22'!$I$7:$I$100,2)+SUMIFS('22a'!$N$7:$N$100,'22a'!$H$7:$H$100,$A401,'22a'!$I$7:$I$100,2)+SUMIFS('22b'!$N$7:$N$100,'22b'!$H$7:$H$100,$A401,'22b'!$I$7:$I$100,2)+SUMIFS('23'!$N$7:$N$100,'23'!$H$7:$H$100,$A401,'23'!$I$7:$I$100,2)+SUMIFS('24'!$N$7:$N$100,'24'!$H$7:$H$100,$A401,'24'!$I$7:$I$100,2)+SUMIFS('24a'!$N$7:$N$100,'24a'!$H$7:$H$100,$A401,'24a'!$I$7:$I$100,2)+SUMIFS('24b'!$N$7:$N$100,'24b'!$H$7:$H$100,$A401,'24b'!$I$7:$I$100,2)+SUMIFS('24c'!$N$7:$N$100,'24c'!$H$7:$H$100,$A401,'24c'!$I$7:$I$100,2)+SUMIFS('24d'!$N$7:$N$100,'24d'!$H$7:$H$100,$A401,'24d'!$I$7:$I$100,2)+SUMIFS('24e'!$N$7:$N$100,'24e'!$H$7:$H$100,$A401,'24e'!$I$7:$I$100,2)+SUMIFS('24f'!$N$7:$N$100,'24f'!$H$7:$H$100,$A401,'24f'!$I$7:$I$100,2)+SUMIFS('24g'!$N$7:$N$100,'24g'!$H$7:$H$100,$A401,'24g'!$I$7:$I$100,2)+SUMIFS('24h'!$N$7:$N$100,'24h'!$H$7:$H$100,$A401,'24h'!$I$7:$I$100,2)+SUMIFS('24i'!$N$7:$N$100,'24i'!$H$7:$H$100,$A401,'24i'!$I$7:$I$100,2)+SUMIFS('25'!$N$7:$N$100,'25'!$H$7:$H$100,$A401,'25'!$I$7:$I$100,2)+SUMIFS('26'!$N$7:$N$100,'26'!$H$7:$H$100,$A401,'26'!$I$7:$I$100,2)+SUMIFS('26a'!$N$7:$N$100,'26a'!$H$7:$H$100,$A401,'26a'!$I$7:$I$100,2)+SUMIFS('27'!$N$7:$N$100,'27'!$H$7:$H$100,$A401,'27'!$I$7:$I$100,2)+SUMIFS('27a'!$N$7:$N$100,'27a'!$H$7:$H$100,$A401,'27a'!$I$7:$I$100,2)+SUMIFS('28'!$N$7:$N$100,'28'!$H$7:$H$100,$A401,'28'!$I$7:$I$100,2)+SUMIFS('29'!$N$7:$N$100,'29'!$H$7:$H$100,$A401,'29'!$I$7:$I$100,2)</f>
        <v>0</v>
      </c>
      <c r="E401" s="1315">
        <f>SUMIFS('12'!$N$7:$N$100,'12'!$H$7:$H$100,$A401,'12'!$I$7:$I$100,"")+SUMIFS('13'!$N$7:$N$100,'13'!$H$7:$H$100,$A401,'13'!$I$7:$I$100,"")+SUMIFS('14'!$N$7:$N$100,'14'!$H$7:$H$100,$A401,'14'!$I$7:$I$100,"")+SUMIFS('15'!$N$7:$N$100,'15'!$H$7:$H$100,$A401,'15'!$I$7:$I$100,"")+SUMIFS('15a'!$N$7:$N$100,'15a'!$H$7:$H$100,$A401,'15a'!$I$7:$I$100,"")+SUMIFS('15b'!$N$7:$N$100,'15b'!$H$7:$H$100,$A401,'15b'!$I$7:$I$100,"")+SUMIFS('15c'!$N$7:$N$100,'15c'!$H$7:$H$100,$A401,'15c'!$I$7:$I$100,"")+SUMIFS('15d'!$N$7:$N$100,'15d'!$H$7:$H$100,$A401,'15d'!$I$7:$I$100,"")+SUMIFS('15e'!$N$7:$N$100,'15e'!$H$7:$H$100,$A401,'15e'!$I$7:$I$100,"")+SUMIFS('15f'!$N$7:$N$100,'15f'!$H$7:$H$100,$A401,'15f'!$I$7:$I$100,"")+SUMIFS('15g'!$N$7:$N$100,'15g'!$H$7:$H$100,$A401,'15g'!$I$7:$I$100,"")+SUMIFS('15h'!$N$7:$N$100,'15h'!$H$7:$H$100,$A401,'15h'!$I$7:$I$100,"")+SUMIFS('15i'!$N$7:$N$100,'15i'!$H$7:$H$100,$A401,'15i'!$I$7:$I$100,"")+SUMIFS('15j'!$N$7:$N$100,'15j'!$H$7:$H$100,$A401,'15j'!$I$7:$I$100,"")+SUMIFS('15k'!$N$7:$N$100,'15k'!$H$7:$H$100,$A401,'15k'!$I$7:$I$100,"")+SUMIFS('15l'!$N$7:$N$100,'15l'!$H$7:$H$100,$A401,'15l'!$I$7:$I$100,"")+SUMIFS('15m'!$N$7:$N$100,'15m'!$H$7:$H$100,$A401,'15m'!$I$7:$I$100,"")+SUMIFS('15n'!$N$7:$N$100,'15n'!$H$7:$H$100,$A401,'15n'!$I$7:$I$100,"")+SUMIFS('16'!$N$7:$N$100,'16'!$H$7:$H$100,$A401,'16'!$I$7:$I$100,"")+SUMIFS('16a'!$N$7:$N$100,'16a'!$H$7:$H$100,$A401,'16a'!$I$7:$I$100,"")+SUMIFS('17'!$N$7:$N$100,'17'!$H$7:$H$100,$A401,'17'!$I$7:$I$100,"")+SUMIFS('17a'!$N$7:$N$100,'17a'!$H$7:$H$100,$A401,'17a'!$I$7:$I$100,"")+SUMIFS('18'!$N$7:$N$100,'18'!$H$7:$H$100,$A401,'18'!$I$7:$I$100,"")+SUMIFS('18a'!$N$7:$N$100,'18a'!$H$7:$H$100,$A401,'18a'!$I$7:$I$100,"")
+SUMIFS('19'!$N$7:$N$100,'19'!$H$7:$H$100,$A401,'19'!$I$7:$I$100,"")+SUMIFS('20'!$N$7:$N$100,'20'!$H$7:$H$100,$A401,'20'!$I$7:$I$100,"")+SUMIFS('20a'!$N$7:$N$100,'20a'!$H$7:$H$100,$A401,'20a'!$I$7:$I$100,"")+SUMIFS('21'!$N$7:$N$100,'21'!$H$7:$H$100,$A401,'21'!$I$7:$I$100,"")+SUMIFS('22'!$N$7:$N$100,'22'!$H$7:$H$100,$A401,'22'!$I$7:$I$100,"")+SUMIFS('22a'!$N$7:$N$100,'22a'!$H$7:$H$100,$A401,'22a'!$I$7:$I$100,"")+SUMIFS('22b'!$N$7:$N$100,'22b'!$H$7:$H$100,$A401,'22b'!$I$7:$I$100,"")+SUMIFS('23'!$N$7:$N$100,'23'!$H$7:$H$100,$A401,'23'!$I$7:$I$100,"")+SUMIFS('24'!$N$7:$N$100,'24'!$H$7:$H$100,$A401,'24'!$I$7:$I$100,"")+SUMIFS('24a'!$N$7:$N$100,'24a'!$H$7:$H$100,$A401,'24a'!$I$7:$I$100,"")+SUMIFS('24b'!$N$7:$N$100,'24b'!$H$7:$H$100,$A401,'24b'!$I$7:$I$100,"")+SUMIFS('24c'!$N$7:$N$100,'24c'!$H$7:$H$100,$A401,'24c'!$I$7:$I$100,"")+SUMIFS('24d'!$N$7:$N$100,'24d'!$H$7:$H$100,$A401,'24d'!$I$7:$I$100,"")+SUMIFS('24e'!$N$7:$N$100,'24e'!$H$7:$H$100,$A401,'24e'!$I$7:$I$100,"")+SUMIFS('24f'!$N$7:$N$100,'24f'!$H$7:$H$100,$A401,'24f'!$I$7:$I$100,"")+SUMIFS('24g'!$N$7:$N$100,'24g'!$H$7:$H$100,$A401,'24g'!$I$7:$I$100,"")+SUMIFS('24h'!$N$7:$N$100,'24h'!$H$7:$H$100,$A401,'24h'!$I$7:$I$100,"")+SUMIFS('24i'!$N$7:$N$100,'24i'!$H$7:$H$100,$A401,'24i'!$I$7:$I$100,"")+SUMIFS('25'!$N$7:$N$100,'25'!$H$7:$H$100,$A401,'25'!$I$7:$I$100,"")+SUMIFS('26'!$N$7:$N$100,'26'!$H$7:$H$100,$A401,'26'!$I$7:$I$100,"")+SUMIFS('26a'!$N$7:$N$100,'26a'!$H$7:$H$100,$A401,'26a'!$I$7:$I$100,"")+SUMIFS('27'!$N$7:$N$100,'27'!$H$7:$H$100,$A401,'27'!$I$7:$I$100,"")+SUMIFS('27a'!$N$7:$N$100,'27a'!$H$7:$H$100,$A401,'27a'!$I$7:$I$100,"")+SUMIFS('28'!$N$7:$N$100,'28'!$H$7:$H$100,$A401,'28'!$I$7:$I$100,"")+SUMIFS('29'!$N$7:$N$100,'29'!$H$7:$H$100,$A401,'29'!$I$7:$I$100,"")</f>
        <v>0</v>
      </c>
      <c r="F401" s="1296">
        <f t="shared" ref="F401:F407" si="64">SUM(C401:E401)</f>
        <v>0</v>
      </c>
      <c r="G401" s="1295">
        <f>SUMIFS('12'!$J$7:$J$100,'12'!$H$7:$H$100,$A401,'12'!$I$7:$I$100,1)+SUMIFS('13'!$J$7:$J$100,'13'!$H$7:$H$100,$A401,'13'!$I$7:$I$100,1)+SUMIFS('14'!$J$7:$J$100,'14'!$H$7:$H$100,$A401,'14'!$I$7:$I$100,1)+SUMIFS('15'!$J$7:$J$100,'15'!$H$7:$H$100,$A401,'15'!$I$7:$I$100,1)+SUMIFS('15a'!$J$7:$J$100,'15a'!$H$7:$H$100,$A401,'15a'!$I$7:$I$100,1)+SUMIFS('15b'!$J$7:$J$100,'15b'!$H$7:$H$100,$A401,'15b'!$I$7:$I$100,1)+SUMIFS('15c'!$J$7:$J$100,'15c'!$H$7:$H$100,$A401,'15c'!$I$7:$I$100,1)+SUMIFS('15d'!$J$7:$J$100,'15d'!$H$7:$H$100,$A401,'15d'!$I$7:$I$100,1)+SUMIFS('15e'!$J$7:$J$100,'15e'!$H$7:$H$100,$A401,'15e'!$I$7:$I$100,1)+SUMIFS('15f'!$J$7:$J$100,'15f'!$H$7:$H$100,$A401,'15f'!$I$7:$I$100,1)+SUMIFS('15g'!$J$7:$J$100,'15g'!$H$7:$H$100,$A401,'15g'!$I$7:$I$100,1)+SUMIFS('15h'!$J$7:$J$100,'15h'!$H$7:$H$100,$A401,'15h'!$I$7:$I$100,1)+SUMIFS('15i'!$J$7:$J$100,'15i'!$H$7:$H$100,$A401,'15i'!$I$7:$I$100,1)+SUMIFS('15j'!$J$7:$J$100,'15j'!$H$7:$H$100,$A401,'15j'!$I$7:$I$100,1)+SUMIFS('15k'!$J$7:$J$100,'15k'!$H$7:$H$100,$A401,'15k'!$I$7:$I$100,1)+SUMIFS('15l'!$J$7:$J$100,'15l'!$H$7:$H$100,$A401,'15l'!$I$7:$I$100,1)+SUMIFS('15m'!$J$7:$J$100,'15m'!$H$7:$H$100,$A401,'15m'!$I$7:$I$100,1)+SUMIFS('15n'!$J$7:$J$100,'15n'!$H$7:$H$100,$A401,'15n'!$I$7:$I$100,1)+SUMIFS('16'!$J$7:$J$100,'16'!$H$7:$H$100,$A401,'16'!$I$7:$I$100,1)+SUMIFS('16a'!$J$7:$J$100,'16a'!$H$7:$H$100,$A401,'16a'!$I$7:$I$100,1)+SUMIFS('17'!$J$7:$J$100,'17'!$H$7:$H$100,$A401,'17'!$I$7:$I$100,1)+SUMIFS('17a'!$J$7:$J$100,'17a'!$H$7:$H$100,$A401,'17a'!$I$7:$I$100,1)+SUMIFS('18'!$J$7:$J$100,'18'!$H$7:$H$100,$A401,'18'!$I$7:$I$100,1)+SUMIFS('18a'!$J$7:$J$100,'18a'!$H$7:$H$100,$A401,'18a'!$I$7:$I$100,1)
+SUMIFS('19'!$J$7:$J$100,'19'!$H$7:$H$100,$A401,'19'!$I$7:$I$100,1)+SUMIFS('20'!$J$7:$J$100,'20'!$H$7:$H$100,$A401,'20'!$I$7:$I$100,1)+SUMIFS('20a'!$J$7:$J$100,'20a'!$H$7:$H$100,$A401,'20a'!$I$7:$I$100,1)+SUMIFS('21'!$J$7:$J$100,'21'!$H$7:$H$100,$A401,'21'!$I$7:$I$100,1)+SUMIFS('22'!$J$7:$J$100,'22'!$H$7:$H$100,$A401,'22'!$I$7:$I$100,1)+SUMIFS('22a'!$J$7:$J$100,'22a'!$H$7:$H$100,$A401,'22a'!$I$7:$I$100,1)+SUMIFS('22b'!$J$7:$J$100,'22b'!$H$7:$H$100,$A401,'22b'!$I$7:$I$100,1)+SUMIFS('23'!$J$7:$J$100,'23'!$H$7:$H$100,$A401,'23'!$I$7:$I$100,1)+SUMIFS('24'!$J$7:$J$100,'24'!$H$7:$H$100,$A401,'24'!$I$7:$I$100,1)+SUMIFS('24a'!$J$7:$J$100,'24a'!$H$7:$H$100,$A401,'24a'!$I$7:$I$100,1)+SUMIFS('24b'!$J$7:$J$100,'24b'!$H$7:$H$100,$A401,'24b'!$I$7:$I$100,1)+SUMIFS('24c'!$J$7:$J$100,'24c'!$H$7:$H$100,$A401,'24c'!$I$7:$I$100,1)+SUMIFS('24d'!$J$7:$J$100,'24d'!$H$7:$H$100,$A401,'24d'!$I$7:$I$100,1)+SUMIFS('24e'!$J$7:$J$100,'24e'!$H$7:$H$100,$A401,'24e'!$I$7:$I$100,1)+SUMIFS('24f'!$J$7:$J$100,'24f'!$H$7:$H$100,$A401,'24f'!$I$7:$I$100,1)+SUMIFS('24g'!$J$7:$J$100,'24g'!$H$7:$H$100,$A401,'24g'!$I$7:$I$100,1)+SUMIFS('24h'!$J$7:$J$100,'24h'!$H$7:$H$100,$A401,'24h'!$I$7:$I$100,1)+SUMIFS('24i'!$J$7:$J$100,'24i'!$H$7:$H$100,$A401,'24i'!$I$7:$I$100,1)+SUMIFS('25'!$J$7:$J$100,'25'!$H$7:$H$100,$A401,'25'!$I$7:$I$100,1)+SUMIFS('26'!$J$7:$J$100,'26'!$H$7:$H$100,$A401,'26'!$I$7:$I$100,1)+SUMIFS('26a'!$J$7:$J$100,'26a'!$H$7:$H$100,$A401,'26a'!$I$7:$I$100,1)+SUMIFS('27'!$J$7:$J$100,'27'!$H$7:$H$100,$A401,'27'!$I$7:$I$100,1)+SUMIFS('27a'!$J$7:$J$100,'27a'!$H$7:$H$100,$A401,'27a'!$I$7:$I$100,1)+SUMIFS('28'!$J$7:$J$100,'28'!$H$7:$H$100,$A401,'28'!$I$7:$I$100,1)+SUMIFS('29'!$J$7:$J$100,'29'!$H$7:$H$100,$A401,'29'!$I$7:$I$100,1)</f>
        <v>0</v>
      </c>
      <c r="H401" s="1315">
        <f>SUMIFS('12'!$J$7:$J$100,'12'!$H$7:$H$100,$A401,'12'!$I$7:$I$100,2)+SUMIFS('13'!$J$7:$J$100,'13'!$H$7:$H$100,$A401,'13'!$I$7:$I$100,2)+SUMIFS('14'!$J$7:$J$100,'14'!$H$7:$H$100,$A401,'14'!$I$7:$I$100,2)+SUMIFS('15'!$J$7:$J$100,'15'!$H$7:$H$100,$A401,'15'!$I$7:$I$100,2)+SUMIFS('15a'!$J$7:$J$100,'15a'!$H$7:$H$100,$A401,'15a'!$I$7:$I$100,2)+SUMIFS('15b'!$J$7:$J$100,'15b'!$H$7:$H$100,$A401,'15b'!$I$7:$I$100,2)+SUMIFS('15c'!$J$7:$J$100,'15c'!$H$7:$H$100,$A401,'15c'!$I$7:$I$100,2)+SUMIFS('15d'!$J$7:$J$100,'15d'!$H$7:$H$100,$A401,'15d'!$I$7:$I$100,2)+SUMIFS('15e'!$J$7:$J$100,'15e'!$H$7:$H$100,$A401,'15e'!$I$7:$I$100,2)+SUMIFS('15f'!$J$7:$J$100,'15f'!$H$7:$H$100,$A401,'15f'!$I$7:$I$100,2)+SUMIFS('15g'!$J$7:$J$100,'15g'!$H$7:$H$100,$A401,'15g'!$I$7:$I$100,2)+SUMIFS('15h'!$J$7:$J$100,'15h'!$H$7:$H$100,$A401,'15h'!$I$7:$I$100,2)+SUMIFS('15i'!$J$7:$J$100,'15i'!$H$7:$H$100,$A401,'15i'!$I$7:$I$100,2)+SUMIFS('15j'!$J$7:$J$100,'15j'!$H$7:$H$100,$A401,'15j'!$I$7:$I$100,2)+SUMIFS('15k'!$J$7:$J$100,'15k'!$H$7:$H$100,$A401,'15k'!$I$7:$I$100,2)+SUMIFS('15l'!$J$7:$J$100,'15l'!$H$7:$H$100,$A401,'15l'!$I$7:$I$100,2)+SUMIFS('15m'!$J$7:$J$100,'15m'!$H$7:$H$100,$A401,'15m'!$I$7:$I$100,2)+SUMIFS('15n'!$J$7:$J$100,'15n'!$H$7:$H$100,$A401,'15n'!$I$7:$I$100,2)+SUMIFS('16'!$J$7:$J$100,'16'!$H$7:$H$100,$A401,'16'!$I$7:$I$100,2)+SUMIFS('16a'!$J$7:$J$100,'16a'!$H$7:$H$100,$A401,'16a'!$I$7:$I$100,2)+SUMIFS('17'!$J$7:$J$100,'17'!$H$7:$H$100,$A401,'17'!$I$7:$I$100,2)+SUMIFS('17a'!$J$7:$J$100,'17a'!$H$7:$H$100,$A401,'17a'!$I$7:$I$100,2)+SUMIFS('18'!$J$7:$J$100,'18'!$H$7:$H$100,$A401,'18'!$I$7:$I$100,2)+SUMIFS('18a'!$J$7:$J$100,'18a'!$H$7:$H$100,$A401,'18a'!$I$7:$I$100,2)
+SUMIFS('19'!$J$7:$J$100,'19'!$H$7:$H$100,$A401,'19'!$I$7:$I$100,2)+SUMIFS('20'!$J$7:$J$100,'20'!$H$7:$H$100,$A401,'20'!$I$7:$I$100,2)+SUMIFS('20a'!$J$7:$J$100,'20a'!$H$7:$H$100,$A401,'20a'!$I$7:$I$100,2)+SUMIFS('21'!$J$7:$J$100,'21'!$H$7:$H$100,$A401,'21'!$I$7:$I$100,2)+SUMIFS('22'!$J$7:$J$100,'22'!$H$7:$H$100,$A401,'22'!$I$7:$I$100,2)+SUMIFS('22a'!$J$7:$J$100,'22a'!$H$7:$H$100,$A401,'22a'!$I$7:$I$100,2)+SUMIFS('22b'!$J$7:$J$100,'22b'!$H$7:$H$100,$A401,'22b'!$I$7:$I$100,2)+SUMIFS('23'!$J$7:$J$100,'23'!$H$7:$H$100,$A401,'23'!$I$7:$I$100,2)+SUMIFS('24'!$J$7:$J$100,'24'!$H$7:$H$100,$A401,'24'!$I$7:$I$100,2)+SUMIFS('24a'!$J$7:$J$100,'24a'!$H$7:$H$100,$A401,'24a'!$I$7:$I$100,2)+SUMIFS('24b'!$J$7:$J$100,'24b'!$H$7:$H$100,$A401,'24b'!$I$7:$I$100,2)+SUMIFS('24c'!$J$7:$J$100,'24c'!$H$7:$H$100,$A401,'24c'!$I$7:$I$100,2)+SUMIFS('24d'!$J$7:$J$100,'24d'!$H$7:$H$100,$A401,'24d'!$I$7:$I$100,2)+SUMIFS('24e'!$J$7:$J$100,'24e'!$H$7:$H$100,$A401,'24e'!$I$7:$I$100,2)+SUMIFS('24f'!$J$7:$J$100,'24f'!$H$7:$H$100,$A401,'24f'!$I$7:$I$100,2)+SUMIFS('24g'!$J$7:$J$100,'24g'!$H$7:$H$100,$A401,'24g'!$I$7:$I$100,2)+SUMIFS('24h'!$J$7:$J$100,'24h'!$H$7:$H$100,$A401,'24h'!$I$7:$I$100,2)+SUMIFS('24i'!$J$7:$J$100,'24i'!$H$7:$H$100,$A401,'24i'!$I$7:$I$100,2)+SUMIFS('25'!$J$7:$J$100,'25'!$H$7:$H$100,$A401,'25'!$I$7:$I$100,2)+SUMIFS('26'!$J$7:$J$100,'26'!$H$7:$H$100,$A401,'26'!$I$7:$I$100,2)+SUMIFS('26a'!$J$7:$J$100,'26a'!$H$7:$H$100,$A401,'26a'!$I$7:$I$100,2)+SUMIFS('27'!$J$7:$J$100,'27'!$H$7:$H$100,$A401,'27'!$I$7:$I$100,2)+SUMIFS('27a'!$J$7:$J$100,'27a'!$H$7:$H$100,$A401,'27a'!$I$7:$I$100,2)+SUMIFS('28'!$J$7:$J$100,'28'!$H$7:$H$100,$A401,'28'!$I$7:$I$100,2)+SUMIFS('29'!$J$7:$J$100,'29'!$H$7:$H$100,$A401,'29'!$I$7:$I$100,2)</f>
        <v>0</v>
      </c>
      <c r="I401" s="1315">
        <f>SUMIFS('12'!$J$7:$J$100,'12'!$H$7:$H$100,$A401,'12'!$I$7:$I$100,"")+SUMIFS('13'!$J$7:$J$100,'13'!$H$7:$H$100,$A401,'13'!$I$7:$I$100,"")+SUMIFS('14'!$J$7:$J$100,'14'!$H$7:$H$100,$A401,'14'!$I$7:$I$100,"")+SUMIFS('15'!$J$7:$J$100,'15'!$H$7:$H$100,$A401,'15'!$I$7:$I$100,"")+SUMIFS('15a'!$J$7:$J$100,'15a'!$H$7:$H$100,$A401,'15a'!$I$7:$I$100,"")+SUMIFS('15b'!$J$7:$J$100,'15b'!$H$7:$H$100,$A401,'15b'!$I$7:$I$100,"")+SUMIFS('15c'!$J$7:$J$100,'15c'!$H$7:$H$100,$A401,'15c'!$I$7:$I$100,"")+SUMIFS('15d'!$J$7:$J$100,'15d'!$H$7:$H$100,$A401,'15d'!$I$7:$I$100,"")+SUMIFS('15e'!$J$7:$J$100,'15e'!$H$7:$H$100,$A401,'15e'!$I$7:$I$100,"")+SUMIFS('15f'!$J$7:$J$100,'15f'!$H$7:$H$100,$A401,'15f'!$I$7:$I$100,"")+SUMIFS('15g'!$J$7:$J$100,'15g'!$H$7:$H$100,$A401,'15g'!$I$7:$I$100,"")+SUMIFS('15h'!$J$7:$J$100,'15h'!$H$7:$H$100,$A401,'15h'!$I$7:$I$100,"")+SUMIFS('15i'!$J$7:$J$100,'15i'!$H$7:$H$100,$A401,'15i'!$I$7:$I$100,"")+SUMIFS('15j'!$J$7:$J$100,'15j'!$H$7:$H$100,$A401,'15j'!$I$7:$I$100,"")+SUMIFS('15k'!$J$7:$J$100,'15k'!$H$7:$H$100,$A401,'15k'!$I$7:$I$100,"")+SUMIFS('15l'!$J$7:$J$100,'15l'!$H$7:$H$100,$A401,'15l'!$I$7:$I$100,"")+SUMIFS('15m'!$J$7:$J$100,'15m'!$H$7:$H$100,$A401,'15m'!$I$7:$I$100,"")+SUMIFS('15n'!$J$7:$J$100,'15n'!$H$7:$H$100,$A401,'15n'!$I$7:$I$100,"")+SUMIFS('16'!$J$7:$J$100,'16'!$H$7:$H$100,$A401,'16'!$I$7:$I$100,"")+SUMIFS('16a'!$J$7:$J$100,'16a'!$H$7:$H$100,$A401,'16a'!$I$7:$I$100,"")+SUMIFS('17'!$J$7:$J$100,'17'!$H$7:$H$100,$A401,'17'!$I$7:$I$100,"")+SUMIFS('17a'!$J$7:$J$100,'17a'!$H$7:$H$100,$A401,'17a'!$I$7:$I$100,"")+SUMIFS('18'!$J$7:$J$100,'18'!$H$7:$H$100,$A401,'18'!$I$7:$I$100,"")+SUMIFS('18a'!$J$7:$J$100,'18a'!$H$7:$H$100,$A401,'18a'!$I$7:$I$100,"")
+SUMIFS('19'!$J$7:$J$100,'19'!$H$7:$H$100,$A401,'19'!$I$7:$I$100,"")+SUMIFS('20'!$J$7:$J$100,'20'!$H$7:$H$100,$A401,'20'!$I$7:$I$100,"")+SUMIFS('20a'!$J$7:$J$100,'20a'!$H$7:$H$100,$A401,'20a'!$I$7:$I$100,"")+SUMIFS('21'!$J$7:$J$100,'21'!$H$7:$H$100,$A401,'21'!$I$7:$I$100,"")+SUMIFS('22'!$J$7:$J$100,'22'!$H$7:$H$100,$A401,'22'!$I$7:$I$100,"")+SUMIFS('22a'!$J$7:$J$100,'22a'!$H$7:$H$100,$A401,'22a'!$I$7:$I$100,"")+SUMIFS('22b'!$J$7:$J$100,'22b'!$H$7:$H$100,$A401,'22b'!$I$7:$I$100,"")+SUMIFS('23'!$J$7:$J$100,'23'!$H$7:$H$100,$A401,'23'!$I$7:$I$100,"")+SUMIFS('24'!$J$7:$J$100,'24'!$H$7:$H$100,$A401,'24'!$I$7:$I$100,"")+SUMIFS('24a'!$J$7:$J$100,'24a'!$H$7:$H$100,$A401,'24a'!$I$7:$I$100,"")+SUMIFS('24b'!$J$7:$J$100,'24b'!$H$7:$H$100,$A401,'24b'!$I$7:$I$100,"")+SUMIFS('24c'!$J$7:$J$100,'24c'!$H$7:$H$100,$A401,'24c'!$I$7:$I$100,"")+SUMIFS('24d'!$J$7:$J$100,'24d'!$H$7:$H$100,$A401,'24d'!$I$7:$I$100,"")+SUMIFS('24e'!$J$7:$J$100,'24e'!$H$7:$H$100,$A401,'24e'!$I$7:$I$100,"")+SUMIFS('24f'!$J$7:$J$100,'24f'!$H$7:$H$100,$A401,'24f'!$I$7:$I$100,"")+SUMIFS('24g'!$J$7:$J$100,'24g'!$H$7:$H$100,$A401,'24g'!$I$7:$I$100,"")+SUMIFS('24h'!$J$7:$J$100,'24h'!$H$7:$H$100,$A401,'24h'!$I$7:$I$100,"")+SUMIFS('24i'!$J$7:$J$100,'24i'!$H$7:$H$100,$A401,'24i'!$I$7:$I$100,"")+SUMIFS('25'!$J$7:$J$100,'25'!$H$7:$H$100,$A401,'25'!$I$7:$I$100,"")+SUMIFS('26'!$J$7:$J$100,'26'!$H$7:$H$100,$A401,'26'!$I$7:$I$100,"")+SUMIFS('26a'!$J$7:$J$100,'26a'!$H$7:$H$100,$A401,'26a'!$I$7:$I$100,"")+SUMIFS('27'!$J$7:$J$100,'27'!$H$7:$H$100,$A401,'27'!$I$7:$I$100,"")+SUMIFS('27a'!$J$7:$J$100,'27a'!$H$7:$H$100,$A401,'27a'!$I$7:$I$100,"")+SUMIFS('28'!$J$7:$J$100,'28'!$H$7:$H$100,$A401,'28'!$I$7:$I$100,"")+SUMIFS('29'!$J$7:$J$100,'29'!$H$7:$H$100,$A401,'29'!$I$7:$I$100,"")</f>
        <v>0</v>
      </c>
      <c r="J401" s="1296">
        <f t="shared" ref="J401:J407" si="65">SUM(G401:I401)</f>
        <v>0</v>
      </c>
      <c r="K401"/>
      <c r="L401"/>
      <c r="M401"/>
      <c r="N401"/>
      <c r="O401"/>
      <c r="P401"/>
      <c r="Q401"/>
      <c r="R401"/>
      <c r="S401" s="1307">
        <f t="shared" si="48"/>
        <v>0</v>
      </c>
      <c r="T401"/>
    </row>
    <row r="402" spans="1:20" x14ac:dyDescent="0.2">
      <c r="A402" t="s">
        <v>542</v>
      </c>
      <c r="B402" t="s">
        <v>244</v>
      </c>
      <c r="C402" s="1295">
        <f>SUMIFS('12'!$N$7:$N$100,'12'!$H$7:$H$100,$A402,'12'!$I$7:$I$100,1)+SUMIFS('13'!$N$7:$N$100,'13'!$H$7:$H$100,$A402,'13'!$I$7:$I$100,1)+SUMIFS('14'!$N$7:$N$100,'14'!$H$7:$H$100,$A402,'14'!$I$7:$I$100,1)+SUMIFS('15'!$N$7:$N$100,'15'!$H$7:$H$100,$A402,'15'!$I$7:$I$100,1)+SUMIFS('15a'!$N$7:$N$100,'15a'!$H$7:$H$100,$A402,'15a'!$I$7:$I$100,1)+SUMIFS('15b'!$N$7:$N$100,'15b'!$H$7:$H$100,$A402,'15b'!$I$7:$I$100,1)+SUMIFS('15c'!$N$7:$N$100,'15c'!$H$7:$H$100,$A402,'15c'!$I$7:$I$100,1)+SUMIFS('15d'!$N$7:$N$100,'15d'!$H$7:$H$100,$A402,'15d'!$I$7:$I$100,1)+SUMIFS('15e'!$N$7:$N$100,'15e'!$H$7:$H$100,$A402,'15e'!$I$7:$I$100,1)+SUMIFS('15f'!$N$7:$N$100,'15f'!$H$7:$H$100,$A402,'15f'!$I$7:$I$100,1)+SUMIFS('15g'!$N$7:$N$100,'15g'!$H$7:$H$100,$A402,'15g'!$I$7:$I$100,1)+SUMIFS('15h'!$N$7:$N$100,'15h'!$H$7:$H$100,$A402,'15h'!$I$7:$I$100,1)+SUMIFS('15i'!$N$7:$N$100,'15i'!$H$7:$H$100,$A402,'15i'!$I$7:$I$100,1)+SUMIFS('15j'!$N$7:$N$100,'15j'!$H$7:$H$100,$A402,'15j'!$I$7:$I$100,1)+SUMIFS('15k'!$N$7:$N$100,'15k'!$H$7:$H$100,$A402,'15k'!$I$7:$I$100,1)+SUMIFS('15l'!$N$7:$N$100,'15l'!$H$7:$H$100,$A402,'15l'!$I$7:$I$100,1)+SUMIFS('15m'!$N$7:$N$100,'15m'!$H$7:$H$100,$A402,'15m'!$I$7:$I$100,1)+SUMIFS('15n'!$N$7:$N$100,'15n'!$H$7:$H$100,$A402,'15n'!$I$7:$I$100,1)+SUMIFS('16'!$N$7:$N$100,'16'!$H$7:$H$100,$A402,'16'!$I$7:$I$100,1)+SUMIFS('16a'!$N$7:$N$100,'16a'!$H$7:$H$100,$A402,'16a'!$I$7:$I$100,1)+SUMIFS('17'!$N$7:$N$100,'17'!$H$7:$H$100,$A402,'17'!$I$7:$I$100,1)+SUMIFS('17a'!$N$7:$N$100,'17a'!$H$7:$H$100,$A402,'17a'!$I$7:$I$100,1)+SUMIFS('18'!$N$7:$N$100,'18'!$H$7:$H$100,$A402,'18'!$I$7:$I$100,1)+SUMIFS('18a'!$N$7:$N$100,'18a'!$H$7:$H$100,$A402,'18a'!$I$7:$I$100,1)
+SUMIFS('19'!$N$7:$N$100,'19'!$H$7:$H$100,$A402,'19'!$I$7:$I$100,1)+SUMIFS('20'!$N$7:$N$100,'20'!$H$7:$H$100,$A402,'20'!$I$7:$I$100,1)+SUMIFS('20a'!$N$7:$N$100,'20a'!$H$7:$H$100,$A402,'20a'!$I$7:$I$100,1)+SUMIFS('21'!$N$7:$N$100,'21'!$H$7:$H$100,$A402,'21'!$I$7:$I$100,1)+SUMIFS('22'!$N$7:$N$100,'22'!$H$7:$H$100,$A402,'22'!$I$7:$I$100,1)+SUMIFS('22a'!$N$7:$N$100,'22a'!$H$7:$H$100,$A402,'22a'!$I$7:$I$100,1)+SUMIFS('22b'!$N$7:$N$100,'22b'!$H$7:$H$100,$A402,'22b'!$I$7:$I$100,1)+SUMIFS('23'!$N$7:$N$100,'23'!$H$7:$H$100,$A402,'23'!$I$7:$I$100,1)+SUMIFS('24'!$N$7:$N$100,'24'!$H$7:$H$100,$A402,'24'!$I$7:$I$100,1)+SUMIFS('24a'!$N$7:$N$100,'24a'!$H$7:$H$100,$A402,'24a'!$I$7:$I$100,1)+SUMIFS('24b'!$N$7:$N$100,'24b'!$H$7:$H$100,$A402,'24b'!$I$7:$I$100,1)+SUMIFS('24c'!$N$7:$N$100,'24c'!$H$7:$H$100,$A402,'24c'!$I$7:$I$100,1)+SUMIFS('24d'!$N$7:$N$100,'24d'!$H$7:$H$100,$A402,'24d'!$I$7:$I$100,1)+SUMIFS('24e'!$N$7:$N$100,'24e'!$H$7:$H$100,$A402,'24e'!$I$7:$I$100,1)+SUMIFS('24f'!$N$7:$N$100,'24f'!$H$7:$H$100,$A402,'24f'!$I$7:$I$100,1)+SUMIFS('24g'!$N$7:$N$100,'24g'!$H$7:$H$100,$A402,'24g'!$I$7:$I$100,1)+SUMIFS('24h'!$N$7:$N$100,'24h'!$H$7:$H$100,$A402,'24h'!$I$7:$I$100,1)+SUMIFS('24i'!$N$7:$N$100,'24i'!$H$7:$H$100,$A402,'24i'!$I$7:$I$100,1)+SUMIFS('25'!$N$7:$N$100,'25'!$H$7:$H$100,$A402,'25'!$I$7:$I$100,1)+SUMIFS('26'!$N$7:$N$100,'26'!$H$7:$H$100,$A402,'26'!$I$7:$I$100,1)+SUMIFS('26a'!$N$7:$N$100,'26a'!$H$7:$H$100,$A402,'26a'!$I$7:$I$100,1)+SUMIFS('27'!$N$7:$N$100,'27'!$H$7:$H$100,$A402,'27'!$I$7:$I$100,1)+SUMIFS('27a'!$N$7:$N$100,'27a'!$H$7:$H$100,$A402,'27a'!$I$7:$I$100,1)+SUMIFS('28'!$N$7:$N$100,'28'!$H$7:$H$100,$A402,'28'!$I$7:$I$100,1)+SUMIFS('29'!$N$7:$N$100,'29'!$H$7:$H$100,$A402,'29'!$I$7:$I$100,1)</f>
        <v>0</v>
      </c>
      <c r="D402" s="1315">
        <f>SUMIFS('12'!$N$7:$N$100,'12'!$H$7:$H$100,$A402,'12'!$I$7:$I$100,2)+SUMIFS('13'!$N$7:$N$100,'13'!$H$7:$H$100,$A402,'13'!$I$7:$I$100,2)+SUMIFS('14'!$N$7:$N$100,'14'!$H$7:$H$100,$A402,'14'!$I$7:$I$100,2)+SUMIFS('15'!$N$7:$N$100,'15'!$H$7:$H$100,$A402,'15'!$I$7:$I$100,2)+SUMIFS('15a'!$N$7:$N$100,'15a'!$H$7:$H$100,$A402,'15a'!$I$7:$I$100,2)+SUMIFS('15b'!$N$7:$N$100,'15b'!$H$7:$H$100,$A402,'15b'!$I$7:$I$100,2)+SUMIFS('15c'!$N$7:$N$100,'15c'!$H$7:$H$100,$A402,'15c'!$I$7:$I$100,2)+SUMIFS('15d'!$N$7:$N$100,'15d'!$H$7:$H$100,$A402,'15d'!$I$7:$I$100,2)+SUMIFS('15e'!$N$7:$N$100,'15e'!$H$7:$H$100,$A402,'15e'!$I$7:$I$100,2)+SUMIFS('15f'!$N$7:$N$100,'15f'!$H$7:$H$100,$A402,'15f'!$I$7:$I$100,2)+SUMIFS('15g'!$N$7:$N$100,'15g'!$H$7:$H$100,$A402,'15g'!$I$7:$I$100,2)+SUMIFS('15h'!$N$7:$N$100,'15h'!$H$7:$H$100,$A402,'15h'!$I$7:$I$100,2)+SUMIFS('15i'!$N$7:$N$100,'15i'!$H$7:$H$100,$A402,'15i'!$I$7:$I$100,2)+SUMIFS('15j'!$N$7:$N$100,'15j'!$H$7:$H$100,$A402,'15j'!$I$7:$I$100,2)+SUMIFS('15k'!$N$7:$N$100,'15k'!$H$7:$H$100,$A402,'15k'!$I$7:$I$100,2)+SUMIFS('15l'!$N$7:$N$100,'15l'!$H$7:$H$100,$A402,'15l'!$I$7:$I$100,2)+SUMIFS('15m'!$N$7:$N$100,'15m'!$H$7:$H$100,$A402,'15m'!$I$7:$I$100,2)+SUMIFS('15n'!$N$7:$N$100,'15n'!$H$7:$H$100,$A402,'15n'!$I$7:$I$100,2)+SUMIFS('16'!$N$7:$N$100,'16'!$H$7:$H$100,$A402,'16'!$I$7:$I$100,2)+SUMIFS('16a'!$N$7:$N$100,'16a'!$H$7:$H$100,$A402,'16a'!$I$7:$I$100,2)+SUMIFS('17'!$N$7:$N$100,'17'!$H$7:$H$100,$A402,'17'!$I$7:$I$100,2)+SUMIFS('17a'!$N$7:$N$100,'17a'!$H$7:$H$100,$A402,'17a'!$I$7:$I$100,2)+SUMIFS('18'!$N$7:$N$100,'18'!$H$7:$H$100,$A402,'18'!$I$7:$I$100,2)+SUMIFS('18a'!$N$7:$N$100,'18a'!$H$7:$H$100,$A402,'18a'!$I$7:$I$100,2)
+SUMIFS('19'!$N$7:$N$100,'19'!$H$7:$H$100,$A402,'19'!$I$7:$I$100,2)+SUMIFS('20'!$N$7:$N$100,'20'!$H$7:$H$100,$A402,'20'!$I$7:$I$100,2)+SUMIFS('20a'!$N$7:$N$100,'20a'!$H$7:$H$100,$A402,'20a'!$I$7:$I$100,2)+SUMIFS('21'!$N$7:$N$100,'21'!$H$7:$H$100,$A402,'21'!$I$7:$I$100,2)+SUMIFS('22'!$N$7:$N$100,'22'!$H$7:$H$100,$A402,'22'!$I$7:$I$100,2)+SUMIFS('22a'!$N$7:$N$100,'22a'!$H$7:$H$100,$A402,'22a'!$I$7:$I$100,2)+SUMIFS('22b'!$N$7:$N$100,'22b'!$H$7:$H$100,$A402,'22b'!$I$7:$I$100,2)+SUMIFS('23'!$N$7:$N$100,'23'!$H$7:$H$100,$A402,'23'!$I$7:$I$100,2)+SUMIFS('24'!$N$7:$N$100,'24'!$H$7:$H$100,$A402,'24'!$I$7:$I$100,2)+SUMIFS('24a'!$N$7:$N$100,'24a'!$H$7:$H$100,$A402,'24a'!$I$7:$I$100,2)+SUMIFS('24b'!$N$7:$N$100,'24b'!$H$7:$H$100,$A402,'24b'!$I$7:$I$100,2)+SUMIFS('24c'!$N$7:$N$100,'24c'!$H$7:$H$100,$A402,'24c'!$I$7:$I$100,2)+SUMIFS('24d'!$N$7:$N$100,'24d'!$H$7:$H$100,$A402,'24d'!$I$7:$I$100,2)+SUMIFS('24e'!$N$7:$N$100,'24e'!$H$7:$H$100,$A402,'24e'!$I$7:$I$100,2)+SUMIFS('24f'!$N$7:$N$100,'24f'!$H$7:$H$100,$A402,'24f'!$I$7:$I$100,2)+SUMIFS('24g'!$N$7:$N$100,'24g'!$H$7:$H$100,$A402,'24g'!$I$7:$I$100,2)+SUMIFS('24h'!$N$7:$N$100,'24h'!$H$7:$H$100,$A402,'24h'!$I$7:$I$100,2)+SUMIFS('24i'!$N$7:$N$100,'24i'!$H$7:$H$100,$A402,'24i'!$I$7:$I$100,2)+SUMIFS('25'!$N$7:$N$100,'25'!$H$7:$H$100,$A402,'25'!$I$7:$I$100,2)+SUMIFS('26'!$N$7:$N$100,'26'!$H$7:$H$100,$A402,'26'!$I$7:$I$100,2)+SUMIFS('26a'!$N$7:$N$100,'26a'!$H$7:$H$100,$A402,'26a'!$I$7:$I$100,2)+SUMIFS('27'!$N$7:$N$100,'27'!$H$7:$H$100,$A402,'27'!$I$7:$I$100,2)+SUMIFS('27a'!$N$7:$N$100,'27a'!$H$7:$H$100,$A402,'27a'!$I$7:$I$100,2)+SUMIFS('28'!$N$7:$N$100,'28'!$H$7:$H$100,$A402,'28'!$I$7:$I$100,2)+SUMIFS('29'!$N$7:$N$100,'29'!$H$7:$H$100,$A402,'29'!$I$7:$I$100,2)</f>
        <v>0</v>
      </c>
      <c r="E402" s="1315">
        <f>SUMIFS('12'!$N$7:$N$100,'12'!$H$7:$H$100,$A402,'12'!$I$7:$I$100,"")+SUMIFS('13'!$N$7:$N$100,'13'!$H$7:$H$100,$A402,'13'!$I$7:$I$100,"")+SUMIFS('14'!$N$7:$N$100,'14'!$H$7:$H$100,$A402,'14'!$I$7:$I$100,"")+SUMIFS('15'!$N$7:$N$100,'15'!$H$7:$H$100,$A402,'15'!$I$7:$I$100,"")+SUMIFS('15a'!$N$7:$N$100,'15a'!$H$7:$H$100,$A402,'15a'!$I$7:$I$100,"")+SUMIFS('15b'!$N$7:$N$100,'15b'!$H$7:$H$100,$A402,'15b'!$I$7:$I$100,"")+SUMIFS('15c'!$N$7:$N$100,'15c'!$H$7:$H$100,$A402,'15c'!$I$7:$I$100,"")+SUMIFS('15d'!$N$7:$N$100,'15d'!$H$7:$H$100,$A402,'15d'!$I$7:$I$100,"")+SUMIFS('15e'!$N$7:$N$100,'15e'!$H$7:$H$100,$A402,'15e'!$I$7:$I$100,"")+SUMIFS('15f'!$N$7:$N$100,'15f'!$H$7:$H$100,$A402,'15f'!$I$7:$I$100,"")+SUMIFS('15g'!$N$7:$N$100,'15g'!$H$7:$H$100,$A402,'15g'!$I$7:$I$100,"")+SUMIFS('15h'!$N$7:$N$100,'15h'!$H$7:$H$100,$A402,'15h'!$I$7:$I$100,"")+SUMIFS('15i'!$N$7:$N$100,'15i'!$H$7:$H$100,$A402,'15i'!$I$7:$I$100,"")+SUMIFS('15j'!$N$7:$N$100,'15j'!$H$7:$H$100,$A402,'15j'!$I$7:$I$100,"")+SUMIFS('15k'!$N$7:$N$100,'15k'!$H$7:$H$100,$A402,'15k'!$I$7:$I$100,"")+SUMIFS('15l'!$N$7:$N$100,'15l'!$H$7:$H$100,$A402,'15l'!$I$7:$I$100,"")+SUMIFS('15m'!$N$7:$N$100,'15m'!$H$7:$H$100,$A402,'15m'!$I$7:$I$100,"")+SUMIFS('15n'!$N$7:$N$100,'15n'!$H$7:$H$100,$A402,'15n'!$I$7:$I$100,"")+SUMIFS('16'!$N$7:$N$100,'16'!$H$7:$H$100,$A402,'16'!$I$7:$I$100,"")+SUMIFS('16a'!$N$7:$N$100,'16a'!$H$7:$H$100,$A402,'16a'!$I$7:$I$100,"")+SUMIFS('17'!$N$7:$N$100,'17'!$H$7:$H$100,$A402,'17'!$I$7:$I$100,"")+SUMIFS('17a'!$N$7:$N$100,'17a'!$H$7:$H$100,$A402,'17a'!$I$7:$I$100,"")+SUMIFS('18'!$N$7:$N$100,'18'!$H$7:$H$100,$A402,'18'!$I$7:$I$100,"")+SUMIFS('18a'!$N$7:$N$100,'18a'!$H$7:$H$100,$A402,'18a'!$I$7:$I$100,"")
+SUMIFS('19'!$N$7:$N$100,'19'!$H$7:$H$100,$A402,'19'!$I$7:$I$100,"")+SUMIFS('20'!$N$7:$N$100,'20'!$H$7:$H$100,$A402,'20'!$I$7:$I$100,"")+SUMIFS('20a'!$N$7:$N$100,'20a'!$H$7:$H$100,$A402,'20a'!$I$7:$I$100,"")+SUMIFS('21'!$N$7:$N$100,'21'!$H$7:$H$100,$A402,'21'!$I$7:$I$100,"")+SUMIFS('22'!$N$7:$N$100,'22'!$H$7:$H$100,$A402,'22'!$I$7:$I$100,"")+SUMIFS('22a'!$N$7:$N$100,'22a'!$H$7:$H$100,$A402,'22a'!$I$7:$I$100,"")+SUMIFS('22b'!$N$7:$N$100,'22b'!$H$7:$H$100,$A402,'22b'!$I$7:$I$100,"")+SUMIFS('23'!$N$7:$N$100,'23'!$H$7:$H$100,$A402,'23'!$I$7:$I$100,"")+SUMIFS('24'!$N$7:$N$100,'24'!$H$7:$H$100,$A402,'24'!$I$7:$I$100,"")+SUMIFS('24a'!$N$7:$N$100,'24a'!$H$7:$H$100,$A402,'24a'!$I$7:$I$100,"")+SUMIFS('24b'!$N$7:$N$100,'24b'!$H$7:$H$100,$A402,'24b'!$I$7:$I$100,"")+SUMIFS('24c'!$N$7:$N$100,'24c'!$H$7:$H$100,$A402,'24c'!$I$7:$I$100,"")+SUMIFS('24d'!$N$7:$N$100,'24d'!$H$7:$H$100,$A402,'24d'!$I$7:$I$100,"")+SUMIFS('24e'!$N$7:$N$100,'24e'!$H$7:$H$100,$A402,'24e'!$I$7:$I$100,"")+SUMIFS('24f'!$N$7:$N$100,'24f'!$H$7:$H$100,$A402,'24f'!$I$7:$I$100,"")+SUMIFS('24g'!$N$7:$N$100,'24g'!$H$7:$H$100,$A402,'24g'!$I$7:$I$100,"")+SUMIFS('24h'!$N$7:$N$100,'24h'!$H$7:$H$100,$A402,'24h'!$I$7:$I$100,"")+SUMIFS('24i'!$N$7:$N$100,'24i'!$H$7:$H$100,$A402,'24i'!$I$7:$I$100,"")+SUMIFS('25'!$N$7:$N$100,'25'!$H$7:$H$100,$A402,'25'!$I$7:$I$100,"")+SUMIFS('26'!$N$7:$N$100,'26'!$H$7:$H$100,$A402,'26'!$I$7:$I$100,"")+SUMIFS('26a'!$N$7:$N$100,'26a'!$H$7:$H$100,$A402,'26a'!$I$7:$I$100,"")+SUMIFS('27'!$N$7:$N$100,'27'!$H$7:$H$100,$A402,'27'!$I$7:$I$100,"")+SUMIFS('27a'!$N$7:$N$100,'27a'!$H$7:$H$100,$A402,'27a'!$I$7:$I$100,"")+SUMIFS('28'!$N$7:$N$100,'28'!$H$7:$H$100,$A402,'28'!$I$7:$I$100,"")+SUMIFS('29'!$N$7:$N$100,'29'!$H$7:$H$100,$A402,'29'!$I$7:$I$100,"")</f>
        <v>60100</v>
      </c>
      <c r="F402" s="1296">
        <f t="shared" si="64"/>
        <v>60100</v>
      </c>
      <c r="G402" s="1295">
        <f>SUMIFS('12'!$J$7:$J$100,'12'!$H$7:$H$100,$A402,'12'!$I$7:$I$100,1)+SUMIFS('13'!$J$7:$J$100,'13'!$H$7:$H$100,$A402,'13'!$I$7:$I$100,1)+SUMIFS('14'!$J$7:$J$100,'14'!$H$7:$H$100,$A402,'14'!$I$7:$I$100,1)+SUMIFS('15'!$J$7:$J$100,'15'!$H$7:$H$100,$A402,'15'!$I$7:$I$100,1)+SUMIFS('15a'!$J$7:$J$100,'15a'!$H$7:$H$100,$A402,'15a'!$I$7:$I$100,1)+SUMIFS('15b'!$J$7:$J$100,'15b'!$H$7:$H$100,$A402,'15b'!$I$7:$I$100,1)+SUMIFS('15c'!$J$7:$J$100,'15c'!$H$7:$H$100,$A402,'15c'!$I$7:$I$100,1)+SUMIFS('15d'!$J$7:$J$100,'15d'!$H$7:$H$100,$A402,'15d'!$I$7:$I$100,1)+SUMIFS('15e'!$J$7:$J$100,'15e'!$H$7:$H$100,$A402,'15e'!$I$7:$I$100,1)+SUMIFS('15f'!$J$7:$J$100,'15f'!$H$7:$H$100,$A402,'15f'!$I$7:$I$100,1)+SUMIFS('15g'!$J$7:$J$100,'15g'!$H$7:$H$100,$A402,'15g'!$I$7:$I$100,1)+SUMIFS('15h'!$J$7:$J$100,'15h'!$H$7:$H$100,$A402,'15h'!$I$7:$I$100,1)+SUMIFS('15i'!$J$7:$J$100,'15i'!$H$7:$H$100,$A402,'15i'!$I$7:$I$100,1)+SUMIFS('15j'!$J$7:$J$100,'15j'!$H$7:$H$100,$A402,'15j'!$I$7:$I$100,1)+SUMIFS('15k'!$J$7:$J$100,'15k'!$H$7:$H$100,$A402,'15k'!$I$7:$I$100,1)+SUMIFS('15l'!$J$7:$J$100,'15l'!$H$7:$H$100,$A402,'15l'!$I$7:$I$100,1)+SUMIFS('15m'!$J$7:$J$100,'15m'!$H$7:$H$100,$A402,'15m'!$I$7:$I$100,1)+SUMIFS('15n'!$J$7:$J$100,'15n'!$H$7:$H$100,$A402,'15n'!$I$7:$I$100,1)+SUMIFS('16'!$J$7:$J$100,'16'!$H$7:$H$100,$A402,'16'!$I$7:$I$100,1)+SUMIFS('16a'!$J$7:$J$100,'16a'!$H$7:$H$100,$A402,'16a'!$I$7:$I$100,1)+SUMIFS('17'!$J$7:$J$100,'17'!$H$7:$H$100,$A402,'17'!$I$7:$I$100,1)+SUMIFS('17a'!$J$7:$J$100,'17a'!$H$7:$H$100,$A402,'17a'!$I$7:$I$100,1)+SUMIFS('18'!$J$7:$J$100,'18'!$H$7:$H$100,$A402,'18'!$I$7:$I$100,1)+SUMIFS('18a'!$J$7:$J$100,'18a'!$H$7:$H$100,$A402,'18a'!$I$7:$I$100,1)
+SUMIFS('19'!$J$7:$J$100,'19'!$H$7:$H$100,$A402,'19'!$I$7:$I$100,1)+SUMIFS('20'!$J$7:$J$100,'20'!$H$7:$H$100,$A402,'20'!$I$7:$I$100,1)+SUMIFS('20a'!$J$7:$J$100,'20a'!$H$7:$H$100,$A402,'20a'!$I$7:$I$100,1)+SUMIFS('21'!$J$7:$J$100,'21'!$H$7:$H$100,$A402,'21'!$I$7:$I$100,1)+SUMIFS('22'!$J$7:$J$100,'22'!$H$7:$H$100,$A402,'22'!$I$7:$I$100,1)+SUMIFS('22a'!$J$7:$J$100,'22a'!$H$7:$H$100,$A402,'22a'!$I$7:$I$100,1)+SUMIFS('22b'!$J$7:$J$100,'22b'!$H$7:$H$100,$A402,'22b'!$I$7:$I$100,1)+SUMIFS('23'!$J$7:$J$100,'23'!$H$7:$H$100,$A402,'23'!$I$7:$I$100,1)+SUMIFS('24'!$J$7:$J$100,'24'!$H$7:$H$100,$A402,'24'!$I$7:$I$100,1)+SUMIFS('24a'!$J$7:$J$100,'24a'!$H$7:$H$100,$A402,'24a'!$I$7:$I$100,1)+SUMIFS('24b'!$J$7:$J$100,'24b'!$H$7:$H$100,$A402,'24b'!$I$7:$I$100,1)+SUMIFS('24c'!$J$7:$J$100,'24c'!$H$7:$H$100,$A402,'24c'!$I$7:$I$100,1)+SUMIFS('24d'!$J$7:$J$100,'24d'!$H$7:$H$100,$A402,'24d'!$I$7:$I$100,1)+SUMIFS('24e'!$J$7:$J$100,'24e'!$H$7:$H$100,$A402,'24e'!$I$7:$I$100,1)+SUMIFS('24f'!$J$7:$J$100,'24f'!$H$7:$H$100,$A402,'24f'!$I$7:$I$100,1)+SUMIFS('24g'!$J$7:$J$100,'24g'!$H$7:$H$100,$A402,'24g'!$I$7:$I$100,1)+SUMIFS('24h'!$J$7:$J$100,'24h'!$H$7:$H$100,$A402,'24h'!$I$7:$I$100,1)+SUMIFS('24i'!$J$7:$J$100,'24i'!$H$7:$H$100,$A402,'24i'!$I$7:$I$100,1)+SUMIFS('25'!$J$7:$J$100,'25'!$H$7:$H$100,$A402,'25'!$I$7:$I$100,1)+SUMIFS('26'!$J$7:$J$100,'26'!$H$7:$H$100,$A402,'26'!$I$7:$I$100,1)+SUMIFS('26a'!$J$7:$J$100,'26a'!$H$7:$H$100,$A402,'26a'!$I$7:$I$100,1)+SUMIFS('27'!$J$7:$J$100,'27'!$H$7:$H$100,$A402,'27'!$I$7:$I$100,1)+SUMIFS('27a'!$J$7:$J$100,'27a'!$H$7:$H$100,$A402,'27a'!$I$7:$I$100,1)+SUMIFS('28'!$J$7:$J$100,'28'!$H$7:$H$100,$A402,'28'!$I$7:$I$100,1)+SUMIFS('29'!$J$7:$J$100,'29'!$H$7:$H$100,$A402,'29'!$I$7:$I$100,1)</f>
        <v>0</v>
      </c>
      <c r="H402" s="1315">
        <f>SUMIFS('12'!$J$7:$J$100,'12'!$H$7:$H$100,$A402,'12'!$I$7:$I$100,2)+SUMIFS('13'!$J$7:$J$100,'13'!$H$7:$H$100,$A402,'13'!$I$7:$I$100,2)+SUMIFS('14'!$J$7:$J$100,'14'!$H$7:$H$100,$A402,'14'!$I$7:$I$100,2)+SUMIFS('15'!$J$7:$J$100,'15'!$H$7:$H$100,$A402,'15'!$I$7:$I$100,2)+SUMIFS('15a'!$J$7:$J$100,'15a'!$H$7:$H$100,$A402,'15a'!$I$7:$I$100,2)+SUMIFS('15b'!$J$7:$J$100,'15b'!$H$7:$H$100,$A402,'15b'!$I$7:$I$100,2)+SUMIFS('15c'!$J$7:$J$100,'15c'!$H$7:$H$100,$A402,'15c'!$I$7:$I$100,2)+SUMIFS('15d'!$J$7:$J$100,'15d'!$H$7:$H$100,$A402,'15d'!$I$7:$I$100,2)+SUMIFS('15e'!$J$7:$J$100,'15e'!$H$7:$H$100,$A402,'15e'!$I$7:$I$100,2)+SUMIFS('15f'!$J$7:$J$100,'15f'!$H$7:$H$100,$A402,'15f'!$I$7:$I$100,2)+SUMIFS('15g'!$J$7:$J$100,'15g'!$H$7:$H$100,$A402,'15g'!$I$7:$I$100,2)+SUMIFS('15h'!$J$7:$J$100,'15h'!$H$7:$H$100,$A402,'15h'!$I$7:$I$100,2)+SUMIFS('15i'!$J$7:$J$100,'15i'!$H$7:$H$100,$A402,'15i'!$I$7:$I$100,2)+SUMIFS('15j'!$J$7:$J$100,'15j'!$H$7:$H$100,$A402,'15j'!$I$7:$I$100,2)+SUMIFS('15k'!$J$7:$J$100,'15k'!$H$7:$H$100,$A402,'15k'!$I$7:$I$100,2)+SUMIFS('15l'!$J$7:$J$100,'15l'!$H$7:$H$100,$A402,'15l'!$I$7:$I$100,2)+SUMIFS('15m'!$J$7:$J$100,'15m'!$H$7:$H$100,$A402,'15m'!$I$7:$I$100,2)+SUMIFS('15n'!$J$7:$J$100,'15n'!$H$7:$H$100,$A402,'15n'!$I$7:$I$100,2)+SUMIFS('16'!$J$7:$J$100,'16'!$H$7:$H$100,$A402,'16'!$I$7:$I$100,2)+SUMIFS('16a'!$J$7:$J$100,'16a'!$H$7:$H$100,$A402,'16a'!$I$7:$I$100,2)+SUMIFS('17'!$J$7:$J$100,'17'!$H$7:$H$100,$A402,'17'!$I$7:$I$100,2)+SUMIFS('17a'!$J$7:$J$100,'17a'!$H$7:$H$100,$A402,'17a'!$I$7:$I$100,2)+SUMIFS('18'!$J$7:$J$100,'18'!$H$7:$H$100,$A402,'18'!$I$7:$I$100,2)+SUMIFS('18a'!$J$7:$J$100,'18a'!$H$7:$H$100,$A402,'18a'!$I$7:$I$100,2)
+SUMIFS('19'!$J$7:$J$100,'19'!$H$7:$H$100,$A402,'19'!$I$7:$I$100,2)+SUMIFS('20'!$J$7:$J$100,'20'!$H$7:$H$100,$A402,'20'!$I$7:$I$100,2)+SUMIFS('20a'!$J$7:$J$100,'20a'!$H$7:$H$100,$A402,'20a'!$I$7:$I$100,2)+SUMIFS('21'!$J$7:$J$100,'21'!$H$7:$H$100,$A402,'21'!$I$7:$I$100,2)+SUMIFS('22'!$J$7:$J$100,'22'!$H$7:$H$100,$A402,'22'!$I$7:$I$100,2)+SUMIFS('22a'!$J$7:$J$100,'22a'!$H$7:$H$100,$A402,'22a'!$I$7:$I$100,2)+SUMIFS('22b'!$J$7:$J$100,'22b'!$H$7:$H$100,$A402,'22b'!$I$7:$I$100,2)+SUMIFS('23'!$J$7:$J$100,'23'!$H$7:$H$100,$A402,'23'!$I$7:$I$100,2)+SUMIFS('24'!$J$7:$J$100,'24'!$H$7:$H$100,$A402,'24'!$I$7:$I$100,2)+SUMIFS('24a'!$J$7:$J$100,'24a'!$H$7:$H$100,$A402,'24a'!$I$7:$I$100,2)+SUMIFS('24b'!$J$7:$J$100,'24b'!$H$7:$H$100,$A402,'24b'!$I$7:$I$100,2)+SUMIFS('24c'!$J$7:$J$100,'24c'!$H$7:$H$100,$A402,'24c'!$I$7:$I$100,2)+SUMIFS('24d'!$J$7:$J$100,'24d'!$H$7:$H$100,$A402,'24d'!$I$7:$I$100,2)+SUMIFS('24e'!$J$7:$J$100,'24e'!$H$7:$H$100,$A402,'24e'!$I$7:$I$100,2)+SUMIFS('24f'!$J$7:$J$100,'24f'!$H$7:$H$100,$A402,'24f'!$I$7:$I$100,2)+SUMIFS('24g'!$J$7:$J$100,'24g'!$H$7:$H$100,$A402,'24g'!$I$7:$I$100,2)+SUMIFS('24h'!$J$7:$J$100,'24h'!$H$7:$H$100,$A402,'24h'!$I$7:$I$100,2)+SUMIFS('24i'!$J$7:$J$100,'24i'!$H$7:$H$100,$A402,'24i'!$I$7:$I$100,2)+SUMIFS('25'!$J$7:$J$100,'25'!$H$7:$H$100,$A402,'25'!$I$7:$I$100,2)+SUMIFS('26'!$J$7:$J$100,'26'!$H$7:$H$100,$A402,'26'!$I$7:$I$100,2)+SUMIFS('26a'!$J$7:$J$100,'26a'!$H$7:$H$100,$A402,'26a'!$I$7:$I$100,2)+SUMIFS('27'!$J$7:$J$100,'27'!$H$7:$H$100,$A402,'27'!$I$7:$I$100,2)+SUMIFS('27a'!$J$7:$J$100,'27a'!$H$7:$H$100,$A402,'27a'!$I$7:$I$100,2)+SUMIFS('28'!$J$7:$J$100,'28'!$H$7:$H$100,$A402,'28'!$I$7:$I$100,2)+SUMIFS('29'!$J$7:$J$100,'29'!$H$7:$H$100,$A402,'29'!$I$7:$I$100,2)</f>
        <v>0</v>
      </c>
      <c r="I402" s="1315">
        <f>SUMIFS('12'!$J$7:$J$100,'12'!$H$7:$H$100,$A402,'12'!$I$7:$I$100,"")+SUMIFS('13'!$J$7:$J$100,'13'!$H$7:$H$100,$A402,'13'!$I$7:$I$100,"")+SUMIFS('14'!$J$7:$J$100,'14'!$H$7:$H$100,$A402,'14'!$I$7:$I$100,"")+SUMIFS('15'!$J$7:$J$100,'15'!$H$7:$H$100,$A402,'15'!$I$7:$I$100,"")+SUMIFS('15a'!$J$7:$J$100,'15a'!$H$7:$H$100,$A402,'15a'!$I$7:$I$100,"")+SUMIFS('15b'!$J$7:$J$100,'15b'!$H$7:$H$100,$A402,'15b'!$I$7:$I$100,"")+SUMIFS('15c'!$J$7:$J$100,'15c'!$H$7:$H$100,$A402,'15c'!$I$7:$I$100,"")+SUMIFS('15d'!$J$7:$J$100,'15d'!$H$7:$H$100,$A402,'15d'!$I$7:$I$100,"")+SUMIFS('15e'!$J$7:$J$100,'15e'!$H$7:$H$100,$A402,'15e'!$I$7:$I$100,"")+SUMIFS('15f'!$J$7:$J$100,'15f'!$H$7:$H$100,$A402,'15f'!$I$7:$I$100,"")+SUMIFS('15g'!$J$7:$J$100,'15g'!$H$7:$H$100,$A402,'15g'!$I$7:$I$100,"")+SUMIFS('15h'!$J$7:$J$100,'15h'!$H$7:$H$100,$A402,'15h'!$I$7:$I$100,"")+SUMIFS('15i'!$J$7:$J$100,'15i'!$H$7:$H$100,$A402,'15i'!$I$7:$I$100,"")+SUMIFS('15j'!$J$7:$J$100,'15j'!$H$7:$H$100,$A402,'15j'!$I$7:$I$100,"")+SUMIFS('15k'!$J$7:$J$100,'15k'!$H$7:$H$100,$A402,'15k'!$I$7:$I$100,"")+SUMIFS('15l'!$J$7:$J$100,'15l'!$H$7:$H$100,$A402,'15l'!$I$7:$I$100,"")+SUMIFS('15m'!$J$7:$J$100,'15m'!$H$7:$H$100,$A402,'15m'!$I$7:$I$100,"")+SUMIFS('15n'!$J$7:$J$100,'15n'!$H$7:$H$100,$A402,'15n'!$I$7:$I$100,"")+SUMIFS('16'!$J$7:$J$100,'16'!$H$7:$H$100,$A402,'16'!$I$7:$I$100,"")+SUMIFS('16a'!$J$7:$J$100,'16a'!$H$7:$H$100,$A402,'16a'!$I$7:$I$100,"")+SUMIFS('17'!$J$7:$J$100,'17'!$H$7:$H$100,$A402,'17'!$I$7:$I$100,"")+SUMIFS('17a'!$J$7:$J$100,'17a'!$H$7:$H$100,$A402,'17a'!$I$7:$I$100,"")+SUMIFS('18'!$J$7:$J$100,'18'!$H$7:$H$100,$A402,'18'!$I$7:$I$100,"")+SUMIFS('18a'!$J$7:$J$100,'18a'!$H$7:$H$100,$A402,'18a'!$I$7:$I$100,"")
+SUMIFS('19'!$J$7:$J$100,'19'!$H$7:$H$100,$A402,'19'!$I$7:$I$100,"")+SUMIFS('20'!$J$7:$J$100,'20'!$H$7:$H$100,$A402,'20'!$I$7:$I$100,"")+SUMIFS('20a'!$J$7:$J$100,'20a'!$H$7:$H$100,$A402,'20a'!$I$7:$I$100,"")+SUMIFS('21'!$J$7:$J$100,'21'!$H$7:$H$100,$A402,'21'!$I$7:$I$100,"")+SUMIFS('22'!$J$7:$J$100,'22'!$H$7:$H$100,$A402,'22'!$I$7:$I$100,"")+SUMIFS('22a'!$J$7:$J$100,'22a'!$H$7:$H$100,$A402,'22a'!$I$7:$I$100,"")+SUMIFS('22b'!$J$7:$J$100,'22b'!$H$7:$H$100,$A402,'22b'!$I$7:$I$100,"")+SUMIFS('23'!$J$7:$J$100,'23'!$H$7:$H$100,$A402,'23'!$I$7:$I$100,"")+SUMIFS('24'!$J$7:$J$100,'24'!$H$7:$H$100,$A402,'24'!$I$7:$I$100,"")+SUMIFS('24a'!$J$7:$J$100,'24a'!$H$7:$H$100,$A402,'24a'!$I$7:$I$100,"")+SUMIFS('24b'!$J$7:$J$100,'24b'!$H$7:$H$100,$A402,'24b'!$I$7:$I$100,"")+SUMIFS('24c'!$J$7:$J$100,'24c'!$H$7:$H$100,$A402,'24c'!$I$7:$I$100,"")+SUMIFS('24d'!$J$7:$J$100,'24d'!$H$7:$H$100,$A402,'24d'!$I$7:$I$100,"")+SUMIFS('24e'!$J$7:$J$100,'24e'!$H$7:$H$100,$A402,'24e'!$I$7:$I$100,"")+SUMIFS('24f'!$J$7:$J$100,'24f'!$H$7:$H$100,$A402,'24f'!$I$7:$I$100,"")+SUMIFS('24g'!$J$7:$J$100,'24g'!$H$7:$H$100,$A402,'24g'!$I$7:$I$100,"")+SUMIFS('24h'!$J$7:$J$100,'24h'!$H$7:$H$100,$A402,'24h'!$I$7:$I$100,"")+SUMIFS('24i'!$J$7:$J$100,'24i'!$H$7:$H$100,$A402,'24i'!$I$7:$I$100,"")+SUMIFS('25'!$J$7:$J$100,'25'!$H$7:$H$100,$A402,'25'!$I$7:$I$100,"")+SUMIFS('26'!$J$7:$J$100,'26'!$H$7:$H$100,$A402,'26'!$I$7:$I$100,"")+SUMIFS('26a'!$J$7:$J$100,'26a'!$H$7:$H$100,$A402,'26a'!$I$7:$I$100,"")+SUMIFS('27'!$J$7:$J$100,'27'!$H$7:$H$100,$A402,'27'!$I$7:$I$100,"")+SUMIFS('27a'!$J$7:$J$100,'27a'!$H$7:$H$100,$A402,'27a'!$I$7:$I$100,"")+SUMIFS('28'!$J$7:$J$100,'28'!$H$7:$H$100,$A402,'28'!$I$7:$I$100,"")+SUMIFS('29'!$J$7:$J$100,'29'!$H$7:$H$100,$A402,'29'!$I$7:$I$100,"")</f>
        <v>60100</v>
      </c>
      <c r="J402" s="1296">
        <f t="shared" si="65"/>
        <v>60100</v>
      </c>
      <c r="K402"/>
      <c r="L402"/>
      <c r="M402"/>
      <c r="N402"/>
      <c r="O402"/>
      <c r="P402"/>
      <c r="Q402"/>
      <c r="R402"/>
      <c r="S402" s="1307">
        <f t="shared" si="48"/>
        <v>240400</v>
      </c>
      <c r="T402"/>
    </row>
    <row r="403" spans="1:20" x14ac:dyDescent="0.2">
      <c r="A403" t="s">
        <v>541</v>
      </c>
      <c r="B403" t="s">
        <v>243</v>
      </c>
      <c r="C403" s="1295">
        <f>SUMIFS('12'!$N$7:$N$100,'12'!$H$7:$H$100,$A403,'12'!$I$7:$I$100,1)+SUMIFS('13'!$N$7:$N$100,'13'!$H$7:$H$100,$A403,'13'!$I$7:$I$100,1)+SUMIFS('14'!$N$7:$N$100,'14'!$H$7:$H$100,$A403,'14'!$I$7:$I$100,1)+SUMIFS('15'!$N$7:$N$100,'15'!$H$7:$H$100,$A403,'15'!$I$7:$I$100,1)+SUMIFS('15a'!$N$7:$N$100,'15a'!$H$7:$H$100,$A403,'15a'!$I$7:$I$100,1)+SUMIFS('15b'!$N$7:$N$100,'15b'!$H$7:$H$100,$A403,'15b'!$I$7:$I$100,1)+SUMIFS('15c'!$N$7:$N$100,'15c'!$H$7:$H$100,$A403,'15c'!$I$7:$I$100,1)+SUMIFS('15d'!$N$7:$N$100,'15d'!$H$7:$H$100,$A403,'15d'!$I$7:$I$100,1)+SUMIFS('15e'!$N$7:$N$100,'15e'!$H$7:$H$100,$A403,'15e'!$I$7:$I$100,1)+SUMIFS('15f'!$N$7:$N$100,'15f'!$H$7:$H$100,$A403,'15f'!$I$7:$I$100,1)+SUMIFS('15g'!$N$7:$N$100,'15g'!$H$7:$H$100,$A403,'15g'!$I$7:$I$100,1)+SUMIFS('15h'!$N$7:$N$100,'15h'!$H$7:$H$100,$A403,'15h'!$I$7:$I$100,1)+SUMIFS('15i'!$N$7:$N$100,'15i'!$H$7:$H$100,$A403,'15i'!$I$7:$I$100,1)+SUMIFS('15j'!$N$7:$N$100,'15j'!$H$7:$H$100,$A403,'15j'!$I$7:$I$100,1)+SUMIFS('15k'!$N$7:$N$100,'15k'!$H$7:$H$100,$A403,'15k'!$I$7:$I$100,1)+SUMIFS('15l'!$N$7:$N$100,'15l'!$H$7:$H$100,$A403,'15l'!$I$7:$I$100,1)+SUMIFS('15m'!$N$7:$N$100,'15m'!$H$7:$H$100,$A403,'15m'!$I$7:$I$100,1)+SUMIFS('15n'!$N$7:$N$100,'15n'!$H$7:$H$100,$A403,'15n'!$I$7:$I$100,1)+SUMIFS('16'!$N$7:$N$100,'16'!$H$7:$H$100,$A403,'16'!$I$7:$I$100,1)+SUMIFS('16a'!$N$7:$N$100,'16a'!$H$7:$H$100,$A403,'16a'!$I$7:$I$100,1)+SUMIFS('17'!$N$7:$N$100,'17'!$H$7:$H$100,$A403,'17'!$I$7:$I$100,1)+SUMIFS('17a'!$N$7:$N$100,'17a'!$H$7:$H$100,$A403,'17a'!$I$7:$I$100,1)+SUMIFS('18'!$N$7:$N$100,'18'!$H$7:$H$100,$A403,'18'!$I$7:$I$100,1)+SUMIFS('18a'!$N$7:$N$100,'18a'!$H$7:$H$100,$A403,'18a'!$I$7:$I$100,1)
+SUMIFS('19'!$N$7:$N$100,'19'!$H$7:$H$100,$A403,'19'!$I$7:$I$100,1)+SUMIFS('20'!$N$7:$N$100,'20'!$H$7:$H$100,$A403,'20'!$I$7:$I$100,1)+SUMIFS('20a'!$N$7:$N$100,'20a'!$H$7:$H$100,$A403,'20a'!$I$7:$I$100,1)+SUMIFS('21'!$N$7:$N$100,'21'!$H$7:$H$100,$A403,'21'!$I$7:$I$100,1)+SUMIFS('22'!$N$7:$N$100,'22'!$H$7:$H$100,$A403,'22'!$I$7:$I$100,1)+SUMIFS('22a'!$N$7:$N$100,'22a'!$H$7:$H$100,$A403,'22a'!$I$7:$I$100,1)+SUMIFS('22b'!$N$7:$N$100,'22b'!$H$7:$H$100,$A403,'22b'!$I$7:$I$100,1)+SUMIFS('23'!$N$7:$N$100,'23'!$H$7:$H$100,$A403,'23'!$I$7:$I$100,1)+SUMIFS('24'!$N$7:$N$100,'24'!$H$7:$H$100,$A403,'24'!$I$7:$I$100,1)+SUMIFS('24a'!$N$7:$N$100,'24a'!$H$7:$H$100,$A403,'24a'!$I$7:$I$100,1)+SUMIFS('24b'!$N$7:$N$100,'24b'!$H$7:$H$100,$A403,'24b'!$I$7:$I$100,1)+SUMIFS('24c'!$N$7:$N$100,'24c'!$H$7:$H$100,$A403,'24c'!$I$7:$I$100,1)+SUMIFS('24d'!$N$7:$N$100,'24d'!$H$7:$H$100,$A403,'24d'!$I$7:$I$100,1)+SUMIFS('24e'!$N$7:$N$100,'24e'!$H$7:$H$100,$A403,'24e'!$I$7:$I$100,1)+SUMIFS('24f'!$N$7:$N$100,'24f'!$H$7:$H$100,$A403,'24f'!$I$7:$I$100,1)+SUMIFS('24g'!$N$7:$N$100,'24g'!$H$7:$H$100,$A403,'24g'!$I$7:$I$100,1)+SUMIFS('24h'!$N$7:$N$100,'24h'!$H$7:$H$100,$A403,'24h'!$I$7:$I$100,1)+SUMIFS('24i'!$N$7:$N$100,'24i'!$H$7:$H$100,$A403,'24i'!$I$7:$I$100,1)+SUMIFS('25'!$N$7:$N$100,'25'!$H$7:$H$100,$A403,'25'!$I$7:$I$100,1)+SUMIFS('26'!$N$7:$N$100,'26'!$H$7:$H$100,$A403,'26'!$I$7:$I$100,1)+SUMIFS('26a'!$N$7:$N$100,'26a'!$H$7:$H$100,$A403,'26a'!$I$7:$I$100,1)+SUMIFS('27'!$N$7:$N$100,'27'!$H$7:$H$100,$A403,'27'!$I$7:$I$100,1)+SUMIFS('27a'!$N$7:$N$100,'27a'!$H$7:$H$100,$A403,'27a'!$I$7:$I$100,1)+SUMIFS('28'!$N$7:$N$100,'28'!$H$7:$H$100,$A403,'28'!$I$7:$I$100,1)+SUMIFS('29'!$N$7:$N$100,'29'!$H$7:$H$100,$A403,'29'!$I$7:$I$100,1)</f>
        <v>0</v>
      </c>
      <c r="D403" s="1315">
        <f>SUMIFS('12'!$N$7:$N$100,'12'!$H$7:$H$100,$A403,'12'!$I$7:$I$100,2)+SUMIFS('13'!$N$7:$N$100,'13'!$H$7:$H$100,$A403,'13'!$I$7:$I$100,2)+SUMIFS('14'!$N$7:$N$100,'14'!$H$7:$H$100,$A403,'14'!$I$7:$I$100,2)+SUMIFS('15'!$N$7:$N$100,'15'!$H$7:$H$100,$A403,'15'!$I$7:$I$100,2)+SUMIFS('15a'!$N$7:$N$100,'15a'!$H$7:$H$100,$A403,'15a'!$I$7:$I$100,2)+SUMIFS('15b'!$N$7:$N$100,'15b'!$H$7:$H$100,$A403,'15b'!$I$7:$I$100,2)+SUMIFS('15c'!$N$7:$N$100,'15c'!$H$7:$H$100,$A403,'15c'!$I$7:$I$100,2)+SUMIFS('15d'!$N$7:$N$100,'15d'!$H$7:$H$100,$A403,'15d'!$I$7:$I$100,2)+SUMIFS('15e'!$N$7:$N$100,'15e'!$H$7:$H$100,$A403,'15e'!$I$7:$I$100,2)+SUMIFS('15f'!$N$7:$N$100,'15f'!$H$7:$H$100,$A403,'15f'!$I$7:$I$100,2)+SUMIFS('15g'!$N$7:$N$100,'15g'!$H$7:$H$100,$A403,'15g'!$I$7:$I$100,2)+SUMIFS('15h'!$N$7:$N$100,'15h'!$H$7:$H$100,$A403,'15h'!$I$7:$I$100,2)+SUMIFS('15i'!$N$7:$N$100,'15i'!$H$7:$H$100,$A403,'15i'!$I$7:$I$100,2)+SUMIFS('15j'!$N$7:$N$100,'15j'!$H$7:$H$100,$A403,'15j'!$I$7:$I$100,2)+SUMIFS('15k'!$N$7:$N$100,'15k'!$H$7:$H$100,$A403,'15k'!$I$7:$I$100,2)+SUMIFS('15l'!$N$7:$N$100,'15l'!$H$7:$H$100,$A403,'15l'!$I$7:$I$100,2)+SUMIFS('15m'!$N$7:$N$100,'15m'!$H$7:$H$100,$A403,'15m'!$I$7:$I$100,2)+SUMIFS('15n'!$N$7:$N$100,'15n'!$H$7:$H$100,$A403,'15n'!$I$7:$I$100,2)+SUMIFS('16'!$N$7:$N$100,'16'!$H$7:$H$100,$A403,'16'!$I$7:$I$100,2)+SUMIFS('16a'!$N$7:$N$100,'16a'!$H$7:$H$100,$A403,'16a'!$I$7:$I$100,2)+SUMIFS('17'!$N$7:$N$100,'17'!$H$7:$H$100,$A403,'17'!$I$7:$I$100,2)+SUMIFS('17a'!$N$7:$N$100,'17a'!$H$7:$H$100,$A403,'17a'!$I$7:$I$100,2)+SUMIFS('18'!$N$7:$N$100,'18'!$H$7:$H$100,$A403,'18'!$I$7:$I$100,2)+SUMIFS('18a'!$N$7:$N$100,'18a'!$H$7:$H$100,$A403,'18a'!$I$7:$I$100,2)
+SUMIFS('19'!$N$7:$N$100,'19'!$H$7:$H$100,$A403,'19'!$I$7:$I$100,2)+SUMIFS('20'!$N$7:$N$100,'20'!$H$7:$H$100,$A403,'20'!$I$7:$I$100,2)+SUMIFS('20a'!$N$7:$N$100,'20a'!$H$7:$H$100,$A403,'20a'!$I$7:$I$100,2)+SUMIFS('21'!$N$7:$N$100,'21'!$H$7:$H$100,$A403,'21'!$I$7:$I$100,2)+SUMIFS('22'!$N$7:$N$100,'22'!$H$7:$H$100,$A403,'22'!$I$7:$I$100,2)+SUMIFS('22a'!$N$7:$N$100,'22a'!$H$7:$H$100,$A403,'22a'!$I$7:$I$100,2)+SUMIFS('22b'!$N$7:$N$100,'22b'!$H$7:$H$100,$A403,'22b'!$I$7:$I$100,2)+SUMIFS('23'!$N$7:$N$100,'23'!$H$7:$H$100,$A403,'23'!$I$7:$I$100,2)+SUMIFS('24'!$N$7:$N$100,'24'!$H$7:$H$100,$A403,'24'!$I$7:$I$100,2)+SUMIFS('24a'!$N$7:$N$100,'24a'!$H$7:$H$100,$A403,'24a'!$I$7:$I$100,2)+SUMIFS('24b'!$N$7:$N$100,'24b'!$H$7:$H$100,$A403,'24b'!$I$7:$I$100,2)+SUMIFS('24c'!$N$7:$N$100,'24c'!$H$7:$H$100,$A403,'24c'!$I$7:$I$100,2)+SUMIFS('24d'!$N$7:$N$100,'24d'!$H$7:$H$100,$A403,'24d'!$I$7:$I$100,2)+SUMIFS('24e'!$N$7:$N$100,'24e'!$H$7:$H$100,$A403,'24e'!$I$7:$I$100,2)+SUMIFS('24f'!$N$7:$N$100,'24f'!$H$7:$H$100,$A403,'24f'!$I$7:$I$100,2)+SUMIFS('24g'!$N$7:$N$100,'24g'!$H$7:$H$100,$A403,'24g'!$I$7:$I$100,2)+SUMIFS('24h'!$N$7:$N$100,'24h'!$H$7:$H$100,$A403,'24h'!$I$7:$I$100,2)+SUMIFS('24i'!$N$7:$N$100,'24i'!$H$7:$H$100,$A403,'24i'!$I$7:$I$100,2)+SUMIFS('25'!$N$7:$N$100,'25'!$H$7:$H$100,$A403,'25'!$I$7:$I$100,2)+SUMIFS('26'!$N$7:$N$100,'26'!$H$7:$H$100,$A403,'26'!$I$7:$I$100,2)+SUMIFS('26a'!$N$7:$N$100,'26a'!$H$7:$H$100,$A403,'26a'!$I$7:$I$100,2)+SUMIFS('27'!$N$7:$N$100,'27'!$H$7:$H$100,$A403,'27'!$I$7:$I$100,2)+SUMIFS('27a'!$N$7:$N$100,'27a'!$H$7:$H$100,$A403,'27a'!$I$7:$I$100,2)+SUMIFS('28'!$N$7:$N$100,'28'!$H$7:$H$100,$A403,'28'!$I$7:$I$100,2)+SUMIFS('29'!$N$7:$N$100,'29'!$H$7:$H$100,$A403,'29'!$I$7:$I$100,2)</f>
        <v>0</v>
      </c>
      <c r="E403" s="1315">
        <f>SUMIFS('12'!$N$7:$N$100,'12'!$H$7:$H$100,$A403,'12'!$I$7:$I$100,"")+SUMIFS('13'!$N$7:$N$100,'13'!$H$7:$H$100,$A403,'13'!$I$7:$I$100,"")+SUMIFS('14'!$N$7:$N$100,'14'!$H$7:$H$100,$A403,'14'!$I$7:$I$100,"")+SUMIFS('15'!$N$7:$N$100,'15'!$H$7:$H$100,$A403,'15'!$I$7:$I$100,"")+SUMIFS('15a'!$N$7:$N$100,'15a'!$H$7:$H$100,$A403,'15a'!$I$7:$I$100,"")+SUMIFS('15b'!$N$7:$N$100,'15b'!$H$7:$H$100,$A403,'15b'!$I$7:$I$100,"")+SUMIFS('15c'!$N$7:$N$100,'15c'!$H$7:$H$100,$A403,'15c'!$I$7:$I$100,"")+SUMIFS('15d'!$N$7:$N$100,'15d'!$H$7:$H$100,$A403,'15d'!$I$7:$I$100,"")+SUMIFS('15e'!$N$7:$N$100,'15e'!$H$7:$H$100,$A403,'15e'!$I$7:$I$100,"")+SUMIFS('15f'!$N$7:$N$100,'15f'!$H$7:$H$100,$A403,'15f'!$I$7:$I$100,"")+SUMIFS('15g'!$N$7:$N$100,'15g'!$H$7:$H$100,$A403,'15g'!$I$7:$I$100,"")+SUMIFS('15h'!$N$7:$N$100,'15h'!$H$7:$H$100,$A403,'15h'!$I$7:$I$100,"")+SUMIFS('15i'!$N$7:$N$100,'15i'!$H$7:$H$100,$A403,'15i'!$I$7:$I$100,"")+SUMIFS('15j'!$N$7:$N$100,'15j'!$H$7:$H$100,$A403,'15j'!$I$7:$I$100,"")+SUMIFS('15k'!$N$7:$N$100,'15k'!$H$7:$H$100,$A403,'15k'!$I$7:$I$100,"")+SUMIFS('15l'!$N$7:$N$100,'15l'!$H$7:$H$100,$A403,'15l'!$I$7:$I$100,"")+SUMIFS('15m'!$N$7:$N$100,'15m'!$H$7:$H$100,$A403,'15m'!$I$7:$I$100,"")+SUMIFS('15n'!$N$7:$N$100,'15n'!$H$7:$H$100,$A403,'15n'!$I$7:$I$100,"")+SUMIFS('16'!$N$7:$N$100,'16'!$H$7:$H$100,$A403,'16'!$I$7:$I$100,"")+SUMIFS('16a'!$N$7:$N$100,'16a'!$H$7:$H$100,$A403,'16a'!$I$7:$I$100,"")+SUMIFS('17'!$N$7:$N$100,'17'!$H$7:$H$100,$A403,'17'!$I$7:$I$100,"")+SUMIFS('17a'!$N$7:$N$100,'17a'!$H$7:$H$100,$A403,'17a'!$I$7:$I$100,"")+SUMIFS('18'!$N$7:$N$100,'18'!$H$7:$H$100,$A403,'18'!$I$7:$I$100,"")+SUMIFS('18a'!$N$7:$N$100,'18a'!$H$7:$H$100,$A403,'18a'!$I$7:$I$100,"")
+SUMIFS('19'!$N$7:$N$100,'19'!$H$7:$H$100,$A403,'19'!$I$7:$I$100,"")+SUMIFS('20'!$N$7:$N$100,'20'!$H$7:$H$100,$A403,'20'!$I$7:$I$100,"")+SUMIFS('20a'!$N$7:$N$100,'20a'!$H$7:$H$100,$A403,'20a'!$I$7:$I$100,"")+SUMIFS('21'!$N$7:$N$100,'21'!$H$7:$H$100,$A403,'21'!$I$7:$I$100,"")+SUMIFS('22'!$N$7:$N$100,'22'!$H$7:$H$100,$A403,'22'!$I$7:$I$100,"")+SUMIFS('22a'!$N$7:$N$100,'22a'!$H$7:$H$100,$A403,'22a'!$I$7:$I$100,"")+SUMIFS('22b'!$N$7:$N$100,'22b'!$H$7:$H$100,$A403,'22b'!$I$7:$I$100,"")+SUMIFS('23'!$N$7:$N$100,'23'!$H$7:$H$100,$A403,'23'!$I$7:$I$100,"")+SUMIFS('24'!$N$7:$N$100,'24'!$H$7:$H$100,$A403,'24'!$I$7:$I$100,"")+SUMIFS('24a'!$N$7:$N$100,'24a'!$H$7:$H$100,$A403,'24a'!$I$7:$I$100,"")+SUMIFS('24b'!$N$7:$N$100,'24b'!$H$7:$H$100,$A403,'24b'!$I$7:$I$100,"")+SUMIFS('24c'!$N$7:$N$100,'24c'!$H$7:$H$100,$A403,'24c'!$I$7:$I$100,"")+SUMIFS('24d'!$N$7:$N$100,'24d'!$H$7:$H$100,$A403,'24d'!$I$7:$I$100,"")+SUMIFS('24e'!$N$7:$N$100,'24e'!$H$7:$H$100,$A403,'24e'!$I$7:$I$100,"")+SUMIFS('24f'!$N$7:$N$100,'24f'!$H$7:$H$100,$A403,'24f'!$I$7:$I$100,"")+SUMIFS('24g'!$N$7:$N$100,'24g'!$H$7:$H$100,$A403,'24g'!$I$7:$I$100,"")+SUMIFS('24h'!$N$7:$N$100,'24h'!$H$7:$H$100,$A403,'24h'!$I$7:$I$100,"")+SUMIFS('24i'!$N$7:$N$100,'24i'!$H$7:$H$100,$A403,'24i'!$I$7:$I$100,"")+SUMIFS('25'!$N$7:$N$100,'25'!$H$7:$H$100,$A403,'25'!$I$7:$I$100,"")+SUMIFS('26'!$N$7:$N$100,'26'!$H$7:$H$100,$A403,'26'!$I$7:$I$100,"")+SUMIFS('26a'!$N$7:$N$100,'26a'!$H$7:$H$100,$A403,'26a'!$I$7:$I$100,"")+SUMIFS('27'!$N$7:$N$100,'27'!$H$7:$H$100,$A403,'27'!$I$7:$I$100,"")+SUMIFS('27a'!$N$7:$N$100,'27a'!$H$7:$H$100,$A403,'27a'!$I$7:$I$100,"")+SUMIFS('28'!$N$7:$N$100,'28'!$H$7:$H$100,$A403,'28'!$I$7:$I$100,"")+SUMIFS('29'!$N$7:$N$100,'29'!$H$7:$H$100,$A403,'29'!$I$7:$I$100,"")</f>
        <v>0</v>
      </c>
      <c r="F403" s="1296">
        <f t="shared" si="64"/>
        <v>0</v>
      </c>
      <c r="G403" s="1295">
        <f>SUMIFS('12'!$J$7:$J$100,'12'!$H$7:$H$100,$A403,'12'!$I$7:$I$100,1)+SUMIFS('13'!$J$7:$J$100,'13'!$H$7:$H$100,$A403,'13'!$I$7:$I$100,1)+SUMIFS('14'!$J$7:$J$100,'14'!$H$7:$H$100,$A403,'14'!$I$7:$I$100,1)+SUMIFS('15'!$J$7:$J$100,'15'!$H$7:$H$100,$A403,'15'!$I$7:$I$100,1)+SUMIFS('15a'!$J$7:$J$100,'15a'!$H$7:$H$100,$A403,'15a'!$I$7:$I$100,1)+SUMIFS('15b'!$J$7:$J$100,'15b'!$H$7:$H$100,$A403,'15b'!$I$7:$I$100,1)+SUMIFS('15c'!$J$7:$J$100,'15c'!$H$7:$H$100,$A403,'15c'!$I$7:$I$100,1)+SUMIFS('15d'!$J$7:$J$100,'15d'!$H$7:$H$100,$A403,'15d'!$I$7:$I$100,1)+SUMIFS('15e'!$J$7:$J$100,'15e'!$H$7:$H$100,$A403,'15e'!$I$7:$I$100,1)+SUMIFS('15f'!$J$7:$J$100,'15f'!$H$7:$H$100,$A403,'15f'!$I$7:$I$100,1)+SUMIFS('15g'!$J$7:$J$100,'15g'!$H$7:$H$100,$A403,'15g'!$I$7:$I$100,1)+SUMIFS('15h'!$J$7:$J$100,'15h'!$H$7:$H$100,$A403,'15h'!$I$7:$I$100,1)+SUMIFS('15i'!$J$7:$J$100,'15i'!$H$7:$H$100,$A403,'15i'!$I$7:$I$100,1)+SUMIFS('15j'!$J$7:$J$100,'15j'!$H$7:$H$100,$A403,'15j'!$I$7:$I$100,1)+SUMIFS('15k'!$J$7:$J$100,'15k'!$H$7:$H$100,$A403,'15k'!$I$7:$I$100,1)+SUMIFS('15l'!$J$7:$J$100,'15l'!$H$7:$H$100,$A403,'15l'!$I$7:$I$100,1)+SUMIFS('15m'!$J$7:$J$100,'15m'!$H$7:$H$100,$A403,'15m'!$I$7:$I$100,1)+SUMIFS('15n'!$J$7:$J$100,'15n'!$H$7:$H$100,$A403,'15n'!$I$7:$I$100,1)+SUMIFS('16'!$J$7:$J$100,'16'!$H$7:$H$100,$A403,'16'!$I$7:$I$100,1)+SUMIFS('16a'!$J$7:$J$100,'16a'!$H$7:$H$100,$A403,'16a'!$I$7:$I$100,1)+SUMIFS('17'!$J$7:$J$100,'17'!$H$7:$H$100,$A403,'17'!$I$7:$I$100,1)+SUMIFS('17a'!$J$7:$J$100,'17a'!$H$7:$H$100,$A403,'17a'!$I$7:$I$100,1)+SUMIFS('18'!$J$7:$J$100,'18'!$H$7:$H$100,$A403,'18'!$I$7:$I$100,1)+SUMIFS('18a'!$J$7:$J$100,'18a'!$H$7:$H$100,$A403,'18a'!$I$7:$I$100,1)
+SUMIFS('19'!$J$7:$J$100,'19'!$H$7:$H$100,$A403,'19'!$I$7:$I$100,1)+SUMIFS('20'!$J$7:$J$100,'20'!$H$7:$H$100,$A403,'20'!$I$7:$I$100,1)+SUMIFS('20a'!$J$7:$J$100,'20a'!$H$7:$H$100,$A403,'20a'!$I$7:$I$100,1)+SUMIFS('21'!$J$7:$J$100,'21'!$H$7:$H$100,$A403,'21'!$I$7:$I$100,1)+SUMIFS('22'!$J$7:$J$100,'22'!$H$7:$H$100,$A403,'22'!$I$7:$I$100,1)+SUMIFS('22a'!$J$7:$J$100,'22a'!$H$7:$H$100,$A403,'22a'!$I$7:$I$100,1)+SUMIFS('22b'!$J$7:$J$100,'22b'!$H$7:$H$100,$A403,'22b'!$I$7:$I$100,1)+SUMIFS('23'!$J$7:$J$100,'23'!$H$7:$H$100,$A403,'23'!$I$7:$I$100,1)+SUMIFS('24'!$J$7:$J$100,'24'!$H$7:$H$100,$A403,'24'!$I$7:$I$100,1)+SUMIFS('24a'!$J$7:$J$100,'24a'!$H$7:$H$100,$A403,'24a'!$I$7:$I$100,1)+SUMIFS('24b'!$J$7:$J$100,'24b'!$H$7:$H$100,$A403,'24b'!$I$7:$I$100,1)+SUMIFS('24c'!$J$7:$J$100,'24c'!$H$7:$H$100,$A403,'24c'!$I$7:$I$100,1)+SUMIFS('24d'!$J$7:$J$100,'24d'!$H$7:$H$100,$A403,'24d'!$I$7:$I$100,1)+SUMIFS('24e'!$J$7:$J$100,'24e'!$H$7:$H$100,$A403,'24e'!$I$7:$I$100,1)+SUMIFS('24f'!$J$7:$J$100,'24f'!$H$7:$H$100,$A403,'24f'!$I$7:$I$100,1)+SUMIFS('24g'!$J$7:$J$100,'24g'!$H$7:$H$100,$A403,'24g'!$I$7:$I$100,1)+SUMIFS('24h'!$J$7:$J$100,'24h'!$H$7:$H$100,$A403,'24h'!$I$7:$I$100,1)+SUMIFS('24i'!$J$7:$J$100,'24i'!$H$7:$H$100,$A403,'24i'!$I$7:$I$100,1)+SUMIFS('25'!$J$7:$J$100,'25'!$H$7:$H$100,$A403,'25'!$I$7:$I$100,1)+SUMIFS('26'!$J$7:$J$100,'26'!$H$7:$H$100,$A403,'26'!$I$7:$I$100,1)+SUMIFS('26a'!$J$7:$J$100,'26a'!$H$7:$H$100,$A403,'26a'!$I$7:$I$100,1)+SUMIFS('27'!$J$7:$J$100,'27'!$H$7:$H$100,$A403,'27'!$I$7:$I$100,1)+SUMIFS('27a'!$J$7:$J$100,'27a'!$H$7:$H$100,$A403,'27a'!$I$7:$I$100,1)+SUMIFS('28'!$J$7:$J$100,'28'!$H$7:$H$100,$A403,'28'!$I$7:$I$100,1)+SUMIFS('29'!$J$7:$J$100,'29'!$H$7:$H$100,$A403,'29'!$I$7:$I$100,1)</f>
        <v>0</v>
      </c>
      <c r="H403" s="1315">
        <f>SUMIFS('12'!$J$7:$J$100,'12'!$H$7:$H$100,$A403,'12'!$I$7:$I$100,2)+SUMIFS('13'!$J$7:$J$100,'13'!$H$7:$H$100,$A403,'13'!$I$7:$I$100,2)+SUMIFS('14'!$J$7:$J$100,'14'!$H$7:$H$100,$A403,'14'!$I$7:$I$100,2)+SUMIFS('15'!$J$7:$J$100,'15'!$H$7:$H$100,$A403,'15'!$I$7:$I$100,2)+SUMIFS('15a'!$J$7:$J$100,'15a'!$H$7:$H$100,$A403,'15a'!$I$7:$I$100,2)+SUMIFS('15b'!$J$7:$J$100,'15b'!$H$7:$H$100,$A403,'15b'!$I$7:$I$100,2)+SUMIFS('15c'!$J$7:$J$100,'15c'!$H$7:$H$100,$A403,'15c'!$I$7:$I$100,2)+SUMIFS('15d'!$J$7:$J$100,'15d'!$H$7:$H$100,$A403,'15d'!$I$7:$I$100,2)+SUMIFS('15e'!$J$7:$J$100,'15e'!$H$7:$H$100,$A403,'15e'!$I$7:$I$100,2)+SUMIFS('15f'!$J$7:$J$100,'15f'!$H$7:$H$100,$A403,'15f'!$I$7:$I$100,2)+SUMIFS('15g'!$J$7:$J$100,'15g'!$H$7:$H$100,$A403,'15g'!$I$7:$I$100,2)+SUMIFS('15h'!$J$7:$J$100,'15h'!$H$7:$H$100,$A403,'15h'!$I$7:$I$100,2)+SUMIFS('15i'!$J$7:$J$100,'15i'!$H$7:$H$100,$A403,'15i'!$I$7:$I$100,2)+SUMIFS('15j'!$J$7:$J$100,'15j'!$H$7:$H$100,$A403,'15j'!$I$7:$I$100,2)+SUMIFS('15k'!$J$7:$J$100,'15k'!$H$7:$H$100,$A403,'15k'!$I$7:$I$100,2)+SUMIFS('15l'!$J$7:$J$100,'15l'!$H$7:$H$100,$A403,'15l'!$I$7:$I$100,2)+SUMIFS('15m'!$J$7:$J$100,'15m'!$H$7:$H$100,$A403,'15m'!$I$7:$I$100,2)+SUMIFS('15n'!$J$7:$J$100,'15n'!$H$7:$H$100,$A403,'15n'!$I$7:$I$100,2)+SUMIFS('16'!$J$7:$J$100,'16'!$H$7:$H$100,$A403,'16'!$I$7:$I$100,2)+SUMIFS('16a'!$J$7:$J$100,'16a'!$H$7:$H$100,$A403,'16a'!$I$7:$I$100,2)+SUMIFS('17'!$J$7:$J$100,'17'!$H$7:$H$100,$A403,'17'!$I$7:$I$100,2)+SUMIFS('17a'!$J$7:$J$100,'17a'!$H$7:$H$100,$A403,'17a'!$I$7:$I$100,2)+SUMIFS('18'!$J$7:$J$100,'18'!$H$7:$H$100,$A403,'18'!$I$7:$I$100,2)+SUMIFS('18a'!$J$7:$J$100,'18a'!$H$7:$H$100,$A403,'18a'!$I$7:$I$100,2)
+SUMIFS('19'!$J$7:$J$100,'19'!$H$7:$H$100,$A403,'19'!$I$7:$I$100,2)+SUMIFS('20'!$J$7:$J$100,'20'!$H$7:$H$100,$A403,'20'!$I$7:$I$100,2)+SUMIFS('20a'!$J$7:$J$100,'20a'!$H$7:$H$100,$A403,'20a'!$I$7:$I$100,2)+SUMIFS('21'!$J$7:$J$100,'21'!$H$7:$H$100,$A403,'21'!$I$7:$I$100,2)+SUMIFS('22'!$J$7:$J$100,'22'!$H$7:$H$100,$A403,'22'!$I$7:$I$100,2)+SUMIFS('22a'!$J$7:$J$100,'22a'!$H$7:$H$100,$A403,'22a'!$I$7:$I$100,2)+SUMIFS('22b'!$J$7:$J$100,'22b'!$H$7:$H$100,$A403,'22b'!$I$7:$I$100,2)+SUMIFS('23'!$J$7:$J$100,'23'!$H$7:$H$100,$A403,'23'!$I$7:$I$100,2)+SUMIFS('24'!$J$7:$J$100,'24'!$H$7:$H$100,$A403,'24'!$I$7:$I$100,2)+SUMIFS('24a'!$J$7:$J$100,'24a'!$H$7:$H$100,$A403,'24a'!$I$7:$I$100,2)+SUMIFS('24b'!$J$7:$J$100,'24b'!$H$7:$H$100,$A403,'24b'!$I$7:$I$100,2)+SUMIFS('24c'!$J$7:$J$100,'24c'!$H$7:$H$100,$A403,'24c'!$I$7:$I$100,2)+SUMIFS('24d'!$J$7:$J$100,'24d'!$H$7:$H$100,$A403,'24d'!$I$7:$I$100,2)+SUMIFS('24e'!$J$7:$J$100,'24e'!$H$7:$H$100,$A403,'24e'!$I$7:$I$100,2)+SUMIFS('24f'!$J$7:$J$100,'24f'!$H$7:$H$100,$A403,'24f'!$I$7:$I$100,2)+SUMIFS('24g'!$J$7:$J$100,'24g'!$H$7:$H$100,$A403,'24g'!$I$7:$I$100,2)+SUMIFS('24h'!$J$7:$J$100,'24h'!$H$7:$H$100,$A403,'24h'!$I$7:$I$100,2)+SUMIFS('24i'!$J$7:$J$100,'24i'!$H$7:$H$100,$A403,'24i'!$I$7:$I$100,2)+SUMIFS('25'!$J$7:$J$100,'25'!$H$7:$H$100,$A403,'25'!$I$7:$I$100,2)+SUMIFS('26'!$J$7:$J$100,'26'!$H$7:$H$100,$A403,'26'!$I$7:$I$100,2)+SUMIFS('26a'!$J$7:$J$100,'26a'!$H$7:$H$100,$A403,'26a'!$I$7:$I$100,2)+SUMIFS('27'!$J$7:$J$100,'27'!$H$7:$H$100,$A403,'27'!$I$7:$I$100,2)+SUMIFS('27a'!$J$7:$J$100,'27a'!$H$7:$H$100,$A403,'27a'!$I$7:$I$100,2)+SUMIFS('28'!$J$7:$J$100,'28'!$H$7:$H$100,$A403,'28'!$I$7:$I$100,2)+SUMIFS('29'!$J$7:$J$100,'29'!$H$7:$H$100,$A403,'29'!$I$7:$I$100,2)</f>
        <v>0</v>
      </c>
      <c r="I403" s="1315">
        <f>SUMIFS('12'!$J$7:$J$100,'12'!$H$7:$H$100,$A403,'12'!$I$7:$I$100,"")+SUMIFS('13'!$J$7:$J$100,'13'!$H$7:$H$100,$A403,'13'!$I$7:$I$100,"")+SUMIFS('14'!$J$7:$J$100,'14'!$H$7:$H$100,$A403,'14'!$I$7:$I$100,"")+SUMIFS('15'!$J$7:$J$100,'15'!$H$7:$H$100,$A403,'15'!$I$7:$I$100,"")+SUMIFS('15a'!$J$7:$J$100,'15a'!$H$7:$H$100,$A403,'15a'!$I$7:$I$100,"")+SUMIFS('15b'!$J$7:$J$100,'15b'!$H$7:$H$100,$A403,'15b'!$I$7:$I$100,"")+SUMIFS('15c'!$J$7:$J$100,'15c'!$H$7:$H$100,$A403,'15c'!$I$7:$I$100,"")+SUMIFS('15d'!$J$7:$J$100,'15d'!$H$7:$H$100,$A403,'15d'!$I$7:$I$100,"")+SUMIFS('15e'!$J$7:$J$100,'15e'!$H$7:$H$100,$A403,'15e'!$I$7:$I$100,"")+SUMIFS('15f'!$J$7:$J$100,'15f'!$H$7:$H$100,$A403,'15f'!$I$7:$I$100,"")+SUMIFS('15g'!$J$7:$J$100,'15g'!$H$7:$H$100,$A403,'15g'!$I$7:$I$100,"")+SUMIFS('15h'!$J$7:$J$100,'15h'!$H$7:$H$100,$A403,'15h'!$I$7:$I$100,"")+SUMIFS('15i'!$J$7:$J$100,'15i'!$H$7:$H$100,$A403,'15i'!$I$7:$I$100,"")+SUMIFS('15j'!$J$7:$J$100,'15j'!$H$7:$H$100,$A403,'15j'!$I$7:$I$100,"")+SUMIFS('15k'!$J$7:$J$100,'15k'!$H$7:$H$100,$A403,'15k'!$I$7:$I$100,"")+SUMIFS('15l'!$J$7:$J$100,'15l'!$H$7:$H$100,$A403,'15l'!$I$7:$I$100,"")+SUMIFS('15m'!$J$7:$J$100,'15m'!$H$7:$H$100,$A403,'15m'!$I$7:$I$100,"")+SUMIFS('15n'!$J$7:$J$100,'15n'!$H$7:$H$100,$A403,'15n'!$I$7:$I$100,"")+SUMIFS('16'!$J$7:$J$100,'16'!$H$7:$H$100,$A403,'16'!$I$7:$I$100,"")+SUMIFS('16a'!$J$7:$J$100,'16a'!$H$7:$H$100,$A403,'16a'!$I$7:$I$100,"")+SUMIFS('17'!$J$7:$J$100,'17'!$H$7:$H$100,$A403,'17'!$I$7:$I$100,"")+SUMIFS('17a'!$J$7:$J$100,'17a'!$H$7:$H$100,$A403,'17a'!$I$7:$I$100,"")+SUMIFS('18'!$J$7:$J$100,'18'!$H$7:$H$100,$A403,'18'!$I$7:$I$100,"")+SUMIFS('18a'!$J$7:$J$100,'18a'!$H$7:$H$100,$A403,'18a'!$I$7:$I$100,"")
+SUMIFS('19'!$J$7:$J$100,'19'!$H$7:$H$100,$A403,'19'!$I$7:$I$100,"")+SUMIFS('20'!$J$7:$J$100,'20'!$H$7:$H$100,$A403,'20'!$I$7:$I$100,"")+SUMIFS('20a'!$J$7:$J$100,'20a'!$H$7:$H$100,$A403,'20a'!$I$7:$I$100,"")+SUMIFS('21'!$J$7:$J$100,'21'!$H$7:$H$100,$A403,'21'!$I$7:$I$100,"")+SUMIFS('22'!$J$7:$J$100,'22'!$H$7:$H$100,$A403,'22'!$I$7:$I$100,"")+SUMIFS('22a'!$J$7:$J$100,'22a'!$H$7:$H$100,$A403,'22a'!$I$7:$I$100,"")+SUMIFS('22b'!$J$7:$J$100,'22b'!$H$7:$H$100,$A403,'22b'!$I$7:$I$100,"")+SUMIFS('23'!$J$7:$J$100,'23'!$H$7:$H$100,$A403,'23'!$I$7:$I$100,"")+SUMIFS('24'!$J$7:$J$100,'24'!$H$7:$H$100,$A403,'24'!$I$7:$I$100,"")+SUMIFS('24a'!$J$7:$J$100,'24a'!$H$7:$H$100,$A403,'24a'!$I$7:$I$100,"")+SUMIFS('24b'!$J$7:$J$100,'24b'!$H$7:$H$100,$A403,'24b'!$I$7:$I$100,"")+SUMIFS('24c'!$J$7:$J$100,'24c'!$H$7:$H$100,$A403,'24c'!$I$7:$I$100,"")+SUMIFS('24d'!$J$7:$J$100,'24d'!$H$7:$H$100,$A403,'24d'!$I$7:$I$100,"")+SUMIFS('24e'!$J$7:$J$100,'24e'!$H$7:$H$100,$A403,'24e'!$I$7:$I$100,"")+SUMIFS('24f'!$J$7:$J$100,'24f'!$H$7:$H$100,$A403,'24f'!$I$7:$I$100,"")+SUMIFS('24g'!$J$7:$J$100,'24g'!$H$7:$H$100,$A403,'24g'!$I$7:$I$100,"")+SUMIFS('24h'!$J$7:$J$100,'24h'!$H$7:$H$100,$A403,'24h'!$I$7:$I$100,"")+SUMIFS('24i'!$J$7:$J$100,'24i'!$H$7:$H$100,$A403,'24i'!$I$7:$I$100,"")+SUMIFS('25'!$J$7:$J$100,'25'!$H$7:$H$100,$A403,'25'!$I$7:$I$100,"")+SUMIFS('26'!$J$7:$J$100,'26'!$H$7:$H$100,$A403,'26'!$I$7:$I$100,"")+SUMIFS('26a'!$J$7:$J$100,'26a'!$H$7:$H$100,$A403,'26a'!$I$7:$I$100,"")+SUMIFS('27'!$J$7:$J$100,'27'!$H$7:$H$100,$A403,'27'!$I$7:$I$100,"")+SUMIFS('27a'!$J$7:$J$100,'27a'!$H$7:$H$100,$A403,'27a'!$I$7:$I$100,"")+SUMIFS('28'!$J$7:$J$100,'28'!$H$7:$H$100,$A403,'28'!$I$7:$I$100,"")+SUMIFS('29'!$J$7:$J$100,'29'!$H$7:$H$100,$A403,'29'!$I$7:$I$100,"")</f>
        <v>0</v>
      </c>
      <c r="J403" s="1296">
        <f t="shared" si="65"/>
        <v>0</v>
      </c>
      <c r="K403"/>
      <c r="L403"/>
      <c r="M403"/>
      <c r="N403"/>
      <c r="O403"/>
      <c r="P403"/>
      <c r="Q403"/>
      <c r="R403"/>
      <c r="S403" s="1307">
        <f t="shared" si="48"/>
        <v>0</v>
      </c>
      <c r="T403"/>
    </row>
    <row r="404" spans="1:20" x14ac:dyDescent="0.2">
      <c r="A404"/>
      <c r="B404" t="s">
        <v>5576</v>
      </c>
      <c r="C404" s="1295">
        <f>SUM(C405:C407)</f>
        <v>0</v>
      </c>
      <c r="D404" s="1315">
        <f t="shared" ref="D404:E404" si="66">SUM(D405:D407)</f>
        <v>0</v>
      </c>
      <c r="E404" s="1315">
        <f t="shared" si="66"/>
        <v>0</v>
      </c>
      <c r="F404" s="1296">
        <f t="shared" si="64"/>
        <v>0</v>
      </c>
      <c r="G404" s="1295">
        <f>SUM(G405:G407)</f>
        <v>0</v>
      </c>
      <c r="H404" s="1315">
        <f t="shared" ref="H404:I404" si="67">SUM(H405:H407)</f>
        <v>0</v>
      </c>
      <c r="I404" s="1315">
        <f t="shared" si="67"/>
        <v>0</v>
      </c>
      <c r="J404" s="1296">
        <f t="shared" si="65"/>
        <v>0</v>
      </c>
      <c r="K404"/>
      <c r="L404"/>
      <c r="M404"/>
      <c r="N404"/>
      <c r="O404"/>
      <c r="P404"/>
      <c r="Q404"/>
      <c r="R404"/>
      <c r="S404" s="1307">
        <f t="shared" si="48"/>
        <v>0</v>
      </c>
      <c r="T404"/>
    </row>
    <row r="405" spans="1:20" outlineLevel="1" x14ac:dyDescent="0.2">
      <c r="A405" t="s">
        <v>5069</v>
      </c>
      <c r="B405" t="s">
        <v>5552</v>
      </c>
      <c r="C405" s="1295">
        <f>SUMIFS('12'!$N$7:$N$100,'12'!$H$7:$H$100,$A404,'12'!$I$7:$I$100,1)+SUMIFS('13'!$N$7:$N$100,'13'!$H$7:$H$100,$A404,'13'!$I$7:$I$100,1)+SUMIFS('14'!$N$7:$N$100,'14'!$H$7:$H$100,$A404,'14'!$I$7:$I$100,1)+SUMIFS('15'!$N$7:$N$100,'15'!$H$7:$H$100,$A404,'15'!$I$7:$I$100,1)+SUMIFS('15a'!$N$7:$N$100,'15a'!$H$7:$H$100,$A404,'15a'!$I$7:$I$100,1)+SUMIFS('15b'!$N$7:$N$100,'15b'!$H$7:$H$100,$A404,'15b'!$I$7:$I$100,1)+SUMIFS('15c'!$N$7:$N$100,'15c'!$H$7:$H$100,$A404,'15c'!$I$7:$I$100,1)+SUMIFS('15d'!$N$7:$N$100,'15d'!$H$7:$H$100,$A404,'15d'!$I$7:$I$100,1)+SUMIFS('15e'!$N$7:$N$100,'15e'!$H$7:$H$100,$A404,'15e'!$I$7:$I$100,1)+SUMIFS('15f'!$N$7:$N$100,'15f'!$H$7:$H$100,$A404,'15f'!$I$7:$I$100,1)+SUMIFS('15g'!$N$7:$N$100,'15g'!$H$7:$H$100,$A404,'15g'!$I$7:$I$100,1)+SUMIFS('15h'!$N$7:$N$100,'15h'!$H$7:$H$100,$A404,'15h'!$I$7:$I$100,1)+SUMIFS('15i'!$N$7:$N$100,'15i'!$H$7:$H$100,$A404,'15i'!$I$7:$I$100,1)+SUMIFS('15j'!$N$7:$N$100,'15j'!$H$7:$H$100,$A404,'15j'!$I$7:$I$100,1)+SUMIFS('15k'!$N$7:$N$100,'15k'!$H$7:$H$100,$A404,'15k'!$I$7:$I$100,1)+SUMIFS('15l'!$N$7:$N$100,'15l'!$H$7:$H$100,$A404,'15l'!$I$7:$I$100,1)+SUMIFS('15m'!$N$7:$N$100,'15m'!$H$7:$H$100,$A404,'15m'!$I$7:$I$100,1)+SUMIFS('15n'!$N$7:$N$100,'15n'!$H$7:$H$100,$A404,'15n'!$I$7:$I$100,1)+SUMIFS('16'!$N$7:$N$100,'16'!$H$7:$H$100,$A404,'16'!$I$7:$I$100,1)+SUMIFS('16a'!$N$7:$N$100,'16a'!$H$7:$H$100,$A404,'16a'!$I$7:$I$100,1)+SUMIFS('17'!$N$7:$N$100,'17'!$H$7:$H$100,$A404,'17'!$I$7:$I$100,1)+SUMIFS('17a'!$N$7:$N$100,'17a'!$H$7:$H$100,$A404,'17a'!$I$7:$I$100,1)+SUMIFS('18'!$N$7:$N$100,'18'!$H$7:$H$100,$A404,'18'!$I$7:$I$100,1)+SUMIFS('18a'!$N$7:$N$100,'18a'!$H$7:$H$100,$A404,'18a'!$I$7:$I$100,1)
+SUMIFS('19'!$N$7:$N$100,'19'!$H$7:$H$100,$A404,'19'!$I$7:$I$100,1)+SUMIFS('20'!$N$7:$N$100,'20'!$H$7:$H$100,$A404,'20'!$I$7:$I$100,1)+SUMIFS('20a'!$N$7:$N$100,'20a'!$H$7:$H$100,$A404,'20a'!$I$7:$I$100,1)+SUMIFS('21'!$N$7:$N$100,'21'!$H$7:$H$100,$A404,'21'!$I$7:$I$100,1)+SUMIFS('22'!$N$7:$N$100,'22'!$H$7:$H$100,$A404,'22'!$I$7:$I$100,1)+SUMIFS('22a'!$N$7:$N$100,'22a'!$H$7:$H$100,$A404,'22a'!$I$7:$I$100,1)+SUMIFS('22b'!$N$7:$N$100,'22b'!$H$7:$H$100,$A404,'22b'!$I$7:$I$100,1)+SUMIFS('23'!$N$7:$N$100,'23'!$H$7:$H$100,$A404,'23'!$I$7:$I$100,1)+SUMIFS('24'!$N$7:$N$100,'24'!$H$7:$H$100,$A404,'24'!$I$7:$I$100,1)+SUMIFS('24a'!$N$7:$N$100,'24a'!$H$7:$H$100,$A404,'24a'!$I$7:$I$100,1)+SUMIFS('24b'!$N$7:$N$100,'24b'!$H$7:$H$100,$A404,'24b'!$I$7:$I$100,1)+SUMIFS('24c'!$N$7:$N$100,'24c'!$H$7:$H$100,$A404,'24c'!$I$7:$I$100,1)+SUMIFS('24d'!$N$7:$N$100,'24d'!$H$7:$H$100,$A404,'24d'!$I$7:$I$100,1)+SUMIFS('24e'!$N$7:$N$100,'24e'!$H$7:$H$100,$A404,'24e'!$I$7:$I$100,1)+SUMIFS('24f'!$N$7:$N$100,'24f'!$H$7:$H$100,$A404,'24f'!$I$7:$I$100,1)+SUMIFS('24g'!$N$7:$N$100,'24g'!$H$7:$H$100,$A404,'24g'!$I$7:$I$100,1)+SUMIFS('24h'!$N$7:$N$100,'24h'!$H$7:$H$100,$A404,'24h'!$I$7:$I$100,1)+SUMIFS('24i'!$N$7:$N$100,'24i'!$H$7:$H$100,$A404,'24i'!$I$7:$I$100,1)+SUMIFS('25'!$N$7:$N$100,'25'!$H$7:$H$100,$A404,'25'!$I$7:$I$100,1)+SUMIFS('26'!$N$7:$N$100,'26'!$H$7:$H$100,$A404,'26'!$I$7:$I$100,1)+SUMIFS('26a'!$N$7:$N$100,'26a'!$H$7:$H$100,$A404,'26a'!$I$7:$I$100,1)+SUMIFS('27'!$N$7:$N$100,'27'!$H$7:$H$100,$A404,'27'!$I$7:$I$100,1)+SUMIFS('27a'!$N$7:$N$100,'27a'!$H$7:$H$100,$A404,'27a'!$I$7:$I$100,1)+SUMIFS('28'!$N$7:$N$100,'28'!$H$7:$H$100,$A404,'28'!$I$7:$I$100,1)+SUMIFS('29'!$N$7:$N$100,'29'!$H$7:$H$100,$A404,'29'!$I$7:$I$100,1)</f>
        <v>0</v>
      </c>
      <c r="D405" s="1315">
        <f>SUMIFS('12'!$N$7:$N$100,'12'!$H$7:$H$100,$A404,'12'!$I$7:$I$100,2)+SUMIFS('13'!$N$7:$N$100,'13'!$H$7:$H$100,$A404,'13'!$I$7:$I$100,2)+SUMIFS('14'!$N$7:$N$100,'14'!$H$7:$H$100,$A404,'14'!$I$7:$I$100,2)+SUMIFS('15'!$N$7:$N$100,'15'!$H$7:$H$100,$A404,'15'!$I$7:$I$100,2)+SUMIFS('15a'!$N$7:$N$100,'15a'!$H$7:$H$100,$A404,'15a'!$I$7:$I$100,2)+SUMIFS('15b'!$N$7:$N$100,'15b'!$H$7:$H$100,$A404,'15b'!$I$7:$I$100,2)+SUMIFS('15c'!$N$7:$N$100,'15c'!$H$7:$H$100,$A404,'15c'!$I$7:$I$100,2)+SUMIFS('15d'!$N$7:$N$100,'15d'!$H$7:$H$100,$A404,'15d'!$I$7:$I$100,2)+SUMIFS('15e'!$N$7:$N$100,'15e'!$H$7:$H$100,$A404,'15e'!$I$7:$I$100,2)+SUMIFS('15f'!$N$7:$N$100,'15f'!$H$7:$H$100,$A404,'15f'!$I$7:$I$100,2)+SUMIFS('15g'!$N$7:$N$100,'15g'!$H$7:$H$100,$A404,'15g'!$I$7:$I$100,2)+SUMIFS('15h'!$N$7:$N$100,'15h'!$H$7:$H$100,$A404,'15h'!$I$7:$I$100,2)+SUMIFS('15i'!$N$7:$N$100,'15i'!$H$7:$H$100,$A404,'15i'!$I$7:$I$100,2)+SUMIFS('15j'!$N$7:$N$100,'15j'!$H$7:$H$100,$A404,'15j'!$I$7:$I$100,2)+SUMIFS('15k'!$N$7:$N$100,'15k'!$H$7:$H$100,$A404,'15k'!$I$7:$I$100,2)+SUMIFS('15l'!$N$7:$N$100,'15l'!$H$7:$H$100,$A404,'15l'!$I$7:$I$100,2)+SUMIFS('15m'!$N$7:$N$100,'15m'!$H$7:$H$100,$A404,'15m'!$I$7:$I$100,2)+SUMIFS('15n'!$N$7:$N$100,'15n'!$H$7:$H$100,$A404,'15n'!$I$7:$I$100,2)+SUMIFS('16'!$N$7:$N$100,'16'!$H$7:$H$100,$A404,'16'!$I$7:$I$100,2)+SUMIFS('16a'!$N$7:$N$100,'16a'!$H$7:$H$100,$A404,'16a'!$I$7:$I$100,2)+SUMIFS('17'!$N$7:$N$100,'17'!$H$7:$H$100,$A404,'17'!$I$7:$I$100,2)+SUMIFS('17a'!$N$7:$N$100,'17a'!$H$7:$H$100,$A404,'17a'!$I$7:$I$100,2)+SUMIFS('18'!$N$7:$N$100,'18'!$H$7:$H$100,$A404,'18'!$I$7:$I$100,2)+SUMIFS('18a'!$N$7:$N$100,'18a'!$H$7:$H$100,$A404,'18a'!$I$7:$I$100,2)
+SUMIFS('19'!$N$7:$N$100,'19'!$H$7:$H$100,$A404,'19'!$I$7:$I$100,2)+SUMIFS('20'!$N$7:$N$100,'20'!$H$7:$H$100,$A404,'20'!$I$7:$I$100,2)+SUMIFS('20a'!$N$7:$N$100,'20a'!$H$7:$H$100,$A404,'20a'!$I$7:$I$100,2)+SUMIFS('21'!$N$7:$N$100,'21'!$H$7:$H$100,$A404,'21'!$I$7:$I$100,2)+SUMIFS('22'!$N$7:$N$100,'22'!$H$7:$H$100,$A404,'22'!$I$7:$I$100,2)+SUMIFS('22a'!$N$7:$N$100,'22a'!$H$7:$H$100,$A404,'22a'!$I$7:$I$100,2)+SUMIFS('22b'!$N$7:$N$100,'22b'!$H$7:$H$100,$A404,'22b'!$I$7:$I$100,2)+SUMIFS('23'!$N$7:$N$100,'23'!$H$7:$H$100,$A404,'23'!$I$7:$I$100,2)+SUMIFS('24'!$N$7:$N$100,'24'!$H$7:$H$100,$A404,'24'!$I$7:$I$100,2)+SUMIFS('24a'!$N$7:$N$100,'24a'!$H$7:$H$100,$A404,'24a'!$I$7:$I$100,2)+SUMIFS('24b'!$N$7:$N$100,'24b'!$H$7:$H$100,$A404,'24b'!$I$7:$I$100,2)+SUMIFS('24c'!$N$7:$N$100,'24c'!$H$7:$H$100,$A404,'24c'!$I$7:$I$100,2)+SUMIFS('24d'!$N$7:$N$100,'24d'!$H$7:$H$100,$A404,'24d'!$I$7:$I$100,2)+SUMIFS('24e'!$N$7:$N$100,'24e'!$H$7:$H$100,$A404,'24e'!$I$7:$I$100,2)+SUMIFS('24f'!$N$7:$N$100,'24f'!$H$7:$H$100,$A404,'24f'!$I$7:$I$100,2)+SUMIFS('24g'!$N$7:$N$100,'24g'!$H$7:$H$100,$A404,'24g'!$I$7:$I$100,2)+SUMIFS('24h'!$N$7:$N$100,'24h'!$H$7:$H$100,$A404,'24h'!$I$7:$I$100,2)+SUMIFS('24i'!$N$7:$N$100,'24i'!$H$7:$H$100,$A404,'24i'!$I$7:$I$100,2)+SUMIFS('25'!$N$7:$N$100,'25'!$H$7:$H$100,$A404,'25'!$I$7:$I$100,2)+SUMIFS('26'!$N$7:$N$100,'26'!$H$7:$H$100,$A404,'26'!$I$7:$I$100,2)+SUMIFS('26a'!$N$7:$N$100,'26a'!$H$7:$H$100,$A404,'26a'!$I$7:$I$100,2)+SUMIFS('27'!$N$7:$N$100,'27'!$H$7:$H$100,$A404,'27'!$I$7:$I$100,2)+SUMIFS('27a'!$N$7:$N$100,'27a'!$H$7:$H$100,$A404,'27a'!$I$7:$I$100,2)+SUMIFS('28'!$N$7:$N$100,'28'!$H$7:$H$100,$A404,'28'!$I$7:$I$100,2)+SUMIFS('29'!$N$7:$N$100,'29'!$H$7:$H$100,$A404,'29'!$I$7:$I$100,2)</f>
        <v>0</v>
      </c>
      <c r="E405" s="1315">
        <f>SUMIFS('12'!$N$7:$N$100,'12'!$H$7:$H$100,$A404,'12'!$I$7:$I$100,"")+SUMIFS('13'!$N$7:$N$100,'13'!$H$7:$H$100,$A404,'13'!$I$7:$I$100,"")+SUMIFS('14'!$N$7:$N$100,'14'!$H$7:$H$100,$A404,'14'!$I$7:$I$100,"")+SUMIFS('15'!$N$7:$N$100,'15'!$H$7:$H$100,$A404,'15'!$I$7:$I$100,"")+SUMIFS('15a'!$N$7:$N$100,'15a'!$H$7:$H$100,$A404,'15a'!$I$7:$I$100,"")+SUMIFS('15b'!$N$7:$N$100,'15b'!$H$7:$H$100,$A404,'15b'!$I$7:$I$100,"")+SUMIFS('15c'!$N$7:$N$100,'15c'!$H$7:$H$100,$A404,'15c'!$I$7:$I$100,"")+SUMIFS('15d'!$N$7:$N$100,'15d'!$H$7:$H$100,$A404,'15d'!$I$7:$I$100,"")+SUMIFS('15e'!$N$7:$N$100,'15e'!$H$7:$H$100,$A404,'15e'!$I$7:$I$100,"")+SUMIFS('15f'!$N$7:$N$100,'15f'!$H$7:$H$100,$A404,'15f'!$I$7:$I$100,"")+SUMIFS('15g'!$N$7:$N$100,'15g'!$H$7:$H$100,$A404,'15g'!$I$7:$I$100,"")+SUMIFS('15h'!$N$7:$N$100,'15h'!$H$7:$H$100,$A404,'15h'!$I$7:$I$100,"")+SUMIFS('15i'!$N$7:$N$100,'15i'!$H$7:$H$100,$A404,'15i'!$I$7:$I$100,"")+SUMIFS('15j'!$N$7:$N$100,'15j'!$H$7:$H$100,$A404,'15j'!$I$7:$I$100,"")+SUMIFS('15k'!$N$7:$N$100,'15k'!$H$7:$H$100,$A404,'15k'!$I$7:$I$100,"")+SUMIFS('15l'!$N$7:$N$100,'15l'!$H$7:$H$100,$A404,'15l'!$I$7:$I$100,"")+SUMIFS('15m'!$N$7:$N$100,'15m'!$H$7:$H$100,$A404,'15m'!$I$7:$I$100,"")+SUMIFS('15n'!$N$7:$N$100,'15n'!$H$7:$H$100,$A404,'15n'!$I$7:$I$100,"")+SUMIFS('16'!$N$7:$N$100,'16'!$H$7:$H$100,$A404,'16'!$I$7:$I$100,"")+SUMIFS('16a'!$N$7:$N$100,'16a'!$H$7:$H$100,$A404,'16a'!$I$7:$I$100,"")+SUMIFS('17'!$N$7:$N$100,'17'!$H$7:$H$100,$A404,'17'!$I$7:$I$100,"")+SUMIFS('17a'!$N$7:$N$100,'17a'!$H$7:$H$100,$A404,'17a'!$I$7:$I$100,"")+SUMIFS('18'!$N$7:$N$100,'18'!$H$7:$H$100,$A404,'18'!$I$7:$I$100,"")+SUMIFS('18a'!$N$7:$N$100,'18a'!$H$7:$H$100,$A404,'18a'!$I$7:$I$100,"")
+SUMIFS('19'!$N$7:$N$100,'19'!$H$7:$H$100,$A404,'19'!$I$7:$I$100,"")+SUMIFS('20'!$N$7:$N$100,'20'!$H$7:$H$100,$A404,'20'!$I$7:$I$100,"")+SUMIFS('20a'!$N$7:$N$100,'20a'!$H$7:$H$100,$A404,'20a'!$I$7:$I$100,"")+SUMIFS('21'!$N$7:$N$100,'21'!$H$7:$H$100,$A404,'21'!$I$7:$I$100,"")+SUMIFS('22'!$N$7:$N$100,'22'!$H$7:$H$100,$A404,'22'!$I$7:$I$100,"")+SUMIFS('22a'!$N$7:$N$100,'22a'!$H$7:$H$100,$A404,'22a'!$I$7:$I$100,"")+SUMIFS('22b'!$N$7:$N$100,'22b'!$H$7:$H$100,$A404,'22b'!$I$7:$I$100,"")+SUMIFS('23'!$N$7:$N$100,'23'!$H$7:$H$100,$A404,'23'!$I$7:$I$100,"")+SUMIFS('24'!$N$7:$N$100,'24'!$H$7:$H$100,$A404,'24'!$I$7:$I$100,"")+SUMIFS('24a'!$N$7:$N$100,'24a'!$H$7:$H$100,$A404,'24a'!$I$7:$I$100,"")+SUMIFS('24b'!$N$7:$N$100,'24b'!$H$7:$H$100,$A404,'24b'!$I$7:$I$100,"")+SUMIFS('24c'!$N$7:$N$100,'24c'!$H$7:$H$100,$A404,'24c'!$I$7:$I$100,"")+SUMIFS('24d'!$N$7:$N$100,'24d'!$H$7:$H$100,$A404,'24d'!$I$7:$I$100,"")+SUMIFS('24e'!$N$7:$N$100,'24e'!$H$7:$H$100,$A404,'24e'!$I$7:$I$100,"")+SUMIFS('24f'!$N$7:$N$100,'24f'!$H$7:$H$100,$A404,'24f'!$I$7:$I$100,"")+SUMIFS('24g'!$N$7:$N$100,'24g'!$H$7:$H$100,$A404,'24g'!$I$7:$I$100,"")+SUMIFS('24h'!$N$7:$N$100,'24h'!$H$7:$H$100,$A404,'24h'!$I$7:$I$100,"")+SUMIFS('24i'!$N$7:$N$100,'24i'!$H$7:$H$100,$A404,'24i'!$I$7:$I$100,"")+SUMIFS('25'!$N$7:$N$100,'25'!$H$7:$H$100,$A404,'25'!$I$7:$I$100,"")+SUMIFS('26'!$N$7:$N$100,'26'!$H$7:$H$100,$A404,'26'!$I$7:$I$100,"")+SUMIFS('26a'!$N$7:$N$100,'26a'!$H$7:$H$100,$A404,'26a'!$I$7:$I$100,"")+SUMIFS('27'!$N$7:$N$100,'27'!$H$7:$H$100,$A404,'27'!$I$7:$I$100,"")+SUMIFS('27a'!$N$7:$N$100,'27a'!$H$7:$H$100,$A404,'27a'!$I$7:$I$100,"")+SUMIFS('28'!$N$7:$N$100,'28'!$H$7:$H$100,$A404,'28'!$I$7:$I$100,"")+SUMIFS('29'!$N$7:$N$100,'29'!$H$7:$H$100,$A404,'29'!$I$7:$I$100,"")</f>
        <v>0</v>
      </c>
      <c r="F405" s="1296">
        <f t="shared" si="64"/>
        <v>0</v>
      </c>
      <c r="G405" s="1295">
        <f>SUMIFS('12'!$J$7:$J$100,'12'!$H$7:$H$100,$A404,'12'!$I$7:$I$100,1)+SUMIFS('13'!$J$7:$J$100,'13'!$H$7:$H$100,$A404,'13'!$I$7:$I$100,1)+SUMIFS('14'!$J$7:$J$100,'14'!$H$7:$H$100,$A404,'14'!$I$7:$I$100,1)+SUMIFS('15'!$J$7:$J$100,'15'!$H$7:$H$100,$A404,'15'!$I$7:$I$100,1)+SUMIFS('15a'!$J$7:$J$100,'15a'!$H$7:$H$100,$A404,'15a'!$I$7:$I$100,1)+SUMIFS('15b'!$J$7:$J$100,'15b'!$H$7:$H$100,$A404,'15b'!$I$7:$I$100,1)+SUMIFS('15c'!$J$7:$J$100,'15c'!$H$7:$H$100,$A404,'15c'!$I$7:$I$100,1)+SUMIFS('15d'!$J$7:$J$100,'15d'!$H$7:$H$100,$A404,'15d'!$I$7:$I$100,1)+SUMIFS('15e'!$J$7:$J$100,'15e'!$H$7:$H$100,$A404,'15e'!$I$7:$I$100,1)+SUMIFS('15f'!$J$7:$J$100,'15f'!$H$7:$H$100,$A404,'15f'!$I$7:$I$100,1)+SUMIFS('15g'!$J$7:$J$100,'15g'!$H$7:$H$100,$A404,'15g'!$I$7:$I$100,1)+SUMIFS('15h'!$J$7:$J$100,'15h'!$H$7:$H$100,$A404,'15h'!$I$7:$I$100,1)+SUMIFS('15i'!$J$7:$J$100,'15i'!$H$7:$H$100,$A404,'15i'!$I$7:$I$100,1)+SUMIFS('15j'!$J$7:$J$100,'15j'!$H$7:$H$100,$A404,'15j'!$I$7:$I$100,1)+SUMIFS('15k'!$J$7:$J$100,'15k'!$H$7:$H$100,$A404,'15k'!$I$7:$I$100,1)+SUMIFS('15l'!$J$7:$J$100,'15l'!$H$7:$H$100,$A404,'15l'!$I$7:$I$100,1)+SUMIFS('15m'!$J$7:$J$100,'15m'!$H$7:$H$100,$A404,'15m'!$I$7:$I$100,1)+SUMIFS('15n'!$J$7:$J$100,'15n'!$H$7:$H$100,$A404,'15n'!$I$7:$I$100,1)+SUMIFS('16'!$J$7:$J$100,'16'!$H$7:$H$100,$A404,'16'!$I$7:$I$100,1)+SUMIFS('16a'!$J$7:$J$100,'16a'!$H$7:$H$100,$A404,'16a'!$I$7:$I$100,1)+SUMIFS('17'!$J$7:$J$100,'17'!$H$7:$H$100,$A404,'17'!$I$7:$I$100,1)+SUMIFS('17a'!$J$7:$J$100,'17a'!$H$7:$H$100,$A404,'17a'!$I$7:$I$100,1)+SUMIFS('18'!$J$7:$J$100,'18'!$H$7:$H$100,$A404,'18'!$I$7:$I$100,1)+SUMIFS('18a'!$J$7:$J$100,'18a'!$H$7:$H$100,$A404,'18a'!$I$7:$I$100,1)
+SUMIFS('19'!$J$7:$J$100,'19'!$H$7:$H$100,$A404,'19'!$I$7:$I$100,1)+SUMIFS('20'!$J$7:$J$100,'20'!$H$7:$H$100,$A404,'20'!$I$7:$I$100,1)+SUMIFS('20a'!$J$7:$J$100,'20a'!$H$7:$H$100,$A404,'20a'!$I$7:$I$100,1)+SUMIFS('21'!$J$7:$J$100,'21'!$H$7:$H$100,$A404,'21'!$I$7:$I$100,1)+SUMIFS('22'!$J$7:$J$100,'22'!$H$7:$H$100,$A404,'22'!$I$7:$I$100,1)+SUMIFS('22a'!$J$7:$J$100,'22a'!$H$7:$H$100,$A404,'22a'!$I$7:$I$100,1)+SUMIFS('22b'!$J$7:$J$100,'22b'!$H$7:$H$100,$A404,'22b'!$I$7:$I$100,1)+SUMIFS('23'!$J$7:$J$100,'23'!$H$7:$H$100,$A404,'23'!$I$7:$I$100,1)+SUMIFS('24'!$J$7:$J$100,'24'!$H$7:$H$100,$A404,'24'!$I$7:$I$100,1)+SUMIFS('24a'!$J$7:$J$100,'24a'!$H$7:$H$100,$A404,'24a'!$I$7:$I$100,1)+SUMIFS('24b'!$J$7:$J$100,'24b'!$H$7:$H$100,$A404,'24b'!$I$7:$I$100,1)+SUMIFS('24c'!$J$7:$J$100,'24c'!$H$7:$H$100,$A404,'24c'!$I$7:$I$100,1)+SUMIFS('24d'!$J$7:$J$100,'24d'!$H$7:$H$100,$A404,'24d'!$I$7:$I$100,1)+SUMIFS('24e'!$J$7:$J$100,'24e'!$H$7:$H$100,$A404,'24e'!$I$7:$I$100,1)+SUMIFS('24f'!$J$7:$J$100,'24f'!$H$7:$H$100,$A404,'24f'!$I$7:$I$100,1)+SUMIFS('24g'!$J$7:$J$100,'24g'!$H$7:$H$100,$A404,'24g'!$I$7:$I$100,1)+SUMIFS('24h'!$J$7:$J$100,'24h'!$H$7:$H$100,$A404,'24h'!$I$7:$I$100,1)+SUMIFS('24i'!$J$7:$J$100,'24i'!$H$7:$H$100,$A404,'24i'!$I$7:$I$100,1)+SUMIFS('25'!$J$7:$J$100,'25'!$H$7:$H$100,$A404,'25'!$I$7:$I$100,1)+SUMIFS('26'!$J$7:$J$100,'26'!$H$7:$H$100,$A404,'26'!$I$7:$I$100,1)+SUMIFS('26a'!$J$7:$J$100,'26a'!$H$7:$H$100,$A404,'26a'!$I$7:$I$100,1)+SUMIFS('27'!$J$7:$J$100,'27'!$H$7:$H$100,$A404,'27'!$I$7:$I$100,1)+SUMIFS('27a'!$J$7:$J$100,'27a'!$H$7:$H$100,$A404,'27a'!$I$7:$I$100,1)+SUMIFS('28'!$J$7:$J$100,'28'!$H$7:$H$100,$A404,'28'!$I$7:$I$100,1)+SUMIFS('29'!$J$7:$J$100,'29'!$H$7:$H$100,$A404,'29'!$I$7:$I$100,1)</f>
        <v>0</v>
      </c>
      <c r="H405" s="1315">
        <f>SUMIFS('12'!$J$7:$J$100,'12'!$H$7:$H$100,$A404,'12'!$I$7:$I$100,2)+SUMIFS('13'!$J$7:$J$100,'13'!$H$7:$H$100,$A404,'13'!$I$7:$I$100,2)+SUMIFS('14'!$J$7:$J$100,'14'!$H$7:$H$100,$A404,'14'!$I$7:$I$100,2)+SUMIFS('15'!$J$7:$J$100,'15'!$H$7:$H$100,$A404,'15'!$I$7:$I$100,2)+SUMIFS('15a'!$J$7:$J$100,'15a'!$H$7:$H$100,$A404,'15a'!$I$7:$I$100,2)+SUMIFS('15b'!$J$7:$J$100,'15b'!$H$7:$H$100,$A404,'15b'!$I$7:$I$100,2)+SUMIFS('15c'!$J$7:$J$100,'15c'!$H$7:$H$100,$A404,'15c'!$I$7:$I$100,2)+SUMIFS('15d'!$J$7:$J$100,'15d'!$H$7:$H$100,$A404,'15d'!$I$7:$I$100,2)+SUMIFS('15e'!$J$7:$J$100,'15e'!$H$7:$H$100,$A404,'15e'!$I$7:$I$100,2)+SUMIFS('15f'!$J$7:$J$100,'15f'!$H$7:$H$100,$A404,'15f'!$I$7:$I$100,2)+SUMIFS('15g'!$J$7:$J$100,'15g'!$H$7:$H$100,$A404,'15g'!$I$7:$I$100,2)+SUMIFS('15h'!$J$7:$J$100,'15h'!$H$7:$H$100,$A404,'15h'!$I$7:$I$100,2)+SUMIFS('15i'!$J$7:$J$100,'15i'!$H$7:$H$100,$A404,'15i'!$I$7:$I$100,2)+SUMIFS('15j'!$J$7:$J$100,'15j'!$H$7:$H$100,$A404,'15j'!$I$7:$I$100,2)+SUMIFS('15k'!$J$7:$J$100,'15k'!$H$7:$H$100,$A404,'15k'!$I$7:$I$100,2)+SUMIFS('15l'!$J$7:$J$100,'15l'!$H$7:$H$100,$A404,'15l'!$I$7:$I$100,2)+SUMIFS('15m'!$J$7:$J$100,'15m'!$H$7:$H$100,$A404,'15m'!$I$7:$I$100,2)+SUMIFS('15n'!$J$7:$J$100,'15n'!$H$7:$H$100,$A404,'15n'!$I$7:$I$100,2)+SUMIFS('16'!$J$7:$J$100,'16'!$H$7:$H$100,$A404,'16'!$I$7:$I$100,2)+SUMIFS('16a'!$J$7:$J$100,'16a'!$H$7:$H$100,$A404,'16a'!$I$7:$I$100,2)+SUMIFS('17'!$J$7:$J$100,'17'!$H$7:$H$100,$A404,'17'!$I$7:$I$100,2)+SUMIFS('17a'!$J$7:$J$100,'17a'!$H$7:$H$100,$A404,'17a'!$I$7:$I$100,2)+SUMIFS('18'!$J$7:$J$100,'18'!$H$7:$H$100,$A404,'18'!$I$7:$I$100,2)+SUMIFS('18a'!$J$7:$J$100,'18a'!$H$7:$H$100,$A404,'18a'!$I$7:$I$100,2)
+SUMIFS('19'!$J$7:$J$100,'19'!$H$7:$H$100,$A404,'19'!$I$7:$I$100,2)+SUMIFS('20'!$J$7:$J$100,'20'!$H$7:$H$100,$A404,'20'!$I$7:$I$100,2)+SUMIFS('20a'!$J$7:$J$100,'20a'!$H$7:$H$100,$A404,'20a'!$I$7:$I$100,2)+SUMIFS('21'!$J$7:$J$100,'21'!$H$7:$H$100,$A404,'21'!$I$7:$I$100,2)+SUMIFS('22'!$J$7:$J$100,'22'!$H$7:$H$100,$A404,'22'!$I$7:$I$100,2)+SUMIFS('22a'!$J$7:$J$100,'22a'!$H$7:$H$100,$A404,'22a'!$I$7:$I$100,2)+SUMIFS('22b'!$J$7:$J$100,'22b'!$H$7:$H$100,$A404,'22b'!$I$7:$I$100,2)+SUMIFS('23'!$J$7:$J$100,'23'!$H$7:$H$100,$A404,'23'!$I$7:$I$100,2)+SUMIFS('24'!$J$7:$J$100,'24'!$H$7:$H$100,$A404,'24'!$I$7:$I$100,2)+SUMIFS('24a'!$J$7:$J$100,'24a'!$H$7:$H$100,$A404,'24a'!$I$7:$I$100,2)+SUMIFS('24b'!$J$7:$J$100,'24b'!$H$7:$H$100,$A404,'24b'!$I$7:$I$100,2)+SUMIFS('24c'!$J$7:$J$100,'24c'!$H$7:$H$100,$A404,'24c'!$I$7:$I$100,2)+SUMIFS('24d'!$J$7:$J$100,'24d'!$H$7:$H$100,$A404,'24d'!$I$7:$I$100,2)+SUMIFS('24e'!$J$7:$J$100,'24e'!$H$7:$H$100,$A404,'24e'!$I$7:$I$100,2)+SUMIFS('24f'!$J$7:$J$100,'24f'!$H$7:$H$100,$A404,'24f'!$I$7:$I$100,2)+SUMIFS('24g'!$J$7:$J$100,'24g'!$H$7:$H$100,$A404,'24g'!$I$7:$I$100,2)+SUMIFS('24h'!$J$7:$J$100,'24h'!$H$7:$H$100,$A404,'24h'!$I$7:$I$100,2)+SUMIFS('24i'!$J$7:$J$100,'24i'!$H$7:$H$100,$A404,'24i'!$I$7:$I$100,2)+SUMIFS('25'!$J$7:$J$100,'25'!$H$7:$H$100,$A404,'25'!$I$7:$I$100,2)+SUMIFS('26'!$J$7:$J$100,'26'!$H$7:$H$100,$A404,'26'!$I$7:$I$100,2)+SUMIFS('26a'!$J$7:$J$100,'26a'!$H$7:$H$100,$A404,'26a'!$I$7:$I$100,2)+SUMIFS('27'!$J$7:$J$100,'27'!$H$7:$H$100,$A404,'27'!$I$7:$I$100,2)+SUMIFS('27a'!$J$7:$J$100,'27a'!$H$7:$H$100,$A404,'27a'!$I$7:$I$100,2)+SUMIFS('28'!$J$7:$J$100,'28'!$H$7:$H$100,$A404,'28'!$I$7:$I$100,2)+SUMIFS('29'!$J$7:$J$100,'29'!$H$7:$H$100,$A404,'29'!$I$7:$I$100,2)</f>
        <v>0</v>
      </c>
      <c r="I405" s="1315">
        <f>SUMIFS('12'!$J$7:$J$100,'12'!$H$7:$H$100,$A404,'12'!$I$7:$I$100,"")+SUMIFS('13'!$J$7:$J$100,'13'!$H$7:$H$100,$A404,'13'!$I$7:$I$100,"")+SUMIFS('14'!$J$7:$J$100,'14'!$H$7:$H$100,$A404,'14'!$I$7:$I$100,"")+SUMIFS('15'!$J$7:$J$100,'15'!$H$7:$H$100,$A404,'15'!$I$7:$I$100,"")+SUMIFS('15a'!$J$7:$J$100,'15a'!$H$7:$H$100,$A404,'15a'!$I$7:$I$100,"")+SUMIFS('15b'!$J$7:$J$100,'15b'!$H$7:$H$100,$A404,'15b'!$I$7:$I$100,"")+SUMIFS('15c'!$J$7:$J$100,'15c'!$H$7:$H$100,$A404,'15c'!$I$7:$I$100,"")+SUMIFS('15d'!$J$7:$J$100,'15d'!$H$7:$H$100,$A404,'15d'!$I$7:$I$100,"")+SUMIFS('15e'!$J$7:$J$100,'15e'!$H$7:$H$100,$A404,'15e'!$I$7:$I$100,"")+SUMIFS('15f'!$J$7:$J$100,'15f'!$H$7:$H$100,$A404,'15f'!$I$7:$I$100,"")+SUMIFS('15g'!$J$7:$J$100,'15g'!$H$7:$H$100,$A404,'15g'!$I$7:$I$100,"")+SUMIFS('15h'!$J$7:$J$100,'15h'!$H$7:$H$100,$A404,'15h'!$I$7:$I$100,"")+SUMIFS('15i'!$J$7:$J$100,'15i'!$H$7:$H$100,$A404,'15i'!$I$7:$I$100,"")+SUMIFS('15j'!$J$7:$J$100,'15j'!$H$7:$H$100,$A404,'15j'!$I$7:$I$100,"")+SUMIFS('15k'!$J$7:$J$100,'15k'!$H$7:$H$100,$A404,'15k'!$I$7:$I$100,"")+SUMIFS('15l'!$J$7:$J$100,'15l'!$H$7:$H$100,$A404,'15l'!$I$7:$I$100,"")+SUMIFS('15m'!$J$7:$J$100,'15m'!$H$7:$H$100,$A404,'15m'!$I$7:$I$100,"")+SUMIFS('15n'!$J$7:$J$100,'15n'!$H$7:$H$100,$A404,'15n'!$I$7:$I$100,"")+SUMIFS('16'!$J$7:$J$100,'16'!$H$7:$H$100,$A404,'16'!$I$7:$I$100,"")+SUMIFS('16a'!$J$7:$J$100,'16a'!$H$7:$H$100,$A404,'16a'!$I$7:$I$100,"")+SUMIFS('17'!$J$7:$J$100,'17'!$H$7:$H$100,$A404,'17'!$I$7:$I$100,"")+SUMIFS('17a'!$J$7:$J$100,'17a'!$H$7:$H$100,$A404,'17a'!$I$7:$I$100,"")+SUMIFS('18'!$J$7:$J$100,'18'!$H$7:$H$100,$A404,'18'!$I$7:$I$100,"")+SUMIFS('18a'!$J$7:$J$100,'18a'!$H$7:$H$100,$A404,'18a'!$I$7:$I$100,"")
+SUMIFS('19'!$J$7:$J$100,'19'!$H$7:$H$100,$A404,'19'!$I$7:$I$100,"")+SUMIFS('20'!$J$7:$J$100,'20'!$H$7:$H$100,$A404,'20'!$I$7:$I$100,"")+SUMIFS('20a'!$J$7:$J$100,'20a'!$H$7:$H$100,$A404,'20a'!$I$7:$I$100,"")+SUMIFS('21'!$J$7:$J$100,'21'!$H$7:$H$100,$A404,'21'!$I$7:$I$100,"")+SUMIFS('22'!$J$7:$J$100,'22'!$H$7:$H$100,$A404,'22'!$I$7:$I$100,"")+SUMIFS('22a'!$J$7:$J$100,'22a'!$H$7:$H$100,$A404,'22a'!$I$7:$I$100,"")+SUMIFS('22b'!$J$7:$J$100,'22b'!$H$7:$H$100,$A404,'22b'!$I$7:$I$100,"")+SUMIFS('23'!$J$7:$J$100,'23'!$H$7:$H$100,$A404,'23'!$I$7:$I$100,"")+SUMIFS('24'!$J$7:$J$100,'24'!$H$7:$H$100,$A404,'24'!$I$7:$I$100,"")+SUMIFS('24a'!$J$7:$J$100,'24a'!$H$7:$H$100,$A404,'24a'!$I$7:$I$100,"")+SUMIFS('24b'!$J$7:$J$100,'24b'!$H$7:$H$100,$A404,'24b'!$I$7:$I$100,"")+SUMIFS('24c'!$J$7:$J$100,'24c'!$H$7:$H$100,$A404,'24c'!$I$7:$I$100,"")+SUMIFS('24d'!$J$7:$J$100,'24d'!$H$7:$H$100,$A404,'24d'!$I$7:$I$100,"")+SUMIFS('24e'!$J$7:$J$100,'24e'!$H$7:$H$100,$A404,'24e'!$I$7:$I$100,"")+SUMIFS('24f'!$J$7:$J$100,'24f'!$H$7:$H$100,$A404,'24f'!$I$7:$I$100,"")+SUMIFS('24g'!$J$7:$J$100,'24g'!$H$7:$H$100,$A404,'24g'!$I$7:$I$100,"")+SUMIFS('24h'!$J$7:$J$100,'24h'!$H$7:$H$100,$A404,'24h'!$I$7:$I$100,"")+SUMIFS('24i'!$J$7:$J$100,'24i'!$H$7:$H$100,$A404,'24i'!$I$7:$I$100,"")+SUMIFS('25'!$J$7:$J$100,'25'!$H$7:$H$100,$A404,'25'!$I$7:$I$100,"")+SUMIFS('26'!$J$7:$J$100,'26'!$H$7:$H$100,$A404,'26'!$I$7:$I$100,"")+SUMIFS('26a'!$J$7:$J$100,'26a'!$H$7:$H$100,$A404,'26a'!$I$7:$I$100,"")+SUMIFS('27'!$J$7:$J$100,'27'!$H$7:$H$100,$A404,'27'!$I$7:$I$100,"")+SUMIFS('27a'!$J$7:$J$100,'27a'!$H$7:$H$100,$A404,'27a'!$I$7:$I$100,"")+SUMIFS('28'!$J$7:$J$100,'28'!$H$7:$H$100,$A404,'28'!$I$7:$I$100,"")+SUMIFS('29'!$J$7:$J$100,'29'!$H$7:$H$100,$A404,'29'!$I$7:$I$100,"")</f>
        <v>0</v>
      </c>
      <c r="J405" s="1296">
        <f t="shared" si="65"/>
        <v>0</v>
      </c>
      <c r="K405"/>
      <c r="L405"/>
      <c r="M405"/>
      <c r="N405"/>
      <c r="O405"/>
      <c r="P405"/>
      <c r="Q405"/>
      <c r="R405"/>
      <c r="S405" s="1307">
        <f t="shared" si="48"/>
        <v>0</v>
      </c>
      <c r="T405"/>
    </row>
    <row r="406" spans="1:20" outlineLevel="1" x14ac:dyDescent="0.2">
      <c r="A406" t="s">
        <v>5076</v>
      </c>
      <c r="B406" t="s">
        <v>5552</v>
      </c>
      <c r="C406" s="1295">
        <f>SUMIFS('12'!$N$7:$N$100,'12'!$H$7:$H$100,$A405,'12'!$I$7:$I$100,1)+SUMIFS('13'!$N$7:$N$100,'13'!$H$7:$H$100,$A405,'13'!$I$7:$I$100,1)+SUMIFS('14'!$N$7:$N$100,'14'!$H$7:$H$100,$A405,'14'!$I$7:$I$100,1)+SUMIFS('15'!$N$7:$N$100,'15'!$H$7:$H$100,$A405,'15'!$I$7:$I$100,1)+SUMIFS('15a'!$N$7:$N$100,'15a'!$H$7:$H$100,$A405,'15a'!$I$7:$I$100,1)+SUMIFS('15b'!$N$7:$N$100,'15b'!$H$7:$H$100,$A405,'15b'!$I$7:$I$100,1)+SUMIFS('15c'!$N$7:$N$100,'15c'!$H$7:$H$100,$A405,'15c'!$I$7:$I$100,1)+SUMIFS('15d'!$N$7:$N$100,'15d'!$H$7:$H$100,$A405,'15d'!$I$7:$I$100,1)+SUMIFS('15e'!$N$7:$N$100,'15e'!$H$7:$H$100,$A405,'15e'!$I$7:$I$100,1)+SUMIFS('15f'!$N$7:$N$100,'15f'!$H$7:$H$100,$A405,'15f'!$I$7:$I$100,1)+SUMIFS('15g'!$N$7:$N$100,'15g'!$H$7:$H$100,$A405,'15g'!$I$7:$I$100,1)+SUMIFS('15h'!$N$7:$N$100,'15h'!$H$7:$H$100,$A405,'15h'!$I$7:$I$100,1)+SUMIFS('15i'!$N$7:$N$100,'15i'!$H$7:$H$100,$A405,'15i'!$I$7:$I$100,1)+SUMIFS('15j'!$N$7:$N$100,'15j'!$H$7:$H$100,$A405,'15j'!$I$7:$I$100,1)+SUMIFS('15k'!$N$7:$N$100,'15k'!$H$7:$H$100,$A405,'15k'!$I$7:$I$100,1)+SUMIFS('15l'!$N$7:$N$100,'15l'!$H$7:$H$100,$A405,'15l'!$I$7:$I$100,1)+SUMIFS('15m'!$N$7:$N$100,'15m'!$H$7:$H$100,$A405,'15m'!$I$7:$I$100,1)+SUMIFS('15n'!$N$7:$N$100,'15n'!$H$7:$H$100,$A405,'15n'!$I$7:$I$100,1)+SUMIFS('16'!$N$7:$N$100,'16'!$H$7:$H$100,$A405,'16'!$I$7:$I$100,1)+SUMIFS('16a'!$N$7:$N$100,'16a'!$H$7:$H$100,$A405,'16a'!$I$7:$I$100,1)+SUMIFS('17'!$N$7:$N$100,'17'!$H$7:$H$100,$A405,'17'!$I$7:$I$100,1)+SUMIFS('17a'!$N$7:$N$100,'17a'!$H$7:$H$100,$A405,'17a'!$I$7:$I$100,1)+SUMIFS('18'!$N$7:$N$100,'18'!$H$7:$H$100,$A405,'18'!$I$7:$I$100,1)+SUMIFS('18a'!$N$7:$N$100,'18a'!$H$7:$H$100,$A405,'18a'!$I$7:$I$100,1)
+SUMIFS('19'!$N$7:$N$100,'19'!$H$7:$H$100,$A405,'19'!$I$7:$I$100,1)+SUMIFS('20'!$N$7:$N$100,'20'!$H$7:$H$100,$A405,'20'!$I$7:$I$100,1)+SUMIFS('20a'!$N$7:$N$100,'20a'!$H$7:$H$100,$A405,'20a'!$I$7:$I$100,1)+SUMIFS('21'!$N$7:$N$100,'21'!$H$7:$H$100,$A405,'21'!$I$7:$I$100,1)+SUMIFS('22'!$N$7:$N$100,'22'!$H$7:$H$100,$A405,'22'!$I$7:$I$100,1)+SUMIFS('22a'!$N$7:$N$100,'22a'!$H$7:$H$100,$A405,'22a'!$I$7:$I$100,1)+SUMIFS('22b'!$N$7:$N$100,'22b'!$H$7:$H$100,$A405,'22b'!$I$7:$I$100,1)+SUMIFS('23'!$N$7:$N$100,'23'!$H$7:$H$100,$A405,'23'!$I$7:$I$100,1)+SUMIFS('24'!$N$7:$N$100,'24'!$H$7:$H$100,$A405,'24'!$I$7:$I$100,1)+SUMIFS('24a'!$N$7:$N$100,'24a'!$H$7:$H$100,$A405,'24a'!$I$7:$I$100,1)+SUMIFS('24b'!$N$7:$N$100,'24b'!$H$7:$H$100,$A405,'24b'!$I$7:$I$100,1)+SUMIFS('24c'!$N$7:$N$100,'24c'!$H$7:$H$100,$A405,'24c'!$I$7:$I$100,1)+SUMIFS('24d'!$N$7:$N$100,'24d'!$H$7:$H$100,$A405,'24d'!$I$7:$I$100,1)+SUMIFS('24e'!$N$7:$N$100,'24e'!$H$7:$H$100,$A405,'24e'!$I$7:$I$100,1)+SUMIFS('24f'!$N$7:$N$100,'24f'!$H$7:$H$100,$A405,'24f'!$I$7:$I$100,1)+SUMIFS('24g'!$N$7:$N$100,'24g'!$H$7:$H$100,$A405,'24g'!$I$7:$I$100,1)+SUMIFS('24h'!$N$7:$N$100,'24h'!$H$7:$H$100,$A405,'24h'!$I$7:$I$100,1)+SUMIFS('24i'!$N$7:$N$100,'24i'!$H$7:$H$100,$A405,'24i'!$I$7:$I$100,1)+SUMIFS('25'!$N$7:$N$100,'25'!$H$7:$H$100,$A405,'25'!$I$7:$I$100,1)+SUMIFS('26'!$N$7:$N$100,'26'!$H$7:$H$100,$A405,'26'!$I$7:$I$100,1)+SUMIFS('26a'!$N$7:$N$100,'26a'!$H$7:$H$100,$A405,'26a'!$I$7:$I$100,1)+SUMIFS('27'!$N$7:$N$100,'27'!$H$7:$H$100,$A405,'27'!$I$7:$I$100,1)+SUMIFS('27a'!$N$7:$N$100,'27a'!$H$7:$H$100,$A405,'27a'!$I$7:$I$100,1)+SUMIFS('28'!$N$7:$N$100,'28'!$H$7:$H$100,$A405,'28'!$I$7:$I$100,1)+SUMIFS('29'!$N$7:$N$100,'29'!$H$7:$H$100,$A405,'29'!$I$7:$I$100,1)</f>
        <v>0</v>
      </c>
      <c r="D406" s="1315">
        <f>SUMIFS('12'!$N$7:$N$100,'12'!$H$7:$H$100,$A405,'12'!$I$7:$I$100,2)+SUMIFS('13'!$N$7:$N$100,'13'!$H$7:$H$100,$A405,'13'!$I$7:$I$100,2)+SUMIFS('14'!$N$7:$N$100,'14'!$H$7:$H$100,$A405,'14'!$I$7:$I$100,2)+SUMIFS('15'!$N$7:$N$100,'15'!$H$7:$H$100,$A405,'15'!$I$7:$I$100,2)+SUMIFS('15a'!$N$7:$N$100,'15a'!$H$7:$H$100,$A405,'15a'!$I$7:$I$100,2)+SUMIFS('15b'!$N$7:$N$100,'15b'!$H$7:$H$100,$A405,'15b'!$I$7:$I$100,2)+SUMIFS('15c'!$N$7:$N$100,'15c'!$H$7:$H$100,$A405,'15c'!$I$7:$I$100,2)+SUMIFS('15d'!$N$7:$N$100,'15d'!$H$7:$H$100,$A405,'15d'!$I$7:$I$100,2)+SUMIFS('15e'!$N$7:$N$100,'15e'!$H$7:$H$100,$A405,'15e'!$I$7:$I$100,2)+SUMIFS('15f'!$N$7:$N$100,'15f'!$H$7:$H$100,$A405,'15f'!$I$7:$I$100,2)+SUMIFS('15g'!$N$7:$N$100,'15g'!$H$7:$H$100,$A405,'15g'!$I$7:$I$100,2)+SUMIFS('15h'!$N$7:$N$100,'15h'!$H$7:$H$100,$A405,'15h'!$I$7:$I$100,2)+SUMIFS('15i'!$N$7:$N$100,'15i'!$H$7:$H$100,$A405,'15i'!$I$7:$I$100,2)+SUMIFS('15j'!$N$7:$N$100,'15j'!$H$7:$H$100,$A405,'15j'!$I$7:$I$100,2)+SUMIFS('15k'!$N$7:$N$100,'15k'!$H$7:$H$100,$A405,'15k'!$I$7:$I$100,2)+SUMIFS('15l'!$N$7:$N$100,'15l'!$H$7:$H$100,$A405,'15l'!$I$7:$I$100,2)+SUMIFS('15m'!$N$7:$N$100,'15m'!$H$7:$H$100,$A405,'15m'!$I$7:$I$100,2)+SUMIFS('15n'!$N$7:$N$100,'15n'!$H$7:$H$100,$A405,'15n'!$I$7:$I$100,2)+SUMIFS('16'!$N$7:$N$100,'16'!$H$7:$H$100,$A405,'16'!$I$7:$I$100,2)+SUMIFS('16a'!$N$7:$N$100,'16a'!$H$7:$H$100,$A405,'16a'!$I$7:$I$100,2)+SUMIFS('17'!$N$7:$N$100,'17'!$H$7:$H$100,$A405,'17'!$I$7:$I$100,2)+SUMIFS('17a'!$N$7:$N$100,'17a'!$H$7:$H$100,$A405,'17a'!$I$7:$I$100,2)+SUMIFS('18'!$N$7:$N$100,'18'!$H$7:$H$100,$A405,'18'!$I$7:$I$100,2)+SUMIFS('18a'!$N$7:$N$100,'18a'!$H$7:$H$100,$A405,'18a'!$I$7:$I$100,2)
+SUMIFS('19'!$N$7:$N$100,'19'!$H$7:$H$100,$A405,'19'!$I$7:$I$100,2)+SUMIFS('20'!$N$7:$N$100,'20'!$H$7:$H$100,$A405,'20'!$I$7:$I$100,2)+SUMIFS('20a'!$N$7:$N$100,'20a'!$H$7:$H$100,$A405,'20a'!$I$7:$I$100,2)+SUMIFS('21'!$N$7:$N$100,'21'!$H$7:$H$100,$A405,'21'!$I$7:$I$100,2)+SUMIFS('22'!$N$7:$N$100,'22'!$H$7:$H$100,$A405,'22'!$I$7:$I$100,2)+SUMIFS('22a'!$N$7:$N$100,'22a'!$H$7:$H$100,$A405,'22a'!$I$7:$I$100,2)+SUMIFS('22b'!$N$7:$N$100,'22b'!$H$7:$H$100,$A405,'22b'!$I$7:$I$100,2)+SUMIFS('23'!$N$7:$N$100,'23'!$H$7:$H$100,$A405,'23'!$I$7:$I$100,2)+SUMIFS('24'!$N$7:$N$100,'24'!$H$7:$H$100,$A405,'24'!$I$7:$I$100,2)+SUMIFS('24a'!$N$7:$N$100,'24a'!$H$7:$H$100,$A405,'24a'!$I$7:$I$100,2)+SUMIFS('24b'!$N$7:$N$100,'24b'!$H$7:$H$100,$A405,'24b'!$I$7:$I$100,2)+SUMIFS('24c'!$N$7:$N$100,'24c'!$H$7:$H$100,$A405,'24c'!$I$7:$I$100,2)+SUMIFS('24d'!$N$7:$N$100,'24d'!$H$7:$H$100,$A405,'24d'!$I$7:$I$100,2)+SUMIFS('24e'!$N$7:$N$100,'24e'!$H$7:$H$100,$A405,'24e'!$I$7:$I$100,2)+SUMIFS('24f'!$N$7:$N$100,'24f'!$H$7:$H$100,$A405,'24f'!$I$7:$I$100,2)+SUMIFS('24g'!$N$7:$N$100,'24g'!$H$7:$H$100,$A405,'24g'!$I$7:$I$100,2)+SUMIFS('24h'!$N$7:$N$100,'24h'!$H$7:$H$100,$A405,'24h'!$I$7:$I$100,2)+SUMIFS('24i'!$N$7:$N$100,'24i'!$H$7:$H$100,$A405,'24i'!$I$7:$I$100,2)+SUMIFS('25'!$N$7:$N$100,'25'!$H$7:$H$100,$A405,'25'!$I$7:$I$100,2)+SUMIFS('26'!$N$7:$N$100,'26'!$H$7:$H$100,$A405,'26'!$I$7:$I$100,2)+SUMIFS('26a'!$N$7:$N$100,'26a'!$H$7:$H$100,$A405,'26a'!$I$7:$I$100,2)+SUMIFS('27'!$N$7:$N$100,'27'!$H$7:$H$100,$A405,'27'!$I$7:$I$100,2)+SUMIFS('27a'!$N$7:$N$100,'27a'!$H$7:$H$100,$A405,'27a'!$I$7:$I$100,2)+SUMIFS('28'!$N$7:$N$100,'28'!$H$7:$H$100,$A405,'28'!$I$7:$I$100,2)+SUMIFS('29'!$N$7:$N$100,'29'!$H$7:$H$100,$A405,'29'!$I$7:$I$100,2)</f>
        <v>0</v>
      </c>
      <c r="E406" s="1315">
        <f>SUMIFS('12'!$N$7:$N$100,'12'!$H$7:$H$100,$A405,'12'!$I$7:$I$100,"")+SUMIFS('13'!$N$7:$N$100,'13'!$H$7:$H$100,$A405,'13'!$I$7:$I$100,"")+SUMIFS('14'!$N$7:$N$100,'14'!$H$7:$H$100,$A405,'14'!$I$7:$I$100,"")+SUMIFS('15'!$N$7:$N$100,'15'!$H$7:$H$100,$A405,'15'!$I$7:$I$100,"")+SUMIFS('15a'!$N$7:$N$100,'15a'!$H$7:$H$100,$A405,'15a'!$I$7:$I$100,"")+SUMIFS('15b'!$N$7:$N$100,'15b'!$H$7:$H$100,$A405,'15b'!$I$7:$I$100,"")+SUMIFS('15c'!$N$7:$N$100,'15c'!$H$7:$H$100,$A405,'15c'!$I$7:$I$100,"")+SUMIFS('15d'!$N$7:$N$100,'15d'!$H$7:$H$100,$A405,'15d'!$I$7:$I$100,"")+SUMIFS('15e'!$N$7:$N$100,'15e'!$H$7:$H$100,$A405,'15e'!$I$7:$I$100,"")+SUMIFS('15f'!$N$7:$N$100,'15f'!$H$7:$H$100,$A405,'15f'!$I$7:$I$100,"")+SUMIFS('15g'!$N$7:$N$100,'15g'!$H$7:$H$100,$A405,'15g'!$I$7:$I$100,"")+SUMIFS('15h'!$N$7:$N$100,'15h'!$H$7:$H$100,$A405,'15h'!$I$7:$I$100,"")+SUMIFS('15i'!$N$7:$N$100,'15i'!$H$7:$H$100,$A405,'15i'!$I$7:$I$100,"")+SUMIFS('15j'!$N$7:$N$100,'15j'!$H$7:$H$100,$A405,'15j'!$I$7:$I$100,"")+SUMIFS('15k'!$N$7:$N$100,'15k'!$H$7:$H$100,$A405,'15k'!$I$7:$I$100,"")+SUMIFS('15l'!$N$7:$N$100,'15l'!$H$7:$H$100,$A405,'15l'!$I$7:$I$100,"")+SUMIFS('15m'!$N$7:$N$100,'15m'!$H$7:$H$100,$A405,'15m'!$I$7:$I$100,"")+SUMIFS('15n'!$N$7:$N$100,'15n'!$H$7:$H$100,$A405,'15n'!$I$7:$I$100,"")+SUMIFS('16'!$N$7:$N$100,'16'!$H$7:$H$100,$A405,'16'!$I$7:$I$100,"")+SUMIFS('16a'!$N$7:$N$100,'16a'!$H$7:$H$100,$A405,'16a'!$I$7:$I$100,"")+SUMIFS('17'!$N$7:$N$100,'17'!$H$7:$H$100,$A405,'17'!$I$7:$I$100,"")+SUMIFS('17a'!$N$7:$N$100,'17a'!$H$7:$H$100,$A405,'17a'!$I$7:$I$100,"")+SUMIFS('18'!$N$7:$N$100,'18'!$H$7:$H$100,$A405,'18'!$I$7:$I$100,"")+SUMIFS('18a'!$N$7:$N$100,'18a'!$H$7:$H$100,$A405,'18a'!$I$7:$I$100,"")
+SUMIFS('19'!$N$7:$N$100,'19'!$H$7:$H$100,$A405,'19'!$I$7:$I$100,"")+SUMIFS('20'!$N$7:$N$100,'20'!$H$7:$H$100,$A405,'20'!$I$7:$I$100,"")+SUMIFS('20a'!$N$7:$N$100,'20a'!$H$7:$H$100,$A405,'20a'!$I$7:$I$100,"")+SUMIFS('21'!$N$7:$N$100,'21'!$H$7:$H$100,$A405,'21'!$I$7:$I$100,"")+SUMIFS('22'!$N$7:$N$100,'22'!$H$7:$H$100,$A405,'22'!$I$7:$I$100,"")+SUMIFS('22a'!$N$7:$N$100,'22a'!$H$7:$H$100,$A405,'22a'!$I$7:$I$100,"")+SUMIFS('22b'!$N$7:$N$100,'22b'!$H$7:$H$100,$A405,'22b'!$I$7:$I$100,"")+SUMIFS('23'!$N$7:$N$100,'23'!$H$7:$H$100,$A405,'23'!$I$7:$I$100,"")+SUMIFS('24'!$N$7:$N$100,'24'!$H$7:$H$100,$A405,'24'!$I$7:$I$100,"")+SUMIFS('24a'!$N$7:$N$100,'24a'!$H$7:$H$100,$A405,'24a'!$I$7:$I$100,"")+SUMIFS('24b'!$N$7:$N$100,'24b'!$H$7:$H$100,$A405,'24b'!$I$7:$I$100,"")+SUMIFS('24c'!$N$7:$N$100,'24c'!$H$7:$H$100,$A405,'24c'!$I$7:$I$100,"")+SUMIFS('24d'!$N$7:$N$100,'24d'!$H$7:$H$100,$A405,'24d'!$I$7:$I$100,"")+SUMIFS('24e'!$N$7:$N$100,'24e'!$H$7:$H$100,$A405,'24e'!$I$7:$I$100,"")+SUMIFS('24f'!$N$7:$N$100,'24f'!$H$7:$H$100,$A405,'24f'!$I$7:$I$100,"")+SUMIFS('24g'!$N$7:$N$100,'24g'!$H$7:$H$100,$A405,'24g'!$I$7:$I$100,"")+SUMIFS('24h'!$N$7:$N$100,'24h'!$H$7:$H$100,$A405,'24h'!$I$7:$I$100,"")+SUMIFS('24i'!$N$7:$N$100,'24i'!$H$7:$H$100,$A405,'24i'!$I$7:$I$100,"")+SUMIFS('25'!$N$7:$N$100,'25'!$H$7:$H$100,$A405,'25'!$I$7:$I$100,"")+SUMIFS('26'!$N$7:$N$100,'26'!$H$7:$H$100,$A405,'26'!$I$7:$I$100,"")+SUMIFS('26a'!$N$7:$N$100,'26a'!$H$7:$H$100,$A405,'26a'!$I$7:$I$100,"")+SUMIFS('27'!$N$7:$N$100,'27'!$H$7:$H$100,$A405,'27'!$I$7:$I$100,"")+SUMIFS('27a'!$N$7:$N$100,'27a'!$H$7:$H$100,$A405,'27a'!$I$7:$I$100,"")+SUMIFS('28'!$N$7:$N$100,'28'!$H$7:$H$100,$A405,'28'!$I$7:$I$100,"")+SUMIFS('29'!$N$7:$N$100,'29'!$H$7:$H$100,$A405,'29'!$I$7:$I$100,"")</f>
        <v>0</v>
      </c>
      <c r="F406" s="1296">
        <f t="shared" si="64"/>
        <v>0</v>
      </c>
      <c r="G406" s="1295">
        <f>SUMIFS('12'!$J$7:$J$100,'12'!$H$7:$H$100,$A405,'12'!$I$7:$I$100,1)+SUMIFS('13'!$J$7:$J$100,'13'!$H$7:$H$100,$A405,'13'!$I$7:$I$100,1)+SUMIFS('14'!$J$7:$J$100,'14'!$H$7:$H$100,$A405,'14'!$I$7:$I$100,1)+SUMIFS('15'!$J$7:$J$100,'15'!$H$7:$H$100,$A405,'15'!$I$7:$I$100,1)+SUMIFS('15a'!$J$7:$J$100,'15a'!$H$7:$H$100,$A405,'15a'!$I$7:$I$100,1)+SUMIFS('15b'!$J$7:$J$100,'15b'!$H$7:$H$100,$A405,'15b'!$I$7:$I$100,1)+SUMIFS('15c'!$J$7:$J$100,'15c'!$H$7:$H$100,$A405,'15c'!$I$7:$I$100,1)+SUMIFS('15d'!$J$7:$J$100,'15d'!$H$7:$H$100,$A405,'15d'!$I$7:$I$100,1)+SUMIFS('15e'!$J$7:$J$100,'15e'!$H$7:$H$100,$A405,'15e'!$I$7:$I$100,1)+SUMIFS('15f'!$J$7:$J$100,'15f'!$H$7:$H$100,$A405,'15f'!$I$7:$I$100,1)+SUMIFS('15g'!$J$7:$J$100,'15g'!$H$7:$H$100,$A405,'15g'!$I$7:$I$100,1)+SUMIFS('15h'!$J$7:$J$100,'15h'!$H$7:$H$100,$A405,'15h'!$I$7:$I$100,1)+SUMIFS('15i'!$J$7:$J$100,'15i'!$H$7:$H$100,$A405,'15i'!$I$7:$I$100,1)+SUMIFS('15j'!$J$7:$J$100,'15j'!$H$7:$H$100,$A405,'15j'!$I$7:$I$100,1)+SUMIFS('15k'!$J$7:$J$100,'15k'!$H$7:$H$100,$A405,'15k'!$I$7:$I$100,1)+SUMIFS('15l'!$J$7:$J$100,'15l'!$H$7:$H$100,$A405,'15l'!$I$7:$I$100,1)+SUMIFS('15m'!$J$7:$J$100,'15m'!$H$7:$H$100,$A405,'15m'!$I$7:$I$100,1)+SUMIFS('15n'!$J$7:$J$100,'15n'!$H$7:$H$100,$A405,'15n'!$I$7:$I$100,1)+SUMIFS('16'!$J$7:$J$100,'16'!$H$7:$H$100,$A405,'16'!$I$7:$I$100,1)+SUMIFS('16a'!$J$7:$J$100,'16a'!$H$7:$H$100,$A405,'16a'!$I$7:$I$100,1)+SUMIFS('17'!$J$7:$J$100,'17'!$H$7:$H$100,$A405,'17'!$I$7:$I$100,1)+SUMIFS('17a'!$J$7:$J$100,'17a'!$H$7:$H$100,$A405,'17a'!$I$7:$I$100,1)+SUMIFS('18'!$J$7:$J$100,'18'!$H$7:$H$100,$A405,'18'!$I$7:$I$100,1)+SUMIFS('18a'!$J$7:$J$100,'18a'!$H$7:$H$100,$A405,'18a'!$I$7:$I$100,1)
+SUMIFS('19'!$J$7:$J$100,'19'!$H$7:$H$100,$A405,'19'!$I$7:$I$100,1)+SUMIFS('20'!$J$7:$J$100,'20'!$H$7:$H$100,$A405,'20'!$I$7:$I$100,1)+SUMIFS('20a'!$J$7:$J$100,'20a'!$H$7:$H$100,$A405,'20a'!$I$7:$I$100,1)+SUMIFS('21'!$J$7:$J$100,'21'!$H$7:$H$100,$A405,'21'!$I$7:$I$100,1)+SUMIFS('22'!$J$7:$J$100,'22'!$H$7:$H$100,$A405,'22'!$I$7:$I$100,1)+SUMIFS('22a'!$J$7:$J$100,'22a'!$H$7:$H$100,$A405,'22a'!$I$7:$I$100,1)+SUMIFS('22b'!$J$7:$J$100,'22b'!$H$7:$H$100,$A405,'22b'!$I$7:$I$100,1)+SUMIFS('23'!$J$7:$J$100,'23'!$H$7:$H$100,$A405,'23'!$I$7:$I$100,1)+SUMIFS('24'!$J$7:$J$100,'24'!$H$7:$H$100,$A405,'24'!$I$7:$I$100,1)+SUMIFS('24a'!$J$7:$J$100,'24a'!$H$7:$H$100,$A405,'24a'!$I$7:$I$100,1)+SUMIFS('24b'!$J$7:$J$100,'24b'!$H$7:$H$100,$A405,'24b'!$I$7:$I$100,1)+SUMIFS('24c'!$J$7:$J$100,'24c'!$H$7:$H$100,$A405,'24c'!$I$7:$I$100,1)+SUMIFS('24d'!$J$7:$J$100,'24d'!$H$7:$H$100,$A405,'24d'!$I$7:$I$100,1)+SUMIFS('24e'!$J$7:$J$100,'24e'!$H$7:$H$100,$A405,'24e'!$I$7:$I$100,1)+SUMIFS('24f'!$J$7:$J$100,'24f'!$H$7:$H$100,$A405,'24f'!$I$7:$I$100,1)+SUMIFS('24g'!$J$7:$J$100,'24g'!$H$7:$H$100,$A405,'24g'!$I$7:$I$100,1)+SUMIFS('24h'!$J$7:$J$100,'24h'!$H$7:$H$100,$A405,'24h'!$I$7:$I$100,1)+SUMIFS('24i'!$J$7:$J$100,'24i'!$H$7:$H$100,$A405,'24i'!$I$7:$I$100,1)+SUMIFS('25'!$J$7:$J$100,'25'!$H$7:$H$100,$A405,'25'!$I$7:$I$100,1)+SUMIFS('26'!$J$7:$J$100,'26'!$H$7:$H$100,$A405,'26'!$I$7:$I$100,1)+SUMIFS('26a'!$J$7:$J$100,'26a'!$H$7:$H$100,$A405,'26a'!$I$7:$I$100,1)+SUMIFS('27'!$J$7:$J$100,'27'!$H$7:$H$100,$A405,'27'!$I$7:$I$100,1)+SUMIFS('27a'!$J$7:$J$100,'27a'!$H$7:$H$100,$A405,'27a'!$I$7:$I$100,1)+SUMIFS('28'!$J$7:$J$100,'28'!$H$7:$H$100,$A405,'28'!$I$7:$I$100,1)+SUMIFS('29'!$J$7:$J$100,'29'!$H$7:$H$100,$A405,'29'!$I$7:$I$100,1)</f>
        <v>0</v>
      </c>
      <c r="H406" s="1315">
        <f>SUMIFS('12'!$J$7:$J$100,'12'!$H$7:$H$100,$A405,'12'!$I$7:$I$100,2)+SUMIFS('13'!$J$7:$J$100,'13'!$H$7:$H$100,$A405,'13'!$I$7:$I$100,2)+SUMIFS('14'!$J$7:$J$100,'14'!$H$7:$H$100,$A405,'14'!$I$7:$I$100,2)+SUMIFS('15'!$J$7:$J$100,'15'!$H$7:$H$100,$A405,'15'!$I$7:$I$100,2)+SUMIFS('15a'!$J$7:$J$100,'15a'!$H$7:$H$100,$A405,'15a'!$I$7:$I$100,2)+SUMIFS('15b'!$J$7:$J$100,'15b'!$H$7:$H$100,$A405,'15b'!$I$7:$I$100,2)+SUMIFS('15c'!$J$7:$J$100,'15c'!$H$7:$H$100,$A405,'15c'!$I$7:$I$100,2)+SUMIFS('15d'!$J$7:$J$100,'15d'!$H$7:$H$100,$A405,'15d'!$I$7:$I$100,2)+SUMIFS('15e'!$J$7:$J$100,'15e'!$H$7:$H$100,$A405,'15e'!$I$7:$I$100,2)+SUMIFS('15f'!$J$7:$J$100,'15f'!$H$7:$H$100,$A405,'15f'!$I$7:$I$100,2)+SUMIFS('15g'!$J$7:$J$100,'15g'!$H$7:$H$100,$A405,'15g'!$I$7:$I$100,2)+SUMIFS('15h'!$J$7:$J$100,'15h'!$H$7:$H$100,$A405,'15h'!$I$7:$I$100,2)+SUMIFS('15i'!$J$7:$J$100,'15i'!$H$7:$H$100,$A405,'15i'!$I$7:$I$100,2)+SUMIFS('15j'!$J$7:$J$100,'15j'!$H$7:$H$100,$A405,'15j'!$I$7:$I$100,2)+SUMIFS('15k'!$J$7:$J$100,'15k'!$H$7:$H$100,$A405,'15k'!$I$7:$I$100,2)+SUMIFS('15l'!$J$7:$J$100,'15l'!$H$7:$H$100,$A405,'15l'!$I$7:$I$100,2)+SUMIFS('15m'!$J$7:$J$100,'15m'!$H$7:$H$100,$A405,'15m'!$I$7:$I$100,2)+SUMIFS('15n'!$J$7:$J$100,'15n'!$H$7:$H$100,$A405,'15n'!$I$7:$I$100,2)+SUMIFS('16'!$J$7:$J$100,'16'!$H$7:$H$100,$A405,'16'!$I$7:$I$100,2)+SUMIFS('16a'!$J$7:$J$100,'16a'!$H$7:$H$100,$A405,'16a'!$I$7:$I$100,2)+SUMIFS('17'!$J$7:$J$100,'17'!$H$7:$H$100,$A405,'17'!$I$7:$I$100,2)+SUMIFS('17a'!$J$7:$J$100,'17a'!$H$7:$H$100,$A405,'17a'!$I$7:$I$100,2)+SUMIFS('18'!$J$7:$J$100,'18'!$H$7:$H$100,$A405,'18'!$I$7:$I$100,2)+SUMIFS('18a'!$J$7:$J$100,'18a'!$H$7:$H$100,$A405,'18a'!$I$7:$I$100,2)
+SUMIFS('19'!$J$7:$J$100,'19'!$H$7:$H$100,$A405,'19'!$I$7:$I$100,2)+SUMIFS('20'!$J$7:$J$100,'20'!$H$7:$H$100,$A405,'20'!$I$7:$I$100,2)+SUMIFS('20a'!$J$7:$J$100,'20a'!$H$7:$H$100,$A405,'20a'!$I$7:$I$100,2)+SUMIFS('21'!$J$7:$J$100,'21'!$H$7:$H$100,$A405,'21'!$I$7:$I$100,2)+SUMIFS('22'!$J$7:$J$100,'22'!$H$7:$H$100,$A405,'22'!$I$7:$I$100,2)+SUMIFS('22a'!$J$7:$J$100,'22a'!$H$7:$H$100,$A405,'22a'!$I$7:$I$100,2)+SUMIFS('22b'!$J$7:$J$100,'22b'!$H$7:$H$100,$A405,'22b'!$I$7:$I$100,2)+SUMIFS('23'!$J$7:$J$100,'23'!$H$7:$H$100,$A405,'23'!$I$7:$I$100,2)+SUMIFS('24'!$J$7:$J$100,'24'!$H$7:$H$100,$A405,'24'!$I$7:$I$100,2)+SUMIFS('24a'!$J$7:$J$100,'24a'!$H$7:$H$100,$A405,'24a'!$I$7:$I$100,2)+SUMIFS('24b'!$J$7:$J$100,'24b'!$H$7:$H$100,$A405,'24b'!$I$7:$I$100,2)+SUMIFS('24c'!$J$7:$J$100,'24c'!$H$7:$H$100,$A405,'24c'!$I$7:$I$100,2)+SUMIFS('24d'!$J$7:$J$100,'24d'!$H$7:$H$100,$A405,'24d'!$I$7:$I$100,2)+SUMIFS('24e'!$J$7:$J$100,'24e'!$H$7:$H$100,$A405,'24e'!$I$7:$I$100,2)+SUMIFS('24f'!$J$7:$J$100,'24f'!$H$7:$H$100,$A405,'24f'!$I$7:$I$100,2)+SUMIFS('24g'!$J$7:$J$100,'24g'!$H$7:$H$100,$A405,'24g'!$I$7:$I$100,2)+SUMIFS('24h'!$J$7:$J$100,'24h'!$H$7:$H$100,$A405,'24h'!$I$7:$I$100,2)+SUMIFS('24i'!$J$7:$J$100,'24i'!$H$7:$H$100,$A405,'24i'!$I$7:$I$100,2)+SUMIFS('25'!$J$7:$J$100,'25'!$H$7:$H$100,$A405,'25'!$I$7:$I$100,2)+SUMIFS('26'!$J$7:$J$100,'26'!$H$7:$H$100,$A405,'26'!$I$7:$I$100,2)+SUMIFS('26a'!$J$7:$J$100,'26a'!$H$7:$H$100,$A405,'26a'!$I$7:$I$100,2)+SUMIFS('27'!$J$7:$J$100,'27'!$H$7:$H$100,$A405,'27'!$I$7:$I$100,2)+SUMIFS('27a'!$J$7:$J$100,'27a'!$H$7:$H$100,$A405,'27a'!$I$7:$I$100,2)+SUMIFS('28'!$J$7:$J$100,'28'!$H$7:$H$100,$A405,'28'!$I$7:$I$100,2)+SUMIFS('29'!$J$7:$J$100,'29'!$H$7:$H$100,$A405,'29'!$I$7:$I$100,2)</f>
        <v>0</v>
      </c>
      <c r="I406" s="1315">
        <f>SUMIFS('12'!$J$7:$J$100,'12'!$H$7:$H$100,$A405,'12'!$I$7:$I$100,"")+SUMIFS('13'!$J$7:$J$100,'13'!$H$7:$H$100,$A405,'13'!$I$7:$I$100,"")+SUMIFS('14'!$J$7:$J$100,'14'!$H$7:$H$100,$A405,'14'!$I$7:$I$100,"")+SUMIFS('15'!$J$7:$J$100,'15'!$H$7:$H$100,$A405,'15'!$I$7:$I$100,"")+SUMIFS('15a'!$J$7:$J$100,'15a'!$H$7:$H$100,$A405,'15a'!$I$7:$I$100,"")+SUMIFS('15b'!$J$7:$J$100,'15b'!$H$7:$H$100,$A405,'15b'!$I$7:$I$100,"")+SUMIFS('15c'!$J$7:$J$100,'15c'!$H$7:$H$100,$A405,'15c'!$I$7:$I$100,"")+SUMIFS('15d'!$J$7:$J$100,'15d'!$H$7:$H$100,$A405,'15d'!$I$7:$I$100,"")+SUMIFS('15e'!$J$7:$J$100,'15e'!$H$7:$H$100,$A405,'15e'!$I$7:$I$100,"")+SUMIFS('15f'!$J$7:$J$100,'15f'!$H$7:$H$100,$A405,'15f'!$I$7:$I$100,"")+SUMIFS('15g'!$J$7:$J$100,'15g'!$H$7:$H$100,$A405,'15g'!$I$7:$I$100,"")+SUMIFS('15h'!$J$7:$J$100,'15h'!$H$7:$H$100,$A405,'15h'!$I$7:$I$100,"")+SUMIFS('15i'!$J$7:$J$100,'15i'!$H$7:$H$100,$A405,'15i'!$I$7:$I$100,"")+SUMIFS('15j'!$J$7:$J$100,'15j'!$H$7:$H$100,$A405,'15j'!$I$7:$I$100,"")+SUMIFS('15k'!$J$7:$J$100,'15k'!$H$7:$H$100,$A405,'15k'!$I$7:$I$100,"")+SUMIFS('15l'!$J$7:$J$100,'15l'!$H$7:$H$100,$A405,'15l'!$I$7:$I$100,"")+SUMIFS('15m'!$J$7:$J$100,'15m'!$H$7:$H$100,$A405,'15m'!$I$7:$I$100,"")+SUMIFS('15n'!$J$7:$J$100,'15n'!$H$7:$H$100,$A405,'15n'!$I$7:$I$100,"")+SUMIFS('16'!$J$7:$J$100,'16'!$H$7:$H$100,$A405,'16'!$I$7:$I$100,"")+SUMIFS('16a'!$J$7:$J$100,'16a'!$H$7:$H$100,$A405,'16a'!$I$7:$I$100,"")+SUMIFS('17'!$J$7:$J$100,'17'!$H$7:$H$100,$A405,'17'!$I$7:$I$100,"")+SUMIFS('17a'!$J$7:$J$100,'17a'!$H$7:$H$100,$A405,'17a'!$I$7:$I$100,"")+SUMIFS('18'!$J$7:$J$100,'18'!$H$7:$H$100,$A405,'18'!$I$7:$I$100,"")+SUMIFS('18a'!$J$7:$J$100,'18a'!$H$7:$H$100,$A405,'18a'!$I$7:$I$100,"")
+SUMIFS('19'!$J$7:$J$100,'19'!$H$7:$H$100,$A405,'19'!$I$7:$I$100,"")+SUMIFS('20'!$J$7:$J$100,'20'!$H$7:$H$100,$A405,'20'!$I$7:$I$100,"")+SUMIFS('20a'!$J$7:$J$100,'20a'!$H$7:$H$100,$A405,'20a'!$I$7:$I$100,"")+SUMIFS('21'!$J$7:$J$100,'21'!$H$7:$H$100,$A405,'21'!$I$7:$I$100,"")+SUMIFS('22'!$J$7:$J$100,'22'!$H$7:$H$100,$A405,'22'!$I$7:$I$100,"")+SUMIFS('22a'!$J$7:$J$100,'22a'!$H$7:$H$100,$A405,'22a'!$I$7:$I$100,"")+SUMIFS('22b'!$J$7:$J$100,'22b'!$H$7:$H$100,$A405,'22b'!$I$7:$I$100,"")+SUMIFS('23'!$J$7:$J$100,'23'!$H$7:$H$100,$A405,'23'!$I$7:$I$100,"")+SUMIFS('24'!$J$7:$J$100,'24'!$H$7:$H$100,$A405,'24'!$I$7:$I$100,"")+SUMIFS('24a'!$J$7:$J$100,'24a'!$H$7:$H$100,$A405,'24a'!$I$7:$I$100,"")+SUMIFS('24b'!$J$7:$J$100,'24b'!$H$7:$H$100,$A405,'24b'!$I$7:$I$100,"")+SUMIFS('24c'!$J$7:$J$100,'24c'!$H$7:$H$100,$A405,'24c'!$I$7:$I$100,"")+SUMIFS('24d'!$J$7:$J$100,'24d'!$H$7:$H$100,$A405,'24d'!$I$7:$I$100,"")+SUMIFS('24e'!$J$7:$J$100,'24e'!$H$7:$H$100,$A405,'24e'!$I$7:$I$100,"")+SUMIFS('24f'!$J$7:$J$100,'24f'!$H$7:$H$100,$A405,'24f'!$I$7:$I$100,"")+SUMIFS('24g'!$J$7:$J$100,'24g'!$H$7:$H$100,$A405,'24g'!$I$7:$I$100,"")+SUMIFS('24h'!$J$7:$J$100,'24h'!$H$7:$H$100,$A405,'24h'!$I$7:$I$100,"")+SUMIFS('24i'!$J$7:$J$100,'24i'!$H$7:$H$100,$A405,'24i'!$I$7:$I$100,"")+SUMIFS('25'!$J$7:$J$100,'25'!$H$7:$H$100,$A405,'25'!$I$7:$I$100,"")+SUMIFS('26'!$J$7:$J$100,'26'!$H$7:$H$100,$A405,'26'!$I$7:$I$100,"")+SUMIFS('26a'!$J$7:$J$100,'26a'!$H$7:$H$100,$A405,'26a'!$I$7:$I$100,"")+SUMIFS('27'!$J$7:$J$100,'27'!$H$7:$H$100,$A405,'27'!$I$7:$I$100,"")+SUMIFS('27a'!$J$7:$J$100,'27a'!$H$7:$H$100,$A405,'27a'!$I$7:$I$100,"")+SUMIFS('28'!$J$7:$J$100,'28'!$H$7:$H$100,$A405,'28'!$I$7:$I$100,"")+SUMIFS('29'!$J$7:$J$100,'29'!$H$7:$H$100,$A405,'29'!$I$7:$I$100,"")</f>
        <v>0</v>
      </c>
      <c r="J406" s="1296">
        <f t="shared" si="65"/>
        <v>0</v>
      </c>
      <c r="K406"/>
      <c r="L406"/>
      <c r="M406"/>
      <c r="N406"/>
      <c r="O406"/>
      <c r="P406"/>
      <c r="Q406"/>
      <c r="R406"/>
      <c r="S406" s="1307">
        <f t="shared" si="48"/>
        <v>0</v>
      </c>
      <c r="T406"/>
    </row>
    <row r="407" spans="1:20" outlineLevel="1" x14ac:dyDescent="0.2">
      <c r="A407" t="s">
        <v>5084</v>
      </c>
      <c r="B407" t="s">
        <v>5552</v>
      </c>
      <c r="C407" s="1295">
        <f>SUMIFS('12'!$N$7:$N$100,'12'!$H$7:$H$100,$A406,'12'!$I$7:$I$100,1)+SUMIFS('13'!$N$7:$N$100,'13'!$H$7:$H$100,$A406,'13'!$I$7:$I$100,1)+SUMIFS('14'!$N$7:$N$100,'14'!$H$7:$H$100,$A406,'14'!$I$7:$I$100,1)+SUMIFS('15'!$N$7:$N$100,'15'!$H$7:$H$100,$A406,'15'!$I$7:$I$100,1)+SUMIFS('15a'!$N$7:$N$100,'15a'!$H$7:$H$100,$A406,'15a'!$I$7:$I$100,1)+SUMIFS('15b'!$N$7:$N$100,'15b'!$H$7:$H$100,$A406,'15b'!$I$7:$I$100,1)+SUMIFS('15c'!$N$7:$N$100,'15c'!$H$7:$H$100,$A406,'15c'!$I$7:$I$100,1)+SUMIFS('15d'!$N$7:$N$100,'15d'!$H$7:$H$100,$A406,'15d'!$I$7:$I$100,1)+SUMIFS('15e'!$N$7:$N$100,'15e'!$H$7:$H$100,$A406,'15e'!$I$7:$I$100,1)+SUMIFS('15f'!$N$7:$N$100,'15f'!$H$7:$H$100,$A406,'15f'!$I$7:$I$100,1)+SUMIFS('15g'!$N$7:$N$100,'15g'!$H$7:$H$100,$A406,'15g'!$I$7:$I$100,1)+SUMIFS('15h'!$N$7:$N$100,'15h'!$H$7:$H$100,$A406,'15h'!$I$7:$I$100,1)+SUMIFS('15i'!$N$7:$N$100,'15i'!$H$7:$H$100,$A406,'15i'!$I$7:$I$100,1)+SUMIFS('15j'!$N$7:$N$100,'15j'!$H$7:$H$100,$A406,'15j'!$I$7:$I$100,1)+SUMIFS('15k'!$N$7:$N$100,'15k'!$H$7:$H$100,$A406,'15k'!$I$7:$I$100,1)+SUMIFS('15l'!$N$7:$N$100,'15l'!$H$7:$H$100,$A406,'15l'!$I$7:$I$100,1)+SUMIFS('15m'!$N$7:$N$100,'15m'!$H$7:$H$100,$A406,'15m'!$I$7:$I$100,1)+SUMIFS('15n'!$N$7:$N$100,'15n'!$H$7:$H$100,$A406,'15n'!$I$7:$I$100,1)+SUMIFS('16'!$N$7:$N$100,'16'!$H$7:$H$100,$A406,'16'!$I$7:$I$100,1)+SUMIFS('16a'!$N$7:$N$100,'16a'!$H$7:$H$100,$A406,'16a'!$I$7:$I$100,1)+SUMIFS('17'!$N$7:$N$100,'17'!$H$7:$H$100,$A406,'17'!$I$7:$I$100,1)+SUMIFS('17a'!$N$7:$N$100,'17a'!$H$7:$H$100,$A406,'17a'!$I$7:$I$100,1)+SUMIFS('18'!$N$7:$N$100,'18'!$H$7:$H$100,$A406,'18'!$I$7:$I$100,1)+SUMIFS('18a'!$N$7:$N$100,'18a'!$H$7:$H$100,$A406,'18a'!$I$7:$I$100,1)
+SUMIFS('19'!$N$7:$N$100,'19'!$H$7:$H$100,$A406,'19'!$I$7:$I$100,1)+SUMIFS('20'!$N$7:$N$100,'20'!$H$7:$H$100,$A406,'20'!$I$7:$I$100,1)+SUMIFS('20a'!$N$7:$N$100,'20a'!$H$7:$H$100,$A406,'20a'!$I$7:$I$100,1)+SUMIFS('21'!$N$7:$N$100,'21'!$H$7:$H$100,$A406,'21'!$I$7:$I$100,1)+SUMIFS('22'!$N$7:$N$100,'22'!$H$7:$H$100,$A406,'22'!$I$7:$I$100,1)+SUMIFS('22a'!$N$7:$N$100,'22a'!$H$7:$H$100,$A406,'22a'!$I$7:$I$100,1)+SUMIFS('22b'!$N$7:$N$100,'22b'!$H$7:$H$100,$A406,'22b'!$I$7:$I$100,1)+SUMIFS('23'!$N$7:$N$100,'23'!$H$7:$H$100,$A406,'23'!$I$7:$I$100,1)+SUMIFS('24'!$N$7:$N$100,'24'!$H$7:$H$100,$A406,'24'!$I$7:$I$100,1)+SUMIFS('24a'!$N$7:$N$100,'24a'!$H$7:$H$100,$A406,'24a'!$I$7:$I$100,1)+SUMIFS('24b'!$N$7:$N$100,'24b'!$H$7:$H$100,$A406,'24b'!$I$7:$I$100,1)+SUMIFS('24c'!$N$7:$N$100,'24c'!$H$7:$H$100,$A406,'24c'!$I$7:$I$100,1)+SUMIFS('24d'!$N$7:$N$100,'24d'!$H$7:$H$100,$A406,'24d'!$I$7:$I$100,1)+SUMIFS('24e'!$N$7:$N$100,'24e'!$H$7:$H$100,$A406,'24e'!$I$7:$I$100,1)+SUMIFS('24f'!$N$7:$N$100,'24f'!$H$7:$H$100,$A406,'24f'!$I$7:$I$100,1)+SUMIFS('24g'!$N$7:$N$100,'24g'!$H$7:$H$100,$A406,'24g'!$I$7:$I$100,1)+SUMIFS('24h'!$N$7:$N$100,'24h'!$H$7:$H$100,$A406,'24h'!$I$7:$I$100,1)+SUMIFS('24i'!$N$7:$N$100,'24i'!$H$7:$H$100,$A406,'24i'!$I$7:$I$100,1)+SUMIFS('25'!$N$7:$N$100,'25'!$H$7:$H$100,$A406,'25'!$I$7:$I$100,1)+SUMIFS('26'!$N$7:$N$100,'26'!$H$7:$H$100,$A406,'26'!$I$7:$I$100,1)+SUMIFS('26a'!$N$7:$N$100,'26a'!$H$7:$H$100,$A406,'26a'!$I$7:$I$100,1)+SUMIFS('27'!$N$7:$N$100,'27'!$H$7:$H$100,$A406,'27'!$I$7:$I$100,1)+SUMIFS('27a'!$N$7:$N$100,'27a'!$H$7:$H$100,$A406,'27a'!$I$7:$I$100,1)+SUMIFS('28'!$N$7:$N$100,'28'!$H$7:$H$100,$A406,'28'!$I$7:$I$100,1)+SUMIFS('29'!$N$7:$N$100,'29'!$H$7:$H$100,$A406,'29'!$I$7:$I$100,1)</f>
        <v>0</v>
      </c>
      <c r="D407" s="1315">
        <f>SUMIFS('12'!$N$7:$N$100,'12'!$H$7:$H$100,$A406,'12'!$I$7:$I$100,2)+SUMIFS('13'!$N$7:$N$100,'13'!$H$7:$H$100,$A406,'13'!$I$7:$I$100,2)+SUMIFS('14'!$N$7:$N$100,'14'!$H$7:$H$100,$A406,'14'!$I$7:$I$100,2)+SUMIFS('15'!$N$7:$N$100,'15'!$H$7:$H$100,$A406,'15'!$I$7:$I$100,2)+SUMIFS('15a'!$N$7:$N$100,'15a'!$H$7:$H$100,$A406,'15a'!$I$7:$I$100,2)+SUMIFS('15b'!$N$7:$N$100,'15b'!$H$7:$H$100,$A406,'15b'!$I$7:$I$100,2)+SUMIFS('15c'!$N$7:$N$100,'15c'!$H$7:$H$100,$A406,'15c'!$I$7:$I$100,2)+SUMIFS('15d'!$N$7:$N$100,'15d'!$H$7:$H$100,$A406,'15d'!$I$7:$I$100,2)+SUMIFS('15e'!$N$7:$N$100,'15e'!$H$7:$H$100,$A406,'15e'!$I$7:$I$100,2)+SUMIFS('15f'!$N$7:$N$100,'15f'!$H$7:$H$100,$A406,'15f'!$I$7:$I$100,2)+SUMIFS('15g'!$N$7:$N$100,'15g'!$H$7:$H$100,$A406,'15g'!$I$7:$I$100,2)+SUMIFS('15h'!$N$7:$N$100,'15h'!$H$7:$H$100,$A406,'15h'!$I$7:$I$100,2)+SUMIFS('15i'!$N$7:$N$100,'15i'!$H$7:$H$100,$A406,'15i'!$I$7:$I$100,2)+SUMIFS('15j'!$N$7:$N$100,'15j'!$H$7:$H$100,$A406,'15j'!$I$7:$I$100,2)+SUMIFS('15k'!$N$7:$N$100,'15k'!$H$7:$H$100,$A406,'15k'!$I$7:$I$100,2)+SUMIFS('15l'!$N$7:$N$100,'15l'!$H$7:$H$100,$A406,'15l'!$I$7:$I$100,2)+SUMIFS('15m'!$N$7:$N$100,'15m'!$H$7:$H$100,$A406,'15m'!$I$7:$I$100,2)+SUMIFS('15n'!$N$7:$N$100,'15n'!$H$7:$H$100,$A406,'15n'!$I$7:$I$100,2)+SUMIFS('16'!$N$7:$N$100,'16'!$H$7:$H$100,$A406,'16'!$I$7:$I$100,2)+SUMIFS('16a'!$N$7:$N$100,'16a'!$H$7:$H$100,$A406,'16a'!$I$7:$I$100,2)+SUMIFS('17'!$N$7:$N$100,'17'!$H$7:$H$100,$A406,'17'!$I$7:$I$100,2)+SUMIFS('17a'!$N$7:$N$100,'17a'!$H$7:$H$100,$A406,'17a'!$I$7:$I$100,2)+SUMIFS('18'!$N$7:$N$100,'18'!$H$7:$H$100,$A406,'18'!$I$7:$I$100,2)+SUMIFS('18a'!$N$7:$N$100,'18a'!$H$7:$H$100,$A406,'18a'!$I$7:$I$100,2)
+SUMIFS('19'!$N$7:$N$100,'19'!$H$7:$H$100,$A406,'19'!$I$7:$I$100,2)+SUMIFS('20'!$N$7:$N$100,'20'!$H$7:$H$100,$A406,'20'!$I$7:$I$100,2)+SUMIFS('20a'!$N$7:$N$100,'20a'!$H$7:$H$100,$A406,'20a'!$I$7:$I$100,2)+SUMIFS('21'!$N$7:$N$100,'21'!$H$7:$H$100,$A406,'21'!$I$7:$I$100,2)+SUMIFS('22'!$N$7:$N$100,'22'!$H$7:$H$100,$A406,'22'!$I$7:$I$100,2)+SUMIFS('22a'!$N$7:$N$100,'22a'!$H$7:$H$100,$A406,'22a'!$I$7:$I$100,2)+SUMIFS('22b'!$N$7:$N$100,'22b'!$H$7:$H$100,$A406,'22b'!$I$7:$I$100,2)+SUMIFS('23'!$N$7:$N$100,'23'!$H$7:$H$100,$A406,'23'!$I$7:$I$100,2)+SUMIFS('24'!$N$7:$N$100,'24'!$H$7:$H$100,$A406,'24'!$I$7:$I$100,2)+SUMIFS('24a'!$N$7:$N$100,'24a'!$H$7:$H$100,$A406,'24a'!$I$7:$I$100,2)+SUMIFS('24b'!$N$7:$N$100,'24b'!$H$7:$H$100,$A406,'24b'!$I$7:$I$100,2)+SUMIFS('24c'!$N$7:$N$100,'24c'!$H$7:$H$100,$A406,'24c'!$I$7:$I$100,2)+SUMIFS('24d'!$N$7:$N$100,'24d'!$H$7:$H$100,$A406,'24d'!$I$7:$I$100,2)+SUMIFS('24e'!$N$7:$N$100,'24e'!$H$7:$H$100,$A406,'24e'!$I$7:$I$100,2)+SUMIFS('24f'!$N$7:$N$100,'24f'!$H$7:$H$100,$A406,'24f'!$I$7:$I$100,2)+SUMIFS('24g'!$N$7:$N$100,'24g'!$H$7:$H$100,$A406,'24g'!$I$7:$I$100,2)+SUMIFS('24h'!$N$7:$N$100,'24h'!$H$7:$H$100,$A406,'24h'!$I$7:$I$100,2)+SUMIFS('24i'!$N$7:$N$100,'24i'!$H$7:$H$100,$A406,'24i'!$I$7:$I$100,2)+SUMIFS('25'!$N$7:$N$100,'25'!$H$7:$H$100,$A406,'25'!$I$7:$I$100,2)+SUMIFS('26'!$N$7:$N$100,'26'!$H$7:$H$100,$A406,'26'!$I$7:$I$100,2)+SUMIFS('26a'!$N$7:$N$100,'26a'!$H$7:$H$100,$A406,'26a'!$I$7:$I$100,2)+SUMIFS('27'!$N$7:$N$100,'27'!$H$7:$H$100,$A406,'27'!$I$7:$I$100,2)+SUMIFS('27a'!$N$7:$N$100,'27a'!$H$7:$H$100,$A406,'27a'!$I$7:$I$100,2)+SUMIFS('28'!$N$7:$N$100,'28'!$H$7:$H$100,$A406,'28'!$I$7:$I$100,2)+SUMIFS('29'!$N$7:$N$100,'29'!$H$7:$H$100,$A406,'29'!$I$7:$I$100,2)</f>
        <v>0</v>
      </c>
      <c r="E407" s="1315">
        <f>SUMIFS('12'!$N$7:$N$100,'12'!$H$7:$H$100,$A406,'12'!$I$7:$I$100,"")+SUMIFS('13'!$N$7:$N$100,'13'!$H$7:$H$100,$A406,'13'!$I$7:$I$100,"")+SUMIFS('14'!$N$7:$N$100,'14'!$H$7:$H$100,$A406,'14'!$I$7:$I$100,"")+SUMIFS('15'!$N$7:$N$100,'15'!$H$7:$H$100,$A406,'15'!$I$7:$I$100,"")+SUMIFS('15a'!$N$7:$N$100,'15a'!$H$7:$H$100,$A406,'15a'!$I$7:$I$100,"")+SUMIFS('15b'!$N$7:$N$100,'15b'!$H$7:$H$100,$A406,'15b'!$I$7:$I$100,"")+SUMIFS('15c'!$N$7:$N$100,'15c'!$H$7:$H$100,$A406,'15c'!$I$7:$I$100,"")+SUMIFS('15d'!$N$7:$N$100,'15d'!$H$7:$H$100,$A406,'15d'!$I$7:$I$100,"")+SUMIFS('15e'!$N$7:$N$100,'15e'!$H$7:$H$100,$A406,'15e'!$I$7:$I$100,"")+SUMIFS('15f'!$N$7:$N$100,'15f'!$H$7:$H$100,$A406,'15f'!$I$7:$I$100,"")+SUMIFS('15g'!$N$7:$N$100,'15g'!$H$7:$H$100,$A406,'15g'!$I$7:$I$100,"")+SUMIFS('15h'!$N$7:$N$100,'15h'!$H$7:$H$100,$A406,'15h'!$I$7:$I$100,"")+SUMIFS('15i'!$N$7:$N$100,'15i'!$H$7:$H$100,$A406,'15i'!$I$7:$I$100,"")+SUMIFS('15j'!$N$7:$N$100,'15j'!$H$7:$H$100,$A406,'15j'!$I$7:$I$100,"")+SUMIFS('15k'!$N$7:$N$100,'15k'!$H$7:$H$100,$A406,'15k'!$I$7:$I$100,"")+SUMIFS('15l'!$N$7:$N$100,'15l'!$H$7:$H$100,$A406,'15l'!$I$7:$I$100,"")+SUMIFS('15m'!$N$7:$N$100,'15m'!$H$7:$H$100,$A406,'15m'!$I$7:$I$100,"")+SUMIFS('15n'!$N$7:$N$100,'15n'!$H$7:$H$100,$A406,'15n'!$I$7:$I$100,"")+SUMIFS('16'!$N$7:$N$100,'16'!$H$7:$H$100,$A406,'16'!$I$7:$I$100,"")+SUMIFS('16a'!$N$7:$N$100,'16a'!$H$7:$H$100,$A406,'16a'!$I$7:$I$100,"")+SUMIFS('17'!$N$7:$N$100,'17'!$H$7:$H$100,$A406,'17'!$I$7:$I$100,"")+SUMIFS('17a'!$N$7:$N$100,'17a'!$H$7:$H$100,$A406,'17a'!$I$7:$I$100,"")+SUMIFS('18'!$N$7:$N$100,'18'!$H$7:$H$100,$A406,'18'!$I$7:$I$100,"")+SUMIFS('18a'!$N$7:$N$100,'18a'!$H$7:$H$100,$A406,'18a'!$I$7:$I$100,"")
+SUMIFS('19'!$N$7:$N$100,'19'!$H$7:$H$100,$A406,'19'!$I$7:$I$100,"")+SUMIFS('20'!$N$7:$N$100,'20'!$H$7:$H$100,$A406,'20'!$I$7:$I$100,"")+SUMIFS('20a'!$N$7:$N$100,'20a'!$H$7:$H$100,$A406,'20a'!$I$7:$I$100,"")+SUMIFS('21'!$N$7:$N$100,'21'!$H$7:$H$100,$A406,'21'!$I$7:$I$100,"")+SUMIFS('22'!$N$7:$N$100,'22'!$H$7:$H$100,$A406,'22'!$I$7:$I$100,"")+SUMIFS('22a'!$N$7:$N$100,'22a'!$H$7:$H$100,$A406,'22a'!$I$7:$I$100,"")+SUMIFS('22b'!$N$7:$N$100,'22b'!$H$7:$H$100,$A406,'22b'!$I$7:$I$100,"")+SUMIFS('23'!$N$7:$N$100,'23'!$H$7:$H$100,$A406,'23'!$I$7:$I$100,"")+SUMIFS('24'!$N$7:$N$100,'24'!$H$7:$H$100,$A406,'24'!$I$7:$I$100,"")+SUMIFS('24a'!$N$7:$N$100,'24a'!$H$7:$H$100,$A406,'24a'!$I$7:$I$100,"")+SUMIFS('24b'!$N$7:$N$100,'24b'!$H$7:$H$100,$A406,'24b'!$I$7:$I$100,"")+SUMIFS('24c'!$N$7:$N$100,'24c'!$H$7:$H$100,$A406,'24c'!$I$7:$I$100,"")+SUMIFS('24d'!$N$7:$N$100,'24d'!$H$7:$H$100,$A406,'24d'!$I$7:$I$100,"")+SUMIFS('24e'!$N$7:$N$100,'24e'!$H$7:$H$100,$A406,'24e'!$I$7:$I$100,"")+SUMIFS('24f'!$N$7:$N$100,'24f'!$H$7:$H$100,$A406,'24f'!$I$7:$I$100,"")+SUMIFS('24g'!$N$7:$N$100,'24g'!$H$7:$H$100,$A406,'24g'!$I$7:$I$100,"")+SUMIFS('24h'!$N$7:$N$100,'24h'!$H$7:$H$100,$A406,'24h'!$I$7:$I$100,"")+SUMIFS('24i'!$N$7:$N$100,'24i'!$H$7:$H$100,$A406,'24i'!$I$7:$I$100,"")+SUMIFS('25'!$N$7:$N$100,'25'!$H$7:$H$100,$A406,'25'!$I$7:$I$100,"")+SUMIFS('26'!$N$7:$N$100,'26'!$H$7:$H$100,$A406,'26'!$I$7:$I$100,"")+SUMIFS('26a'!$N$7:$N$100,'26a'!$H$7:$H$100,$A406,'26a'!$I$7:$I$100,"")+SUMIFS('27'!$N$7:$N$100,'27'!$H$7:$H$100,$A406,'27'!$I$7:$I$100,"")+SUMIFS('27a'!$N$7:$N$100,'27a'!$H$7:$H$100,$A406,'27a'!$I$7:$I$100,"")+SUMIFS('28'!$N$7:$N$100,'28'!$H$7:$H$100,$A406,'28'!$I$7:$I$100,"")+SUMIFS('29'!$N$7:$N$100,'29'!$H$7:$H$100,$A406,'29'!$I$7:$I$100,"")</f>
        <v>0</v>
      </c>
      <c r="F407" s="1296">
        <f t="shared" si="64"/>
        <v>0</v>
      </c>
      <c r="G407" s="1295">
        <f>SUMIFS('12'!$J$7:$J$100,'12'!$H$7:$H$100,$A406,'12'!$I$7:$I$100,1)+SUMIFS('13'!$J$7:$J$100,'13'!$H$7:$H$100,$A406,'13'!$I$7:$I$100,1)+SUMIFS('14'!$J$7:$J$100,'14'!$H$7:$H$100,$A406,'14'!$I$7:$I$100,1)+SUMIFS('15'!$J$7:$J$100,'15'!$H$7:$H$100,$A406,'15'!$I$7:$I$100,1)+SUMIFS('15a'!$J$7:$J$100,'15a'!$H$7:$H$100,$A406,'15a'!$I$7:$I$100,1)+SUMIFS('15b'!$J$7:$J$100,'15b'!$H$7:$H$100,$A406,'15b'!$I$7:$I$100,1)+SUMIFS('15c'!$J$7:$J$100,'15c'!$H$7:$H$100,$A406,'15c'!$I$7:$I$100,1)+SUMIFS('15d'!$J$7:$J$100,'15d'!$H$7:$H$100,$A406,'15d'!$I$7:$I$100,1)+SUMIFS('15e'!$J$7:$J$100,'15e'!$H$7:$H$100,$A406,'15e'!$I$7:$I$100,1)+SUMIFS('15f'!$J$7:$J$100,'15f'!$H$7:$H$100,$A406,'15f'!$I$7:$I$100,1)+SUMIFS('15g'!$J$7:$J$100,'15g'!$H$7:$H$100,$A406,'15g'!$I$7:$I$100,1)+SUMIFS('15h'!$J$7:$J$100,'15h'!$H$7:$H$100,$A406,'15h'!$I$7:$I$100,1)+SUMIFS('15i'!$J$7:$J$100,'15i'!$H$7:$H$100,$A406,'15i'!$I$7:$I$100,1)+SUMIFS('15j'!$J$7:$J$100,'15j'!$H$7:$H$100,$A406,'15j'!$I$7:$I$100,1)+SUMIFS('15k'!$J$7:$J$100,'15k'!$H$7:$H$100,$A406,'15k'!$I$7:$I$100,1)+SUMIFS('15l'!$J$7:$J$100,'15l'!$H$7:$H$100,$A406,'15l'!$I$7:$I$100,1)+SUMIFS('15m'!$J$7:$J$100,'15m'!$H$7:$H$100,$A406,'15m'!$I$7:$I$100,1)+SUMIFS('15n'!$J$7:$J$100,'15n'!$H$7:$H$100,$A406,'15n'!$I$7:$I$100,1)+SUMIFS('16'!$J$7:$J$100,'16'!$H$7:$H$100,$A406,'16'!$I$7:$I$100,1)+SUMIFS('16a'!$J$7:$J$100,'16a'!$H$7:$H$100,$A406,'16a'!$I$7:$I$100,1)+SUMIFS('17'!$J$7:$J$100,'17'!$H$7:$H$100,$A406,'17'!$I$7:$I$100,1)+SUMIFS('17a'!$J$7:$J$100,'17a'!$H$7:$H$100,$A406,'17a'!$I$7:$I$100,1)+SUMIFS('18'!$J$7:$J$100,'18'!$H$7:$H$100,$A406,'18'!$I$7:$I$100,1)+SUMIFS('18a'!$J$7:$J$100,'18a'!$H$7:$H$100,$A406,'18a'!$I$7:$I$100,1)
+SUMIFS('19'!$J$7:$J$100,'19'!$H$7:$H$100,$A406,'19'!$I$7:$I$100,1)+SUMIFS('20'!$J$7:$J$100,'20'!$H$7:$H$100,$A406,'20'!$I$7:$I$100,1)+SUMIFS('20a'!$J$7:$J$100,'20a'!$H$7:$H$100,$A406,'20a'!$I$7:$I$100,1)+SUMIFS('21'!$J$7:$J$100,'21'!$H$7:$H$100,$A406,'21'!$I$7:$I$100,1)+SUMIFS('22'!$J$7:$J$100,'22'!$H$7:$H$100,$A406,'22'!$I$7:$I$100,1)+SUMIFS('22a'!$J$7:$J$100,'22a'!$H$7:$H$100,$A406,'22a'!$I$7:$I$100,1)+SUMIFS('22b'!$J$7:$J$100,'22b'!$H$7:$H$100,$A406,'22b'!$I$7:$I$100,1)+SUMIFS('23'!$J$7:$J$100,'23'!$H$7:$H$100,$A406,'23'!$I$7:$I$100,1)+SUMIFS('24'!$J$7:$J$100,'24'!$H$7:$H$100,$A406,'24'!$I$7:$I$100,1)+SUMIFS('24a'!$J$7:$J$100,'24a'!$H$7:$H$100,$A406,'24a'!$I$7:$I$100,1)+SUMIFS('24b'!$J$7:$J$100,'24b'!$H$7:$H$100,$A406,'24b'!$I$7:$I$100,1)+SUMIFS('24c'!$J$7:$J$100,'24c'!$H$7:$H$100,$A406,'24c'!$I$7:$I$100,1)+SUMIFS('24d'!$J$7:$J$100,'24d'!$H$7:$H$100,$A406,'24d'!$I$7:$I$100,1)+SUMIFS('24e'!$J$7:$J$100,'24e'!$H$7:$H$100,$A406,'24e'!$I$7:$I$100,1)+SUMIFS('24f'!$J$7:$J$100,'24f'!$H$7:$H$100,$A406,'24f'!$I$7:$I$100,1)+SUMIFS('24g'!$J$7:$J$100,'24g'!$H$7:$H$100,$A406,'24g'!$I$7:$I$100,1)+SUMIFS('24h'!$J$7:$J$100,'24h'!$H$7:$H$100,$A406,'24h'!$I$7:$I$100,1)+SUMIFS('24i'!$J$7:$J$100,'24i'!$H$7:$H$100,$A406,'24i'!$I$7:$I$100,1)+SUMIFS('25'!$J$7:$J$100,'25'!$H$7:$H$100,$A406,'25'!$I$7:$I$100,1)+SUMIFS('26'!$J$7:$J$100,'26'!$H$7:$H$100,$A406,'26'!$I$7:$I$100,1)+SUMIFS('26a'!$J$7:$J$100,'26a'!$H$7:$H$100,$A406,'26a'!$I$7:$I$100,1)+SUMIFS('27'!$J$7:$J$100,'27'!$H$7:$H$100,$A406,'27'!$I$7:$I$100,1)+SUMIFS('27a'!$J$7:$J$100,'27a'!$H$7:$H$100,$A406,'27a'!$I$7:$I$100,1)+SUMIFS('28'!$J$7:$J$100,'28'!$H$7:$H$100,$A406,'28'!$I$7:$I$100,1)+SUMIFS('29'!$J$7:$J$100,'29'!$H$7:$H$100,$A406,'29'!$I$7:$I$100,1)</f>
        <v>0</v>
      </c>
      <c r="H407" s="1315">
        <f>SUMIFS('12'!$J$7:$J$100,'12'!$H$7:$H$100,$A406,'12'!$I$7:$I$100,2)+SUMIFS('13'!$J$7:$J$100,'13'!$H$7:$H$100,$A406,'13'!$I$7:$I$100,2)+SUMIFS('14'!$J$7:$J$100,'14'!$H$7:$H$100,$A406,'14'!$I$7:$I$100,2)+SUMIFS('15'!$J$7:$J$100,'15'!$H$7:$H$100,$A406,'15'!$I$7:$I$100,2)+SUMIFS('15a'!$J$7:$J$100,'15a'!$H$7:$H$100,$A406,'15a'!$I$7:$I$100,2)+SUMIFS('15b'!$J$7:$J$100,'15b'!$H$7:$H$100,$A406,'15b'!$I$7:$I$100,2)+SUMIFS('15c'!$J$7:$J$100,'15c'!$H$7:$H$100,$A406,'15c'!$I$7:$I$100,2)+SUMIFS('15d'!$J$7:$J$100,'15d'!$H$7:$H$100,$A406,'15d'!$I$7:$I$100,2)+SUMIFS('15e'!$J$7:$J$100,'15e'!$H$7:$H$100,$A406,'15e'!$I$7:$I$100,2)+SUMIFS('15f'!$J$7:$J$100,'15f'!$H$7:$H$100,$A406,'15f'!$I$7:$I$100,2)+SUMIFS('15g'!$J$7:$J$100,'15g'!$H$7:$H$100,$A406,'15g'!$I$7:$I$100,2)+SUMIFS('15h'!$J$7:$J$100,'15h'!$H$7:$H$100,$A406,'15h'!$I$7:$I$100,2)+SUMIFS('15i'!$J$7:$J$100,'15i'!$H$7:$H$100,$A406,'15i'!$I$7:$I$100,2)+SUMIFS('15j'!$J$7:$J$100,'15j'!$H$7:$H$100,$A406,'15j'!$I$7:$I$100,2)+SUMIFS('15k'!$J$7:$J$100,'15k'!$H$7:$H$100,$A406,'15k'!$I$7:$I$100,2)+SUMIFS('15l'!$J$7:$J$100,'15l'!$H$7:$H$100,$A406,'15l'!$I$7:$I$100,2)+SUMIFS('15m'!$J$7:$J$100,'15m'!$H$7:$H$100,$A406,'15m'!$I$7:$I$100,2)+SUMIFS('15n'!$J$7:$J$100,'15n'!$H$7:$H$100,$A406,'15n'!$I$7:$I$100,2)+SUMIFS('16'!$J$7:$J$100,'16'!$H$7:$H$100,$A406,'16'!$I$7:$I$100,2)+SUMIFS('16a'!$J$7:$J$100,'16a'!$H$7:$H$100,$A406,'16a'!$I$7:$I$100,2)+SUMIFS('17'!$J$7:$J$100,'17'!$H$7:$H$100,$A406,'17'!$I$7:$I$100,2)+SUMIFS('17a'!$J$7:$J$100,'17a'!$H$7:$H$100,$A406,'17a'!$I$7:$I$100,2)+SUMIFS('18'!$J$7:$J$100,'18'!$H$7:$H$100,$A406,'18'!$I$7:$I$100,2)+SUMIFS('18a'!$J$7:$J$100,'18a'!$H$7:$H$100,$A406,'18a'!$I$7:$I$100,2)
+SUMIFS('19'!$J$7:$J$100,'19'!$H$7:$H$100,$A406,'19'!$I$7:$I$100,2)+SUMIFS('20'!$J$7:$J$100,'20'!$H$7:$H$100,$A406,'20'!$I$7:$I$100,2)+SUMIFS('20a'!$J$7:$J$100,'20a'!$H$7:$H$100,$A406,'20a'!$I$7:$I$100,2)+SUMIFS('21'!$J$7:$J$100,'21'!$H$7:$H$100,$A406,'21'!$I$7:$I$100,2)+SUMIFS('22'!$J$7:$J$100,'22'!$H$7:$H$100,$A406,'22'!$I$7:$I$100,2)+SUMIFS('22a'!$J$7:$J$100,'22a'!$H$7:$H$100,$A406,'22a'!$I$7:$I$100,2)+SUMIFS('22b'!$J$7:$J$100,'22b'!$H$7:$H$100,$A406,'22b'!$I$7:$I$100,2)+SUMIFS('23'!$J$7:$J$100,'23'!$H$7:$H$100,$A406,'23'!$I$7:$I$100,2)+SUMIFS('24'!$J$7:$J$100,'24'!$H$7:$H$100,$A406,'24'!$I$7:$I$100,2)+SUMIFS('24a'!$J$7:$J$100,'24a'!$H$7:$H$100,$A406,'24a'!$I$7:$I$100,2)+SUMIFS('24b'!$J$7:$J$100,'24b'!$H$7:$H$100,$A406,'24b'!$I$7:$I$100,2)+SUMIFS('24c'!$J$7:$J$100,'24c'!$H$7:$H$100,$A406,'24c'!$I$7:$I$100,2)+SUMIFS('24d'!$J$7:$J$100,'24d'!$H$7:$H$100,$A406,'24d'!$I$7:$I$100,2)+SUMIFS('24e'!$J$7:$J$100,'24e'!$H$7:$H$100,$A406,'24e'!$I$7:$I$100,2)+SUMIFS('24f'!$J$7:$J$100,'24f'!$H$7:$H$100,$A406,'24f'!$I$7:$I$100,2)+SUMIFS('24g'!$J$7:$J$100,'24g'!$H$7:$H$100,$A406,'24g'!$I$7:$I$100,2)+SUMIFS('24h'!$J$7:$J$100,'24h'!$H$7:$H$100,$A406,'24h'!$I$7:$I$100,2)+SUMIFS('24i'!$J$7:$J$100,'24i'!$H$7:$H$100,$A406,'24i'!$I$7:$I$100,2)+SUMIFS('25'!$J$7:$J$100,'25'!$H$7:$H$100,$A406,'25'!$I$7:$I$100,2)+SUMIFS('26'!$J$7:$J$100,'26'!$H$7:$H$100,$A406,'26'!$I$7:$I$100,2)+SUMIFS('26a'!$J$7:$J$100,'26a'!$H$7:$H$100,$A406,'26a'!$I$7:$I$100,2)+SUMIFS('27'!$J$7:$J$100,'27'!$H$7:$H$100,$A406,'27'!$I$7:$I$100,2)+SUMIFS('27a'!$J$7:$J$100,'27a'!$H$7:$H$100,$A406,'27a'!$I$7:$I$100,2)+SUMIFS('28'!$J$7:$J$100,'28'!$H$7:$H$100,$A406,'28'!$I$7:$I$100,2)+SUMIFS('29'!$J$7:$J$100,'29'!$H$7:$H$100,$A406,'29'!$I$7:$I$100,2)</f>
        <v>0</v>
      </c>
      <c r="I407" s="1315">
        <f>SUMIFS('12'!$J$7:$J$100,'12'!$H$7:$H$100,$A406,'12'!$I$7:$I$100,"")+SUMIFS('13'!$J$7:$J$100,'13'!$H$7:$H$100,$A406,'13'!$I$7:$I$100,"")+SUMIFS('14'!$J$7:$J$100,'14'!$H$7:$H$100,$A406,'14'!$I$7:$I$100,"")+SUMIFS('15'!$J$7:$J$100,'15'!$H$7:$H$100,$A406,'15'!$I$7:$I$100,"")+SUMIFS('15a'!$J$7:$J$100,'15a'!$H$7:$H$100,$A406,'15a'!$I$7:$I$100,"")+SUMIFS('15b'!$J$7:$J$100,'15b'!$H$7:$H$100,$A406,'15b'!$I$7:$I$100,"")+SUMIFS('15c'!$J$7:$J$100,'15c'!$H$7:$H$100,$A406,'15c'!$I$7:$I$100,"")+SUMIFS('15d'!$J$7:$J$100,'15d'!$H$7:$H$100,$A406,'15d'!$I$7:$I$100,"")+SUMIFS('15e'!$J$7:$J$100,'15e'!$H$7:$H$100,$A406,'15e'!$I$7:$I$100,"")+SUMIFS('15f'!$J$7:$J$100,'15f'!$H$7:$H$100,$A406,'15f'!$I$7:$I$100,"")+SUMIFS('15g'!$J$7:$J$100,'15g'!$H$7:$H$100,$A406,'15g'!$I$7:$I$100,"")+SUMIFS('15h'!$J$7:$J$100,'15h'!$H$7:$H$100,$A406,'15h'!$I$7:$I$100,"")+SUMIFS('15i'!$J$7:$J$100,'15i'!$H$7:$H$100,$A406,'15i'!$I$7:$I$100,"")+SUMIFS('15j'!$J$7:$J$100,'15j'!$H$7:$H$100,$A406,'15j'!$I$7:$I$100,"")+SUMIFS('15k'!$J$7:$J$100,'15k'!$H$7:$H$100,$A406,'15k'!$I$7:$I$100,"")+SUMIFS('15l'!$J$7:$J$100,'15l'!$H$7:$H$100,$A406,'15l'!$I$7:$I$100,"")+SUMIFS('15m'!$J$7:$J$100,'15m'!$H$7:$H$100,$A406,'15m'!$I$7:$I$100,"")+SUMIFS('15n'!$J$7:$J$100,'15n'!$H$7:$H$100,$A406,'15n'!$I$7:$I$100,"")+SUMIFS('16'!$J$7:$J$100,'16'!$H$7:$H$100,$A406,'16'!$I$7:$I$100,"")+SUMIFS('16a'!$J$7:$J$100,'16a'!$H$7:$H$100,$A406,'16a'!$I$7:$I$100,"")+SUMIFS('17'!$J$7:$J$100,'17'!$H$7:$H$100,$A406,'17'!$I$7:$I$100,"")+SUMIFS('17a'!$J$7:$J$100,'17a'!$H$7:$H$100,$A406,'17a'!$I$7:$I$100,"")+SUMIFS('18'!$J$7:$J$100,'18'!$H$7:$H$100,$A406,'18'!$I$7:$I$100,"")+SUMIFS('18a'!$J$7:$J$100,'18a'!$H$7:$H$100,$A406,'18a'!$I$7:$I$100,"")
+SUMIFS('19'!$J$7:$J$100,'19'!$H$7:$H$100,$A406,'19'!$I$7:$I$100,"")+SUMIFS('20'!$J$7:$J$100,'20'!$H$7:$H$100,$A406,'20'!$I$7:$I$100,"")+SUMIFS('20a'!$J$7:$J$100,'20a'!$H$7:$H$100,$A406,'20a'!$I$7:$I$100,"")+SUMIFS('21'!$J$7:$J$100,'21'!$H$7:$H$100,$A406,'21'!$I$7:$I$100,"")+SUMIFS('22'!$J$7:$J$100,'22'!$H$7:$H$100,$A406,'22'!$I$7:$I$100,"")+SUMIFS('22a'!$J$7:$J$100,'22a'!$H$7:$H$100,$A406,'22a'!$I$7:$I$100,"")+SUMIFS('22b'!$J$7:$J$100,'22b'!$H$7:$H$100,$A406,'22b'!$I$7:$I$100,"")+SUMIFS('23'!$J$7:$J$100,'23'!$H$7:$H$100,$A406,'23'!$I$7:$I$100,"")+SUMIFS('24'!$J$7:$J$100,'24'!$H$7:$H$100,$A406,'24'!$I$7:$I$100,"")+SUMIFS('24a'!$J$7:$J$100,'24a'!$H$7:$H$100,$A406,'24a'!$I$7:$I$100,"")+SUMIFS('24b'!$J$7:$J$100,'24b'!$H$7:$H$100,$A406,'24b'!$I$7:$I$100,"")+SUMIFS('24c'!$J$7:$J$100,'24c'!$H$7:$H$100,$A406,'24c'!$I$7:$I$100,"")+SUMIFS('24d'!$J$7:$J$100,'24d'!$H$7:$H$100,$A406,'24d'!$I$7:$I$100,"")+SUMIFS('24e'!$J$7:$J$100,'24e'!$H$7:$H$100,$A406,'24e'!$I$7:$I$100,"")+SUMIFS('24f'!$J$7:$J$100,'24f'!$H$7:$H$100,$A406,'24f'!$I$7:$I$100,"")+SUMIFS('24g'!$J$7:$J$100,'24g'!$H$7:$H$100,$A406,'24g'!$I$7:$I$100,"")+SUMIFS('24h'!$J$7:$J$100,'24h'!$H$7:$H$100,$A406,'24h'!$I$7:$I$100,"")+SUMIFS('24i'!$J$7:$J$100,'24i'!$H$7:$H$100,$A406,'24i'!$I$7:$I$100,"")+SUMIFS('25'!$J$7:$J$100,'25'!$H$7:$H$100,$A406,'25'!$I$7:$I$100,"")+SUMIFS('26'!$J$7:$J$100,'26'!$H$7:$H$100,$A406,'26'!$I$7:$I$100,"")+SUMIFS('26a'!$J$7:$J$100,'26a'!$H$7:$H$100,$A406,'26a'!$I$7:$I$100,"")+SUMIFS('27'!$J$7:$J$100,'27'!$H$7:$H$100,$A406,'27'!$I$7:$I$100,"")+SUMIFS('27a'!$J$7:$J$100,'27a'!$H$7:$H$100,$A406,'27a'!$I$7:$I$100,"")+SUMIFS('28'!$J$7:$J$100,'28'!$H$7:$H$100,$A406,'28'!$I$7:$I$100,"")+SUMIFS('29'!$J$7:$J$100,'29'!$H$7:$H$100,$A406,'29'!$I$7:$I$100,"")</f>
        <v>0</v>
      </c>
      <c r="J407" s="1296">
        <f t="shared" si="65"/>
        <v>0</v>
      </c>
      <c r="K407"/>
      <c r="L407"/>
      <c r="M407"/>
      <c r="N407"/>
      <c r="O407"/>
      <c r="P407"/>
      <c r="Q407"/>
      <c r="R407"/>
      <c r="S407" s="1307">
        <f t="shared" si="48"/>
        <v>0</v>
      </c>
      <c r="T407"/>
    </row>
    <row r="408" spans="1:20" x14ac:dyDescent="0.2">
      <c r="A408"/>
      <c r="B408" s="1289" t="str">
        <f>"Total- "&amp;A400</f>
        <v>Total- Capital</v>
      </c>
      <c r="C408" s="1297">
        <f>SUM(C401:C404)</f>
        <v>0</v>
      </c>
      <c r="D408" s="1290">
        <f t="shared" ref="D408:J408" si="68">SUM(D401:D404)</f>
        <v>0</v>
      </c>
      <c r="E408" s="1290">
        <f t="shared" si="68"/>
        <v>60100</v>
      </c>
      <c r="F408" s="1298">
        <f t="shared" si="68"/>
        <v>60100</v>
      </c>
      <c r="G408" s="1297">
        <f t="shared" si="68"/>
        <v>0</v>
      </c>
      <c r="H408" s="1290">
        <f t="shared" si="68"/>
        <v>0</v>
      </c>
      <c r="I408" s="1290">
        <f>SUM(I401:I404)</f>
        <v>60100</v>
      </c>
      <c r="J408" s="1298">
        <f t="shared" si="68"/>
        <v>60100</v>
      </c>
      <c r="K408"/>
      <c r="L408"/>
      <c r="M408"/>
      <c r="N408"/>
      <c r="O408"/>
      <c r="P408"/>
      <c r="Q408"/>
      <c r="R408"/>
      <c r="S408" s="1307"/>
      <c r="T408"/>
    </row>
    <row r="409" spans="1:20" x14ac:dyDescent="0.2">
      <c r="A409"/>
      <c r="B409"/>
      <c r="C409" s="292"/>
      <c r="D409"/>
      <c r="E409"/>
      <c r="F409" s="345"/>
      <c r="G409" s="292"/>
      <c r="H409"/>
      <c r="I409"/>
      <c r="J409" s="345"/>
      <c r="K409"/>
      <c r="L409"/>
      <c r="M409"/>
      <c r="N409"/>
      <c r="O409"/>
      <c r="P409"/>
      <c r="Q409"/>
      <c r="R409"/>
      <c r="S409" s="1307"/>
      <c r="T409"/>
    </row>
    <row r="410" spans="1:20" x14ac:dyDescent="0.2">
      <c r="A410" s="106" t="s">
        <v>343</v>
      </c>
      <c r="B410" s="5"/>
      <c r="C410" s="1299"/>
      <c r="D410" s="523"/>
      <c r="E410" s="5"/>
      <c r="F410" s="1322"/>
      <c r="G410" s="1321"/>
      <c r="H410" s="5"/>
      <c r="I410" s="5"/>
      <c r="J410" s="1322"/>
      <c r="K410"/>
      <c r="L410"/>
      <c r="M410"/>
      <c r="N410"/>
      <c r="O410"/>
      <c r="P410"/>
      <c r="Q410"/>
      <c r="R410"/>
      <c r="S410" s="1307"/>
      <c r="T410"/>
    </row>
    <row r="411" spans="1:20" x14ac:dyDescent="0.2">
      <c r="A411" t="s">
        <v>544</v>
      </c>
      <c r="B411" t="s">
        <v>254</v>
      </c>
      <c r="C411" s="1295">
        <f>SUMIFS('12'!$N$7:$N$100,'12'!$H$7:$H$100,$A411,'12'!$I$7:$I$100,1)+SUMIFS('13'!$N$7:$N$100,'13'!$H$7:$H$100,$A411,'13'!$I$7:$I$100,1)+SUMIFS('14'!$N$7:$N$100,'14'!$H$7:$H$100,$A411,'14'!$I$7:$I$100,1)+SUMIFS('15'!$N$7:$N$100,'15'!$H$7:$H$100,$A411,'15'!$I$7:$I$100,1)+SUMIFS('15a'!$N$7:$N$100,'15a'!$H$7:$H$100,$A411,'15a'!$I$7:$I$100,1)+SUMIFS('15b'!$N$7:$N$100,'15b'!$H$7:$H$100,$A411,'15b'!$I$7:$I$100,1)+SUMIFS('15c'!$N$7:$N$100,'15c'!$H$7:$H$100,$A411,'15c'!$I$7:$I$100,1)+SUMIFS('15d'!$N$7:$N$100,'15d'!$H$7:$H$100,$A411,'15d'!$I$7:$I$100,1)+SUMIFS('15e'!$N$7:$N$100,'15e'!$H$7:$H$100,$A411,'15e'!$I$7:$I$100,1)+SUMIFS('15f'!$N$7:$N$100,'15f'!$H$7:$H$100,$A411,'15f'!$I$7:$I$100,1)+SUMIFS('15g'!$N$7:$N$100,'15g'!$H$7:$H$100,$A411,'15g'!$I$7:$I$100,1)+SUMIFS('15h'!$N$7:$N$100,'15h'!$H$7:$H$100,$A411,'15h'!$I$7:$I$100,1)+SUMIFS('15i'!$N$7:$N$100,'15i'!$H$7:$H$100,$A411,'15i'!$I$7:$I$100,1)+SUMIFS('15j'!$N$7:$N$100,'15j'!$H$7:$H$100,$A411,'15j'!$I$7:$I$100,1)+SUMIFS('15k'!$N$7:$N$100,'15k'!$H$7:$H$100,$A411,'15k'!$I$7:$I$100,1)+SUMIFS('15l'!$N$7:$N$100,'15l'!$H$7:$H$100,$A411,'15l'!$I$7:$I$100,1)+SUMIFS('15m'!$N$7:$N$100,'15m'!$H$7:$H$100,$A411,'15m'!$I$7:$I$100,1)+SUMIFS('15n'!$N$7:$N$100,'15n'!$H$7:$H$100,$A411,'15n'!$I$7:$I$100,1)+SUMIFS('16'!$N$7:$N$100,'16'!$H$7:$H$100,$A411,'16'!$I$7:$I$100,1)+SUMIFS('16a'!$N$7:$N$100,'16a'!$H$7:$H$100,$A411,'16a'!$I$7:$I$100,1)+SUMIFS('17'!$N$7:$N$100,'17'!$H$7:$H$100,$A411,'17'!$I$7:$I$100,1)+SUMIFS('17a'!$N$7:$N$100,'17a'!$H$7:$H$100,$A411,'17a'!$I$7:$I$100,1)+SUMIFS('18'!$N$7:$N$100,'18'!$H$7:$H$100,$A411,'18'!$I$7:$I$100,1)+SUMIFS('18a'!$N$7:$N$100,'18a'!$H$7:$H$100,$A411,'18a'!$I$7:$I$100,1)
+SUMIFS('19'!$N$7:$N$100,'19'!$H$7:$H$100,$A411,'19'!$I$7:$I$100,1)+SUMIFS('20'!$N$7:$N$100,'20'!$H$7:$H$100,$A411,'20'!$I$7:$I$100,1)+SUMIFS('20a'!$N$7:$N$100,'20a'!$H$7:$H$100,$A411,'20a'!$I$7:$I$100,1)+SUMIFS('21'!$N$7:$N$100,'21'!$H$7:$H$100,$A411,'21'!$I$7:$I$100,1)+SUMIFS('22'!$N$7:$N$100,'22'!$H$7:$H$100,$A411,'22'!$I$7:$I$100,1)+SUMIFS('22a'!$N$7:$N$100,'22a'!$H$7:$H$100,$A411,'22a'!$I$7:$I$100,1)+SUMIFS('22b'!$N$7:$N$100,'22b'!$H$7:$H$100,$A411,'22b'!$I$7:$I$100,1)+SUMIFS('23'!$N$7:$N$100,'23'!$H$7:$H$100,$A411,'23'!$I$7:$I$100,1)+SUMIFS('24'!$N$7:$N$100,'24'!$H$7:$H$100,$A411,'24'!$I$7:$I$100,1)+SUMIFS('24a'!$N$7:$N$100,'24a'!$H$7:$H$100,$A411,'24a'!$I$7:$I$100,1)+SUMIFS('24b'!$N$7:$N$100,'24b'!$H$7:$H$100,$A411,'24b'!$I$7:$I$100,1)+SUMIFS('24c'!$N$7:$N$100,'24c'!$H$7:$H$100,$A411,'24c'!$I$7:$I$100,1)+SUMIFS('24d'!$N$7:$N$100,'24d'!$H$7:$H$100,$A411,'24d'!$I$7:$I$100,1)+SUMIFS('24e'!$N$7:$N$100,'24e'!$H$7:$H$100,$A411,'24e'!$I$7:$I$100,1)+SUMIFS('24f'!$N$7:$N$100,'24f'!$H$7:$H$100,$A411,'24f'!$I$7:$I$100,1)+SUMIFS('24g'!$N$7:$N$100,'24g'!$H$7:$H$100,$A411,'24g'!$I$7:$I$100,1)+SUMIFS('24h'!$N$7:$N$100,'24h'!$H$7:$H$100,$A411,'24h'!$I$7:$I$100,1)+SUMIFS('24i'!$N$7:$N$100,'24i'!$H$7:$H$100,$A411,'24i'!$I$7:$I$100,1)+SUMIFS('25'!$N$7:$N$100,'25'!$H$7:$H$100,$A411,'25'!$I$7:$I$100,1)+SUMIFS('26'!$N$7:$N$100,'26'!$H$7:$H$100,$A411,'26'!$I$7:$I$100,1)+SUMIFS('26a'!$N$7:$N$100,'26a'!$H$7:$H$100,$A411,'26a'!$I$7:$I$100,1)+SUMIFS('27'!$N$7:$N$100,'27'!$H$7:$H$100,$A411,'27'!$I$7:$I$100,1)+SUMIFS('27a'!$N$7:$N$100,'27a'!$H$7:$H$100,$A411,'27a'!$I$7:$I$100,1)+SUMIFS('28'!$N$7:$N$100,'28'!$H$7:$H$100,$A411,'28'!$I$7:$I$100,1)+SUMIFS('29'!$N$7:$N$100,'29'!$H$7:$H$100,$A411,'29'!$I$7:$I$100,1)</f>
        <v>0</v>
      </c>
      <c r="D411" s="1315">
        <f>SUMIFS('12'!$N$7:$N$100,'12'!$H$7:$H$100,$A411,'12'!$I$7:$I$100,2)+SUMIFS('13'!$N$7:$N$100,'13'!$H$7:$H$100,$A411,'13'!$I$7:$I$100,2)+SUMIFS('14'!$N$7:$N$100,'14'!$H$7:$H$100,$A411,'14'!$I$7:$I$100,2)+SUMIFS('15'!$N$7:$N$100,'15'!$H$7:$H$100,$A411,'15'!$I$7:$I$100,2)+SUMIFS('15a'!$N$7:$N$100,'15a'!$H$7:$H$100,$A411,'15a'!$I$7:$I$100,2)+SUMIFS('15b'!$N$7:$N$100,'15b'!$H$7:$H$100,$A411,'15b'!$I$7:$I$100,2)+SUMIFS('15c'!$N$7:$N$100,'15c'!$H$7:$H$100,$A411,'15c'!$I$7:$I$100,2)+SUMIFS('15d'!$N$7:$N$100,'15d'!$H$7:$H$100,$A411,'15d'!$I$7:$I$100,2)+SUMIFS('15e'!$N$7:$N$100,'15e'!$H$7:$H$100,$A411,'15e'!$I$7:$I$100,2)+SUMIFS('15f'!$N$7:$N$100,'15f'!$H$7:$H$100,$A411,'15f'!$I$7:$I$100,2)+SUMIFS('15g'!$N$7:$N$100,'15g'!$H$7:$H$100,$A411,'15g'!$I$7:$I$100,2)+SUMIFS('15h'!$N$7:$N$100,'15h'!$H$7:$H$100,$A411,'15h'!$I$7:$I$100,2)+SUMIFS('15i'!$N$7:$N$100,'15i'!$H$7:$H$100,$A411,'15i'!$I$7:$I$100,2)+SUMIFS('15j'!$N$7:$N$100,'15j'!$H$7:$H$100,$A411,'15j'!$I$7:$I$100,2)+SUMIFS('15k'!$N$7:$N$100,'15k'!$H$7:$H$100,$A411,'15k'!$I$7:$I$100,2)+SUMIFS('15l'!$N$7:$N$100,'15l'!$H$7:$H$100,$A411,'15l'!$I$7:$I$100,2)+SUMIFS('15m'!$N$7:$N$100,'15m'!$H$7:$H$100,$A411,'15m'!$I$7:$I$100,2)+SUMIFS('15n'!$N$7:$N$100,'15n'!$H$7:$H$100,$A411,'15n'!$I$7:$I$100,2)+SUMIFS('16'!$N$7:$N$100,'16'!$H$7:$H$100,$A411,'16'!$I$7:$I$100,2)+SUMIFS('16a'!$N$7:$N$100,'16a'!$H$7:$H$100,$A411,'16a'!$I$7:$I$100,2)+SUMIFS('17'!$N$7:$N$100,'17'!$H$7:$H$100,$A411,'17'!$I$7:$I$100,2)+SUMIFS('17a'!$N$7:$N$100,'17a'!$H$7:$H$100,$A411,'17a'!$I$7:$I$100,2)+SUMIFS('18'!$N$7:$N$100,'18'!$H$7:$H$100,$A411,'18'!$I$7:$I$100,2)+SUMIFS('18a'!$N$7:$N$100,'18a'!$H$7:$H$100,$A411,'18a'!$I$7:$I$100,2)
+SUMIFS('19'!$N$7:$N$100,'19'!$H$7:$H$100,$A411,'19'!$I$7:$I$100,2)+SUMIFS('20'!$N$7:$N$100,'20'!$H$7:$H$100,$A411,'20'!$I$7:$I$100,2)+SUMIFS('20a'!$N$7:$N$100,'20a'!$H$7:$H$100,$A411,'20a'!$I$7:$I$100,2)+SUMIFS('21'!$N$7:$N$100,'21'!$H$7:$H$100,$A411,'21'!$I$7:$I$100,2)+SUMIFS('22'!$N$7:$N$100,'22'!$H$7:$H$100,$A411,'22'!$I$7:$I$100,2)+SUMIFS('22a'!$N$7:$N$100,'22a'!$H$7:$H$100,$A411,'22a'!$I$7:$I$100,2)+SUMIFS('22b'!$N$7:$N$100,'22b'!$H$7:$H$100,$A411,'22b'!$I$7:$I$100,2)+SUMIFS('23'!$N$7:$N$100,'23'!$H$7:$H$100,$A411,'23'!$I$7:$I$100,2)+SUMIFS('24'!$N$7:$N$100,'24'!$H$7:$H$100,$A411,'24'!$I$7:$I$100,2)+SUMIFS('24a'!$N$7:$N$100,'24a'!$H$7:$H$100,$A411,'24a'!$I$7:$I$100,2)+SUMIFS('24b'!$N$7:$N$100,'24b'!$H$7:$H$100,$A411,'24b'!$I$7:$I$100,2)+SUMIFS('24c'!$N$7:$N$100,'24c'!$H$7:$H$100,$A411,'24c'!$I$7:$I$100,2)+SUMIFS('24d'!$N$7:$N$100,'24d'!$H$7:$H$100,$A411,'24d'!$I$7:$I$100,2)+SUMIFS('24e'!$N$7:$N$100,'24e'!$H$7:$H$100,$A411,'24e'!$I$7:$I$100,2)+SUMIFS('24f'!$N$7:$N$100,'24f'!$H$7:$H$100,$A411,'24f'!$I$7:$I$100,2)+SUMIFS('24g'!$N$7:$N$100,'24g'!$H$7:$H$100,$A411,'24g'!$I$7:$I$100,2)+SUMIFS('24h'!$N$7:$N$100,'24h'!$H$7:$H$100,$A411,'24h'!$I$7:$I$100,2)+SUMIFS('24i'!$N$7:$N$100,'24i'!$H$7:$H$100,$A411,'24i'!$I$7:$I$100,2)+SUMIFS('25'!$N$7:$N$100,'25'!$H$7:$H$100,$A411,'25'!$I$7:$I$100,2)+SUMIFS('26'!$N$7:$N$100,'26'!$H$7:$H$100,$A411,'26'!$I$7:$I$100,2)+SUMIFS('26a'!$N$7:$N$100,'26a'!$H$7:$H$100,$A411,'26a'!$I$7:$I$100,2)+SUMIFS('27'!$N$7:$N$100,'27'!$H$7:$H$100,$A411,'27'!$I$7:$I$100,2)+SUMIFS('27a'!$N$7:$N$100,'27a'!$H$7:$H$100,$A411,'27a'!$I$7:$I$100,2)+SUMIFS('28'!$N$7:$N$100,'28'!$H$7:$H$100,$A411,'28'!$I$7:$I$100,2)+SUMIFS('29'!$N$7:$N$100,'29'!$H$7:$H$100,$A411,'29'!$I$7:$I$100,2)</f>
        <v>0</v>
      </c>
      <c r="E411" s="1315">
        <f>SUMIFS('12'!$N$7:$N$100,'12'!$H$7:$H$100,$A411,'12'!$I$7:$I$100,"")+SUMIFS('13'!$N$7:$N$100,'13'!$H$7:$H$100,$A411,'13'!$I$7:$I$100,"")+SUMIFS('14'!$N$7:$N$100,'14'!$H$7:$H$100,$A411,'14'!$I$7:$I$100,"")+SUMIFS('15'!$N$7:$N$100,'15'!$H$7:$H$100,$A411,'15'!$I$7:$I$100,"")+SUMIFS('15a'!$N$7:$N$100,'15a'!$H$7:$H$100,$A411,'15a'!$I$7:$I$100,"")+SUMIFS('15b'!$N$7:$N$100,'15b'!$H$7:$H$100,$A411,'15b'!$I$7:$I$100,"")+SUMIFS('15c'!$N$7:$N$100,'15c'!$H$7:$H$100,$A411,'15c'!$I$7:$I$100,"")+SUMIFS('15d'!$N$7:$N$100,'15d'!$H$7:$H$100,$A411,'15d'!$I$7:$I$100,"")+SUMIFS('15e'!$N$7:$N$100,'15e'!$H$7:$H$100,$A411,'15e'!$I$7:$I$100,"")+SUMIFS('15f'!$N$7:$N$100,'15f'!$H$7:$H$100,$A411,'15f'!$I$7:$I$100,"")+SUMIFS('15g'!$N$7:$N$100,'15g'!$H$7:$H$100,$A411,'15g'!$I$7:$I$100,"")+SUMIFS('15h'!$N$7:$N$100,'15h'!$H$7:$H$100,$A411,'15h'!$I$7:$I$100,"")+SUMIFS('15i'!$N$7:$N$100,'15i'!$H$7:$H$100,$A411,'15i'!$I$7:$I$100,"")+SUMIFS('15j'!$N$7:$N$100,'15j'!$H$7:$H$100,$A411,'15j'!$I$7:$I$100,"")+SUMIFS('15k'!$N$7:$N$100,'15k'!$H$7:$H$100,$A411,'15k'!$I$7:$I$100,"")+SUMIFS('15l'!$N$7:$N$100,'15l'!$H$7:$H$100,$A411,'15l'!$I$7:$I$100,"")+SUMIFS('15m'!$N$7:$N$100,'15m'!$H$7:$H$100,$A411,'15m'!$I$7:$I$100,"")+SUMIFS('15n'!$N$7:$N$100,'15n'!$H$7:$H$100,$A411,'15n'!$I$7:$I$100,"")+SUMIFS('16'!$N$7:$N$100,'16'!$H$7:$H$100,$A411,'16'!$I$7:$I$100,"")+SUMIFS('16a'!$N$7:$N$100,'16a'!$H$7:$H$100,$A411,'16a'!$I$7:$I$100,"")+SUMIFS('17'!$N$7:$N$100,'17'!$H$7:$H$100,$A411,'17'!$I$7:$I$100,"")+SUMIFS('17a'!$N$7:$N$100,'17a'!$H$7:$H$100,$A411,'17a'!$I$7:$I$100,"")+SUMIFS('18'!$N$7:$N$100,'18'!$H$7:$H$100,$A411,'18'!$I$7:$I$100,"")+SUMIFS('18a'!$N$7:$N$100,'18a'!$H$7:$H$100,$A411,'18a'!$I$7:$I$100,"")
+SUMIFS('19'!$N$7:$N$100,'19'!$H$7:$H$100,$A411,'19'!$I$7:$I$100,"")+SUMIFS('20'!$N$7:$N$100,'20'!$H$7:$H$100,$A411,'20'!$I$7:$I$100,"")+SUMIFS('20a'!$N$7:$N$100,'20a'!$H$7:$H$100,$A411,'20a'!$I$7:$I$100,"")+SUMIFS('21'!$N$7:$N$100,'21'!$H$7:$H$100,$A411,'21'!$I$7:$I$100,"")+SUMIFS('22'!$N$7:$N$100,'22'!$H$7:$H$100,$A411,'22'!$I$7:$I$100,"")+SUMIFS('22a'!$N$7:$N$100,'22a'!$H$7:$H$100,$A411,'22a'!$I$7:$I$100,"")+SUMIFS('22b'!$N$7:$N$100,'22b'!$H$7:$H$100,$A411,'22b'!$I$7:$I$100,"")+SUMIFS('23'!$N$7:$N$100,'23'!$H$7:$H$100,$A411,'23'!$I$7:$I$100,"")+SUMIFS('24'!$N$7:$N$100,'24'!$H$7:$H$100,$A411,'24'!$I$7:$I$100,"")+SUMIFS('24a'!$N$7:$N$100,'24a'!$H$7:$H$100,$A411,'24a'!$I$7:$I$100,"")+SUMIFS('24b'!$N$7:$N$100,'24b'!$H$7:$H$100,$A411,'24b'!$I$7:$I$100,"")+SUMIFS('24c'!$N$7:$N$100,'24c'!$H$7:$H$100,$A411,'24c'!$I$7:$I$100,"")+SUMIFS('24d'!$N$7:$N$100,'24d'!$H$7:$H$100,$A411,'24d'!$I$7:$I$100,"")+SUMIFS('24e'!$N$7:$N$100,'24e'!$H$7:$H$100,$A411,'24e'!$I$7:$I$100,"")+SUMIFS('24f'!$N$7:$N$100,'24f'!$H$7:$H$100,$A411,'24f'!$I$7:$I$100,"")+SUMIFS('24g'!$N$7:$N$100,'24g'!$H$7:$H$100,$A411,'24g'!$I$7:$I$100,"")+SUMIFS('24h'!$N$7:$N$100,'24h'!$H$7:$H$100,$A411,'24h'!$I$7:$I$100,"")+SUMIFS('24i'!$N$7:$N$100,'24i'!$H$7:$H$100,$A411,'24i'!$I$7:$I$100,"")+SUMIFS('25'!$N$7:$N$100,'25'!$H$7:$H$100,$A411,'25'!$I$7:$I$100,"")+SUMIFS('26'!$N$7:$N$100,'26'!$H$7:$H$100,$A411,'26'!$I$7:$I$100,"")+SUMIFS('26a'!$N$7:$N$100,'26a'!$H$7:$H$100,$A411,'26a'!$I$7:$I$100,"")+SUMIFS('27'!$N$7:$N$100,'27'!$H$7:$H$100,$A411,'27'!$I$7:$I$100,"")+SUMIFS('27a'!$N$7:$N$100,'27a'!$H$7:$H$100,$A411,'27a'!$I$7:$I$100,"")+SUMIFS('28'!$N$7:$N$100,'28'!$H$7:$H$100,$A411,'28'!$I$7:$I$100,"")+SUMIFS('29'!$N$7:$N$100,'29'!$H$7:$H$100,$A411,'29'!$I$7:$I$100,"")</f>
        <v>0</v>
      </c>
      <c r="F411" s="1296">
        <f t="shared" ref="F411:F417" si="69">SUM(C411:E411)</f>
        <v>0</v>
      </c>
      <c r="G411" s="1295">
        <f>SUMIFS('12'!$J$7:$J$100,'12'!$H$7:$H$100,$A411,'12'!$I$7:$I$100,1)+SUMIFS('13'!$J$7:$J$100,'13'!$H$7:$H$100,$A411,'13'!$I$7:$I$100,1)+SUMIFS('14'!$J$7:$J$100,'14'!$H$7:$H$100,$A411,'14'!$I$7:$I$100,1)+SUMIFS('15'!$J$7:$J$100,'15'!$H$7:$H$100,$A411,'15'!$I$7:$I$100,1)+SUMIFS('15a'!$J$7:$J$100,'15a'!$H$7:$H$100,$A411,'15a'!$I$7:$I$100,1)+SUMIFS('15b'!$J$7:$J$100,'15b'!$H$7:$H$100,$A411,'15b'!$I$7:$I$100,1)+SUMIFS('15c'!$J$7:$J$100,'15c'!$H$7:$H$100,$A411,'15c'!$I$7:$I$100,1)+SUMIFS('15d'!$J$7:$J$100,'15d'!$H$7:$H$100,$A411,'15d'!$I$7:$I$100,1)+SUMIFS('15e'!$J$7:$J$100,'15e'!$H$7:$H$100,$A411,'15e'!$I$7:$I$100,1)+SUMIFS('15f'!$J$7:$J$100,'15f'!$H$7:$H$100,$A411,'15f'!$I$7:$I$100,1)+SUMIFS('15g'!$J$7:$J$100,'15g'!$H$7:$H$100,$A411,'15g'!$I$7:$I$100,1)+SUMIFS('15h'!$J$7:$J$100,'15h'!$H$7:$H$100,$A411,'15h'!$I$7:$I$100,1)+SUMIFS('15i'!$J$7:$J$100,'15i'!$H$7:$H$100,$A411,'15i'!$I$7:$I$100,1)+SUMIFS('15j'!$J$7:$J$100,'15j'!$H$7:$H$100,$A411,'15j'!$I$7:$I$100,1)+SUMIFS('15k'!$J$7:$J$100,'15k'!$H$7:$H$100,$A411,'15k'!$I$7:$I$100,1)+SUMIFS('15l'!$J$7:$J$100,'15l'!$H$7:$H$100,$A411,'15l'!$I$7:$I$100,1)+SUMIFS('15m'!$J$7:$J$100,'15m'!$H$7:$H$100,$A411,'15m'!$I$7:$I$100,1)+SUMIFS('15n'!$J$7:$J$100,'15n'!$H$7:$H$100,$A411,'15n'!$I$7:$I$100,1)+SUMIFS('16'!$J$7:$J$100,'16'!$H$7:$H$100,$A411,'16'!$I$7:$I$100,1)+SUMIFS('16a'!$J$7:$J$100,'16a'!$H$7:$H$100,$A411,'16a'!$I$7:$I$100,1)+SUMIFS('17'!$J$7:$J$100,'17'!$H$7:$H$100,$A411,'17'!$I$7:$I$100,1)+SUMIFS('17a'!$J$7:$J$100,'17a'!$H$7:$H$100,$A411,'17a'!$I$7:$I$100,1)+SUMIFS('18'!$J$7:$J$100,'18'!$H$7:$H$100,$A411,'18'!$I$7:$I$100,1)+SUMIFS('18a'!$J$7:$J$100,'18a'!$H$7:$H$100,$A411,'18a'!$I$7:$I$100,1)
+SUMIFS('19'!$J$7:$J$100,'19'!$H$7:$H$100,$A411,'19'!$I$7:$I$100,1)+SUMIFS('20'!$J$7:$J$100,'20'!$H$7:$H$100,$A411,'20'!$I$7:$I$100,1)+SUMIFS('20a'!$J$7:$J$100,'20a'!$H$7:$H$100,$A411,'20a'!$I$7:$I$100,1)+SUMIFS('21'!$J$7:$J$100,'21'!$H$7:$H$100,$A411,'21'!$I$7:$I$100,1)+SUMIFS('22'!$J$7:$J$100,'22'!$H$7:$H$100,$A411,'22'!$I$7:$I$100,1)+SUMIFS('22a'!$J$7:$J$100,'22a'!$H$7:$H$100,$A411,'22a'!$I$7:$I$100,1)+SUMIFS('22b'!$J$7:$J$100,'22b'!$H$7:$H$100,$A411,'22b'!$I$7:$I$100,1)+SUMIFS('23'!$J$7:$J$100,'23'!$H$7:$H$100,$A411,'23'!$I$7:$I$100,1)+SUMIFS('24'!$J$7:$J$100,'24'!$H$7:$H$100,$A411,'24'!$I$7:$I$100,1)+SUMIFS('24a'!$J$7:$J$100,'24a'!$H$7:$H$100,$A411,'24a'!$I$7:$I$100,1)+SUMIFS('24b'!$J$7:$J$100,'24b'!$H$7:$H$100,$A411,'24b'!$I$7:$I$100,1)+SUMIFS('24c'!$J$7:$J$100,'24c'!$H$7:$H$100,$A411,'24c'!$I$7:$I$100,1)+SUMIFS('24d'!$J$7:$J$100,'24d'!$H$7:$H$100,$A411,'24d'!$I$7:$I$100,1)+SUMIFS('24e'!$J$7:$J$100,'24e'!$H$7:$H$100,$A411,'24e'!$I$7:$I$100,1)+SUMIFS('24f'!$J$7:$J$100,'24f'!$H$7:$H$100,$A411,'24f'!$I$7:$I$100,1)+SUMIFS('24g'!$J$7:$J$100,'24g'!$H$7:$H$100,$A411,'24g'!$I$7:$I$100,1)+SUMIFS('24h'!$J$7:$J$100,'24h'!$H$7:$H$100,$A411,'24h'!$I$7:$I$100,1)+SUMIFS('24i'!$J$7:$J$100,'24i'!$H$7:$H$100,$A411,'24i'!$I$7:$I$100,1)+SUMIFS('25'!$J$7:$J$100,'25'!$H$7:$H$100,$A411,'25'!$I$7:$I$100,1)+SUMIFS('26'!$J$7:$J$100,'26'!$H$7:$H$100,$A411,'26'!$I$7:$I$100,1)+SUMIFS('26a'!$J$7:$J$100,'26a'!$H$7:$H$100,$A411,'26a'!$I$7:$I$100,1)+SUMIFS('27'!$J$7:$J$100,'27'!$H$7:$H$100,$A411,'27'!$I$7:$I$100,1)+SUMIFS('27a'!$J$7:$J$100,'27a'!$H$7:$H$100,$A411,'27a'!$I$7:$I$100,1)+SUMIFS('28'!$J$7:$J$100,'28'!$H$7:$H$100,$A411,'28'!$I$7:$I$100,1)+SUMIFS('29'!$J$7:$J$100,'29'!$H$7:$H$100,$A411,'29'!$I$7:$I$100,1)</f>
        <v>0</v>
      </c>
      <c r="H411" s="1315">
        <f>SUMIFS('12'!$J$7:$J$100,'12'!$H$7:$H$100,$A411,'12'!$I$7:$I$100,2)+SUMIFS('13'!$J$7:$J$100,'13'!$H$7:$H$100,$A411,'13'!$I$7:$I$100,2)+SUMIFS('14'!$J$7:$J$100,'14'!$H$7:$H$100,$A411,'14'!$I$7:$I$100,2)+SUMIFS('15'!$J$7:$J$100,'15'!$H$7:$H$100,$A411,'15'!$I$7:$I$100,2)+SUMIFS('15a'!$J$7:$J$100,'15a'!$H$7:$H$100,$A411,'15a'!$I$7:$I$100,2)+SUMIFS('15b'!$J$7:$J$100,'15b'!$H$7:$H$100,$A411,'15b'!$I$7:$I$100,2)+SUMIFS('15c'!$J$7:$J$100,'15c'!$H$7:$H$100,$A411,'15c'!$I$7:$I$100,2)+SUMIFS('15d'!$J$7:$J$100,'15d'!$H$7:$H$100,$A411,'15d'!$I$7:$I$100,2)+SUMIFS('15e'!$J$7:$J$100,'15e'!$H$7:$H$100,$A411,'15e'!$I$7:$I$100,2)+SUMIFS('15f'!$J$7:$J$100,'15f'!$H$7:$H$100,$A411,'15f'!$I$7:$I$100,2)+SUMIFS('15g'!$J$7:$J$100,'15g'!$H$7:$H$100,$A411,'15g'!$I$7:$I$100,2)+SUMIFS('15h'!$J$7:$J$100,'15h'!$H$7:$H$100,$A411,'15h'!$I$7:$I$100,2)+SUMIFS('15i'!$J$7:$J$100,'15i'!$H$7:$H$100,$A411,'15i'!$I$7:$I$100,2)+SUMIFS('15j'!$J$7:$J$100,'15j'!$H$7:$H$100,$A411,'15j'!$I$7:$I$100,2)+SUMIFS('15k'!$J$7:$J$100,'15k'!$H$7:$H$100,$A411,'15k'!$I$7:$I$100,2)+SUMIFS('15l'!$J$7:$J$100,'15l'!$H$7:$H$100,$A411,'15l'!$I$7:$I$100,2)+SUMIFS('15m'!$J$7:$J$100,'15m'!$H$7:$H$100,$A411,'15m'!$I$7:$I$100,2)+SUMIFS('15n'!$J$7:$J$100,'15n'!$H$7:$H$100,$A411,'15n'!$I$7:$I$100,2)+SUMIFS('16'!$J$7:$J$100,'16'!$H$7:$H$100,$A411,'16'!$I$7:$I$100,2)+SUMIFS('16a'!$J$7:$J$100,'16a'!$H$7:$H$100,$A411,'16a'!$I$7:$I$100,2)+SUMIFS('17'!$J$7:$J$100,'17'!$H$7:$H$100,$A411,'17'!$I$7:$I$100,2)+SUMIFS('17a'!$J$7:$J$100,'17a'!$H$7:$H$100,$A411,'17a'!$I$7:$I$100,2)+SUMIFS('18'!$J$7:$J$100,'18'!$H$7:$H$100,$A411,'18'!$I$7:$I$100,2)+SUMIFS('18a'!$J$7:$J$100,'18a'!$H$7:$H$100,$A411,'18a'!$I$7:$I$100,2)
+SUMIFS('19'!$J$7:$J$100,'19'!$H$7:$H$100,$A411,'19'!$I$7:$I$100,2)+SUMIFS('20'!$J$7:$J$100,'20'!$H$7:$H$100,$A411,'20'!$I$7:$I$100,2)+SUMIFS('20a'!$J$7:$J$100,'20a'!$H$7:$H$100,$A411,'20a'!$I$7:$I$100,2)+SUMIFS('21'!$J$7:$J$100,'21'!$H$7:$H$100,$A411,'21'!$I$7:$I$100,2)+SUMIFS('22'!$J$7:$J$100,'22'!$H$7:$H$100,$A411,'22'!$I$7:$I$100,2)+SUMIFS('22a'!$J$7:$J$100,'22a'!$H$7:$H$100,$A411,'22a'!$I$7:$I$100,2)+SUMIFS('22b'!$J$7:$J$100,'22b'!$H$7:$H$100,$A411,'22b'!$I$7:$I$100,2)+SUMIFS('23'!$J$7:$J$100,'23'!$H$7:$H$100,$A411,'23'!$I$7:$I$100,2)+SUMIFS('24'!$J$7:$J$100,'24'!$H$7:$H$100,$A411,'24'!$I$7:$I$100,2)+SUMIFS('24a'!$J$7:$J$100,'24a'!$H$7:$H$100,$A411,'24a'!$I$7:$I$100,2)+SUMIFS('24b'!$J$7:$J$100,'24b'!$H$7:$H$100,$A411,'24b'!$I$7:$I$100,2)+SUMIFS('24c'!$J$7:$J$100,'24c'!$H$7:$H$100,$A411,'24c'!$I$7:$I$100,2)+SUMIFS('24d'!$J$7:$J$100,'24d'!$H$7:$H$100,$A411,'24d'!$I$7:$I$100,2)+SUMIFS('24e'!$J$7:$J$100,'24e'!$H$7:$H$100,$A411,'24e'!$I$7:$I$100,2)+SUMIFS('24f'!$J$7:$J$100,'24f'!$H$7:$H$100,$A411,'24f'!$I$7:$I$100,2)+SUMIFS('24g'!$J$7:$J$100,'24g'!$H$7:$H$100,$A411,'24g'!$I$7:$I$100,2)+SUMIFS('24h'!$J$7:$J$100,'24h'!$H$7:$H$100,$A411,'24h'!$I$7:$I$100,2)+SUMIFS('24i'!$J$7:$J$100,'24i'!$H$7:$H$100,$A411,'24i'!$I$7:$I$100,2)+SUMIFS('25'!$J$7:$J$100,'25'!$H$7:$H$100,$A411,'25'!$I$7:$I$100,2)+SUMIFS('26'!$J$7:$J$100,'26'!$H$7:$H$100,$A411,'26'!$I$7:$I$100,2)+SUMIFS('26a'!$J$7:$J$100,'26a'!$H$7:$H$100,$A411,'26a'!$I$7:$I$100,2)+SUMIFS('27'!$J$7:$J$100,'27'!$H$7:$H$100,$A411,'27'!$I$7:$I$100,2)+SUMIFS('27a'!$J$7:$J$100,'27a'!$H$7:$H$100,$A411,'27a'!$I$7:$I$100,2)+SUMIFS('28'!$J$7:$J$100,'28'!$H$7:$H$100,$A411,'28'!$I$7:$I$100,2)+SUMIFS('29'!$J$7:$J$100,'29'!$H$7:$H$100,$A411,'29'!$I$7:$I$100,2)</f>
        <v>0</v>
      </c>
      <c r="I411" s="1315">
        <f>SUMIFS('12'!$J$7:$J$100,'12'!$H$7:$H$100,$A411,'12'!$I$7:$I$100,"")+SUMIFS('13'!$J$7:$J$100,'13'!$H$7:$H$100,$A411,'13'!$I$7:$I$100,"")+SUMIFS('14'!$J$7:$J$100,'14'!$H$7:$H$100,$A411,'14'!$I$7:$I$100,"")+SUMIFS('15'!$J$7:$J$100,'15'!$H$7:$H$100,$A411,'15'!$I$7:$I$100,"")+SUMIFS('15a'!$J$7:$J$100,'15a'!$H$7:$H$100,$A411,'15a'!$I$7:$I$100,"")+SUMIFS('15b'!$J$7:$J$100,'15b'!$H$7:$H$100,$A411,'15b'!$I$7:$I$100,"")+SUMIFS('15c'!$J$7:$J$100,'15c'!$H$7:$H$100,$A411,'15c'!$I$7:$I$100,"")+SUMIFS('15d'!$J$7:$J$100,'15d'!$H$7:$H$100,$A411,'15d'!$I$7:$I$100,"")+SUMIFS('15e'!$J$7:$J$100,'15e'!$H$7:$H$100,$A411,'15e'!$I$7:$I$100,"")+SUMIFS('15f'!$J$7:$J$100,'15f'!$H$7:$H$100,$A411,'15f'!$I$7:$I$100,"")+SUMIFS('15g'!$J$7:$J$100,'15g'!$H$7:$H$100,$A411,'15g'!$I$7:$I$100,"")+SUMIFS('15h'!$J$7:$J$100,'15h'!$H$7:$H$100,$A411,'15h'!$I$7:$I$100,"")+SUMIFS('15i'!$J$7:$J$100,'15i'!$H$7:$H$100,$A411,'15i'!$I$7:$I$100,"")+SUMIFS('15j'!$J$7:$J$100,'15j'!$H$7:$H$100,$A411,'15j'!$I$7:$I$100,"")+SUMIFS('15k'!$J$7:$J$100,'15k'!$H$7:$H$100,$A411,'15k'!$I$7:$I$100,"")+SUMIFS('15l'!$J$7:$J$100,'15l'!$H$7:$H$100,$A411,'15l'!$I$7:$I$100,"")+SUMIFS('15m'!$J$7:$J$100,'15m'!$H$7:$H$100,$A411,'15m'!$I$7:$I$100,"")+SUMIFS('15n'!$J$7:$J$100,'15n'!$H$7:$H$100,$A411,'15n'!$I$7:$I$100,"")+SUMIFS('16'!$J$7:$J$100,'16'!$H$7:$H$100,$A411,'16'!$I$7:$I$100,"")+SUMIFS('16a'!$J$7:$J$100,'16a'!$H$7:$H$100,$A411,'16a'!$I$7:$I$100,"")+SUMIFS('17'!$J$7:$J$100,'17'!$H$7:$H$100,$A411,'17'!$I$7:$I$100,"")+SUMIFS('17a'!$J$7:$J$100,'17a'!$H$7:$H$100,$A411,'17a'!$I$7:$I$100,"")+SUMIFS('18'!$J$7:$J$100,'18'!$H$7:$H$100,$A411,'18'!$I$7:$I$100,"")+SUMIFS('18a'!$J$7:$J$100,'18a'!$H$7:$H$100,$A411,'18a'!$I$7:$I$100,"")
+SUMIFS('19'!$J$7:$J$100,'19'!$H$7:$H$100,$A411,'19'!$I$7:$I$100,"")+SUMIFS('20'!$J$7:$J$100,'20'!$H$7:$H$100,$A411,'20'!$I$7:$I$100,"")+SUMIFS('20a'!$J$7:$J$100,'20a'!$H$7:$H$100,$A411,'20a'!$I$7:$I$100,"")+SUMIFS('21'!$J$7:$J$100,'21'!$H$7:$H$100,$A411,'21'!$I$7:$I$100,"")+SUMIFS('22'!$J$7:$J$100,'22'!$H$7:$H$100,$A411,'22'!$I$7:$I$100,"")+SUMIFS('22a'!$J$7:$J$100,'22a'!$H$7:$H$100,$A411,'22a'!$I$7:$I$100,"")+SUMIFS('22b'!$J$7:$J$100,'22b'!$H$7:$H$100,$A411,'22b'!$I$7:$I$100,"")+SUMIFS('23'!$J$7:$J$100,'23'!$H$7:$H$100,$A411,'23'!$I$7:$I$100,"")+SUMIFS('24'!$J$7:$J$100,'24'!$H$7:$H$100,$A411,'24'!$I$7:$I$100,"")+SUMIFS('24a'!$J$7:$J$100,'24a'!$H$7:$H$100,$A411,'24a'!$I$7:$I$100,"")+SUMIFS('24b'!$J$7:$J$100,'24b'!$H$7:$H$100,$A411,'24b'!$I$7:$I$100,"")+SUMIFS('24c'!$J$7:$J$100,'24c'!$H$7:$H$100,$A411,'24c'!$I$7:$I$100,"")+SUMIFS('24d'!$J$7:$J$100,'24d'!$H$7:$H$100,$A411,'24d'!$I$7:$I$100,"")+SUMIFS('24e'!$J$7:$J$100,'24e'!$H$7:$H$100,$A411,'24e'!$I$7:$I$100,"")+SUMIFS('24f'!$J$7:$J$100,'24f'!$H$7:$H$100,$A411,'24f'!$I$7:$I$100,"")+SUMIFS('24g'!$J$7:$J$100,'24g'!$H$7:$H$100,$A411,'24g'!$I$7:$I$100,"")+SUMIFS('24h'!$J$7:$J$100,'24h'!$H$7:$H$100,$A411,'24h'!$I$7:$I$100,"")+SUMIFS('24i'!$J$7:$J$100,'24i'!$H$7:$H$100,$A411,'24i'!$I$7:$I$100,"")+SUMIFS('25'!$J$7:$J$100,'25'!$H$7:$H$100,$A411,'25'!$I$7:$I$100,"")+SUMIFS('26'!$J$7:$J$100,'26'!$H$7:$H$100,$A411,'26'!$I$7:$I$100,"")+SUMIFS('26a'!$J$7:$J$100,'26a'!$H$7:$H$100,$A411,'26a'!$I$7:$I$100,"")+SUMIFS('27'!$J$7:$J$100,'27'!$H$7:$H$100,$A411,'27'!$I$7:$I$100,"")+SUMIFS('27a'!$J$7:$J$100,'27a'!$H$7:$H$100,$A411,'27a'!$I$7:$I$100,"")+SUMIFS('28'!$J$7:$J$100,'28'!$H$7:$H$100,$A411,'28'!$I$7:$I$100,"")+SUMIFS('29'!$J$7:$J$100,'29'!$H$7:$H$100,$A411,'29'!$I$7:$I$100,"")</f>
        <v>0</v>
      </c>
      <c r="J411" s="1296">
        <f t="shared" ref="J411:J417" si="70">SUM(G411:I411)</f>
        <v>0</v>
      </c>
      <c r="K411"/>
      <c r="L411"/>
      <c r="M411"/>
      <c r="N411"/>
      <c r="O411"/>
      <c r="P411"/>
      <c r="Q411"/>
      <c r="R411"/>
      <c r="S411" s="1307">
        <f t="shared" ref="S411:S448" si="71">SUM(C411:J411)</f>
        <v>0</v>
      </c>
      <c r="T411"/>
    </row>
    <row r="412" spans="1:20" x14ac:dyDescent="0.2">
      <c r="A412" t="s">
        <v>545</v>
      </c>
      <c r="B412" t="s">
        <v>5553</v>
      </c>
      <c r="C412" s="1295">
        <f>SUMIFS('12'!$N$7:$N$100,'12'!$H$7:$H$100,$A412,'12'!$I$7:$I$100,1)+SUMIFS('13'!$N$7:$N$100,'13'!$H$7:$H$100,$A412,'13'!$I$7:$I$100,1)+SUMIFS('14'!$N$7:$N$100,'14'!$H$7:$H$100,$A412,'14'!$I$7:$I$100,1)+SUMIFS('15'!$N$7:$N$100,'15'!$H$7:$H$100,$A412,'15'!$I$7:$I$100,1)+SUMIFS('15a'!$N$7:$N$100,'15a'!$H$7:$H$100,$A412,'15a'!$I$7:$I$100,1)+SUMIFS('15b'!$N$7:$N$100,'15b'!$H$7:$H$100,$A412,'15b'!$I$7:$I$100,1)+SUMIFS('15c'!$N$7:$N$100,'15c'!$H$7:$H$100,$A412,'15c'!$I$7:$I$100,1)+SUMIFS('15d'!$N$7:$N$100,'15d'!$H$7:$H$100,$A412,'15d'!$I$7:$I$100,1)+SUMIFS('15e'!$N$7:$N$100,'15e'!$H$7:$H$100,$A412,'15e'!$I$7:$I$100,1)+SUMIFS('15f'!$N$7:$N$100,'15f'!$H$7:$H$100,$A412,'15f'!$I$7:$I$100,1)+SUMIFS('15g'!$N$7:$N$100,'15g'!$H$7:$H$100,$A412,'15g'!$I$7:$I$100,1)+SUMIFS('15h'!$N$7:$N$100,'15h'!$H$7:$H$100,$A412,'15h'!$I$7:$I$100,1)+SUMIFS('15i'!$N$7:$N$100,'15i'!$H$7:$H$100,$A412,'15i'!$I$7:$I$100,1)+SUMIFS('15j'!$N$7:$N$100,'15j'!$H$7:$H$100,$A412,'15j'!$I$7:$I$100,1)+SUMIFS('15k'!$N$7:$N$100,'15k'!$H$7:$H$100,$A412,'15k'!$I$7:$I$100,1)+SUMIFS('15l'!$N$7:$N$100,'15l'!$H$7:$H$100,$A412,'15l'!$I$7:$I$100,1)+SUMIFS('15m'!$N$7:$N$100,'15m'!$H$7:$H$100,$A412,'15m'!$I$7:$I$100,1)+SUMIFS('15n'!$N$7:$N$100,'15n'!$H$7:$H$100,$A412,'15n'!$I$7:$I$100,1)+SUMIFS('16'!$N$7:$N$100,'16'!$H$7:$H$100,$A412,'16'!$I$7:$I$100,1)+SUMIFS('16a'!$N$7:$N$100,'16a'!$H$7:$H$100,$A412,'16a'!$I$7:$I$100,1)+SUMIFS('17'!$N$7:$N$100,'17'!$H$7:$H$100,$A412,'17'!$I$7:$I$100,1)+SUMIFS('17a'!$N$7:$N$100,'17a'!$H$7:$H$100,$A412,'17a'!$I$7:$I$100,1)+SUMIFS('18'!$N$7:$N$100,'18'!$H$7:$H$100,$A412,'18'!$I$7:$I$100,1)+SUMIFS('18a'!$N$7:$N$100,'18a'!$H$7:$H$100,$A412,'18a'!$I$7:$I$100,1)
+SUMIFS('19'!$N$7:$N$100,'19'!$H$7:$H$100,$A412,'19'!$I$7:$I$100,1)+SUMIFS('20'!$N$7:$N$100,'20'!$H$7:$H$100,$A412,'20'!$I$7:$I$100,1)+SUMIFS('20a'!$N$7:$N$100,'20a'!$H$7:$H$100,$A412,'20a'!$I$7:$I$100,1)+SUMIFS('21'!$N$7:$N$100,'21'!$H$7:$H$100,$A412,'21'!$I$7:$I$100,1)+SUMIFS('22'!$N$7:$N$100,'22'!$H$7:$H$100,$A412,'22'!$I$7:$I$100,1)+SUMIFS('22a'!$N$7:$N$100,'22a'!$H$7:$H$100,$A412,'22a'!$I$7:$I$100,1)+SUMIFS('22b'!$N$7:$N$100,'22b'!$H$7:$H$100,$A412,'22b'!$I$7:$I$100,1)+SUMIFS('23'!$N$7:$N$100,'23'!$H$7:$H$100,$A412,'23'!$I$7:$I$100,1)+SUMIFS('24'!$N$7:$N$100,'24'!$H$7:$H$100,$A412,'24'!$I$7:$I$100,1)+SUMIFS('24a'!$N$7:$N$100,'24a'!$H$7:$H$100,$A412,'24a'!$I$7:$I$100,1)+SUMIFS('24b'!$N$7:$N$100,'24b'!$H$7:$H$100,$A412,'24b'!$I$7:$I$100,1)+SUMIFS('24c'!$N$7:$N$100,'24c'!$H$7:$H$100,$A412,'24c'!$I$7:$I$100,1)+SUMIFS('24d'!$N$7:$N$100,'24d'!$H$7:$H$100,$A412,'24d'!$I$7:$I$100,1)+SUMIFS('24e'!$N$7:$N$100,'24e'!$H$7:$H$100,$A412,'24e'!$I$7:$I$100,1)+SUMIFS('24f'!$N$7:$N$100,'24f'!$H$7:$H$100,$A412,'24f'!$I$7:$I$100,1)+SUMIFS('24g'!$N$7:$N$100,'24g'!$H$7:$H$100,$A412,'24g'!$I$7:$I$100,1)+SUMIFS('24h'!$N$7:$N$100,'24h'!$H$7:$H$100,$A412,'24h'!$I$7:$I$100,1)+SUMIFS('24i'!$N$7:$N$100,'24i'!$H$7:$H$100,$A412,'24i'!$I$7:$I$100,1)+SUMIFS('25'!$N$7:$N$100,'25'!$H$7:$H$100,$A412,'25'!$I$7:$I$100,1)+SUMIFS('26'!$N$7:$N$100,'26'!$H$7:$H$100,$A412,'26'!$I$7:$I$100,1)+SUMIFS('26a'!$N$7:$N$100,'26a'!$H$7:$H$100,$A412,'26a'!$I$7:$I$100,1)+SUMIFS('27'!$N$7:$N$100,'27'!$H$7:$H$100,$A412,'27'!$I$7:$I$100,1)+SUMIFS('27a'!$N$7:$N$100,'27a'!$H$7:$H$100,$A412,'27a'!$I$7:$I$100,1)+SUMIFS('28'!$N$7:$N$100,'28'!$H$7:$H$100,$A412,'28'!$I$7:$I$100,1)+SUMIFS('29'!$N$7:$N$100,'29'!$H$7:$H$100,$A412,'29'!$I$7:$I$100,1)</f>
        <v>0</v>
      </c>
      <c r="D412" s="1315">
        <f>SUMIFS('12'!$N$7:$N$100,'12'!$H$7:$H$100,$A412,'12'!$I$7:$I$100,2)+SUMIFS('13'!$N$7:$N$100,'13'!$H$7:$H$100,$A412,'13'!$I$7:$I$100,2)+SUMIFS('14'!$N$7:$N$100,'14'!$H$7:$H$100,$A412,'14'!$I$7:$I$100,2)+SUMIFS('15'!$N$7:$N$100,'15'!$H$7:$H$100,$A412,'15'!$I$7:$I$100,2)+SUMIFS('15a'!$N$7:$N$100,'15a'!$H$7:$H$100,$A412,'15a'!$I$7:$I$100,2)+SUMIFS('15b'!$N$7:$N$100,'15b'!$H$7:$H$100,$A412,'15b'!$I$7:$I$100,2)+SUMIFS('15c'!$N$7:$N$100,'15c'!$H$7:$H$100,$A412,'15c'!$I$7:$I$100,2)+SUMIFS('15d'!$N$7:$N$100,'15d'!$H$7:$H$100,$A412,'15d'!$I$7:$I$100,2)+SUMIFS('15e'!$N$7:$N$100,'15e'!$H$7:$H$100,$A412,'15e'!$I$7:$I$100,2)+SUMIFS('15f'!$N$7:$N$100,'15f'!$H$7:$H$100,$A412,'15f'!$I$7:$I$100,2)+SUMIFS('15g'!$N$7:$N$100,'15g'!$H$7:$H$100,$A412,'15g'!$I$7:$I$100,2)+SUMIFS('15h'!$N$7:$N$100,'15h'!$H$7:$H$100,$A412,'15h'!$I$7:$I$100,2)+SUMIFS('15i'!$N$7:$N$100,'15i'!$H$7:$H$100,$A412,'15i'!$I$7:$I$100,2)+SUMIFS('15j'!$N$7:$N$100,'15j'!$H$7:$H$100,$A412,'15j'!$I$7:$I$100,2)+SUMIFS('15k'!$N$7:$N$100,'15k'!$H$7:$H$100,$A412,'15k'!$I$7:$I$100,2)+SUMIFS('15l'!$N$7:$N$100,'15l'!$H$7:$H$100,$A412,'15l'!$I$7:$I$100,2)+SUMIFS('15m'!$N$7:$N$100,'15m'!$H$7:$H$100,$A412,'15m'!$I$7:$I$100,2)+SUMIFS('15n'!$N$7:$N$100,'15n'!$H$7:$H$100,$A412,'15n'!$I$7:$I$100,2)+SUMIFS('16'!$N$7:$N$100,'16'!$H$7:$H$100,$A412,'16'!$I$7:$I$100,2)+SUMIFS('16a'!$N$7:$N$100,'16a'!$H$7:$H$100,$A412,'16a'!$I$7:$I$100,2)+SUMIFS('17'!$N$7:$N$100,'17'!$H$7:$H$100,$A412,'17'!$I$7:$I$100,2)+SUMIFS('17a'!$N$7:$N$100,'17a'!$H$7:$H$100,$A412,'17a'!$I$7:$I$100,2)+SUMIFS('18'!$N$7:$N$100,'18'!$H$7:$H$100,$A412,'18'!$I$7:$I$100,2)+SUMIFS('18a'!$N$7:$N$100,'18a'!$H$7:$H$100,$A412,'18a'!$I$7:$I$100,2)
+SUMIFS('19'!$N$7:$N$100,'19'!$H$7:$H$100,$A412,'19'!$I$7:$I$100,2)+SUMIFS('20'!$N$7:$N$100,'20'!$H$7:$H$100,$A412,'20'!$I$7:$I$100,2)+SUMIFS('20a'!$N$7:$N$100,'20a'!$H$7:$H$100,$A412,'20a'!$I$7:$I$100,2)+SUMIFS('21'!$N$7:$N$100,'21'!$H$7:$H$100,$A412,'21'!$I$7:$I$100,2)+SUMIFS('22'!$N$7:$N$100,'22'!$H$7:$H$100,$A412,'22'!$I$7:$I$100,2)+SUMIFS('22a'!$N$7:$N$100,'22a'!$H$7:$H$100,$A412,'22a'!$I$7:$I$100,2)+SUMIFS('22b'!$N$7:$N$100,'22b'!$H$7:$H$100,$A412,'22b'!$I$7:$I$100,2)+SUMIFS('23'!$N$7:$N$100,'23'!$H$7:$H$100,$A412,'23'!$I$7:$I$100,2)+SUMIFS('24'!$N$7:$N$100,'24'!$H$7:$H$100,$A412,'24'!$I$7:$I$100,2)+SUMIFS('24a'!$N$7:$N$100,'24a'!$H$7:$H$100,$A412,'24a'!$I$7:$I$100,2)+SUMIFS('24b'!$N$7:$N$100,'24b'!$H$7:$H$100,$A412,'24b'!$I$7:$I$100,2)+SUMIFS('24c'!$N$7:$N$100,'24c'!$H$7:$H$100,$A412,'24c'!$I$7:$I$100,2)+SUMIFS('24d'!$N$7:$N$100,'24d'!$H$7:$H$100,$A412,'24d'!$I$7:$I$100,2)+SUMIFS('24e'!$N$7:$N$100,'24e'!$H$7:$H$100,$A412,'24e'!$I$7:$I$100,2)+SUMIFS('24f'!$N$7:$N$100,'24f'!$H$7:$H$100,$A412,'24f'!$I$7:$I$100,2)+SUMIFS('24g'!$N$7:$N$100,'24g'!$H$7:$H$100,$A412,'24g'!$I$7:$I$100,2)+SUMIFS('24h'!$N$7:$N$100,'24h'!$H$7:$H$100,$A412,'24h'!$I$7:$I$100,2)+SUMIFS('24i'!$N$7:$N$100,'24i'!$H$7:$H$100,$A412,'24i'!$I$7:$I$100,2)+SUMIFS('25'!$N$7:$N$100,'25'!$H$7:$H$100,$A412,'25'!$I$7:$I$100,2)+SUMIFS('26'!$N$7:$N$100,'26'!$H$7:$H$100,$A412,'26'!$I$7:$I$100,2)+SUMIFS('26a'!$N$7:$N$100,'26a'!$H$7:$H$100,$A412,'26a'!$I$7:$I$100,2)+SUMIFS('27'!$N$7:$N$100,'27'!$H$7:$H$100,$A412,'27'!$I$7:$I$100,2)+SUMIFS('27a'!$N$7:$N$100,'27a'!$H$7:$H$100,$A412,'27a'!$I$7:$I$100,2)+SUMIFS('28'!$N$7:$N$100,'28'!$H$7:$H$100,$A412,'28'!$I$7:$I$100,2)+SUMIFS('29'!$N$7:$N$100,'29'!$H$7:$H$100,$A412,'29'!$I$7:$I$100,2)</f>
        <v>0</v>
      </c>
      <c r="E412" s="1315">
        <f>SUMIFS('12'!$N$7:$N$100,'12'!$H$7:$H$100,$A412,'12'!$I$7:$I$100,"")+SUMIFS('13'!$N$7:$N$100,'13'!$H$7:$H$100,$A412,'13'!$I$7:$I$100,"")+SUMIFS('14'!$N$7:$N$100,'14'!$H$7:$H$100,$A412,'14'!$I$7:$I$100,"")+SUMIFS('15'!$N$7:$N$100,'15'!$H$7:$H$100,$A412,'15'!$I$7:$I$100,"")+SUMIFS('15a'!$N$7:$N$100,'15a'!$H$7:$H$100,$A412,'15a'!$I$7:$I$100,"")+SUMIFS('15b'!$N$7:$N$100,'15b'!$H$7:$H$100,$A412,'15b'!$I$7:$I$100,"")+SUMIFS('15c'!$N$7:$N$100,'15c'!$H$7:$H$100,$A412,'15c'!$I$7:$I$100,"")+SUMIFS('15d'!$N$7:$N$100,'15d'!$H$7:$H$100,$A412,'15d'!$I$7:$I$100,"")+SUMIFS('15e'!$N$7:$N$100,'15e'!$H$7:$H$100,$A412,'15e'!$I$7:$I$100,"")+SUMIFS('15f'!$N$7:$N$100,'15f'!$H$7:$H$100,$A412,'15f'!$I$7:$I$100,"")+SUMIFS('15g'!$N$7:$N$100,'15g'!$H$7:$H$100,$A412,'15g'!$I$7:$I$100,"")+SUMIFS('15h'!$N$7:$N$100,'15h'!$H$7:$H$100,$A412,'15h'!$I$7:$I$100,"")+SUMIFS('15i'!$N$7:$N$100,'15i'!$H$7:$H$100,$A412,'15i'!$I$7:$I$100,"")+SUMIFS('15j'!$N$7:$N$100,'15j'!$H$7:$H$100,$A412,'15j'!$I$7:$I$100,"")+SUMIFS('15k'!$N$7:$N$100,'15k'!$H$7:$H$100,$A412,'15k'!$I$7:$I$100,"")+SUMIFS('15l'!$N$7:$N$100,'15l'!$H$7:$H$100,$A412,'15l'!$I$7:$I$100,"")+SUMIFS('15m'!$N$7:$N$100,'15m'!$H$7:$H$100,$A412,'15m'!$I$7:$I$100,"")+SUMIFS('15n'!$N$7:$N$100,'15n'!$H$7:$H$100,$A412,'15n'!$I$7:$I$100,"")+SUMIFS('16'!$N$7:$N$100,'16'!$H$7:$H$100,$A412,'16'!$I$7:$I$100,"")+SUMIFS('16a'!$N$7:$N$100,'16a'!$H$7:$H$100,$A412,'16a'!$I$7:$I$100,"")+SUMIFS('17'!$N$7:$N$100,'17'!$H$7:$H$100,$A412,'17'!$I$7:$I$100,"")+SUMIFS('17a'!$N$7:$N$100,'17a'!$H$7:$H$100,$A412,'17a'!$I$7:$I$100,"")+SUMIFS('18'!$N$7:$N$100,'18'!$H$7:$H$100,$A412,'18'!$I$7:$I$100,"")+SUMIFS('18a'!$N$7:$N$100,'18a'!$H$7:$H$100,$A412,'18a'!$I$7:$I$100,"")
+SUMIFS('19'!$N$7:$N$100,'19'!$H$7:$H$100,$A412,'19'!$I$7:$I$100,"")+SUMIFS('20'!$N$7:$N$100,'20'!$H$7:$H$100,$A412,'20'!$I$7:$I$100,"")+SUMIFS('20a'!$N$7:$N$100,'20a'!$H$7:$H$100,$A412,'20a'!$I$7:$I$100,"")+SUMIFS('21'!$N$7:$N$100,'21'!$H$7:$H$100,$A412,'21'!$I$7:$I$100,"")+SUMIFS('22'!$N$7:$N$100,'22'!$H$7:$H$100,$A412,'22'!$I$7:$I$100,"")+SUMIFS('22a'!$N$7:$N$100,'22a'!$H$7:$H$100,$A412,'22a'!$I$7:$I$100,"")+SUMIFS('22b'!$N$7:$N$100,'22b'!$H$7:$H$100,$A412,'22b'!$I$7:$I$100,"")+SUMIFS('23'!$N$7:$N$100,'23'!$H$7:$H$100,$A412,'23'!$I$7:$I$100,"")+SUMIFS('24'!$N$7:$N$100,'24'!$H$7:$H$100,$A412,'24'!$I$7:$I$100,"")+SUMIFS('24a'!$N$7:$N$100,'24a'!$H$7:$H$100,$A412,'24a'!$I$7:$I$100,"")+SUMIFS('24b'!$N$7:$N$100,'24b'!$H$7:$H$100,$A412,'24b'!$I$7:$I$100,"")+SUMIFS('24c'!$N$7:$N$100,'24c'!$H$7:$H$100,$A412,'24c'!$I$7:$I$100,"")+SUMIFS('24d'!$N$7:$N$100,'24d'!$H$7:$H$100,$A412,'24d'!$I$7:$I$100,"")+SUMIFS('24e'!$N$7:$N$100,'24e'!$H$7:$H$100,$A412,'24e'!$I$7:$I$100,"")+SUMIFS('24f'!$N$7:$N$100,'24f'!$H$7:$H$100,$A412,'24f'!$I$7:$I$100,"")+SUMIFS('24g'!$N$7:$N$100,'24g'!$H$7:$H$100,$A412,'24g'!$I$7:$I$100,"")+SUMIFS('24h'!$N$7:$N$100,'24h'!$H$7:$H$100,$A412,'24h'!$I$7:$I$100,"")+SUMIFS('24i'!$N$7:$N$100,'24i'!$H$7:$H$100,$A412,'24i'!$I$7:$I$100,"")+SUMIFS('25'!$N$7:$N$100,'25'!$H$7:$H$100,$A412,'25'!$I$7:$I$100,"")+SUMIFS('26'!$N$7:$N$100,'26'!$H$7:$H$100,$A412,'26'!$I$7:$I$100,"")+SUMIFS('26a'!$N$7:$N$100,'26a'!$H$7:$H$100,$A412,'26a'!$I$7:$I$100,"")+SUMIFS('27'!$N$7:$N$100,'27'!$H$7:$H$100,$A412,'27'!$I$7:$I$100,"")+SUMIFS('27a'!$N$7:$N$100,'27a'!$H$7:$H$100,$A412,'27a'!$I$7:$I$100,"")+SUMIFS('28'!$N$7:$N$100,'28'!$H$7:$H$100,$A412,'28'!$I$7:$I$100,"")+SUMIFS('29'!$N$7:$N$100,'29'!$H$7:$H$100,$A412,'29'!$I$7:$I$100,"")</f>
        <v>0</v>
      </c>
      <c r="F412" s="1296">
        <f t="shared" si="69"/>
        <v>0</v>
      </c>
      <c r="G412" s="1295">
        <f>SUMIFS('12'!$J$7:$J$100,'12'!$H$7:$H$100,$A412,'12'!$I$7:$I$100,1)+SUMIFS('13'!$J$7:$J$100,'13'!$H$7:$H$100,$A412,'13'!$I$7:$I$100,1)+SUMIFS('14'!$J$7:$J$100,'14'!$H$7:$H$100,$A412,'14'!$I$7:$I$100,1)+SUMIFS('15'!$J$7:$J$100,'15'!$H$7:$H$100,$A412,'15'!$I$7:$I$100,1)+SUMIFS('15a'!$J$7:$J$100,'15a'!$H$7:$H$100,$A412,'15a'!$I$7:$I$100,1)+SUMIFS('15b'!$J$7:$J$100,'15b'!$H$7:$H$100,$A412,'15b'!$I$7:$I$100,1)+SUMIFS('15c'!$J$7:$J$100,'15c'!$H$7:$H$100,$A412,'15c'!$I$7:$I$100,1)+SUMIFS('15d'!$J$7:$J$100,'15d'!$H$7:$H$100,$A412,'15d'!$I$7:$I$100,1)+SUMIFS('15e'!$J$7:$J$100,'15e'!$H$7:$H$100,$A412,'15e'!$I$7:$I$100,1)+SUMIFS('15f'!$J$7:$J$100,'15f'!$H$7:$H$100,$A412,'15f'!$I$7:$I$100,1)+SUMIFS('15g'!$J$7:$J$100,'15g'!$H$7:$H$100,$A412,'15g'!$I$7:$I$100,1)+SUMIFS('15h'!$J$7:$J$100,'15h'!$H$7:$H$100,$A412,'15h'!$I$7:$I$100,1)+SUMIFS('15i'!$J$7:$J$100,'15i'!$H$7:$H$100,$A412,'15i'!$I$7:$I$100,1)+SUMIFS('15j'!$J$7:$J$100,'15j'!$H$7:$H$100,$A412,'15j'!$I$7:$I$100,1)+SUMIFS('15k'!$J$7:$J$100,'15k'!$H$7:$H$100,$A412,'15k'!$I$7:$I$100,1)+SUMIFS('15l'!$J$7:$J$100,'15l'!$H$7:$H$100,$A412,'15l'!$I$7:$I$100,1)+SUMIFS('15m'!$J$7:$J$100,'15m'!$H$7:$H$100,$A412,'15m'!$I$7:$I$100,1)+SUMIFS('15n'!$J$7:$J$100,'15n'!$H$7:$H$100,$A412,'15n'!$I$7:$I$100,1)+SUMIFS('16'!$J$7:$J$100,'16'!$H$7:$H$100,$A412,'16'!$I$7:$I$100,1)+SUMIFS('16a'!$J$7:$J$100,'16a'!$H$7:$H$100,$A412,'16a'!$I$7:$I$100,1)+SUMIFS('17'!$J$7:$J$100,'17'!$H$7:$H$100,$A412,'17'!$I$7:$I$100,1)+SUMIFS('17a'!$J$7:$J$100,'17a'!$H$7:$H$100,$A412,'17a'!$I$7:$I$100,1)+SUMIFS('18'!$J$7:$J$100,'18'!$H$7:$H$100,$A412,'18'!$I$7:$I$100,1)+SUMIFS('18a'!$J$7:$J$100,'18a'!$H$7:$H$100,$A412,'18a'!$I$7:$I$100,1)
+SUMIFS('19'!$J$7:$J$100,'19'!$H$7:$H$100,$A412,'19'!$I$7:$I$100,1)+SUMIFS('20'!$J$7:$J$100,'20'!$H$7:$H$100,$A412,'20'!$I$7:$I$100,1)+SUMIFS('20a'!$J$7:$J$100,'20a'!$H$7:$H$100,$A412,'20a'!$I$7:$I$100,1)+SUMIFS('21'!$J$7:$J$100,'21'!$H$7:$H$100,$A412,'21'!$I$7:$I$100,1)+SUMIFS('22'!$J$7:$J$100,'22'!$H$7:$H$100,$A412,'22'!$I$7:$I$100,1)+SUMIFS('22a'!$J$7:$J$100,'22a'!$H$7:$H$100,$A412,'22a'!$I$7:$I$100,1)+SUMIFS('22b'!$J$7:$J$100,'22b'!$H$7:$H$100,$A412,'22b'!$I$7:$I$100,1)+SUMIFS('23'!$J$7:$J$100,'23'!$H$7:$H$100,$A412,'23'!$I$7:$I$100,1)+SUMIFS('24'!$J$7:$J$100,'24'!$H$7:$H$100,$A412,'24'!$I$7:$I$100,1)+SUMIFS('24a'!$J$7:$J$100,'24a'!$H$7:$H$100,$A412,'24a'!$I$7:$I$100,1)+SUMIFS('24b'!$J$7:$J$100,'24b'!$H$7:$H$100,$A412,'24b'!$I$7:$I$100,1)+SUMIFS('24c'!$J$7:$J$100,'24c'!$H$7:$H$100,$A412,'24c'!$I$7:$I$100,1)+SUMIFS('24d'!$J$7:$J$100,'24d'!$H$7:$H$100,$A412,'24d'!$I$7:$I$100,1)+SUMIFS('24e'!$J$7:$J$100,'24e'!$H$7:$H$100,$A412,'24e'!$I$7:$I$100,1)+SUMIFS('24f'!$J$7:$J$100,'24f'!$H$7:$H$100,$A412,'24f'!$I$7:$I$100,1)+SUMIFS('24g'!$J$7:$J$100,'24g'!$H$7:$H$100,$A412,'24g'!$I$7:$I$100,1)+SUMIFS('24h'!$J$7:$J$100,'24h'!$H$7:$H$100,$A412,'24h'!$I$7:$I$100,1)+SUMIFS('24i'!$J$7:$J$100,'24i'!$H$7:$H$100,$A412,'24i'!$I$7:$I$100,1)+SUMIFS('25'!$J$7:$J$100,'25'!$H$7:$H$100,$A412,'25'!$I$7:$I$100,1)+SUMIFS('26'!$J$7:$J$100,'26'!$H$7:$H$100,$A412,'26'!$I$7:$I$100,1)+SUMIFS('26a'!$J$7:$J$100,'26a'!$H$7:$H$100,$A412,'26a'!$I$7:$I$100,1)+SUMIFS('27'!$J$7:$J$100,'27'!$H$7:$H$100,$A412,'27'!$I$7:$I$100,1)+SUMIFS('27a'!$J$7:$J$100,'27a'!$H$7:$H$100,$A412,'27a'!$I$7:$I$100,1)+SUMIFS('28'!$J$7:$J$100,'28'!$H$7:$H$100,$A412,'28'!$I$7:$I$100,1)+SUMIFS('29'!$J$7:$J$100,'29'!$H$7:$H$100,$A412,'29'!$I$7:$I$100,1)</f>
        <v>0</v>
      </c>
      <c r="H412" s="1315">
        <f>SUMIFS('12'!$J$7:$J$100,'12'!$H$7:$H$100,$A412,'12'!$I$7:$I$100,2)+SUMIFS('13'!$J$7:$J$100,'13'!$H$7:$H$100,$A412,'13'!$I$7:$I$100,2)+SUMIFS('14'!$J$7:$J$100,'14'!$H$7:$H$100,$A412,'14'!$I$7:$I$100,2)+SUMIFS('15'!$J$7:$J$100,'15'!$H$7:$H$100,$A412,'15'!$I$7:$I$100,2)+SUMIFS('15a'!$J$7:$J$100,'15a'!$H$7:$H$100,$A412,'15a'!$I$7:$I$100,2)+SUMIFS('15b'!$J$7:$J$100,'15b'!$H$7:$H$100,$A412,'15b'!$I$7:$I$100,2)+SUMIFS('15c'!$J$7:$J$100,'15c'!$H$7:$H$100,$A412,'15c'!$I$7:$I$100,2)+SUMIFS('15d'!$J$7:$J$100,'15d'!$H$7:$H$100,$A412,'15d'!$I$7:$I$100,2)+SUMIFS('15e'!$J$7:$J$100,'15e'!$H$7:$H$100,$A412,'15e'!$I$7:$I$100,2)+SUMIFS('15f'!$J$7:$J$100,'15f'!$H$7:$H$100,$A412,'15f'!$I$7:$I$100,2)+SUMIFS('15g'!$J$7:$J$100,'15g'!$H$7:$H$100,$A412,'15g'!$I$7:$I$100,2)+SUMIFS('15h'!$J$7:$J$100,'15h'!$H$7:$H$100,$A412,'15h'!$I$7:$I$100,2)+SUMIFS('15i'!$J$7:$J$100,'15i'!$H$7:$H$100,$A412,'15i'!$I$7:$I$100,2)+SUMIFS('15j'!$J$7:$J$100,'15j'!$H$7:$H$100,$A412,'15j'!$I$7:$I$100,2)+SUMIFS('15k'!$J$7:$J$100,'15k'!$H$7:$H$100,$A412,'15k'!$I$7:$I$100,2)+SUMIFS('15l'!$J$7:$J$100,'15l'!$H$7:$H$100,$A412,'15l'!$I$7:$I$100,2)+SUMIFS('15m'!$J$7:$J$100,'15m'!$H$7:$H$100,$A412,'15m'!$I$7:$I$100,2)+SUMIFS('15n'!$J$7:$J$100,'15n'!$H$7:$H$100,$A412,'15n'!$I$7:$I$100,2)+SUMIFS('16'!$J$7:$J$100,'16'!$H$7:$H$100,$A412,'16'!$I$7:$I$100,2)+SUMIFS('16a'!$J$7:$J$100,'16a'!$H$7:$H$100,$A412,'16a'!$I$7:$I$100,2)+SUMIFS('17'!$J$7:$J$100,'17'!$H$7:$H$100,$A412,'17'!$I$7:$I$100,2)+SUMIFS('17a'!$J$7:$J$100,'17a'!$H$7:$H$100,$A412,'17a'!$I$7:$I$100,2)+SUMIFS('18'!$J$7:$J$100,'18'!$H$7:$H$100,$A412,'18'!$I$7:$I$100,2)+SUMIFS('18a'!$J$7:$J$100,'18a'!$H$7:$H$100,$A412,'18a'!$I$7:$I$100,2)
+SUMIFS('19'!$J$7:$J$100,'19'!$H$7:$H$100,$A412,'19'!$I$7:$I$100,2)+SUMIFS('20'!$J$7:$J$100,'20'!$H$7:$H$100,$A412,'20'!$I$7:$I$100,2)+SUMIFS('20a'!$J$7:$J$100,'20a'!$H$7:$H$100,$A412,'20a'!$I$7:$I$100,2)+SUMIFS('21'!$J$7:$J$100,'21'!$H$7:$H$100,$A412,'21'!$I$7:$I$100,2)+SUMIFS('22'!$J$7:$J$100,'22'!$H$7:$H$100,$A412,'22'!$I$7:$I$100,2)+SUMIFS('22a'!$J$7:$J$100,'22a'!$H$7:$H$100,$A412,'22a'!$I$7:$I$100,2)+SUMIFS('22b'!$J$7:$J$100,'22b'!$H$7:$H$100,$A412,'22b'!$I$7:$I$100,2)+SUMIFS('23'!$J$7:$J$100,'23'!$H$7:$H$100,$A412,'23'!$I$7:$I$100,2)+SUMIFS('24'!$J$7:$J$100,'24'!$H$7:$H$100,$A412,'24'!$I$7:$I$100,2)+SUMIFS('24a'!$J$7:$J$100,'24a'!$H$7:$H$100,$A412,'24a'!$I$7:$I$100,2)+SUMIFS('24b'!$J$7:$J$100,'24b'!$H$7:$H$100,$A412,'24b'!$I$7:$I$100,2)+SUMIFS('24c'!$J$7:$J$100,'24c'!$H$7:$H$100,$A412,'24c'!$I$7:$I$100,2)+SUMIFS('24d'!$J$7:$J$100,'24d'!$H$7:$H$100,$A412,'24d'!$I$7:$I$100,2)+SUMIFS('24e'!$J$7:$J$100,'24e'!$H$7:$H$100,$A412,'24e'!$I$7:$I$100,2)+SUMIFS('24f'!$J$7:$J$100,'24f'!$H$7:$H$100,$A412,'24f'!$I$7:$I$100,2)+SUMIFS('24g'!$J$7:$J$100,'24g'!$H$7:$H$100,$A412,'24g'!$I$7:$I$100,2)+SUMIFS('24h'!$J$7:$J$100,'24h'!$H$7:$H$100,$A412,'24h'!$I$7:$I$100,2)+SUMIFS('24i'!$J$7:$J$100,'24i'!$H$7:$H$100,$A412,'24i'!$I$7:$I$100,2)+SUMIFS('25'!$J$7:$J$100,'25'!$H$7:$H$100,$A412,'25'!$I$7:$I$100,2)+SUMIFS('26'!$J$7:$J$100,'26'!$H$7:$H$100,$A412,'26'!$I$7:$I$100,2)+SUMIFS('26a'!$J$7:$J$100,'26a'!$H$7:$H$100,$A412,'26a'!$I$7:$I$100,2)+SUMIFS('27'!$J$7:$J$100,'27'!$H$7:$H$100,$A412,'27'!$I$7:$I$100,2)+SUMIFS('27a'!$J$7:$J$100,'27a'!$H$7:$H$100,$A412,'27a'!$I$7:$I$100,2)+SUMIFS('28'!$J$7:$J$100,'28'!$H$7:$H$100,$A412,'28'!$I$7:$I$100,2)+SUMIFS('29'!$J$7:$J$100,'29'!$H$7:$H$100,$A412,'29'!$I$7:$I$100,2)</f>
        <v>0</v>
      </c>
      <c r="I412" s="1315">
        <f>SUMIFS('12'!$J$7:$J$100,'12'!$H$7:$H$100,$A412,'12'!$I$7:$I$100,"")+SUMIFS('13'!$J$7:$J$100,'13'!$H$7:$H$100,$A412,'13'!$I$7:$I$100,"")+SUMIFS('14'!$J$7:$J$100,'14'!$H$7:$H$100,$A412,'14'!$I$7:$I$100,"")+SUMIFS('15'!$J$7:$J$100,'15'!$H$7:$H$100,$A412,'15'!$I$7:$I$100,"")+SUMIFS('15a'!$J$7:$J$100,'15a'!$H$7:$H$100,$A412,'15a'!$I$7:$I$100,"")+SUMIFS('15b'!$J$7:$J$100,'15b'!$H$7:$H$100,$A412,'15b'!$I$7:$I$100,"")+SUMIFS('15c'!$J$7:$J$100,'15c'!$H$7:$H$100,$A412,'15c'!$I$7:$I$100,"")+SUMIFS('15d'!$J$7:$J$100,'15d'!$H$7:$H$100,$A412,'15d'!$I$7:$I$100,"")+SUMIFS('15e'!$J$7:$J$100,'15e'!$H$7:$H$100,$A412,'15e'!$I$7:$I$100,"")+SUMIFS('15f'!$J$7:$J$100,'15f'!$H$7:$H$100,$A412,'15f'!$I$7:$I$100,"")+SUMIFS('15g'!$J$7:$J$100,'15g'!$H$7:$H$100,$A412,'15g'!$I$7:$I$100,"")+SUMIFS('15h'!$J$7:$J$100,'15h'!$H$7:$H$100,$A412,'15h'!$I$7:$I$100,"")+SUMIFS('15i'!$J$7:$J$100,'15i'!$H$7:$H$100,$A412,'15i'!$I$7:$I$100,"")+SUMIFS('15j'!$J$7:$J$100,'15j'!$H$7:$H$100,$A412,'15j'!$I$7:$I$100,"")+SUMIFS('15k'!$J$7:$J$100,'15k'!$H$7:$H$100,$A412,'15k'!$I$7:$I$100,"")+SUMIFS('15l'!$J$7:$J$100,'15l'!$H$7:$H$100,$A412,'15l'!$I$7:$I$100,"")+SUMIFS('15m'!$J$7:$J$100,'15m'!$H$7:$H$100,$A412,'15m'!$I$7:$I$100,"")+SUMIFS('15n'!$J$7:$J$100,'15n'!$H$7:$H$100,$A412,'15n'!$I$7:$I$100,"")+SUMIFS('16'!$J$7:$J$100,'16'!$H$7:$H$100,$A412,'16'!$I$7:$I$100,"")+SUMIFS('16a'!$J$7:$J$100,'16a'!$H$7:$H$100,$A412,'16a'!$I$7:$I$100,"")+SUMIFS('17'!$J$7:$J$100,'17'!$H$7:$H$100,$A412,'17'!$I$7:$I$100,"")+SUMIFS('17a'!$J$7:$J$100,'17a'!$H$7:$H$100,$A412,'17a'!$I$7:$I$100,"")+SUMIFS('18'!$J$7:$J$100,'18'!$H$7:$H$100,$A412,'18'!$I$7:$I$100,"")+SUMIFS('18a'!$J$7:$J$100,'18a'!$H$7:$H$100,$A412,'18a'!$I$7:$I$100,"")
+SUMIFS('19'!$J$7:$J$100,'19'!$H$7:$H$100,$A412,'19'!$I$7:$I$100,"")+SUMIFS('20'!$J$7:$J$100,'20'!$H$7:$H$100,$A412,'20'!$I$7:$I$100,"")+SUMIFS('20a'!$J$7:$J$100,'20a'!$H$7:$H$100,$A412,'20a'!$I$7:$I$100,"")+SUMIFS('21'!$J$7:$J$100,'21'!$H$7:$H$100,$A412,'21'!$I$7:$I$100,"")+SUMIFS('22'!$J$7:$J$100,'22'!$H$7:$H$100,$A412,'22'!$I$7:$I$100,"")+SUMIFS('22a'!$J$7:$J$100,'22a'!$H$7:$H$100,$A412,'22a'!$I$7:$I$100,"")+SUMIFS('22b'!$J$7:$J$100,'22b'!$H$7:$H$100,$A412,'22b'!$I$7:$I$100,"")+SUMIFS('23'!$J$7:$J$100,'23'!$H$7:$H$100,$A412,'23'!$I$7:$I$100,"")+SUMIFS('24'!$J$7:$J$100,'24'!$H$7:$H$100,$A412,'24'!$I$7:$I$100,"")+SUMIFS('24a'!$J$7:$J$100,'24a'!$H$7:$H$100,$A412,'24a'!$I$7:$I$100,"")+SUMIFS('24b'!$J$7:$J$100,'24b'!$H$7:$H$100,$A412,'24b'!$I$7:$I$100,"")+SUMIFS('24c'!$J$7:$J$100,'24c'!$H$7:$H$100,$A412,'24c'!$I$7:$I$100,"")+SUMIFS('24d'!$J$7:$J$100,'24d'!$H$7:$H$100,$A412,'24d'!$I$7:$I$100,"")+SUMIFS('24e'!$J$7:$J$100,'24e'!$H$7:$H$100,$A412,'24e'!$I$7:$I$100,"")+SUMIFS('24f'!$J$7:$J$100,'24f'!$H$7:$H$100,$A412,'24f'!$I$7:$I$100,"")+SUMIFS('24g'!$J$7:$J$100,'24g'!$H$7:$H$100,$A412,'24g'!$I$7:$I$100,"")+SUMIFS('24h'!$J$7:$J$100,'24h'!$H$7:$H$100,$A412,'24h'!$I$7:$I$100,"")+SUMIFS('24i'!$J$7:$J$100,'24i'!$H$7:$H$100,$A412,'24i'!$I$7:$I$100,"")+SUMIFS('25'!$J$7:$J$100,'25'!$H$7:$H$100,$A412,'25'!$I$7:$I$100,"")+SUMIFS('26'!$J$7:$J$100,'26'!$H$7:$H$100,$A412,'26'!$I$7:$I$100,"")+SUMIFS('26a'!$J$7:$J$100,'26a'!$H$7:$H$100,$A412,'26a'!$I$7:$I$100,"")+SUMIFS('27'!$J$7:$J$100,'27'!$H$7:$H$100,$A412,'27'!$I$7:$I$100,"")+SUMIFS('27a'!$J$7:$J$100,'27a'!$H$7:$H$100,$A412,'27a'!$I$7:$I$100,"")+SUMIFS('28'!$J$7:$J$100,'28'!$H$7:$H$100,$A412,'28'!$I$7:$I$100,"")+SUMIFS('29'!$J$7:$J$100,'29'!$H$7:$H$100,$A412,'29'!$I$7:$I$100,"")</f>
        <v>0</v>
      </c>
      <c r="J412" s="1296">
        <f t="shared" si="70"/>
        <v>0</v>
      </c>
      <c r="K412"/>
      <c r="L412"/>
      <c r="M412"/>
      <c r="N412"/>
      <c r="O412"/>
      <c r="P412"/>
      <c r="Q412"/>
      <c r="R412"/>
      <c r="S412" s="1307">
        <f t="shared" si="71"/>
        <v>0</v>
      </c>
      <c r="T412"/>
    </row>
    <row r="413" spans="1:20" x14ac:dyDescent="0.2">
      <c r="A413" t="s">
        <v>546</v>
      </c>
      <c r="B413" t="s">
        <v>5554</v>
      </c>
      <c r="C413" s="1295">
        <f>SUMIFS('12'!$N$7:$N$100,'12'!$H$7:$H$100,$A413,'12'!$I$7:$I$100,1)+SUMIFS('13'!$N$7:$N$100,'13'!$H$7:$H$100,$A413,'13'!$I$7:$I$100,1)+SUMIFS('14'!$N$7:$N$100,'14'!$H$7:$H$100,$A413,'14'!$I$7:$I$100,1)+SUMIFS('15'!$N$7:$N$100,'15'!$H$7:$H$100,$A413,'15'!$I$7:$I$100,1)+SUMIFS('15a'!$N$7:$N$100,'15a'!$H$7:$H$100,$A413,'15a'!$I$7:$I$100,1)+SUMIFS('15b'!$N$7:$N$100,'15b'!$H$7:$H$100,$A413,'15b'!$I$7:$I$100,1)+SUMIFS('15c'!$N$7:$N$100,'15c'!$H$7:$H$100,$A413,'15c'!$I$7:$I$100,1)+SUMIFS('15d'!$N$7:$N$100,'15d'!$H$7:$H$100,$A413,'15d'!$I$7:$I$100,1)+SUMIFS('15e'!$N$7:$N$100,'15e'!$H$7:$H$100,$A413,'15e'!$I$7:$I$100,1)+SUMIFS('15f'!$N$7:$N$100,'15f'!$H$7:$H$100,$A413,'15f'!$I$7:$I$100,1)+SUMIFS('15g'!$N$7:$N$100,'15g'!$H$7:$H$100,$A413,'15g'!$I$7:$I$100,1)+SUMIFS('15h'!$N$7:$N$100,'15h'!$H$7:$H$100,$A413,'15h'!$I$7:$I$100,1)+SUMIFS('15i'!$N$7:$N$100,'15i'!$H$7:$H$100,$A413,'15i'!$I$7:$I$100,1)+SUMIFS('15j'!$N$7:$N$100,'15j'!$H$7:$H$100,$A413,'15j'!$I$7:$I$100,1)+SUMIFS('15k'!$N$7:$N$100,'15k'!$H$7:$H$100,$A413,'15k'!$I$7:$I$100,1)+SUMIFS('15l'!$N$7:$N$100,'15l'!$H$7:$H$100,$A413,'15l'!$I$7:$I$100,1)+SUMIFS('15m'!$N$7:$N$100,'15m'!$H$7:$H$100,$A413,'15m'!$I$7:$I$100,1)+SUMIFS('15n'!$N$7:$N$100,'15n'!$H$7:$H$100,$A413,'15n'!$I$7:$I$100,1)+SUMIFS('16'!$N$7:$N$100,'16'!$H$7:$H$100,$A413,'16'!$I$7:$I$100,1)+SUMIFS('16a'!$N$7:$N$100,'16a'!$H$7:$H$100,$A413,'16a'!$I$7:$I$100,1)+SUMIFS('17'!$N$7:$N$100,'17'!$H$7:$H$100,$A413,'17'!$I$7:$I$100,1)+SUMIFS('17a'!$N$7:$N$100,'17a'!$H$7:$H$100,$A413,'17a'!$I$7:$I$100,1)+SUMIFS('18'!$N$7:$N$100,'18'!$H$7:$H$100,$A413,'18'!$I$7:$I$100,1)+SUMIFS('18a'!$N$7:$N$100,'18a'!$H$7:$H$100,$A413,'18a'!$I$7:$I$100,1)
+SUMIFS('19'!$N$7:$N$100,'19'!$H$7:$H$100,$A413,'19'!$I$7:$I$100,1)+SUMIFS('20'!$N$7:$N$100,'20'!$H$7:$H$100,$A413,'20'!$I$7:$I$100,1)+SUMIFS('20a'!$N$7:$N$100,'20a'!$H$7:$H$100,$A413,'20a'!$I$7:$I$100,1)+SUMIFS('21'!$N$7:$N$100,'21'!$H$7:$H$100,$A413,'21'!$I$7:$I$100,1)+SUMIFS('22'!$N$7:$N$100,'22'!$H$7:$H$100,$A413,'22'!$I$7:$I$100,1)+SUMIFS('22a'!$N$7:$N$100,'22a'!$H$7:$H$100,$A413,'22a'!$I$7:$I$100,1)+SUMIFS('22b'!$N$7:$N$100,'22b'!$H$7:$H$100,$A413,'22b'!$I$7:$I$100,1)+SUMIFS('23'!$N$7:$N$100,'23'!$H$7:$H$100,$A413,'23'!$I$7:$I$100,1)+SUMIFS('24'!$N$7:$N$100,'24'!$H$7:$H$100,$A413,'24'!$I$7:$I$100,1)+SUMIFS('24a'!$N$7:$N$100,'24a'!$H$7:$H$100,$A413,'24a'!$I$7:$I$100,1)+SUMIFS('24b'!$N$7:$N$100,'24b'!$H$7:$H$100,$A413,'24b'!$I$7:$I$100,1)+SUMIFS('24c'!$N$7:$N$100,'24c'!$H$7:$H$100,$A413,'24c'!$I$7:$I$100,1)+SUMIFS('24d'!$N$7:$N$100,'24d'!$H$7:$H$100,$A413,'24d'!$I$7:$I$100,1)+SUMIFS('24e'!$N$7:$N$100,'24e'!$H$7:$H$100,$A413,'24e'!$I$7:$I$100,1)+SUMIFS('24f'!$N$7:$N$100,'24f'!$H$7:$H$100,$A413,'24f'!$I$7:$I$100,1)+SUMIFS('24g'!$N$7:$N$100,'24g'!$H$7:$H$100,$A413,'24g'!$I$7:$I$100,1)+SUMIFS('24h'!$N$7:$N$100,'24h'!$H$7:$H$100,$A413,'24h'!$I$7:$I$100,1)+SUMIFS('24i'!$N$7:$N$100,'24i'!$H$7:$H$100,$A413,'24i'!$I$7:$I$100,1)+SUMIFS('25'!$N$7:$N$100,'25'!$H$7:$H$100,$A413,'25'!$I$7:$I$100,1)+SUMIFS('26'!$N$7:$N$100,'26'!$H$7:$H$100,$A413,'26'!$I$7:$I$100,1)+SUMIFS('26a'!$N$7:$N$100,'26a'!$H$7:$H$100,$A413,'26a'!$I$7:$I$100,1)+SUMIFS('27'!$N$7:$N$100,'27'!$H$7:$H$100,$A413,'27'!$I$7:$I$100,1)+SUMIFS('27a'!$N$7:$N$100,'27a'!$H$7:$H$100,$A413,'27a'!$I$7:$I$100,1)+SUMIFS('28'!$N$7:$N$100,'28'!$H$7:$H$100,$A413,'28'!$I$7:$I$100,1)+SUMIFS('29'!$N$7:$N$100,'29'!$H$7:$H$100,$A413,'29'!$I$7:$I$100,1)</f>
        <v>0</v>
      </c>
      <c r="D413" s="1315">
        <f>SUMIFS('12'!$N$7:$N$100,'12'!$H$7:$H$100,$A413,'12'!$I$7:$I$100,2)+SUMIFS('13'!$N$7:$N$100,'13'!$H$7:$H$100,$A413,'13'!$I$7:$I$100,2)+SUMIFS('14'!$N$7:$N$100,'14'!$H$7:$H$100,$A413,'14'!$I$7:$I$100,2)+SUMIFS('15'!$N$7:$N$100,'15'!$H$7:$H$100,$A413,'15'!$I$7:$I$100,2)+SUMIFS('15a'!$N$7:$N$100,'15a'!$H$7:$H$100,$A413,'15a'!$I$7:$I$100,2)+SUMIFS('15b'!$N$7:$N$100,'15b'!$H$7:$H$100,$A413,'15b'!$I$7:$I$100,2)+SUMIFS('15c'!$N$7:$N$100,'15c'!$H$7:$H$100,$A413,'15c'!$I$7:$I$100,2)+SUMIFS('15d'!$N$7:$N$100,'15d'!$H$7:$H$100,$A413,'15d'!$I$7:$I$100,2)+SUMIFS('15e'!$N$7:$N$100,'15e'!$H$7:$H$100,$A413,'15e'!$I$7:$I$100,2)+SUMIFS('15f'!$N$7:$N$100,'15f'!$H$7:$H$100,$A413,'15f'!$I$7:$I$100,2)+SUMIFS('15g'!$N$7:$N$100,'15g'!$H$7:$H$100,$A413,'15g'!$I$7:$I$100,2)+SUMIFS('15h'!$N$7:$N$100,'15h'!$H$7:$H$100,$A413,'15h'!$I$7:$I$100,2)+SUMIFS('15i'!$N$7:$N$100,'15i'!$H$7:$H$100,$A413,'15i'!$I$7:$I$100,2)+SUMIFS('15j'!$N$7:$N$100,'15j'!$H$7:$H$100,$A413,'15j'!$I$7:$I$100,2)+SUMIFS('15k'!$N$7:$N$100,'15k'!$H$7:$H$100,$A413,'15k'!$I$7:$I$100,2)+SUMIFS('15l'!$N$7:$N$100,'15l'!$H$7:$H$100,$A413,'15l'!$I$7:$I$100,2)+SUMIFS('15m'!$N$7:$N$100,'15m'!$H$7:$H$100,$A413,'15m'!$I$7:$I$100,2)+SUMIFS('15n'!$N$7:$N$100,'15n'!$H$7:$H$100,$A413,'15n'!$I$7:$I$100,2)+SUMIFS('16'!$N$7:$N$100,'16'!$H$7:$H$100,$A413,'16'!$I$7:$I$100,2)+SUMIFS('16a'!$N$7:$N$100,'16a'!$H$7:$H$100,$A413,'16a'!$I$7:$I$100,2)+SUMIFS('17'!$N$7:$N$100,'17'!$H$7:$H$100,$A413,'17'!$I$7:$I$100,2)+SUMIFS('17a'!$N$7:$N$100,'17a'!$H$7:$H$100,$A413,'17a'!$I$7:$I$100,2)+SUMIFS('18'!$N$7:$N$100,'18'!$H$7:$H$100,$A413,'18'!$I$7:$I$100,2)+SUMIFS('18a'!$N$7:$N$100,'18a'!$H$7:$H$100,$A413,'18a'!$I$7:$I$100,2)
+SUMIFS('19'!$N$7:$N$100,'19'!$H$7:$H$100,$A413,'19'!$I$7:$I$100,2)+SUMIFS('20'!$N$7:$N$100,'20'!$H$7:$H$100,$A413,'20'!$I$7:$I$100,2)+SUMIFS('20a'!$N$7:$N$100,'20a'!$H$7:$H$100,$A413,'20a'!$I$7:$I$100,2)+SUMIFS('21'!$N$7:$N$100,'21'!$H$7:$H$100,$A413,'21'!$I$7:$I$100,2)+SUMIFS('22'!$N$7:$N$100,'22'!$H$7:$H$100,$A413,'22'!$I$7:$I$100,2)+SUMIFS('22a'!$N$7:$N$100,'22a'!$H$7:$H$100,$A413,'22a'!$I$7:$I$100,2)+SUMIFS('22b'!$N$7:$N$100,'22b'!$H$7:$H$100,$A413,'22b'!$I$7:$I$100,2)+SUMIFS('23'!$N$7:$N$100,'23'!$H$7:$H$100,$A413,'23'!$I$7:$I$100,2)+SUMIFS('24'!$N$7:$N$100,'24'!$H$7:$H$100,$A413,'24'!$I$7:$I$100,2)+SUMIFS('24a'!$N$7:$N$100,'24a'!$H$7:$H$100,$A413,'24a'!$I$7:$I$100,2)+SUMIFS('24b'!$N$7:$N$100,'24b'!$H$7:$H$100,$A413,'24b'!$I$7:$I$100,2)+SUMIFS('24c'!$N$7:$N$100,'24c'!$H$7:$H$100,$A413,'24c'!$I$7:$I$100,2)+SUMIFS('24d'!$N$7:$N$100,'24d'!$H$7:$H$100,$A413,'24d'!$I$7:$I$100,2)+SUMIFS('24e'!$N$7:$N$100,'24e'!$H$7:$H$100,$A413,'24e'!$I$7:$I$100,2)+SUMIFS('24f'!$N$7:$N$100,'24f'!$H$7:$H$100,$A413,'24f'!$I$7:$I$100,2)+SUMIFS('24g'!$N$7:$N$100,'24g'!$H$7:$H$100,$A413,'24g'!$I$7:$I$100,2)+SUMIFS('24h'!$N$7:$N$100,'24h'!$H$7:$H$100,$A413,'24h'!$I$7:$I$100,2)+SUMIFS('24i'!$N$7:$N$100,'24i'!$H$7:$H$100,$A413,'24i'!$I$7:$I$100,2)+SUMIFS('25'!$N$7:$N$100,'25'!$H$7:$H$100,$A413,'25'!$I$7:$I$100,2)+SUMIFS('26'!$N$7:$N$100,'26'!$H$7:$H$100,$A413,'26'!$I$7:$I$100,2)+SUMIFS('26a'!$N$7:$N$100,'26a'!$H$7:$H$100,$A413,'26a'!$I$7:$I$100,2)+SUMIFS('27'!$N$7:$N$100,'27'!$H$7:$H$100,$A413,'27'!$I$7:$I$100,2)+SUMIFS('27a'!$N$7:$N$100,'27a'!$H$7:$H$100,$A413,'27a'!$I$7:$I$100,2)+SUMIFS('28'!$N$7:$N$100,'28'!$H$7:$H$100,$A413,'28'!$I$7:$I$100,2)+SUMIFS('29'!$N$7:$N$100,'29'!$H$7:$H$100,$A413,'29'!$I$7:$I$100,2)</f>
        <v>0</v>
      </c>
      <c r="E413" s="1315">
        <f>SUMIFS('12'!$N$7:$N$100,'12'!$H$7:$H$100,$A413,'12'!$I$7:$I$100,"")+SUMIFS('13'!$N$7:$N$100,'13'!$H$7:$H$100,$A413,'13'!$I$7:$I$100,"")+SUMIFS('14'!$N$7:$N$100,'14'!$H$7:$H$100,$A413,'14'!$I$7:$I$100,"")+SUMIFS('15'!$N$7:$N$100,'15'!$H$7:$H$100,$A413,'15'!$I$7:$I$100,"")+SUMIFS('15a'!$N$7:$N$100,'15a'!$H$7:$H$100,$A413,'15a'!$I$7:$I$100,"")+SUMIFS('15b'!$N$7:$N$100,'15b'!$H$7:$H$100,$A413,'15b'!$I$7:$I$100,"")+SUMIFS('15c'!$N$7:$N$100,'15c'!$H$7:$H$100,$A413,'15c'!$I$7:$I$100,"")+SUMIFS('15d'!$N$7:$N$100,'15d'!$H$7:$H$100,$A413,'15d'!$I$7:$I$100,"")+SUMIFS('15e'!$N$7:$N$100,'15e'!$H$7:$H$100,$A413,'15e'!$I$7:$I$100,"")+SUMIFS('15f'!$N$7:$N$100,'15f'!$H$7:$H$100,$A413,'15f'!$I$7:$I$100,"")+SUMIFS('15g'!$N$7:$N$100,'15g'!$H$7:$H$100,$A413,'15g'!$I$7:$I$100,"")+SUMIFS('15h'!$N$7:$N$100,'15h'!$H$7:$H$100,$A413,'15h'!$I$7:$I$100,"")+SUMIFS('15i'!$N$7:$N$100,'15i'!$H$7:$H$100,$A413,'15i'!$I$7:$I$100,"")+SUMIFS('15j'!$N$7:$N$100,'15j'!$H$7:$H$100,$A413,'15j'!$I$7:$I$100,"")+SUMIFS('15k'!$N$7:$N$100,'15k'!$H$7:$H$100,$A413,'15k'!$I$7:$I$100,"")+SUMIFS('15l'!$N$7:$N$100,'15l'!$H$7:$H$100,$A413,'15l'!$I$7:$I$100,"")+SUMIFS('15m'!$N$7:$N$100,'15m'!$H$7:$H$100,$A413,'15m'!$I$7:$I$100,"")+SUMIFS('15n'!$N$7:$N$100,'15n'!$H$7:$H$100,$A413,'15n'!$I$7:$I$100,"")+SUMIFS('16'!$N$7:$N$100,'16'!$H$7:$H$100,$A413,'16'!$I$7:$I$100,"")+SUMIFS('16a'!$N$7:$N$100,'16a'!$H$7:$H$100,$A413,'16a'!$I$7:$I$100,"")+SUMIFS('17'!$N$7:$N$100,'17'!$H$7:$H$100,$A413,'17'!$I$7:$I$100,"")+SUMIFS('17a'!$N$7:$N$100,'17a'!$H$7:$H$100,$A413,'17a'!$I$7:$I$100,"")+SUMIFS('18'!$N$7:$N$100,'18'!$H$7:$H$100,$A413,'18'!$I$7:$I$100,"")+SUMIFS('18a'!$N$7:$N$100,'18a'!$H$7:$H$100,$A413,'18a'!$I$7:$I$100,"")
+SUMIFS('19'!$N$7:$N$100,'19'!$H$7:$H$100,$A413,'19'!$I$7:$I$100,"")+SUMIFS('20'!$N$7:$N$100,'20'!$H$7:$H$100,$A413,'20'!$I$7:$I$100,"")+SUMIFS('20a'!$N$7:$N$100,'20a'!$H$7:$H$100,$A413,'20a'!$I$7:$I$100,"")+SUMIFS('21'!$N$7:$N$100,'21'!$H$7:$H$100,$A413,'21'!$I$7:$I$100,"")+SUMIFS('22'!$N$7:$N$100,'22'!$H$7:$H$100,$A413,'22'!$I$7:$I$100,"")+SUMIFS('22a'!$N$7:$N$100,'22a'!$H$7:$H$100,$A413,'22a'!$I$7:$I$100,"")+SUMIFS('22b'!$N$7:$N$100,'22b'!$H$7:$H$100,$A413,'22b'!$I$7:$I$100,"")+SUMIFS('23'!$N$7:$N$100,'23'!$H$7:$H$100,$A413,'23'!$I$7:$I$100,"")+SUMIFS('24'!$N$7:$N$100,'24'!$H$7:$H$100,$A413,'24'!$I$7:$I$100,"")+SUMIFS('24a'!$N$7:$N$100,'24a'!$H$7:$H$100,$A413,'24a'!$I$7:$I$100,"")+SUMIFS('24b'!$N$7:$N$100,'24b'!$H$7:$H$100,$A413,'24b'!$I$7:$I$100,"")+SUMIFS('24c'!$N$7:$N$100,'24c'!$H$7:$H$100,$A413,'24c'!$I$7:$I$100,"")+SUMIFS('24d'!$N$7:$N$100,'24d'!$H$7:$H$100,$A413,'24d'!$I$7:$I$100,"")+SUMIFS('24e'!$N$7:$N$100,'24e'!$H$7:$H$100,$A413,'24e'!$I$7:$I$100,"")+SUMIFS('24f'!$N$7:$N$100,'24f'!$H$7:$H$100,$A413,'24f'!$I$7:$I$100,"")+SUMIFS('24g'!$N$7:$N$100,'24g'!$H$7:$H$100,$A413,'24g'!$I$7:$I$100,"")+SUMIFS('24h'!$N$7:$N$100,'24h'!$H$7:$H$100,$A413,'24h'!$I$7:$I$100,"")+SUMIFS('24i'!$N$7:$N$100,'24i'!$H$7:$H$100,$A413,'24i'!$I$7:$I$100,"")+SUMIFS('25'!$N$7:$N$100,'25'!$H$7:$H$100,$A413,'25'!$I$7:$I$100,"")+SUMIFS('26'!$N$7:$N$100,'26'!$H$7:$H$100,$A413,'26'!$I$7:$I$100,"")+SUMIFS('26a'!$N$7:$N$100,'26a'!$H$7:$H$100,$A413,'26a'!$I$7:$I$100,"")+SUMIFS('27'!$N$7:$N$100,'27'!$H$7:$H$100,$A413,'27'!$I$7:$I$100,"")+SUMIFS('27a'!$N$7:$N$100,'27a'!$H$7:$H$100,$A413,'27a'!$I$7:$I$100,"")+SUMIFS('28'!$N$7:$N$100,'28'!$H$7:$H$100,$A413,'28'!$I$7:$I$100,"")+SUMIFS('29'!$N$7:$N$100,'29'!$H$7:$H$100,$A413,'29'!$I$7:$I$100,"")</f>
        <v>0</v>
      </c>
      <c r="F413" s="1296">
        <f t="shared" si="69"/>
        <v>0</v>
      </c>
      <c r="G413" s="1295">
        <f>SUMIFS('12'!$J$7:$J$100,'12'!$H$7:$H$100,$A413,'12'!$I$7:$I$100,1)+SUMIFS('13'!$J$7:$J$100,'13'!$H$7:$H$100,$A413,'13'!$I$7:$I$100,1)+SUMIFS('14'!$J$7:$J$100,'14'!$H$7:$H$100,$A413,'14'!$I$7:$I$100,1)+SUMIFS('15'!$J$7:$J$100,'15'!$H$7:$H$100,$A413,'15'!$I$7:$I$100,1)+SUMIFS('15a'!$J$7:$J$100,'15a'!$H$7:$H$100,$A413,'15a'!$I$7:$I$100,1)+SUMIFS('15b'!$J$7:$J$100,'15b'!$H$7:$H$100,$A413,'15b'!$I$7:$I$100,1)+SUMIFS('15c'!$J$7:$J$100,'15c'!$H$7:$H$100,$A413,'15c'!$I$7:$I$100,1)+SUMIFS('15d'!$J$7:$J$100,'15d'!$H$7:$H$100,$A413,'15d'!$I$7:$I$100,1)+SUMIFS('15e'!$J$7:$J$100,'15e'!$H$7:$H$100,$A413,'15e'!$I$7:$I$100,1)+SUMIFS('15f'!$J$7:$J$100,'15f'!$H$7:$H$100,$A413,'15f'!$I$7:$I$100,1)+SUMIFS('15g'!$J$7:$J$100,'15g'!$H$7:$H$100,$A413,'15g'!$I$7:$I$100,1)+SUMIFS('15h'!$J$7:$J$100,'15h'!$H$7:$H$100,$A413,'15h'!$I$7:$I$100,1)+SUMIFS('15i'!$J$7:$J$100,'15i'!$H$7:$H$100,$A413,'15i'!$I$7:$I$100,1)+SUMIFS('15j'!$J$7:$J$100,'15j'!$H$7:$H$100,$A413,'15j'!$I$7:$I$100,1)+SUMIFS('15k'!$J$7:$J$100,'15k'!$H$7:$H$100,$A413,'15k'!$I$7:$I$100,1)+SUMIFS('15l'!$J$7:$J$100,'15l'!$H$7:$H$100,$A413,'15l'!$I$7:$I$100,1)+SUMIFS('15m'!$J$7:$J$100,'15m'!$H$7:$H$100,$A413,'15m'!$I$7:$I$100,1)+SUMIFS('15n'!$J$7:$J$100,'15n'!$H$7:$H$100,$A413,'15n'!$I$7:$I$100,1)+SUMIFS('16'!$J$7:$J$100,'16'!$H$7:$H$100,$A413,'16'!$I$7:$I$100,1)+SUMIFS('16a'!$J$7:$J$100,'16a'!$H$7:$H$100,$A413,'16a'!$I$7:$I$100,1)+SUMIFS('17'!$J$7:$J$100,'17'!$H$7:$H$100,$A413,'17'!$I$7:$I$100,1)+SUMIFS('17a'!$J$7:$J$100,'17a'!$H$7:$H$100,$A413,'17a'!$I$7:$I$100,1)+SUMIFS('18'!$J$7:$J$100,'18'!$H$7:$H$100,$A413,'18'!$I$7:$I$100,1)+SUMIFS('18a'!$J$7:$J$100,'18a'!$H$7:$H$100,$A413,'18a'!$I$7:$I$100,1)
+SUMIFS('19'!$J$7:$J$100,'19'!$H$7:$H$100,$A413,'19'!$I$7:$I$100,1)+SUMIFS('20'!$J$7:$J$100,'20'!$H$7:$H$100,$A413,'20'!$I$7:$I$100,1)+SUMIFS('20a'!$J$7:$J$100,'20a'!$H$7:$H$100,$A413,'20a'!$I$7:$I$100,1)+SUMIFS('21'!$J$7:$J$100,'21'!$H$7:$H$100,$A413,'21'!$I$7:$I$100,1)+SUMIFS('22'!$J$7:$J$100,'22'!$H$7:$H$100,$A413,'22'!$I$7:$I$100,1)+SUMIFS('22a'!$J$7:$J$100,'22a'!$H$7:$H$100,$A413,'22a'!$I$7:$I$100,1)+SUMIFS('22b'!$J$7:$J$100,'22b'!$H$7:$H$100,$A413,'22b'!$I$7:$I$100,1)+SUMIFS('23'!$J$7:$J$100,'23'!$H$7:$H$100,$A413,'23'!$I$7:$I$100,1)+SUMIFS('24'!$J$7:$J$100,'24'!$H$7:$H$100,$A413,'24'!$I$7:$I$100,1)+SUMIFS('24a'!$J$7:$J$100,'24a'!$H$7:$H$100,$A413,'24a'!$I$7:$I$100,1)+SUMIFS('24b'!$J$7:$J$100,'24b'!$H$7:$H$100,$A413,'24b'!$I$7:$I$100,1)+SUMIFS('24c'!$J$7:$J$100,'24c'!$H$7:$H$100,$A413,'24c'!$I$7:$I$100,1)+SUMIFS('24d'!$J$7:$J$100,'24d'!$H$7:$H$100,$A413,'24d'!$I$7:$I$100,1)+SUMIFS('24e'!$J$7:$J$100,'24e'!$H$7:$H$100,$A413,'24e'!$I$7:$I$100,1)+SUMIFS('24f'!$J$7:$J$100,'24f'!$H$7:$H$100,$A413,'24f'!$I$7:$I$100,1)+SUMIFS('24g'!$J$7:$J$100,'24g'!$H$7:$H$100,$A413,'24g'!$I$7:$I$100,1)+SUMIFS('24h'!$J$7:$J$100,'24h'!$H$7:$H$100,$A413,'24h'!$I$7:$I$100,1)+SUMIFS('24i'!$J$7:$J$100,'24i'!$H$7:$H$100,$A413,'24i'!$I$7:$I$100,1)+SUMIFS('25'!$J$7:$J$100,'25'!$H$7:$H$100,$A413,'25'!$I$7:$I$100,1)+SUMIFS('26'!$J$7:$J$100,'26'!$H$7:$H$100,$A413,'26'!$I$7:$I$100,1)+SUMIFS('26a'!$J$7:$J$100,'26a'!$H$7:$H$100,$A413,'26a'!$I$7:$I$100,1)+SUMIFS('27'!$J$7:$J$100,'27'!$H$7:$H$100,$A413,'27'!$I$7:$I$100,1)+SUMIFS('27a'!$J$7:$J$100,'27a'!$H$7:$H$100,$A413,'27a'!$I$7:$I$100,1)+SUMIFS('28'!$J$7:$J$100,'28'!$H$7:$H$100,$A413,'28'!$I$7:$I$100,1)+SUMIFS('29'!$J$7:$J$100,'29'!$H$7:$H$100,$A413,'29'!$I$7:$I$100,1)</f>
        <v>0</v>
      </c>
      <c r="H413" s="1315">
        <f>SUMIFS('12'!$J$7:$J$100,'12'!$H$7:$H$100,$A413,'12'!$I$7:$I$100,2)+SUMIFS('13'!$J$7:$J$100,'13'!$H$7:$H$100,$A413,'13'!$I$7:$I$100,2)+SUMIFS('14'!$J$7:$J$100,'14'!$H$7:$H$100,$A413,'14'!$I$7:$I$100,2)+SUMIFS('15'!$J$7:$J$100,'15'!$H$7:$H$100,$A413,'15'!$I$7:$I$100,2)+SUMIFS('15a'!$J$7:$J$100,'15a'!$H$7:$H$100,$A413,'15a'!$I$7:$I$100,2)+SUMIFS('15b'!$J$7:$J$100,'15b'!$H$7:$H$100,$A413,'15b'!$I$7:$I$100,2)+SUMIFS('15c'!$J$7:$J$100,'15c'!$H$7:$H$100,$A413,'15c'!$I$7:$I$100,2)+SUMIFS('15d'!$J$7:$J$100,'15d'!$H$7:$H$100,$A413,'15d'!$I$7:$I$100,2)+SUMIFS('15e'!$J$7:$J$100,'15e'!$H$7:$H$100,$A413,'15e'!$I$7:$I$100,2)+SUMIFS('15f'!$J$7:$J$100,'15f'!$H$7:$H$100,$A413,'15f'!$I$7:$I$100,2)+SUMIFS('15g'!$J$7:$J$100,'15g'!$H$7:$H$100,$A413,'15g'!$I$7:$I$100,2)+SUMIFS('15h'!$J$7:$J$100,'15h'!$H$7:$H$100,$A413,'15h'!$I$7:$I$100,2)+SUMIFS('15i'!$J$7:$J$100,'15i'!$H$7:$H$100,$A413,'15i'!$I$7:$I$100,2)+SUMIFS('15j'!$J$7:$J$100,'15j'!$H$7:$H$100,$A413,'15j'!$I$7:$I$100,2)+SUMIFS('15k'!$J$7:$J$100,'15k'!$H$7:$H$100,$A413,'15k'!$I$7:$I$100,2)+SUMIFS('15l'!$J$7:$J$100,'15l'!$H$7:$H$100,$A413,'15l'!$I$7:$I$100,2)+SUMIFS('15m'!$J$7:$J$100,'15m'!$H$7:$H$100,$A413,'15m'!$I$7:$I$100,2)+SUMIFS('15n'!$J$7:$J$100,'15n'!$H$7:$H$100,$A413,'15n'!$I$7:$I$100,2)+SUMIFS('16'!$J$7:$J$100,'16'!$H$7:$H$100,$A413,'16'!$I$7:$I$100,2)+SUMIFS('16a'!$J$7:$J$100,'16a'!$H$7:$H$100,$A413,'16a'!$I$7:$I$100,2)+SUMIFS('17'!$J$7:$J$100,'17'!$H$7:$H$100,$A413,'17'!$I$7:$I$100,2)+SUMIFS('17a'!$J$7:$J$100,'17a'!$H$7:$H$100,$A413,'17a'!$I$7:$I$100,2)+SUMIFS('18'!$J$7:$J$100,'18'!$H$7:$H$100,$A413,'18'!$I$7:$I$100,2)+SUMIFS('18a'!$J$7:$J$100,'18a'!$H$7:$H$100,$A413,'18a'!$I$7:$I$100,2)
+SUMIFS('19'!$J$7:$J$100,'19'!$H$7:$H$100,$A413,'19'!$I$7:$I$100,2)+SUMIFS('20'!$J$7:$J$100,'20'!$H$7:$H$100,$A413,'20'!$I$7:$I$100,2)+SUMIFS('20a'!$J$7:$J$100,'20a'!$H$7:$H$100,$A413,'20a'!$I$7:$I$100,2)+SUMIFS('21'!$J$7:$J$100,'21'!$H$7:$H$100,$A413,'21'!$I$7:$I$100,2)+SUMIFS('22'!$J$7:$J$100,'22'!$H$7:$H$100,$A413,'22'!$I$7:$I$100,2)+SUMIFS('22a'!$J$7:$J$100,'22a'!$H$7:$H$100,$A413,'22a'!$I$7:$I$100,2)+SUMIFS('22b'!$J$7:$J$100,'22b'!$H$7:$H$100,$A413,'22b'!$I$7:$I$100,2)+SUMIFS('23'!$J$7:$J$100,'23'!$H$7:$H$100,$A413,'23'!$I$7:$I$100,2)+SUMIFS('24'!$J$7:$J$100,'24'!$H$7:$H$100,$A413,'24'!$I$7:$I$100,2)+SUMIFS('24a'!$J$7:$J$100,'24a'!$H$7:$H$100,$A413,'24a'!$I$7:$I$100,2)+SUMIFS('24b'!$J$7:$J$100,'24b'!$H$7:$H$100,$A413,'24b'!$I$7:$I$100,2)+SUMIFS('24c'!$J$7:$J$100,'24c'!$H$7:$H$100,$A413,'24c'!$I$7:$I$100,2)+SUMIFS('24d'!$J$7:$J$100,'24d'!$H$7:$H$100,$A413,'24d'!$I$7:$I$100,2)+SUMIFS('24e'!$J$7:$J$100,'24e'!$H$7:$H$100,$A413,'24e'!$I$7:$I$100,2)+SUMIFS('24f'!$J$7:$J$100,'24f'!$H$7:$H$100,$A413,'24f'!$I$7:$I$100,2)+SUMIFS('24g'!$J$7:$J$100,'24g'!$H$7:$H$100,$A413,'24g'!$I$7:$I$100,2)+SUMIFS('24h'!$J$7:$J$100,'24h'!$H$7:$H$100,$A413,'24h'!$I$7:$I$100,2)+SUMIFS('24i'!$J$7:$J$100,'24i'!$H$7:$H$100,$A413,'24i'!$I$7:$I$100,2)+SUMIFS('25'!$J$7:$J$100,'25'!$H$7:$H$100,$A413,'25'!$I$7:$I$100,2)+SUMIFS('26'!$J$7:$J$100,'26'!$H$7:$H$100,$A413,'26'!$I$7:$I$100,2)+SUMIFS('26a'!$J$7:$J$100,'26a'!$H$7:$H$100,$A413,'26a'!$I$7:$I$100,2)+SUMIFS('27'!$J$7:$J$100,'27'!$H$7:$H$100,$A413,'27'!$I$7:$I$100,2)+SUMIFS('27a'!$J$7:$J$100,'27a'!$H$7:$H$100,$A413,'27a'!$I$7:$I$100,2)+SUMIFS('28'!$J$7:$J$100,'28'!$H$7:$H$100,$A413,'28'!$I$7:$I$100,2)+SUMIFS('29'!$J$7:$J$100,'29'!$H$7:$H$100,$A413,'29'!$I$7:$I$100,2)</f>
        <v>0</v>
      </c>
      <c r="I413" s="1315">
        <f>SUMIFS('12'!$J$7:$J$100,'12'!$H$7:$H$100,$A413,'12'!$I$7:$I$100,"")+SUMIFS('13'!$J$7:$J$100,'13'!$H$7:$H$100,$A413,'13'!$I$7:$I$100,"")+SUMIFS('14'!$J$7:$J$100,'14'!$H$7:$H$100,$A413,'14'!$I$7:$I$100,"")+SUMIFS('15'!$J$7:$J$100,'15'!$H$7:$H$100,$A413,'15'!$I$7:$I$100,"")+SUMIFS('15a'!$J$7:$J$100,'15a'!$H$7:$H$100,$A413,'15a'!$I$7:$I$100,"")+SUMIFS('15b'!$J$7:$J$100,'15b'!$H$7:$H$100,$A413,'15b'!$I$7:$I$100,"")+SUMIFS('15c'!$J$7:$J$100,'15c'!$H$7:$H$100,$A413,'15c'!$I$7:$I$100,"")+SUMIFS('15d'!$J$7:$J$100,'15d'!$H$7:$H$100,$A413,'15d'!$I$7:$I$100,"")+SUMIFS('15e'!$J$7:$J$100,'15e'!$H$7:$H$100,$A413,'15e'!$I$7:$I$100,"")+SUMIFS('15f'!$J$7:$J$100,'15f'!$H$7:$H$100,$A413,'15f'!$I$7:$I$100,"")+SUMIFS('15g'!$J$7:$J$100,'15g'!$H$7:$H$100,$A413,'15g'!$I$7:$I$100,"")+SUMIFS('15h'!$J$7:$J$100,'15h'!$H$7:$H$100,$A413,'15h'!$I$7:$I$100,"")+SUMIFS('15i'!$J$7:$J$100,'15i'!$H$7:$H$100,$A413,'15i'!$I$7:$I$100,"")+SUMIFS('15j'!$J$7:$J$100,'15j'!$H$7:$H$100,$A413,'15j'!$I$7:$I$100,"")+SUMIFS('15k'!$J$7:$J$100,'15k'!$H$7:$H$100,$A413,'15k'!$I$7:$I$100,"")+SUMIFS('15l'!$J$7:$J$100,'15l'!$H$7:$H$100,$A413,'15l'!$I$7:$I$100,"")+SUMIFS('15m'!$J$7:$J$100,'15m'!$H$7:$H$100,$A413,'15m'!$I$7:$I$100,"")+SUMIFS('15n'!$J$7:$J$100,'15n'!$H$7:$H$100,$A413,'15n'!$I$7:$I$100,"")+SUMIFS('16'!$J$7:$J$100,'16'!$H$7:$H$100,$A413,'16'!$I$7:$I$100,"")+SUMIFS('16a'!$J$7:$J$100,'16a'!$H$7:$H$100,$A413,'16a'!$I$7:$I$100,"")+SUMIFS('17'!$J$7:$J$100,'17'!$H$7:$H$100,$A413,'17'!$I$7:$I$100,"")+SUMIFS('17a'!$J$7:$J$100,'17a'!$H$7:$H$100,$A413,'17a'!$I$7:$I$100,"")+SUMIFS('18'!$J$7:$J$100,'18'!$H$7:$H$100,$A413,'18'!$I$7:$I$100,"")+SUMIFS('18a'!$J$7:$J$100,'18a'!$H$7:$H$100,$A413,'18a'!$I$7:$I$100,"")
+SUMIFS('19'!$J$7:$J$100,'19'!$H$7:$H$100,$A413,'19'!$I$7:$I$100,"")+SUMIFS('20'!$J$7:$J$100,'20'!$H$7:$H$100,$A413,'20'!$I$7:$I$100,"")+SUMIFS('20a'!$J$7:$J$100,'20a'!$H$7:$H$100,$A413,'20a'!$I$7:$I$100,"")+SUMIFS('21'!$J$7:$J$100,'21'!$H$7:$H$100,$A413,'21'!$I$7:$I$100,"")+SUMIFS('22'!$J$7:$J$100,'22'!$H$7:$H$100,$A413,'22'!$I$7:$I$100,"")+SUMIFS('22a'!$J$7:$J$100,'22a'!$H$7:$H$100,$A413,'22a'!$I$7:$I$100,"")+SUMIFS('22b'!$J$7:$J$100,'22b'!$H$7:$H$100,$A413,'22b'!$I$7:$I$100,"")+SUMIFS('23'!$J$7:$J$100,'23'!$H$7:$H$100,$A413,'23'!$I$7:$I$100,"")+SUMIFS('24'!$J$7:$J$100,'24'!$H$7:$H$100,$A413,'24'!$I$7:$I$100,"")+SUMIFS('24a'!$J$7:$J$100,'24a'!$H$7:$H$100,$A413,'24a'!$I$7:$I$100,"")+SUMIFS('24b'!$J$7:$J$100,'24b'!$H$7:$H$100,$A413,'24b'!$I$7:$I$100,"")+SUMIFS('24c'!$J$7:$J$100,'24c'!$H$7:$H$100,$A413,'24c'!$I$7:$I$100,"")+SUMIFS('24d'!$J$7:$J$100,'24d'!$H$7:$H$100,$A413,'24d'!$I$7:$I$100,"")+SUMIFS('24e'!$J$7:$J$100,'24e'!$H$7:$H$100,$A413,'24e'!$I$7:$I$100,"")+SUMIFS('24f'!$J$7:$J$100,'24f'!$H$7:$H$100,$A413,'24f'!$I$7:$I$100,"")+SUMIFS('24g'!$J$7:$J$100,'24g'!$H$7:$H$100,$A413,'24g'!$I$7:$I$100,"")+SUMIFS('24h'!$J$7:$J$100,'24h'!$H$7:$H$100,$A413,'24h'!$I$7:$I$100,"")+SUMIFS('24i'!$J$7:$J$100,'24i'!$H$7:$H$100,$A413,'24i'!$I$7:$I$100,"")+SUMIFS('25'!$J$7:$J$100,'25'!$H$7:$H$100,$A413,'25'!$I$7:$I$100,"")+SUMIFS('26'!$J$7:$J$100,'26'!$H$7:$H$100,$A413,'26'!$I$7:$I$100,"")+SUMIFS('26a'!$J$7:$J$100,'26a'!$H$7:$H$100,$A413,'26a'!$I$7:$I$100,"")+SUMIFS('27'!$J$7:$J$100,'27'!$H$7:$H$100,$A413,'27'!$I$7:$I$100,"")+SUMIFS('27a'!$J$7:$J$100,'27a'!$H$7:$H$100,$A413,'27a'!$I$7:$I$100,"")+SUMIFS('28'!$J$7:$J$100,'28'!$H$7:$H$100,$A413,'28'!$I$7:$I$100,"")+SUMIFS('29'!$J$7:$J$100,'29'!$H$7:$H$100,$A413,'29'!$I$7:$I$100,"")</f>
        <v>0</v>
      </c>
      <c r="J413" s="1296">
        <f t="shared" si="70"/>
        <v>0</v>
      </c>
      <c r="K413"/>
      <c r="L413"/>
      <c r="M413"/>
      <c r="N413"/>
      <c r="O413"/>
      <c r="P413"/>
      <c r="Q413"/>
      <c r="R413"/>
      <c r="S413" s="1307">
        <f t="shared" si="71"/>
        <v>0</v>
      </c>
      <c r="T413"/>
    </row>
    <row r="414" spans="1:20" x14ac:dyDescent="0.2">
      <c r="A414" t="s">
        <v>547</v>
      </c>
      <c r="B414" t="s">
        <v>5555</v>
      </c>
      <c r="C414" s="1295">
        <f>SUMIFS('12'!$N$7:$N$100,'12'!$H$7:$H$100,$A414,'12'!$I$7:$I$100,1)+SUMIFS('13'!$N$7:$N$100,'13'!$H$7:$H$100,$A414,'13'!$I$7:$I$100,1)+SUMIFS('14'!$N$7:$N$100,'14'!$H$7:$H$100,$A414,'14'!$I$7:$I$100,1)+SUMIFS('15'!$N$7:$N$100,'15'!$H$7:$H$100,$A414,'15'!$I$7:$I$100,1)+SUMIFS('15a'!$N$7:$N$100,'15a'!$H$7:$H$100,$A414,'15a'!$I$7:$I$100,1)+SUMIFS('15b'!$N$7:$N$100,'15b'!$H$7:$H$100,$A414,'15b'!$I$7:$I$100,1)+SUMIFS('15c'!$N$7:$N$100,'15c'!$H$7:$H$100,$A414,'15c'!$I$7:$I$100,1)+SUMIFS('15d'!$N$7:$N$100,'15d'!$H$7:$H$100,$A414,'15d'!$I$7:$I$100,1)+SUMIFS('15e'!$N$7:$N$100,'15e'!$H$7:$H$100,$A414,'15e'!$I$7:$I$100,1)+SUMIFS('15f'!$N$7:$N$100,'15f'!$H$7:$H$100,$A414,'15f'!$I$7:$I$100,1)+SUMIFS('15g'!$N$7:$N$100,'15g'!$H$7:$H$100,$A414,'15g'!$I$7:$I$100,1)+SUMIFS('15h'!$N$7:$N$100,'15h'!$H$7:$H$100,$A414,'15h'!$I$7:$I$100,1)+SUMIFS('15i'!$N$7:$N$100,'15i'!$H$7:$H$100,$A414,'15i'!$I$7:$I$100,1)+SUMIFS('15j'!$N$7:$N$100,'15j'!$H$7:$H$100,$A414,'15j'!$I$7:$I$100,1)+SUMIFS('15k'!$N$7:$N$100,'15k'!$H$7:$H$100,$A414,'15k'!$I$7:$I$100,1)+SUMIFS('15l'!$N$7:$N$100,'15l'!$H$7:$H$100,$A414,'15l'!$I$7:$I$100,1)+SUMIFS('15m'!$N$7:$N$100,'15m'!$H$7:$H$100,$A414,'15m'!$I$7:$I$100,1)+SUMIFS('15n'!$N$7:$N$100,'15n'!$H$7:$H$100,$A414,'15n'!$I$7:$I$100,1)+SUMIFS('16'!$N$7:$N$100,'16'!$H$7:$H$100,$A414,'16'!$I$7:$I$100,1)+SUMIFS('16a'!$N$7:$N$100,'16a'!$H$7:$H$100,$A414,'16a'!$I$7:$I$100,1)+SUMIFS('17'!$N$7:$N$100,'17'!$H$7:$H$100,$A414,'17'!$I$7:$I$100,1)+SUMIFS('17a'!$N$7:$N$100,'17a'!$H$7:$H$100,$A414,'17a'!$I$7:$I$100,1)+SUMIFS('18'!$N$7:$N$100,'18'!$H$7:$H$100,$A414,'18'!$I$7:$I$100,1)+SUMIFS('18a'!$N$7:$N$100,'18a'!$H$7:$H$100,$A414,'18a'!$I$7:$I$100,1)
+SUMIFS('19'!$N$7:$N$100,'19'!$H$7:$H$100,$A414,'19'!$I$7:$I$100,1)+SUMIFS('20'!$N$7:$N$100,'20'!$H$7:$H$100,$A414,'20'!$I$7:$I$100,1)+SUMIFS('20a'!$N$7:$N$100,'20a'!$H$7:$H$100,$A414,'20a'!$I$7:$I$100,1)+SUMIFS('21'!$N$7:$N$100,'21'!$H$7:$H$100,$A414,'21'!$I$7:$I$100,1)+SUMIFS('22'!$N$7:$N$100,'22'!$H$7:$H$100,$A414,'22'!$I$7:$I$100,1)+SUMIFS('22a'!$N$7:$N$100,'22a'!$H$7:$H$100,$A414,'22a'!$I$7:$I$100,1)+SUMIFS('22b'!$N$7:$N$100,'22b'!$H$7:$H$100,$A414,'22b'!$I$7:$I$100,1)+SUMIFS('23'!$N$7:$N$100,'23'!$H$7:$H$100,$A414,'23'!$I$7:$I$100,1)+SUMIFS('24'!$N$7:$N$100,'24'!$H$7:$H$100,$A414,'24'!$I$7:$I$100,1)+SUMIFS('24a'!$N$7:$N$100,'24a'!$H$7:$H$100,$A414,'24a'!$I$7:$I$100,1)+SUMIFS('24b'!$N$7:$N$100,'24b'!$H$7:$H$100,$A414,'24b'!$I$7:$I$100,1)+SUMIFS('24c'!$N$7:$N$100,'24c'!$H$7:$H$100,$A414,'24c'!$I$7:$I$100,1)+SUMIFS('24d'!$N$7:$N$100,'24d'!$H$7:$H$100,$A414,'24d'!$I$7:$I$100,1)+SUMIFS('24e'!$N$7:$N$100,'24e'!$H$7:$H$100,$A414,'24e'!$I$7:$I$100,1)+SUMIFS('24f'!$N$7:$N$100,'24f'!$H$7:$H$100,$A414,'24f'!$I$7:$I$100,1)+SUMIFS('24g'!$N$7:$N$100,'24g'!$H$7:$H$100,$A414,'24g'!$I$7:$I$100,1)+SUMIFS('24h'!$N$7:$N$100,'24h'!$H$7:$H$100,$A414,'24h'!$I$7:$I$100,1)+SUMIFS('24i'!$N$7:$N$100,'24i'!$H$7:$H$100,$A414,'24i'!$I$7:$I$100,1)+SUMIFS('25'!$N$7:$N$100,'25'!$H$7:$H$100,$A414,'25'!$I$7:$I$100,1)+SUMIFS('26'!$N$7:$N$100,'26'!$H$7:$H$100,$A414,'26'!$I$7:$I$100,1)+SUMIFS('26a'!$N$7:$N$100,'26a'!$H$7:$H$100,$A414,'26a'!$I$7:$I$100,1)+SUMIFS('27'!$N$7:$N$100,'27'!$H$7:$H$100,$A414,'27'!$I$7:$I$100,1)+SUMIFS('27a'!$N$7:$N$100,'27a'!$H$7:$H$100,$A414,'27a'!$I$7:$I$100,1)+SUMIFS('28'!$N$7:$N$100,'28'!$H$7:$H$100,$A414,'28'!$I$7:$I$100,1)+SUMIFS('29'!$N$7:$N$100,'29'!$H$7:$H$100,$A414,'29'!$I$7:$I$100,1)</f>
        <v>0</v>
      </c>
      <c r="D414" s="1315">
        <f>SUMIFS('12'!$N$7:$N$100,'12'!$H$7:$H$100,$A414,'12'!$I$7:$I$100,2)+SUMIFS('13'!$N$7:$N$100,'13'!$H$7:$H$100,$A414,'13'!$I$7:$I$100,2)+SUMIFS('14'!$N$7:$N$100,'14'!$H$7:$H$100,$A414,'14'!$I$7:$I$100,2)+SUMIFS('15'!$N$7:$N$100,'15'!$H$7:$H$100,$A414,'15'!$I$7:$I$100,2)+SUMIFS('15a'!$N$7:$N$100,'15a'!$H$7:$H$100,$A414,'15a'!$I$7:$I$100,2)+SUMIFS('15b'!$N$7:$N$100,'15b'!$H$7:$H$100,$A414,'15b'!$I$7:$I$100,2)+SUMIFS('15c'!$N$7:$N$100,'15c'!$H$7:$H$100,$A414,'15c'!$I$7:$I$100,2)+SUMIFS('15d'!$N$7:$N$100,'15d'!$H$7:$H$100,$A414,'15d'!$I$7:$I$100,2)+SUMIFS('15e'!$N$7:$N$100,'15e'!$H$7:$H$100,$A414,'15e'!$I$7:$I$100,2)+SUMIFS('15f'!$N$7:$N$100,'15f'!$H$7:$H$100,$A414,'15f'!$I$7:$I$100,2)+SUMIFS('15g'!$N$7:$N$100,'15g'!$H$7:$H$100,$A414,'15g'!$I$7:$I$100,2)+SUMIFS('15h'!$N$7:$N$100,'15h'!$H$7:$H$100,$A414,'15h'!$I$7:$I$100,2)+SUMIFS('15i'!$N$7:$N$100,'15i'!$H$7:$H$100,$A414,'15i'!$I$7:$I$100,2)+SUMIFS('15j'!$N$7:$N$100,'15j'!$H$7:$H$100,$A414,'15j'!$I$7:$I$100,2)+SUMIFS('15k'!$N$7:$N$100,'15k'!$H$7:$H$100,$A414,'15k'!$I$7:$I$100,2)+SUMIFS('15l'!$N$7:$N$100,'15l'!$H$7:$H$100,$A414,'15l'!$I$7:$I$100,2)+SUMIFS('15m'!$N$7:$N$100,'15m'!$H$7:$H$100,$A414,'15m'!$I$7:$I$100,2)+SUMIFS('15n'!$N$7:$N$100,'15n'!$H$7:$H$100,$A414,'15n'!$I$7:$I$100,2)+SUMIFS('16'!$N$7:$N$100,'16'!$H$7:$H$100,$A414,'16'!$I$7:$I$100,2)+SUMIFS('16a'!$N$7:$N$100,'16a'!$H$7:$H$100,$A414,'16a'!$I$7:$I$100,2)+SUMIFS('17'!$N$7:$N$100,'17'!$H$7:$H$100,$A414,'17'!$I$7:$I$100,2)+SUMIFS('17a'!$N$7:$N$100,'17a'!$H$7:$H$100,$A414,'17a'!$I$7:$I$100,2)+SUMIFS('18'!$N$7:$N$100,'18'!$H$7:$H$100,$A414,'18'!$I$7:$I$100,2)+SUMIFS('18a'!$N$7:$N$100,'18a'!$H$7:$H$100,$A414,'18a'!$I$7:$I$100,2)
+SUMIFS('19'!$N$7:$N$100,'19'!$H$7:$H$100,$A414,'19'!$I$7:$I$100,2)+SUMIFS('20'!$N$7:$N$100,'20'!$H$7:$H$100,$A414,'20'!$I$7:$I$100,2)+SUMIFS('20a'!$N$7:$N$100,'20a'!$H$7:$H$100,$A414,'20a'!$I$7:$I$100,2)+SUMIFS('21'!$N$7:$N$100,'21'!$H$7:$H$100,$A414,'21'!$I$7:$I$100,2)+SUMIFS('22'!$N$7:$N$100,'22'!$H$7:$H$100,$A414,'22'!$I$7:$I$100,2)+SUMIFS('22a'!$N$7:$N$100,'22a'!$H$7:$H$100,$A414,'22a'!$I$7:$I$100,2)+SUMIFS('22b'!$N$7:$N$100,'22b'!$H$7:$H$100,$A414,'22b'!$I$7:$I$100,2)+SUMIFS('23'!$N$7:$N$100,'23'!$H$7:$H$100,$A414,'23'!$I$7:$I$100,2)+SUMIFS('24'!$N$7:$N$100,'24'!$H$7:$H$100,$A414,'24'!$I$7:$I$100,2)+SUMIFS('24a'!$N$7:$N$100,'24a'!$H$7:$H$100,$A414,'24a'!$I$7:$I$100,2)+SUMIFS('24b'!$N$7:$N$100,'24b'!$H$7:$H$100,$A414,'24b'!$I$7:$I$100,2)+SUMIFS('24c'!$N$7:$N$100,'24c'!$H$7:$H$100,$A414,'24c'!$I$7:$I$100,2)+SUMIFS('24d'!$N$7:$N$100,'24d'!$H$7:$H$100,$A414,'24d'!$I$7:$I$100,2)+SUMIFS('24e'!$N$7:$N$100,'24e'!$H$7:$H$100,$A414,'24e'!$I$7:$I$100,2)+SUMIFS('24f'!$N$7:$N$100,'24f'!$H$7:$H$100,$A414,'24f'!$I$7:$I$100,2)+SUMIFS('24g'!$N$7:$N$100,'24g'!$H$7:$H$100,$A414,'24g'!$I$7:$I$100,2)+SUMIFS('24h'!$N$7:$N$100,'24h'!$H$7:$H$100,$A414,'24h'!$I$7:$I$100,2)+SUMIFS('24i'!$N$7:$N$100,'24i'!$H$7:$H$100,$A414,'24i'!$I$7:$I$100,2)+SUMIFS('25'!$N$7:$N$100,'25'!$H$7:$H$100,$A414,'25'!$I$7:$I$100,2)+SUMIFS('26'!$N$7:$N$100,'26'!$H$7:$H$100,$A414,'26'!$I$7:$I$100,2)+SUMIFS('26a'!$N$7:$N$100,'26a'!$H$7:$H$100,$A414,'26a'!$I$7:$I$100,2)+SUMIFS('27'!$N$7:$N$100,'27'!$H$7:$H$100,$A414,'27'!$I$7:$I$100,2)+SUMIFS('27a'!$N$7:$N$100,'27a'!$H$7:$H$100,$A414,'27a'!$I$7:$I$100,2)+SUMIFS('28'!$N$7:$N$100,'28'!$H$7:$H$100,$A414,'28'!$I$7:$I$100,2)+SUMIFS('29'!$N$7:$N$100,'29'!$H$7:$H$100,$A414,'29'!$I$7:$I$100,2)</f>
        <v>0</v>
      </c>
      <c r="E414" s="1315">
        <f>SUMIFS('12'!$N$7:$N$100,'12'!$H$7:$H$100,$A414,'12'!$I$7:$I$100,"")+SUMIFS('13'!$N$7:$N$100,'13'!$H$7:$H$100,$A414,'13'!$I$7:$I$100,"")+SUMIFS('14'!$N$7:$N$100,'14'!$H$7:$H$100,$A414,'14'!$I$7:$I$100,"")+SUMIFS('15'!$N$7:$N$100,'15'!$H$7:$H$100,$A414,'15'!$I$7:$I$100,"")+SUMIFS('15a'!$N$7:$N$100,'15a'!$H$7:$H$100,$A414,'15a'!$I$7:$I$100,"")+SUMIFS('15b'!$N$7:$N$100,'15b'!$H$7:$H$100,$A414,'15b'!$I$7:$I$100,"")+SUMIFS('15c'!$N$7:$N$100,'15c'!$H$7:$H$100,$A414,'15c'!$I$7:$I$100,"")+SUMIFS('15d'!$N$7:$N$100,'15d'!$H$7:$H$100,$A414,'15d'!$I$7:$I$100,"")+SUMIFS('15e'!$N$7:$N$100,'15e'!$H$7:$H$100,$A414,'15e'!$I$7:$I$100,"")+SUMIFS('15f'!$N$7:$N$100,'15f'!$H$7:$H$100,$A414,'15f'!$I$7:$I$100,"")+SUMIFS('15g'!$N$7:$N$100,'15g'!$H$7:$H$100,$A414,'15g'!$I$7:$I$100,"")+SUMIFS('15h'!$N$7:$N$100,'15h'!$H$7:$H$100,$A414,'15h'!$I$7:$I$100,"")+SUMIFS('15i'!$N$7:$N$100,'15i'!$H$7:$H$100,$A414,'15i'!$I$7:$I$100,"")+SUMIFS('15j'!$N$7:$N$100,'15j'!$H$7:$H$100,$A414,'15j'!$I$7:$I$100,"")+SUMIFS('15k'!$N$7:$N$100,'15k'!$H$7:$H$100,$A414,'15k'!$I$7:$I$100,"")+SUMIFS('15l'!$N$7:$N$100,'15l'!$H$7:$H$100,$A414,'15l'!$I$7:$I$100,"")+SUMIFS('15m'!$N$7:$N$100,'15m'!$H$7:$H$100,$A414,'15m'!$I$7:$I$100,"")+SUMIFS('15n'!$N$7:$N$100,'15n'!$H$7:$H$100,$A414,'15n'!$I$7:$I$100,"")+SUMIFS('16'!$N$7:$N$100,'16'!$H$7:$H$100,$A414,'16'!$I$7:$I$100,"")+SUMIFS('16a'!$N$7:$N$100,'16a'!$H$7:$H$100,$A414,'16a'!$I$7:$I$100,"")+SUMIFS('17'!$N$7:$N$100,'17'!$H$7:$H$100,$A414,'17'!$I$7:$I$100,"")+SUMIFS('17a'!$N$7:$N$100,'17a'!$H$7:$H$100,$A414,'17a'!$I$7:$I$100,"")+SUMIFS('18'!$N$7:$N$100,'18'!$H$7:$H$100,$A414,'18'!$I$7:$I$100,"")+SUMIFS('18a'!$N$7:$N$100,'18a'!$H$7:$H$100,$A414,'18a'!$I$7:$I$100,"")
+SUMIFS('19'!$N$7:$N$100,'19'!$H$7:$H$100,$A414,'19'!$I$7:$I$100,"")+SUMIFS('20'!$N$7:$N$100,'20'!$H$7:$H$100,$A414,'20'!$I$7:$I$100,"")+SUMIFS('20a'!$N$7:$N$100,'20a'!$H$7:$H$100,$A414,'20a'!$I$7:$I$100,"")+SUMIFS('21'!$N$7:$N$100,'21'!$H$7:$H$100,$A414,'21'!$I$7:$I$100,"")+SUMIFS('22'!$N$7:$N$100,'22'!$H$7:$H$100,$A414,'22'!$I$7:$I$100,"")+SUMIFS('22a'!$N$7:$N$100,'22a'!$H$7:$H$100,$A414,'22a'!$I$7:$I$100,"")+SUMIFS('22b'!$N$7:$N$100,'22b'!$H$7:$H$100,$A414,'22b'!$I$7:$I$100,"")+SUMIFS('23'!$N$7:$N$100,'23'!$H$7:$H$100,$A414,'23'!$I$7:$I$100,"")+SUMIFS('24'!$N$7:$N$100,'24'!$H$7:$H$100,$A414,'24'!$I$7:$I$100,"")+SUMIFS('24a'!$N$7:$N$100,'24a'!$H$7:$H$100,$A414,'24a'!$I$7:$I$100,"")+SUMIFS('24b'!$N$7:$N$100,'24b'!$H$7:$H$100,$A414,'24b'!$I$7:$I$100,"")+SUMIFS('24c'!$N$7:$N$100,'24c'!$H$7:$H$100,$A414,'24c'!$I$7:$I$100,"")+SUMIFS('24d'!$N$7:$N$100,'24d'!$H$7:$H$100,$A414,'24d'!$I$7:$I$100,"")+SUMIFS('24e'!$N$7:$N$100,'24e'!$H$7:$H$100,$A414,'24e'!$I$7:$I$100,"")+SUMIFS('24f'!$N$7:$N$100,'24f'!$H$7:$H$100,$A414,'24f'!$I$7:$I$100,"")+SUMIFS('24g'!$N$7:$N$100,'24g'!$H$7:$H$100,$A414,'24g'!$I$7:$I$100,"")+SUMIFS('24h'!$N$7:$N$100,'24h'!$H$7:$H$100,$A414,'24h'!$I$7:$I$100,"")+SUMIFS('24i'!$N$7:$N$100,'24i'!$H$7:$H$100,$A414,'24i'!$I$7:$I$100,"")+SUMIFS('25'!$N$7:$N$100,'25'!$H$7:$H$100,$A414,'25'!$I$7:$I$100,"")+SUMIFS('26'!$N$7:$N$100,'26'!$H$7:$H$100,$A414,'26'!$I$7:$I$100,"")+SUMIFS('26a'!$N$7:$N$100,'26a'!$H$7:$H$100,$A414,'26a'!$I$7:$I$100,"")+SUMIFS('27'!$N$7:$N$100,'27'!$H$7:$H$100,$A414,'27'!$I$7:$I$100,"")+SUMIFS('27a'!$N$7:$N$100,'27a'!$H$7:$H$100,$A414,'27a'!$I$7:$I$100,"")+SUMIFS('28'!$N$7:$N$100,'28'!$H$7:$H$100,$A414,'28'!$I$7:$I$100,"")+SUMIFS('29'!$N$7:$N$100,'29'!$H$7:$H$100,$A414,'29'!$I$7:$I$100,"")</f>
        <v>0</v>
      </c>
      <c r="F414" s="1296">
        <f t="shared" si="69"/>
        <v>0</v>
      </c>
      <c r="G414" s="1295">
        <f>SUMIFS('12'!$J$7:$J$100,'12'!$H$7:$H$100,$A414,'12'!$I$7:$I$100,1)+SUMIFS('13'!$J$7:$J$100,'13'!$H$7:$H$100,$A414,'13'!$I$7:$I$100,1)+SUMIFS('14'!$J$7:$J$100,'14'!$H$7:$H$100,$A414,'14'!$I$7:$I$100,1)+SUMIFS('15'!$J$7:$J$100,'15'!$H$7:$H$100,$A414,'15'!$I$7:$I$100,1)+SUMIFS('15a'!$J$7:$J$100,'15a'!$H$7:$H$100,$A414,'15a'!$I$7:$I$100,1)+SUMIFS('15b'!$J$7:$J$100,'15b'!$H$7:$H$100,$A414,'15b'!$I$7:$I$100,1)+SUMIFS('15c'!$J$7:$J$100,'15c'!$H$7:$H$100,$A414,'15c'!$I$7:$I$100,1)+SUMIFS('15d'!$J$7:$J$100,'15d'!$H$7:$H$100,$A414,'15d'!$I$7:$I$100,1)+SUMIFS('15e'!$J$7:$J$100,'15e'!$H$7:$H$100,$A414,'15e'!$I$7:$I$100,1)+SUMIFS('15f'!$J$7:$J$100,'15f'!$H$7:$H$100,$A414,'15f'!$I$7:$I$100,1)+SUMIFS('15g'!$J$7:$J$100,'15g'!$H$7:$H$100,$A414,'15g'!$I$7:$I$100,1)+SUMIFS('15h'!$J$7:$J$100,'15h'!$H$7:$H$100,$A414,'15h'!$I$7:$I$100,1)+SUMIFS('15i'!$J$7:$J$100,'15i'!$H$7:$H$100,$A414,'15i'!$I$7:$I$100,1)+SUMIFS('15j'!$J$7:$J$100,'15j'!$H$7:$H$100,$A414,'15j'!$I$7:$I$100,1)+SUMIFS('15k'!$J$7:$J$100,'15k'!$H$7:$H$100,$A414,'15k'!$I$7:$I$100,1)+SUMIFS('15l'!$J$7:$J$100,'15l'!$H$7:$H$100,$A414,'15l'!$I$7:$I$100,1)+SUMIFS('15m'!$J$7:$J$100,'15m'!$H$7:$H$100,$A414,'15m'!$I$7:$I$100,1)+SUMIFS('15n'!$J$7:$J$100,'15n'!$H$7:$H$100,$A414,'15n'!$I$7:$I$100,1)+SUMIFS('16'!$J$7:$J$100,'16'!$H$7:$H$100,$A414,'16'!$I$7:$I$100,1)+SUMIFS('16a'!$J$7:$J$100,'16a'!$H$7:$H$100,$A414,'16a'!$I$7:$I$100,1)+SUMIFS('17'!$J$7:$J$100,'17'!$H$7:$H$100,$A414,'17'!$I$7:$I$100,1)+SUMIFS('17a'!$J$7:$J$100,'17a'!$H$7:$H$100,$A414,'17a'!$I$7:$I$100,1)+SUMIFS('18'!$J$7:$J$100,'18'!$H$7:$H$100,$A414,'18'!$I$7:$I$100,1)+SUMIFS('18a'!$J$7:$J$100,'18a'!$H$7:$H$100,$A414,'18a'!$I$7:$I$100,1)
+SUMIFS('19'!$J$7:$J$100,'19'!$H$7:$H$100,$A414,'19'!$I$7:$I$100,1)+SUMIFS('20'!$J$7:$J$100,'20'!$H$7:$H$100,$A414,'20'!$I$7:$I$100,1)+SUMIFS('20a'!$J$7:$J$100,'20a'!$H$7:$H$100,$A414,'20a'!$I$7:$I$100,1)+SUMIFS('21'!$J$7:$J$100,'21'!$H$7:$H$100,$A414,'21'!$I$7:$I$100,1)+SUMIFS('22'!$J$7:$J$100,'22'!$H$7:$H$100,$A414,'22'!$I$7:$I$100,1)+SUMIFS('22a'!$J$7:$J$100,'22a'!$H$7:$H$100,$A414,'22a'!$I$7:$I$100,1)+SUMIFS('22b'!$J$7:$J$100,'22b'!$H$7:$H$100,$A414,'22b'!$I$7:$I$100,1)+SUMIFS('23'!$J$7:$J$100,'23'!$H$7:$H$100,$A414,'23'!$I$7:$I$100,1)+SUMIFS('24'!$J$7:$J$100,'24'!$H$7:$H$100,$A414,'24'!$I$7:$I$100,1)+SUMIFS('24a'!$J$7:$J$100,'24a'!$H$7:$H$100,$A414,'24a'!$I$7:$I$100,1)+SUMIFS('24b'!$J$7:$J$100,'24b'!$H$7:$H$100,$A414,'24b'!$I$7:$I$100,1)+SUMIFS('24c'!$J$7:$J$100,'24c'!$H$7:$H$100,$A414,'24c'!$I$7:$I$100,1)+SUMIFS('24d'!$J$7:$J$100,'24d'!$H$7:$H$100,$A414,'24d'!$I$7:$I$100,1)+SUMIFS('24e'!$J$7:$J$100,'24e'!$H$7:$H$100,$A414,'24e'!$I$7:$I$100,1)+SUMIFS('24f'!$J$7:$J$100,'24f'!$H$7:$H$100,$A414,'24f'!$I$7:$I$100,1)+SUMIFS('24g'!$J$7:$J$100,'24g'!$H$7:$H$100,$A414,'24g'!$I$7:$I$100,1)+SUMIFS('24h'!$J$7:$J$100,'24h'!$H$7:$H$100,$A414,'24h'!$I$7:$I$100,1)+SUMIFS('24i'!$J$7:$J$100,'24i'!$H$7:$H$100,$A414,'24i'!$I$7:$I$100,1)+SUMIFS('25'!$J$7:$J$100,'25'!$H$7:$H$100,$A414,'25'!$I$7:$I$100,1)+SUMIFS('26'!$J$7:$J$100,'26'!$H$7:$H$100,$A414,'26'!$I$7:$I$100,1)+SUMIFS('26a'!$J$7:$J$100,'26a'!$H$7:$H$100,$A414,'26a'!$I$7:$I$100,1)+SUMIFS('27'!$J$7:$J$100,'27'!$H$7:$H$100,$A414,'27'!$I$7:$I$100,1)+SUMIFS('27a'!$J$7:$J$100,'27a'!$H$7:$H$100,$A414,'27a'!$I$7:$I$100,1)+SUMIFS('28'!$J$7:$J$100,'28'!$H$7:$H$100,$A414,'28'!$I$7:$I$100,1)+SUMIFS('29'!$J$7:$J$100,'29'!$H$7:$H$100,$A414,'29'!$I$7:$I$100,1)</f>
        <v>0</v>
      </c>
      <c r="H414" s="1315">
        <f>SUMIFS('12'!$J$7:$J$100,'12'!$H$7:$H$100,$A414,'12'!$I$7:$I$100,2)+SUMIFS('13'!$J$7:$J$100,'13'!$H$7:$H$100,$A414,'13'!$I$7:$I$100,2)+SUMIFS('14'!$J$7:$J$100,'14'!$H$7:$H$100,$A414,'14'!$I$7:$I$100,2)+SUMIFS('15'!$J$7:$J$100,'15'!$H$7:$H$100,$A414,'15'!$I$7:$I$100,2)+SUMIFS('15a'!$J$7:$J$100,'15a'!$H$7:$H$100,$A414,'15a'!$I$7:$I$100,2)+SUMIFS('15b'!$J$7:$J$100,'15b'!$H$7:$H$100,$A414,'15b'!$I$7:$I$100,2)+SUMIFS('15c'!$J$7:$J$100,'15c'!$H$7:$H$100,$A414,'15c'!$I$7:$I$100,2)+SUMIFS('15d'!$J$7:$J$100,'15d'!$H$7:$H$100,$A414,'15d'!$I$7:$I$100,2)+SUMIFS('15e'!$J$7:$J$100,'15e'!$H$7:$H$100,$A414,'15e'!$I$7:$I$100,2)+SUMIFS('15f'!$J$7:$J$100,'15f'!$H$7:$H$100,$A414,'15f'!$I$7:$I$100,2)+SUMIFS('15g'!$J$7:$J$100,'15g'!$H$7:$H$100,$A414,'15g'!$I$7:$I$100,2)+SUMIFS('15h'!$J$7:$J$100,'15h'!$H$7:$H$100,$A414,'15h'!$I$7:$I$100,2)+SUMIFS('15i'!$J$7:$J$100,'15i'!$H$7:$H$100,$A414,'15i'!$I$7:$I$100,2)+SUMIFS('15j'!$J$7:$J$100,'15j'!$H$7:$H$100,$A414,'15j'!$I$7:$I$100,2)+SUMIFS('15k'!$J$7:$J$100,'15k'!$H$7:$H$100,$A414,'15k'!$I$7:$I$100,2)+SUMIFS('15l'!$J$7:$J$100,'15l'!$H$7:$H$100,$A414,'15l'!$I$7:$I$100,2)+SUMIFS('15m'!$J$7:$J$100,'15m'!$H$7:$H$100,$A414,'15m'!$I$7:$I$100,2)+SUMIFS('15n'!$J$7:$J$100,'15n'!$H$7:$H$100,$A414,'15n'!$I$7:$I$100,2)+SUMIFS('16'!$J$7:$J$100,'16'!$H$7:$H$100,$A414,'16'!$I$7:$I$100,2)+SUMIFS('16a'!$J$7:$J$100,'16a'!$H$7:$H$100,$A414,'16a'!$I$7:$I$100,2)+SUMIFS('17'!$J$7:$J$100,'17'!$H$7:$H$100,$A414,'17'!$I$7:$I$100,2)+SUMIFS('17a'!$J$7:$J$100,'17a'!$H$7:$H$100,$A414,'17a'!$I$7:$I$100,2)+SUMIFS('18'!$J$7:$J$100,'18'!$H$7:$H$100,$A414,'18'!$I$7:$I$100,2)+SUMIFS('18a'!$J$7:$J$100,'18a'!$H$7:$H$100,$A414,'18a'!$I$7:$I$100,2)
+SUMIFS('19'!$J$7:$J$100,'19'!$H$7:$H$100,$A414,'19'!$I$7:$I$100,2)+SUMIFS('20'!$J$7:$J$100,'20'!$H$7:$H$100,$A414,'20'!$I$7:$I$100,2)+SUMIFS('20a'!$J$7:$J$100,'20a'!$H$7:$H$100,$A414,'20a'!$I$7:$I$100,2)+SUMIFS('21'!$J$7:$J$100,'21'!$H$7:$H$100,$A414,'21'!$I$7:$I$100,2)+SUMIFS('22'!$J$7:$J$100,'22'!$H$7:$H$100,$A414,'22'!$I$7:$I$100,2)+SUMIFS('22a'!$J$7:$J$100,'22a'!$H$7:$H$100,$A414,'22a'!$I$7:$I$100,2)+SUMIFS('22b'!$J$7:$J$100,'22b'!$H$7:$H$100,$A414,'22b'!$I$7:$I$100,2)+SUMIFS('23'!$J$7:$J$100,'23'!$H$7:$H$100,$A414,'23'!$I$7:$I$100,2)+SUMIFS('24'!$J$7:$J$100,'24'!$H$7:$H$100,$A414,'24'!$I$7:$I$100,2)+SUMIFS('24a'!$J$7:$J$100,'24a'!$H$7:$H$100,$A414,'24a'!$I$7:$I$100,2)+SUMIFS('24b'!$J$7:$J$100,'24b'!$H$7:$H$100,$A414,'24b'!$I$7:$I$100,2)+SUMIFS('24c'!$J$7:$J$100,'24c'!$H$7:$H$100,$A414,'24c'!$I$7:$I$100,2)+SUMIFS('24d'!$J$7:$J$100,'24d'!$H$7:$H$100,$A414,'24d'!$I$7:$I$100,2)+SUMIFS('24e'!$J$7:$J$100,'24e'!$H$7:$H$100,$A414,'24e'!$I$7:$I$100,2)+SUMIFS('24f'!$J$7:$J$100,'24f'!$H$7:$H$100,$A414,'24f'!$I$7:$I$100,2)+SUMIFS('24g'!$J$7:$J$100,'24g'!$H$7:$H$100,$A414,'24g'!$I$7:$I$100,2)+SUMIFS('24h'!$J$7:$J$100,'24h'!$H$7:$H$100,$A414,'24h'!$I$7:$I$100,2)+SUMIFS('24i'!$J$7:$J$100,'24i'!$H$7:$H$100,$A414,'24i'!$I$7:$I$100,2)+SUMIFS('25'!$J$7:$J$100,'25'!$H$7:$H$100,$A414,'25'!$I$7:$I$100,2)+SUMIFS('26'!$J$7:$J$100,'26'!$H$7:$H$100,$A414,'26'!$I$7:$I$100,2)+SUMIFS('26a'!$J$7:$J$100,'26a'!$H$7:$H$100,$A414,'26a'!$I$7:$I$100,2)+SUMIFS('27'!$J$7:$J$100,'27'!$H$7:$H$100,$A414,'27'!$I$7:$I$100,2)+SUMIFS('27a'!$J$7:$J$100,'27a'!$H$7:$H$100,$A414,'27a'!$I$7:$I$100,2)+SUMIFS('28'!$J$7:$J$100,'28'!$H$7:$H$100,$A414,'28'!$I$7:$I$100,2)+SUMIFS('29'!$J$7:$J$100,'29'!$H$7:$H$100,$A414,'29'!$I$7:$I$100,2)</f>
        <v>0</v>
      </c>
      <c r="I414" s="1315">
        <f>SUMIFS('12'!$J$7:$J$100,'12'!$H$7:$H$100,$A414,'12'!$I$7:$I$100,"")+SUMIFS('13'!$J$7:$J$100,'13'!$H$7:$H$100,$A414,'13'!$I$7:$I$100,"")+SUMIFS('14'!$J$7:$J$100,'14'!$H$7:$H$100,$A414,'14'!$I$7:$I$100,"")+SUMIFS('15'!$J$7:$J$100,'15'!$H$7:$H$100,$A414,'15'!$I$7:$I$100,"")+SUMIFS('15a'!$J$7:$J$100,'15a'!$H$7:$H$100,$A414,'15a'!$I$7:$I$100,"")+SUMIFS('15b'!$J$7:$J$100,'15b'!$H$7:$H$100,$A414,'15b'!$I$7:$I$100,"")+SUMIFS('15c'!$J$7:$J$100,'15c'!$H$7:$H$100,$A414,'15c'!$I$7:$I$100,"")+SUMIFS('15d'!$J$7:$J$100,'15d'!$H$7:$H$100,$A414,'15d'!$I$7:$I$100,"")+SUMIFS('15e'!$J$7:$J$100,'15e'!$H$7:$H$100,$A414,'15e'!$I$7:$I$100,"")+SUMIFS('15f'!$J$7:$J$100,'15f'!$H$7:$H$100,$A414,'15f'!$I$7:$I$100,"")+SUMIFS('15g'!$J$7:$J$100,'15g'!$H$7:$H$100,$A414,'15g'!$I$7:$I$100,"")+SUMIFS('15h'!$J$7:$J$100,'15h'!$H$7:$H$100,$A414,'15h'!$I$7:$I$100,"")+SUMIFS('15i'!$J$7:$J$100,'15i'!$H$7:$H$100,$A414,'15i'!$I$7:$I$100,"")+SUMIFS('15j'!$J$7:$J$100,'15j'!$H$7:$H$100,$A414,'15j'!$I$7:$I$100,"")+SUMIFS('15k'!$J$7:$J$100,'15k'!$H$7:$H$100,$A414,'15k'!$I$7:$I$100,"")+SUMIFS('15l'!$J$7:$J$100,'15l'!$H$7:$H$100,$A414,'15l'!$I$7:$I$100,"")+SUMIFS('15m'!$J$7:$J$100,'15m'!$H$7:$H$100,$A414,'15m'!$I$7:$I$100,"")+SUMIFS('15n'!$J$7:$J$100,'15n'!$H$7:$H$100,$A414,'15n'!$I$7:$I$100,"")+SUMIFS('16'!$J$7:$J$100,'16'!$H$7:$H$100,$A414,'16'!$I$7:$I$100,"")+SUMIFS('16a'!$J$7:$J$100,'16a'!$H$7:$H$100,$A414,'16a'!$I$7:$I$100,"")+SUMIFS('17'!$J$7:$J$100,'17'!$H$7:$H$100,$A414,'17'!$I$7:$I$100,"")+SUMIFS('17a'!$J$7:$J$100,'17a'!$H$7:$H$100,$A414,'17a'!$I$7:$I$100,"")+SUMIFS('18'!$J$7:$J$100,'18'!$H$7:$H$100,$A414,'18'!$I$7:$I$100,"")+SUMIFS('18a'!$J$7:$J$100,'18a'!$H$7:$H$100,$A414,'18a'!$I$7:$I$100,"")
+SUMIFS('19'!$J$7:$J$100,'19'!$H$7:$H$100,$A414,'19'!$I$7:$I$100,"")+SUMIFS('20'!$J$7:$J$100,'20'!$H$7:$H$100,$A414,'20'!$I$7:$I$100,"")+SUMIFS('20a'!$J$7:$J$100,'20a'!$H$7:$H$100,$A414,'20a'!$I$7:$I$100,"")+SUMIFS('21'!$J$7:$J$100,'21'!$H$7:$H$100,$A414,'21'!$I$7:$I$100,"")+SUMIFS('22'!$J$7:$J$100,'22'!$H$7:$H$100,$A414,'22'!$I$7:$I$100,"")+SUMIFS('22a'!$J$7:$J$100,'22a'!$H$7:$H$100,$A414,'22a'!$I$7:$I$100,"")+SUMIFS('22b'!$J$7:$J$100,'22b'!$H$7:$H$100,$A414,'22b'!$I$7:$I$100,"")+SUMIFS('23'!$J$7:$J$100,'23'!$H$7:$H$100,$A414,'23'!$I$7:$I$100,"")+SUMIFS('24'!$J$7:$J$100,'24'!$H$7:$H$100,$A414,'24'!$I$7:$I$100,"")+SUMIFS('24a'!$J$7:$J$100,'24a'!$H$7:$H$100,$A414,'24a'!$I$7:$I$100,"")+SUMIFS('24b'!$J$7:$J$100,'24b'!$H$7:$H$100,$A414,'24b'!$I$7:$I$100,"")+SUMIFS('24c'!$J$7:$J$100,'24c'!$H$7:$H$100,$A414,'24c'!$I$7:$I$100,"")+SUMIFS('24d'!$J$7:$J$100,'24d'!$H$7:$H$100,$A414,'24d'!$I$7:$I$100,"")+SUMIFS('24e'!$J$7:$J$100,'24e'!$H$7:$H$100,$A414,'24e'!$I$7:$I$100,"")+SUMIFS('24f'!$J$7:$J$100,'24f'!$H$7:$H$100,$A414,'24f'!$I$7:$I$100,"")+SUMIFS('24g'!$J$7:$J$100,'24g'!$H$7:$H$100,$A414,'24g'!$I$7:$I$100,"")+SUMIFS('24h'!$J$7:$J$100,'24h'!$H$7:$H$100,$A414,'24h'!$I$7:$I$100,"")+SUMIFS('24i'!$J$7:$J$100,'24i'!$H$7:$H$100,$A414,'24i'!$I$7:$I$100,"")+SUMIFS('25'!$J$7:$J$100,'25'!$H$7:$H$100,$A414,'25'!$I$7:$I$100,"")+SUMIFS('26'!$J$7:$J$100,'26'!$H$7:$H$100,$A414,'26'!$I$7:$I$100,"")+SUMIFS('26a'!$J$7:$J$100,'26a'!$H$7:$H$100,$A414,'26a'!$I$7:$I$100,"")+SUMIFS('27'!$J$7:$J$100,'27'!$H$7:$H$100,$A414,'27'!$I$7:$I$100,"")+SUMIFS('27a'!$J$7:$J$100,'27a'!$H$7:$H$100,$A414,'27a'!$I$7:$I$100,"")+SUMIFS('28'!$J$7:$J$100,'28'!$H$7:$H$100,$A414,'28'!$I$7:$I$100,"")+SUMIFS('29'!$J$7:$J$100,'29'!$H$7:$H$100,$A414,'29'!$I$7:$I$100,"")</f>
        <v>0</v>
      </c>
      <c r="J414" s="1296">
        <f t="shared" si="70"/>
        <v>0</v>
      </c>
      <c r="K414"/>
      <c r="L414"/>
      <c r="M414"/>
      <c r="N414"/>
      <c r="O414"/>
      <c r="P414"/>
      <c r="Q414"/>
      <c r="R414"/>
      <c r="S414" s="1307">
        <f t="shared" si="71"/>
        <v>0</v>
      </c>
      <c r="T414"/>
    </row>
    <row r="415" spans="1:20" x14ac:dyDescent="0.2">
      <c r="A415" t="s">
        <v>5070</v>
      </c>
      <c r="B415" t="s">
        <v>5556</v>
      </c>
      <c r="C415" s="1295">
        <f>SUMIFS('12'!$N$7:$N$100,'12'!$H$7:$H$100,$A415,'12'!$I$7:$I$100,1)+SUMIFS('13'!$N$7:$N$100,'13'!$H$7:$H$100,$A415,'13'!$I$7:$I$100,1)+SUMIFS('14'!$N$7:$N$100,'14'!$H$7:$H$100,$A415,'14'!$I$7:$I$100,1)+SUMIFS('15'!$N$7:$N$100,'15'!$H$7:$H$100,$A415,'15'!$I$7:$I$100,1)+SUMIFS('15a'!$N$7:$N$100,'15a'!$H$7:$H$100,$A415,'15a'!$I$7:$I$100,1)+SUMIFS('15b'!$N$7:$N$100,'15b'!$H$7:$H$100,$A415,'15b'!$I$7:$I$100,1)+SUMIFS('15c'!$N$7:$N$100,'15c'!$H$7:$H$100,$A415,'15c'!$I$7:$I$100,1)+SUMIFS('15d'!$N$7:$N$100,'15d'!$H$7:$H$100,$A415,'15d'!$I$7:$I$100,1)+SUMIFS('15e'!$N$7:$N$100,'15e'!$H$7:$H$100,$A415,'15e'!$I$7:$I$100,1)+SUMIFS('15f'!$N$7:$N$100,'15f'!$H$7:$H$100,$A415,'15f'!$I$7:$I$100,1)+SUMIFS('15g'!$N$7:$N$100,'15g'!$H$7:$H$100,$A415,'15g'!$I$7:$I$100,1)+SUMIFS('15h'!$N$7:$N$100,'15h'!$H$7:$H$100,$A415,'15h'!$I$7:$I$100,1)+SUMIFS('15i'!$N$7:$N$100,'15i'!$H$7:$H$100,$A415,'15i'!$I$7:$I$100,1)+SUMIFS('15j'!$N$7:$N$100,'15j'!$H$7:$H$100,$A415,'15j'!$I$7:$I$100,1)+SUMIFS('15k'!$N$7:$N$100,'15k'!$H$7:$H$100,$A415,'15k'!$I$7:$I$100,1)+SUMIFS('15l'!$N$7:$N$100,'15l'!$H$7:$H$100,$A415,'15l'!$I$7:$I$100,1)+SUMIFS('15m'!$N$7:$N$100,'15m'!$H$7:$H$100,$A415,'15m'!$I$7:$I$100,1)+SUMIFS('15n'!$N$7:$N$100,'15n'!$H$7:$H$100,$A415,'15n'!$I$7:$I$100,1)+SUMIFS('16'!$N$7:$N$100,'16'!$H$7:$H$100,$A415,'16'!$I$7:$I$100,1)+SUMIFS('16a'!$N$7:$N$100,'16a'!$H$7:$H$100,$A415,'16a'!$I$7:$I$100,1)+SUMIFS('17'!$N$7:$N$100,'17'!$H$7:$H$100,$A415,'17'!$I$7:$I$100,1)+SUMIFS('17a'!$N$7:$N$100,'17a'!$H$7:$H$100,$A415,'17a'!$I$7:$I$100,1)+SUMIFS('18'!$N$7:$N$100,'18'!$H$7:$H$100,$A415,'18'!$I$7:$I$100,1)+SUMIFS('18a'!$N$7:$N$100,'18a'!$H$7:$H$100,$A415,'18a'!$I$7:$I$100,1)
+SUMIFS('19'!$N$7:$N$100,'19'!$H$7:$H$100,$A415,'19'!$I$7:$I$100,1)+SUMIFS('20'!$N$7:$N$100,'20'!$H$7:$H$100,$A415,'20'!$I$7:$I$100,1)+SUMIFS('20a'!$N$7:$N$100,'20a'!$H$7:$H$100,$A415,'20a'!$I$7:$I$100,1)+SUMIFS('21'!$N$7:$N$100,'21'!$H$7:$H$100,$A415,'21'!$I$7:$I$100,1)+SUMIFS('22'!$N$7:$N$100,'22'!$H$7:$H$100,$A415,'22'!$I$7:$I$100,1)+SUMIFS('22a'!$N$7:$N$100,'22a'!$H$7:$H$100,$A415,'22a'!$I$7:$I$100,1)+SUMIFS('22b'!$N$7:$N$100,'22b'!$H$7:$H$100,$A415,'22b'!$I$7:$I$100,1)+SUMIFS('23'!$N$7:$N$100,'23'!$H$7:$H$100,$A415,'23'!$I$7:$I$100,1)+SUMIFS('24'!$N$7:$N$100,'24'!$H$7:$H$100,$A415,'24'!$I$7:$I$100,1)+SUMIFS('24a'!$N$7:$N$100,'24a'!$H$7:$H$100,$A415,'24a'!$I$7:$I$100,1)+SUMIFS('24b'!$N$7:$N$100,'24b'!$H$7:$H$100,$A415,'24b'!$I$7:$I$100,1)+SUMIFS('24c'!$N$7:$N$100,'24c'!$H$7:$H$100,$A415,'24c'!$I$7:$I$100,1)+SUMIFS('24d'!$N$7:$N$100,'24d'!$H$7:$H$100,$A415,'24d'!$I$7:$I$100,1)+SUMIFS('24e'!$N$7:$N$100,'24e'!$H$7:$H$100,$A415,'24e'!$I$7:$I$100,1)+SUMIFS('24f'!$N$7:$N$100,'24f'!$H$7:$H$100,$A415,'24f'!$I$7:$I$100,1)+SUMIFS('24g'!$N$7:$N$100,'24g'!$H$7:$H$100,$A415,'24g'!$I$7:$I$100,1)+SUMIFS('24h'!$N$7:$N$100,'24h'!$H$7:$H$100,$A415,'24h'!$I$7:$I$100,1)+SUMIFS('24i'!$N$7:$N$100,'24i'!$H$7:$H$100,$A415,'24i'!$I$7:$I$100,1)+SUMIFS('25'!$N$7:$N$100,'25'!$H$7:$H$100,$A415,'25'!$I$7:$I$100,1)+SUMIFS('26'!$N$7:$N$100,'26'!$H$7:$H$100,$A415,'26'!$I$7:$I$100,1)+SUMIFS('26a'!$N$7:$N$100,'26a'!$H$7:$H$100,$A415,'26a'!$I$7:$I$100,1)+SUMIFS('27'!$N$7:$N$100,'27'!$H$7:$H$100,$A415,'27'!$I$7:$I$100,1)+SUMIFS('27a'!$N$7:$N$100,'27a'!$H$7:$H$100,$A415,'27a'!$I$7:$I$100,1)+SUMIFS('28'!$N$7:$N$100,'28'!$H$7:$H$100,$A415,'28'!$I$7:$I$100,1)+SUMIFS('29'!$N$7:$N$100,'29'!$H$7:$H$100,$A415,'29'!$I$7:$I$100,1)</f>
        <v>0</v>
      </c>
      <c r="D415" s="1315">
        <f>SUMIFS('12'!$N$7:$N$100,'12'!$H$7:$H$100,$A415,'12'!$I$7:$I$100,2)+SUMIFS('13'!$N$7:$N$100,'13'!$H$7:$H$100,$A415,'13'!$I$7:$I$100,2)+SUMIFS('14'!$N$7:$N$100,'14'!$H$7:$H$100,$A415,'14'!$I$7:$I$100,2)+SUMIFS('15'!$N$7:$N$100,'15'!$H$7:$H$100,$A415,'15'!$I$7:$I$100,2)+SUMIFS('15a'!$N$7:$N$100,'15a'!$H$7:$H$100,$A415,'15a'!$I$7:$I$100,2)+SUMIFS('15b'!$N$7:$N$100,'15b'!$H$7:$H$100,$A415,'15b'!$I$7:$I$100,2)+SUMIFS('15c'!$N$7:$N$100,'15c'!$H$7:$H$100,$A415,'15c'!$I$7:$I$100,2)+SUMIFS('15d'!$N$7:$N$100,'15d'!$H$7:$H$100,$A415,'15d'!$I$7:$I$100,2)+SUMIFS('15e'!$N$7:$N$100,'15e'!$H$7:$H$100,$A415,'15e'!$I$7:$I$100,2)+SUMIFS('15f'!$N$7:$N$100,'15f'!$H$7:$H$100,$A415,'15f'!$I$7:$I$100,2)+SUMIFS('15g'!$N$7:$N$100,'15g'!$H$7:$H$100,$A415,'15g'!$I$7:$I$100,2)+SUMIFS('15h'!$N$7:$N$100,'15h'!$H$7:$H$100,$A415,'15h'!$I$7:$I$100,2)+SUMIFS('15i'!$N$7:$N$100,'15i'!$H$7:$H$100,$A415,'15i'!$I$7:$I$100,2)+SUMIFS('15j'!$N$7:$N$100,'15j'!$H$7:$H$100,$A415,'15j'!$I$7:$I$100,2)+SUMIFS('15k'!$N$7:$N$100,'15k'!$H$7:$H$100,$A415,'15k'!$I$7:$I$100,2)+SUMIFS('15l'!$N$7:$N$100,'15l'!$H$7:$H$100,$A415,'15l'!$I$7:$I$100,2)+SUMIFS('15m'!$N$7:$N$100,'15m'!$H$7:$H$100,$A415,'15m'!$I$7:$I$100,2)+SUMIFS('15n'!$N$7:$N$100,'15n'!$H$7:$H$100,$A415,'15n'!$I$7:$I$100,2)+SUMIFS('16'!$N$7:$N$100,'16'!$H$7:$H$100,$A415,'16'!$I$7:$I$100,2)+SUMIFS('16a'!$N$7:$N$100,'16a'!$H$7:$H$100,$A415,'16a'!$I$7:$I$100,2)+SUMIFS('17'!$N$7:$N$100,'17'!$H$7:$H$100,$A415,'17'!$I$7:$I$100,2)+SUMIFS('17a'!$N$7:$N$100,'17a'!$H$7:$H$100,$A415,'17a'!$I$7:$I$100,2)+SUMIFS('18'!$N$7:$N$100,'18'!$H$7:$H$100,$A415,'18'!$I$7:$I$100,2)+SUMIFS('18a'!$N$7:$N$100,'18a'!$H$7:$H$100,$A415,'18a'!$I$7:$I$100,2)
+SUMIFS('19'!$N$7:$N$100,'19'!$H$7:$H$100,$A415,'19'!$I$7:$I$100,2)+SUMIFS('20'!$N$7:$N$100,'20'!$H$7:$H$100,$A415,'20'!$I$7:$I$100,2)+SUMIFS('20a'!$N$7:$N$100,'20a'!$H$7:$H$100,$A415,'20a'!$I$7:$I$100,2)+SUMIFS('21'!$N$7:$N$100,'21'!$H$7:$H$100,$A415,'21'!$I$7:$I$100,2)+SUMIFS('22'!$N$7:$N$100,'22'!$H$7:$H$100,$A415,'22'!$I$7:$I$100,2)+SUMIFS('22a'!$N$7:$N$100,'22a'!$H$7:$H$100,$A415,'22a'!$I$7:$I$100,2)+SUMIFS('22b'!$N$7:$N$100,'22b'!$H$7:$H$100,$A415,'22b'!$I$7:$I$100,2)+SUMIFS('23'!$N$7:$N$100,'23'!$H$7:$H$100,$A415,'23'!$I$7:$I$100,2)+SUMIFS('24'!$N$7:$N$100,'24'!$H$7:$H$100,$A415,'24'!$I$7:$I$100,2)+SUMIFS('24a'!$N$7:$N$100,'24a'!$H$7:$H$100,$A415,'24a'!$I$7:$I$100,2)+SUMIFS('24b'!$N$7:$N$100,'24b'!$H$7:$H$100,$A415,'24b'!$I$7:$I$100,2)+SUMIFS('24c'!$N$7:$N$100,'24c'!$H$7:$H$100,$A415,'24c'!$I$7:$I$100,2)+SUMIFS('24d'!$N$7:$N$100,'24d'!$H$7:$H$100,$A415,'24d'!$I$7:$I$100,2)+SUMIFS('24e'!$N$7:$N$100,'24e'!$H$7:$H$100,$A415,'24e'!$I$7:$I$100,2)+SUMIFS('24f'!$N$7:$N$100,'24f'!$H$7:$H$100,$A415,'24f'!$I$7:$I$100,2)+SUMIFS('24g'!$N$7:$N$100,'24g'!$H$7:$H$100,$A415,'24g'!$I$7:$I$100,2)+SUMIFS('24h'!$N$7:$N$100,'24h'!$H$7:$H$100,$A415,'24h'!$I$7:$I$100,2)+SUMIFS('24i'!$N$7:$N$100,'24i'!$H$7:$H$100,$A415,'24i'!$I$7:$I$100,2)+SUMIFS('25'!$N$7:$N$100,'25'!$H$7:$H$100,$A415,'25'!$I$7:$I$100,2)+SUMIFS('26'!$N$7:$N$100,'26'!$H$7:$H$100,$A415,'26'!$I$7:$I$100,2)+SUMIFS('26a'!$N$7:$N$100,'26a'!$H$7:$H$100,$A415,'26a'!$I$7:$I$100,2)+SUMIFS('27'!$N$7:$N$100,'27'!$H$7:$H$100,$A415,'27'!$I$7:$I$100,2)+SUMIFS('27a'!$N$7:$N$100,'27a'!$H$7:$H$100,$A415,'27a'!$I$7:$I$100,2)+SUMIFS('28'!$N$7:$N$100,'28'!$H$7:$H$100,$A415,'28'!$I$7:$I$100,2)+SUMIFS('29'!$N$7:$N$100,'29'!$H$7:$H$100,$A415,'29'!$I$7:$I$100,2)</f>
        <v>0</v>
      </c>
      <c r="E415" s="1315">
        <f>SUMIFS('12'!$N$7:$N$100,'12'!$H$7:$H$100,$A415,'12'!$I$7:$I$100,"")+SUMIFS('13'!$N$7:$N$100,'13'!$H$7:$H$100,$A415,'13'!$I$7:$I$100,"")+SUMIFS('14'!$N$7:$N$100,'14'!$H$7:$H$100,$A415,'14'!$I$7:$I$100,"")+SUMIFS('15'!$N$7:$N$100,'15'!$H$7:$H$100,$A415,'15'!$I$7:$I$100,"")+SUMIFS('15a'!$N$7:$N$100,'15a'!$H$7:$H$100,$A415,'15a'!$I$7:$I$100,"")+SUMIFS('15b'!$N$7:$N$100,'15b'!$H$7:$H$100,$A415,'15b'!$I$7:$I$100,"")+SUMIFS('15c'!$N$7:$N$100,'15c'!$H$7:$H$100,$A415,'15c'!$I$7:$I$100,"")+SUMIFS('15d'!$N$7:$N$100,'15d'!$H$7:$H$100,$A415,'15d'!$I$7:$I$100,"")+SUMIFS('15e'!$N$7:$N$100,'15e'!$H$7:$H$100,$A415,'15e'!$I$7:$I$100,"")+SUMIFS('15f'!$N$7:$N$100,'15f'!$H$7:$H$100,$A415,'15f'!$I$7:$I$100,"")+SUMIFS('15g'!$N$7:$N$100,'15g'!$H$7:$H$100,$A415,'15g'!$I$7:$I$100,"")+SUMIFS('15h'!$N$7:$N$100,'15h'!$H$7:$H$100,$A415,'15h'!$I$7:$I$100,"")+SUMIFS('15i'!$N$7:$N$100,'15i'!$H$7:$H$100,$A415,'15i'!$I$7:$I$100,"")+SUMIFS('15j'!$N$7:$N$100,'15j'!$H$7:$H$100,$A415,'15j'!$I$7:$I$100,"")+SUMIFS('15k'!$N$7:$N$100,'15k'!$H$7:$H$100,$A415,'15k'!$I$7:$I$100,"")+SUMIFS('15l'!$N$7:$N$100,'15l'!$H$7:$H$100,$A415,'15l'!$I$7:$I$100,"")+SUMIFS('15m'!$N$7:$N$100,'15m'!$H$7:$H$100,$A415,'15m'!$I$7:$I$100,"")+SUMIFS('15n'!$N$7:$N$100,'15n'!$H$7:$H$100,$A415,'15n'!$I$7:$I$100,"")+SUMIFS('16'!$N$7:$N$100,'16'!$H$7:$H$100,$A415,'16'!$I$7:$I$100,"")+SUMIFS('16a'!$N$7:$N$100,'16a'!$H$7:$H$100,$A415,'16a'!$I$7:$I$100,"")+SUMIFS('17'!$N$7:$N$100,'17'!$H$7:$H$100,$A415,'17'!$I$7:$I$100,"")+SUMIFS('17a'!$N$7:$N$100,'17a'!$H$7:$H$100,$A415,'17a'!$I$7:$I$100,"")+SUMIFS('18'!$N$7:$N$100,'18'!$H$7:$H$100,$A415,'18'!$I$7:$I$100,"")+SUMIFS('18a'!$N$7:$N$100,'18a'!$H$7:$H$100,$A415,'18a'!$I$7:$I$100,"")
+SUMIFS('19'!$N$7:$N$100,'19'!$H$7:$H$100,$A415,'19'!$I$7:$I$100,"")+SUMIFS('20'!$N$7:$N$100,'20'!$H$7:$H$100,$A415,'20'!$I$7:$I$100,"")+SUMIFS('20a'!$N$7:$N$100,'20a'!$H$7:$H$100,$A415,'20a'!$I$7:$I$100,"")+SUMIFS('21'!$N$7:$N$100,'21'!$H$7:$H$100,$A415,'21'!$I$7:$I$100,"")+SUMIFS('22'!$N$7:$N$100,'22'!$H$7:$H$100,$A415,'22'!$I$7:$I$100,"")+SUMIFS('22a'!$N$7:$N$100,'22a'!$H$7:$H$100,$A415,'22a'!$I$7:$I$100,"")+SUMIFS('22b'!$N$7:$N$100,'22b'!$H$7:$H$100,$A415,'22b'!$I$7:$I$100,"")+SUMIFS('23'!$N$7:$N$100,'23'!$H$7:$H$100,$A415,'23'!$I$7:$I$100,"")+SUMIFS('24'!$N$7:$N$100,'24'!$H$7:$H$100,$A415,'24'!$I$7:$I$100,"")+SUMIFS('24a'!$N$7:$N$100,'24a'!$H$7:$H$100,$A415,'24a'!$I$7:$I$100,"")+SUMIFS('24b'!$N$7:$N$100,'24b'!$H$7:$H$100,$A415,'24b'!$I$7:$I$100,"")+SUMIFS('24c'!$N$7:$N$100,'24c'!$H$7:$H$100,$A415,'24c'!$I$7:$I$100,"")+SUMIFS('24d'!$N$7:$N$100,'24d'!$H$7:$H$100,$A415,'24d'!$I$7:$I$100,"")+SUMIFS('24e'!$N$7:$N$100,'24e'!$H$7:$H$100,$A415,'24e'!$I$7:$I$100,"")+SUMIFS('24f'!$N$7:$N$100,'24f'!$H$7:$H$100,$A415,'24f'!$I$7:$I$100,"")+SUMIFS('24g'!$N$7:$N$100,'24g'!$H$7:$H$100,$A415,'24g'!$I$7:$I$100,"")+SUMIFS('24h'!$N$7:$N$100,'24h'!$H$7:$H$100,$A415,'24h'!$I$7:$I$100,"")+SUMIFS('24i'!$N$7:$N$100,'24i'!$H$7:$H$100,$A415,'24i'!$I$7:$I$100,"")+SUMIFS('25'!$N$7:$N$100,'25'!$H$7:$H$100,$A415,'25'!$I$7:$I$100,"")+SUMIFS('26'!$N$7:$N$100,'26'!$H$7:$H$100,$A415,'26'!$I$7:$I$100,"")+SUMIFS('26a'!$N$7:$N$100,'26a'!$H$7:$H$100,$A415,'26a'!$I$7:$I$100,"")+SUMIFS('27'!$N$7:$N$100,'27'!$H$7:$H$100,$A415,'27'!$I$7:$I$100,"")+SUMIFS('27a'!$N$7:$N$100,'27a'!$H$7:$H$100,$A415,'27a'!$I$7:$I$100,"")+SUMIFS('28'!$N$7:$N$100,'28'!$H$7:$H$100,$A415,'28'!$I$7:$I$100,"")+SUMIFS('29'!$N$7:$N$100,'29'!$H$7:$H$100,$A415,'29'!$I$7:$I$100,"")</f>
        <v>0</v>
      </c>
      <c r="F415" s="1296">
        <f t="shared" si="69"/>
        <v>0</v>
      </c>
      <c r="G415" s="1295">
        <f>SUMIFS('12'!$J$7:$J$100,'12'!$H$7:$H$100,$A415,'12'!$I$7:$I$100,1)+SUMIFS('13'!$J$7:$J$100,'13'!$H$7:$H$100,$A415,'13'!$I$7:$I$100,1)+SUMIFS('14'!$J$7:$J$100,'14'!$H$7:$H$100,$A415,'14'!$I$7:$I$100,1)+SUMIFS('15'!$J$7:$J$100,'15'!$H$7:$H$100,$A415,'15'!$I$7:$I$100,1)+SUMIFS('15a'!$J$7:$J$100,'15a'!$H$7:$H$100,$A415,'15a'!$I$7:$I$100,1)+SUMIFS('15b'!$J$7:$J$100,'15b'!$H$7:$H$100,$A415,'15b'!$I$7:$I$100,1)+SUMIFS('15c'!$J$7:$J$100,'15c'!$H$7:$H$100,$A415,'15c'!$I$7:$I$100,1)+SUMIFS('15d'!$J$7:$J$100,'15d'!$H$7:$H$100,$A415,'15d'!$I$7:$I$100,1)+SUMIFS('15e'!$J$7:$J$100,'15e'!$H$7:$H$100,$A415,'15e'!$I$7:$I$100,1)+SUMIFS('15f'!$J$7:$J$100,'15f'!$H$7:$H$100,$A415,'15f'!$I$7:$I$100,1)+SUMIFS('15g'!$J$7:$J$100,'15g'!$H$7:$H$100,$A415,'15g'!$I$7:$I$100,1)+SUMIFS('15h'!$J$7:$J$100,'15h'!$H$7:$H$100,$A415,'15h'!$I$7:$I$100,1)+SUMIFS('15i'!$J$7:$J$100,'15i'!$H$7:$H$100,$A415,'15i'!$I$7:$I$100,1)+SUMIFS('15j'!$J$7:$J$100,'15j'!$H$7:$H$100,$A415,'15j'!$I$7:$I$100,1)+SUMIFS('15k'!$J$7:$J$100,'15k'!$H$7:$H$100,$A415,'15k'!$I$7:$I$100,1)+SUMIFS('15l'!$J$7:$J$100,'15l'!$H$7:$H$100,$A415,'15l'!$I$7:$I$100,1)+SUMIFS('15m'!$J$7:$J$100,'15m'!$H$7:$H$100,$A415,'15m'!$I$7:$I$100,1)+SUMIFS('15n'!$J$7:$J$100,'15n'!$H$7:$H$100,$A415,'15n'!$I$7:$I$100,1)+SUMIFS('16'!$J$7:$J$100,'16'!$H$7:$H$100,$A415,'16'!$I$7:$I$100,1)+SUMIFS('16a'!$J$7:$J$100,'16a'!$H$7:$H$100,$A415,'16a'!$I$7:$I$100,1)+SUMIFS('17'!$J$7:$J$100,'17'!$H$7:$H$100,$A415,'17'!$I$7:$I$100,1)+SUMIFS('17a'!$J$7:$J$100,'17a'!$H$7:$H$100,$A415,'17a'!$I$7:$I$100,1)+SUMIFS('18'!$J$7:$J$100,'18'!$H$7:$H$100,$A415,'18'!$I$7:$I$100,1)+SUMIFS('18a'!$J$7:$J$100,'18a'!$H$7:$H$100,$A415,'18a'!$I$7:$I$100,1)
+SUMIFS('19'!$J$7:$J$100,'19'!$H$7:$H$100,$A415,'19'!$I$7:$I$100,1)+SUMIFS('20'!$J$7:$J$100,'20'!$H$7:$H$100,$A415,'20'!$I$7:$I$100,1)+SUMIFS('20a'!$J$7:$J$100,'20a'!$H$7:$H$100,$A415,'20a'!$I$7:$I$100,1)+SUMIFS('21'!$J$7:$J$100,'21'!$H$7:$H$100,$A415,'21'!$I$7:$I$100,1)+SUMIFS('22'!$J$7:$J$100,'22'!$H$7:$H$100,$A415,'22'!$I$7:$I$100,1)+SUMIFS('22a'!$J$7:$J$100,'22a'!$H$7:$H$100,$A415,'22a'!$I$7:$I$100,1)+SUMIFS('22b'!$J$7:$J$100,'22b'!$H$7:$H$100,$A415,'22b'!$I$7:$I$100,1)+SUMIFS('23'!$J$7:$J$100,'23'!$H$7:$H$100,$A415,'23'!$I$7:$I$100,1)+SUMIFS('24'!$J$7:$J$100,'24'!$H$7:$H$100,$A415,'24'!$I$7:$I$100,1)+SUMIFS('24a'!$J$7:$J$100,'24a'!$H$7:$H$100,$A415,'24a'!$I$7:$I$100,1)+SUMIFS('24b'!$J$7:$J$100,'24b'!$H$7:$H$100,$A415,'24b'!$I$7:$I$100,1)+SUMIFS('24c'!$J$7:$J$100,'24c'!$H$7:$H$100,$A415,'24c'!$I$7:$I$100,1)+SUMIFS('24d'!$J$7:$J$100,'24d'!$H$7:$H$100,$A415,'24d'!$I$7:$I$100,1)+SUMIFS('24e'!$J$7:$J$100,'24e'!$H$7:$H$100,$A415,'24e'!$I$7:$I$100,1)+SUMIFS('24f'!$J$7:$J$100,'24f'!$H$7:$H$100,$A415,'24f'!$I$7:$I$100,1)+SUMIFS('24g'!$J$7:$J$100,'24g'!$H$7:$H$100,$A415,'24g'!$I$7:$I$100,1)+SUMIFS('24h'!$J$7:$J$100,'24h'!$H$7:$H$100,$A415,'24h'!$I$7:$I$100,1)+SUMIFS('24i'!$J$7:$J$100,'24i'!$H$7:$H$100,$A415,'24i'!$I$7:$I$100,1)+SUMIFS('25'!$J$7:$J$100,'25'!$H$7:$H$100,$A415,'25'!$I$7:$I$100,1)+SUMIFS('26'!$J$7:$J$100,'26'!$H$7:$H$100,$A415,'26'!$I$7:$I$100,1)+SUMIFS('26a'!$J$7:$J$100,'26a'!$H$7:$H$100,$A415,'26a'!$I$7:$I$100,1)+SUMIFS('27'!$J$7:$J$100,'27'!$H$7:$H$100,$A415,'27'!$I$7:$I$100,1)+SUMIFS('27a'!$J$7:$J$100,'27a'!$H$7:$H$100,$A415,'27a'!$I$7:$I$100,1)+SUMIFS('28'!$J$7:$J$100,'28'!$H$7:$H$100,$A415,'28'!$I$7:$I$100,1)+SUMIFS('29'!$J$7:$J$100,'29'!$H$7:$H$100,$A415,'29'!$I$7:$I$100,1)</f>
        <v>0</v>
      </c>
      <c r="H415" s="1315">
        <f>SUMIFS('12'!$J$7:$J$100,'12'!$H$7:$H$100,$A415,'12'!$I$7:$I$100,2)+SUMIFS('13'!$J$7:$J$100,'13'!$H$7:$H$100,$A415,'13'!$I$7:$I$100,2)+SUMIFS('14'!$J$7:$J$100,'14'!$H$7:$H$100,$A415,'14'!$I$7:$I$100,2)+SUMIFS('15'!$J$7:$J$100,'15'!$H$7:$H$100,$A415,'15'!$I$7:$I$100,2)+SUMIFS('15a'!$J$7:$J$100,'15a'!$H$7:$H$100,$A415,'15a'!$I$7:$I$100,2)+SUMIFS('15b'!$J$7:$J$100,'15b'!$H$7:$H$100,$A415,'15b'!$I$7:$I$100,2)+SUMIFS('15c'!$J$7:$J$100,'15c'!$H$7:$H$100,$A415,'15c'!$I$7:$I$100,2)+SUMIFS('15d'!$J$7:$J$100,'15d'!$H$7:$H$100,$A415,'15d'!$I$7:$I$100,2)+SUMIFS('15e'!$J$7:$J$100,'15e'!$H$7:$H$100,$A415,'15e'!$I$7:$I$100,2)+SUMIFS('15f'!$J$7:$J$100,'15f'!$H$7:$H$100,$A415,'15f'!$I$7:$I$100,2)+SUMIFS('15g'!$J$7:$J$100,'15g'!$H$7:$H$100,$A415,'15g'!$I$7:$I$100,2)+SUMIFS('15h'!$J$7:$J$100,'15h'!$H$7:$H$100,$A415,'15h'!$I$7:$I$100,2)+SUMIFS('15i'!$J$7:$J$100,'15i'!$H$7:$H$100,$A415,'15i'!$I$7:$I$100,2)+SUMIFS('15j'!$J$7:$J$100,'15j'!$H$7:$H$100,$A415,'15j'!$I$7:$I$100,2)+SUMIFS('15k'!$J$7:$J$100,'15k'!$H$7:$H$100,$A415,'15k'!$I$7:$I$100,2)+SUMIFS('15l'!$J$7:$J$100,'15l'!$H$7:$H$100,$A415,'15l'!$I$7:$I$100,2)+SUMIFS('15m'!$J$7:$J$100,'15m'!$H$7:$H$100,$A415,'15m'!$I$7:$I$100,2)+SUMIFS('15n'!$J$7:$J$100,'15n'!$H$7:$H$100,$A415,'15n'!$I$7:$I$100,2)+SUMIFS('16'!$J$7:$J$100,'16'!$H$7:$H$100,$A415,'16'!$I$7:$I$100,2)+SUMIFS('16a'!$J$7:$J$100,'16a'!$H$7:$H$100,$A415,'16a'!$I$7:$I$100,2)+SUMIFS('17'!$J$7:$J$100,'17'!$H$7:$H$100,$A415,'17'!$I$7:$I$100,2)+SUMIFS('17a'!$J$7:$J$100,'17a'!$H$7:$H$100,$A415,'17a'!$I$7:$I$100,2)+SUMIFS('18'!$J$7:$J$100,'18'!$H$7:$H$100,$A415,'18'!$I$7:$I$100,2)+SUMIFS('18a'!$J$7:$J$100,'18a'!$H$7:$H$100,$A415,'18a'!$I$7:$I$100,2)
+SUMIFS('19'!$J$7:$J$100,'19'!$H$7:$H$100,$A415,'19'!$I$7:$I$100,2)+SUMIFS('20'!$J$7:$J$100,'20'!$H$7:$H$100,$A415,'20'!$I$7:$I$100,2)+SUMIFS('20a'!$J$7:$J$100,'20a'!$H$7:$H$100,$A415,'20a'!$I$7:$I$100,2)+SUMIFS('21'!$J$7:$J$100,'21'!$H$7:$H$100,$A415,'21'!$I$7:$I$100,2)+SUMIFS('22'!$J$7:$J$100,'22'!$H$7:$H$100,$A415,'22'!$I$7:$I$100,2)+SUMIFS('22a'!$J$7:$J$100,'22a'!$H$7:$H$100,$A415,'22a'!$I$7:$I$100,2)+SUMIFS('22b'!$J$7:$J$100,'22b'!$H$7:$H$100,$A415,'22b'!$I$7:$I$100,2)+SUMIFS('23'!$J$7:$J$100,'23'!$H$7:$H$100,$A415,'23'!$I$7:$I$100,2)+SUMIFS('24'!$J$7:$J$100,'24'!$H$7:$H$100,$A415,'24'!$I$7:$I$100,2)+SUMIFS('24a'!$J$7:$J$100,'24a'!$H$7:$H$100,$A415,'24a'!$I$7:$I$100,2)+SUMIFS('24b'!$J$7:$J$100,'24b'!$H$7:$H$100,$A415,'24b'!$I$7:$I$100,2)+SUMIFS('24c'!$J$7:$J$100,'24c'!$H$7:$H$100,$A415,'24c'!$I$7:$I$100,2)+SUMIFS('24d'!$J$7:$J$100,'24d'!$H$7:$H$100,$A415,'24d'!$I$7:$I$100,2)+SUMIFS('24e'!$J$7:$J$100,'24e'!$H$7:$H$100,$A415,'24e'!$I$7:$I$100,2)+SUMIFS('24f'!$J$7:$J$100,'24f'!$H$7:$H$100,$A415,'24f'!$I$7:$I$100,2)+SUMIFS('24g'!$J$7:$J$100,'24g'!$H$7:$H$100,$A415,'24g'!$I$7:$I$100,2)+SUMIFS('24h'!$J$7:$J$100,'24h'!$H$7:$H$100,$A415,'24h'!$I$7:$I$100,2)+SUMIFS('24i'!$J$7:$J$100,'24i'!$H$7:$H$100,$A415,'24i'!$I$7:$I$100,2)+SUMIFS('25'!$J$7:$J$100,'25'!$H$7:$H$100,$A415,'25'!$I$7:$I$100,2)+SUMIFS('26'!$J$7:$J$100,'26'!$H$7:$H$100,$A415,'26'!$I$7:$I$100,2)+SUMIFS('26a'!$J$7:$J$100,'26a'!$H$7:$H$100,$A415,'26a'!$I$7:$I$100,2)+SUMIFS('27'!$J$7:$J$100,'27'!$H$7:$H$100,$A415,'27'!$I$7:$I$100,2)+SUMIFS('27a'!$J$7:$J$100,'27a'!$H$7:$H$100,$A415,'27a'!$I$7:$I$100,2)+SUMIFS('28'!$J$7:$J$100,'28'!$H$7:$H$100,$A415,'28'!$I$7:$I$100,2)+SUMIFS('29'!$J$7:$J$100,'29'!$H$7:$H$100,$A415,'29'!$I$7:$I$100,2)</f>
        <v>0</v>
      </c>
      <c r="I415" s="1315">
        <f>SUMIFS('12'!$J$7:$J$100,'12'!$H$7:$H$100,$A415,'12'!$I$7:$I$100,"")+SUMIFS('13'!$J$7:$J$100,'13'!$H$7:$H$100,$A415,'13'!$I$7:$I$100,"")+SUMIFS('14'!$J$7:$J$100,'14'!$H$7:$H$100,$A415,'14'!$I$7:$I$100,"")+SUMIFS('15'!$J$7:$J$100,'15'!$H$7:$H$100,$A415,'15'!$I$7:$I$100,"")+SUMIFS('15a'!$J$7:$J$100,'15a'!$H$7:$H$100,$A415,'15a'!$I$7:$I$100,"")+SUMIFS('15b'!$J$7:$J$100,'15b'!$H$7:$H$100,$A415,'15b'!$I$7:$I$100,"")+SUMIFS('15c'!$J$7:$J$100,'15c'!$H$7:$H$100,$A415,'15c'!$I$7:$I$100,"")+SUMIFS('15d'!$J$7:$J$100,'15d'!$H$7:$H$100,$A415,'15d'!$I$7:$I$100,"")+SUMIFS('15e'!$J$7:$J$100,'15e'!$H$7:$H$100,$A415,'15e'!$I$7:$I$100,"")+SUMIFS('15f'!$J$7:$J$100,'15f'!$H$7:$H$100,$A415,'15f'!$I$7:$I$100,"")+SUMIFS('15g'!$J$7:$J$100,'15g'!$H$7:$H$100,$A415,'15g'!$I$7:$I$100,"")+SUMIFS('15h'!$J$7:$J$100,'15h'!$H$7:$H$100,$A415,'15h'!$I$7:$I$100,"")+SUMIFS('15i'!$J$7:$J$100,'15i'!$H$7:$H$100,$A415,'15i'!$I$7:$I$100,"")+SUMIFS('15j'!$J$7:$J$100,'15j'!$H$7:$H$100,$A415,'15j'!$I$7:$I$100,"")+SUMIFS('15k'!$J$7:$J$100,'15k'!$H$7:$H$100,$A415,'15k'!$I$7:$I$100,"")+SUMIFS('15l'!$J$7:$J$100,'15l'!$H$7:$H$100,$A415,'15l'!$I$7:$I$100,"")+SUMIFS('15m'!$J$7:$J$100,'15m'!$H$7:$H$100,$A415,'15m'!$I$7:$I$100,"")+SUMIFS('15n'!$J$7:$J$100,'15n'!$H$7:$H$100,$A415,'15n'!$I$7:$I$100,"")+SUMIFS('16'!$J$7:$J$100,'16'!$H$7:$H$100,$A415,'16'!$I$7:$I$100,"")+SUMIFS('16a'!$J$7:$J$100,'16a'!$H$7:$H$100,$A415,'16a'!$I$7:$I$100,"")+SUMIFS('17'!$J$7:$J$100,'17'!$H$7:$H$100,$A415,'17'!$I$7:$I$100,"")+SUMIFS('17a'!$J$7:$J$100,'17a'!$H$7:$H$100,$A415,'17a'!$I$7:$I$100,"")+SUMIFS('18'!$J$7:$J$100,'18'!$H$7:$H$100,$A415,'18'!$I$7:$I$100,"")+SUMIFS('18a'!$J$7:$J$100,'18a'!$H$7:$H$100,$A415,'18a'!$I$7:$I$100,"")
+SUMIFS('19'!$J$7:$J$100,'19'!$H$7:$H$100,$A415,'19'!$I$7:$I$100,"")+SUMIFS('20'!$J$7:$J$100,'20'!$H$7:$H$100,$A415,'20'!$I$7:$I$100,"")+SUMIFS('20a'!$J$7:$J$100,'20a'!$H$7:$H$100,$A415,'20a'!$I$7:$I$100,"")+SUMIFS('21'!$J$7:$J$100,'21'!$H$7:$H$100,$A415,'21'!$I$7:$I$100,"")+SUMIFS('22'!$J$7:$J$100,'22'!$H$7:$H$100,$A415,'22'!$I$7:$I$100,"")+SUMIFS('22a'!$J$7:$J$100,'22a'!$H$7:$H$100,$A415,'22a'!$I$7:$I$100,"")+SUMIFS('22b'!$J$7:$J$100,'22b'!$H$7:$H$100,$A415,'22b'!$I$7:$I$100,"")+SUMIFS('23'!$J$7:$J$100,'23'!$H$7:$H$100,$A415,'23'!$I$7:$I$100,"")+SUMIFS('24'!$J$7:$J$100,'24'!$H$7:$H$100,$A415,'24'!$I$7:$I$100,"")+SUMIFS('24a'!$J$7:$J$100,'24a'!$H$7:$H$100,$A415,'24a'!$I$7:$I$100,"")+SUMIFS('24b'!$J$7:$J$100,'24b'!$H$7:$H$100,$A415,'24b'!$I$7:$I$100,"")+SUMIFS('24c'!$J$7:$J$100,'24c'!$H$7:$H$100,$A415,'24c'!$I$7:$I$100,"")+SUMIFS('24d'!$J$7:$J$100,'24d'!$H$7:$H$100,$A415,'24d'!$I$7:$I$100,"")+SUMIFS('24e'!$J$7:$J$100,'24e'!$H$7:$H$100,$A415,'24e'!$I$7:$I$100,"")+SUMIFS('24f'!$J$7:$J$100,'24f'!$H$7:$H$100,$A415,'24f'!$I$7:$I$100,"")+SUMIFS('24g'!$J$7:$J$100,'24g'!$H$7:$H$100,$A415,'24g'!$I$7:$I$100,"")+SUMIFS('24h'!$J$7:$J$100,'24h'!$H$7:$H$100,$A415,'24h'!$I$7:$I$100,"")+SUMIFS('24i'!$J$7:$J$100,'24i'!$H$7:$H$100,$A415,'24i'!$I$7:$I$100,"")+SUMIFS('25'!$J$7:$J$100,'25'!$H$7:$H$100,$A415,'25'!$I$7:$I$100,"")+SUMIFS('26'!$J$7:$J$100,'26'!$H$7:$H$100,$A415,'26'!$I$7:$I$100,"")+SUMIFS('26a'!$J$7:$J$100,'26a'!$H$7:$H$100,$A415,'26a'!$I$7:$I$100,"")+SUMIFS('27'!$J$7:$J$100,'27'!$H$7:$H$100,$A415,'27'!$I$7:$I$100,"")+SUMIFS('27a'!$J$7:$J$100,'27a'!$H$7:$H$100,$A415,'27a'!$I$7:$I$100,"")+SUMIFS('28'!$J$7:$J$100,'28'!$H$7:$H$100,$A415,'28'!$I$7:$I$100,"")+SUMIFS('29'!$J$7:$J$100,'29'!$H$7:$H$100,$A415,'29'!$I$7:$I$100,"")</f>
        <v>0</v>
      </c>
      <c r="J415" s="1296">
        <f t="shared" si="70"/>
        <v>0</v>
      </c>
      <c r="K415"/>
      <c r="L415"/>
      <c r="M415"/>
      <c r="N415"/>
      <c r="O415"/>
      <c r="P415"/>
      <c r="Q415"/>
      <c r="R415"/>
      <c r="S415" s="1307">
        <f t="shared" si="71"/>
        <v>0</v>
      </c>
      <c r="T415"/>
    </row>
    <row r="416" spans="1:20" x14ac:dyDescent="0.2">
      <c r="A416" t="s">
        <v>5077</v>
      </c>
      <c r="B416" t="s">
        <v>5557</v>
      </c>
      <c r="C416" s="1295">
        <f>SUMIFS('12'!$N$7:$N$100,'12'!$H$7:$H$100,$A416,'12'!$I$7:$I$100,1)+SUMIFS('13'!$N$7:$N$100,'13'!$H$7:$H$100,$A416,'13'!$I$7:$I$100,1)+SUMIFS('14'!$N$7:$N$100,'14'!$H$7:$H$100,$A416,'14'!$I$7:$I$100,1)+SUMIFS('15'!$N$7:$N$100,'15'!$H$7:$H$100,$A416,'15'!$I$7:$I$100,1)+SUMIFS('15a'!$N$7:$N$100,'15a'!$H$7:$H$100,$A416,'15a'!$I$7:$I$100,1)+SUMIFS('15b'!$N$7:$N$100,'15b'!$H$7:$H$100,$A416,'15b'!$I$7:$I$100,1)+SUMIFS('15c'!$N$7:$N$100,'15c'!$H$7:$H$100,$A416,'15c'!$I$7:$I$100,1)+SUMIFS('15d'!$N$7:$N$100,'15d'!$H$7:$H$100,$A416,'15d'!$I$7:$I$100,1)+SUMIFS('15e'!$N$7:$N$100,'15e'!$H$7:$H$100,$A416,'15e'!$I$7:$I$100,1)+SUMIFS('15f'!$N$7:$N$100,'15f'!$H$7:$H$100,$A416,'15f'!$I$7:$I$100,1)+SUMIFS('15g'!$N$7:$N$100,'15g'!$H$7:$H$100,$A416,'15g'!$I$7:$I$100,1)+SUMIFS('15h'!$N$7:$N$100,'15h'!$H$7:$H$100,$A416,'15h'!$I$7:$I$100,1)+SUMIFS('15i'!$N$7:$N$100,'15i'!$H$7:$H$100,$A416,'15i'!$I$7:$I$100,1)+SUMIFS('15j'!$N$7:$N$100,'15j'!$H$7:$H$100,$A416,'15j'!$I$7:$I$100,1)+SUMIFS('15k'!$N$7:$N$100,'15k'!$H$7:$H$100,$A416,'15k'!$I$7:$I$100,1)+SUMIFS('15l'!$N$7:$N$100,'15l'!$H$7:$H$100,$A416,'15l'!$I$7:$I$100,1)+SUMIFS('15m'!$N$7:$N$100,'15m'!$H$7:$H$100,$A416,'15m'!$I$7:$I$100,1)+SUMIFS('15n'!$N$7:$N$100,'15n'!$H$7:$H$100,$A416,'15n'!$I$7:$I$100,1)+SUMIFS('16'!$N$7:$N$100,'16'!$H$7:$H$100,$A416,'16'!$I$7:$I$100,1)+SUMIFS('16a'!$N$7:$N$100,'16a'!$H$7:$H$100,$A416,'16a'!$I$7:$I$100,1)+SUMIFS('17'!$N$7:$N$100,'17'!$H$7:$H$100,$A416,'17'!$I$7:$I$100,1)+SUMIFS('17a'!$N$7:$N$100,'17a'!$H$7:$H$100,$A416,'17a'!$I$7:$I$100,1)+SUMIFS('18'!$N$7:$N$100,'18'!$H$7:$H$100,$A416,'18'!$I$7:$I$100,1)+SUMIFS('18a'!$N$7:$N$100,'18a'!$H$7:$H$100,$A416,'18a'!$I$7:$I$100,1)
+SUMIFS('19'!$N$7:$N$100,'19'!$H$7:$H$100,$A416,'19'!$I$7:$I$100,1)+SUMIFS('20'!$N$7:$N$100,'20'!$H$7:$H$100,$A416,'20'!$I$7:$I$100,1)+SUMIFS('20a'!$N$7:$N$100,'20a'!$H$7:$H$100,$A416,'20a'!$I$7:$I$100,1)+SUMIFS('21'!$N$7:$N$100,'21'!$H$7:$H$100,$A416,'21'!$I$7:$I$100,1)+SUMIFS('22'!$N$7:$N$100,'22'!$H$7:$H$100,$A416,'22'!$I$7:$I$100,1)+SUMIFS('22a'!$N$7:$N$100,'22a'!$H$7:$H$100,$A416,'22a'!$I$7:$I$100,1)+SUMIFS('22b'!$N$7:$N$100,'22b'!$H$7:$H$100,$A416,'22b'!$I$7:$I$100,1)+SUMIFS('23'!$N$7:$N$100,'23'!$H$7:$H$100,$A416,'23'!$I$7:$I$100,1)+SUMIFS('24'!$N$7:$N$100,'24'!$H$7:$H$100,$A416,'24'!$I$7:$I$100,1)+SUMIFS('24a'!$N$7:$N$100,'24a'!$H$7:$H$100,$A416,'24a'!$I$7:$I$100,1)+SUMIFS('24b'!$N$7:$N$100,'24b'!$H$7:$H$100,$A416,'24b'!$I$7:$I$100,1)+SUMIFS('24c'!$N$7:$N$100,'24c'!$H$7:$H$100,$A416,'24c'!$I$7:$I$100,1)+SUMIFS('24d'!$N$7:$N$100,'24d'!$H$7:$H$100,$A416,'24d'!$I$7:$I$100,1)+SUMIFS('24e'!$N$7:$N$100,'24e'!$H$7:$H$100,$A416,'24e'!$I$7:$I$100,1)+SUMIFS('24f'!$N$7:$N$100,'24f'!$H$7:$H$100,$A416,'24f'!$I$7:$I$100,1)+SUMIFS('24g'!$N$7:$N$100,'24g'!$H$7:$H$100,$A416,'24g'!$I$7:$I$100,1)+SUMIFS('24h'!$N$7:$N$100,'24h'!$H$7:$H$100,$A416,'24h'!$I$7:$I$100,1)+SUMIFS('24i'!$N$7:$N$100,'24i'!$H$7:$H$100,$A416,'24i'!$I$7:$I$100,1)+SUMIFS('25'!$N$7:$N$100,'25'!$H$7:$H$100,$A416,'25'!$I$7:$I$100,1)+SUMIFS('26'!$N$7:$N$100,'26'!$H$7:$H$100,$A416,'26'!$I$7:$I$100,1)+SUMIFS('26a'!$N$7:$N$100,'26a'!$H$7:$H$100,$A416,'26a'!$I$7:$I$100,1)+SUMIFS('27'!$N$7:$N$100,'27'!$H$7:$H$100,$A416,'27'!$I$7:$I$100,1)+SUMIFS('27a'!$N$7:$N$100,'27a'!$H$7:$H$100,$A416,'27a'!$I$7:$I$100,1)+SUMIFS('28'!$N$7:$N$100,'28'!$H$7:$H$100,$A416,'28'!$I$7:$I$100,1)+SUMIFS('29'!$N$7:$N$100,'29'!$H$7:$H$100,$A416,'29'!$I$7:$I$100,1)</f>
        <v>0</v>
      </c>
      <c r="D416" s="1315">
        <f>SUMIFS('12'!$N$7:$N$100,'12'!$H$7:$H$100,$A416,'12'!$I$7:$I$100,2)+SUMIFS('13'!$N$7:$N$100,'13'!$H$7:$H$100,$A416,'13'!$I$7:$I$100,2)+SUMIFS('14'!$N$7:$N$100,'14'!$H$7:$H$100,$A416,'14'!$I$7:$I$100,2)+SUMIFS('15'!$N$7:$N$100,'15'!$H$7:$H$100,$A416,'15'!$I$7:$I$100,2)+SUMIFS('15a'!$N$7:$N$100,'15a'!$H$7:$H$100,$A416,'15a'!$I$7:$I$100,2)+SUMIFS('15b'!$N$7:$N$100,'15b'!$H$7:$H$100,$A416,'15b'!$I$7:$I$100,2)+SUMIFS('15c'!$N$7:$N$100,'15c'!$H$7:$H$100,$A416,'15c'!$I$7:$I$100,2)+SUMIFS('15d'!$N$7:$N$100,'15d'!$H$7:$H$100,$A416,'15d'!$I$7:$I$100,2)+SUMIFS('15e'!$N$7:$N$100,'15e'!$H$7:$H$100,$A416,'15e'!$I$7:$I$100,2)+SUMIFS('15f'!$N$7:$N$100,'15f'!$H$7:$H$100,$A416,'15f'!$I$7:$I$100,2)+SUMIFS('15g'!$N$7:$N$100,'15g'!$H$7:$H$100,$A416,'15g'!$I$7:$I$100,2)+SUMIFS('15h'!$N$7:$N$100,'15h'!$H$7:$H$100,$A416,'15h'!$I$7:$I$100,2)+SUMIFS('15i'!$N$7:$N$100,'15i'!$H$7:$H$100,$A416,'15i'!$I$7:$I$100,2)+SUMIFS('15j'!$N$7:$N$100,'15j'!$H$7:$H$100,$A416,'15j'!$I$7:$I$100,2)+SUMIFS('15k'!$N$7:$N$100,'15k'!$H$7:$H$100,$A416,'15k'!$I$7:$I$100,2)+SUMIFS('15l'!$N$7:$N$100,'15l'!$H$7:$H$100,$A416,'15l'!$I$7:$I$100,2)+SUMIFS('15m'!$N$7:$N$100,'15m'!$H$7:$H$100,$A416,'15m'!$I$7:$I$100,2)+SUMIFS('15n'!$N$7:$N$100,'15n'!$H$7:$H$100,$A416,'15n'!$I$7:$I$100,2)+SUMIFS('16'!$N$7:$N$100,'16'!$H$7:$H$100,$A416,'16'!$I$7:$I$100,2)+SUMIFS('16a'!$N$7:$N$100,'16a'!$H$7:$H$100,$A416,'16a'!$I$7:$I$100,2)+SUMIFS('17'!$N$7:$N$100,'17'!$H$7:$H$100,$A416,'17'!$I$7:$I$100,2)+SUMIFS('17a'!$N$7:$N$100,'17a'!$H$7:$H$100,$A416,'17a'!$I$7:$I$100,2)+SUMIFS('18'!$N$7:$N$100,'18'!$H$7:$H$100,$A416,'18'!$I$7:$I$100,2)+SUMIFS('18a'!$N$7:$N$100,'18a'!$H$7:$H$100,$A416,'18a'!$I$7:$I$100,2)
+SUMIFS('19'!$N$7:$N$100,'19'!$H$7:$H$100,$A416,'19'!$I$7:$I$100,2)+SUMIFS('20'!$N$7:$N$100,'20'!$H$7:$H$100,$A416,'20'!$I$7:$I$100,2)+SUMIFS('20a'!$N$7:$N$100,'20a'!$H$7:$H$100,$A416,'20a'!$I$7:$I$100,2)+SUMIFS('21'!$N$7:$N$100,'21'!$H$7:$H$100,$A416,'21'!$I$7:$I$100,2)+SUMIFS('22'!$N$7:$N$100,'22'!$H$7:$H$100,$A416,'22'!$I$7:$I$100,2)+SUMIFS('22a'!$N$7:$N$100,'22a'!$H$7:$H$100,$A416,'22a'!$I$7:$I$100,2)+SUMIFS('22b'!$N$7:$N$100,'22b'!$H$7:$H$100,$A416,'22b'!$I$7:$I$100,2)+SUMIFS('23'!$N$7:$N$100,'23'!$H$7:$H$100,$A416,'23'!$I$7:$I$100,2)+SUMIFS('24'!$N$7:$N$100,'24'!$H$7:$H$100,$A416,'24'!$I$7:$I$100,2)+SUMIFS('24a'!$N$7:$N$100,'24a'!$H$7:$H$100,$A416,'24a'!$I$7:$I$100,2)+SUMIFS('24b'!$N$7:$N$100,'24b'!$H$7:$H$100,$A416,'24b'!$I$7:$I$100,2)+SUMIFS('24c'!$N$7:$N$100,'24c'!$H$7:$H$100,$A416,'24c'!$I$7:$I$100,2)+SUMIFS('24d'!$N$7:$N$100,'24d'!$H$7:$H$100,$A416,'24d'!$I$7:$I$100,2)+SUMIFS('24e'!$N$7:$N$100,'24e'!$H$7:$H$100,$A416,'24e'!$I$7:$I$100,2)+SUMIFS('24f'!$N$7:$N$100,'24f'!$H$7:$H$100,$A416,'24f'!$I$7:$I$100,2)+SUMIFS('24g'!$N$7:$N$100,'24g'!$H$7:$H$100,$A416,'24g'!$I$7:$I$100,2)+SUMIFS('24h'!$N$7:$N$100,'24h'!$H$7:$H$100,$A416,'24h'!$I$7:$I$100,2)+SUMIFS('24i'!$N$7:$N$100,'24i'!$H$7:$H$100,$A416,'24i'!$I$7:$I$100,2)+SUMIFS('25'!$N$7:$N$100,'25'!$H$7:$H$100,$A416,'25'!$I$7:$I$100,2)+SUMIFS('26'!$N$7:$N$100,'26'!$H$7:$H$100,$A416,'26'!$I$7:$I$100,2)+SUMIFS('26a'!$N$7:$N$100,'26a'!$H$7:$H$100,$A416,'26a'!$I$7:$I$100,2)+SUMIFS('27'!$N$7:$N$100,'27'!$H$7:$H$100,$A416,'27'!$I$7:$I$100,2)+SUMIFS('27a'!$N$7:$N$100,'27a'!$H$7:$H$100,$A416,'27a'!$I$7:$I$100,2)+SUMIFS('28'!$N$7:$N$100,'28'!$H$7:$H$100,$A416,'28'!$I$7:$I$100,2)+SUMIFS('29'!$N$7:$N$100,'29'!$H$7:$H$100,$A416,'29'!$I$7:$I$100,2)</f>
        <v>0</v>
      </c>
      <c r="E416" s="1315">
        <f>SUMIFS('12'!$N$7:$N$100,'12'!$H$7:$H$100,$A416,'12'!$I$7:$I$100,"")+SUMIFS('13'!$N$7:$N$100,'13'!$H$7:$H$100,$A416,'13'!$I$7:$I$100,"")+SUMIFS('14'!$N$7:$N$100,'14'!$H$7:$H$100,$A416,'14'!$I$7:$I$100,"")+SUMIFS('15'!$N$7:$N$100,'15'!$H$7:$H$100,$A416,'15'!$I$7:$I$100,"")+SUMIFS('15a'!$N$7:$N$100,'15a'!$H$7:$H$100,$A416,'15a'!$I$7:$I$100,"")+SUMIFS('15b'!$N$7:$N$100,'15b'!$H$7:$H$100,$A416,'15b'!$I$7:$I$100,"")+SUMIFS('15c'!$N$7:$N$100,'15c'!$H$7:$H$100,$A416,'15c'!$I$7:$I$100,"")+SUMIFS('15d'!$N$7:$N$100,'15d'!$H$7:$H$100,$A416,'15d'!$I$7:$I$100,"")+SUMIFS('15e'!$N$7:$N$100,'15e'!$H$7:$H$100,$A416,'15e'!$I$7:$I$100,"")+SUMIFS('15f'!$N$7:$N$100,'15f'!$H$7:$H$100,$A416,'15f'!$I$7:$I$100,"")+SUMIFS('15g'!$N$7:$N$100,'15g'!$H$7:$H$100,$A416,'15g'!$I$7:$I$100,"")+SUMIFS('15h'!$N$7:$N$100,'15h'!$H$7:$H$100,$A416,'15h'!$I$7:$I$100,"")+SUMIFS('15i'!$N$7:$N$100,'15i'!$H$7:$H$100,$A416,'15i'!$I$7:$I$100,"")+SUMIFS('15j'!$N$7:$N$100,'15j'!$H$7:$H$100,$A416,'15j'!$I$7:$I$100,"")+SUMIFS('15k'!$N$7:$N$100,'15k'!$H$7:$H$100,$A416,'15k'!$I$7:$I$100,"")+SUMIFS('15l'!$N$7:$N$100,'15l'!$H$7:$H$100,$A416,'15l'!$I$7:$I$100,"")+SUMIFS('15m'!$N$7:$N$100,'15m'!$H$7:$H$100,$A416,'15m'!$I$7:$I$100,"")+SUMIFS('15n'!$N$7:$N$100,'15n'!$H$7:$H$100,$A416,'15n'!$I$7:$I$100,"")+SUMIFS('16'!$N$7:$N$100,'16'!$H$7:$H$100,$A416,'16'!$I$7:$I$100,"")+SUMIFS('16a'!$N$7:$N$100,'16a'!$H$7:$H$100,$A416,'16a'!$I$7:$I$100,"")+SUMIFS('17'!$N$7:$N$100,'17'!$H$7:$H$100,$A416,'17'!$I$7:$I$100,"")+SUMIFS('17a'!$N$7:$N$100,'17a'!$H$7:$H$100,$A416,'17a'!$I$7:$I$100,"")+SUMIFS('18'!$N$7:$N$100,'18'!$H$7:$H$100,$A416,'18'!$I$7:$I$100,"")+SUMIFS('18a'!$N$7:$N$100,'18a'!$H$7:$H$100,$A416,'18a'!$I$7:$I$100,"")
+SUMIFS('19'!$N$7:$N$100,'19'!$H$7:$H$100,$A416,'19'!$I$7:$I$100,"")+SUMIFS('20'!$N$7:$N$100,'20'!$H$7:$H$100,$A416,'20'!$I$7:$I$100,"")+SUMIFS('20a'!$N$7:$N$100,'20a'!$H$7:$H$100,$A416,'20a'!$I$7:$I$100,"")+SUMIFS('21'!$N$7:$N$100,'21'!$H$7:$H$100,$A416,'21'!$I$7:$I$100,"")+SUMIFS('22'!$N$7:$N$100,'22'!$H$7:$H$100,$A416,'22'!$I$7:$I$100,"")+SUMIFS('22a'!$N$7:$N$100,'22a'!$H$7:$H$100,$A416,'22a'!$I$7:$I$100,"")+SUMIFS('22b'!$N$7:$N$100,'22b'!$H$7:$H$100,$A416,'22b'!$I$7:$I$100,"")+SUMIFS('23'!$N$7:$N$100,'23'!$H$7:$H$100,$A416,'23'!$I$7:$I$100,"")+SUMIFS('24'!$N$7:$N$100,'24'!$H$7:$H$100,$A416,'24'!$I$7:$I$100,"")+SUMIFS('24a'!$N$7:$N$100,'24a'!$H$7:$H$100,$A416,'24a'!$I$7:$I$100,"")+SUMIFS('24b'!$N$7:$N$100,'24b'!$H$7:$H$100,$A416,'24b'!$I$7:$I$100,"")+SUMIFS('24c'!$N$7:$N$100,'24c'!$H$7:$H$100,$A416,'24c'!$I$7:$I$100,"")+SUMIFS('24d'!$N$7:$N$100,'24d'!$H$7:$H$100,$A416,'24d'!$I$7:$I$100,"")+SUMIFS('24e'!$N$7:$N$100,'24e'!$H$7:$H$100,$A416,'24e'!$I$7:$I$100,"")+SUMIFS('24f'!$N$7:$N$100,'24f'!$H$7:$H$100,$A416,'24f'!$I$7:$I$100,"")+SUMIFS('24g'!$N$7:$N$100,'24g'!$H$7:$H$100,$A416,'24g'!$I$7:$I$100,"")+SUMIFS('24h'!$N$7:$N$100,'24h'!$H$7:$H$100,$A416,'24h'!$I$7:$I$100,"")+SUMIFS('24i'!$N$7:$N$100,'24i'!$H$7:$H$100,$A416,'24i'!$I$7:$I$100,"")+SUMIFS('25'!$N$7:$N$100,'25'!$H$7:$H$100,$A416,'25'!$I$7:$I$100,"")+SUMIFS('26'!$N$7:$N$100,'26'!$H$7:$H$100,$A416,'26'!$I$7:$I$100,"")+SUMIFS('26a'!$N$7:$N$100,'26a'!$H$7:$H$100,$A416,'26a'!$I$7:$I$100,"")+SUMIFS('27'!$N$7:$N$100,'27'!$H$7:$H$100,$A416,'27'!$I$7:$I$100,"")+SUMIFS('27a'!$N$7:$N$100,'27a'!$H$7:$H$100,$A416,'27a'!$I$7:$I$100,"")+SUMIFS('28'!$N$7:$N$100,'28'!$H$7:$H$100,$A416,'28'!$I$7:$I$100,"")+SUMIFS('29'!$N$7:$N$100,'29'!$H$7:$H$100,$A416,'29'!$I$7:$I$100,"")</f>
        <v>0</v>
      </c>
      <c r="F416" s="1296">
        <f t="shared" si="69"/>
        <v>0</v>
      </c>
      <c r="G416" s="1295">
        <f>SUMIFS('12'!$J$7:$J$100,'12'!$H$7:$H$100,$A416,'12'!$I$7:$I$100,1)+SUMIFS('13'!$J$7:$J$100,'13'!$H$7:$H$100,$A416,'13'!$I$7:$I$100,1)+SUMIFS('14'!$J$7:$J$100,'14'!$H$7:$H$100,$A416,'14'!$I$7:$I$100,1)+SUMIFS('15'!$J$7:$J$100,'15'!$H$7:$H$100,$A416,'15'!$I$7:$I$100,1)+SUMIFS('15a'!$J$7:$J$100,'15a'!$H$7:$H$100,$A416,'15a'!$I$7:$I$100,1)+SUMIFS('15b'!$J$7:$J$100,'15b'!$H$7:$H$100,$A416,'15b'!$I$7:$I$100,1)+SUMIFS('15c'!$J$7:$J$100,'15c'!$H$7:$H$100,$A416,'15c'!$I$7:$I$100,1)+SUMIFS('15d'!$J$7:$J$100,'15d'!$H$7:$H$100,$A416,'15d'!$I$7:$I$100,1)+SUMIFS('15e'!$J$7:$J$100,'15e'!$H$7:$H$100,$A416,'15e'!$I$7:$I$100,1)+SUMIFS('15f'!$J$7:$J$100,'15f'!$H$7:$H$100,$A416,'15f'!$I$7:$I$100,1)+SUMIFS('15g'!$J$7:$J$100,'15g'!$H$7:$H$100,$A416,'15g'!$I$7:$I$100,1)+SUMIFS('15h'!$J$7:$J$100,'15h'!$H$7:$H$100,$A416,'15h'!$I$7:$I$100,1)+SUMIFS('15i'!$J$7:$J$100,'15i'!$H$7:$H$100,$A416,'15i'!$I$7:$I$100,1)+SUMIFS('15j'!$J$7:$J$100,'15j'!$H$7:$H$100,$A416,'15j'!$I$7:$I$100,1)+SUMIFS('15k'!$J$7:$J$100,'15k'!$H$7:$H$100,$A416,'15k'!$I$7:$I$100,1)+SUMIFS('15l'!$J$7:$J$100,'15l'!$H$7:$H$100,$A416,'15l'!$I$7:$I$100,1)+SUMIFS('15m'!$J$7:$J$100,'15m'!$H$7:$H$100,$A416,'15m'!$I$7:$I$100,1)+SUMIFS('15n'!$J$7:$J$100,'15n'!$H$7:$H$100,$A416,'15n'!$I$7:$I$100,1)+SUMIFS('16'!$J$7:$J$100,'16'!$H$7:$H$100,$A416,'16'!$I$7:$I$100,1)+SUMIFS('16a'!$J$7:$J$100,'16a'!$H$7:$H$100,$A416,'16a'!$I$7:$I$100,1)+SUMIFS('17'!$J$7:$J$100,'17'!$H$7:$H$100,$A416,'17'!$I$7:$I$100,1)+SUMIFS('17a'!$J$7:$J$100,'17a'!$H$7:$H$100,$A416,'17a'!$I$7:$I$100,1)+SUMIFS('18'!$J$7:$J$100,'18'!$H$7:$H$100,$A416,'18'!$I$7:$I$100,1)+SUMIFS('18a'!$J$7:$J$100,'18a'!$H$7:$H$100,$A416,'18a'!$I$7:$I$100,1)
+SUMIFS('19'!$J$7:$J$100,'19'!$H$7:$H$100,$A416,'19'!$I$7:$I$100,1)+SUMIFS('20'!$J$7:$J$100,'20'!$H$7:$H$100,$A416,'20'!$I$7:$I$100,1)+SUMIFS('20a'!$J$7:$J$100,'20a'!$H$7:$H$100,$A416,'20a'!$I$7:$I$100,1)+SUMIFS('21'!$J$7:$J$100,'21'!$H$7:$H$100,$A416,'21'!$I$7:$I$100,1)+SUMIFS('22'!$J$7:$J$100,'22'!$H$7:$H$100,$A416,'22'!$I$7:$I$100,1)+SUMIFS('22a'!$J$7:$J$100,'22a'!$H$7:$H$100,$A416,'22a'!$I$7:$I$100,1)+SUMIFS('22b'!$J$7:$J$100,'22b'!$H$7:$H$100,$A416,'22b'!$I$7:$I$100,1)+SUMIFS('23'!$J$7:$J$100,'23'!$H$7:$H$100,$A416,'23'!$I$7:$I$100,1)+SUMIFS('24'!$J$7:$J$100,'24'!$H$7:$H$100,$A416,'24'!$I$7:$I$100,1)+SUMIFS('24a'!$J$7:$J$100,'24a'!$H$7:$H$100,$A416,'24a'!$I$7:$I$100,1)+SUMIFS('24b'!$J$7:$J$100,'24b'!$H$7:$H$100,$A416,'24b'!$I$7:$I$100,1)+SUMIFS('24c'!$J$7:$J$100,'24c'!$H$7:$H$100,$A416,'24c'!$I$7:$I$100,1)+SUMIFS('24d'!$J$7:$J$100,'24d'!$H$7:$H$100,$A416,'24d'!$I$7:$I$100,1)+SUMIFS('24e'!$J$7:$J$100,'24e'!$H$7:$H$100,$A416,'24e'!$I$7:$I$100,1)+SUMIFS('24f'!$J$7:$J$100,'24f'!$H$7:$H$100,$A416,'24f'!$I$7:$I$100,1)+SUMIFS('24g'!$J$7:$J$100,'24g'!$H$7:$H$100,$A416,'24g'!$I$7:$I$100,1)+SUMIFS('24h'!$J$7:$J$100,'24h'!$H$7:$H$100,$A416,'24h'!$I$7:$I$100,1)+SUMIFS('24i'!$J$7:$J$100,'24i'!$H$7:$H$100,$A416,'24i'!$I$7:$I$100,1)+SUMIFS('25'!$J$7:$J$100,'25'!$H$7:$H$100,$A416,'25'!$I$7:$I$100,1)+SUMIFS('26'!$J$7:$J$100,'26'!$H$7:$H$100,$A416,'26'!$I$7:$I$100,1)+SUMIFS('26a'!$J$7:$J$100,'26a'!$H$7:$H$100,$A416,'26a'!$I$7:$I$100,1)+SUMIFS('27'!$J$7:$J$100,'27'!$H$7:$H$100,$A416,'27'!$I$7:$I$100,1)+SUMIFS('27a'!$J$7:$J$100,'27a'!$H$7:$H$100,$A416,'27a'!$I$7:$I$100,1)+SUMIFS('28'!$J$7:$J$100,'28'!$H$7:$H$100,$A416,'28'!$I$7:$I$100,1)+SUMIFS('29'!$J$7:$J$100,'29'!$H$7:$H$100,$A416,'29'!$I$7:$I$100,1)</f>
        <v>0</v>
      </c>
      <c r="H416" s="1315">
        <f>SUMIFS('12'!$J$7:$J$100,'12'!$H$7:$H$100,$A416,'12'!$I$7:$I$100,2)+SUMIFS('13'!$J$7:$J$100,'13'!$H$7:$H$100,$A416,'13'!$I$7:$I$100,2)+SUMIFS('14'!$J$7:$J$100,'14'!$H$7:$H$100,$A416,'14'!$I$7:$I$100,2)+SUMIFS('15'!$J$7:$J$100,'15'!$H$7:$H$100,$A416,'15'!$I$7:$I$100,2)+SUMIFS('15a'!$J$7:$J$100,'15a'!$H$7:$H$100,$A416,'15a'!$I$7:$I$100,2)+SUMIFS('15b'!$J$7:$J$100,'15b'!$H$7:$H$100,$A416,'15b'!$I$7:$I$100,2)+SUMIFS('15c'!$J$7:$J$100,'15c'!$H$7:$H$100,$A416,'15c'!$I$7:$I$100,2)+SUMIFS('15d'!$J$7:$J$100,'15d'!$H$7:$H$100,$A416,'15d'!$I$7:$I$100,2)+SUMIFS('15e'!$J$7:$J$100,'15e'!$H$7:$H$100,$A416,'15e'!$I$7:$I$100,2)+SUMIFS('15f'!$J$7:$J$100,'15f'!$H$7:$H$100,$A416,'15f'!$I$7:$I$100,2)+SUMIFS('15g'!$J$7:$J$100,'15g'!$H$7:$H$100,$A416,'15g'!$I$7:$I$100,2)+SUMIFS('15h'!$J$7:$J$100,'15h'!$H$7:$H$100,$A416,'15h'!$I$7:$I$100,2)+SUMIFS('15i'!$J$7:$J$100,'15i'!$H$7:$H$100,$A416,'15i'!$I$7:$I$100,2)+SUMIFS('15j'!$J$7:$J$100,'15j'!$H$7:$H$100,$A416,'15j'!$I$7:$I$100,2)+SUMIFS('15k'!$J$7:$J$100,'15k'!$H$7:$H$100,$A416,'15k'!$I$7:$I$100,2)+SUMIFS('15l'!$J$7:$J$100,'15l'!$H$7:$H$100,$A416,'15l'!$I$7:$I$100,2)+SUMIFS('15m'!$J$7:$J$100,'15m'!$H$7:$H$100,$A416,'15m'!$I$7:$I$100,2)+SUMIFS('15n'!$J$7:$J$100,'15n'!$H$7:$H$100,$A416,'15n'!$I$7:$I$100,2)+SUMIFS('16'!$J$7:$J$100,'16'!$H$7:$H$100,$A416,'16'!$I$7:$I$100,2)+SUMIFS('16a'!$J$7:$J$100,'16a'!$H$7:$H$100,$A416,'16a'!$I$7:$I$100,2)+SUMIFS('17'!$J$7:$J$100,'17'!$H$7:$H$100,$A416,'17'!$I$7:$I$100,2)+SUMIFS('17a'!$J$7:$J$100,'17a'!$H$7:$H$100,$A416,'17a'!$I$7:$I$100,2)+SUMIFS('18'!$J$7:$J$100,'18'!$H$7:$H$100,$A416,'18'!$I$7:$I$100,2)+SUMIFS('18a'!$J$7:$J$100,'18a'!$H$7:$H$100,$A416,'18a'!$I$7:$I$100,2)
+SUMIFS('19'!$J$7:$J$100,'19'!$H$7:$H$100,$A416,'19'!$I$7:$I$100,2)+SUMIFS('20'!$J$7:$J$100,'20'!$H$7:$H$100,$A416,'20'!$I$7:$I$100,2)+SUMIFS('20a'!$J$7:$J$100,'20a'!$H$7:$H$100,$A416,'20a'!$I$7:$I$100,2)+SUMIFS('21'!$J$7:$J$100,'21'!$H$7:$H$100,$A416,'21'!$I$7:$I$100,2)+SUMIFS('22'!$J$7:$J$100,'22'!$H$7:$H$100,$A416,'22'!$I$7:$I$100,2)+SUMIFS('22a'!$J$7:$J$100,'22a'!$H$7:$H$100,$A416,'22a'!$I$7:$I$100,2)+SUMIFS('22b'!$J$7:$J$100,'22b'!$H$7:$H$100,$A416,'22b'!$I$7:$I$100,2)+SUMIFS('23'!$J$7:$J$100,'23'!$H$7:$H$100,$A416,'23'!$I$7:$I$100,2)+SUMIFS('24'!$J$7:$J$100,'24'!$H$7:$H$100,$A416,'24'!$I$7:$I$100,2)+SUMIFS('24a'!$J$7:$J$100,'24a'!$H$7:$H$100,$A416,'24a'!$I$7:$I$100,2)+SUMIFS('24b'!$J$7:$J$100,'24b'!$H$7:$H$100,$A416,'24b'!$I$7:$I$100,2)+SUMIFS('24c'!$J$7:$J$100,'24c'!$H$7:$H$100,$A416,'24c'!$I$7:$I$100,2)+SUMIFS('24d'!$J$7:$J$100,'24d'!$H$7:$H$100,$A416,'24d'!$I$7:$I$100,2)+SUMIFS('24e'!$J$7:$J$100,'24e'!$H$7:$H$100,$A416,'24e'!$I$7:$I$100,2)+SUMIFS('24f'!$J$7:$J$100,'24f'!$H$7:$H$100,$A416,'24f'!$I$7:$I$100,2)+SUMIFS('24g'!$J$7:$J$100,'24g'!$H$7:$H$100,$A416,'24g'!$I$7:$I$100,2)+SUMIFS('24h'!$J$7:$J$100,'24h'!$H$7:$H$100,$A416,'24h'!$I$7:$I$100,2)+SUMIFS('24i'!$J$7:$J$100,'24i'!$H$7:$H$100,$A416,'24i'!$I$7:$I$100,2)+SUMIFS('25'!$J$7:$J$100,'25'!$H$7:$H$100,$A416,'25'!$I$7:$I$100,2)+SUMIFS('26'!$J$7:$J$100,'26'!$H$7:$H$100,$A416,'26'!$I$7:$I$100,2)+SUMIFS('26a'!$J$7:$J$100,'26a'!$H$7:$H$100,$A416,'26a'!$I$7:$I$100,2)+SUMIFS('27'!$J$7:$J$100,'27'!$H$7:$H$100,$A416,'27'!$I$7:$I$100,2)+SUMIFS('27a'!$J$7:$J$100,'27a'!$H$7:$H$100,$A416,'27a'!$I$7:$I$100,2)+SUMIFS('28'!$J$7:$J$100,'28'!$H$7:$H$100,$A416,'28'!$I$7:$I$100,2)+SUMIFS('29'!$J$7:$J$100,'29'!$H$7:$H$100,$A416,'29'!$I$7:$I$100,2)</f>
        <v>0</v>
      </c>
      <c r="I416" s="1315">
        <f>SUMIFS('12'!$J$7:$J$100,'12'!$H$7:$H$100,$A416,'12'!$I$7:$I$100,"")+SUMIFS('13'!$J$7:$J$100,'13'!$H$7:$H$100,$A416,'13'!$I$7:$I$100,"")+SUMIFS('14'!$J$7:$J$100,'14'!$H$7:$H$100,$A416,'14'!$I$7:$I$100,"")+SUMIFS('15'!$J$7:$J$100,'15'!$H$7:$H$100,$A416,'15'!$I$7:$I$100,"")+SUMIFS('15a'!$J$7:$J$100,'15a'!$H$7:$H$100,$A416,'15a'!$I$7:$I$100,"")+SUMIFS('15b'!$J$7:$J$100,'15b'!$H$7:$H$100,$A416,'15b'!$I$7:$I$100,"")+SUMIFS('15c'!$J$7:$J$100,'15c'!$H$7:$H$100,$A416,'15c'!$I$7:$I$100,"")+SUMIFS('15d'!$J$7:$J$100,'15d'!$H$7:$H$100,$A416,'15d'!$I$7:$I$100,"")+SUMIFS('15e'!$J$7:$J$100,'15e'!$H$7:$H$100,$A416,'15e'!$I$7:$I$100,"")+SUMIFS('15f'!$J$7:$J$100,'15f'!$H$7:$H$100,$A416,'15f'!$I$7:$I$100,"")+SUMIFS('15g'!$J$7:$J$100,'15g'!$H$7:$H$100,$A416,'15g'!$I$7:$I$100,"")+SUMIFS('15h'!$J$7:$J$100,'15h'!$H$7:$H$100,$A416,'15h'!$I$7:$I$100,"")+SUMIFS('15i'!$J$7:$J$100,'15i'!$H$7:$H$100,$A416,'15i'!$I$7:$I$100,"")+SUMIFS('15j'!$J$7:$J$100,'15j'!$H$7:$H$100,$A416,'15j'!$I$7:$I$100,"")+SUMIFS('15k'!$J$7:$J$100,'15k'!$H$7:$H$100,$A416,'15k'!$I$7:$I$100,"")+SUMIFS('15l'!$J$7:$J$100,'15l'!$H$7:$H$100,$A416,'15l'!$I$7:$I$100,"")+SUMIFS('15m'!$J$7:$J$100,'15m'!$H$7:$H$100,$A416,'15m'!$I$7:$I$100,"")+SUMIFS('15n'!$J$7:$J$100,'15n'!$H$7:$H$100,$A416,'15n'!$I$7:$I$100,"")+SUMIFS('16'!$J$7:$J$100,'16'!$H$7:$H$100,$A416,'16'!$I$7:$I$100,"")+SUMIFS('16a'!$J$7:$J$100,'16a'!$H$7:$H$100,$A416,'16a'!$I$7:$I$100,"")+SUMIFS('17'!$J$7:$J$100,'17'!$H$7:$H$100,$A416,'17'!$I$7:$I$100,"")+SUMIFS('17a'!$J$7:$J$100,'17a'!$H$7:$H$100,$A416,'17a'!$I$7:$I$100,"")+SUMIFS('18'!$J$7:$J$100,'18'!$H$7:$H$100,$A416,'18'!$I$7:$I$100,"")+SUMIFS('18a'!$J$7:$J$100,'18a'!$H$7:$H$100,$A416,'18a'!$I$7:$I$100,"")
+SUMIFS('19'!$J$7:$J$100,'19'!$H$7:$H$100,$A416,'19'!$I$7:$I$100,"")+SUMIFS('20'!$J$7:$J$100,'20'!$H$7:$H$100,$A416,'20'!$I$7:$I$100,"")+SUMIFS('20a'!$J$7:$J$100,'20a'!$H$7:$H$100,$A416,'20a'!$I$7:$I$100,"")+SUMIFS('21'!$J$7:$J$100,'21'!$H$7:$H$100,$A416,'21'!$I$7:$I$100,"")+SUMIFS('22'!$J$7:$J$100,'22'!$H$7:$H$100,$A416,'22'!$I$7:$I$100,"")+SUMIFS('22a'!$J$7:$J$100,'22a'!$H$7:$H$100,$A416,'22a'!$I$7:$I$100,"")+SUMIFS('22b'!$J$7:$J$100,'22b'!$H$7:$H$100,$A416,'22b'!$I$7:$I$100,"")+SUMIFS('23'!$J$7:$J$100,'23'!$H$7:$H$100,$A416,'23'!$I$7:$I$100,"")+SUMIFS('24'!$J$7:$J$100,'24'!$H$7:$H$100,$A416,'24'!$I$7:$I$100,"")+SUMIFS('24a'!$J$7:$J$100,'24a'!$H$7:$H$100,$A416,'24a'!$I$7:$I$100,"")+SUMIFS('24b'!$J$7:$J$100,'24b'!$H$7:$H$100,$A416,'24b'!$I$7:$I$100,"")+SUMIFS('24c'!$J$7:$J$100,'24c'!$H$7:$H$100,$A416,'24c'!$I$7:$I$100,"")+SUMIFS('24d'!$J$7:$J$100,'24d'!$H$7:$H$100,$A416,'24d'!$I$7:$I$100,"")+SUMIFS('24e'!$J$7:$J$100,'24e'!$H$7:$H$100,$A416,'24e'!$I$7:$I$100,"")+SUMIFS('24f'!$J$7:$J$100,'24f'!$H$7:$H$100,$A416,'24f'!$I$7:$I$100,"")+SUMIFS('24g'!$J$7:$J$100,'24g'!$H$7:$H$100,$A416,'24g'!$I$7:$I$100,"")+SUMIFS('24h'!$J$7:$J$100,'24h'!$H$7:$H$100,$A416,'24h'!$I$7:$I$100,"")+SUMIFS('24i'!$J$7:$J$100,'24i'!$H$7:$H$100,$A416,'24i'!$I$7:$I$100,"")+SUMIFS('25'!$J$7:$J$100,'25'!$H$7:$H$100,$A416,'25'!$I$7:$I$100,"")+SUMIFS('26'!$J$7:$J$100,'26'!$H$7:$H$100,$A416,'26'!$I$7:$I$100,"")+SUMIFS('26a'!$J$7:$J$100,'26a'!$H$7:$H$100,$A416,'26a'!$I$7:$I$100,"")+SUMIFS('27'!$J$7:$J$100,'27'!$H$7:$H$100,$A416,'27'!$I$7:$I$100,"")+SUMIFS('27a'!$J$7:$J$100,'27a'!$H$7:$H$100,$A416,'27a'!$I$7:$I$100,"")+SUMIFS('28'!$J$7:$J$100,'28'!$H$7:$H$100,$A416,'28'!$I$7:$I$100,"")+SUMIFS('29'!$J$7:$J$100,'29'!$H$7:$H$100,$A416,'29'!$I$7:$I$100,"")</f>
        <v>0</v>
      </c>
      <c r="J416" s="1296">
        <f t="shared" si="70"/>
        <v>0</v>
      </c>
      <c r="K416"/>
      <c r="L416"/>
      <c r="M416"/>
      <c r="N416"/>
      <c r="O416"/>
      <c r="P416"/>
      <c r="Q416"/>
      <c r="R416"/>
      <c r="S416" s="1307">
        <f t="shared" si="71"/>
        <v>0</v>
      </c>
      <c r="T416"/>
    </row>
    <row r="417" spans="1:20" x14ac:dyDescent="0.2">
      <c r="A417"/>
      <c r="B417" t="s">
        <v>5577</v>
      </c>
      <c r="C417" s="1295">
        <f>SUM(C418:C420)</f>
        <v>0</v>
      </c>
      <c r="D417" s="1315">
        <f t="shared" ref="D417:E417" si="72">SUM(D418:D420)</f>
        <v>0</v>
      </c>
      <c r="E417" s="1315">
        <f t="shared" si="72"/>
        <v>0</v>
      </c>
      <c r="F417" s="1296">
        <f t="shared" si="69"/>
        <v>0</v>
      </c>
      <c r="G417" s="1295">
        <f>SUM(G418:G420)</f>
        <v>0</v>
      </c>
      <c r="H417" s="1315">
        <f t="shared" ref="H417" si="73">SUM(H418:H420)</f>
        <v>0</v>
      </c>
      <c r="I417" s="1315">
        <f>SUM(I418:I420)</f>
        <v>0</v>
      </c>
      <c r="J417" s="1296">
        <f t="shared" si="70"/>
        <v>0</v>
      </c>
      <c r="K417"/>
      <c r="L417"/>
      <c r="M417"/>
      <c r="N417"/>
      <c r="O417"/>
      <c r="P417"/>
      <c r="Q417"/>
      <c r="R417"/>
      <c r="S417" s="1307">
        <f t="shared" si="71"/>
        <v>0</v>
      </c>
      <c r="T417"/>
    </row>
    <row r="418" spans="1:20" outlineLevel="1" x14ac:dyDescent="0.2">
      <c r="A418" t="s">
        <v>5085</v>
      </c>
      <c r="B418" t="s">
        <v>5558</v>
      </c>
      <c r="C418" s="1295">
        <f>SUMIFS('12'!$N$7:$N$100,'12'!$H$7:$H$100,$A417,'12'!$I$7:$I$100,1)+SUMIFS('13'!$N$7:$N$100,'13'!$H$7:$H$100,$A417,'13'!$I$7:$I$100,1)+SUMIFS('14'!$N$7:$N$100,'14'!$H$7:$H$100,$A417,'14'!$I$7:$I$100,1)+SUMIFS('15'!$N$7:$N$100,'15'!$H$7:$H$100,$A417,'15'!$I$7:$I$100,1)+SUMIFS('15a'!$N$7:$N$100,'15a'!$H$7:$H$100,$A417,'15a'!$I$7:$I$100,1)+SUMIFS('15b'!$N$7:$N$100,'15b'!$H$7:$H$100,$A417,'15b'!$I$7:$I$100,1)+SUMIFS('15c'!$N$7:$N$100,'15c'!$H$7:$H$100,$A417,'15c'!$I$7:$I$100,1)+SUMIFS('15d'!$N$7:$N$100,'15d'!$H$7:$H$100,$A417,'15d'!$I$7:$I$100,1)+SUMIFS('15e'!$N$7:$N$100,'15e'!$H$7:$H$100,$A417,'15e'!$I$7:$I$100,1)+SUMIFS('15f'!$N$7:$N$100,'15f'!$H$7:$H$100,$A417,'15f'!$I$7:$I$100,1)+SUMIFS('15g'!$N$7:$N$100,'15g'!$H$7:$H$100,$A417,'15g'!$I$7:$I$100,1)+SUMIFS('15h'!$N$7:$N$100,'15h'!$H$7:$H$100,$A417,'15h'!$I$7:$I$100,1)+SUMIFS('15i'!$N$7:$N$100,'15i'!$H$7:$H$100,$A417,'15i'!$I$7:$I$100,1)+SUMIFS('15j'!$N$7:$N$100,'15j'!$H$7:$H$100,$A417,'15j'!$I$7:$I$100,1)+SUMIFS('15k'!$N$7:$N$100,'15k'!$H$7:$H$100,$A417,'15k'!$I$7:$I$100,1)+SUMIFS('15l'!$N$7:$N$100,'15l'!$H$7:$H$100,$A417,'15l'!$I$7:$I$100,1)+SUMIFS('15m'!$N$7:$N$100,'15m'!$H$7:$H$100,$A417,'15m'!$I$7:$I$100,1)+SUMIFS('15n'!$N$7:$N$100,'15n'!$H$7:$H$100,$A417,'15n'!$I$7:$I$100,1)+SUMIFS('16'!$N$7:$N$100,'16'!$H$7:$H$100,$A417,'16'!$I$7:$I$100,1)+SUMIFS('16a'!$N$7:$N$100,'16a'!$H$7:$H$100,$A417,'16a'!$I$7:$I$100,1)+SUMIFS('17'!$N$7:$N$100,'17'!$H$7:$H$100,$A417,'17'!$I$7:$I$100,1)+SUMIFS('17a'!$N$7:$N$100,'17a'!$H$7:$H$100,$A417,'17a'!$I$7:$I$100,1)+SUMIFS('18'!$N$7:$N$100,'18'!$H$7:$H$100,$A417,'18'!$I$7:$I$100,1)+SUMIFS('18a'!$N$7:$N$100,'18a'!$H$7:$H$100,$A417,'18a'!$I$7:$I$100,1)
+SUMIFS('19'!$N$7:$N$100,'19'!$H$7:$H$100,$A417,'19'!$I$7:$I$100,1)+SUMIFS('20'!$N$7:$N$100,'20'!$H$7:$H$100,$A417,'20'!$I$7:$I$100,1)+SUMIFS('20a'!$N$7:$N$100,'20a'!$H$7:$H$100,$A417,'20a'!$I$7:$I$100,1)+SUMIFS('21'!$N$7:$N$100,'21'!$H$7:$H$100,$A417,'21'!$I$7:$I$100,1)+SUMIFS('22'!$N$7:$N$100,'22'!$H$7:$H$100,$A417,'22'!$I$7:$I$100,1)+SUMIFS('22a'!$N$7:$N$100,'22a'!$H$7:$H$100,$A417,'22a'!$I$7:$I$100,1)+SUMIFS('22b'!$N$7:$N$100,'22b'!$H$7:$H$100,$A417,'22b'!$I$7:$I$100,1)+SUMIFS('23'!$N$7:$N$100,'23'!$H$7:$H$100,$A417,'23'!$I$7:$I$100,1)+SUMIFS('24'!$N$7:$N$100,'24'!$H$7:$H$100,$A417,'24'!$I$7:$I$100,1)+SUMIFS('24a'!$N$7:$N$100,'24a'!$H$7:$H$100,$A417,'24a'!$I$7:$I$100,1)+SUMIFS('24b'!$N$7:$N$100,'24b'!$H$7:$H$100,$A417,'24b'!$I$7:$I$100,1)+SUMIFS('24c'!$N$7:$N$100,'24c'!$H$7:$H$100,$A417,'24c'!$I$7:$I$100,1)+SUMIFS('24d'!$N$7:$N$100,'24d'!$H$7:$H$100,$A417,'24d'!$I$7:$I$100,1)+SUMIFS('24e'!$N$7:$N$100,'24e'!$H$7:$H$100,$A417,'24e'!$I$7:$I$100,1)+SUMIFS('24f'!$N$7:$N$100,'24f'!$H$7:$H$100,$A417,'24f'!$I$7:$I$100,1)+SUMIFS('24g'!$N$7:$N$100,'24g'!$H$7:$H$100,$A417,'24g'!$I$7:$I$100,1)+SUMIFS('24h'!$N$7:$N$100,'24h'!$H$7:$H$100,$A417,'24h'!$I$7:$I$100,1)+SUMIFS('24i'!$N$7:$N$100,'24i'!$H$7:$H$100,$A417,'24i'!$I$7:$I$100,1)+SUMIFS('25'!$N$7:$N$100,'25'!$H$7:$H$100,$A417,'25'!$I$7:$I$100,1)+SUMIFS('26'!$N$7:$N$100,'26'!$H$7:$H$100,$A417,'26'!$I$7:$I$100,1)+SUMIFS('26a'!$N$7:$N$100,'26a'!$H$7:$H$100,$A417,'26a'!$I$7:$I$100,1)+SUMIFS('27'!$N$7:$N$100,'27'!$H$7:$H$100,$A417,'27'!$I$7:$I$100,1)+SUMIFS('27a'!$N$7:$N$100,'27a'!$H$7:$H$100,$A417,'27a'!$I$7:$I$100,1)+SUMIFS('28'!$N$7:$N$100,'28'!$H$7:$H$100,$A417,'28'!$I$7:$I$100,1)+SUMIFS('29'!$N$7:$N$100,'29'!$H$7:$H$100,$A417,'29'!$I$7:$I$100,1)</f>
        <v>0</v>
      </c>
      <c r="D418" s="1315">
        <f>SUMIFS('12'!$N$7:$N$100,'12'!$H$7:$H$100,$A417,'12'!$I$7:$I$100,2)+SUMIFS('13'!$N$7:$N$100,'13'!$H$7:$H$100,$A417,'13'!$I$7:$I$100,2)+SUMIFS('14'!$N$7:$N$100,'14'!$H$7:$H$100,$A417,'14'!$I$7:$I$100,2)+SUMIFS('15'!$N$7:$N$100,'15'!$H$7:$H$100,$A417,'15'!$I$7:$I$100,2)+SUMIFS('15a'!$N$7:$N$100,'15a'!$H$7:$H$100,$A417,'15a'!$I$7:$I$100,2)+SUMIFS('15b'!$N$7:$N$100,'15b'!$H$7:$H$100,$A417,'15b'!$I$7:$I$100,2)+SUMIFS('15c'!$N$7:$N$100,'15c'!$H$7:$H$100,$A417,'15c'!$I$7:$I$100,2)+SUMIFS('15d'!$N$7:$N$100,'15d'!$H$7:$H$100,$A417,'15d'!$I$7:$I$100,2)+SUMIFS('15e'!$N$7:$N$100,'15e'!$H$7:$H$100,$A417,'15e'!$I$7:$I$100,2)+SUMIFS('15f'!$N$7:$N$100,'15f'!$H$7:$H$100,$A417,'15f'!$I$7:$I$100,2)+SUMIFS('15g'!$N$7:$N$100,'15g'!$H$7:$H$100,$A417,'15g'!$I$7:$I$100,2)+SUMIFS('15h'!$N$7:$N$100,'15h'!$H$7:$H$100,$A417,'15h'!$I$7:$I$100,2)+SUMIFS('15i'!$N$7:$N$100,'15i'!$H$7:$H$100,$A417,'15i'!$I$7:$I$100,2)+SUMIFS('15j'!$N$7:$N$100,'15j'!$H$7:$H$100,$A417,'15j'!$I$7:$I$100,2)+SUMIFS('15k'!$N$7:$N$100,'15k'!$H$7:$H$100,$A417,'15k'!$I$7:$I$100,2)+SUMIFS('15l'!$N$7:$N$100,'15l'!$H$7:$H$100,$A417,'15l'!$I$7:$I$100,2)+SUMIFS('15m'!$N$7:$N$100,'15m'!$H$7:$H$100,$A417,'15m'!$I$7:$I$100,2)+SUMIFS('15n'!$N$7:$N$100,'15n'!$H$7:$H$100,$A417,'15n'!$I$7:$I$100,2)+SUMIFS('16'!$N$7:$N$100,'16'!$H$7:$H$100,$A417,'16'!$I$7:$I$100,2)+SUMIFS('16a'!$N$7:$N$100,'16a'!$H$7:$H$100,$A417,'16a'!$I$7:$I$100,2)+SUMIFS('17'!$N$7:$N$100,'17'!$H$7:$H$100,$A417,'17'!$I$7:$I$100,2)+SUMIFS('17a'!$N$7:$N$100,'17a'!$H$7:$H$100,$A417,'17a'!$I$7:$I$100,2)+SUMIFS('18'!$N$7:$N$100,'18'!$H$7:$H$100,$A417,'18'!$I$7:$I$100,2)+SUMIFS('18a'!$N$7:$N$100,'18a'!$H$7:$H$100,$A417,'18a'!$I$7:$I$100,2)
+SUMIFS('19'!$N$7:$N$100,'19'!$H$7:$H$100,$A417,'19'!$I$7:$I$100,2)+SUMIFS('20'!$N$7:$N$100,'20'!$H$7:$H$100,$A417,'20'!$I$7:$I$100,2)+SUMIFS('20a'!$N$7:$N$100,'20a'!$H$7:$H$100,$A417,'20a'!$I$7:$I$100,2)+SUMIFS('21'!$N$7:$N$100,'21'!$H$7:$H$100,$A417,'21'!$I$7:$I$100,2)+SUMIFS('22'!$N$7:$N$100,'22'!$H$7:$H$100,$A417,'22'!$I$7:$I$100,2)+SUMIFS('22a'!$N$7:$N$100,'22a'!$H$7:$H$100,$A417,'22a'!$I$7:$I$100,2)+SUMIFS('22b'!$N$7:$N$100,'22b'!$H$7:$H$100,$A417,'22b'!$I$7:$I$100,2)+SUMIFS('23'!$N$7:$N$100,'23'!$H$7:$H$100,$A417,'23'!$I$7:$I$100,2)+SUMIFS('24'!$N$7:$N$100,'24'!$H$7:$H$100,$A417,'24'!$I$7:$I$100,2)+SUMIFS('24a'!$N$7:$N$100,'24a'!$H$7:$H$100,$A417,'24a'!$I$7:$I$100,2)+SUMIFS('24b'!$N$7:$N$100,'24b'!$H$7:$H$100,$A417,'24b'!$I$7:$I$100,2)+SUMIFS('24c'!$N$7:$N$100,'24c'!$H$7:$H$100,$A417,'24c'!$I$7:$I$100,2)+SUMIFS('24d'!$N$7:$N$100,'24d'!$H$7:$H$100,$A417,'24d'!$I$7:$I$100,2)+SUMIFS('24e'!$N$7:$N$100,'24e'!$H$7:$H$100,$A417,'24e'!$I$7:$I$100,2)+SUMIFS('24f'!$N$7:$N$100,'24f'!$H$7:$H$100,$A417,'24f'!$I$7:$I$100,2)+SUMIFS('24g'!$N$7:$N$100,'24g'!$H$7:$H$100,$A417,'24g'!$I$7:$I$100,2)+SUMIFS('24h'!$N$7:$N$100,'24h'!$H$7:$H$100,$A417,'24h'!$I$7:$I$100,2)+SUMIFS('24i'!$N$7:$N$100,'24i'!$H$7:$H$100,$A417,'24i'!$I$7:$I$100,2)+SUMIFS('25'!$N$7:$N$100,'25'!$H$7:$H$100,$A417,'25'!$I$7:$I$100,2)+SUMIFS('26'!$N$7:$N$100,'26'!$H$7:$H$100,$A417,'26'!$I$7:$I$100,2)+SUMIFS('26a'!$N$7:$N$100,'26a'!$H$7:$H$100,$A417,'26a'!$I$7:$I$100,2)+SUMIFS('27'!$N$7:$N$100,'27'!$H$7:$H$100,$A417,'27'!$I$7:$I$100,2)+SUMIFS('27a'!$N$7:$N$100,'27a'!$H$7:$H$100,$A417,'27a'!$I$7:$I$100,2)+SUMIFS('28'!$N$7:$N$100,'28'!$H$7:$H$100,$A417,'28'!$I$7:$I$100,2)+SUMIFS('29'!$N$7:$N$100,'29'!$H$7:$H$100,$A417,'29'!$I$7:$I$100,2)</f>
        <v>0</v>
      </c>
      <c r="E418" s="1315">
        <f>SUMIFS('12'!$N$7:$N$100,'12'!$H$7:$H$100,$A417,'12'!$I$7:$I$100,"")+SUMIFS('13'!$N$7:$N$100,'13'!$H$7:$H$100,$A417,'13'!$I$7:$I$100,"")+SUMIFS('14'!$N$7:$N$100,'14'!$H$7:$H$100,$A417,'14'!$I$7:$I$100,"")+SUMIFS('15'!$N$7:$N$100,'15'!$H$7:$H$100,$A417,'15'!$I$7:$I$100,"")+SUMIFS('15a'!$N$7:$N$100,'15a'!$H$7:$H$100,$A417,'15a'!$I$7:$I$100,"")+SUMIFS('15b'!$N$7:$N$100,'15b'!$H$7:$H$100,$A417,'15b'!$I$7:$I$100,"")+SUMIFS('15c'!$N$7:$N$100,'15c'!$H$7:$H$100,$A417,'15c'!$I$7:$I$100,"")+SUMIFS('15d'!$N$7:$N$100,'15d'!$H$7:$H$100,$A417,'15d'!$I$7:$I$100,"")+SUMIFS('15e'!$N$7:$N$100,'15e'!$H$7:$H$100,$A417,'15e'!$I$7:$I$100,"")+SUMIFS('15f'!$N$7:$N$100,'15f'!$H$7:$H$100,$A417,'15f'!$I$7:$I$100,"")+SUMIFS('15g'!$N$7:$N$100,'15g'!$H$7:$H$100,$A417,'15g'!$I$7:$I$100,"")+SUMIFS('15h'!$N$7:$N$100,'15h'!$H$7:$H$100,$A417,'15h'!$I$7:$I$100,"")+SUMIFS('15i'!$N$7:$N$100,'15i'!$H$7:$H$100,$A417,'15i'!$I$7:$I$100,"")+SUMIFS('15j'!$N$7:$N$100,'15j'!$H$7:$H$100,$A417,'15j'!$I$7:$I$100,"")+SUMIFS('15k'!$N$7:$N$100,'15k'!$H$7:$H$100,$A417,'15k'!$I$7:$I$100,"")+SUMIFS('15l'!$N$7:$N$100,'15l'!$H$7:$H$100,$A417,'15l'!$I$7:$I$100,"")+SUMIFS('15m'!$N$7:$N$100,'15m'!$H$7:$H$100,$A417,'15m'!$I$7:$I$100,"")+SUMIFS('15n'!$N$7:$N$100,'15n'!$H$7:$H$100,$A417,'15n'!$I$7:$I$100,"")+SUMIFS('16'!$N$7:$N$100,'16'!$H$7:$H$100,$A417,'16'!$I$7:$I$100,"")+SUMIFS('16a'!$N$7:$N$100,'16a'!$H$7:$H$100,$A417,'16a'!$I$7:$I$100,"")+SUMIFS('17'!$N$7:$N$100,'17'!$H$7:$H$100,$A417,'17'!$I$7:$I$100,"")+SUMIFS('17a'!$N$7:$N$100,'17a'!$H$7:$H$100,$A417,'17a'!$I$7:$I$100,"")+SUMIFS('18'!$N$7:$N$100,'18'!$H$7:$H$100,$A417,'18'!$I$7:$I$100,"")+SUMIFS('18a'!$N$7:$N$100,'18a'!$H$7:$H$100,$A417,'18a'!$I$7:$I$100,"")
+SUMIFS('19'!$N$7:$N$100,'19'!$H$7:$H$100,$A417,'19'!$I$7:$I$100,"")+SUMIFS('20'!$N$7:$N$100,'20'!$H$7:$H$100,$A417,'20'!$I$7:$I$100,"")+SUMIFS('20a'!$N$7:$N$100,'20a'!$H$7:$H$100,$A417,'20a'!$I$7:$I$100,"")+SUMIFS('21'!$N$7:$N$100,'21'!$H$7:$H$100,$A417,'21'!$I$7:$I$100,"")+SUMIFS('22'!$N$7:$N$100,'22'!$H$7:$H$100,$A417,'22'!$I$7:$I$100,"")+SUMIFS('22a'!$N$7:$N$100,'22a'!$H$7:$H$100,$A417,'22a'!$I$7:$I$100,"")+SUMIFS('22b'!$N$7:$N$100,'22b'!$H$7:$H$100,$A417,'22b'!$I$7:$I$100,"")+SUMIFS('23'!$N$7:$N$100,'23'!$H$7:$H$100,$A417,'23'!$I$7:$I$100,"")+SUMIFS('24'!$N$7:$N$100,'24'!$H$7:$H$100,$A417,'24'!$I$7:$I$100,"")+SUMIFS('24a'!$N$7:$N$100,'24a'!$H$7:$H$100,$A417,'24a'!$I$7:$I$100,"")+SUMIFS('24b'!$N$7:$N$100,'24b'!$H$7:$H$100,$A417,'24b'!$I$7:$I$100,"")+SUMIFS('24c'!$N$7:$N$100,'24c'!$H$7:$H$100,$A417,'24c'!$I$7:$I$100,"")+SUMIFS('24d'!$N$7:$N$100,'24d'!$H$7:$H$100,$A417,'24d'!$I$7:$I$100,"")+SUMIFS('24e'!$N$7:$N$100,'24e'!$H$7:$H$100,$A417,'24e'!$I$7:$I$100,"")+SUMIFS('24f'!$N$7:$N$100,'24f'!$H$7:$H$100,$A417,'24f'!$I$7:$I$100,"")+SUMIFS('24g'!$N$7:$N$100,'24g'!$H$7:$H$100,$A417,'24g'!$I$7:$I$100,"")+SUMIFS('24h'!$N$7:$N$100,'24h'!$H$7:$H$100,$A417,'24h'!$I$7:$I$100,"")+SUMIFS('24i'!$N$7:$N$100,'24i'!$H$7:$H$100,$A417,'24i'!$I$7:$I$100,"")+SUMIFS('25'!$N$7:$N$100,'25'!$H$7:$H$100,$A417,'25'!$I$7:$I$100,"")+SUMIFS('26'!$N$7:$N$100,'26'!$H$7:$H$100,$A417,'26'!$I$7:$I$100,"")+SUMIFS('26a'!$N$7:$N$100,'26a'!$H$7:$H$100,$A417,'26a'!$I$7:$I$100,"")+SUMIFS('27'!$N$7:$N$100,'27'!$H$7:$H$100,$A417,'27'!$I$7:$I$100,"")+SUMIFS('27a'!$N$7:$N$100,'27a'!$H$7:$H$100,$A417,'27a'!$I$7:$I$100,"")+SUMIFS('28'!$N$7:$N$100,'28'!$H$7:$H$100,$A417,'28'!$I$7:$I$100,"")+SUMIFS('29'!$N$7:$N$100,'29'!$H$7:$H$100,$A417,'29'!$I$7:$I$100,"")</f>
        <v>0</v>
      </c>
      <c r="F418" s="1296">
        <f>SUM(C418:E418)</f>
        <v>0</v>
      </c>
      <c r="G418" s="1295">
        <f>SUMIFS('12'!$J$7:$J$100,'12'!$H$7:$H$100,$A417,'12'!$I$7:$I$100,1)+SUMIFS('13'!$J$7:$J$100,'13'!$H$7:$H$100,$A417,'13'!$I$7:$I$100,1)+SUMIFS('14'!$J$7:$J$100,'14'!$H$7:$H$100,$A417,'14'!$I$7:$I$100,1)+SUMIFS('15'!$J$7:$J$100,'15'!$H$7:$H$100,$A417,'15'!$I$7:$I$100,1)+SUMIFS('15a'!$J$7:$J$100,'15a'!$H$7:$H$100,$A417,'15a'!$I$7:$I$100,1)+SUMIFS('15b'!$J$7:$J$100,'15b'!$H$7:$H$100,$A417,'15b'!$I$7:$I$100,1)+SUMIFS('15c'!$J$7:$J$100,'15c'!$H$7:$H$100,$A417,'15c'!$I$7:$I$100,1)+SUMIFS('15d'!$J$7:$J$100,'15d'!$H$7:$H$100,$A417,'15d'!$I$7:$I$100,1)+SUMIFS('15e'!$J$7:$J$100,'15e'!$H$7:$H$100,$A417,'15e'!$I$7:$I$100,1)+SUMIFS('15f'!$J$7:$J$100,'15f'!$H$7:$H$100,$A417,'15f'!$I$7:$I$100,1)+SUMIFS('15g'!$J$7:$J$100,'15g'!$H$7:$H$100,$A417,'15g'!$I$7:$I$100,1)+SUMIFS('15h'!$J$7:$J$100,'15h'!$H$7:$H$100,$A417,'15h'!$I$7:$I$100,1)+SUMIFS('15i'!$J$7:$J$100,'15i'!$H$7:$H$100,$A417,'15i'!$I$7:$I$100,1)+SUMIFS('15j'!$J$7:$J$100,'15j'!$H$7:$H$100,$A417,'15j'!$I$7:$I$100,1)+SUMIFS('15k'!$J$7:$J$100,'15k'!$H$7:$H$100,$A417,'15k'!$I$7:$I$100,1)+SUMIFS('15l'!$J$7:$J$100,'15l'!$H$7:$H$100,$A417,'15l'!$I$7:$I$100,1)+SUMIFS('15m'!$J$7:$J$100,'15m'!$H$7:$H$100,$A417,'15m'!$I$7:$I$100,1)+SUMIFS('15n'!$J$7:$J$100,'15n'!$H$7:$H$100,$A417,'15n'!$I$7:$I$100,1)+SUMIFS('16'!$J$7:$J$100,'16'!$H$7:$H$100,$A417,'16'!$I$7:$I$100,1)+SUMIFS('16a'!$J$7:$J$100,'16a'!$H$7:$H$100,$A417,'16a'!$I$7:$I$100,1)+SUMIFS('17'!$J$7:$J$100,'17'!$H$7:$H$100,$A417,'17'!$I$7:$I$100,1)+SUMIFS('17a'!$J$7:$J$100,'17a'!$H$7:$H$100,$A417,'17a'!$I$7:$I$100,1)+SUMIFS('18'!$J$7:$J$100,'18'!$H$7:$H$100,$A417,'18'!$I$7:$I$100,1)+SUMIFS('18a'!$J$7:$J$100,'18a'!$H$7:$H$100,$A417,'18a'!$I$7:$I$100,1)
+SUMIFS('19'!$J$7:$J$100,'19'!$H$7:$H$100,$A417,'19'!$I$7:$I$100,1)+SUMIFS('20'!$J$7:$J$100,'20'!$H$7:$H$100,$A417,'20'!$I$7:$I$100,1)+SUMIFS('20a'!$J$7:$J$100,'20a'!$H$7:$H$100,$A417,'20a'!$I$7:$I$100,1)+SUMIFS('21'!$J$7:$J$100,'21'!$H$7:$H$100,$A417,'21'!$I$7:$I$100,1)+SUMIFS('22'!$J$7:$J$100,'22'!$H$7:$H$100,$A417,'22'!$I$7:$I$100,1)+SUMIFS('22a'!$J$7:$J$100,'22a'!$H$7:$H$100,$A417,'22a'!$I$7:$I$100,1)+SUMIFS('22b'!$J$7:$J$100,'22b'!$H$7:$H$100,$A417,'22b'!$I$7:$I$100,1)+SUMIFS('23'!$J$7:$J$100,'23'!$H$7:$H$100,$A417,'23'!$I$7:$I$100,1)+SUMIFS('24'!$J$7:$J$100,'24'!$H$7:$H$100,$A417,'24'!$I$7:$I$100,1)+SUMIFS('24a'!$J$7:$J$100,'24a'!$H$7:$H$100,$A417,'24a'!$I$7:$I$100,1)+SUMIFS('24b'!$J$7:$J$100,'24b'!$H$7:$H$100,$A417,'24b'!$I$7:$I$100,1)+SUMIFS('24c'!$J$7:$J$100,'24c'!$H$7:$H$100,$A417,'24c'!$I$7:$I$100,1)+SUMIFS('24d'!$J$7:$J$100,'24d'!$H$7:$H$100,$A417,'24d'!$I$7:$I$100,1)+SUMIFS('24e'!$J$7:$J$100,'24e'!$H$7:$H$100,$A417,'24e'!$I$7:$I$100,1)+SUMIFS('24f'!$J$7:$J$100,'24f'!$H$7:$H$100,$A417,'24f'!$I$7:$I$100,1)+SUMIFS('24g'!$J$7:$J$100,'24g'!$H$7:$H$100,$A417,'24g'!$I$7:$I$100,1)+SUMIFS('24h'!$J$7:$J$100,'24h'!$H$7:$H$100,$A417,'24h'!$I$7:$I$100,1)+SUMIFS('24i'!$J$7:$J$100,'24i'!$H$7:$H$100,$A417,'24i'!$I$7:$I$100,1)+SUMIFS('25'!$J$7:$J$100,'25'!$H$7:$H$100,$A417,'25'!$I$7:$I$100,1)+SUMIFS('26'!$J$7:$J$100,'26'!$H$7:$H$100,$A417,'26'!$I$7:$I$100,1)+SUMIFS('26a'!$J$7:$J$100,'26a'!$H$7:$H$100,$A417,'26a'!$I$7:$I$100,1)+SUMIFS('27'!$J$7:$J$100,'27'!$H$7:$H$100,$A417,'27'!$I$7:$I$100,1)+SUMIFS('27a'!$J$7:$J$100,'27a'!$H$7:$H$100,$A417,'27a'!$I$7:$I$100,1)+SUMIFS('28'!$J$7:$J$100,'28'!$H$7:$H$100,$A417,'28'!$I$7:$I$100,1)+SUMIFS('29'!$J$7:$J$100,'29'!$H$7:$H$100,$A417,'29'!$I$7:$I$100,1)</f>
        <v>0</v>
      </c>
      <c r="H418" s="1315">
        <f>SUMIFS('12'!$J$7:$J$100,'12'!$H$7:$H$100,$A417,'12'!$I$7:$I$100,2)+SUMIFS('13'!$J$7:$J$100,'13'!$H$7:$H$100,$A417,'13'!$I$7:$I$100,2)+SUMIFS('14'!$J$7:$J$100,'14'!$H$7:$H$100,$A417,'14'!$I$7:$I$100,2)+SUMIFS('15'!$J$7:$J$100,'15'!$H$7:$H$100,$A417,'15'!$I$7:$I$100,2)+SUMIFS('15a'!$J$7:$J$100,'15a'!$H$7:$H$100,$A417,'15a'!$I$7:$I$100,2)+SUMIFS('15b'!$J$7:$J$100,'15b'!$H$7:$H$100,$A417,'15b'!$I$7:$I$100,2)+SUMIFS('15c'!$J$7:$J$100,'15c'!$H$7:$H$100,$A417,'15c'!$I$7:$I$100,2)+SUMIFS('15d'!$J$7:$J$100,'15d'!$H$7:$H$100,$A417,'15d'!$I$7:$I$100,2)+SUMIFS('15e'!$J$7:$J$100,'15e'!$H$7:$H$100,$A417,'15e'!$I$7:$I$100,2)+SUMIFS('15f'!$J$7:$J$100,'15f'!$H$7:$H$100,$A417,'15f'!$I$7:$I$100,2)+SUMIFS('15g'!$J$7:$J$100,'15g'!$H$7:$H$100,$A417,'15g'!$I$7:$I$100,2)+SUMIFS('15h'!$J$7:$J$100,'15h'!$H$7:$H$100,$A417,'15h'!$I$7:$I$100,2)+SUMIFS('15i'!$J$7:$J$100,'15i'!$H$7:$H$100,$A417,'15i'!$I$7:$I$100,2)+SUMIFS('15j'!$J$7:$J$100,'15j'!$H$7:$H$100,$A417,'15j'!$I$7:$I$100,2)+SUMIFS('15k'!$J$7:$J$100,'15k'!$H$7:$H$100,$A417,'15k'!$I$7:$I$100,2)+SUMIFS('15l'!$J$7:$J$100,'15l'!$H$7:$H$100,$A417,'15l'!$I$7:$I$100,2)+SUMIFS('15m'!$J$7:$J$100,'15m'!$H$7:$H$100,$A417,'15m'!$I$7:$I$100,2)+SUMIFS('15n'!$J$7:$J$100,'15n'!$H$7:$H$100,$A417,'15n'!$I$7:$I$100,2)+SUMIFS('16'!$J$7:$J$100,'16'!$H$7:$H$100,$A417,'16'!$I$7:$I$100,2)+SUMIFS('16a'!$J$7:$J$100,'16a'!$H$7:$H$100,$A417,'16a'!$I$7:$I$100,2)+SUMIFS('17'!$J$7:$J$100,'17'!$H$7:$H$100,$A417,'17'!$I$7:$I$100,2)+SUMIFS('17a'!$J$7:$J$100,'17a'!$H$7:$H$100,$A417,'17a'!$I$7:$I$100,2)+SUMIFS('18'!$J$7:$J$100,'18'!$H$7:$H$100,$A417,'18'!$I$7:$I$100,2)+SUMIFS('18a'!$J$7:$J$100,'18a'!$H$7:$H$100,$A417,'18a'!$I$7:$I$100,2)
+SUMIFS('19'!$J$7:$J$100,'19'!$H$7:$H$100,$A417,'19'!$I$7:$I$100,2)+SUMIFS('20'!$J$7:$J$100,'20'!$H$7:$H$100,$A417,'20'!$I$7:$I$100,2)+SUMIFS('20a'!$J$7:$J$100,'20a'!$H$7:$H$100,$A417,'20a'!$I$7:$I$100,2)+SUMIFS('21'!$J$7:$J$100,'21'!$H$7:$H$100,$A417,'21'!$I$7:$I$100,2)+SUMIFS('22'!$J$7:$J$100,'22'!$H$7:$H$100,$A417,'22'!$I$7:$I$100,2)+SUMIFS('22a'!$J$7:$J$100,'22a'!$H$7:$H$100,$A417,'22a'!$I$7:$I$100,2)+SUMIFS('22b'!$J$7:$J$100,'22b'!$H$7:$H$100,$A417,'22b'!$I$7:$I$100,2)+SUMIFS('23'!$J$7:$J$100,'23'!$H$7:$H$100,$A417,'23'!$I$7:$I$100,2)+SUMIFS('24'!$J$7:$J$100,'24'!$H$7:$H$100,$A417,'24'!$I$7:$I$100,2)+SUMIFS('24a'!$J$7:$J$100,'24a'!$H$7:$H$100,$A417,'24a'!$I$7:$I$100,2)+SUMIFS('24b'!$J$7:$J$100,'24b'!$H$7:$H$100,$A417,'24b'!$I$7:$I$100,2)+SUMIFS('24c'!$J$7:$J$100,'24c'!$H$7:$H$100,$A417,'24c'!$I$7:$I$100,2)+SUMIFS('24d'!$J$7:$J$100,'24d'!$H$7:$H$100,$A417,'24d'!$I$7:$I$100,2)+SUMIFS('24e'!$J$7:$J$100,'24e'!$H$7:$H$100,$A417,'24e'!$I$7:$I$100,2)+SUMIFS('24f'!$J$7:$J$100,'24f'!$H$7:$H$100,$A417,'24f'!$I$7:$I$100,2)+SUMIFS('24g'!$J$7:$J$100,'24g'!$H$7:$H$100,$A417,'24g'!$I$7:$I$100,2)+SUMIFS('24h'!$J$7:$J$100,'24h'!$H$7:$H$100,$A417,'24h'!$I$7:$I$100,2)+SUMIFS('24i'!$J$7:$J$100,'24i'!$H$7:$H$100,$A417,'24i'!$I$7:$I$100,2)+SUMIFS('25'!$J$7:$J$100,'25'!$H$7:$H$100,$A417,'25'!$I$7:$I$100,2)+SUMIFS('26'!$J$7:$J$100,'26'!$H$7:$H$100,$A417,'26'!$I$7:$I$100,2)+SUMIFS('26a'!$J$7:$J$100,'26a'!$H$7:$H$100,$A417,'26a'!$I$7:$I$100,2)+SUMIFS('27'!$J$7:$J$100,'27'!$H$7:$H$100,$A417,'27'!$I$7:$I$100,2)+SUMIFS('27a'!$J$7:$J$100,'27a'!$H$7:$H$100,$A417,'27a'!$I$7:$I$100,2)+SUMIFS('28'!$J$7:$J$100,'28'!$H$7:$H$100,$A417,'28'!$I$7:$I$100,2)+SUMIFS('29'!$J$7:$J$100,'29'!$H$7:$H$100,$A417,'29'!$I$7:$I$100,2)</f>
        <v>0</v>
      </c>
      <c r="I418" s="1315">
        <f>SUMIFS('12'!$J$7:$J$100,'12'!$H$7:$H$100,$A417,'12'!$I$7:$I$100,"")+SUMIFS('13'!$J$7:$J$100,'13'!$H$7:$H$100,$A417,'13'!$I$7:$I$100,"")+SUMIFS('14'!$J$7:$J$100,'14'!$H$7:$H$100,$A417,'14'!$I$7:$I$100,"")+SUMIFS('15'!$J$7:$J$100,'15'!$H$7:$H$100,$A417,'15'!$I$7:$I$100,"")+SUMIFS('15a'!$J$7:$J$100,'15a'!$H$7:$H$100,$A417,'15a'!$I$7:$I$100,"")+SUMIFS('15b'!$J$7:$J$100,'15b'!$H$7:$H$100,$A417,'15b'!$I$7:$I$100,"")+SUMIFS('15c'!$J$7:$J$100,'15c'!$H$7:$H$100,$A417,'15c'!$I$7:$I$100,"")+SUMIFS('15d'!$J$7:$J$100,'15d'!$H$7:$H$100,$A417,'15d'!$I$7:$I$100,"")+SUMIFS('15e'!$J$7:$J$100,'15e'!$H$7:$H$100,$A417,'15e'!$I$7:$I$100,"")+SUMIFS('15f'!$J$7:$J$100,'15f'!$H$7:$H$100,$A417,'15f'!$I$7:$I$100,"")+SUMIFS('15g'!$J$7:$J$100,'15g'!$H$7:$H$100,$A417,'15g'!$I$7:$I$100,"")+SUMIFS('15h'!$J$7:$J$100,'15h'!$H$7:$H$100,$A417,'15h'!$I$7:$I$100,"")+SUMIFS('15i'!$J$7:$J$100,'15i'!$H$7:$H$100,$A417,'15i'!$I$7:$I$100,"")+SUMIFS('15j'!$J$7:$J$100,'15j'!$H$7:$H$100,$A417,'15j'!$I$7:$I$100,"")+SUMIFS('15k'!$J$7:$J$100,'15k'!$H$7:$H$100,$A417,'15k'!$I$7:$I$100,"")+SUMIFS('15l'!$J$7:$J$100,'15l'!$H$7:$H$100,$A417,'15l'!$I$7:$I$100,"")+SUMIFS('15m'!$J$7:$J$100,'15m'!$H$7:$H$100,$A417,'15m'!$I$7:$I$100,"")+SUMIFS('15n'!$J$7:$J$100,'15n'!$H$7:$H$100,$A417,'15n'!$I$7:$I$100,"")+SUMIFS('16'!$J$7:$J$100,'16'!$H$7:$H$100,$A417,'16'!$I$7:$I$100,"")+SUMIFS('16a'!$J$7:$J$100,'16a'!$H$7:$H$100,$A417,'16a'!$I$7:$I$100,"")+SUMIFS('17'!$J$7:$J$100,'17'!$H$7:$H$100,$A417,'17'!$I$7:$I$100,"")+SUMIFS('17a'!$J$7:$J$100,'17a'!$H$7:$H$100,$A417,'17a'!$I$7:$I$100,"")+SUMIFS('18'!$J$7:$J$100,'18'!$H$7:$H$100,$A417,'18'!$I$7:$I$100,"")+SUMIFS('18a'!$J$7:$J$100,'18a'!$H$7:$H$100,$A417,'18a'!$I$7:$I$100,"")
+SUMIFS('19'!$J$7:$J$100,'19'!$H$7:$H$100,$A417,'19'!$I$7:$I$100,"")+SUMIFS('20'!$J$7:$J$100,'20'!$H$7:$H$100,$A417,'20'!$I$7:$I$100,"")+SUMIFS('20a'!$J$7:$J$100,'20a'!$H$7:$H$100,$A417,'20a'!$I$7:$I$100,"")+SUMIFS('21'!$J$7:$J$100,'21'!$H$7:$H$100,$A417,'21'!$I$7:$I$100,"")+SUMIFS('22'!$J$7:$J$100,'22'!$H$7:$H$100,$A417,'22'!$I$7:$I$100,"")+SUMIFS('22a'!$J$7:$J$100,'22a'!$H$7:$H$100,$A417,'22a'!$I$7:$I$100,"")+SUMIFS('22b'!$J$7:$J$100,'22b'!$H$7:$H$100,$A417,'22b'!$I$7:$I$100,"")+SUMIFS('23'!$J$7:$J$100,'23'!$H$7:$H$100,$A417,'23'!$I$7:$I$100,"")+SUMIFS('24'!$J$7:$J$100,'24'!$H$7:$H$100,$A417,'24'!$I$7:$I$100,"")+SUMIFS('24a'!$J$7:$J$100,'24a'!$H$7:$H$100,$A417,'24a'!$I$7:$I$100,"")+SUMIFS('24b'!$J$7:$J$100,'24b'!$H$7:$H$100,$A417,'24b'!$I$7:$I$100,"")+SUMIFS('24c'!$J$7:$J$100,'24c'!$H$7:$H$100,$A417,'24c'!$I$7:$I$100,"")+SUMIFS('24d'!$J$7:$J$100,'24d'!$H$7:$H$100,$A417,'24d'!$I$7:$I$100,"")+SUMIFS('24e'!$J$7:$J$100,'24e'!$H$7:$H$100,$A417,'24e'!$I$7:$I$100,"")+SUMIFS('24f'!$J$7:$J$100,'24f'!$H$7:$H$100,$A417,'24f'!$I$7:$I$100,"")+SUMIFS('24g'!$J$7:$J$100,'24g'!$H$7:$H$100,$A417,'24g'!$I$7:$I$100,"")+SUMIFS('24h'!$J$7:$J$100,'24h'!$H$7:$H$100,$A417,'24h'!$I$7:$I$100,"")+SUMIFS('24i'!$J$7:$J$100,'24i'!$H$7:$H$100,$A417,'24i'!$I$7:$I$100,"")+SUMIFS('25'!$J$7:$J$100,'25'!$H$7:$H$100,$A417,'25'!$I$7:$I$100,"")+SUMIFS('26'!$J$7:$J$100,'26'!$H$7:$H$100,$A417,'26'!$I$7:$I$100,"")+SUMIFS('26a'!$J$7:$J$100,'26a'!$H$7:$H$100,$A417,'26a'!$I$7:$I$100,"")+SUMIFS('27'!$J$7:$J$100,'27'!$H$7:$H$100,$A417,'27'!$I$7:$I$100,"")+SUMIFS('27a'!$J$7:$J$100,'27a'!$H$7:$H$100,$A417,'27a'!$I$7:$I$100,"")+SUMIFS('28'!$J$7:$J$100,'28'!$H$7:$H$100,$A417,'28'!$I$7:$I$100,"")+SUMIFS('29'!$J$7:$J$100,'29'!$H$7:$H$100,$A417,'29'!$I$7:$I$100,"")</f>
        <v>0</v>
      </c>
      <c r="J418" s="1296">
        <f>SUM(G418:I418)</f>
        <v>0</v>
      </c>
      <c r="K418"/>
      <c r="L418"/>
      <c r="M418"/>
      <c r="N418"/>
      <c r="O418"/>
      <c r="P418"/>
      <c r="Q418"/>
      <c r="R418"/>
      <c r="S418" s="1307">
        <f t="shared" si="71"/>
        <v>0</v>
      </c>
      <c r="T418"/>
    </row>
    <row r="419" spans="1:20" outlineLevel="1" x14ac:dyDescent="0.2">
      <c r="A419" t="s">
        <v>5091</v>
      </c>
      <c r="B419" t="s">
        <v>5558</v>
      </c>
      <c r="C419" s="1295">
        <f>SUMIFS('12'!$N$7:$N$100,'12'!$H$7:$H$100,$A418,'12'!$I$7:$I$100,1)+SUMIFS('13'!$N$7:$N$100,'13'!$H$7:$H$100,$A418,'13'!$I$7:$I$100,1)+SUMIFS('14'!$N$7:$N$100,'14'!$H$7:$H$100,$A418,'14'!$I$7:$I$100,1)+SUMIFS('15'!$N$7:$N$100,'15'!$H$7:$H$100,$A418,'15'!$I$7:$I$100,1)+SUMIFS('15a'!$N$7:$N$100,'15a'!$H$7:$H$100,$A418,'15a'!$I$7:$I$100,1)+SUMIFS('15b'!$N$7:$N$100,'15b'!$H$7:$H$100,$A418,'15b'!$I$7:$I$100,1)+SUMIFS('15c'!$N$7:$N$100,'15c'!$H$7:$H$100,$A418,'15c'!$I$7:$I$100,1)+SUMIFS('15d'!$N$7:$N$100,'15d'!$H$7:$H$100,$A418,'15d'!$I$7:$I$100,1)+SUMIFS('15e'!$N$7:$N$100,'15e'!$H$7:$H$100,$A418,'15e'!$I$7:$I$100,1)+SUMIFS('15f'!$N$7:$N$100,'15f'!$H$7:$H$100,$A418,'15f'!$I$7:$I$100,1)+SUMIFS('15g'!$N$7:$N$100,'15g'!$H$7:$H$100,$A418,'15g'!$I$7:$I$100,1)+SUMIFS('15h'!$N$7:$N$100,'15h'!$H$7:$H$100,$A418,'15h'!$I$7:$I$100,1)+SUMIFS('15i'!$N$7:$N$100,'15i'!$H$7:$H$100,$A418,'15i'!$I$7:$I$100,1)+SUMIFS('15j'!$N$7:$N$100,'15j'!$H$7:$H$100,$A418,'15j'!$I$7:$I$100,1)+SUMIFS('15k'!$N$7:$N$100,'15k'!$H$7:$H$100,$A418,'15k'!$I$7:$I$100,1)+SUMIFS('15l'!$N$7:$N$100,'15l'!$H$7:$H$100,$A418,'15l'!$I$7:$I$100,1)+SUMIFS('15m'!$N$7:$N$100,'15m'!$H$7:$H$100,$A418,'15m'!$I$7:$I$100,1)+SUMIFS('15n'!$N$7:$N$100,'15n'!$H$7:$H$100,$A418,'15n'!$I$7:$I$100,1)+SUMIFS('16'!$N$7:$N$100,'16'!$H$7:$H$100,$A418,'16'!$I$7:$I$100,1)+SUMIFS('16a'!$N$7:$N$100,'16a'!$H$7:$H$100,$A418,'16a'!$I$7:$I$100,1)+SUMIFS('17'!$N$7:$N$100,'17'!$H$7:$H$100,$A418,'17'!$I$7:$I$100,1)+SUMIFS('17a'!$N$7:$N$100,'17a'!$H$7:$H$100,$A418,'17a'!$I$7:$I$100,1)+SUMIFS('18'!$N$7:$N$100,'18'!$H$7:$H$100,$A418,'18'!$I$7:$I$100,1)+SUMIFS('18a'!$N$7:$N$100,'18a'!$H$7:$H$100,$A418,'18a'!$I$7:$I$100,1)
+SUMIFS('19'!$N$7:$N$100,'19'!$H$7:$H$100,$A418,'19'!$I$7:$I$100,1)+SUMIFS('20'!$N$7:$N$100,'20'!$H$7:$H$100,$A418,'20'!$I$7:$I$100,1)+SUMIFS('20a'!$N$7:$N$100,'20a'!$H$7:$H$100,$A418,'20a'!$I$7:$I$100,1)+SUMIFS('21'!$N$7:$N$100,'21'!$H$7:$H$100,$A418,'21'!$I$7:$I$100,1)+SUMIFS('22'!$N$7:$N$100,'22'!$H$7:$H$100,$A418,'22'!$I$7:$I$100,1)+SUMIFS('22a'!$N$7:$N$100,'22a'!$H$7:$H$100,$A418,'22a'!$I$7:$I$100,1)+SUMIFS('22b'!$N$7:$N$100,'22b'!$H$7:$H$100,$A418,'22b'!$I$7:$I$100,1)+SUMIFS('23'!$N$7:$N$100,'23'!$H$7:$H$100,$A418,'23'!$I$7:$I$100,1)+SUMIFS('24'!$N$7:$N$100,'24'!$H$7:$H$100,$A418,'24'!$I$7:$I$100,1)+SUMIFS('24a'!$N$7:$N$100,'24a'!$H$7:$H$100,$A418,'24a'!$I$7:$I$100,1)+SUMIFS('24b'!$N$7:$N$100,'24b'!$H$7:$H$100,$A418,'24b'!$I$7:$I$100,1)+SUMIFS('24c'!$N$7:$N$100,'24c'!$H$7:$H$100,$A418,'24c'!$I$7:$I$100,1)+SUMIFS('24d'!$N$7:$N$100,'24d'!$H$7:$H$100,$A418,'24d'!$I$7:$I$100,1)+SUMIFS('24e'!$N$7:$N$100,'24e'!$H$7:$H$100,$A418,'24e'!$I$7:$I$100,1)+SUMIFS('24f'!$N$7:$N$100,'24f'!$H$7:$H$100,$A418,'24f'!$I$7:$I$100,1)+SUMIFS('24g'!$N$7:$N$100,'24g'!$H$7:$H$100,$A418,'24g'!$I$7:$I$100,1)+SUMIFS('24h'!$N$7:$N$100,'24h'!$H$7:$H$100,$A418,'24h'!$I$7:$I$100,1)+SUMIFS('24i'!$N$7:$N$100,'24i'!$H$7:$H$100,$A418,'24i'!$I$7:$I$100,1)+SUMIFS('25'!$N$7:$N$100,'25'!$H$7:$H$100,$A418,'25'!$I$7:$I$100,1)+SUMIFS('26'!$N$7:$N$100,'26'!$H$7:$H$100,$A418,'26'!$I$7:$I$100,1)+SUMIFS('26a'!$N$7:$N$100,'26a'!$H$7:$H$100,$A418,'26a'!$I$7:$I$100,1)+SUMIFS('27'!$N$7:$N$100,'27'!$H$7:$H$100,$A418,'27'!$I$7:$I$100,1)+SUMIFS('27a'!$N$7:$N$100,'27a'!$H$7:$H$100,$A418,'27a'!$I$7:$I$100,1)+SUMIFS('28'!$N$7:$N$100,'28'!$H$7:$H$100,$A418,'28'!$I$7:$I$100,1)+SUMIFS('29'!$N$7:$N$100,'29'!$H$7:$H$100,$A418,'29'!$I$7:$I$100,1)</f>
        <v>0</v>
      </c>
      <c r="D419" s="1315">
        <f>SUMIFS('12'!$N$7:$N$100,'12'!$H$7:$H$100,$A418,'12'!$I$7:$I$100,2)+SUMIFS('13'!$N$7:$N$100,'13'!$H$7:$H$100,$A418,'13'!$I$7:$I$100,2)+SUMIFS('14'!$N$7:$N$100,'14'!$H$7:$H$100,$A418,'14'!$I$7:$I$100,2)+SUMIFS('15'!$N$7:$N$100,'15'!$H$7:$H$100,$A418,'15'!$I$7:$I$100,2)+SUMIFS('15a'!$N$7:$N$100,'15a'!$H$7:$H$100,$A418,'15a'!$I$7:$I$100,2)+SUMIFS('15b'!$N$7:$N$100,'15b'!$H$7:$H$100,$A418,'15b'!$I$7:$I$100,2)+SUMIFS('15c'!$N$7:$N$100,'15c'!$H$7:$H$100,$A418,'15c'!$I$7:$I$100,2)+SUMIFS('15d'!$N$7:$N$100,'15d'!$H$7:$H$100,$A418,'15d'!$I$7:$I$100,2)+SUMIFS('15e'!$N$7:$N$100,'15e'!$H$7:$H$100,$A418,'15e'!$I$7:$I$100,2)+SUMIFS('15f'!$N$7:$N$100,'15f'!$H$7:$H$100,$A418,'15f'!$I$7:$I$100,2)+SUMIFS('15g'!$N$7:$N$100,'15g'!$H$7:$H$100,$A418,'15g'!$I$7:$I$100,2)+SUMIFS('15h'!$N$7:$N$100,'15h'!$H$7:$H$100,$A418,'15h'!$I$7:$I$100,2)+SUMIFS('15i'!$N$7:$N$100,'15i'!$H$7:$H$100,$A418,'15i'!$I$7:$I$100,2)+SUMIFS('15j'!$N$7:$N$100,'15j'!$H$7:$H$100,$A418,'15j'!$I$7:$I$100,2)+SUMIFS('15k'!$N$7:$N$100,'15k'!$H$7:$H$100,$A418,'15k'!$I$7:$I$100,2)+SUMIFS('15l'!$N$7:$N$100,'15l'!$H$7:$H$100,$A418,'15l'!$I$7:$I$100,2)+SUMIFS('15m'!$N$7:$N$100,'15m'!$H$7:$H$100,$A418,'15m'!$I$7:$I$100,2)+SUMIFS('15n'!$N$7:$N$100,'15n'!$H$7:$H$100,$A418,'15n'!$I$7:$I$100,2)+SUMIFS('16'!$N$7:$N$100,'16'!$H$7:$H$100,$A418,'16'!$I$7:$I$100,2)+SUMIFS('16a'!$N$7:$N$100,'16a'!$H$7:$H$100,$A418,'16a'!$I$7:$I$100,2)+SUMIFS('17'!$N$7:$N$100,'17'!$H$7:$H$100,$A418,'17'!$I$7:$I$100,2)+SUMIFS('17a'!$N$7:$N$100,'17a'!$H$7:$H$100,$A418,'17a'!$I$7:$I$100,2)+SUMIFS('18'!$N$7:$N$100,'18'!$H$7:$H$100,$A418,'18'!$I$7:$I$100,2)+SUMIFS('18a'!$N$7:$N$100,'18a'!$H$7:$H$100,$A418,'18a'!$I$7:$I$100,2)
+SUMIFS('19'!$N$7:$N$100,'19'!$H$7:$H$100,$A418,'19'!$I$7:$I$100,2)+SUMIFS('20'!$N$7:$N$100,'20'!$H$7:$H$100,$A418,'20'!$I$7:$I$100,2)+SUMIFS('20a'!$N$7:$N$100,'20a'!$H$7:$H$100,$A418,'20a'!$I$7:$I$100,2)+SUMIFS('21'!$N$7:$N$100,'21'!$H$7:$H$100,$A418,'21'!$I$7:$I$100,2)+SUMIFS('22'!$N$7:$N$100,'22'!$H$7:$H$100,$A418,'22'!$I$7:$I$100,2)+SUMIFS('22a'!$N$7:$N$100,'22a'!$H$7:$H$100,$A418,'22a'!$I$7:$I$100,2)+SUMIFS('22b'!$N$7:$N$100,'22b'!$H$7:$H$100,$A418,'22b'!$I$7:$I$100,2)+SUMIFS('23'!$N$7:$N$100,'23'!$H$7:$H$100,$A418,'23'!$I$7:$I$100,2)+SUMIFS('24'!$N$7:$N$100,'24'!$H$7:$H$100,$A418,'24'!$I$7:$I$100,2)+SUMIFS('24a'!$N$7:$N$100,'24a'!$H$7:$H$100,$A418,'24a'!$I$7:$I$100,2)+SUMIFS('24b'!$N$7:$N$100,'24b'!$H$7:$H$100,$A418,'24b'!$I$7:$I$100,2)+SUMIFS('24c'!$N$7:$N$100,'24c'!$H$7:$H$100,$A418,'24c'!$I$7:$I$100,2)+SUMIFS('24d'!$N$7:$N$100,'24d'!$H$7:$H$100,$A418,'24d'!$I$7:$I$100,2)+SUMIFS('24e'!$N$7:$N$100,'24e'!$H$7:$H$100,$A418,'24e'!$I$7:$I$100,2)+SUMIFS('24f'!$N$7:$N$100,'24f'!$H$7:$H$100,$A418,'24f'!$I$7:$I$100,2)+SUMIFS('24g'!$N$7:$N$100,'24g'!$H$7:$H$100,$A418,'24g'!$I$7:$I$100,2)+SUMIFS('24h'!$N$7:$N$100,'24h'!$H$7:$H$100,$A418,'24h'!$I$7:$I$100,2)+SUMIFS('24i'!$N$7:$N$100,'24i'!$H$7:$H$100,$A418,'24i'!$I$7:$I$100,2)+SUMIFS('25'!$N$7:$N$100,'25'!$H$7:$H$100,$A418,'25'!$I$7:$I$100,2)+SUMIFS('26'!$N$7:$N$100,'26'!$H$7:$H$100,$A418,'26'!$I$7:$I$100,2)+SUMIFS('26a'!$N$7:$N$100,'26a'!$H$7:$H$100,$A418,'26a'!$I$7:$I$100,2)+SUMIFS('27'!$N$7:$N$100,'27'!$H$7:$H$100,$A418,'27'!$I$7:$I$100,2)+SUMIFS('27a'!$N$7:$N$100,'27a'!$H$7:$H$100,$A418,'27a'!$I$7:$I$100,2)+SUMIFS('28'!$N$7:$N$100,'28'!$H$7:$H$100,$A418,'28'!$I$7:$I$100,2)+SUMIFS('29'!$N$7:$N$100,'29'!$H$7:$H$100,$A418,'29'!$I$7:$I$100,2)</f>
        <v>0</v>
      </c>
      <c r="E419" s="1315">
        <f>SUMIFS('12'!$N$7:$N$100,'12'!$H$7:$H$100,$A418,'12'!$I$7:$I$100,"")+SUMIFS('13'!$N$7:$N$100,'13'!$H$7:$H$100,$A418,'13'!$I$7:$I$100,"")+SUMIFS('14'!$N$7:$N$100,'14'!$H$7:$H$100,$A418,'14'!$I$7:$I$100,"")+SUMIFS('15'!$N$7:$N$100,'15'!$H$7:$H$100,$A418,'15'!$I$7:$I$100,"")+SUMIFS('15a'!$N$7:$N$100,'15a'!$H$7:$H$100,$A418,'15a'!$I$7:$I$100,"")+SUMIFS('15b'!$N$7:$N$100,'15b'!$H$7:$H$100,$A418,'15b'!$I$7:$I$100,"")+SUMIFS('15c'!$N$7:$N$100,'15c'!$H$7:$H$100,$A418,'15c'!$I$7:$I$100,"")+SUMIFS('15d'!$N$7:$N$100,'15d'!$H$7:$H$100,$A418,'15d'!$I$7:$I$100,"")+SUMIFS('15e'!$N$7:$N$100,'15e'!$H$7:$H$100,$A418,'15e'!$I$7:$I$100,"")+SUMIFS('15f'!$N$7:$N$100,'15f'!$H$7:$H$100,$A418,'15f'!$I$7:$I$100,"")+SUMIFS('15g'!$N$7:$N$100,'15g'!$H$7:$H$100,$A418,'15g'!$I$7:$I$100,"")+SUMIFS('15h'!$N$7:$N$100,'15h'!$H$7:$H$100,$A418,'15h'!$I$7:$I$100,"")+SUMIFS('15i'!$N$7:$N$100,'15i'!$H$7:$H$100,$A418,'15i'!$I$7:$I$100,"")+SUMIFS('15j'!$N$7:$N$100,'15j'!$H$7:$H$100,$A418,'15j'!$I$7:$I$100,"")+SUMIFS('15k'!$N$7:$N$100,'15k'!$H$7:$H$100,$A418,'15k'!$I$7:$I$100,"")+SUMIFS('15l'!$N$7:$N$100,'15l'!$H$7:$H$100,$A418,'15l'!$I$7:$I$100,"")+SUMIFS('15m'!$N$7:$N$100,'15m'!$H$7:$H$100,$A418,'15m'!$I$7:$I$100,"")+SUMIFS('15n'!$N$7:$N$100,'15n'!$H$7:$H$100,$A418,'15n'!$I$7:$I$100,"")+SUMIFS('16'!$N$7:$N$100,'16'!$H$7:$H$100,$A418,'16'!$I$7:$I$100,"")+SUMIFS('16a'!$N$7:$N$100,'16a'!$H$7:$H$100,$A418,'16a'!$I$7:$I$100,"")+SUMIFS('17'!$N$7:$N$100,'17'!$H$7:$H$100,$A418,'17'!$I$7:$I$100,"")+SUMIFS('17a'!$N$7:$N$100,'17a'!$H$7:$H$100,$A418,'17a'!$I$7:$I$100,"")+SUMIFS('18'!$N$7:$N$100,'18'!$H$7:$H$100,$A418,'18'!$I$7:$I$100,"")+SUMIFS('18a'!$N$7:$N$100,'18a'!$H$7:$H$100,$A418,'18a'!$I$7:$I$100,"")
+SUMIFS('19'!$N$7:$N$100,'19'!$H$7:$H$100,$A418,'19'!$I$7:$I$100,"")+SUMIFS('20'!$N$7:$N$100,'20'!$H$7:$H$100,$A418,'20'!$I$7:$I$100,"")+SUMIFS('20a'!$N$7:$N$100,'20a'!$H$7:$H$100,$A418,'20a'!$I$7:$I$100,"")+SUMIFS('21'!$N$7:$N$100,'21'!$H$7:$H$100,$A418,'21'!$I$7:$I$100,"")+SUMIFS('22'!$N$7:$N$100,'22'!$H$7:$H$100,$A418,'22'!$I$7:$I$100,"")+SUMIFS('22a'!$N$7:$N$100,'22a'!$H$7:$H$100,$A418,'22a'!$I$7:$I$100,"")+SUMIFS('22b'!$N$7:$N$100,'22b'!$H$7:$H$100,$A418,'22b'!$I$7:$I$100,"")+SUMIFS('23'!$N$7:$N$100,'23'!$H$7:$H$100,$A418,'23'!$I$7:$I$100,"")+SUMIFS('24'!$N$7:$N$100,'24'!$H$7:$H$100,$A418,'24'!$I$7:$I$100,"")+SUMIFS('24a'!$N$7:$N$100,'24a'!$H$7:$H$100,$A418,'24a'!$I$7:$I$100,"")+SUMIFS('24b'!$N$7:$N$100,'24b'!$H$7:$H$100,$A418,'24b'!$I$7:$I$100,"")+SUMIFS('24c'!$N$7:$N$100,'24c'!$H$7:$H$100,$A418,'24c'!$I$7:$I$100,"")+SUMIFS('24d'!$N$7:$N$100,'24d'!$H$7:$H$100,$A418,'24d'!$I$7:$I$100,"")+SUMIFS('24e'!$N$7:$N$100,'24e'!$H$7:$H$100,$A418,'24e'!$I$7:$I$100,"")+SUMIFS('24f'!$N$7:$N$100,'24f'!$H$7:$H$100,$A418,'24f'!$I$7:$I$100,"")+SUMIFS('24g'!$N$7:$N$100,'24g'!$H$7:$H$100,$A418,'24g'!$I$7:$I$100,"")+SUMIFS('24h'!$N$7:$N$100,'24h'!$H$7:$H$100,$A418,'24h'!$I$7:$I$100,"")+SUMIFS('24i'!$N$7:$N$100,'24i'!$H$7:$H$100,$A418,'24i'!$I$7:$I$100,"")+SUMIFS('25'!$N$7:$N$100,'25'!$H$7:$H$100,$A418,'25'!$I$7:$I$100,"")+SUMIFS('26'!$N$7:$N$100,'26'!$H$7:$H$100,$A418,'26'!$I$7:$I$100,"")+SUMIFS('26a'!$N$7:$N$100,'26a'!$H$7:$H$100,$A418,'26a'!$I$7:$I$100,"")+SUMIFS('27'!$N$7:$N$100,'27'!$H$7:$H$100,$A418,'27'!$I$7:$I$100,"")+SUMIFS('27a'!$N$7:$N$100,'27a'!$H$7:$H$100,$A418,'27a'!$I$7:$I$100,"")+SUMIFS('28'!$N$7:$N$100,'28'!$H$7:$H$100,$A418,'28'!$I$7:$I$100,"")+SUMIFS('29'!$N$7:$N$100,'29'!$H$7:$H$100,$A418,'29'!$I$7:$I$100,"")</f>
        <v>0</v>
      </c>
      <c r="F419" s="1296">
        <f>SUM(C419:E419)</f>
        <v>0</v>
      </c>
      <c r="G419" s="1295">
        <f>SUMIFS('12'!$J$7:$J$100,'12'!$H$7:$H$100,$A418,'12'!$I$7:$I$100,1)+SUMIFS('13'!$J$7:$J$100,'13'!$H$7:$H$100,$A418,'13'!$I$7:$I$100,1)+SUMIFS('14'!$J$7:$J$100,'14'!$H$7:$H$100,$A418,'14'!$I$7:$I$100,1)+SUMIFS('15'!$J$7:$J$100,'15'!$H$7:$H$100,$A418,'15'!$I$7:$I$100,1)+SUMIFS('15a'!$J$7:$J$100,'15a'!$H$7:$H$100,$A418,'15a'!$I$7:$I$100,1)+SUMIFS('15b'!$J$7:$J$100,'15b'!$H$7:$H$100,$A418,'15b'!$I$7:$I$100,1)+SUMIFS('15c'!$J$7:$J$100,'15c'!$H$7:$H$100,$A418,'15c'!$I$7:$I$100,1)+SUMIFS('15d'!$J$7:$J$100,'15d'!$H$7:$H$100,$A418,'15d'!$I$7:$I$100,1)+SUMIFS('15e'!$J$7:$J$100,'15e'!$H$7:$H$100,$A418,'15e'!$I$7:$I$100,1)+SUMIFS('15f'!$J$7:$J$100,'15f'!$H$7:$H$100,$A418,'15f'!$I$7:$I$100,1)+SUMIFS('15g'!$J$7:$J$100,'15g'!$H$7:$H$100,$A418,'15g'!$I$7:$I$100,1)+SUMIFS('15h'!$J$7:$J$100,'15h'!$H$7:$H$100,$A418,'15h'!$I$7:$I$100,1)+SUMIFS('15i'!$J$7:$J$100,'15i'!$H$7:$H$100,$A418,'15i'!$I$7:$I$100,1)+SUMIFS('15j'!$J$7:$J$100,'15j'!$H$7:$H$100,$A418,'15j'!$I$7:$I$100,1)+SUMIFS('15k'!$J$7:$J$100,'15k'!$H$7:$H$100,$A418,'15k'!$I$7:$I$100,1)+SUMIFS('15l'!$J$7:$J$100,'15l'!$H$7:$H$100,$A418,'15l'!$I$7:$I$100,1)+SUMIFS('15m'!$J$7:$J$100,'15m'!$H$7:$H$100,$A418,'15m'!$I$7:$I$100,1)+SUMIFS('15n'!$J$7:$J$100,'15n'!$H$7:$H$100,$A418,'15n'!$I$7:$I$100,1)+SUMIFS('16'!$J$7:$J$100,'16'!$H$7:$H$100,$A418,'16'!$I$7:$I$100,1)+SUMIFS('16a'!$J$7:$J$100,'16a'!$H$7:$H$100,$A418,'16a'!$I$7:$I$100,1)+SUMIFS('17'!$J$7:$J$100,'17'!$H$7:$H$100,$A418,'17'!$I$7:$I$100,1)+SUMIFS('17a'!$J$7:$J$100,'17a'!$H$7:$H$100,$A418,'17a'!$I$7:$I$100,1)+SUMIFS('18'!$J$7:$J$100,'18'!$H$7:$H$100,$A418,'18'!$I$7:$I$100,1)+SUMIFS('18a'!$J$7:$J$100,'18a'!$H$7:$H$100,$A418,'18a'!$I$7:$I$100,1)
+SUMIFS('19'!$J$7:$J$100,'19'!$H$7:$H$100,$A418,'19'!$I$7:$I$100,1)+SUMIFS('20'!$J$7:$J$100,'20'!$H$7:$H$100,$A418,'20'!$I$7:$I$100,1)+SUMIFS('20a'!$J$7:$J$100,'20a'!$H$7:$H$100,$A418,'20a'!$I$7:$I$100,1)+SUMIFS('21'!$J$7:$J$100,'21'!$H$7:$H$100,$A418,'21'!$I$7:$I$100,1)+SUMIFS('22'!$J$7:$J$100,'22'!$H$7:$H$100,$A418,'22'!$I$7:$I$100,1)+SUMIFS('22a'!$J$7:$J$100,'22a'!$H$7:$H$100,$A418,'22a'!$I$7:$I$100,1)+SUMIFS('22b'!$J$7:$J$100,'22b'!$H$7:$H$100,$A418,'22b'!$I$7:$I$100,1)+SUMIFS('23'!$J$7:$J$100,'23'!$H$7:$H$100,$A418,'23'!$I$7:$I$100,1)+SUMIFS('24'!$J$7:$J$100,'24'!$H$7:$H$100,$A418,'24'!$I$7:$I$100,1)+SUMIFS('24a'!$J$7:$J$100,'24a'!$H$7:$H$100,$A418,'24a'!$I$7:$I$100,1)+SUMIFS('24b'!$J$7:$J$100,'24b'!$H$7:$H$100,$A418,'24b'!$I$7:$I$100,1)+SUMIFS('24c'!$J$7:$J$100,'24c'!$H$7:$H$100,$A418,'24c'!$I$7:$I$100,1)+SUMIFS('24d'!$J$7:$J$100,'24d'!$H$7:$H$100,$A418,'24d'!$I$7:$I$100,1)+SUMIFS('24e'!$J$7:$J$100,'24e'!$H$7:$H$100,$A418,'24e'!$I$7:$I$100,1)+SUMIFS('24f'!$J$7:$J$100,'24f'!$H$7:$H$100,$A418,'24f'!$I$7:$I$100,1)+SUMIFS('24g'!$J$7:$J$100,'24g'!$H$7:$H$100,$A418,'24g'!$I$7:$I$100,1)+SUMIFS('24h'!$J$7:$J$100,'24h'!$H$7:$H$100,$A418,'24h'!$I$7:$I$100,1)+SUMIFS('24i'!$J$7:$J$100,'24i'!$H$7:$H$100,$A418,'24i'!$I$7:$I$100,1)+SUMIFS('25'!$J$7:$J$100,'25'!$H$7:$H$100,$A418,'25'!$I$7:$I$100,1)+SUMIFS('26'!$J$7:$J$100,'26'!$H$7:$H$100,$A418,'26'!$I$7:$I$100,1)+SUMIFS('26a'!$J$7:$J$100,'26a'!$H$7:$H$100,$A418,'26a'!$I$7:$I$100,1)+SUMIFS('27'!$J$7:$J$100,'27'!$H$7:$H$100,$A418,'27'!$I$7:$I$100,1)+SUMIFS('27a'!$J$7:$J$100,'27a'!$H$7:$H$100,$A418,'27a'!$I$7:$I$100,1)+SUMIFS('28'!$J$7:$J$100,'28'!$H$7:$H$100,$A418,'28'!$I$7:$I$100,1)+SUMIFS('29'!$J$7:$J$100,'29'!$H$7:$H$100,$A418,'29'!$I$7:$I$100,1)</f>
        <v>0</v>
      </c>
      <c r="H419" s="1315">
        <f>SUMIFS('12'!$J$7:$J$100,'12'!$H$7:$H$100,$A418,'12'!$I$7:$I$100,2)+SUMIFS('13'!$J$7:$J$100,'13'!$H$7:$H$100,$A418,'13'!$I$7:$I$100,2)+SUMIFS('14'!$J$7:$J$100,'14'!$H$7:$H$100,$A418,'14'!$I$7:$I$100,2)+SUMIFS('15'!$J$7:$J$100,'15'!$H$7:$H$100,$A418,'15'!$I$7:$I$100,2)+SUMIFS('15a'!$J$7:$J$100,'15a'!$H$7:$H$100,$A418,'15a'!$I$7:$I$100,2)+SUMIFS('15b'!$J$7:$J$100,'15b'!$H$7:$H$100,$A418,'15b'!$I$7:$I$100,2)+SUMIFS('15c'!$J$7:$J$100,'15c'!$H$7:$H$100,$A418,'15c'!$I$7:$I$100,2)+SUMIFS('15d'!$J$7:$J$100,'15d'!$H$7:$H$100,$A418,'15d'!$I$7:$I$100,2)+SUMIFS('15e'!$J$7:$J$100,'15e'!$H$7:$H$100,$A418,'15e'!$I$7:$I$100,2)+SUMIFS('15f'!$J$7:$J$100,'15f'!$H$7:$H$100,$A418,'15f'!$I$7:$I$100,2)+SUMIFS('15g'!$J$7:$J$100,'15g'!$H$7:$H$100,$A418,'15g'!$I$7:$I$100,2)+SUMIFS('15h'!$J$7:$J$100,'15h'!$H$7:$H$100,$A418,'15h'!$I$7:$I$100,2)+SUMIFS('15i'!$J$7:$J$100,'15i'!$H$7:$H$100,$A418,'15i'!$I$7:$I$100,2)+SUMIFS('15j'!$J$7:$J$100,'15j'!$H$7:$H$100,$A418,'15j'!$I$7:$I$100,2)+SUMIFS('15k'!$J$7:$J$100,'15k'!$H$7:$H$100,$A418,'15k'!$I$7:$I$100,2)+SUMIFS('15l'!$J$7:$J$100,'15l'!$H$7:$H$100,$A418,'15l'!$I$7:$I$100,2)+SUMIFS('15m'!$J$7:$J$100,'15m'!$H$7:$H$100,$A418,'15m'!$I$7:$I$100,2)+SUMIFS('15n'!$J$7:$J$100,'15n'!$H$7:$H$100,$A418,'15n'!$I$7:$I$100,2)+SUMIFS('16'!$J$7:$J$100,'16'!$H$7:$H$100,$A418,'16'!$I$7:$I$100,2)+SUMIFS('16a'!$J$7:$J$100,'16a'!$H$7:$H$100,$A418,'16a'!$I$7:$I$100,2)+SUMIFS('17'!$J$7:$J$100,'17'!$H$7:$H$100,$A418,'17'!$I$7:$I$100,2)+SUMIFS('17a'!$J$7:$J$100,'17a'!$H$7:$H$100,$A418,'17a'!$I$7:$I$100,2)+SUMIFS('18'!$J$7:$J$100,'18'!$H$7:$H$100,$A418,'18'!$I$7:$I$100,2)+SUMIFS('18a'!$J$7:$J$100,'18a'!$H$7:$H$100,$A418,'18a'!$I$7:$I$100,2)
+SUMIFS('19'!$J$7:$J$100,'19'!$H$7:$H$100,$A418,'19'!$I$7:$I$100,2)+SUMIFS('20'!$J$7:$J$100,'20'!$H$7:$H$100,$A418,'20'!$I$7:$I$100,2)+SUMIFS('20a'!$J$7:$J$100,'20a'!$H$7:$H$100,$A418,'20a'!$I$7:$I$100,2)+SUMIFS('21'!$J$7:$J$100,'21'!$H$7:$H$100,$A418,'21'!$I$7:$I$100,2)+SUMIFS('22'!$J$7:$J$100,'22'!$H$7:$H$100,$A418,'22'!$I$7:$I$100,2)+SUMIFS('22a'!$J$7:$J$100,'22a'!$H$7:$H$100,$A418,'22a'!$I$7:$I$100,2)+SUMIFS('22b'!$J$7:$J$100,'22b'!$H$7:$H$100,$A418,'22b'!$I$7:$I$100,2)+SUMIFS('23'!$J$7:$J$100,'23'!$H$7:$H$100,$A418,'23'!$I$7:$I$100,2)+SUMIFS('24'!$J$7:$J$100,'24'!$H$7:$H$100,$A418,'24'!$I$7:$I$100,2)+SUMIFS('24a'!$J$7:$J$100,'24a'!$H$7:$H$100,$A418,'24a'!$I$7:$I$100,2)+SUMIFS('24b'!$J$7:$J$100,'24b'!$H$7:$H$100,$A418,'24b'!$I$7:$I$100,2)+SUMIFS('24c'!$J$7:$J$100,'24c'!$H$7:$H$100,$A418,'24c'!$I$7:$I$100,2)+SUMIFS('24d'!$J$7:$J$100,'24d'!$H$7:$H$100,$A418,'24d'!$I$7:$I$100,2)+SUMIFS('24e'!$J$7:$J$100,'24e'!$H$7:$H$100,$A418,'24e'!$I$7:$I$100,2)+SUMIFS('24f'!$J$7:$J$100,'24f'!$H$7:$H$100,$A418,'24f'!$I$7:$I$100,2)+SUMIFS('24g'!$J$7:$J$100,'24g'!$H$7:$H$100,$A418,'24g'!$I$7:$I$100,2)+SUMIFS('24h'!$J$7:$J$100,'24h'!$H$7:$H$100,$A418,'24h'!$I$7:$I$100,2)+SUMIFS('24i'!$J$7:$J$100,'24i'!$H$7:$H$100,$A418,'24i'!$I$7:$I$100,2)+SUMIFS('25'!$J$7:$J$100,'25'!$H$7:$H$100,$A418,'25'!$I$7:$I$100,2)+SUMIFS('26'!$J$7:$J$100,'26'!$H$7:$H$100,$A418,'26'!$I$7:$I$100,2)+SUMIFS('26a'!$J$7:$J$100,'26a'!$H$7:$H$100,$A418,'26a'!$I$7:$I$100,2)+SUMIFS('27'!$J$7:$J$100,'27'!$H$7:$H$100,$A418,'27'!$I$7:$I$100,2)+SUMIFS('27a'!$J$7:$J$100,'27a'!$H$7:$H$100,$A418,'27a'!$I$7:$I$100,2)+SUMIFS('28'!$J$7:$J$100,'28'!$H$7:$H$100,$A418,'28'!$I$7:$I$100,2)+SUMIFS('29'!$J$7:$J$100,'29'!$H$7:$H$100,$A418,'29'!$I$7:$I$100,2)</f>
        <v>0</v>
      </c>
      <c r="I419" s="1315">
        <f>SUMIFS('12'!$J$7:$J$100,'12'!$H$7:$H$100,$A418,'12'!$I$7:$I$100,"")+SUMIFS('13'!$J$7:$J$100,'13'!$H$7:$H$100,$A418,'13'!$I$7:$I$100,"")+SUMIFS('14'!$J$7:$J$100,'14'!$H$7:$H$100,$A418,'14'!$I$7:$I$100,"")+SUMIFS('15'!$J$7:$J$100,'15'!$H$7:$H$100,$A418,'15'!$I$7:$I$100,"")+SUMIFS('15a'!$J$7:$J$100,'15a'!$H$7:$H$100,$A418,'15a'!$I$7:$I$100,"")+SUMIFS('15b'!$J$7:$J$100,'15b'!$H$7:$H$100,$A418,'15b'!$I$7:$I$100,"")+SUMIFS('15c'!$J$7:$J$100,'15c'!$H$7:$H$100,$A418,'15c'!$I$7:$I$100,"")+SUMIFS('15d'!$J$7:$J$100,'15d'!$H$7:$H$100,$A418,'15d'!$I$7:$I$100,"")+SUMIFS('15e'!$J$7:$J$100,'15e'!$H$7:$H$100,$A418,'15e'!$I$7:$I$100,"")+SUMIFS('15f'!$J$7:$J$100,'15f'!$H$7:$H$100,$A418,'15f'!$I$7:$I$100,"")+SUMIFS('15g'!$J$7:$J$100,'15g'!$H$7:$H$100,$A418,'15g'!$I$7:$I$100,"")+SUMIFS('15h'!$J$7:$J$100,'15h'!$H$7:$H$100,$A418,'15h'!$I$7:$I$100,"")+SUMIFS('15i'!$J$7:$J$100,'15i'!$H$7:$H$100,$A418,'15i'!$I$7:$I$100,"")+SUMIFS('15j'!$J$7:$J$100,'15j'!$H$7:$H$100,$A418,'15j'!$I$7:$I$100,"")+SUMIFS('15k'!$J$7:$J$100,'15k'!$H$7:$H$100,$A418,'15k'!$I$7:$I$100,"")+SUMIFS('15l'!$J$7:$J$100,'15l'!$H$7:$H$100,$A418,'15l'!$I$7:$I$100,"")+SUMIFS('15m'!$J$7:$J$100,'15m'!$H$7:$H$100,$A418,'15m'!$I$7:$I$100,"")+SUMIFS('15n'!$J$7:$J$100,'15n'!$H$7:$H$100,$A418,'15n'!$I$7:$I$100,"")+SUMIFS('16'!$J$7:$J$100,'16'!$H$7:$H$100,$A418,'16'!$I$7:$I$100,"")+SUMIFS('16a'!$J$7:$J$100,'16a'!$H$7:$H$100,$A418,'16a'!$I$7:$I$100,"")+SUMIFS('17'!$J$7:$J$100,'17'!$H$7:$H$100,$A418,'17'!$I$7:$I$100,"")+SUMIFS('17a'!$J$7:$J$100,'17a'!$H$7:$H$100,$A418,'17a'!$I$7:$I$100,"")+SUMIFS('18'!$J$7:$J$100,'18'!$H$7:$H$100,$A418,'18'!$I$7:$I$100,"")+SUMIFS('18a'!$J$7:$J$100,'18a'!$H$7:$H$100,$A418,'18a'!$I$7:$I$100,"")
+SUMIFS('19'!$J$7:$J$100,'19'!$H$7:$H$100,$A418,'19'!$I$7:$I$100,"")+SUMIFS('20'!$J$7:$J$100,'20'!$H$7:$H$100,$A418,'20'!$I$7:$I$100,"")+SUMIFS('20a'!$J$7:$J$100,'20a'!$H$7:$H$100,$A418,'20a'!$I$7:$I$100,"")+SUMIFS('21'!$J$7:$J$100,'21'!$H$7:$H$100,$A418,'21'!$I$7:$I$100,"")+SUMIFS('22'!$J$7:$J$100,'22'!$H$7:$H$100,$A418,'22'!$I$7:$I$100,"")+SUMIFS('22a'!$J$7:$J$100,'22a'!$H$7:$H$100,$A418,'22a'!$I$7:$I$100,"")+SUMIFS('22b'!$J$7:$J$100,'22b'!$H$7:$H$100,$A418,'22b'!$I$7:$I$100,"")+SUMIFS('23'!$J$7:$J$100,'23'!$H$7:$H$100,$A418,'23'!$I$7:$I$100,"")+SUMIFS('24'!$J$7:$J$100,'24'!$H$7:$H$100,$A418,'24'!$I$7:$I$100,"")+SUMIFS('24a'!$J$7:$J$100,'24a'!$H$7:$H$100,$A418,'24a'!$I$7:$I$100,"")+SUMIFS('24b'!$J$7:$J$100,'24b'!$H$7:$H$100,$A418,'24b'!$I$7:$I$100,"")+SUMIFS('24c'!$J$7:$J$100,'24c'!$H$7:$H$100,$A418,'24c'!$I$7:$I$100,"")+SUMIFS('24d'!$J$7:$J$100,'24d'!$H$7:$H$100,$A418,'24d'!$I$7:$I$100,"")+SUMIFS('24e'!$J$7:$J$100,'24e'!$H$7:$H$100,$A418,'24e'!$I$7:$I$100,"")+SUMIFS('24f'!$J$7:$J$100,'24f'!$H$7:$H$100,$A418,'24f'!$I$7:$I$100,"")+SUMIFS('24g'!$J$7:$J$100,'24g'!$H$7:$H$100,$A418,'24g'!$I$7:$I$100,"")+SUMIFS('24h'!$J$7:$J$100,'24h'!$H$7:$H$100,$A418,'24h'!$I$7:$I$100,"")+SUMIFS('24i'!$J$7:$J$100,'24i'!$H$7:$H$100,$A418,'24i'!$I$7:$I$100,"")+SUMIFS('25'!$J$7:$J$100,'25'!$H$7:$H$100,$A418,'25'!$I$7:$I$100,"")+SUMIFS('26'!$J$7:$J$100,'26'!$H$7:$H$100,$A418,'26'!$I$7:$I$100,"")+SUMIFS('26a'!$J$7:$J$100,'26a'!$H$7:$H$100,$A418,'26a'!$I$7:$I$100,"")+SUMIFS('27'!$J$7:$J$100,'27'!$H$7:$H$100,$A418,'27'!$I$7:$I$100,"")+SUMIFS('27a'!$J$7:$J$100,'27a'!$H$7:$H$100,$A418,'27a'!$I$7:$I$100,"")+SUMIFS('28'!$J$7:$J$100,'28'!$H$7:$H$100,$A418,'28'!$I$7:$I$100,"")+SUMIFS('29'!$J$7:$J$100,'29'!$H$7:$H$100,$A418,'29'!$I$7:$I$100,"")</f>
        <v>0</v>
      </c>
      <c r="J419" s="1296">
        <f>SUM(G419:I419)</f>
        <v>0</v>
      </c>
      <c r="K419"/>
      <c r="L419"/>
      <c r="M419"/>
      <c r="N419"/>
      <c r="O419"/>
      <c r="P419"/>
      <c r="Q419"/>
      <c r="R419"/>
      <c r="S419" s="1307">
        <f t="shared" si="71"/>
        <v>0</v>
      </c>
      <c r="T419"/>
    </row>
    <row r="420" spans="1:20" outlineLevel="1" x14ac:dyDescent="0.2">
      <c r="A420" t="s">
        <v>5098</v>
      </c>
      <c r="B420" t="s">
        <v>5558</v>
      </c>
      <c r="C420" s="1295">
        <f>SUMIFS('12'!$N$7:$N$100,'12'!$H$7:$H$100,$A419,'12'!$I$7:$I$100,1)+SUMIFS('13'!$N$7:$N$100,'13'!$H$7:$H$100,$A419,'13'!$I$7:$I$100,1)+SUMIFS('14'!$N$7:$N$100,'14'!$H$7:$H$100,$A419,'14'!$I$7:$I$100,1)+SUMIFS('15'!$N$7:$N$100,'15'!$H$7:$H$100,$A419,'15'!$I$7:$I$100,1)+SUMIFS('15a'!$N$7:$N$100,'15a'!$H$7:$H$100,$A419,'15a'!$I$7:$I$100,1)+SUMIFS('15b'!$N$7:$N$100,'15b'!$H$7:$H$100,$A419,'15b'!$I$7:$I$100,1)+SUMIFS('15c'!$N$7:$N$100,'15c'!$H$7:$H$100,$A419,'15c'!$I$7:$I$100,1)+SUMIFS('15d'!$N$7:$N$100,'15d'!$H$7:$H$100,$A419,'15d'!$I$7:$I$100,1)+SUMIFS('15e'!$N$7:$N$100,'15e'!$H$7:$H$100,$A419,'15e'!$I$7:$I$100,1)+SUMIFS('15f'!$N$7:$N$100,'15f'!$H$7:$H$100,$A419,'15f'!$I$7:$I$100,1)+SUMIFS('15g'!$N$7:$N$100,'15g'!$H$7:$H$100,$A419,'15g'!$I$7:$I$100,1)+SUMIFS('15h'!$N$7:$N$100,'15h'!$H$7:$H$100,$A419,'15h'!$I$7:$I$100,1)+SUMIFS('15i'!$N$7:$N$100,'15i'!$H$7:$H$100,$A419,'15i'!$I$7:$I$100,1)+SUMIFS('15j'!$N$7:$N$100,'15j'!$H$7:$H$100,$A419,'15j'!$I$7:$I$100,1)+SUMIFS('15k'!$N$7:$N$100,'15k'!$H$7:$H$100,$A419,'15k'!$I$7:$I$100,1)+SUMIFS('15l'!$N$7:$N$100,'15l'!$H$7:$H$100,$A419,'15l'!$I$7:$I$100,1)+SUMIFS('15m'!$N$7:$N$100,'15m'!$H$7:$H$100,$A419,'15m'!$I$7:$I$100,1)+SUMIFS('15n'!$N$7:$N$100,'15n'!$H$7:$H$100,$A419,'15n'!$I$7:$I$100,1)+SUMIFS('16'!$N$7:$N$100,'16'!$H$7:$H$100,$A419,'16'!$I$7:$I$100,1)+SUMIFS('16a'!$N$7:$N$100,'16a'!$H$7:$H$100,$A419,'16a'!$I$7:$I$100,1)+SUMIFS('17'!$N$7:$N$100,'17'!$H$7:$H$100,$A419,'17'!$I$7:$I$100,1)+SUMIFS('17a'!$N$7:$N$100,'17a'!$H$7:$H$100,$A419,'17a'!$I$7:$I$100,1)+SUMIFS('18'!$N$7:$N$100,'18'!$H$7:$H$100,$A419,'18'!$I$7:$I$100,1)+SUMIFS('18a'!$N$7:$N$100,'18a'!$H$7:$H$100,$A419,'18a'!$I$7:$I$100,1)
+SUMIFS('19'!$N$7:$N$100,'19'!$H$7:$H$100,$A419,'19'!$I$7:$I$100,1)+SUMIFS('20'!$N$7:$N$100,'20'!$H$7:$H$100,$A419,'20'!$I$7:$I$100,1)+SUMIFS('20a'!$N$7:$N$100,'20a'!$H$7:$H$100,$A419,'20a'!$I$7:$I$100,1)+SUMIFS('21'!$N$7:$N$100,'21'!$H$7:$H$100,$A419,'21'!$I$7:$I$100,1)+SUMIFS('22'!$N$7:$N$100,'22'!$H$7:$H$100,$A419,'22'!$I$7:$I$100,1)+SUMIFS('22a'!$N$7:$N$100,'22a'!$H$7:$H$100,$A419,'22a'!$I$7:$I$100,1)+SUMIFS('22b'!$N$7:$N$100,'22b'!$H$7:$H$100,$A419,'22b'!$I$7:$I$100,1)+SUMIFS('23'!$N$7:$N$100,'23'!$H$7:$H$100,$A419,'23'!$I$7:$I$100,1)+SUMIFS('24'!$N$7:$N$100,'24'!$H$7:$H$100,$A419,'24'!$I$7:$I$100,1)+SUMIFS('24a'!$N$7:$N$100,'24a'!$H$7:$H$100,$A419,'24a'!$I$7:$I$100,1)+SUMIFS('24b'!$N$7:$N$100,'24b'!$H$7:$H$100,$A419,'24b'!$I$7:$I$100,1)+SUMIFS('24c'!$N$7:$N$100,'24c'!$H$7:$H$100,$A419,'24c'!$I$7:$I$100,1)+SUMIFS('24d'!$N$7:$N$100,'24d'!$H$7:$H$100,$A419,'24d'!$I$7:$I$100,1)+SUMIFS('24e'!$N$7:$N$100,'24e'!$H$7:$H$100,$A419,'24e'!$I$7:$I$100,1)+SUMIFS('24f'!$N$7:$N$100,'24f'!$H$7:$H$100,$A419,'24f'!$I$7:$I$100,1)+SUMIFS('24g'!$N$7:$N$100,'24g'!$H$7:$H$100,$A419,'24g'!$I$7:$I$100,1)+SUMIFS('24h'!$N$7:$N$100,'24h'!$H$7:$H$100,$A419,'24h'!$I$7:$I$100,1)+SUMIFS('24i'!$N$7:$N$100,'24i'!$H$7:$H$100,$A419,'24i'!$I$7:$I$100,1)+SUMIFS('25'!$N$7:$N$100,'25'!$H$7:$H$100,$A419,'25'!$I$7:$I$100,1)+SUMIFS('26'!$N$7:$N$100,'26'!$H$7:$H$100,$A419,'26'!$I$7:$I$100,1)+SUMIFS('26a'!$N$7:$N$100,'26a'!$H$7:$H$100,$A419,'26a'!$I$7:$I$100,1)+SUMIFS('27'!$N$7:$N$100,'27'!$H$7:$H$100,$A419,'27'!$I$7:$I$100,1)+SUMIFS('27a'!$N$7:$N$100,'27a'!$H$7:$H$100,$A419,'27a'!$I$7:$I$100,1)+SUMIFS('28'!$N$7:$N$100,'28'!$H$7:$H$100,$A419,'28'!$I$7:$I$100,1)+SUMIFS('29'!$N$7:$N$100,'29'!$H$7:$H$100,$A419,'29'!$I$7:$I$100,1)</f>
        <v>0</v>
      </c>
      <c r="D420" s="1315">
        <f>SUMIFS('12'!$N$7:$N$100,'12'!$H$7:$H$100,$A419,'12'!$I$7:$I$100,2)+SUMIFS('13'!$N$7:$N$100,'13'!$H$7:$H$100,$A419,'13'!$I$7:$I$100,2)+SUMIFS('14'!$N$7:$N$100,'14'!$H$7:$H$100,$A419,'14'!$I$7:$I$100,2)+SUMIFS('15'!$N$7:$N$100,'15'!$H$7:$H$100,$A419,'15'!$I$7:$I$100,2)+SUMIFS('15a'!$N$7:$N$100,'15a'!$H$7:$H$100,$A419,'15a'!$I$7:$I$100,2)+SUMIFS('15b'!$N$7:$N$100,'15b'!$H$7:$H$100,$A419,'15b'!$I$7:$I$100,2)+SUMIFS('15c'!$N$7:$N$100,'15c'!$H$7:$H$100,$A419,'15c'!$I$7:$I$100,2)+SUMIFS('15d'!$N$7:$N$100,'15d'!$H$7:$H$100,$A419,'15d'!$I$7:$I$100,2)+SUMIFS('15e'!$N$7:$N$100,'15e'!$H$7:$H$100,$A419,'15e'!$I$7:$I$100,2)+SUMIFS('15f'!$N$7:$N$100,'15f'!$H$7:$H$100,$A419,'15f'!$I$7:$I$100,2)+SUMIFS('15g'!$N$7:$N$100,'15g'!$H$7:$H$100,$A419,'15g'!$I$7:$I$100,2)+SUMIFS('15h'!$N$7:$N$100,'15h'!$H$7:$H$100,$A419,'15h'!$I$7:$I$100,2)+SUMIFS('15i'!$N$7:$N$100,'15i'!$H$7:$H$100,$A419,'15i'!$I$7:$I$100,2)+SUMIFS('15j'!$N$7:$N$100,'15j'!$H$7:$H$100,$A419,'15j'!$I$7:$I$100,2)+SUMIFS('15k'!$N$7:$N$100,'15k'!$H$7:$H$100,$A419,'15k'!$I$7:$I$100,2)+SUMIFS('15l'!$N$7:$N$100,'15l'!$H$7:$H$100,$A419,'15l'!$I$7:$I$100,2)+SUMIFS('15m'!$N$7:$N$100,'15m'!$H$7:$H$100,$A419,'15m'!$I$7:$I$100,2)+SUMIFS('15n'!$N$7:$N$100,'15n'!$H$7:$H$100,$A419,'15n'!$I$7:$I$100,2)+SUMIFS('16'!$N$7:$N$100,'16'!$H$7:$H$100,$A419,'16'!$I$7:$I$100,2)+SUMIFS('16a'!$N$7:$N$100,'16a'!$H$7:$H$100,$A419,'16a'!$I$7:$I$100,2)+SUMIFS('17'!$N$7:$N$100,'17'!$H$7:$H$100,$A419,'17'!$I$7:$I$100,2)+SUMIFS('17a'!$N$7:$N$100,'17a'!$H$7:$H$100,$A419,'17a'!$I$7:$I$100,2)+SUMIFS('18'!$N$7:$N$100,'18'!$H$7:$H$100,$A419,'18'!$I$7:$I$100,2)+SUMIFS('18a'!$N$7:$N$100,'18a'!$H$7:$H$100,$A419,'18a'!$I$7:$I$100,2)
+SUMIFS('19'!$N$7:$N$100,'19'!$H$7:$H$100,$A419,'19'!$I$7:$I$100,2)+SUMIFS('20'!$N$7:$N$100,'20'!$H$7:$H$100,$A419,'20'!$I$7:$I$100,2)+SUMIFS('20a'!$N$7:$N$100,'20a'!$H$7:$H$100,$A419,'20a'!$I$7:$I$100,2)+SUMIFS('21'!$N$7:$N$100,'21'!$H$7:$H$100,$A419,'21'!$I$7:$I$100,2)+SUMIFS('22'!$N$7:$N$100,'22'!$H$7:$H$100,$A419,'22'!$I$7:$I$100,2)+SUMIFS('22a'!$N$7:$N$100,'22a'!$H$7:$H$100,$A419,'22a'!$I$7:$I$100,2)+SUMIFS('22b'!$N$7:$N$100,'22b'!$H$7:$H$100,$A419,'22b'!$I$7:$I$100,2)+SUMIFS('23'!$N$7:$N$100,'23'!$H$7:$H$100,$A419,'23'!$I$7:$I$100,2)+SUMIFS('24'!$N$7:$N$100,'24'!$H$7:$H$100,$A419,'24'!$I$7:$I$100,2)+SUMIFS('24a'!$N$7:$N$100,'24a'!$H$7:$H$100,$A419,'24a'!$I$7:$I$100,2)+SUMIFS('24b'!$N$7:$N$100,'24b'!$H$7:$H$100,$A419,'24b'!$I$7:$I$100,2)+SUMIFS('24c'!$N$7:$N$100,'24c'!$H$7:$H$100,$A419,'24c'!$I$7:$I$100,2)+SUMIFS('24d'!$N$7:$N$100,'24d'!$H$7:$H$100,$A419,'24d'!$I$7:$I$100,2)+SUMIFS('24e'!$N$7:$N$100,'24e'!$H$7:$H$100,$A419,'24e'!$I$7:$I$100,2)+SUMIFS('24f'!$N$7:$N$100,'24f'!$H$7:$H$100,$A419,'24f'!$I$7:$I$100,2)+SUMIFS('24g'!$N$7:$N$100,'24g'!$H$7:$H$100,$A419,'24g'!$I$7:$I$100,2)+SUMIFS('24h'!$N$7:$N$100,'24h'!$H$7:$H$100,$A419,'24h'!$I$7:$I$100,2)+SUMIFS('24i'!$N$7:$N$100,'24i'!$H$7:$H$100,$A419,'24i'!$I$7:$I$100,2)+SUMIFS('25'!$N$7:$N$100,'25'!$H$7:$H$100,$A419,'25'!$I$7:$I$100,2)+SUMIFS('26'!$N$7:$N$100,'26'!$H$7:$H$100,$A419,'26'!$I$7:$I$100,2)+SUMIFS('26a'!$N$7:$N$100,'26a'!$H$7:$H$100,$A419,'26a'!$I$7:$I$100,2)+SUMIFS('27'!$N$7:$N$100,'27'!$H$7:$H$100,$A419,'27'!$I$7:$I$100,2)+SUMIFS('27a'!$N$7:$N$100,'27a'!$H$7:$H$100,$A419,'27a'!$I$7:$I$100,2)+SUMIFS('28'!$N$7:$N$100,'28'!$H$7:$H$100,$A419,'28'!$I$7:$I$100,2)+SUMIFS('29'!$N$7:$N$100,'29'!$H$7:$H$100,$A419,'29'!$I$7:$I$100,2)</f>
        <v>0</v>
      </c>
      <c r="E420" s="1315">
        <f>SUMIFS('12'!$N$7:$N$100,'12'!$H$7:$H$100,$A419,'12'!$I$7:$I$100,"")+SUMIFS('13'!$N$7:$N$100,'13'!$H$7:$H$100,$A419,'13'!$I$7:$I$100,"")+SUMIFS('14'!$N$7:$N$100,'14'!$H$7:$H$100,$A419,'14'!$I$7:$I$100,"")+SUMIFS('15'!$N$7:$N$100,'15'!$H$7:$H$100,$A419,'15'!$I$7:$I$100,"")+SUMIFS('15a'!$N$7:$N$100,'15a'!$H$7:$H$100,$A419,'15a'!$I$7:$I$100,"")+SUMIFS('15b'!$N$7:$N$100,'15b'!$H$7:$H$100,$A419,'15b'!$I$7:$I$100,"")+SUMIFS('15c'!$N$7:$N$100,'15c'!$H$7:$H$100,$A419,'15c'!$I$7:$I$100,"")+SUMIFS('15d'!$N$7:$N$100,'15d'!$H$7:$H$100,$A419,'15d'!$I$7:$I$100,"")+SUMIFS('15e'!$N$7:$N$100,'15e'!$H$7:$H$100,$A419,'15e'!$I$7:$I$100,"")+SUMIFS('15f'!$N$7:$N$100,'15f'!$H$7:$H$100,$A419,'15f'!$I$7:$I$100,"")+SUMIFS('15g'!$N$7:$N$100,'15g'!$H$7:$H$100,$A419,'15g'!$I$7:$I$100,"")+SUMIFS('15h'!$N$7:$N$100,'15h'!$H$7:$H$100,$A419,'15h'!$I$7:$I$100,"")+SUMIFS('15i'!$N$7:$N$100,'15i'!$H$7:$H$100,$A419,'15i'!$I$7:$I$100,"")+SUMIFS('15j'!$N$7:$N$100,'15j'!$H$7:$H$100,$A419,'15j'!$I$7:$I$100,"")+SUMIFS('15k'!$N$7:$N$100,'15k'!$H$7:$H$100,$A419,'15k'!$I$7:$I$100,"")+SUMIFS('15l'!$N$7:$N$100,'15l'!$H$7:$H$100,$A419,'15l'!$I$7:$I$100,"")+SUMIFS('15m'!$N$7:$N$100,'15m'!$H$7:$H$100,$A419,'15m'!$I$7:$I$100,"")+SUMIFS('15n'!$N$7:$N$100,'15n'!$H$7:$H$100,$A419,'15n'!$I$7:$I$100,"")+SUMIFS('16'!$N$7:$N$100,'16'!$H$7:$H$100,$A419,'16'!$I$7:$I$100,"")+SUMIFS('16a'!$N$7:$N$100,'16a'!$H$7:$H$100,$A419,'16a'!$I$7:$I$100,"")+SUMIFS('17'!$N$7:$N$100,'17'!$H$7:$H$100,$A419,'17'!$I$7:$I$100,"")+SUMIFS('17a'!$N$7:$N$100,'17a'!$H$7:$H$100,$A419,'17a'!$I$7:$I$100,"")+SUMIFS('18'!$N$7:$N$100,'18'!$H$7:$H$100,$A419,'18'!$I$7:$I$100,"")+SUMIFS('18a'!$N$7:$N$100,'18a'!$H$7:$H$100,$A419,'18a'!$I$7:$I$100,"")
+SUMIFS('19'!$N$7:$N$100,'19'!$H$7:$H$100,$A419,'19'!$I$7:$I$100,"")+SUMIFS('20'!$N$7:$N$100,'20'!$H$7:$H$100,$A419,'20'!$I$7:$I$100,"")+SUMIFS('20a'!$N$7:$N$100,'20a'!$H$7:$H$100,$A419,'20a'!$I$7:$I$100,"")+SUMIFS('21'!$N$7:$N$100,'21'!$H$7:$H$100,$A419,'21'!$I$7:$I$100,"")+SUMIFS('22'!$N$7:$N$100,'22'!$H$7:$H$100,$A419,'22'!$I$7:$I$100,"")+SUMIFS('22a'!$N$7:$N$100,'22a'!$H$7:$H$100,$A419,'22a'!$I$7:$I$100,"")+SUMIFS('22b'!$N$7:$N$100,'22b'!$H$7:$H$100,$A419,'22b'!$I$7:$I$100,"")+SUMIFS('23'!$N$7:$N$100,'23'!$H$7:$H$100,$A419,'23'!$I$7:$I$100,"")+SUMIFS('24'!$N$7:$N$100,'24'!$H$7:$H$100,$A419,'24'!$I$7:$I$100,"")+SUMIFS('24a'!$N$7:$N$100,'24a'!$H$7:$H$100,$A419,'24a'!$I$7:$I$100,"")+SUMIFS('24b'!$N$7:$N$100,'24b'!$H$7:$H$100,$A419,'24b'!$I$7:$I$100,"")+SUMIFS('24c'!$N$7:$N$100,'24c'!$H$7:$H$100,$A419,'24c'!$I$7:$I$100,"")+SUMIFS('24d'!$N$7:$N$100,'24d'!$H$7:$H$100,$A419,'24d'!$I$7:$I$100,"")+SUMIFS('24e'!$N$7:$N$100,'24e'!$H$7:$H$100,$A419,'24e'!$I$7:$I$100,"")+SUMIFS('24f'!$N$7:$N$100,'24f'!$H$7:$H$100,$A419,'24f'!$I$7:$I$100,"")+SUMIFS('24g'!$N$7:$N$100,'24g'!$H$7:$H$100,$A419,'24g'!$I$7:$I$100,"")+SUMIFS('24h'!$N$7:$N$100,'24h'!$H$7:$H$100,$A419,'24h'!$I$7:$I$100,"")+SUMIFS('24i'!$N$7:$N$100,'24i'!$H$7:$H$100,$A419,'24i'!$I$7:$I$100,"")+SUMIFS('25'!$N$7:$N$100,'25'!$H$7:$H$100,$A419,'25'!$I$7:$I$100,"")+SUMIFS('26'!$N$7:$N$100,'26'!$H$7:$H$100,$A419,'26'!$I$7:$I$100,"")+SUMIFS('26a'!$N$7:$N$100,'26a'!$H$7:$H$100,$A419,'26a'!$I$7:$I$100,"")+SUMIFS('27'!$N$7:$N$100,'27'!$H$7:$H$100,$A419,'27'!$I$7:$I$100,"")+SUMIFS('27a'!$N$7:$N$100,'27a'!$H$7:$H$100,$A419,'27a'!$I$7:$I$100,"")+SUMIFS('28'!$N$7:$N$100,'28'!$H$7:$H$100,$A419,'28'!$I$7:$I$100,"")+SUMIFS('29'!$N$7:$N$100,'29'!$H$7:$H$100,$A419,'29'!$I$7:$I$100,"")</f>
        <v>0</v>
      </c>
      <c r="F420" s="1296">
        <f>SUM(C420:E420)</f>
        <v>0</v>
      </c>
      <c r="G420" s="1295">
        <f>SUMIFS('12'!$J$7:$J$100,'12'!$H$7:$H$100,$A419,'12'!$I$7:$I$100,1)+SUMIFS('13'!$J$7:$J$100,'13'!$H$7:$H$100,$A419,'13'!$I$7:$I$100,1)+SUMIFS('14'!$J$7:$J$100,'14'!$H$7:$H$100,$A419,'14'!$I$7:$I$100,1)+SUMIFS('15'!$J$7:$J$100,'15'!$H$7:$H$100,$A419,'15'!$I$7:$I$100,1)+SUMIFS('15a'!$J$7:$J$100,'15a'!$H$7:$H$100,$A419,'15a'!$I$7:$I$100,1)+SUMIFS('15b'!$J$7:$J$100,'15b'!$H$7:$H$100,$A419,'15b'!$I$7:$I$100,1)+SUMIFS('15c'!$J$7:$J$100,'15c'!$H$7:$H$100,$A419,'15c'!$I$7:$I$100,1)+SUMIFS('15d'!$J$7:$J$100,'15d'!$H$7:$H$100,$A419,'15d'!$I$7:$I$100,1)+SUMIFS('15e'!$J$7:$J$100,'15e'!$H$7:$H$100,$A419,'15e'!$I$7:$I$100,1)+SUMIFS('15f'!$J$7:$J$100,'15f'!$H$7:$H$100,$A419,'15f'!$I$7:$I$100,1)+SUMIFS('15g'!$J$7:$J$100,'15g'!$H$7:$H$100,$A419,'15g'!$I$7:$I$100,1)+SUMIFS('15h'!$J$7:$J$100,'15h'!$H$7:$H$100,$A419,'15h'!$I$7:$I$100,1)+SUMIFS('15i'!$J$7:$J$100,'15i'!$H$7:$H$100,$A419,'15i'!$I$7:$I$100,1)+SUMIFS('15j'!$J$7:$J$100,'15j'!$H$7:$H$100,$A419,'15j'!$I$7:$I$100,1)+SUMIFS('15k'!$J$7:$J$100,'15k'!$H$7:$H$100,$A419,'15k'!$I$7:$I$100,1)+SUMIFS('15l'!$J$7:$J$100,'15l'!$H$7:$H$100,$A419,'15l'!$I$7:$I$100,1)+SUMIFS('15m'!$J$7:$J$100,'15m'!$H$7:$H$100,$A419,'15m'!$I$7:$I$100,1)+SUMIFS('15n'!$J$7:$J$100,'15n'!$H$7:$H$100,$A419,'15n'!$I$7:$I$100,1)+SUMIFS('16'!$J$7:$J$100,'16'!$H$7:$H$100,$A419,'16'!$I$7:$I$100,1)+SUMIFS('16a'!$J$7:$J$100,'16a'!$H$7:$H$100,$A419,'16a'!$I$7:$I$100,1)+SUMIFS('17'!$J$7:$J$100,'17'!$H$7:$H$100,$A419,'17'!$I$7:$I$100,1)+SUMIFS('17a'!$J$7:$J$100,'17a'!$H$7:$H$100,$A419,'17a'!$I$7:$I$100,1)+SUMIFS('18'!$J$7:$J$100,'18'!$H$7:$H$100,$A419,'18'!$I$7:$I$100,1)+SUMIFS('18a'!$J$7:$J$100,'18a'!$H$7:$H$100,$A419,'18a'!$I$7:$I$100,1)
+SUMIFS('19'!$J$7:$J$100,'19'!$H$7:$H$100,$A419,'19'!$I$7:$I$100,1)+SUMIFS('20'!$J$7:$J$100,'20'!$H$7:$H$100,$A419,'20'!$I$7:$I$100,1)+SUMIFS('20a'!$J$7:$J$100,'20a'!$H$7:$H$100,$A419,'20a'!$I$7:$I$100,1)+SUMIFS('21'!$J$7:$J$100,'21'!$H$7:$H$100,$A419,'21'!$I$7:$I$100,1)+SUMIFS('22'!$J$7:$J$100,'22'!$H$7:$H$100,$A419,'22'!$I$7:$I$100,1)+SUMIFS('22a'!$J$7:$J$100,'22a'!$H$7:$H$100,$A419,'22a'!$I$7:$I$100,1)+SUMIFS('22b'!$J$7:$J$100,'22b'!$H$7:$H$100,$A419,'22b'!$I$7:$I$100,1)+SUMIFS('23'!$J$7:$J$100,'23'!$H$7:$H$100,$A419,'23'!$I$7:$I$100,1)+SUMIFS('24'!$J$7:$J$100,'24'!$H$7:$H$100,$A419,'24'!$I$7:$I$100,1)+SUMIFS('24a'!$J$7:$J$100,'24a'!$H$7:$H$100,$A419,'24a'!$I$7:$I$100,1)+SUMIFS('24b'!$J$7:$J$100,'24b'!$H$7:$H$100,$A419,'24b'!$I$7:$I$100,1)+SUMIFS('24c'!$J$7:$J$100,'24c'!$H$7:$H$100,$A419,'24c'!$I$7:$I$100,1)+SUMIFS('24d'!$J$7:$J$100,'24d'!$H$7:$H$100,$A419,'24d'!$I$7:$I$100,1)+SUMIFS('24e'!$J$7:$J$100,'24e'!$H$7:$H$100,$A419,'24e'!$I$7:$I$100,1)+SUMIFS('24f'!$J$7:$J$100,'24f'!$H$7:$H$100,$A419,'24f'!$I$7:$I$100,1)+SUMIFS('24g'!$J$7:$J$100,'24g'!$H$7:$H$100,$A419,'24g'!$I$7:$I$100,1)+SUMIFS('24h'!$J$7:$J$100,'24h'!$H$7:$H$100,$A419,'24h'!$I$7:$I$100,1)+SUMIFS('24i'!$J$7:$J$100,'24i'!$H$7:$H$100,$A419,'24i'!$I$7:$I$100,1)+SUMIFS('25'!$J$7:$J$100,'25'!$H$7:$H$100,$A419,'25'!$I$7:$I$100,1)+SUMIFS('26'!$J$7:$J$100,'26'!$H$7:$H$100,$A419,'26'!$I$7:$I$100,1)+SUMIFS('26a'!$J$7:$J$100,'26a'!$H$7:$H$100,$A419,'26a'!$I$7:$I$100,1)+SUMIFS('27'!$J$7:$J$100,'27'!$H$7:$H$100,$A419,'27'!$I$7:$I$100,1)+SUMIFS('27a'!$J$7:$J$100,'27a'!$H$7:$H$100,$A419,'27a'!$I$7:$I$100,1)+SUMIFS('28'!$J$7:$J$100,'28'!$H$7:$H$100,$A419,'28'!$I$7:$I$100,1)+SUMIFS('29'!$J$7:$J$100,'29'!$H$7:$H$100,$A419,'29'!$I$7:$I$100,1)</f>
        <v>0</v>
      </c>
      <c r="H420" s="1315">
        <f>SUMIFS('12'!$J$7:$J$100,'12'!$H$7:$H$100,$A419,'12'!$I$7:$I$100,2)+SUMIFS('13'!$J$7:$J$100,'13'!$H$7:$H$100,$A419,'13'!$I$7:$I$100,2)+SUMIFS('14'!$J$7:$J$100,'14'!$H$7:$H$100,$A419,'14'!$I$7:$I$100,2)+SUMIFS('15'!$J$7:$J$100,'15'!$H$7:$H$100,$A419,'15'!$I$7:$I$100,2)+SUMIFS('15a'!$J$7:$J$100,'15a'!$H$7:$H$100,$A419,'15a'!$I$7:$I$100,2)+SUMIFS('15b'!$J$7:$J$100,'15b'!$H$7:$H$100,$A419,'15b'!$I$7:$I$100,2)+SUMIFS('15c'!$J$7:$J$100,'15c'!$H$7:$H$100,$A419,'15c'!$I$7:$I$100,2)+SUMIFS('15d'!$J$7:$J$100,'15d'!$H$7:$H$100,$A419,'15d'!$I$7:$I$100,2)+SUMIFS('15e'!$J$7:$J$100,'15e'!$H$7:$H$100,$A419,'15e'!$I$7:$I$100,2)+SUMIFS('15f'!$J$7:$J$100,'15f'!$H$7:$H$100,$A419,'15f'!$I$7:$I$100,2)+SUMIFS('15g'!$J$7:$J$100,'15g'!$H$7:$H$100,$A419,'15g'!$I$7:$I$100,2)+SUMIFS('15h'!$J$7:$J$100,'15h'!$H$7:$H$100,$A419,'15h'!$I$7:$I$100,2)+SUMIFS('15i'!$J$7:$J$100,'15i'!$H$7:$H$100,$A419,'15i'!$I$7:$I$100,2)+SUMIFS('15j'!$J$7:$J$100,'15j'!$H$7:$H$100,$A419,'15j'!$I$7:$I$100,2)+SUMIFS('15k'!$J$7:$J$100,'15k'!$H$7:$H$100,$A419,'15k'!$I$7:$I$100,2)+SUMIFS('15l'!$J$7:$J$100,'15l'!$H$7:$H$100,$A419,'15l'!$I$7:$I$100,2)+SUMIFS('15m'!$J$7:$J$100,'15m'!$H$7:$H$100,$A419,'15m'!$I$7:$I$100,2)+SUMIFS('15n'!$J$7:$J$100,'15n'!$H$7:$H$100,$A419,'15n'!$I$7:$I$100,2)+SUMIFS('16'!$J$7:$J$100,'16'!$H$7:$H$100,$A419,'16'!$I$7:$I$100,2)+SUMIFS('16a'!$J$7:$J$100,'16a'!$H$7:$H$100,$A419,'16a'!$I$7:$I$100,2)+SUMIFS('17'!$J$7:$J$100,'17'!$H$7:$H$100,$A419,'17'!$I$7:$I$100,2)+SUMIFS('17a'!$J$7:$J$100,'17a'!$H$7:$H$100,$A419,'17a'!$I$7:$I$100,2)+SUMIFS('18'!$J$7:$J$100,'18'!$H$7:$H$100,$A419,'18'!$I$7:$I$100,2)+SUMIFS('18a'!$J$7:$J$100,'18a'!$H$7:$H$100,$A419,'18a'!$I$7:$I$100,2)
+SUMIFS('19'!$J$7:$J$100,'19'!$H$7:$H$100,$A419,'19'!$I$7:$I$100,2)+SUMIFS('20'!$J$7:$J$100,'20'!$H$7:$H$100,$A419,'20'!$I$7:$I$100,2)+SUMIFS('20a'!$J$7:$J$100,'20a'!$H$7:$H$100,$A419,'20a'!$I$7:$I$100,2)+SUMIFS('21'!$J$7:$J$100,'21'!$H$7:$H$100,$A419,'21'!$I$7:$I$100,2)+SUMIFS('22'!$J$7:$J$100,'22'!$H$7:$H$100,$A419,'22'!$I$7:$I$100,2)+SUMIFS('22a'!$J$7:$J$100,'22a'!$H$7:$H$100,$A419,'22a'!$I$7:$I$100,2)+SUMIFS('22b'!$J$7:$J$100,'22b'!$H$7:$H$100,$A419,'22b'!$I$7:$I$100,2)+SUMIFS('23'!$J$7:$J$100,'23'!$H$7:$H$100,$A419,'23'!$I$7:$I$100,2)+SUMIFS('24'!$J$7:$J$100,'24'!$H$7:$H$100,$A419,'24'!$I$7:$I$100,2)+SUMIFS('24a'!$J$7:$J$100,'24a'!$H$7:$H$100,$A419,'24a'!$I$7:$I$100,2)+SUMIFS('24b'!$J$7:$J$100,'24b'!$H$7:$H$100,$A419,'24b'!$I$7:$I$100,2)+SUMIFS('24c'!$J$7:$J$100,'24c'!$H$7:$H$100,$A419,'24c'!$I$7:$I$100,2)+SUMIFS('24d'!$J$7:$J$100,'24d'!$H$7:$H$100,$A419,'24d'!$I$7:$I$100,2)+SUMIFS('24e'!$J$7:$J$100,'24e'!$H$7:$H$100,$A419,'24e'!$I$7:$I$100,2)+SUMIFS('24f'!$J$7:$J$100,'24f'!$H$7:$H$100,$A419,'24f'!$I$7:$I$100,2)+SUMIFS('24g'!$J$7:$J$100,'24g'!$H$7:$H$100,$A419,'24g'!$I$7:$I$100,2)+SUMIFS('24h'!$J$7:$J$100,'24h'!$H$7:$H$100,$A419,'24h'!$I$7:$I$100,2)+SUMIFS('24i'!$J$7:$J$100,'24i'!$H$7:$H$100,$A419,'24i'!$I$7:$I$100,2)+SUMIFS('25'!$J$7:$J$100,'25'!$H$7:$H$100,$A419,'25'!$I$7:$I$100,2)+SUMIFS('26'!$J$7:$J$100,'26'!$H$7:$H$100,$A419,'26'!$I$7:$I$100,2)+SUMIFS('26a'!$J$7:$J$100,'26a'!$H$7:$H$100,$A419,'26a'!$I$7:$I$100,2)+SUMIFS('27'!$J$7:$J$100,'27'!$H$7:$H$100,$A419,'27'!$I$7:$I$100,2)+SUMIFS('27a'!$J$7:$J$100,'27a'!$H$7:$H$100,$A419,'27a'!$I$7:$I$100,2)+SUMIFS('28'!$J$7:$J$100,'28'!$H$7:$H$100,$A419,'28'!$I$7:$I$100,2)+SUMIFS('29'!$J$7:$J$100,'29'!$H$7:$H$100,$A419,'29'!$I$7:$I$100,2)</f>
        <v>0</v>
      </c>
      <c r="I420" s="1315">
        <f>SUMIFS('12'!$J$7:$J$100,'12'!$H$7:$H$100,$A419,'12'!$I$7:$I$100,"")+SUMIFS('13'!$J$7:$J$100,'13'!$H$7:$H$100,$A419,'13'!$I$7:$I$100,"")+SUMIFS('14'!$J$7:$J$100,'14'!$H$7:$H$100,$A419,'14'!$I$7:$I$100,"")+SUMIFS('15'!$J$7:$J$100,'15'!$H$7:$H$100,$A419,'15'!$I$7:$I$100,"")+SUMIFS('15a'!$J$7:$J$100,'15a'!$H$7:$H$100,$A419,'15a'!$I$7:$I$100,"")+SUMIFS('15b'!$J$7:$J$100,'15b'!$H$7:$H$100,$A419,'15b'!$I$7:$I$100,"")+SUMIFS('15c'!$J$7:$J$100,'15c'!$H$7:$H$100,$A419,'15c'!$I$7:$I$100,"")+SUMIFS('15d'!$J$7:$J$100,'15d'!$H$7:$H$100,$A419,'15d'!$I$7:$I$100,"")+SUMIFS('15e'!$J$7:$J$100,'15e'!$H$7:$H$100,$A419,'15e'!$I$7:$I$100,"")+SUMIFS('15f'!$J$7:$J$100,'15f'!$H$7:$H$100,$A419,'15f'!$I$7:$I$100,"")+SUMIFS('15g'!$J$7:$J$100,'15g'!$H$7:$H$100,$A419,'15g'!$I$7:$I$100,"")+SUMIFS('15h'!$J$7:$J$100,'15h'!$H$7:$H$100,$A419,'15h'!$I$7:$I$100,"")+SUMIFS('15i'!$J$7:$J$100,'15i'!$H$7:$H$100,$A419,'15i'!$I$7:$I$100,"")+SUMIFS('15j'!$J$7:$J$100,'15j'!$H$7:$H$100,$A419,'15j'!$I$7:$I$100,"")+SUMIFS('15k'!$J$7:$J$100,'15k'!$H$7:$H$100,$A419,'15k'!$I$7:$I$100,"")+SUMIFS('15l'!$J$7:$J$100,'15l'!$H$7:$H$100,$A419,'15l'!$I$7:$I$100,"")+SUMIFS('15m'!$J$7:$J$100,'15m'!$H$7:$H$100,$A419,'15m'!$I$7:$I$100,"")+SUMIFS('15n'!$J$7:$J$100,'15n'!$H$7:$H$100,$A419,'15n'!$I$7:$I$100,"")+SUMIFS('16'!$J$7:$J$100,'16'!$H$7:$H$100,$A419,'16'!$I$7:$I$100,"")+SUMIFS('16a'!$J$7:$J$100,'16a'!$H$7:$H$100,$A419,'16a'!$I$7:$I$100,"")+SUMIFS('17'!$J$7:$J$100,'17'!$H$7:$H$100,$A419,'17'!$I$7:$I$100,"")+SUMIFS('17a'!$J$7:$J$100,'17a'!$H$7:$H$100,$A419,'17a'!$I$7:$I$100,"")+SUMIFS('18'!$J$7:$J$100,'18'!$H$7:$H$100,$A419,'18'!$I$7:$I$100,"")+SUMIFS('18a'!$J$7:$J$100,'18a'!$H$7:$H$100,$A419,'18a'!$I$7:$I$100,"")
+SUMIFS('19'!$J$7:$J$100,'19'!$H$7:$H$100,$A419,'19'!$I$7:$I$100,"")+SUMIFS('20'!$J$7:$J$100,'20'!$H$7:$H$100,$A419,'20'!$I$7:$I$100,"")+SUMIFS('20a'!$J$7:$J$100,'20a'!$H$7:$H$100,$A419,'20a'!$I$7:$I$100,"")+SUMIFS('21'!$J$7:$J$100,'21'!$H$7:$H$100,$A419,'21'!$I$7:$I$100,"")+SUMIFS('22'!$J$7:$J$100,'22'!$H$7:$H$100,$A419,'22'!$I$7:$I$100,"")+SUMIFS('22a'!$J$7:$J$100,'22a'!$H$7:$H$100,$A419,'22a'!$I$7:$I$100,"")+SUMIFS('22b'!$J$7:$J$100,'22b'!$H$7:$H$100,$A419,'22b'!$I$7:$I$100,"")+SUMIFS('23'!$J$7:$J$100,'23'!$H$7:$H$100,$A419,'23'!$I$7:$I$100,"")+SUMIFS('24'!$J$7:$J$100,'24'!$H$7:$H$100,$A419,'24'!$I$7:$I$100,"")+SUMIFS('24a'!$J$7:$J$100,'24a'!$H$7:$H$100,$A419,'24a'!$I$7:$I$100,"")+SUMIFS('24b'!$J$7:$J$100,'24b'!$H$7:$H$100,$A419,'24b'!$I$7:$I$100,"")+SUMIFS('24c'!$J$7:$J$100,'24c'!$H$7:$H$100,$A419,'24c'!$I$7:$I$100,"")+SUMIFS('24d'!$J$7:$J$100,'24d'!$H$7:$H$100,$A419,'24d'!$I$7:$I$100,"")+SUMIFS('24e'!$J$7:$J$100,'24e'!$H$7:$H$100,$A419,'24e'!$I$7:$I$100,"")+SUMIFS('24f'!$J$7:$J$100,'24f'!$H$7:$H$100,$A419,'24f'!$I$7:$I$100,"")+SUMIFS('24g'!$J$7:$J$100,'24g'!$H$7:$H$100,$A419,'24g'!$I$7:$I$100,"")+SUMIFS('24h'!$J$7:$J$100,'24h'!$H$7:$H$100,$A419,'24h'!$I$7:$I$100,"")+SUMIFS('24i'!$J$7:$J$100,'24i'!$H$7:$H$100,$A419,'24i'!$I$7:$I$100,"")+SUMIFS('25'!$J$7:$J$100,'25'!$H$7:$H$100,$A419,'25'!$I$7:$I$100,"")+SUMIFS('26'!$J$7:$J$100,'26'!$H$7:$H$100,$A419,'26'!$I$7:$I$100,"")+SUMIFS('26a'!$J$7:$J$100,'26a'!$H$7:$H$100,$A419,'26a'!$I$7:$I$100,"")+SUMIFS('27'!$J$7:$J$100,'27'!$H$7:$H$100,$A419,'27'!$I$7:$I$100,"")+SUMIFS('27a'!$J$7:$J$100,'27a'!$H$7:$H$100,$A419,'27a'!$I$7:$I$100,"")+SUMIFS('28'!$J$7:$J$100,'28'!$H$7:$H$100,$A419,'28'!$I$7:$I$100,"")+SUMIFS('29'!$J$7:$J$100,'29'!$H$7:$H$100,$A419,'29'!$I$7:$I$100,"")</f>
        <v>0</v>
      </c>
      <c r="J420" s="1296">
        <f>SUM(G420:I420)</f>
        <v>0</v>
      </c>
      <c r="K420"/>
      <c r="L420"/>
      <c r="M420"/>
      <c r="N420"/>
      <c r="O420"/>
      <c r="P420"/>
      <c r="Q420"/>
      <c r="R420"/>
      <c r="S420" s="1307">
        <f t="shared" si="71"/>
        <v>0</v>
      </c>
      <c r="T420"/>
    </row>
    <row r="421" spans="1:20" x14ac:dyDescent="0.2">
      <c r="A421"/>
      <c r="B421" s="1289" t="str">
        <f>"Total- "&amp;A410</f>
        <v>Total- Debt Service</v>
      </c>
      <c r="C421" s="1297">
        <f t="shared" ref="C421:J421" si="74">SUM(C411:C417)</f>
        <v>0</v>
      </c>
      <c r="D421" s="1290">
        <f t="shared" si="74"/>
        <v>0</v>
      </c>
      <c r="E421" s="1290">
        <f t="shared" si="74"/>
        <v>0</v>
      </c>
      <c r="F421" s="1298">
        <f t="shared" si="74"/>
        <v>0</v>
      </c>
      <c r="G421" s="1297">
        <f t="shared" si="74"/>
        <v>0</v>
      </c>
      <c r="H421" s="1290">
        <f t="shared" si="74"/>
        <v>0</v>
      </c>
      <c r="I421" s="1290">
        <f t="shared" si="74"/>
        <v>0</v>
      </c>
      <c r="J421" s="1298">
        <f t="shared" si="74"/>
        <v>0</v>
      </c>
      <c r="K421"/>
      <c r="L421"/>
      <c r="M421"/>
      <c r="N421"/>
      <c r="O421"/>
      <c r="P421"/>
      <c r="Q421"/>
      <c r="R421"/>
      <c r="S421" s="1307"/>
      <c r="T421"/>
    </row>
    <row r="422" spans="1:20" x14ac:dyDescent="0.2">
      <c r="A422"/>
      <c r="B422"/>
      <c r="C422" s="292"/>
      <c r="D422"/>
      <c r="E422"/>
      <c r="F422" s="345"/>
      <c r="G422" s="292"/>
      <c r="H422"/>
      <c r="I422"/>
      <c r="J422" s="345"/>
      <c r="K422"/>
      <c r="L422"/>
      <c r="M422"/>
      <c r="N422"/>
      <c r="O422"/>
      <c r="P422"/>
      <c r="Q422"/>
      <c r="R422"/>
      <c r="S422" s="1307"/>
      <c r="T422"/>
    </row>
    <row r="423" spans="1:20" x14ac:dyDescent="0.2">
      <c r="A423" s="106" t="s">
        <v>5453</v>
      </c>
      <c r="B423" s="5"/>
      <c r="C423" s="1299"/>
      <c r="D423" s="523"/>
      <c r="E423" s="5"/>
      <c r="F423" s="1322"/>
      <c r="G423" s="1321"/>
      <c r="H423" s="5"/>
      <c r="I423" s="5"/>
      <c r="J423" s="1322"/>
      <c r="K423"/>
      <c r="L423"/>
      <c r="M423"/>
      <c r="N423"/>
      <c r="O423"/>
      <c r="P423"/>
      <c r="Q423"/>
      <c r="R423"/>
      <c r="S423" s="1307"/>
      <c r="T423"/>
    </row>
    <row r="424" spans="1:20" x14ac:dyDescent="0.2">
      <c r="A424" t="s">
        <v>540</v>
      </c>
      <c r="B424" s="784" t="s">
        <v>5591</v>
      </c>
      <c r="C424" s="1295">
        <f>SUMIFS('12'!$N$7:$N$100,'12'!$H$7:$H$100,$A424,'12'!$I$7:$I$100,1)+SUMIFS('13'!$N$7:$N$100,'13'!$H$7:$H$100,$A424,'13'!$I$7:$I$100,1)+SUMIFS('14'!$N$7:$N$100,'14'!$H$7:$H$100,$A424,'14'!$I$7:$I$100,1)+SUMIFS('15'!$N$7:$N$100,'15'!$H$7:$H$100,$A424,'15'!$I$7:$I$100,1)+SUMIFS('15a'!$N$7:$N$100,'15a'!$H$7:$H$100,$A424,'15a'!$I$7:$I$100,1)+SUMIFS('15b'!$N$7:$N$100,'15b'!$H$7:$H$100,$A424,'15b'!$I$7:$I$100,1)+SUMIFS('15c'!$N$7:$N$100,'15c'!$H$7:$H$100,$A424,'15c'!$I$7:$I$100,1)+SUMIFS('15d'!$N$7:$N$100,'15d'!$H$7:$H$100,$A424,'15d'!$I$7:$I$100,1)+SUMIFS('15e'!$N$7:$N$100,'15e'!$H$7:$H$100,$A424,'15e'!$I$7:$I$100,1)+SUMIFS('15f'!$N$7:$N$100,'15f'!$H$7:$H$100,$A424,'15f'!$I$7:$I$100,1)+SUMIFS('15g'!$N$7:$N$100,'15g'!$H$7:$H$100,$A424,'15g'!$I$7:$I$100,1)+SUMIFS('15h'!$N$7:$N$100,'15h'!$H$7:$H$100,$A424,'15h'!$I$7:$I$100,1)+SUMIFS('15i'!$N$7:$N$100,'15i'!$H$7:$H$100,$A424,'15i'!$I$7:$I$100,1)+SUMIFS('15j'!$N$7:$N$100,'15j'!$H$7:$H$100,$A424,'15j'!$I$7:$I$100,1)+SUMIFS('15k'!$N$7:$N$100,'15k'!$H$7:$H$100,$A424,'15k'!$I$7:$I$100,1)+SUMIFS('15l'!$N$7:$N$100,'15l'!$H$7:$H$100,$A424,'15l'!$I$7:$I$100,1)+SUMIFS('15m'!$N$7:$N$100,'15m'!$H$7:$H$100,$A424,'15m'!$I$7:$I$100,1)+SUMIFS('15n'!$N$7:$N$100,'15n'!$H$7:$H$100,$A424,'15n'!$I$7:$I$100,1)+SUMIFS('16'!$N$7:$N$100,'16'!$H$7:$H$100,$A424,'16'!$I$7:$I$100,1)+SUMIFS('16a'!$N$7:$N$100,'16a'!$H$7:$H$100,$A424,'16a'!$I$7:$I$100,1)+SUMIFS('17'!$N$7:$N$100,'17'!$H$7:$H$100,$A424,'17'!$I$7:$I$100,1)+SUMIFS('17a'!$N$7:$N$100,'17a'!$H$7:$H$100,$A424,'17a'!$I$7:$I$100,1)+SUMIFS('18'!$N$7:$N$100,'18'!$H$7:$H$100,$A424,'18'!$I$7:$I$100,1)+SUMIFS('18a'!$N$7:$N$100,'18a'!$H$7:$H$100,$A424,'18a'!$I$7:$I$100,1)
+SUMIFS('19'!$N$7:$N$100,'19'!$H$7:$H$100,$A424,'19'!$I$7:$I$100,1)+SUMIFS('20'!$N$7:$N$100,'20'!$H$7:$H$100,$A424,'20'!$I$7:$I$100,1)+SUMIFS('20a'!$N$7:$N$100,'20a'!$H$7:$H$100,$A424,'20a'!$I$7:$I$100,1)+SUMIFS('21'!$N$7:$N$100,'21'!$H$7:$H$100,$A424,'21'!$I$7:$I$100,1)+SUMIFS('22'!$N$7:$N$100,'22'!$H$7:$H$100,$A424,'22'!$I$7:$I$100,1)+SUMIFS('22a'!$N$7:$N$100,'22a'!$H$7:$H$100,$A424,'22a'!$I$7:$I$100,1)+SUMIFS('22b'!$N$7:$N$100,'22b'!$H$7:$H$100,$A424,'22b'!$I$7:$I$100,1)+SUMIFS('23'!$N$7:$N$100,'23'!$H$7:$H$100,$A424,'23'!$I$7:$I$100,1)+SUMIFS('24'!$N$7:$N$100,'24'!$H$7:$H$100,$A424,'24'!$I$7:$I$100,1)+SUMIFS('24a'!$N$7:$N$100,'24a'!$H$7:$H$100,$A424,'24a'!$I$7:$I$100,1)+SUMIFS('24b'!$N$7:$N$100,'24b'!$H$7:$H$100,$A424,'24b'!$I$7:$I$100,1)+SUMIFS('24c'!$N$7:$N$100,'24c'!$H$7:$H$100,$A424,'24c'!$I$7:$I$100,1)+SUMIFS('24d'!$N$7:$N$100,'24d'!$H$7:$H$100,$A424,'24d'!$I$7:$I$100,1)+SUMIFS('24e'!$N$7:$N$100,'24e'!$H$7:$H$100,$A424,'24e'!$I$7:$I$100,1)+SUMIFS('24f'!$N$7:$N$100,'24f'!$H$7:$H$100,$A424,'24f'!$I$7:$I$100,1)+SUMIFS('24g'!$N$7:$N$100,'24g'!$H$7:$H$100,$A424,'24g'!$I$7:$I$100,1)+SUMIFS('24h'!$N$7:$N$100,'24h'!$H$7:$H$100,$A424,'24h'!$I$7:$I$100,1)+SUMIFS('24i'!$N$7:$N$100,'24i'!$H$7:$H$100,$A424,'24i'!$I$7:$I$100,1)+SUMIFS('25'!$N$7:$N$100,'25'!$H$7:$H$100,$A424,'25'!$I$7:$I$100,1)+SUMIFS('26'!$N$7:$N$100,'26'!$H$7:$H$100,$A424,'26'!$I$7:$I$100,1)+SUMIFS('26a'!$N$7:$N$100,'26a'!$H$7:$H$100,$A424,'26a'!$I$7:$I$100,1)+SUMIFS('27'!$N$7:$N$100,'27'!$H$7:$H$100,$A424,'27'!$I$7:$I$100,1)+SUMIFS('27a'!$N$7:$N$100,'27a'!$H$7:$H$100,$A424,'27a'!$I$7:$I$100,1)+SUMIFS('28'!$N$7:$N$100,'28'!$H$7:$H$100,$A424,'28'!$I$7:$I$100,1)+SUMIFS('29'!$N$7:$N$100,'29'!$H$7:$H$100,$A424,'29'!$I$7:$I$100,1)</f>
        <v>0</v>
      </c>
      <c r="D424" s="1315">
        <f>SUMIFS('12'!$N$7:$N$100,'12'!$H$7:$H$100,$A424,'12'!$I$7:$I$100,2)+SUMIFS('13'!$N$7:$N$100,'13'!$H$7:$H$100,$A424,'13'!$I$7:$I$100,2)+SUMIFS('14'!$N$7:$N$100,'14'!$H$7:$H$100,$A424,'14'!$I$7:$I$100,2)+SUMIFS('15'!$N$7:$N$100,'15'!$H$7:$H$100,$A424,'15'!$I$7:$I$100,2)+SUMIFS('15a'!$N$7:$N$100,'15a'!$H$7:$H$100,$A424,'15a'!$I$7:$I$100,2)+SUMIFS('15b'!$N$7:$N$100,'15b'!$H$7:$H$100,$A424,'15b'!$I$7:$I$100,2)+SUMIFS('15c'!$N$7:$N$100,'15c'!$H$7:$H$100,$A424,'15c'!$I$7:$I$100,2)+SUMIFS('15d'!$N$7:$N$100,'15d'!$H$7:$H$100,$A424,'15d'!$I$7:$I$100,2)+SUMIFS('15e'!$N$7:$N$100,'15e'!$H$7:$H$100,$A424,'15e'!$I$7:$I$100,2)+SUMIFS('15f'!$N$7:$N$100,'15f'!$H$7:$H$100,$A424,'15f'!$I$7:$I$100,2)+SUMIFS('15g'!$N$7:$N$100,'15g'!$H$7:$H$100,$A424,'15g'!$I$7:$I$100,2)+SUMIFS('15h'!$N$7:$N$100,'15h'!$H$7:$H$100,$A424,'15h'!$I$7:$I$100,2)+SUMIFS('15i'!$N$7:$N$100,'15i'!$H$7:$H$100,$A424,'15i'!$I$7:$I$100,2)+SUMIFS('15j'!$N$7:$N$100,'15j'!$H$7:$H$100,$A424,'15j'!$I$7:$I$100,2)+SUMIFS('15k'!$N$7:$N$100,'15k'!$H$7:$H$100,$A424,'15k'!$I$7:$I$100,2)+SUMIFS('15l'!$N$7:$N$100,'15l'!$H$7:$H$100,$A424,'15l'!$I$7:$I$100,2)+SUMIFS('15m'!$N$7:$N$100,'15m'!$H$7:$H$100,$A424,'15m'!$I$7:$I$100,2)+SUMIFS('15n'!$N$7:$N$100,'15n'!$H$7:$H$100,$A424,'15n'!$I$7:$I$100,2)+SUMIFS('16'!$N$7:$N$100,'16'!$H$7:$H$100,$A424,'16'!$I$7:$I$100,2)+SUMIFS('16a'!$N$7:$N$100,'16a'!$H$7:$H$100,$A424,'16a'!$I$7:$I$100,2)+SUMIFS('17'!$N$7:$N$100,'17'!$H$7:$H$100,$A424,'17'!$I$7:$I$100,2)+SUMIFS('17a'!$N$7:$N$100,'17a'!$H$7:$H$100,$A424,'17a'!$I$7:$I$100,2)+SUMIFS('18'!$N$7:$N$100,'18'!$H$7:$H$100,$A424,'18'!$I$7:$I$100,2)+SUMIFS('18a'!$N$7:$N$100,'18a'!$H$7:$H$100,$A424,'18a'!$I$7:$I$100,2)
+SUMIFS('19'!$N$7:$N$100,'19'!$H$7:$H$100,$A424,'19'!$I$7:$I$100,2)+SUMIFS('20'!$N$7:$N$100,'20'!$H$7:$H$100,$A424,'20'!$I$7:$I$100,2)+SUMIFS('20a'!$N$7:$N$100,'20a'!$H$7:$H$100,$A424,'20a'!$I$7:$I$100,2)+SUMIFS('21'!$N$7:$N$100,'21'!$H$7:$H$100,$A424,'21'!$I$7:$I$100,2)+SUMIFS('22'!$N$7:$N$100,'22'!$H$7:$H$100,$A424,'22'!$I$7:$I$100,2)+SUMIFS('22a'!$N$7:$N$100,'22a'!$H$7:$H$100,$A424,'22a'!$I$7:$I$100,2)+SUMIFS('22b'!$N$7:$N$100,'22b'!$H$7:$H$100,$A424,'22b'!$I$7:$I$100,2)+SUMIFS('23'!$N$7:$N$100,'23'!$H$7:$H$100,$A424,'23'!$I$7:$I$100,2)+SUMIFS('24'!$N$7:$N$100,'24'!$H$7:$H$100,$A424,'24'!$I$7:$I$100,2)+SUMIFS('24a'!$N$7:$N$100,'24a'!$H$7:$H$100,$A424,'24a'!$I$7:$I$100,2)+SUMIFS('24b'!$N$7:$N$100,'24b'!$H$7:$H$100,$A424,'24b'!$I$7:$I$100,2)+SUMIFS('24c'!$N$7:$N$100,'24c'!$H$7:$H$100,$A424,'24c'!$I$7:$I$100,2)+SUMIFS('24d'!$N$7:$N$100,'24d'!$H$7:$H$100,$A424,'24d'!$I$7:$I$100,2)+SUMIFS('24e'!$N$7:$N$100,'24e'!$H$7:$H$100,$A424,'24e'!$I$7:$I$100,2)+SUMIFS('24f'!$N$7:$N$100,'24f'!$H$7:$H$100,$A424,'24f'!$I$7:$I$100,2)+SUMIFS('24g'!$N$7:$N$100,'24g'!$H$7:$H$100,$A424,'24g'!$I$7:$I$100,2)+SUMIFS('24h'!$N$7:$N$100,'24h'!$H$7:$H$100,$A424,'24h'!$I$7:$I$100,2)+SUMIFS('24i'!$N$7:$N$100,'24i'!$H$7:$H$100,$A424,'24i'!$I$7:$I$100,2)+SUMIFS('25'!$N$7:$N$100,'25'!$H$7:$H$100,$A424,'25'!$I$7:$I$100,2)+SUMIFS('26'!$N$7:$N$100,'26'!$H$7:$H$100,$A424,'26'!$I$7:$I$100,2)+SUMIFS('26a'!$N$7:$N$100,'26a'!$H$7:$H$100,$A424,'26a'!$I$7:$I$100,2)+SUMIFS('27'!$N$7:$N$100,'27'!$H$7:$H$100,$A424,'27'!$I$7:$I$100,2)+SUMIFS('27a'!$N$7:$N$100,'27a'!$H$7:$H$100,$A424,'27a'!$I$7:$I$100,2)+SUMIFS('28'!$N$7:$N$100,'28'!$H$7:$H$100,$A424,'28'!$I$7:$I$100,2)+SUMIFS('29'!$N$7:$N$100,'29'!$H$7:$H$100,$A424,'29'!$I$7:$I$100,2)</f>
        <v>0</v>
      </c>
      <c r="E424" s="1315">
        <f>SUMIFS('12'!$N$7:$N$100,'12'!$H$7:$H$100,$A424,'12'!$I$7:$I$100,"")+SUMIFS('13'!$N$7:$N$100,'13'!$H$7:$H$100,$A424,'13'!$I$7:$I$100,"")+SUMIFS('14'!$N$7:$N$100,'14'!$H$7:$H$100,$A424,'14'!$I$7:$I$100,"")+SUMIFS('15'!$N$7:$N$100,'15'!$H$7:$H$100,$A424,'15'!$I$7:$I$100,"")+SUMIFS('15a'!$N$7:$N$100,'15a'!$H$7:$H$100,$A424,'15a'!$I$7:$I$100,"")+SUMIFS('15b'!$N$7:$N$100,'15b'!$H$7:$H$100,$A424,'15b'!$I$7:$I$100,"")+SUMIFS('15c'!$N$7:$N$100,'15c'!$H$7:$H$100,$A424,'15c'!$I$7:$I$100,"")+SUMIFS('15d'!$N$7:$N$100,'15d'!$H$7:$H$100,$A424,'15d'!$I$7:$I$100,"")+SUMIFS('15e'!$N$7:$N$100,'15e'!$H$7:$H$100,$A424,'15e'!$I$7:$I$100,"")+SUMIFS('15f'!$N$7:$N$100,'15f'!$H$7:$H$100,$A424,'15f'!$I$7:$I$100,"")+SUMIFS('15g'!$N$7:$N$100,'15g'!$H$7:$H$100,$A424,'15g'!$I$7:$I$100,"")+SUMIFS('15h'!$N$7:$N$100,'15h'!$H$7:$H$100,$A424,'15h'!$I$7:$I$100,"")+SUMIFS('15i'!$N$7:$N$100,'15i'!$H$7:$H$100,$A424,'15i'!$I$7:$I$100,"")+SUMIFS('15j'!$N$7:$N$100,'15j'!$H$7:$H$100,$A424,'15j'!$I$7:$I$100,"")+SUMIFS('15k'!$N$7:$N$100,'15k'!$H$7:$H$100,$A424,'15k'!$I$7:$I$100,"")+SUMIFS('15l'!$N$7:$N$100,'15l'!$H$7:$H$100,$A424,'15l'!$I$7:$I$100,"")+SUMIFS('15m'!$N$7:$N$100,'15m'!$H$7:$H$100,$A424,'15m'!$I$7:$I$100,"")+SUMIFS('15n'!$N$7:$N$100,'15n'!$H$7:$H$100,$A424,'15n'!$I$7:$I$100,"")+SUMIFS('16'!$N$7:$N$100,'16'!$H$7:$H$100,$A424,'16'!$I$7:$I$100,"")+SUMIFS('16a'!$N$7:$N$100,'16a'!$H$7:$H$100,$A424,'16a'!$I$7:$I$100,"")+SUMIFS('17'!$N$7:$N$100,'17'!$H$7:$H$100,$A424,'17'!$I$7:$I$100,"")+SUMIFS('17a'!$N$7:$N$100,'17a'!$H$7:$H$100,$A424,'17a'!$I$7:$I$100,"")+SUMIFS('18'!$N$7:$N$100,'18'!$H$7:$H$100,$A424,'18'!$I$7:$I$100,"")+SUMIFS('18a'!$N$7:$N$100,'18a'!$H$7:$H$100,$A424,'18a'!$I$7:$I$100,"")
+SUMIFS('19'!$N$7:$N$100,'19'!$H$7:$H$100,$A424,'19'!$I$7:$I$100,"")+SUMIFS('20'!$N$7:$N$100,'20'!$H$7:$H$100,$A424,'20'!$I$7:$I$100,"")+SUMIFS('20a'!$N$7:$N$100,'20a'!$H$7:$H$100,$A424,'20a'!$I$7:$I$100,"")+SUMIFS('21'!$N$7:$N$100,'21'!$H$7:$H$100,$A424,'21'!$I$7:$I$100,"")+SUMIFS('22'!$N$7:$N$100,'22'!$H$7:$H$100,$A424,'22'!$I$7:$I$100,"")+SUMIFS('22a'!$N$7:$N$100,'22a'!$H$7:$H$100,$A424,'22a'!$I$7:$I$100,"")+SUMIFS('22b'!$N$7:$N$100,'22b'!$H$7:$H$100,$A424,'22b'!$I$7:$I$100,"")+SUMIFS('23'!$N$7:$N$100,'23'!$H$7:$H$100,$A424,'23'!$I$7:$I$100,"")+SUMIFS('24'!$N$7:$N$100,'24'!$H$7:$H$100,$A424,'24'!$I$7:$I$100,"")+SUMIFS('24a'!$N$7:$N$100,'24a'!$H$7:$H$100,$A424,'24a'!$I$7:$I$100,"")+SUMIFS('24b'!$N$7:$N$100,'24b'!$H$7:$H$100,$A424,'24b'!$I$7:$I$100,"")+SUMIFS('24c'!$N$7:$N$100,'24c'!$H$7:$H$100,$A424,'24c'!$I$7:$I$100,"")+SUMIFS('24d'!$N$7:$N$100,'24d'!$H$7:$H$100,$A424,'24d'!$I$7:$I$100,"")+SUMIFS('24e'!$N$7:$N$100,'24e'!$H$7:$H$100,$A424,'24e'!$I$7:$I$100,"")+SUMIFS('24f'!$N$7:$N$100,'24f'!$H$7:$H$100,$A424,'24f'!$I$7:$I$100,"")+SUMIFS('24g'!$N$7:$N$100,'24g'!$H$7:$H$100,$A424,'24g'!$I$7:$I$100,"")+SUMIFS('24h'!$N$7:$N$100,'24h'!$H$7:$H$100,$A424,'24h'!$I$7:$I$100,"")+SUMIFS('24i'!$N$7:$N$100,'24i'!$H$7:$H$100,$A424,'24i'!$I$7:$I$100,"")+SUMIFS('25'!$N$7:$N$100,'25'!$H$7:$H$100,$A424,'25'!$I$7:$I$100,"")+SUMIFS('26'!$N$7:$N$100,'26'!$H$7:$H$100,$A424,'26'!$I$7:$I$100,"")+SUMIFS('26a'!$N$7:$N$100,'26a'!$H$7:$H$100,$A424,'26a'!$I$7:$I$100,"")+SUMIFS('27'!$N$7:$N$100,'27'!$H$7:$H$100,$A424,'27'!$I$7:$I$100,"")+SUMIFS('27a'!$N$7:$N$100,'27a'!$H$7:$H$100,$A424,'27a'!$I$7:$I$100,"")+SUMIFS('28'!$N$7:$N$100,'28'!$H$7:$H$100,$A424,'28'!$I$7:$I$100,"")+SUMIFS('29'!$N$7:$N$100,'29'!$H$7:$H$100,$A424,'29'!$I$7:$I$100,"")</f>
        <v>0</v>
      </c>
      <c r="F424" s="1296">
        <f>SUM(C424:E424)</f>
        <v>0</v>
      </c>
      <c r="G424" s="1295">
        <f>SUMIFS('12'!$J$7:$J$100,'12'!$H$7:$H$100,$A424,'12'!$I$7:$I$100,1)+SUMIFS('13'!$J$7:$J$100,'13'!$H$7:$H$100,$A424,'13'!$I$7:$I$100,1)+SUMIFS('14'!$J$7:$J$100,'14'!$H$7:$H$100,$A424,'14'!$I$7:$I$100,1)+SUMIFS('15'!$J$7:$J$100,'15'!$H$7:$H$100,$A424,'15'!$I$7:$I$100,1)+SUMIFS('15a'!$J$7:$J$100,'15a'!$H$7:$H$100,$A424,'15a'!$I$7:$I$100,1)+SUMIFS('15b'!$J$7:$J$100,'15b'!$H$7:$H$100,$A424,'15b'!$I$7:$I$100,1)+SUMIFS('15c'!$J$7:$J$100,'15c'!$H$7:$H$100,$A424,'15c'!$I$7:$I$100,1)+SUMIFS('15d'!$J$7:$J$100,'15d'!$H$7:$H$100,$A424,'15d'!$I$7:$I$100,1)+SUMIFS('15e'!$J$7:$J$100,'15e'!$H$7:$H$100,$A424,'15e'!$I$7:$I$100,1)+SUMIFS('15f'!$J$7:$J$100,'15f'!$H$7:$H$100,$A424,'15f'!$I$7:$I$100,1)+SUMIFS('15g'!$J$7:$J$100,'15g'!$H$7:$H$100,$A424,'15g'!$I$7:$I$100,1)+SUMIFS('15h'!$J$7:$J$100,'15h'!$H$7:$H$100,$A424,'15h'!$I$7:$I$100,1)+SUMIFS('15i'!$J$7:$J$100,'15i'!$H$7:$H$100,$A424,'15i'!$I$7:$I$100,1)+SUMIFS('15j'!$J$7:$J$100,'15j'!$H$7:$H$100,$A424,'15j'!$I$7:$I$100,1)+SUMIFS('15k'!$J$7:$J$100,'15k'!$H$7:$H$100,$A424,'15k'!$I$7:$I$100,1)+SUMIFS('15l'!$J$7:$J$100,'15l'!$H$7:$H$100,$A424,'15l'!$I$7:$I$100,1)+SUMIFS('15m'!$J$7:$J$100,'15m'!$H$7:$H$100,$A424,'15m'!$I$7:$I$100,1)+SUMIFS('15n'!$J$7:$J$100,'15n'!$H$7:$H$100,$A424,'15n'!$I$7:$I$100,1)+SUMIFS('16'!$J$7:$J$100,'16'!$H$7:$H$100,$A424,'16'!$I$7:$I$100,1)+SUMIFS('16a'!$J$7:$J$100,'16a'!$H$7:$H$100,$A424,'16a'!$I$7:$I$100,1)+SUMIFS('17'!$J$7:$J$100,'17'!$H$7:$H$100,$A424,'17'!$I$7:$I$100,1)+SUMIFS('17a'!$J$7:$J$100,'17a'!$H$7:$H$100,$A424,'17a'!$I$7:$I$100,1)+SUMIFS('18'!$J$7:$J$100,'18'!$H$7:$H$100,$A424,'18'!$I$7:$I$100,1)+SUMIFS('18a'!$J$7:$J$100,'18a'!$H$7:$H$100,$A424,'18a'!$I$7:$I$100,1)
+SUMIFS('19'!$J$7:$J$100,'19'!$H$7:$H$100,$A424,'19'!$I$7:$I$100,1)+SUMIFS('20'!$J$7:$J$100,'20'!$H$7:$H$100,$A424,'20'!$I$7:$I$100,1)+SUMIFS('20a'!$J$7:$J$100,'20a'!$H$7:$H$100,$A424,'20a'!$I$7:$I$100,1)+SUMIFS('21'!$J$7:$J$100,'21'!$H$7:$H$100,$A424,'21'!$I$7:$I$100,1)+SUMIFS('22'!$J$7:$J$100,'22'!$H$7:$H$100,$A424,'22'!$I$7:$I$100,1)+SUMIFS('22a'!$J$7:$J$100,'22a'!$H$7:$H$100,$A424,'22a'!$I$7:$I$100,1)+SUMIFS('22b'!$J$7:$J$100,'22b'!$H$7:$H$100,$A424,'22b'!$I$7:$I$100,1)+SUMIFS('23'!$J$7:$J$100,'23'!$H$7:$H$100,$A424,'23'!$I$7:$I$100,1)+SUMIFS('24'!$J$7:$J$100,'24'!$H$7:$H$100,$A424,'24'!$I$7:$I$100,1)+SUMIFS('24a'!$J$7:$J$100,'24a'!$H$7:$H$100,$A424,'24a'!$I$7:$I$100,1)+SUMIFS('24b'!$J$7:$J$100,'24b'!$H$7:$H$100,$A424,'24b'!$I$7:$I$100,1)+SUMIFS('24c'!$J$7:$J$100,'24c'!$H$7:$H$100,$A424,'24c'!$I$7:$I$100,1)+SUMIFS('24d'!$J$7:$J$100,'24d'!$H$7:$H$100,$A424,'24d'!$I$7:$I$100,1)+SUMIFS('24e'!$J$7:$J$100,'24e'!$H$7:$H$100,$A424,'24e'!$I$7:$I$100,1)+SUMIFS('24f'!$J$7:$J$100,'24f'!$H$7:$H$100,$A424,'24f'!$I$7:$I$100,1)+SUMIFS('24g'!$J$7:$J$100,'24g'!$H$7:$H$100,$A424,'24g'!$I$7:$I$100,1)+SUMIFS('24h'!$J$7:$J$100,'24h'!$H$7:$H$100,$A424,'24h'!$I$7:$I$100,1)+SUMIFS('24i'!$J$7:$J$100,'24i'!$H$7:$H$100,$A424,'24i'!$I$7:$I$100,1)+SUMIFS('25'!$J$7:$J$100,'25'!$H$7:$H$100,$A424,'25'!$I$7:$I$100,1)+SUMIFS('26'!$J$7:$J$100,'26'!$H$7:$H$100,$A424,'26'!$I$7:$I$100,1)+SUMIFS('26a'!$J$7:$J$100,'26a'!$H$7:$H$100,$A424,'26a'!$I$7:$I$100,1)+SUMIFS('27'!$J$7:$J$100,'27'!$H$7:$H$100,$A424,'27'!$I$7:$I$100,1)+SUMIFS('27a'!$J$7:$J$100,'27a'!$H$7:$H$100,$A424,'27a'!$I$7:$I$100,1)+SUMIFS('28'!$J$7:$J$100,'28'!$H$7:$H$100,$A424,'28'!$I$7:$I$100,1)+SUMIFS('29'!$J$7:$J$100,'29'!$H$7:$H$100,$A424,'29'!$I$7:$I$100,1)</f>
        <v>0</v>
      </c>
      <c r="H424" s="1315">
        <f>SUMIFS('12'!$J$7:$J$100,'12'!$H$7:$H$100,$A424,'12'!$I$7:$I$100,2)+SUMIFS('13'!$J$7:$J$100,'13'!$H$7:$H$100,$A424,'13'!$I$7:$I$100,2)+SUMIFS('14'!$J$7:$J$100,'14'!$H$7:$H$100,$A424,'14'!$I$7:$I$100,2)+SUMIFS('15'!$J$7:$J$100,'15'!$H$7:$H$100,$A424,'15'!$I$7:$I$100,2)+SUMIFS('15a'!$J$7:$J$100,'15a'!$H$7:$H$100,$A424,'15a'!$I$7:$I$100,2)+SUMIFS('15b'!$J$7:$J$100,'15b'!$H$7:$H$100,$A424,'15b'!$I$7:$I$100,2)+SUMIFS('15c'!$J$7:$J$100,'15c'!$H$7:$H$100,$A424,'15c'!$I$7:$I$100,2)+SUMIFS('15d'!$J$7:$J$100,'15d'!$H$7:$H$100,$A424,'15d'!$I$7:$I$100,2)+SUMIFS('15e'!$J$7:$J$100,'15e'!$H$7:$H$100,$A424,'15e'!$I$7:$I$100,2)+SUMIFS('15f'!$J$7:$J$100,'15f'!$H$7:$H$100,$A424,'15f'!$I$7:$I$100,2)+SUMIFS('15g'!$J$7:$J$100,'15g'!$H$7:$H$100,$A424,'15g'!$I$7:$I$100,2)+SUMIFS('15h'!$J$7:$J$100,'15h'!$H$7:$H$100,$A424,'15h'!$I$7:$I$100,2)+SUMIFS('15i'!$J$7:$J$100,'15i'!$H$7:$H$100,$A424,'15i'!$I$7:$I$100,2)+SUMIFS('15j'!$J$7:$J$100,'15j'!$H$7:$H$100,$A424,'15j'!$I$7:$I$100,2)+SUMIFS('15k'!$J$7:$J$100,'15k'!$H$7:$H$100,$A424,'15k'!$I$7:$I$100,2)+SUMIFS('15l'!$J$7:$J$100,'15l'!$H$7:$H$100,$A424,'15l'!$I$7:$I$100,2)+SUMIFS('15m'!$J$7:$J$100,'15m'!$H$7:$H$100,$A424,'15m'!$I$7:$I$100,2)+SUMIFS('15n'!$J$7:$J$100,'15n'!$H$7:$H$100,$A424,'15n'!$I$7:$I$100,2)+SUMIFS('16'!$J$7:$J$100,'16'!$H$7:$H$100,$A424,'16'!$I$7:$I$100,2)+SUMIFS('16a'!$J$7:$J$100,'16a'!$H$7:$H$100,$A424,'16a'!$I$7:$I$100,2)+SUMIFS('17'!$J$7:$J$100,'17'!$H$7:$H$100,$A424,'17'!$I$7:$I$100,2)+SUMIFS('17a'!$J$7:$J$100,'17a'!$H$7:$H$100,$A424,'17a'!$I$7:$I$100,2)+SUMIFS('18'!$J$7:$J$100,'18'!$H$7:$H$100,$A424,'18'!$I$7:$I$100,2)+SUMIFS('18a'!$J$7:$J$100,'18a'!$H$7:$H$100,$A424,'18a'!$I$7:$I$100,2)
+SUMIFS('19'!$J$7:$J$100,'19'!$H$7:$H$100,$A424,'19'!$I$7:$I$100,2)+SUMIFS('20'!$J$7:$J$100,'20'!$H$7:$H$100,$A424,'20'!$I$7:$I$100,2)+SUMIFS('20a'!$J$7:$J$100,'20a'!$H$7:$H$100,$A424,'20a'!$I$7:$I$100,2)+SUMIFS('21'!$J$7:$J$100,'21'!$H$7:$H$100,$A424,'21'!$I$7:$I$100,2)+SUMIFS('22'!$J$7:$J$100,'22'!$H$7:$H$100,$A424,'22'!$I$7:$I$100,2)+SUMIFS('22a'!$J$7:$J$100,'22a'!$H$7:$H$100,$A424,'22a'!$I$7:$I$100,2)+SUMIFS('22b'!$J$7:$J$100,'22b'!$H$7:$H$100,$A424,'22b'!$I$7:$I$100,2)+SUMIFS('23'!$J$7:$J$100,'23'!$H$7:$H$100,$A424,'23'!$I$7:$I$100,2)+SUMIFS('24'!$J$7:$J$100,'24'!$H$7:$H$100,$A424,'24'!$I$7:$I$100,2)+SUMIFS('24a'!$J$7:$J$100,'24a'!$H$7:$H$100,$A424,'24a'!$I$7:$I$100,2)+SUMIFS('24b'!$J$7:$J$100,'24b'!$H$7:$H$100,$A424,'24b'!$I$7:$I$100,2)+SUMIFS('24c'!$J$7:$J$100,'24c'!$H$7:$H$100,$A424,'24c'!$I$7:$I$100,2)+SUMIFS('24d'!$J$7:$J$100,'24d'!$H$7:$H$100,$A424,'24d'!$I$7:$I$100,2)+SUMIFS('24e'!$J$7:$J$100,'24e'!$H$7:$H$100,$A424,'24e'!$I$7:$I$100,2)+SUMIFS('24f'!$J$7:$J$100,'24f'!$H$7:$H$100,$A424,'24f'!$I$7:$I$100,2)+SUMIFS('24g'!$J$7:$J$100,'24g'!$H$7:$H$100,$A424,'24g'!$I$7:$I$100,2)+SUMIFS('24h'!$J$7:$J$100,'24h'!$H$7:$H$100,$A424,'24h'!$I$7:$I$100,2)+SUMIFS('24i'!$J$7:$J$100,'24i'!$H$7:$H$100,$A424,'24i'!$I$7:$I$100,2)+SUMIFS('25'!$J$7:$J$100,'25'!$H$7:$H$100,$A424,'25'!$I$7:$I$100,2)+SUMIFS('26'!$J$7:$J$100,'26'!$H$7:$H$100,$A424,'26'!$I$7:$I$100,2)+SUMIFS('26a'!$J$7:$J$100,'26a'!$H$7:$H$100,$A424,'26a'!$I$7:$I$100,2)+SUMIFS('27'!$J$7:$J$100,'27'!$H$7:$H$100,$A424,'27'!$I$7:$I$100,2)+SUMIFS('27a'!$J$7:$J$100,'27a'!$H$7:$H$100,$A424,'27a'!$I$7:$I$100,2)+SUMIFS('28'!$J$7:$J$100,'28'!$H$7:$H$100,$A424,'28'!$I$7:$I$100,2)+SUMIFS('29'!$J$7:$J$100,'29'!$H$7:$H$100,$A424,'29'!$I$7:$I$100,2)</f>
        <v>0</v>
      </c>
      <c r="I424" s="1315">
        <f>SUMIFS('12'!$J$7:$J$100,'12'!$H$7:$H$100,$A424,'12'!$I$7:$I$100,"")+SUMIFS('13'!$J$7:$J$100,'13'!$H$7:$H$100,$A424,'13'!$I$7:$I$100,"")+SUMIFS('14'!$J$7:$J$100,'14'!$H$7:$H$100,$A424,'14'!$I$7:$I$100,"")+SUMIFS('15'!$J$7:$J$100,'15'!$H$7:$H$100,$A424,'15'!$I$7:$I$100,"")+SUMIFS('15a'!$J$7:$J$100,'15a'!$H$7:$H$100,$A424,'15a'!$I$7:$I$100,"")+SUMIFS('15b'!$J$7:$J$100,'15b'!$H$7:$H$100,$A424,'15b'!$I$7:$I$100,"")+SUMIFS('15c'!$J$7:$J$100,'15c'!$H$7:$H$100,$A424,'15c'!$I$7:$I$100,"")+SUMIFS('15d'!$J$7:$J$100,'15d'!$H$7:$H$100,$A424,'15d'!$I$7:$I$100,"")+SUMIFS('15e'!$J$7:$J$100,'15e'!$H$7:$H$100,$A424,'15e'!$I$7:$I$100,"")+SUMIFS('15f'!$J$7:$J$100,'15f'!$H$7:$H$100,$A424,'15f'!$I$7:$I$100,"")+SUMIFS('15g'!$J$7:$J$100,'15g'!$H$7:$H$100,$A424,'15g'!$I$7:$I$100,"")+SUMIFS('15h'!$J$7:$J$100,'15h'!$H$7:$H$100,$A424,'15h'!$I$7:$I$100,"")+SUMIFS('15i'!$J$7:$J$100,'15i'!$H$7:$H$100,$A424,'15i'!$I$7:$I$100,"")+SUMIFS('15j'!$J$7:$J$100,'15j'!$H$7:$H$100,$A424,'15j'!$I$7:$I$100,"")+SUMIFS('15k'!$J$7:$J$100,'15k'!$H$7:$H$100,$A424,'15k'!$I$7:$I$100,"")+SUMIFS('15l'!$J$7:$J$100,'15l'!$H$7:$H$100,$A424,'15l'!$I$7:$I$100,"")+SUMIFS('15m'!$J$7:$J$100,'15m'!$H$7:$H$100,$A424,'15m'!$I$7:$I$100,"")+SUMIFS('15n'!$J$7:$J$100,'15n'!$H$7:$H$100,$A424,'15n'!$I$7:$I$100,"")+SUMIFS('16'!$J$7:$J$100,'16'!$H$7:$H$100,$A424,'16'!$I$7:$I$100,"")+SUMIFS('16a'!$J$7:$J$100,'16a'!$H$7:$H$100,$A424,'16a'!$I$7:$I$100,"")+SUMIFS('17'!$J$7:$J$100,'17'!$H$7:$H$100,$A424,'17'!$I$7:$I$100,"")+SUMIFS('17a'!$J$7:$J$100,'17a'!$H$7:$H$100,$A424,'17a'!$I$7:$I$100,"")+SUMIFS('18'!$J$7:$J$100,'18'!$H$7:$H$100,$A424,'18'!$I$7:$I$100,"")+SUMIFS('18a'!$J$7:$J$100,'18a'!$H$7:$H$100,$A424,'18a'!$I$7:$I$100,"")
+SUMIFS('19'!$J$7:$J$100,'19'!$H$7:$H$100,$A424,'19'!$I$7:$I$100,"")+SUMIFS('20'!$J$7:$J$100,'20'!$H$7:$H$100,$A424,'20'!$I$7:$I$100,"")+SUMIFS('20a'!$J$7:$J$100,'20a'!$H$7:$H$100,$A424,'20a'!$I$7:$I$100,"")+SUMIFS('21'!$J$7:$J$100,'21'!$H$7:$H$100,$A424,'21'!$I$7:$I$100,"")+SUMIFS('22'!$J$7:$J$100,'22'!$H$7:$H$100,$A424,'22'!$I$7:$I$100,"")+SUMIFS('22a'!$J$7:$J$100,'22a'!$H$7:$H$100,$A424,'22a'!$I$7:$I$100,"")+SUMIFS('22b'!$J$7:$J$100,'22b'!$H$7:$H$100,$A424,'22b'!$I$7:$I$100,"")+SUMIFS('23'!$J$7:$J$100,'23'!$H$7:$H$100,$A424,'23'!$I$7:$I$100,"")+SUMIFS('24'!$J$7:$J$100,'24'!$H$7:$H$100,$A424,'24'!$I$7:$I$100,"")+SUMIFS('24a'!$J$7:$J$100,'24a'!$H$7:$H$100,$A424,'24a'!$I$7:$I$100,"")+SUMIFS('24b'!$J$7:$J$100,'24b'!$H$7:$H$100,$A424,'24b'!$I$7:$I$100,"")+SUMIFS('24c'!$J$7:$J$100,'24c'!$H$7:$H$100,$A424,'24c'!$I$7:$I$100,"")+SUMIFS('24d'!$J$7:$J$100,'24d'!$H$7:$H$100,$A424,'24d'!$I$7:$I$100,"")+SUMIFS('24e'!$J$7:$J$100,'24e'!$H$7:$H$100,$A424,'24e'!$I$7:$I$100,"")+SUMIFS('24f'!$J$7:$J$100,'24f'!$H$7:$H$100,$A424,'24f'!$I$7:$I$100,"")+SUMIFS('24g'!$J$7:$J$100,'24g'!$H$7:$H$100,$A424,'24g'!$I$7:$I$100,"")+SUMIFS('24h'!$J$7:$J$100,'24h'!$H$7:$H$100,$A424,'24h'!$I$7:$I$100,"")+SUMIFS('24i'!$J$7:$J$100,'24i'!$H$7:$H$100,$A424,'24i'!$I$7:$I$100,"")+SUMIFS('25'!$J$7:$J$100,'25'!$H$7:$H$100,$A424,'25'!$I$7:$I$100,"")+SUMIFS('26'!$J$7:$J$100,'26'!$H$7:$H$100,$A424,'26'!$I$7:$I$100,"")+SUMIFS('26a'!$J$7:$J$100,'26a'!$H$7:$H$100,$A424,'26a'!$I$7:$I$100,"")+SUMIFS('27'!$J$7:$J$100,'27'!$H$7:$H$100,$A424,'27'!$I$7:$I$100,"")+SUMIFS('27a'!$J$7:$J$100,'27a'!$H$7:$H$100,$A424,'27a'!$I$7:$I$100,"")+SUMIFS('28'!$J$7:$J$100,'28'!$H$7:$H$100,$A424,'28'!$I$7:$I$100,"")+SUMIFS('29'!$J$7:$J$100,'29'!$H$7:$H$100,$A424,'29'!$I$7:$I$100,"")</f>
        <v>0</v>
      </c>
      <c r="J424" s="1296">
        <f>SUM(G424:I424)</f>
        <v>0</v>
      </c>
      <c r="K424"/>
      <c r="L424"/>
      <c r="M424"/>
      <c r="N424"/>
      <c r="O424"/>
      <c r="P424"/>
      <c r="Q424"/>
      <c r="R424"/>
      <c r="S424" s="1307">
        <f t="shared" si="71"/>
        <v>0</v>
      </c>
      <c r="T424"/>
    </row>
    <row r="425" spans="1:20" x14ac:dyDescent="0.2">
      <c r="A425"/>
      <c r="B425" t="s">
        <v>5578</v>
      </c>
      <c r="C425" s="1295">
        <f>SUM(C426:C430)</f>
        <v>0</v>
      </c>
      <c r="D425" s="1315">
        <f t="shared" ref="D425:J425" si="75">SUM(D426:D430)</f>
        <v>0</v>
      </c>
      <c r="E425" s="1315">
        <f t="shared" si="75"/>
        <v>0</v>
      </c>
      <c r="F425" s="1296">
        <f t="shared" si="75"/>
        <v>0</v>
      </c>
      <c r="G425" s="1295">
        <f t="shared" si="75"/>
        <v>0</v>
      </c>
      <c r="H425" s="1315">
        <f t="shared" si="75"/>
        <v>0</v>
      </c>
      <c r="I425" s="1315">
        <f t="shared" si="75"/>
        <v>0</v>
      </c>
      <c r="J425" s="1296">
        <f t="shared" si="75"/>
        <v>0</v>
      </c>
      <c r="K425"/>
      <c r="L425"/>
      <c r="M425"/>
      <c r="N425"/>
      <c r="O425"/>
      <c r="P425"/>
      <c r="Q425"/>
      <c r="R425"/>
      <c r="S425" s="1307">
        <f t="shared" si="71"/>
        <v>0</v>
      </c>
      <c r="T425"/>
    </row>
    <row r="426" spans="1:20" outlineLevel="1" x14ac:dyDescent="0.2">
      <c r="A426" t="s">
        <v>5083</v>
      </c>
      <c r="B426" s="784" t="s">
        <v>5462</v>
      </c>
      <c r="C426" s="1295">
        <f>SUMIFS('12'!$N$7:$N$100,'12'!$H$7:$H$100,$A426,'12'!$I$7:$I$100,1)+SUMIFS('13'!$N$7:$N$100,'13'!$H$7:$H$100,$A426,'13'!$I$7:$I$100,1)+SUMIFS('14'!$N$7:$N$100,'14'!$H$7:$H$100,$A426,'14'!$I$7:$I$100,1)+SUMIFS('15'!$N$7:$N$100,'15'!$H$7:$H$100,$A426,'15'!$I$7:$I$100,1)+SUMIFS('15a'!$N$7:$N$100,'15a'!$H$7:$H$100,$A426,'15a'!$I$7:$I$100,1)+SUMIFS('15b'!$N$7:$N$100,'15b'!$H$7:$H$100,$A426,'15b'!$I$7:$I$100,1)+SUMIFS('15c'!$N$7:$N$100,'15c'!$H$7:$H$100,$A426,'15c'!$I$7:$I$100,1)+SUMIFS('15d'!$N$7:$N$100,'15d'!$H$7:$H$100,$A426,'15d'!$I$7:$I$100,1)+SUMIFS('15e'!$N$7:$N$100,'15e'!$H$7:$H$100,$A426,'15e'!$I$7:$I$100,1)+SUMIFS('15f'!$N$7:$N$100,'15f'!$H$7:$H$100,$A426,'15f'!$I$7:$I$100,1)+SUMIFS('15g'!$N$7:$N$100,'15g'!$H$7:$H$100,$A426,'15g'!$I$7:$I$100,1)+SUMIFS('15h'!$N$7:$N$100,'15h'!$H$7:$H$100,$A426,'15h'!$I$7:$I$100,1)+SUMIFS('15i'!$N$7:$N$100,'15i'!$H$7:$H$100,$A426,'15i'!$I$7:$I$100,1)+SUMIFS('15j'!$N$7:$N$100,'15j'!$H$7:$H$100,$A426,'15j'!$I$7:$I$100,1)+SUMIFS('15k'!$N$7:$N$100,'15k'!$H$7:$H$100,$A426,'15k'!$I$7:$I$100,1)+SUMIFS('15l'!$N$7:$N$100,'15l'!$H$7:$H$100,$A426,'15l'!$I$7:$I$100,1)+SUMIFS('15m'!$N$7:$N$100,'15m'!$H$7:$H$100,$A426,'15m'!$I$7:$I$100,1)+SUMIFS('15n'!$N$7:$N$100,'15n'!$H$7:$H$100,$A426,'15n'!$I$7:$I$100,1)+SUMIFS('16'!$N$7:$N$100,'16'!$H$7:$H$100,$A426,'16'!$I$7:$I$100,1)+SUMIFS('16a'!$N$7:$N$100,'16a'!$H$7:$H$100,$A426,'16a'!$I$7:$I$100,1)+SUMIFS('17'!$N$7:$N$100,'17'!$H$7:$H$100,$A426,'17'!$I$7:$I$100,1)+SUMIFS('17a'!$N$7:$N$100,'17a'!$H$7:$H$100,$A426,'17a'!$I$7:$I$100,1)+SUMIFS('18'!$N$7:$N$100,'18'!$H$7:$H$100,$A426,'18'!$I$7:$I$100,1)+SUMIFS('18a'!$N$7:$N$100,'18a'!$H$7:$H$100,$A426,'18a'!$I$7:$I$100,1)
+SUMIFS('19'!$N$7:$N$100,'19'!$H$7:$H$100,$A426,'19'!$I$7:$I$100,1)+SUMIFS('20'!$N$7:$N$100,'20'!$H$7:$H$100,$A426,'20'!$I$7:$I$100,1)+SUMIFS('20a'!$N$7:$N$100,'20a'!$H$7:$H$100,$A426,'20a'!$I$7:$I$100,1)+SUMIFS('21'!$N$7:$N$100,'21'!$H$7:$H$100,$A426,'21'!$I$7:$I$100,1)+SUMIFS('22'!$N$7:$N$100,'22'!$H$7:$H$100,$A426,'22'!$I$7:$I$100,1)+SUMIFS('22a'!$N$7:$N$100,'22a'!$H$7:$H$100,$A426,'22a'!$I$7:$I$100,1)+SUMIFS('22b'!$N$7:$N$100,'22b'!$H$7:$H$100,$A426,'22b'!$I$7:$I$100,1)+SUMIFS('23'!$N$7:$N$100,'23'!$H$7:$H$100,$A426,'23'!$I$7:$I$100,1)+SUMIFS('24'!$N$7:$N$100,'24'!$H$7:$H$100,$A426,'24'!$I$7:$I$100,1)+SUMIFS('24a'!$N$7:$N$100,'24a'!$H$7:$H$100,$A426,'24a'!$I$7:$I$100,1)+SUMIFS('24b'!$N$7:$N$100,'24b'!$H$7:$H$100,$A426,'24b'!$I$7:$I$100,1)+SUMIFS('24c'!$N$7:$N$100,'24c'!$H$7:$H$100,$A426,'24c'!$I$7:$I$100,1)+SUMIFS('24d'!$N$7:$N$100,'24d'!$H$7:$H$100,$A426,'24d'!$I$7:$I$100,1)+SUMIFS('24e'!$N$7:$N$100,'24e'!$H$7:$H$100,$A426,'24e'!$I$7:$I$100,1)+SUMIFS('24f'!$N$7:$N$100,'24f'!$H$7:$H$100,$A426,'24f'!$I$7:$I$100,1)+SUMIFS('24g'!$N$7:$N$100,'24g'!$H$7:$H$100,$A426,'24g'!$I$7:$I$100,1)+SUMIFS('24h'!$N$7:$N$100,'24h'!$H$7:$H$100,$A426,'24h'!$I$7:$I$100,1)+SUMIFS('24i'!$N$7:$N$100,'24i'!$H$7:$H$100,$A426,'24i'!$I$7:$I$100,1)+SUMIFS('25'!$N$7:$N$100,'25'!$H$7:$H$100,$A426,'25'!$I$7:$I$100,1)+SUMIFS('26'!$N$7:$N$100,'26'!$H$7:$H$100,$A426,'26'!$I$7:$I$100,1)+SUMIFS('26a'!$N$7:$N$100,'26a'!$H$7:$H$100,$A426,'26a'!$I$7:$I$100,1)+SUMIFS('27'!$N$7:$N$100,'27'!$H$7:$H$100,$A426,'27'!$I$7:$I$100,1)+SUMIFS('27a'!$N$7:$N$100,'27a'!$H$7:$H$100,$A426,'27a'!$I$7:$I$100,1)+SUMIFS('28'!$N$7:$N$100,'28'!$H$7:$H$100,$A426,'28'!$I$7:$I$100,1)+SUMIFS('29'!$N$7:$N$100,'29'!$H$7:$H$100,$A426,'29'!$I$7:$I$100,1)</f>
        <v>0</v>
      </c>
      <c r="D426" s="1315">
        <f>SUMIFS('12'!$N$7:$N$100,'12'!$H$7:$H$100,$A426,'12'!$I$7:$I$100,2)+SUMIFS('13'!$N$7:$N$100,'13'!$H$7:$H$100,$A426,'13'!$I$7:$I$100,2)+SUMIFS('14'!$N$7:$N$100,'14'!$H$7:$H$100,$A426,'14'!$I$7:$I$100,2)+SUMIFS('15'!$N$7:$N$100,'15'!$H$7:$H$100,$A426,'15'!$I$7:$I$100,2)+SUMIFS('15a'!$N$7:$N$100,'15a'!$H$7:$H$100,$A426,'15a'!$I$7:$I$100,2)+SUMIFS('15b'!$N$7:$N$100,'15b'!$H$7:$H$100,$A426,'15b'!$I$7:$I$100,2)+SUMIFS('15c'!$N$7:$N$100,'15c'!$H$7:$H$100,$A426,'15c'!$I$7:$I$100,2)+SUMIFS('15d'!$N$7:$N$100,'15d'!$H$7:$H$100,$A426,'15d'!$I$7:$I$100,2)+SUMIFS('15e'!$N$7:$N$100,'15e'!$H$7:$H$100,$A426,'15e'!$I$7:$I$100,2)+SUMIFS('15f'!$N$7:$N$100,'15f'!$H$7:$H$100,$A426,'15f'!$I$7:$I$100,2)+SUMIFS('15g'!$N$7:$N$100,'15g'!$H$7:$H$100,$A426,'15g'!$I$7:$I$100,2)+SUMIFS('15h'!$N$7:$N$100,'15h'!$H$7:$H$100,$A426,'15h'!$I$7:$I$100,2)+SUMIFS('15i'!$N$7:$N$100,'15i'!$H$7:$H$100,$A426,'15i'!$I$7:$I$100,2)+SUMIFS('15j'!$N$7:$N$100,'15j'!$H$7:$H$100,$A426,'15j'!$I$7:$I$100,2)+SUMIFS('15k'!$N$7:$N$100,'15k'!$H$7:$H$100,$A426,'15k'!$I$7:$I$100,2)+SUMIFS('15l'!$N$7:$N$100,'15l'!$H$7:$H$100,$A426,'15l'!$I$7:$I$100,2)+SUMIFS('15m'!$N$7:$N$100,'15m'!$H$7:$H$100,$A426,'15m'!$I$7:$I$100,2)+SUMIFS('15n'!$N$7:$N$100,'15n'!$H$7:$H$100,$A426,'15n'!$I$7:$I$100,2)+SUMIFS('16'!$N$7:$N$100,'16'!$H$7:$H$100,$A426,'16'!$I$7:$I$100,2)+SUMIFS('16a'!$N$7:$N$100,'16a'!$H$7:$H$100,$A426,'16a'!$I$7:$I$100,2)+SUMIFS('17'!$N$7:$N$100,'17'!$H$7:$H$100,$A426,'17'!$I$7:$I$100,2)+SUMIFS('17a'!$N$7:$N$100,'17a'!$H$7:$H$100,$A426,'17a'!$I$7:$I$100,2)+SUMIFS('18'!$N$7:$N$100,'18'!$H$7:$H$100,$A426,'18'!$I$7:$I$100,2)+SUMIFS('18a'!$N$7:$N$100,'18a'!$H$7:$H$100,$A426,'18a'!$I$7:$I$100,2)
+SUMIFS('19'!$N$7:$N$100,'19'!$H$7:$H$100,$A426,'19'!$I$7:$I$100,2)+SUMIFS('20'!$N$7:$N$100,'20'!$H$7:$H$100,$A426,'20'!$I$7:$I$100,2)+SUMIFS('20a'!$N$7:$N$100,'20a'!$H$7:$H$100,$A426,'20a'!$I$7:$I$100,2)+SUMIFS('21'!$N$7:$N$100,'21'!$H$7:$H$100,$A426,'21'!$I$7:$I$100,2)+SUMIFS('22'!$N$7:$N$100,'22'!$H$7:$H$100,$A426,'22'!$I$7:$I$100,2)+SUMIFS('22a'!$N$7:$N$100,'22a'!$H$7:$H$100,$A426,'22a'!$I$7:$I$100,2)+SUMIFS('22b'!$N$7:$N$100,'22b'!$H$7:$H$100,$A426,'22b'!$I$7:$I$100,2)+SUMIFS('23'!$N$7:$N$100,'23'!$H$7:$H$100,$A426,'23'!$I$7:$I$100,2)+SUMIFS('24'!$N$7:$N$100,'24'!$H$7:$H$100,$A426,'24'!$I$7:$I$100,2)+SUMIFS('24a'!$N$7:$N$100,'24a'!$H$7:$H$100,$A426,'24a'!$I$7:$I$100,2)+SUMIFS('24b'!$N$7:$N$100,'24b'!$H$7:$H$100,$A426,'24b'!$I$7:$I$100,2)+SUMIFS('24c'!$N$7:$N$100,'24c'!$H$7:$H$100,$A426,'24c'!$I$7:$I$100,2)+SUMIFS('24d'!$N$7:$N$100,'24d'!$H$7:$H$100,$A426,'24d'!$I$7:$I$100,2)+SUMIFS('24e'!$N$7:$N$100,'24e'!$H$7:$H$100,$A426,'24e'!$I$7:$I$100,2)+SUMIFS('24f'!$N$7:$N$100,'24f'!$H$7:$H$100,$A426,'24f'!$I$7:$I$100,2)+SUMIFS('24g'!$N$7:$N$100,'24g'!$H$7:$H$100,$A426,'24g'!$I$7:$I$100,2)+SUMIFS('24h'!$N$7:$N$100,'24h'!$H$7:$H$100,$A426,'24h'!$I$7:$I$100,2)+SUMIFS('24i'!$N$7:$N$100,'24i'!$H$7:$H$100,$A426,'24i'!$I$7:$I$100,2)+SUMIFS('25'!$N$7:$N$100,'25'!$H$7:$H$100,$A426,'25'!$I$7:$I$100,2)+SUMIFS('26'!$N$7:$N$100,'26'!$H$7:$H$100,$A426,'26'!$I$7:$I$100,2)+SUMIFS('26a'!$N$7:$N$100,'26a'!$H$7:$H$100,$A426,'26a'!$I$7:$I$100,2)+SUMIFS('27'!$N$7:$N$100,'27'!$H$7:$H$100,$A426,'27'!$I$7:$I$100,2)+SUMIFS('27a'!$N$7:$N$100,'27a'!$H$7:$H$100,$A426,'27a'!$I$7:$I$100,2)+SUMIFS('28'!$N$7:$N$100,'28'!$H$7:$H$100,$A426,'28'!$I$7:$I$100,2)+SUMIFS('29'!$N$7:$N$100,'29'!$H$7:$H$100,$A426,'29'!$I$7:$I$100,2)</f>
        <v>0</v>
      </c>
      <c r="E426" s="1315">
        <f>SUMIFS('12'!$N$7:$N$100,'12'!$H$7:$H$100,$A426,'12'!$I$7:$I$100,"")+SUMIFS('13'!$N$7:$N$100,'13'!$H$7:$H$100,$A426,'13'!$I$7:$I$100,"")+SUMIFS('14'!$N$7:$N$100,'14'!$H$7:$H$100,$A426,'14'!$I$7:$I$100,"")+SUMIFS('15'!$N$7:$N$100,'15'!$H$7:$H$100,$A426,'15'!$I$7:$I$100,"")+SUMIFS('15a'!$N$7:$N$100,'15a'!$H$7:$H$100,$A426,'15a'!$I$7:$I$100,"")+SUMIFS('15b'!$N$7:$N$100,'15b'!$H$7:$H$100,$A426,'15b'!$I$7:$I$100,"")+SUMIFS('15c'!$N$7:$N$100,'15c'!$H$7:$H$100,$A426,'15c'!$I$7:$I$100,"")+SUMIFS('15d'!$N$7:$N$100,'15d'!$H$7:$H$100,$A426,'15d'!$I$7:$I$100,"")+SUMIFS('15e'!$N$7:$N$100,'15e'!$H$7:$H$100,$A426,'15e'!$I$7:$I$100,"")+SUMIFS('15f'!$N$7:$N$100,'15f'!$H$7:$H$100,$A426,'15f'!$I$7:$I$100,"")+SUMIFS('15g'!$N$7:$N$100,'15g'!$H$7:$H$100,$A426,'15g'!$I$7:$I$100,"")+SUMIFS('15h'!$N$7:$N$100,'15h'!$H$7:$H$100,$A426,'15h'!$I$7:$I$100,"")+SUMIFS('15i'!$N$7:$N$100,'15i'!$H$7:$H$100,$A426,'15i'!$I$7:$I$100,"")+SUMIFS('15j'!$N$7:$N$100,'15j'!$H$7:$H$100,$A426,'15j'!$I$7:$I$100,"")+SUMIFS('15k'!$N$7:$N$100,'15k'!$H$7:$H$100,$A426,'15k'!$I$7:$I$100,"")+SUMIFS('15l'!$N$7:$N$100,'15l'!$H$7:$H$100,$A426,'15l'!$I$7:$I$100,"")+SUMIFS('15m'!$N$7:$N$100,'15m'!$H$7:$H$100,$A426,'15m'!$I$7:$I$100,"")+SUMIFS('15n'!$N$7:$N$100,'15n'!$H$7:$H$100,$A426,'15n'!$I$7:$I$100,"")+SUMIFS('16'!$N$7:$N$100,'16'!$H$7:$H$100,$A426,'16'!$I$7:$I$100,"")+SUMIFS('16a'!$N$7:$N$100,'16a'!$H$7:$H$100,$A426,'16a'!$I$7:$I$100,"")+SUMIFS('17'!$N$7:$N$100,'17'!$H$7:$H$100,$A426,'17'!$I$7:$I$100,"")+SUMIFS('17a'!$N$7:$N$100,'17a'!$H$7:$H$100,$A426,'17a'!$I$7:$I$100,"")+SUMIFS('18'!$N$7:$N$100,'18'!$H$7:$H$100,$A426,'18'!$I$7:$I$100,"")+SUMIFS('18a'!$N$7:$N$100,'18a'!$H$7:$H$100,$A426,'18a'!$I$7:$I$100,"")
+SUMIFS('19'!$N$7:$N$100,'19'!$H$7:$H$100,$A426,'19'!$I$7:$I$100,"")+SUMIFS('20'!$N$7:$N$100,'20'!$H$7:$H$100,$A426,'20'!$I$7:$I$100,"")+SUMIFS('20a'!$N$7:$N$100,'20a'!$H$7:$H$100,$A426,'20a'!$I$7:$I$100,"")+SUMIFS('21'!$N$7:$N$100,'21'!$H$7:$H$100,$A426,'21'!$I$7:$I$100,"")+SUMIFS('22'!$N$7:$N$100,'22'!$H$7:$H$100,$A426,'22'!$I$7:$I$100,"")+SUMIFS('22a'!$N$7:$N$100,'22a'!$H$7:$H$100,$A426,'22a'!$I$7:$I$100,"")+SUMIFS('22b'!$N$7:$N$100,'22b'!$H$7:$H$100,$A426,'22b'!$I$7:$I$100,"")+SUMIFS('23'!$N$7:$N$100,'23'!$H$7:$H$100,$A426,'23'!$I$7:$I$100,"")+SUMIFS('24'!$N$7:$N$100,'24'!$H$7:$H$100,$A426,'24'!$I$7:$I$100,"")+SUMIFS('24a'!$N$7:$N$100,'24a'!$H$7:$H$100,$A426,'24a'!$I$7:$I$100,"")+SUMIFS('24b'!$N$7:$N$100,'24b'!$H$7:$H$100,$A426,'24b'!$I$7:$I$100,"")+SUMIFS('24c'!$N$7:$N$100,'24c'!$H$7:$H$100,$A426,'24c'!$I$7:$I$100,"")+SUMIFS('24d'!$N$7:$N$100,'24d'!$H$7:$H$100,$A426,'24d'!$I$7:$I$100,"")+SUMIFS('24e'!$N$7:$N$100,'24e'!$H$7:$H$100,$A426,'24e'!$I$7:$I$100,"")+SUMIFS('24f'!$N$7:$N$100,'24f'!$H$7:$H$100,$A426,'24f'!$I$7:$I$100,"")+SUMIFS('24g'!$N$7:$N$100,'24g'!$H$7:$H$100,$A426,'24g'!$I$7:$I$100,"")+SUMIFS('24h'!$N$7:$N$100,'24h'!$H$7:$H$100,$A426,'24h'!$I$7:$I$100,"")+SUMIFS('24i'!$N$7:$N$100,'24i'!$H$7:$H$100,$A426,'24i'!$I$7:$I$100,"")+SUMIFS('25'!$N$7:$N$100,'25'!$H$7:$H$100,$A426,'25'!$I$7:$I$100,"")+SUMIFS('26'!$N$7:$N$100,'26'!$H$7:$H$100,$A426,'26'!$I$7:$I$100,"")+SUMIFS('26a'!$N$7:$N$100,'26a'!$H$7:$H$100,$A426,'26a'!$I$7:$I$100,"")+SUMIFS('27'!$N$7:$N$100,'27'!$H$7:$H$100,$A426,'27'!$I$7:$I$100,"")+SUMIFS('27a'!$N$7:$N$100,'27a'!$H$7:$H$100,$A426,'27a'!$I$7:$I$100,"")+SUMIFS('28'!$N$7:$N$100,'28'!$H$7:$H$100,$A426,'28'!$I$7:$I$100,"")+SUMIFS('29'!$N$7:$N$100,'29'!$H$7:$H$100,$A426,'29'!$I$7:$I$100,"")</f>
        <v>0</v>
      </c>
      <c r="F426" s="1296">
        <f>SUM(C426:E426)</f>
        <v>0</v>
      </c>
      <c r="G426" s="1295">
        <f>SUMIFS('12'!$J$7:$J$100,'12'!$H$7:$H$100,$A426,'12'!$I$7:$I$100,1)+SUMIFS('13'!$J$7:$J$100,'13'!$H$7:$H$100,$A426,'13'!$I$7:$I$100,1)+SUMIFS('14'!$J$7:$J$100,'14'!$H$7:$H$100,$A426,'14'!$I$7:$I$100,1)+SUMIFS('15'!$J$7:$J$100,'15'!$H$7:$H$100,$A426,'15'!$I$7:$I$100,1)+SUMIFS('15a'!$J$7:$J$100,'15a'!$H$7:$H$100,$A426,'15a'!$I$7:$I$100,1)+SUMIFS('15b'!$J$7:$J$100,'15b'!$H$7:$H$100,$A426,'15b'!$I$7:$I$100,1)+SUMIFS('15c'!$J$7:$J$100,'15c'!$H$7:$H$100,$A426,'15c'!$I$7:$I$100,1)+SUMIFS('15d'!$J$7:$J$100,'15d'!$H$7:$H$100,$A426,'15d'!$I$7:$I$100,1)+SUMIFS('15e'!$J$7:$J$100,'15e'!$H$7:$H$100,$A426,'15e'!$I$7:$I$100,1)+SUMIFS('15f'!$J$7:$J$100,'15f'!$H$7:$H$100,$A426,'15f'!$I$7:$I$100,1)+SUMIFS('15g'!$J$7:$J$100,'15g'!$H$7:$H$100,$A426,'15g'!$I$7:$I$100,1)+SUMIFS('15h'!$J$7:$J$100,'15h'!$H$7:$H$100,$A426,'15h'!$I$7:$I$100,1)+SUMIFS('15i'!$J$7:$J$100,'15i'!$H$7:$H$100,$A426,'15i'!$I$7:$I$100,1)+SUMIFS('15j'!$J$7:$J$100,'15j'!$H$7:$H$100,$A426,'15j'!$I$7:$I$100,1)+SUMIFS('15k'!$J$7:$J$100,'15k'!$H$7:$H$100,$A426,'15k'!$I$7:$I$100,1)+SUMIFS('15l'!$J$7:$J$100,'15l'!$H$7:$H$100,$A426,'15l'!$I$7:$I$100,1)+SUMIFS('15m'!$J$7:$J$100,'15m'!$H$7:$H$100,$A426,'15m'!$I$7:$I$100,1)+SUMIFS('15n'!$J$7:$J$100,'15n'!$H$7:$H$100,$A426,'15n'!$I$7:$I$100,1)+SUMIFS('16'!$J$7:$J$100,'16'!$H$7:$H$100,$A426,'16'!$I$7:$I$100,1)+SUMIFS('16a'!$J$7:$J$100,'16a'!$H$7:$H$100,$A426,'16a'!$I$7:$I$100,1)+SUMIFS('17'!$J$7:$J$100,'17'!$H$7:$H$100,$A426,'17'!$I$7:$I$100,1)+SUMIFS('17a'!$J$7:$J$100,'17a'!$H$7:$H$100,$A426,'17a'!$I$7:$I$100,1)+SUMIFS('18'!$J$7:$J$100,'18'!$H$7:$H$100,$A426,'18'!$I$7:$I$100,1)+SUMIFS('18a'!$J$7:$J$100,'18a'!$H$7:$H$100,$A426,'18a'!$I$7:$I$100,1)
+SUMIFS('19'!$J$7:$J$100,'19'!$H$7:$H$100,$A426,'19'!$I$7:$I$100,1)+SUMIFS('20'!$J$7:$J$100,'20'!$H$7:$H$100,$A426,'20'!$I$7:$I$100,1)+SUMIFS('20a'!$J$7:$J$100,'20a'!$H$7:$H$100,$A426,'20a'!$I$7:$I$100,1)+SUMIFS('21'!$J$7:$J$100,'21'!$H$7:$H$100,$A426,'21'!$I$7:$I$100,1)+SUMIFS('22'!$J$7:$J$100,'22'!$H$7:$H$100,$A426,'22'!$I$7:$I$100,1)+SUMIFS('22a'!$J$7:$J$100,'22a'!$H$7:$H$100,$A426,'22a'!$I$7:$I$100,1)+SUMIFS('22b'!$J$7:$J$100,'22b'!$H$7:$H$100,$A426,'22b'!$I$7:$I$100,1)+SUMIFS('23'!$J$7:$J$100,'23'!$H$7:$H$100,$A426,'23'!$I$7:$I$100,1)+SUMIFS('24'!$J$7:$J$100,'24'!$H$7:$H$100,$A426,'24'!$I$7:$I$100,1)+SUMIFS('24a'!$J$7:$J$100,'24a'!$H$7:$H$100,$A426,'24a'!$I$7:$I$100,1)+SUMIFS('24b'!$J$7:$J$100,'24b'!$H$7:$H$100,$A426,'24b'!$I$7:$I$100,1)+SUMIFS('24c'!$J$7:$J$100,'24c'!$H$7:$H$100,$A426,'24c'!$I$7:$I$100,1)+SUMIFS('24d'!$J$7:$J$100,'24d'!$H$7:$H$100,$A426,'24d'!$I$7:$I$100,1)+SUMIFS('24e'!$J$7:$J$100,'24e'!$H$7:$H$100,$A426,'24e'!$I$7:$I$100,1)+SUMIFS('24f'!$J$7:$J$100,'24f'!$H$7:$H$100,$A426,'24f'!$I$7:$I$100,1)+SUMIFS('24g'!$J$7:$J$100,'24g'!$H$7:$H$100,$A426,'24g'!$I$7:$I$100,1)+SUMIFS('24h'!$J$7:$J$100,'24h'!$H$7:$H$100,$A426,'24h'!$I$7:$I$100,1)+SUMIFS('24i'!$J$7:$J$100,'24i'!$H$7:$H$100,$A426,'24i'!$I$7:$I$100,1)+SUMIFS('25'!$J$7:$J$100,'25'!$H$7:$H$100,$A426,'25'!$I$7:$I$100,1)+SUMIFS('26'!$J$7:$J$100,'26'!$H$7:$H$100,$A426,'26'!$I$7:$I$100,1)+SUMIFS('26a'!$J$7:$J$100,'26a'!$H$7:$H$100,$A426,'26a'!$I$7:$I$100,1)+SUMIFS('27'!$J$7:$J$100,'27'!$H$7:$H$100,$A426,'27'!$I$7:$I$100,1)+SUMIFS('27a'!$J$7:$J$100,'27a'!$H$7:$H$100,$A426,'27a'!$I$7:$I$100,1)+SUMIFS('28'!$J$7:$J$100,'28'!$H$7:$H$100,$A426,'28'!$I$7:$I$100,1)+SUMIFS('29'!$J$7:$J$100,'29'!$H$7:$H$100,$A426,'29'!$I$7:$I$100,1)</f>
        <v>0</v>
      </c>
      <c r="H426" s="1315">
        <f>SUMIFS('12'!$J$7:$J$100,'12'!$H$7:$H$100,$A426,'12'!$I$7:$I$100,2)+SUMIFS('13'!$J$7:$J$100,'13'!$H$7:$H$100,$A426,'13'!$I$7:$I$100,2)+SUMIFS('14'!$J$7:$J$100,'14'!$H$7:$H$100,$A426,'14'!$I$7:$I$100,2)+SUMIFS('15'!$J$7:$J$100,'15'!$H$7:$H$100,$A426,'15'!$I$7:$I$100,2)+SUMIFS('15a'!$J$7:$J$100,'15a'!$H$7:$H$100,$A426,'15a'!$I$7:$I$100,2)+SUMIFS('15b'!$J$7:$J$100,'15b'!$H$7:$H$100,$A426,'15b'!$I$7:$I$100,2)+SUMIFS('15c'!$J$7:$J$100,'15c'!$H$7:$H$100,$A426,'15c'!$I$7:$I$100,2)+SUMIFS('15d'!$J$7:$J$100,'15d'!$H$7:$H$100,$A426,'15d'!$I$7:$I$100,2)+SUMIFS('15e'!$J$7:$J$100,'15e'!$H$7:$H$100,$A426,'15e'!$I$7:$I$100,2)+SUMIFS('15f'!$J$7:$J$100,'15f'!$H$7:$H$100,$A426,'15f'!$I$7:$I$100,2)+SUMIFS('15g'!$J$7:$J$100,'15g'!$H$7:$H$100,$A426,'15g'!$I$7:$I$100,2)+SUMIFS('15h'!$J$7:$J$100,'15h'!$H$7:$H$100,$A426,'15h'!$I$7:$I$100,2)+SUMIFS('15i'!$J$7:$J$100,'15i'!$H$7:$H$100,$A426,'15i'!$I$7:$I$100,2)+SUMIFS('15j'!$J$7:$J$100,'15j'!$H$7:$H$100,$A426,'15j'!$I$7:$I$100,2)+SUMIFS('15k'!$J$7:$J$100,'15k'!$H$7:$H$100,$A426,'15k'!$I$7:$I$100,2)+SUMIFS('15l'!$J$7:$J$100,'15l'!$H$7:$H$100,$A426,'15l'!$I$7:$I$100,2)+SUMIFS('15m'!$J$7:$J$100,'15m'!$H$7:$H$100,$A426,'15m'!$I$7:$I$100,2)+SUMIFS('15n'!$J$7:$J$100,'15n'!$H$7:$H$100,$A426,'15n'!$I$7:$I$100,2)+SUMIFS('16'!$J$7:$J$100,'16'!$H$7:$H$100,$A426,'16'!$I$7:$I$100,2)+SUMIFS('16a'!$J$7:$J$100,'16a'!$H$7:$H$100,$A426,'16a'!$I$7:$I$100,2)+SUMIFS('17'!$J$7:$J$100,'17'!$H$7:$H$100,$A426,'17'!$I$7:$I$100,2)+SUMIFS('17a'!$J$7:$J$100,'17a'!$H$7:$H$100,$A426,'17a'!$I$7:$I$100,2)+SUMIFS('18'!$J$7:$J$100,'18'!$H$7:$H$100,$A426,'18'!$I$7:$I$100,2)+SUMIFS('18a'!$J$7:$J$100,'18a'!$H$7:$H$100,$A426,'18a'!$I$7:$I$100,2)
+SUMIFS('19'!$J$7:$J$100,'19'!$H$7:$H$100,$A426,'19'!$I$7:$I$100,2)+SUMIFS('20'!$J$7:$J$100,'20'!$H$7:$H$100,$A426,'20'!$I$7:$I$100,2)+SUMIFS('20a'!$J$7:$J$100,'20a'!$H$7:$H$100,$A426,'20a'!$I$7:$I$100,2)+SUMIFS('21'!$J$7:$J$100,'21'!$H$7:$H$100,$A426,'21'!$I$7:$I$100,2)+SUMIFS('22'!$J$7:$J$100,'22'!$H$7:$H$100,$A426,'22'!$I$7:$I$100,2)+SUMIFS('22a'!$J$7:$J$100,'22a'!$H$7:$H$100,$A426,'22a'!$I$7:$I$100,2)+SUMIFS('22b'!$J$7:$J$100,'22b'!$H$7:$H$100,$A426,'22b'!$I$7:$I$100,2)+SUMIFS('23'!$J$7:$J$100,'23'!$H$7:$H$100,$A426,'23'!$I$7:$I$100,2)+SUMIFS('24'!$J$7:$J$100,'24'!$H$7:$H$100,$A426,'24'!$I$7:$I$100,2)+SUMIFS('24a'!$J$7:$J$100,'24a'!$H$7:$H$100,$A426,'24a'!$I$7:$I$100,2)+SUMIFS('24b'!$J$7:$J$100,'24b'!$H$7:$H$100,$A426,'24b'!$I$7:$I$100,2)+SUMIFS('24c'!$J$7:$J$100,'24c'!$H$7:$H$100,$A426,'24c'!$I$7:$I$100,2)+SUMIFS('24d'!$J$7:$J$100,'24d'!$H$7:$H$100,$A426,'24d'!$I$7:$I$100,2)+SUMIFS('24e'!$J$7:$J$100,'24e'!$H$7:$H$100,$A426,'24e'!$I$7:$I$100,2)+SUMIFS('24f'!$J$7:$J$100,'24f'!$H$7:$H$100,$A426,'24f'!$I$7:$I$100,2)+SUMIFS('24g'!$J$7:$J$100,'24g'!$H$7:$H$100,$A426,'24g'!$I$7:$I$100,2)+SUMIFS('24h'!$J$7:$J$100,'24h'!$H$7:$H$100,$A426,'24h'!$I$7:$I$100,2)+SUMIFS('24i'!$J$7:$J$100,'24i'!$H$7:$H$100,$A426,'24i'!$I$7:$I$100,2)+SUMIFS('25'!$J$7:$J$100,'25'!$H$7:$H$100,$A426,'25'!$I$7:$I$100,2)+SUMIFS('26'!$J$7:$J$100,'26'!$H$7:$H$100,$A426,'26'!$I$7:$I$100,2)+SUMIFS('26a'!$J$7:$J$100,'26a'!$H$7:$H$100,$A426,'26a'!$I$7:$I$100,2)+SUMIFS('27'!$J$7:$J$100,'27'!$H$7:$H$100,$A426,'27'!$I$7:$I$100,2)+SUMIFS('27a'!$J$7:$J$100,'27a'!$H$7:$H$100,$A426,'27a'!$I$7:$I$100,2)+SUMIFS('28'!$J$7:$J$100,'28'!$H$7:$H$100,$A426,'28'!$I$7:$I$100,2)+SUMIFS('29'!$J$7:$J$100,'29'!$H$7:$H$100,$A426,'29'!$I$7:$I$100,2)</f>
        <v>0</v>
      </c>
      <c r="I426" s="1315">
        <f>SUMIFS('12'!$J$7:$J$100,'12'!$H$7:$H$100,$A426,'12'!$I$7:$I$100,"")+SUMIFS('13'!$J$7:$J$100,'13'!$H$7:$H$100,$A426,'13'!$I$7:$I$100,"")+SUMIFS('14'!$J$7:$J$100,'14'!$H$7:$H$100,$A426,'14'!$I$7:$I$100,"")+SUMIFS('15'!$J$7:$J$100,'15'!$H$7:$H$100,$A426,'15'!$I$7:$I$100,"")+SUMIFS('15a'!$J$7:$J$100,'15a'!$H$7:$H$100,$A426,'15a'!$I$7:$I$100,"")+SUMIFS('15b'!$J$7:$J$100,'15b'!$H$7:$H$100,$A426,'15b'!$I$7:$I$100,"")+SUMIFS('15c'!$J$7:$J$100,'15c'!$H$7:$H$100,$A426,'15c'!$I$7:$I$100,"")+SUMIFS('15d'!$J$7:$J$100,'15d'!$H$7:$H$100,$A426,'15d'!$I$7:$I$100,"")+SUMIFS('15e'!$J$7:$J$100,'15e'!$H$7:$H$100,$A426,'15e'!$I$7:$I$100,"")+SUMIFS('15f'!$J$7:$J$100,'15f'!$H$7:$H$100,$A426,'15f'!$I$7:$I$100,"")+SUMIFS('15g'!$J$7:$J$100,'15g'!$H$7:$H$100,$A426,'15g'!$I$7:$I$100,"")+SUMIFS('15h'!$J$7:$J$100,'15h'!$H$7:$H$100,$A426,'15h'!$I$7:$I$100,"")+SUMIFS('15i'!$J$7:$J$100,'15i'!$H$7:$H$100,$A426,'15i'!$I$7:$I$100,"")+SUMIFS('15j'!$J$7:$J$100,'15j'!$H$7:$H$100,$A426,'15j'!$I$7:$I$100,"")+SUMIFS('15k'!$J$7:$J$100,'15k'!$H$7:$H$100,$A426,'15k'!$I$7:$I$100,"")+SUMIFS('15l'!$J$7:$J$100,'15l'!$H$7:$H$100,$A426,'15l'!$I$7:$I$100,"")+SUMIFS('15m'!$J$7:$J$100,'15m'!$H$7:$H$100,$A426,'15m'!$I$7:$I$100,"")+SUMIFS('15n'!$J$7:$J$100,'15n'!$H$7:$H$100,$A426,'15n'!$I$7:$I$100,"")+SUMIFS('16'!$J$7:$J$100,'16'!$H$7:$H$100,$A426,'16'!$I$7:$I$100,"")+SUMIFS('16a'!$J$7:$J$100,'16a'!$H$7:$H$100,$A426,'16a'!$I$7:$I$100,"")+SUMIFS('17'!$J$7:$J$100,'17'!$H$7:$H$100,$A426,'17'!$I$7:$I$100,"")+SUMIFS('17a'!$J$7:$J$100,'17a'!$H$7:$H$100,$A426,'17a'!$I$7:$I$100,"")+SUMIFS('18'!$J$7:$J$100,'18'!$H$7:$H$100,$A426,'18'!$I$7:$I$100,"")+SUMIFS('18a'!$J$7:$J$100,'18a'!$H$7:$H$100,$A426,'18a'!$I$7:$I$100,"")
+SUMIFS('19'!$J$7:$J$100,'19'!$H$7:$H$100,$A426,'19'!$I$7:$I$100,"")+SUMIFS('20'!$J$7:$J$100,'20'!$H$7:$H$100,$A426,'20'!$I$7:$I$100,"")+SUMIFS('20a'!$J$7:$J$100,'20a'!$H$7:$H$100,$A426,'20a'!$I$7:$I$100,"")+SUMIFS('21'!$J$7:$J$100,'21'!$H$7:$H$100,$A426,'21'!$I$7:$I$100,"")+SUMIFS('22'!$J$7:$J$100,'22'!$H$7:$H$100,$A426,'22'!$I$7:$I$100,"")+SUMIFS('22a'!$J$7:$J$100,'22a'!$H$7:$H$100,$A426,'22a'!$I$7:$I$100,"")+SUMIFS('22b'!$J$7:$J$100,'22b'!$H$7:$H$100,$A426,'22b'!$I$7:$I$100,"")+SUMIFS('23'!$J$7:$J$100,'23'!$H$7:$H$100,$A426,'23'!$I$7:$I$100,"")+SUMIFS('24'!$J$7:$J$100,'24'!$H$7:$H$100,$A426,'24'!$I$7:$I$100,"")+SUMIFS('24a'!$J$7:$J$100,'24a'!$H$7:$H$100,$A426,'24a'!$I$7:$I$100,"")+SUMIFS('24b'!$J$7:$J$100,'24b'!$H$7:$H$100,$A426,'24b'!$I$7:$I$100,"")+SUMIFS('24c'!$J$7:$J$100,'24c'!$H$7:$H$100,$A426,'24c'!$I$7:$I$100,"")+SUMIFS('24d'!$J$7:$J$100,'24d'!$H$7:$H$100,$A426,'24d'!$I$7:$I$100,"")+SUMIFS('24e'!$J$7:$J$100,'24e'!$H$7:$H$100,$A426,'24e'!$I$7:$I$100,"")+SUMIFS('24f'!$J$7:$J$100,'24f'!$H$7:$H$100,$A426,'24f'!$I$7:$I$100,"")+SUMIFS('24g'!$J$7:$J$100,'24g'!$H$7:$H$100,$A426,'24g'!$I$7:$I$100,"")+SUMIFS('24h'!$J$7:$J$100,'24h'!$H$7:$H$100,$A426,'24h'!$I$7:$I$100,"")+SUMIFS('24i'!$J$7:$J$100,'24i'!$H$7:$H$100,$A426,'24i'!$I$7:$I$100,"")+SUMIFS('25'!$J$7:$J$100,'25'!$H$7:$H$100,$A426,'25'!$I$7:$I$100,"")+SUMIFS('26'!$J$7:$J$100,'26'!$H$7:$H$100,$A426,'26'!$I$7:$I$100,"")+SUMIFS('26a'!$J$7:$J$100,'26a'!$H$7:$H$100,$A426,'26a'!$I$7:$I$100,"")+SUMIFS('27'!$J$7:$J$100,'27'!$H$7:$H$100,$A426,'27'!$I$7:$I$100,"")+SUMIFS('27a'!$J$7:$J$100,'27a'!$H$7:$H$100,$A426,'27a'!$I$7:$I$100,"")+SUMIFS('28'!$J$7:$J$100,'28'!$H$7:$H$100,$A426,'28'!$I$7:$I$100,"")+SUMIFS('29'!$J$7:$J$100,'29'!$H$7:$H$100,$A426,'29'!$I$7:$I$100,"")</f>
        <v>0</v>
      </c>
      <c r="J426" s="1296">
        <f>SUM(G426:I426)</f>
        <v>0</v>
      </c>
      <c r="K426"/>
      <c r="L426"/>
      <c r="M426"/>
      <c r="N426"/>
      <c r="O426"/>
      <c r="P426"/>
      <c r="Q426"/>
      <c r="R426"/>
      <c r="S426" s="1307">
        <f t="shared" si="71"/>
        <v>0</v>
      </c>
      <c r="T426"/>
    </row>
    <row r="427" spans="1:20" outlineLevel="1" x14ac:dyDescent="0.2">
      <c r="A427" s="784" t="s">
        <v>5290</v>
      </c>
      <c r="B427" t="s">
        <v>5462</v>
      </c>
      <c r="C427" s="1295">
        <f>SUMIFS('12'!$N$7:$N$100,'12'!$H$7:$H$100,$A427,'12'!$I$7:$I$100,1)+SUMIFS('13'!$N$7:$N$100,'13'!$H$7:$H$100,$A427,'13'!$I$7:$I$100,1)+SUMIFS('14'!$N$7:$N$100,'14'!$H$7:$H$100,$A427,'14'!$I$7:$I$100,1)+SUMIFS('15'!$N$7:$N$100,'15'!$H$7:$H$100,$A427,'15'!$I$7:$I$100,1)+SUMIFS('15a'!$N$7:$N$100,'15a'!$H$7:$H$100,$A427,'15a'!$I$7:$I$100,1)+SUMIFS('15b'!$N$7:$N$100,'15b'!$H$7:$H$100,$A427,'15b'!$I$7:$I$100,1)+SUMIFS('15c'!$N$7:$N$100,'15c'!$H$7:$H$100,$A427,'15c'!$I$7:$I$100,1)+SUMIFS('15d'!$N$7:$N$100,'15d'!$H$7:$H$100,$A427,'15d'!$I$7:$I$100,1)+SUMIFS('15e'!$N$7:$N$100,'15e'!$H$7:$H$100,$A427,'15e'!$I$7:$I$100,1)+SUMIFS('15f'!$N$7:$N$100,'15f'!$H$7:$H$100,$A427,'15f'!$I$7:$I$100,1)+SUMIFS('15g'!$N$7:$N$100,'15g'!$H$7:$H$100,$A427,'15g'!$I$7:$I$100,1)+SUMIFS('15h'!$N$7:$N$100,'15h'!$H$7:$H$100,$A427,'15h'!$I$7:$I$100,1)+SUMIFS('15i'!$N$7:$N$100,'15i'!$H$7:$H$100,$A427,'15i'!$I$7:$I$100,1)+SUMIFS('15j'!$N$7:$N$100,'15j'!$H$7:$H$100,$A427,'15j'!$I$7:$I$100,1)+SUMIFS('15k'!$N$7:$N$100,'15k'!$H$7:$H$100,$A427,'15k'!$I$7:$I$100,1)+SUMIFS('15l'!$N$7:$N$100,'15l'!$H$7:$H$100,$A427,'15l'!$I$7:$I$100,1)+SUMIFS('15m'!$N$7:$N$100,'15m'!$H$7:$H$100,$A427,'15m'!$I$7:$I$100,1)+SUMIFS('15n'!$N$7:$N$100,'15n'!$H$7:$H$100,$A427,'15n'!$I$7:$I$100,1)+SUMIFS('16'!$N$7:$N$100,'16'!$H$7:$H$100,$A427,'16'!$I$7:$I$100,1)+SUMIFS('16a'!$N$7:$N$100,'16a'!$H$7:$H$100,$A427,'16a'!$I$7:$I$100,1)+SUMIFS('17'!$N$7:$N$100,'17'!$H$7:$H$100,$A427,'17'!$I$7:$I$100,1)+SUMIFS('17a'!$N$7:$N$100,'17a'!$H$7:$H$100,$A427,'17a'!$I$7:$I$100,1)+SUMIFS('18'!$N$7:$N$100,'18'!$H$7:$H$100,$A427,'18'!$I$7:$I$100,1)+SUMIFS('18a'!$N$7:$N$100,'18a'!$H$7:$H$100,$A427,'18a'!$I$7:$I$100,1)
+SUMIFS('19'!$N$7:$N$100,'19'!$H$7:$H$100,$A427,'19'!$I$7:$I$100,1)+SUMIFS('20'!$N$7:$N$100,'20'!$H$7:$H$100,$A427,'20'!$I$7:$I$100,1)+SUMIFS('20a'!$N$7:$N$100,'20a'!$H$7:$H$100,$A427,'20a'!$I$7:$I$100,1)+SUMIFS('21'!$N$7:$N$100,'21'!$H$7:$H$100,$A427,'21'!$I$7:$I$100,1)+SUMIFS('22'!$N$7:$N$100,'22'!$H$7:$H$100,$A427,'22'!$I$7:$I$100,1)+SUMIFS('22a'!$N$7:$N$100,'22a'!$H$7:$H$100,$A427,'22a'!$I$7:$I$100,1)+SUMIFS('22b'!$N$7:$N$100,'22b'!$H$7:$H$100,$A427,'22b'!$I$7:$I$100,1)+SUMIFS('23'!$N$7:$N$100,'23'!$H$7:$H$100,$A427,'23'!$I$7:$I$100,1)+SUMIFS('24'!$N$7:$N$100,'24'!$H$7:$H$100,$A427,'24'!$I$7:$I$100,1)+SUMIFS('24a'!$N$7:$N$100,'24a'!$H$7:$H$100,$A427,'24a'!$I$7:$I$100,1)+SUMIFS('24b'!$N$7:$N$100,'24b'!$H$7:$H$100,$A427,'24b'!$I$7:$I$100,1)+SUMIFS('24c'!$N$7:$N$100,'24c'!$H$7:$H$100,$A427,'24c'!$I$7:$I$100,1)+SUMIFS('24d'!$N$7:$N$100,'24d'!$H$7:$H$100,$A427,'24d'!$I$7:$I$100,1)+SUMIFS('24e'!$N$7:$N$100,'24e'!$H$7:$H$100,$A427,'24e'!$I$7:$I$100,1)+SUMIFS('24f'!$N$7:$N$100,'24f'!$H$7:$H$100,$A427,'24f'!$I$7:$I$100,1)+SUMIFS('24g'!$N$7:$N$100,'24g'!$H$7:$H$100,$A427,'24g'!$I$7:$I$100,1)+SUMIFS('24h'!$N$7:$N$100,'24h'!$H$7:$H$100,$A427,'24h'!$I$7:$I$100,1)+SUMIFS('24i'!$N$7:$N$100,'24i'!$H$7:$H$100,$A427,'24i'!$I$7:$I$100,1)+SUMIFS('25'!$N$7:$N$100,'25'!$H$7:$H$100,$A427,'25'!$I$7:$I$100,1)+SUMIFS('26'!$N$7:$N$100,'26'!$H$7:$H$100,$A427,'26'!$I$7:$I$100,1)+SUMIFS('26a'!$N$7:$N$100,'26a'!$H$7:$H$100,$A427,'26a'!$I$7:$I$100,1)+SUMIFS('27'!$N$7:$N$100,'27'!$H$7:$H$100,$A427,'27'!$I$7:$I$100,1)+SUMIFS('27a'!$N$7:$N$100,'27a'!$H$7:$H$100,$A427,'27a'!$I$7:$I$100,1)+SUMIFS('28'!$N$7:$N$100,'28'!$H$7:$H$100,$A427,'28'!$I$7:$I$100,1)+SUMIFS('29'!$N$7:$N$100,'29'!$H$7:$H$100,$A427,'29'!$I$7:$I$100,1)</f>
        <v>0</v>
      </c>
      <c r="D427" s="1315">
        <f>SUMIFS('12'!$N$7:$N$100,'12'!$H$7:$H$100,$A427,'12'!$I$7:$I$100,2)+SUMIFS('13'!$N$7:$N$100,'13'!$H$7:$H$100,$A427,'13'!$I$7:$I$100,2)+SUMIFS('14'!$N$7:$N$100,'14'!$H$7:$H$100,$A427,'14'!$I$7:$I$100,2)+SUMIFS('15'!$N$7:$N$100,'15'!$H$7:$H$100,$A427,'15'!$I$7:$I$100,2)+SUMIFS('15a'!$N$7:$N$100,'15a'!$H$7:$H$100,$A427,'15a'!$I$7:$I$100,2)+SUMIFS('15b'!$N$7:$N$100,'15b'!$H$7:$H$100,$A427,'15b'!$I$7:$I$100,2)+SUMIFS('15c'!$N$7:$N$100,'15c'!$H$7:$H$100,$A427,'15c'!$I$7:$I$100,2)+SUMIFS('15d'!$N$7:$N$100,'15d'!$H$7:$H$100,$A427,'15d'!$I$7:$I$100,2)+SUMIFS('15e'!$N$7:$N$100,'15e'!$H$7:$H$100,$A427,'15e'!$I$7:$I$100,2)+SUMIFS('15f'!$N$7:$N$100,'15f'!$H$7:$H$100,$A427,'15f'!$I$7:$I$100,2)+SUMIFS('15g'!$N$7:$N$100,'15g'!$H$7:$H$100,$A427,'15g'!$I$7:$I$100,2)+SUMIFS('15h'!$N$7:$N$100,'15h'!$H$7:$H$100,$A427,'15h'!$I$7:$I$100,2)+SUMIFS('15i'!$N$7:$N$100,'15i'!$H$7:$H$100,$A427,'15i'!$I$7:$I$100,2)+SUMIFS('15j'!$N$7:$N$100,'15j'!$H$7:$H$100,$A427,'15j'!$I$7:$I$100,2)+SUMIFS('15k'!$N$7:$N$100,'15k'!$H$7:$H$100,$A427,'15k'!$I$7:$I$100,2)+SUMIFS('15l'!$N$7:$N$100,'15l'!$H$7:$H$100,$A427,'15l'!$I$7:$I$100,2)+SUMIFS('15m'!$N$7:$N$100,'15m'!$H$7:$H$100,$A427,'15m'!$I$7:$I$100,2)+SUMIFS('15n'!$N$7:$N$100,'15n'!$H$7:$H$100,$A427,'15n'!$I$7:$I$100,2)+SUMIFS('16'!$N$7:$N$100,'16'!$H$7:$H$100,$A427,'16'!$I$7:$I$100,2)+SUMIFS('16a'!$N$7:$N$100,'16a'!$H$7:$H$100,$A427,'16a'!$I$7:$I$100,2)+SUMIFS('17'!$N$7:$N$100,'17'!$H$7:$H$100,$A427,'17'!$I$7:$I$100,2)+SUMIFS('17a'!$N$7:$N$100,'17a'!$H$7:$H$100,$A427,'17a'!$I$7:$I$100,2)+SUMIFS('18'!$N$7:$N$100,'18'!$H$7:$H$100,$A427,'18'!$I$7:$I$100,2)+SUMIFS('18a'!$N$7:$N$100,'18a'!$H$7:$H$100,$A427,'18a'!$I$7:$I$100,2)
+SUMIFS('19'!$N$7:$N$100,'19'!$H$7:$H$100,$A427,'19'!$I$7:$I$100,2)+SUMIFS('20'!$N$7:$N$100,'20'!$H$7:$H$100,$A427,'20'!$I$7:$I$100,2)+SUMIFS('20a'!$N$7:$N$100,'20a'!$H$7:$H$100,$A427,'20a'!$I$7:$I$100,2)+SUMIFS('21'!$N$7:$N$100,'21'!$H$7:$H$100,$A427,'21'!$I$7:$I$100,2)+SUMIFS('22'!$N$7:$N$100,'22'!$H$7:$H$100,$A427,'22'!$I$7:$I$100,2)+SUMIFS('22a'!$N$7:$N$100,'22a'!$H$7:$H$100,$A427,'22a'!$I$7:$I$100,2)+SUMIFS('22b'!$N$7:$N$100,'22b'!$H$7:$H$100,$A427,'22b'!$I$7:$I$100,2)+SUMIFS('23'!$N$7:$N$100,'23'!$H$7:$H$100,$A427,'23'!$I$7:$I$100,2)+SUMIFS('24'!$N$7:$N$100,'24'!$H$7:$H$100,$A427,'24'!$I$7:$I$100,2)+SUMIFS('24a'!$N$7:$N$100,'24a'!$H$7:$H$100,$A427,'24a'!$I$7:$I$100,2)+SUMIFS('24b'!$N$7:$N$100,'24b'!$H$7:$H$100,$A427,'24b'!$I$7:$I$100,2)+SUMIFS('24c'!$N$7:$N$100,'24c'!$H$7:$H$100,$A427,'24c'!$I$7:$I$100,2)+SUMIFS('24d'!$N$7:$N$100,'24d'!$H$7:$H$100,$A427,'24d'!$I$7:$I$100,2)+SUMIFS('24e'!$N$7:$N$100,'24e'!$H$7:$H$100,$A427,'24e'!$I$7:$I$100,2)+SUMIFS('24f'!$N$7:$N$100,'24f'!$H$7:$H$100,$A427,'24f'!$I$7:$I$100,2)+SUMIFS('24g'!$N$7:$N$100,'24g'!$H$7:$H$100,$A427,'24g'!$I$7:$I$100,2)+SUMIFS('24h'!$N$7:$N$100,'24h'!$H$7:$H$100,$A427,'24h'!$I$7:$I$100,2)+SUMIFS('24i'!$N$7:$N$100,'24i'!$H$7:$H$100,$A427,'24i'!$I$7:$I$100,2)+SUMIFS('25'!$N$7:$N$100,'25'!$H$7:$H$100,$A427,'25'!$I$7:$I$100,2)+SUMIFS('26'!$N$7:$N$100,'26'!$H$7:$H$100,$A427,'26'!$I$7:$I$100,2)+SUMIFS('26a'!$N$7:$N$100,'26a'!$H$7:$H$100,$A427,'26a'!$I$7:$I$100,2)+SUMIFS('27'!$N$7:$N$100,'27'!$H$7:$H$100,$A427,'27'!$I$7:$I$100,2)+SUMIFS('27a'!$N$7:$N$100,'27a'!$H$7:$H$100,$A427,'27a'!$I$7:$I$100,2)+SUMIFS('28'!$N$7:$N$100,'28'!$H$7:$H$100,$A427,'28'!$I$7:$I$100,2)+SUMIFS('29'!$N$7:$N$100,'29'!$H$7:$H$100,$A427,'29'!$I$7:$I$100,2)</f>
        <v>0</v>
      </c>
      <c r="E427" s="1315">
        <f>SUMIFS('12'!$N$7:$N$100,'12'!$H$7:$H$100,$A427,'12'!$I$7:$I$100,"")+SUMIFS('13'!$N$7:$N$100,'13'!$H$7:$H$100,$A427,'13'!$I$7:$I$100,"")+SUMIFS('14'!$N$7:$N$100,'14'!$H$7:$H$100,$A427,'14'!$I$7:$I$100,"")+SUMIFS('15'!$N$7:$N$100,'15'!$H$7:$H$100,$A427,'15'!$I$7:$I$100,"")+SUMIFS('15a'!$N$7:$N$100,'15a'!$H$7:$H$100,$A427,'15a'!$I$7:$I$100,"")+SUMIFS('15b'!$N$7:$N$100,'15b'!$H$7:$H$100,$A427,'15b'!$I$7:$I$100,"")+SUMIFS('15c'!$N$7:$N$100,'15c'!$H$7:$H$100,$A427,'15c'!$I$7:$I$100,"")+SUMIFS('15d'!$N$7:$N$100,'15d'!$H$7:$H$100,$A427,'15d'!$I$7:$I$100,"")+SUMIFS('15e'!$N$7:$N$100,'15e'!$H$7:$H$100,$A427,'15e'!$I$7:$I$100,"")+SUMIFS('15f'!$N$7:$N$100,'15f'!$H$7:$H$100,$A427,'15f'!$I$7:$I$100,"")+SUMIFS('15g'!$N$7:$N$100,'15g'!$H$7:$H$100,$A427,'15g'!$I$7:$I$100,"")+SUMIFS('15h'!$N$7:$N$100,'15h'!$H$7:$H$100,$A427,'15h'!$I$7:$I$100,"")+SUMIFS('15i'!$N$7:$N$100,'15i'!$H$7:$H$100,$A427,'15i'!$I$7:$I$100,"")+SUMIFS('15j'!$N$7:$N$100,'15j'!$H$7:$H$100,$A427,'15j'!$I$7:$I$100,"")+SUMIFS('15k'!$N$7:$N$100,'15k'!$H$7:$H$100,$A427,'15k'!$I$7:$I$100,"")+SUMIFS('15l'!$N$7:$N$100,'15l'!$H$7:$H$100,$A427,'15l'!$I$7:$I$100,"")+SUMIFS('15m'!$N$7:$N$100,'15m'!$H$7:$H$100,$A427,'15m'!$I$7:$I$100,"")+SUMIFS('15n'!$N$7:$N$100,'15n'!$H$7:$H$100,$A427,'15n'!$I$7:$I$100,"")+SUMIFS('16'!$N$7:$N$100,'16'!$H$7:$H$100,$A427,'16'!$I$7:$I$100,"")+SUMIFS('16a'!$N$7:$N$100,'16a'!$H$7:$H$100,$A427,'16a'!$I$7:$I$100,"")+SUMIFS('17'!$N$7:$N$100,'17'!$H$7:$H$100,$A427,'17'!$I$7:$I$100,"")+SUMIFS('17a'!$N$7:$N$100,'17a'!$H$7:$H$100,$A427,'17a'!$I$7:$I$100,"")+SUMIFS('18'!$N$7:$N$100,'18'!$H$7:$H$100,$A427,'18'!$I$7:$I$100,"")+SUMIFS('18a'!$N$7:$N$100,'18a'!$H$7:$H$100,$A427,'18a'!$I$7:$I$100,"")
+SUMIFS('19'!$N$7:$N$100,'19'!$H$7:$H$100,$A427,'19'!$I$7:$I$100,"")+SUMIFS('20'!$N$7:$N$100,'20'!$H$7:$H$100,$A427,'20'!$I$7:$I$100,"")+SUMIFS('20a'!$N$7:$N$100,'20a'!$H$7:$H$100,$A427,'20a'!$I$7:$I$100,"")+SUMIFS('21'!$N$7:$N$100,'21'!$H$7:$H$100,$A427,'21'!$I$7:$I$100,"")+SUMIFS('22'!$N$7:$N$100,'22'!$H$7:$H$100,$A427,'22'!$I$7:$I$100,"")+SUMIFS('22a'!$N$7:$N$100,'22a'!$H$7:$H$100,$A427,'22a'!$I$7:$I$100,"")+SUMIFS('22b'!$N$7:$N$100,'22b'!$H$7:$H$100,$A427,'22b'!$I$7:$I$100,"")+SUMIFS('23'!$N$7:$N$100,'23'!$H$7:$H$100,$A427,'23'!$I$7:$I$100,"")+SUMIFS('24'!$N$7:$N$100,'24'!$H$7:$H$100,$A427,'24'!$I$7:$I$100,"")+SUMIFS('24a'!$N$7:$N$100,'24a'!$H$7:$H$100,$A427,'24a'!$I$7:$I$100,"")+SUMIFS('24b'!$N$7:$N$100,'24b'!$H$7:$H$100,$A427,'24b'!$I$7:$I$100,"")+SUMIFS('24c'!$N$7:$N$100,'24c'!$H$7:$H$100,$A427,'24c'!$I$7:$I$100,"")+SUMIFS('24d'!$N$7:$N$100,'24d'!$H$7:$H$100,$A427,'24d'!$I$7:$I$100,"")+SUMIFS('24e'!$N$7:$N$100,'24e'!$H$7:$H$100,$A427,'24e'!$I$7:$I$100,"")+SUMIFS('24f'!$N$7:$N$100,'24f'!$H$7:$H$100,$A427,'24f'!$I$7:$I$100,"")+SUMIFS('24g'!$N$7:$N$100,'24g'!$H$7:$H$100,$A427,'24g'!$I$7:$I$100,"")+SUMIFS('24h'!$N$7:$N$100,'24h'!$H$7:$H$100,$A427,'24h'!$I$7:$I$100,"")+SUMIFS('24i'!$N$7:$N$100,'24i'!$H$7:$H$100,$A427,'24i'!$I$7:$I$100,"")+SUMIFS('25'!$N$7:$N$100,'25'!$H$7:$H$100,$A427,'25'!$I$7:$I$100,"")+SUMIFS('26'!$N$7:$N$100,'26'!$H$7:$H$100,$A427,'26'!$I$7:$I$100,"")+SUMIFS('26a'!$N$7:$N$100,'26a'!$H$7:$H$100,$A427,'26a'!$I$7:$I$100,"")+SUMIFS('27'!$N$7:$N$100,'27'!$H$7:$H$100,$A427,'27'!$I$7:$I$100,"")+SUMIFS('27a'!$N$7:$N$100,'27a'!$H$7:$H$100,$A427,'27a'!$I$7:$I$100,"")+SUMIFS('28'!$N$7:$N$100,'28'!$H$7:$H$100,$A427,'28'!$I$7:$I$100,"")+SUMIFS('29'!$N$7:$N$100,'29'!$H$7:$H$100,$A427,'29'!$I$7:$I$100,"")</f>
        <v>0</v>
      </c>
      <c r="F427" s="1296">
        <f>SUM(C427:E427)</f>
        <v>0</v>
      </c>
      <c r="G427" s="1295">
        <f>SUMIFS('12'!$J$7:$J$100,'12'!$H$7:$H$100,$A427,'12'!$I$7:$I$100,1)+SUMIFS('13'!$J$7:$J$100,'13'!$H$7:$H$100,$A427,'13'!$I$7:$I$100,1)+SUMIFS('14'!$J$7:$J$100,'14'!$H$7:$H$100,$A427,'14'!$I$7:$I$100,1)+SUMIFS('15'!$J$7:$J$100,'15'!$H$7:$H$100,$A427,'15'!$I$7:$I$100,1)+SUMIFS('15a'!$J$7:$J$100,'15a'!$H$7:$H$100,$A427,'15a'!$I$7:$I$100,1)+SUMIFS('15b'!$J$7:$J$100,'15b'!$H$7:$H$100,$A427,'15b'!$I$7:$I$100,1)+SUMIFS('15c'!$J$7:$J$100,'15c'!$H$7:$H$100,$A427,'15c'!$I$7:$I$100,1)+SUMIFS('15d'!$J$7:$J$100,'15d'!$H$7:$H$100,$A427,'15d'!$I$7:$I$100,1)+SUMIFS('15e'!$J$7:$J$100,'15e'!$H$7:$H$100,$A427,'15e'!$I$7:$I$100,1)+SUMIFS('15f'!$J$7:$J$100,'15f'!$H$7:$H$100,$A427,'15f'!$I$7:$I$100,1)+SUMIFS('15g'!$J$7:$J$100,'15g'!$H$7:$H$100,$A427,'15g'!$I$7:$I$100,1)+SUMIFS('15h'!$J$7:$J$100,'15h'!$H$7:$H$100,$A427,'15h'!$I$7:$I$100,1)+SUMIFS('15i'!$J$7:$J$100,'15i'!$H$7:$H$100,$A427,'15i'!$I$7:$I$100,1)+SUMIFS('15j'!$J$7:$J$100,'15j'!$H$7:$H$100,$A427,'15j'!$I$7:$I$100,1)+SUMIFS('15k'!$J$7:$J$100,'15k'!$H$7:$H$100,$A427,'15k'!$I$7:$I$100,1)+SUMIFS('15l'!$J$7:$J$100,'15l'!$H$7:$H$100,$A427,'15l'!$I$7:$I$100,1)+SUMIFS('15m'!$J$7:$J$100,'15m'!$H$7:$H$100,$A427,'15m'!$I$7:$I$100,1)+SUMIFS('15n'!$J$7:$J$100,'15n'!$H$7:$H$100,$A427,'15n'!$I$7:$I$100,1)+SUMIFS('16'!$J$7:$J$100,'16'!$H$7:$H$100,$A427,'16'!$I$7:$I$100,1)+SUMIFS('16a'!$J$7:$J$100,'16a'!$H$7:$H$100,$A427,'16a'!$I$7:$I$100,1)+SUMIFS('17'!$J$7:$J$100,'17'!$H$7:$H$100,$A427,'17'!$I$7:$I$100,1)+SUMIFS('17a'!$J$7:$J$100,'17a'!$H$7:$H$100,$A427,'17a'!$I$7:$I$100,1)+SUMIFS('18'!$J$7:$J$100,'18'!$H$7:$H$100,$A427,'18'!$I$7:$I$100,1)+SUMIFS('18a'!$J$7:$J$100,'18a'!$H$7:$H$100,$A427,'18a'!$I$7:$I$100,1)
+SUMIFS('19'!$J$7:$J$100,'19'!$H$7:$H$100,$A427,'19'!$I$7:$I$100,1)+SUMIFS('20'!$J$7:$J$100,'20'!$H$7:$H$100,$A427,'20'!$I$7:$I$100,1)+SUMIFS('20a'!$J$7:$J$100,'20a'!$H$7:$H$100,$A427,'20a'!$I$7:$I$100,1)+SUMIFS('21'!$J$7:$J$100,'21'!$H$7:$H$100,$A427,'21'!$I$7:$I$100,1)+SUMIFS('22'!$J$7:$J$100,'22'!$H$7:$H$100,$A427,'22'!$I$7:$I$100,1)+SUMIFS('22a'!$J$7:$J$100,'22a'!$H$7:$H$100,$A427,'22a'!$I$7:$I$100,1)+SUMIFS('22b'!$J$7:$J$100,'22b'!$H$7:$H$100,$A427,'22b'!$I$7:$I$100,1)+SUMIFS('23'!$J$7:$J$100,'23'!$H$7:$H$100,$A427,'23'!$I$7:$I$100,1)+SUMIFS('24'!$J$7:$J$100,'24'!$H$7:$H$100,$A427,'24'!$I$7:$I$100,1)+SUMIFS('24a'!$J$7:$J$100,'24a'!$H$7:$H$100,$A427,'24a'!$I$7:$I$100,1)+SUMIFS('24b'!$J$7:$J$100,'24b'!$H$7:$H$100,$A427,'24b'!$I$7:$I$100,1)+SUMIFS('24c'!$J$7:$J$100,'24c'!$H$7:$H$100,$A427,'24c'!$I$7:$I$100,1)+SUMIFS('24d'!$J$7:$J$100,'24d'!$H$7:$H$100,$A427,'24d'!$I$7:$I$100,1)+SUMIFS('24e'!$J$7:$J$100,'24e'!$H$7:$H$100,$A427,'24e'!$I$7:$I$100,1)+SUMIFS('24f'!$J$7:$J$100,'24f'!$H$7:$H$100,$A427,'24f'!$I$7:$I$100,1)+SUMIFS('24g'!$J$7:$J$100,'24g'!$H$7:$H$100,$A427,'24g'!$I$7:$I$100,1)+SUMIFS('24h'!$J$7:$J$100,'24h'!$H$7:$H$100,$A427,'24h'!$I$7:$I$100,1)+SUMIFS('24i'!$J$7:$J$100,'24i'!$H$7:$H$100,$A427,'24i'!$I$7:$I$100,1)+SUMIFS('25'!$J$7:$J$100,'25'!$H$7:$H$100,$A427,'25'!$I$7:$I$100,1)+SUMIFS('26'!$J$7:$J$100,'26'!$H$7:$H$100,$A427,'26'!$I$7:$I$100,1)+SUMIFS('26a'!$J$7:$J$100,'26a'!$H$7:$H$100,$A427,'26a'!$I$7:$I$100,1)+SUMIFS('27'!$J$7:$J$100,'27'!$H$7:$H$100,$A427,'27'!$I$7:$I$100,1)+SUMIFS('27a'!$J$7:$J$100,'27a'!$H$7:$H$100,$A427,'27a'!$I$7:$I$100,1)+SUMIFS('28'!$J$7:$J$100,'28'!$H$7:$H$100,$A427,'28'!$I$7:$I$100,1)+SUMIFS('29'!$J$7:$J$100,'29'!$H$7:$H$100,$A427,'29'!$I$7:$I$100,1)</f>
        <v>0</v>
      </c>
      <c r="H427" s="1315">
        <f>SUMIFS('12'!$J$7:$J$100,'12'!$H$7:$H$100,$A427,'12'!$I$7:$I$100,2)+SUMIFS('13'!$J$7:$J$100,'13'!$H$7:$H$100,$A427,'13'!$I$7:$I$100,2)+SUMIFS('14'!$J$7:$J$100,'14'!$H$7:$H$100,$A427,'14'!$I$7:$I$100,2)+SUMIFS('15'!$J$7:$J$100,'15'!$H$7:$H$100,$A427,'15'!$I$7:$I$100,2)+SUMIFS('15a'!$J$7:$J$100,'15a'!$H$7:$H$100,$A427,'15a'!$I$7:$I$100,2)+SUMIFS('15b'!$J$7:$J$100,'15b'!$H$7:$H$100,$A427,'15b'!$I$7:$I$100,2)+SUMIFS('15c'!$J$7:$J$100,'15c'!$H$7:$H$100,$A427,'15c'!$I$7:$I$100,2)+SUMIFS('15d'!$J$7:$J$100,'15d'!$H$7:$H$100,$A427,'15d'!$I$7:$I$100,2)+SUMIFS('15e'!$J$7:$J$100,'15e'!$H$7:$H$100,$A427,'15e'!$I$7:$I$100,2)+SUMIFS('15f'!$J$7:$J$100,'15f'!$H$7:$H$100,$A427,'15f'!$I$7:$I$100,2)+SUMIFS('15g'!$J$7:$J$100,'15g'!$H$7:$H$100,$A427,'15g'!$I$7:$I$100,2)+SUMIFS('15h'!$J$7:$J$100,'15h'!$H$7:$H$100,$A427,'15h'!$I$7:$I$100,2)+SUMIFS('15i'!$J$7:$J$100,'15i'!$H$7:$H$100,$A427,'15i'!$I$7:$I$100,2)+SUMIFS('15j'!$J$7:$J$100,'15j'!$H$7:$H$100,$A427,'15j'!$I$7:$I$100,2)+SUMIFS('15k'!$J$7:$J$100,'15k'!$H$7:$H$100,$A427,'15k'!$I$7:$I$100,2)+SUMIFS('15l'!$J$7:$J$100,'15l'!$H$7:$H$100,$A427,'15l'!$I$7:$I$100,2)+SUMIFS('15m'!$J$7:$J$100,'15m'!$H$7:$H$100,$A427,'15m'!$I$7:$I$100,2)+SUMIFS('15n'!$J$7:$J$100,'15n'!$H$7:$H$100,$A427,'15n'!$I$7:$I$100,2)+SUMIFS('16'!$J$7:$J$100,'16'!$H$7:$H$100,$A427,'16'!$I$7:$I$100,2)+SUMIFS('16a'!$J$7:$J$100,'16a'!$H$7:$H$100,$A427,'16a'!$I$7:$I$100,2)+SUMIFS('17'!$J$7:$J$100,'17'!$H$7:$H$100,$A427,'17'!$I$7:$I$100,2)+SUMIFS('17a'!$J$7:$J$100,'17a'!$H$7:$H$100,$A427,'17a'!$I$7:$I$100,2)+SUMIFS('18'!$J$7:$J$100,'18'!$H$7:$H$100,$A427,'18'!$I$7:$I$100,2)+SUMIFS('18a'!$J$7:$J$100,'18a'!$H$7:$H$100,$A427,'18a'!$I$7:$I$100,2)
+SUMIFS('19'!$J$7:$J$100,'19'!$H$7:$H$100,$A427,'19'!$I$7:$I$100,2)+SUMIFS('20'!$J$7:$J$100,'20'!$H$7:$H$100,$A427,'20'!$I$7:$I$100,2)+SUMIFS('20a'!$J$7:$J$100,'20a'!$H$7:$H$100,$A427,'20a'!$I$7:$I$100,2)+SUMIFS('21'!$J$7:$J$100,'21'!$H$7:$H$100,$A427,'21'!$I$7:$I$100,2)+SUMIFS('22'!$J$7:$J$100,'22'!$H$7:$H$100,$A427,'22'!$I$7:$I$100,2)+SUMIFS('22a'!$J$7:$J$100,'22a'!$H$7:$H$100,$A427,'22a'!$I$7:$I$100,2)+SUMIFS('22b'!$J$7:$J$100,'22b'!$H$7:$H$100,$A427,'22b'!$I$7:$I$100,2)+SUMIFS('23'!$J$7:$J$100,'23'!$H$7:$H$100,$A427,'23'!$I$7:$I$100,2)+SUMIFS('24'!$J$7:$J$100,'24'!$H$7:$H$100,$A427,'24'!$I$7:$I$100,2)+SUMIFS('24a'!$J$7:$J$100,'24a'!$H$7:$H$100,$A427,'24a'!$I$7:$I$100,2)+SUMIFS('24b'!$J$7:$J$100,'24b'!$H$7:$H$100,$A427,'24b'!$I$7:$I$100,2)+SUMIFS('24c'!$J$7:$J$100,'24c'!$H$7:$H$100,$A427,'24c'!$I$7:$I$100,2)+SUMIFS('24d'!$J$7:$J$100,'24d'!$H$7:$H$100,$A427,'24d'!$I$7:$I$100,2)+SUMIFS('24e'!$J$7:$J$100,'24e'!$H$7:$H$100,$A427,'24e'!$I$7:$I$100,2)+SUMIFS('24f'!$J$7:$J$100,'24f'!$H$7:$H$100,$A427,'24f'!$I$7:$I$100,2)+SUMIFS('24g'!$J$7:$J$100,'24g'!$H$7:$H$100,$A427,'24g'!$I$7:$I$100,2)+SUMIFS('24h'!$J$7:$J$100,'24h'!$H$7:$H$100,$A427,'24h'!$I$7:$I$100,2)+SUMIFS('24i'!$J$7:$J$100,'24i'!$H$7:$H$100,$A427,'24i'!$I$7:$I$100,2)+SUMIFS('25'!$J$7:$J$100,'25'!$H$7:$H$100,$A427,'25'!$I$7:$I$100,2)+SUMIFS('26'!$J$7:$J$100,'26'!$H$7:$H$100,$A427,'26'!$I$7:$I$100,2)+SUMIFS('26a'!$J$7:$J$100,'26a'!$H$7:$H$100,$A427,'26a'!$I$7:$I$100,2)+SUMIFS('27'!$J$7:$J$100,'27'!$H$7:$H$100,$A427,'27'!$I$7:$I$100,2)+SUMIFS('27a'!$J$7:$J$100,'27a'!$H$7:$H$100,$A427,'27a'!$I$7:$I$100,2)+SUMIFS('28'!$J$7:$J$100,'28'!$H$7:$H$100,$A427,'28'!$I$7:$I$100,2)+SUMIFS('29'!$J$7:$J$100,'29'!$H$7:$H$100,$A427,'29'!$I$7:$I$100,2)</f>
        <v>0</v>
      </c>
      <c r="I427" s="1315">
        <f>SUMIFS('12'!$J$7:$J$100,'12'!$H$7:$H$100,$A427,'12'!$I$7:$I$100,"")+SUMIFS('13'!$J$7:$J$100,'13'!$H$7:$H$100,$A427,'13'!$I$7:$I$100,"")+SUMIFS('14'!$J$7:$J$100,'14'!$H$7:$H$100,$A427,'14'!$I$7:$I$100,"")+SUMIFS('15'!$J$7:$J$100,'15'!$H$7:$H$100,$A427,'15'!$I$7:$I$100,"")+SUMIFS('15a'!$J$7:$J$100,'15a'!$H$7:$H$100,$A427,'15a'!$I$7:$I$100,"")+SUMIFS('15b'!$J$7:$J$100,'15b'!$H$7:$H$100,$A427,'15b'!$I$7:$I$100,"")+SUMIFS('15c'!$J$7:$J$100,'15c'!$H$7:$H$100,$A427,'15c'!$I$7:$I$100,"")+SUMIFS('15d'!$J$7:$J$100,'15d'!$H$7:$H$100,$A427,'15d'!$I$7:$I$100,"")+SUMIFS('15e'!$J$7:$J$100,'15e'!$H$7:$H$100,$A427,'15e'!$I$7:$I$100,"")+SUMIFS('15f'!$J$7:$J$100,'15f'!$H$7:$H$100,$A427,'15f'!$I$7:$I$100,"")+SUMIFS('15g'!$J$7:$J$100,'15g'!$H$7:$H$100,$A427,'15g'!$I$7:$I$100,"")+SUMIFS('15h'!$J$7:$J$100,'15h'!$H$7:$H$100,$A427,'15h'!$I$7:$I$100,"")+SUMIFS('15i'!$J$7:$J$100,'15i'!$H$7:$H$100,$A427,'15i'!$I$7:$I$100,"")+SUMIFS('15j'!$J$7:$J$100,'15j'!$H$7:$H$100,$A427,'15j'!$I$7:$I$100,"")+SUMIFS('15k'!$J$7:$J$100,'15k'!$H$7:$H$100,$A427,'15k'!$I$7:$I$100,"")+SUMIFS('15l'!$J$7:$J$100,'15l'!$H$7:$H$100,$A427,'15l'!$I$7:$I$100,"")+SUMIFS('15m'!$J$7:$J$100,'15m'!$H$7:$H$100,$A427,'15m'!$I$7:$I$100,"")+SUMIFS('15n'!$J$7:$J$100,'15n'!$H$7:$H$100,$A427,'15n'!$I$7:$I$100,"")+SUMIFS('16'!$J$7:$J$100,'16'!$H$7:$H$100,$A427,'16'!$I$7:$I$100,"")+SUMIFS('16a'!$J$7:$J$100,'16a'!$H$7:$H$100,$A427,'16a'!$I$7:$I$100,"")+SUMIFS('17'!$J$7:$J$100,'17'!$H$7:$H$100,$A427,'17'!$I$7:$I$100,"")+SUMIFS('17a'!$J$7:$J$100,'17a'!$H$7:$H$100,$A427,'17a'!$I$7:$I$100,"")+SUMIFS('18'!$J$7:$J$100,'18'!$H$7:$H$100,$A427,'18'!$I$7:$I$100,"")+SUMIFS('18a'!$J$7:$J$100,'18a'!$H$7:$H$100,$A427,'18a'!$I$7:$I$100,"")
+SUMIFS('19'!$J$7:$J$100,'19'!$H$7:$H$100,$A427,'19'!$I$7:$I$100,"")+SUMIFS('20'!$J$7:$J$100,'20'!$H$7:$H$100,$A427,'20'!$I$7:$I$100,"")+SUMIFS('20a'!$J$7:$J$100,'20a'!$H$7:$H$100,$A427,'20a'!$I$7:$I$100,"")+SUMIFS('21'!$J$7:$J$100,'21'!$H$7:$H$100,$A427,'21'!$I$7:$I$100,"")+SUMIFS('22'!$J$7:$J$100,'22'!$H$7:$H$100,$A427,'22'!$I$7:$I$100,"")+SUMIFS('22a'!$J$7:$J$100,'22a'!$H$7:$H$100,$A427,'22a'!$I$7:$I$100,"")+SUMIFS('22b'!$J$7:$J$100,'22b'!$H$7:$H$100,$A427,'22b'!$I$7:$I$100,"")+SUMIFS('23'!$J$7:$J$100,'23'!$H$7:$H$100,$A427,'23'!$I$7:$I$100,"")+SUMIFS('24'!$J$7:$J$100,'24'!$H$7:$H$100,$A427,'24'!$I$7:$I$100,"")+SUMIFS('24a'!$J$7:$J$100,'24a'!$H$7:$H$100,$A427,'24a'!$I$7:$I$100,"")+SUMIFS('24b'!$J$7:$J$100,'24b'!$H$7:$H$100,$A427,'24b'!$I$7:$I$100,"")+SUMIFS('24c'!$J$7:$J$100,'24c'!$H$7:$H$100,$A427,'24c'!$I$7:$I$100,"")+SUMIFS('24d'!$J$7:$J$100,'24d'!$H$7:$H$100,$A427,'24d'!$I$7:$I$100,"")+SUMIFS('24e'!$J$7:$J$100,'24e'!$H$7:$H$100,$A427,'24e'!$I$7:$I$100,"")+SUMIFS('24f'!$J$7:$J$100,'24f'!$H$7:$H$100,$A427,'24f'!$I$7:$I$100,"")+SUMIFS('24g'!$J$7:$J$100,'24g'!$H$7:$H$100,$A427,'24g'!$I$7:$I$100,"")+SUMIFS('24h'!$J$7:$J$100,'24h'!$H$7:$H$100,$A427,'24h'!$I$7:$I$100,"")+SUMIFS('24i'!$J$7:$J$100,'24i'!$H$7:$H$100,$A427,'24i'!$I$7:$I$100,"")+SUMIFS('25'!$J$7:$J$100,'25'!$H$7:$H$100,$A427,'25'!$I$7:$I$100,"")+SUMIFS('26'!$J$7:$J$100,'26'!$H$7:$H$100,$A427,'26'!$I$7:$I$100,"")+SUMIFS('26a'!$J$7:$J$100,'26a'!$H$7:$H$100,$A427,'26a'!$I$7:$I$100,"")+SUMIFS('27'!$J$7:$J$100,'27'!$H$7:$H$100,$A427,'27'!$I$7:$I$100,"")+SUMIFS('27a'!$J$7:$J$100,'27a'!$H$7:$H$100,$A427,'27a'!$I$7:$I$100,"")+SUMIFS('28'!$J$7:$J$100,'28'!$H$7:$H$100,$A427,'28'!$I$7:$I$100,"")+SUMIFS('29'!$J$7:$J$100,'29'!$H$7:$H$100,$A427,'29'!$I$7:$I$100,"")</f>
        <v>0</v>
      </c>
      <c r="J427" s="1296">
        <f>SUM(G427:I427)</f>
        <v>0</v>
      </c>
      <c r="K427"/>
      <c r="L427"/>
      <c r="M427"/>
      <c r="N427"/>
      <c r="O427"/>
      <c r="P427"/>
      <c r="Q427"/>
      <c r="R427"/>
      <c r="S427" s="1307">
        <f t="shared" si="71"/>
        <v>0</v>
      </c>
      <c r="T427"/>
    </row>
    <row r="428" spans="1:20" outlineLevel="1" x14ac:dyDescent="0.2">
      <c r="A428" s="784" t="s">
        <v>5291</v>
      </c>
      <c r="B428" t="s">
        <v>5462</v>
      </c>
      <c r="C428" s="1295">
        <f>SUMIFS('12'!$N$7:$N$100,'12'!$H$7:$H$100,$A428,'12'!$I$7:$I$100,1)+SUMIFS('13'!$N$7:$N$100,'13'!$H$7:$H$100,$A428,'13'!$I$7:$I$100,1)+SUMIFS('14'!$N$7:$N$100,'14'!$H$7:$H$100,$A428,'14'!$I$7:$I$100,1)+SUMIFS('15'!$N$7:$N$100,'15'!$H$7:$H$100,$A428,'15'!$I$7:$I$100,1)+SUMIFS('15a'!$N$7:$N$100,'15a'!$H$7:$H$100,$A428,'15a'!$I$7:$I$100,1)+SUMIFS('15b'!$N$7:$N$100,'15b'!$H$7:$H$100,$A428,'15b'!$I$7:$I$100,1)+SUMIFS('15c'!$N$7:$N$100,'15c'!$H$7:$H$100,$A428,'15c'!$I$7:$I$100,1)+SUMIFS('15d'!$N$7:$N$100,'15d'!$H$7:$H$100,$A428,'15d'!$I$7:$I$100,1)+SUMIFS('15e'!$N$7:$N$100,'15e'!$H$7:$H$100,$A428,'15e'!$I$7:$I$100,1)+SUMIFS('15f'!$N$7:$N$100,'15f'!$H$7:$H$100,$A428,'15f'!$I$7:$I$100,1)+SUMIFS('15g'!$N$7:$N$100,'15g'!$H$7:$H$100,$A428,'15g'!$I$7:$I$100,1)+SUMIFS('15h'!$N$7:$N$100,'15h'!$H$7:$H$100,$A428,'15h'!$I$7:$I$100,1)+SUMIFS('15i'!$N$7:$N$100,'15i'!$H$7:$H$100,$A428,'15i'!$I$7:$I$100,1)+SUMIFS('15j'!$N$7:$N$100,'15j'!$H$7:$H$100,$A428,'15j'!$I$7:$I$100,1)+SUMIFS('15k'!$N$7:$N$100,'15k'!$H$7:$H$100,$A428,'15k'!$I$7:$I$100,1)+SUMIFS('15l'!$N$7:$N$100,'15l'!$H$7:$H$100,$A428,'15l'!$I$7:$I$100,1)+SUMIFS('15m'!$N$7:$N$100,'15m'!$H$7:$H$100,$A428,'15m'!$I$7:$I$100,1)+SUMIFS('15n'!$N$7:$N$100,'15n'!$H$7:$H$100,$A428,'15n'!$I$7:$I$100,1)+SUMIFS('16'!$N$7:$N$100,'16'!$H$7:$H$100,$A428,'16'!$I$7:$I$100,1)+SUMIFS('16a'!$N$7:$N$100,'16a'!$H$7:$H$100,$A428,'16a'!$I$7:$I$100,1)+SUMIFS('17'!$N$7:$N$100,'17'!$H$7:$H$100,$A428,'17'!$I$7:$I$100,1)+SUMIFS('17a'!$N$7:$N$100,'17a'!$H$7:$H$100,$A428,'17a'!$I$7:$I$100,1)+SUMIFS('18'!$N$7:$N$100,'18'!$H$7:$H$100,$A428,'18'!$I$7:$I$100,1)+SUMIFS('18a'!$N$7:$N$100,'18a'!$H$7:$H$100,$A428,'18a'!$I$7:$I$100,1)
+SUMIFS('19'!$N$7:$N$100,'19'!$H$7:$H$100,$A428,'19'!$I$7:$I$100,1)+SUMIFS('20'!$N$7:$N$100,'20'!$H$7:$H$100,$A428,'20'!$I$7:$I$100,1)+SUMIFS('20a'!$N$7:$N$100,'20a'!$H$7:$H$100,$A428,'20a'!$I$7:$I$100,1)+SUMIFS('21'!$N$7:$N$100,'21'!$H$7:$H$100,$A428,'21'!$I$7:$I$100,1)+SUMIFS('22'!$N$7:$N$100,'22'!$H$7:$H$100,$A428,'22'!$I$7:$I$100,1)+SUMIFS('22a'!$N$7:$N$100,'22a'!$H$7:$H$100,$A428,'22a'!$I$7:$I$100,1)+SUMIFS('22b'!$N$7:$N$100,'22b'!$H$7:$H$100,$A428,'22b'!$I$7:$I$100,1)+SUMIFS('23'!$N$7:$N$100,'23'!$H$7:$H$100,$A428,'23'!$I$7:$I$100,1)+SUMIFS('24'!$N$7:$N$100,'24'!$H$7:$H$100,$A428,'24'!$I$7:$I$100,1)+SUMIFS('24a'!$N$7:$N$100,'24a'!$H$7:$H$100,$A428,'24a'!$I$7:$I$100,1)+SUMIFS('24b'!$N$7:$N$100,'24b'!$H$7:$H$100,$A428,'24b'!$I$7:$I$100,1)+SUMIFS('24c'!$N$7:$N$100,'24c'!$H$7:$H$100,$A428,'24c'!$I$7:$I$100,1)+SUMIFS('24d'!$N$7:$N$100,'24d'!$H$7:$H$100,$A428,'24d'!$I$7:$I$100,1)+SUMIFS('24e'!$N$7:$N$100,'24e'!$H$7:$H$100,$A428,'24e'!$I$7:$I$100,1)+SUMIFS('24f'!$N$7:$N$100,'24f'!$H$7:$H$100,$A428,'24f'!$I$7:$I$100,1)+SUMIFS('24g'!$N$7:$N$100,'24g'!$H$7:$H$100,$A428,'24g'!$I$7:$I$100,1)+SUMIFS('24h'!$N$7:$N$100,'24h'!$H$7:$H$100,$A428,'24h'!$I$7:$I$100,1)+SUMIFS('24i'!$N$7:$N$100,'24i'!$H$7:$H$100,$A428,'24i'!$I$7:$I$100,1)+SUMIFS('25'!$N$7:$N$100,'25'!$H$7:$H$100,$A428,'25'!$I$7:$I$100,1)+SUMIFS('26'!$N$7:$N$100,'26'!$H$7:$H$100,$A428,'26'!$I$7:$I$100,1)+SUMIFS('26a'!$N$7:$N$100,'26a'!$H$7:$H$100,$A428,'26a'!$I$7:$I$100,1)+SUMIFS('27'!$N$7:$N$100,'27'!$H$7:$H$100,$A428,'27'!$I$7:$I$100,1)+SUMIFS('27a'!$N$7:$N$100,'27a'!$H$7:$H$100,$A428,'27a'!$I$7:$I$100,1)+SUMIFS('28'!$N$7:$N$100,'28'!$H$7:$H$100,$A428,'28'!$I$7:$I$100,1)+SUMIFS('29'!$N$7:$N$100,'29'!$H$7:$H$100,$A428,'29'!$I$7:$I$100,1)</f>
        <v>0</v>
      </c>
      <c r="D428" s="1315">
        <f>SUMIFS('12'!$N$7:$N$100,'12'!$H$7:$H$100,$A428,'12'!$I$7:$I$100,2)+SUMIFS('13'!$N$7:$N$100,'13'!$H$7:$H$100,$A428,'13'!$I$7:$I$100,2)+SUMIFS('14'!$N$7:$N$100,'14'!$H$7:$H$100,$A428,'14'!$I$7:$I$100,2)+SUMIFS('15'!$N$7:$N$100,'15'!$H$7:$H$100,$A428,'15'!$I$7:$I$100,2)+SUMIFS('15a'!$N$7:$N$100,'15a'!$H$7:$H$100,$A428,'15a'!$I$7:$I$100,2)+SUMIFS('15b'!$N$7:$N$100,'15b'!$H$7:$H$100,$A428,'15b'!$I$7:$I$100,2)+SUMIFS('15c'!$N$7:$N$100,'15c'!$H$7:$H$100,$A428,'15c'!$I$7:$I$100,2)+SUMIFS('15d'!$N$7:$N$100,'15d'!$H$7:$H$100,$A428,'15d'!$I$7:$I$100,2)+SUMIFS('15e'!$N$7:$N$100,'15e'!$H$7:$H$100,$A428,'15e'!$I$7:$I$100,2)+SUMIFS('15f'!$N$7:$N$100,'15f'!$H$7:$H$100,$A428,'15f'!$I$7:$I$100,2)+SUMIFS('15g'!$N$7:$N$100,'15g'!$H$7:$H$100,$A428,'15g'!$I$7:$I$100,2)+SUMIFS('15h'!$N$7:$N$100,'15h'!$H$7:$H$100,$A428,'15h'!$I$7:$I$100,2)+SUMIFS('15i'!$N$7:$N$100,'15i'!$H$7:$H$100,$A428,'15i'!$I$7:$I$100,2)+SUMIFS('15j'!$N$7:$N$100,'15j'!$H$7:$H$100,$A428,'15j'!$I$7:$I$100,2)+SUMIFS('15k'!$N$7:$N$100,'15k'!$H$7:$H$100,$A428,'15k'!$I$7:$I$100,2)+SUMIFS('15l'!$N$7:$N$100,'15l'!$H$7:$H$100,$A428,'15l'!$I$7:$I$100,2)+SUMIFS('15m'!$N$7:$N$100,'15m'!$H$7:$H$100,$A428,'15m'!$I$7:$I$100,2)+SUMIFS('15n'!$N$7:$N$100,'15n'!$H$7:$H$100,$A428,'15n'!$I$7:$I$100,2)+SUMIFS('16'!$N$7:$N$100,'16'!$H$7:$H$100,$A428,'16'!$I$7:$I$100,2)+SUMIFS('16a'!$N$7:$N$100,'16a'!$H$7:$H$100,$A428,'16a'!$I$7:$I$100,2)+SUMIFS('17'!$N$7:$N$100,'17'!$H$7:$H$100,$A428,'17'!$I$7:$I$100,2)+SUMIFS('17a'!$N$7:$N$100,'17a'!$H$7:$H$100,$A428,'17a'!$I$7:$I$100,2)+SUMIFS('18'!$N$7:$N$100,'18'!$H$7:$H$100,$A428,'18'!$I$7:$I$100,2)+SUMIFS('18a'!$N$7:$N$100,'18a'!$H$7:$H$100,$A428,'18a'!$I$7:$I$100,2)
+SUMIFS('19'!$N$7:$N$100,'19'!$H$7:$H$100,$A428,'19'!$I$7:$I$100,2)+SUMIFS('20'!$N$7:$N$100,'20'!$H$7:$H$100,$A428,'20'!$I$7:$I$100,2)+SUMIFS('20a'!$N$7:$N$100,'20a'!$H$7:$H$100,$A428,'20a'!$I$7:$I$100,2)+SUMIFS('21'!$N$7:$N$100,'21'!$H$7:$H$100,$A428,'21'!$I$7:$I$100,2)+SUMIFS('22'!$N$7:$N$100,'22'!$H$7:$H$100,$A428,'22'!$I$7:$I$100,2)+SUMIFS('22a'!$N$7:$N$100,'22a'!$H$7:$H$100,$A428,'22a'!$I$7:$I$100,2)+SUMIFS('22b'!$N$7:$N$100,'22b'!$H$7:$H$100,$A428,'22b'!$I$7:$I$100,2)+SUMIFS('23'!$N$7:$N$100,'23'!$H$7:$H$100,$A428,'23'!$I$7:$I$100,2)+SUMIFS('24'!$N$7:$N$100,'24'!$H$7:$H$100,$A428,'24'!$I$7:$I$100,2)+SUMIFS('24a'!$N$7:$N$100,'24a'!$H$7:$H$100,$A428,'24a'!$I$7:$I$100,2)+SUMIFS('24b'!$N$7:$N$100,'24b'!$H$7:$H$100,$A428,'24b'!$I$7:$I$100,2)+SUMIFS('24c'!$N$7:$N$100,'24c'!$H$7:$H$100,$A428,'24c'!$I$7:$I$100,2)+SUMIFS('24d'!$N$7:$N$100,'24d'!$H$7:$H$100,$A428,'24d'!$I$7:$I$100,2)+SUMIFS('24e'!$N$7:$N$100,'24e'!$H$7:$H$100,$A428,'24e'!$I$7:$I$100,2)+SUMIFS('24f'!$N$7:$N$100,'24f'!$H$7:$H$100,$A428,'24f'!$I$7:$I$100,2)+SUMIFS('24g'!$N$7:$N$100,'24g'!$H$7:$H$100,$A428,'24g'!$I$7:$I$100,2)+SUMIFS('24h'!$N$7:$N$100,'24h'!$H$7:$H$100,$A428,'24h'!$I$7:$I$100,2)+SUMIFS('24i'!$N$7:$N$100,'24i'!$H$7:$H$100,$A428,'24i'!$I$7:$I$100,2)+SUMIFS('25'!$N$7:$N$100,'25'!$H$7:$H$100,$A428,'25'!$I$7:$I$100,2)+SUMIFS('26'!$N$7:$N$100,'26'!$H$7:$H$100,$A428,'26'!$I$7:$I$100,2)+SUMIFS('26a'!$N$7:$N$100,'26a'!$H$7:$H$100,$A428,'26a'!$I$7:$I$100,2)+SUMIFS('27'!$N$7:$N$100,'27'!$H$7:$H$100,$A428,'27'!$I$7:$I$100,2)+SUMIFS('27a'!$N$7:$N$100,'27a'!$H$7:$H$100,$A428,'27a'!$I$7:$I$100,2)+SUMIFS('28'!$N$7:$N$100,'28'!$H$7:$H$100,$A428,'28'!$I$7:$I$100,2)+SUMIFS('29'!$N$7:$N$100,'29'!$H$7:$H$100,$A428,'29'!$I$7:$I$100,2)</f>
        <v>0</v>
      </c>
      <c r="E428" s="1315">
        <f>SUMIFS('12'!$N$7:$N$100,'12'!$H$7:$H$100,$A428,'12'!$I$7:$I$100,"")+SUMIFS('13'!$N$7:$N$100,'13'!$H$7:$H$100,$A428,'13'!$I$7:$I$100,"")+SUMIFS('14'!$N$7:$N$100,'14'!$H$7:$H$100,$A428,'14'!$I$7:$I$100,"")+SUMIFS('15'!$N$7:$N$100,'15'!$H$7:$H$100,$A428,'15'!$I$7:$I$100,"")+SUMIFS('15a'!$N$7:$N$100,'15a'!$H$7:$H$100,$A428,'15a'!$I$7:$I$100,"")+SUMIFS('15b'!$N$7:$N$100,'15b'!$H$7:$H$100,$A428,'15b'!$I$7:$I$100,"")+SUMIFS('15c'!$N$7:$N$100,'15c'!$H$7:$H$100,$A428,'15c'!$I$7:$I$100,"")+SUMIFS('15d'!$N$7:$N$100,'15d'!$H$7:$H$100,$A428,'15d'!$I$7:$I$100,"")+SUMIFS('15e'!$N$7:$N$100,'15e'!$H$7:$H$100,$A428,'15e'!$I$7:$I$100,"")+SUMIFS('15f'!$N$7:$N$100,'15f'!$H$7:$H$100,$A428,'15f'!$I$7:$I$100,"")+SUMIFS('15g'!$N$7:$N$100,'15g'!$H$7:$H$100,$A428,'15g'!$I$7:$I$100,"")+SUMIFS('15h'!$N$7:$N$100,'15h'!$H$7:$H$100,$A428,'15h'!$I$7:$I$100,"")+SUMIFS('15i'!$N$7:$N$100,'15i'!$H$7:$H$100,$A428,'15i'!$I$7:$I$100,"")+SUMIFS('15j'!$N$7:$N$100,'15j'!$H$7:$H$100,$A428,'15j'!$I$7:$I$100,"")+SUMIFS('15k'!$N$7:$N$100,'15k'!$H$7:$H$100,$A428,'15k'!$I$7:$I$100,"")+SUMIFS('15l'!$N$7:$N$100,'15l'!$H$7:$H$100,$A428,'15l'!$I$7:$I$100,"")+SUMIFS('15m'!$N$7:$N$100,'15m'!$H$7:$H$100,$A428,'15m'!$I$7:$I$100,"")+SUMIFS('15n'!$N$7:$N$100,'15n'!$H$7:$H$100,$A428,'15n'!$I$7:$I$100,"")+SUMIFS('16'!$N$7:$N$100,'16'!$H$7:$H$100,$A428,'16'!$I$7:$I$100,"")+SUMIFS('16a'!$N$7:$N$100,'16a'!$H$7:$H$100,$A428,'16a'!$I$7:$I$100,"")+SUMIFS('17'!$N$7:$N$100,'17'!$H$7:$H$100,$A428,'17'!$I$7:$I$100,"")+SUMIFS('17a'!$N$7:$N$100,'17a'!$H$7:$H$100,$A428,'17a'!$I$7:$I$100,"")+SUMIFS('18'!$N$7:$N$100,'18'!$H$7:$H$100,$A428,'18'!$I$7:$I$100,"")+SUMIFS('18a'!$N$7:$N$100,'18a'!$H$7:$H$100,$A428,'18a'!$I$7:$I$100,"")
+SUMIFS('19'!$N$7:$N$100,'19'!$H$7:$H$100,$A428,'19'!$I$7:$I$100,"")+SUMIFS('20'!$N$7:$N$100,'20'!$H$7:$H$100,$A428,'20'!$I$7:$I$100,"")+SUMIFS('20a'!$N$7:$N$100,'20a'!$H$7:$H$100,$A428,'20a'!$I$7:$I$100,"")+SUMIFS('21'!$N$7:$N$100,'21'!$H$7:$H$100,$A428,'21'!$I$7:$I$100,"")+SUMIFS('22'!$N$7:$N$100,'22'!$H$7:$H$100,$A428,'22'!$I$7:$I$100,"")+SUMIFS('22a'!$N$7:$N$100,'22a'!$H$7:$H$100,$A428,'22a'!$I$7:$I$100,"")+SUMIFS('22b'!$N$7:$N$100,'22b'!$H$7:$H$100,$A428,'22b'!$I$7:$I$100,"")+SUMIFS('23'!$N$7:$N$100,'23'!$H$7:$H$100,$A428,'23'!$I$7:$I$100,"")+SUMIFS('24'!$N$7:$N$100,'24'!$H$7:$H$100,$A428,'24'!$I$7:$I$100,"")+SUMIFS('24a'!$N$7:$N$100,'24a'!$H$7:$H$100,$A428,'24a'!$I$7:$I$100,"")+SUMIFS('24b'!$N$7:$N$100,'24b'!$H$7:$H$100,$A428,'24b'!$I$7:$I$100,"")+SUMIFS('24c'!$N$7:$N$100,'24c'!$H$7:$H$100,$A428,'24c'!$I$7:$I$100,"")+SUMIFS('24d'!$N$7:$N$100,'24d'!$H$7:$H$100,$A428,'24d'!$I$7:$I$100,"")+SUMIFS('24e'!$N$7:$N$100,'24e'!$H$7:$H$100,$A428,'24e'!$I$7:$I$100,"")+SUMIFS('24f'!$N$7:$N$100,'24f'!$H$7:$H$100,$A428,'24f'!$I$7:$I$100,"")+SUMIFS('24g'!$N$7:$N$100,'24g'!$H$7:$H$100,$A428,'24g'!$I$7:$I$100,"")+SUMIFS('24h'!$N$7:$N$100,'24h'!$H$7:$H$100,$A428,'24h'!$I$7:$I$100,"")+SUMIFS('24i'!$N$7:$N$100,'24i'!$H$7:$H$100,$A428,'24i'!$I$7:$I$100,"")+SUMIFS('25'!$N$7:$N$100,'25'!$H$7:$H$100,$A428,'25'!$I$7:$I$100,"")+SUMIFS('26'!$N$7:$N$100,'26'!$H$7:$H$100,$A428,'26'!$I$7:$I$100,"")+SUMIFS('26a'!$N$7:$N$100,'26a'!$H$7:$H$100,$A428,'26a'!$I$7:$I$100,"")+SUMIFS('27'!$N$7:$N$100,'27'!$H$7:$H$100,$A428,'27'!$I$7:$I$100,"")+SUMIFS('27a'!$N$7:$N$100,'27a'!$H$7:$H$100,$A428,'27a'!$I$7:$I$100,"")+SUMIFS('28'!$N$7:$N$100,'28'!$H$7:$H$100,$A428,'28'!$I$7:$I$100,"")+SUMIFS('29'!$N$7:$N$100,'29'!$H$7:$H$100,$A428,'29'!$I$7:$I$100,"")</f>
        <v>0</v>
      </c>
      <c r="F428" s="1296">
        <f>SUM(C428:E428)</f>
        <v>0</v>
      </c>
      <c r="G428" s="1295">
        <f>SUMIFS('12'!$J$7:$J$100,'12'!$H$7:$H$100,$A428,'12'!$I$7:$I$100,1)+SUMIFS('13'!$J$7:$J$100,'13'!$H$7:$H$100,$A428,'13'!$I$7:$I$100,1)+SUMIFS('14'!$J$7:$J$100,'14'!$H$7:$H$100,$A428,'14'!$I$7:$I$100,1)+SUMIFS('15'!$J$7:$J$100,'15'!$H$7:$H$100,$A428,'15'!$I$7:$I$100,1)+SUMIFS('15a'!$J$7:$J$100,'15a'!$H$7:$H$100,$A428,'15a'!$I$7:$I$100,1)+SUMIFS('15b'!$J$7:$J$100,'15b'!$H$7:$H$100,$A428,'15b'!$I$7:$I$100,1)+SUMIFS('15c'!$J$7:$J$100,'15c'!$H$7:$H$100,$A428,'15c'!$I$7:$I$100,1)+SUMIFS('15d'!$J$7:$J$100,'15d'!$H$7:$H$100,$A428,'15d'!$I$7:$I$100,1)+SUMIFS('15e'!$J$7:$J$100,'15e'!$H$7:$H$100,$A428,'15e'!$I$7:$I$100,1)+SUMIFS('15f'!$J$7:$J$100,'15f'!$H$7:$H$100,$A428,'15f'!$I$7:$I$100,1)+SUMIFS('15g'!$J$7:$J$100,'15g'!$H$7:$H$100,$A428,'15g'!$I$7:$I$100,1)+SUMIFS('15h'!$J$7:$J$100,'15h'!$H$7:$H$100,$A428,'15h'!$I$7:$I$100,1)+SUMIFS('15i'!$J$7:$J$100,'15i'!$H$7:$H$100,$A428,'15i'!$I$7:$I$100,1)+SUMIFS('15j'!$J$7:$J$100,'15j'!$H$7:$H$100,$A428,'15j'!$I$7:$I$100,1)+SUMIFS('15k'!$J$7:$J$100,'15k'!$H$7:$H$100,$A428,'15k'!$I$7:$I$100,1)+SUMIFS('15l'!$J$7:$J$100,'15l'!$H$7:$H$100,$A428,'15l'!$I$7:$I$100,1)+SUMIFS('15m'!$J$7:$J$100,'15m'!$H$7:$H$100,$A428,'15m'!$I$7:$I$100,1)+SUMIFS('15n'!$J$7:$J$100,'15n'!$H$7:$H$100,$A428,'15n'!$I$7:$I$100,1)+SUMIFS('16'!$J$7:$J$100,'16'!$H$7:$H$100,$A428,'16'!$I$7:$I$100,1)+SUMIFS('16a'!$J$7:$J$100,'16a'!$H$7:$H$100,$A428,'16a'!$I$7:$I$100,1)+SUMIFS('17'!$J$7:$J$100,'17'!$H$7:$H$100,$A428,'17'!$I$7:$I$100,1)+SUMIFS('17a'!$J$7:$J$100,'17a'!$H$7:$H$100,$A428,'17a'!$I$7:$I$100,1)+SUMIFS('18'!$J$7:$J$100,'18'!$H$7:$H$100,$A428,'18'!$I$7:$I$100,1)+SUMIFS('18a'!$J$7:$J$100,'18a'!$H$7:$H$100,$A428,'18a'!$I$7:$I$100,1)
+SUMIFS('19'!$J$7:$J$100,'19'!$H$7:$H$100,$A428,'19'!$I$7:$I$100,1)+SUMIFS('20'!$J$7:$J$100,'20'!$H$7:$H$100,$A428,'20'!$I$7:$I$100,1)+SUMIFS('20a'!$J$7:$J$100,'20a'!$H$7:$H$100,$A428,'20a'!$I$7:$I$100,1)+SUMIFS('21'!$J$7:$J$100,'21'!$H$7:$H$100,$A428,'21'!$I$7:$I$100,1)+SUMIFS('22'!$J$7:$J$100,'22'!$H$7:$H$100,$A428,'22'!$I$7:$I$100,1)+SUMIFS('22a'!$J$7:$J$100,'22a'!$H$7:$H$100,$A428,'22a'!$I$7:$I$100,1)+SUMIFS('22b'!$J$7:$J$100,'22b'!$H$7:$H$100,$A428,'22b'!$I$7:$I$100,1)+SUMIFS('23'!$J$7:$J$100,'23'!$H$7:$H$100,$A428,'23'!$I$7:$I$100,1)+SUMIFS('24'!$J$7:$J$100,'24'!$H$7:$H$100,$A428,'24'!$I$7:$I$100,1)+SUMIFS('24a'!$J$7:$J$100,'24a'!$H$7:$H$100,$A428,'24a'!$I$7:$I$100,1)+SUMIFS('24b'!$J$7:$J$100,'24b'!$H$7:$H$100,$A428,'24b'!$I$7:$I$100,1)+SUMIFS('24c'!$J$7:$J$100,'24c'!$H$7:$H$100,$A428,'24c'!$I$7:$I$100,1)+SUMIFS('24d'!$J$7:$J$100,'24d'!$H$7:$H$100,$A428,'24d'!$I$7:$I$100,1)+SUMIFS('24e'!$J$7:$J$100,'24e'!$H$7:$H$100,$A428,'24e'!$I$7:$I$100,1)+SUMIFS('24f'!$J$7:$J$100,'24f'!$H$7:$H$100,$A428,'24f'!$I$7:$I$100,1)+SUMIFS('24g'!$J$7:$J$100,'24g'!$H$7:$H$100,$A428,'24g'!$I$7:$I$100,1)+SUMIFS('24h'!$J$7:$J$100,'24h'!$H$7:$H$100,$A428,'24h'!$I$7:$I$100,1)+SUMIFS('24i'!$J$7:$J$100,'24i'!$H$7:$H$100,$A428,'24i'!$I$7:$I$100,1)+SUMIFS('25'!$J$7:$J$100,'25'!$H$7:$H$100,$A428,'25'!$I$7:$I$100,1)+SUMIFS('26'!$J$7:$J$100,'26'!$H$7:$H$100,$A428,'26'!$I$7:$I$100,1)+SUMIFS('26a'!$J$7:$J$100,'26a'!$H$7:$H$100,$A428,'26a'!$I$7:$I$100,1)+SUMIFS('27'!$J$7:$J$100,'27'!$H$7:$H$100,$A428,'27'!$I$7:$I$100,1)+SUMIFS('27a'!$J$7:$J$100,'27a'!$H$7:$H$100,$A428,'27a'!$I$7:$I$100,1)+SUMIFS('28'!$J$7:$J$100,'28'!$H$7:$H$100,$A428,'28'!$I$7:$I$100,1)+SUMIFS('29'!$J$7:$J$100,'29'!$H$7:$H$100,$A428,'29'!$I$7:$I$100,1)</f>
        <v>0</v>
      </c>
      <c r="H428" s="1315">
        <f>SUMIFS('12'!$J$7:$J$100,'12'!$H$7:$H$100,$A428,'12'!$I$7:$I$100,2)+SUMIFS('13'!$J$7:$J$100,'13'!$H$7:$H$100,$A428,'13'!$I$7:$I$100,2)+SUMIFS('14'!$J$7:$J$100,'14'!$H$7:$H$100,$A428,'14'!$I$7:$I$100,2)+SUMIFS('15'!$J$7:$J$100,'15'!$H$7:$H$100,$A428,'15'!$I$7:$I$100,2)+SUMIFS('15a'!$J$7:$J$100,'15a'!$H$7:$H$100,$A428,'15a'!$I$7:$I$100,2)+SUMIFS('15b'!$J$7:$J$100,'15b'!$H$7:$H$100,$A428,'15b'!$I$7:$I$100,2)+SUMIFS('15c'!$J$7:$J$100,'15c'!$H$7:$H$100,$A428,'15c'!$I$7:$I$100,2)+SUMIFS('15d'!$J$7:$J$100,'15d'!$H$7:$H$100,$A428,'15d'!$I$7:$I$100,2)+SUMIFS('15e'!$J$7:$J$100,'15e'!$H$7:$H$100,$A428,'15e'!$I$7:$I$100,2)+SUMIFS('15f'!$J$7:$J$100,'15f'!$H$7:$H$100,$A428,'15f'!$I$7:$I$100,2)+SUMIFS('15g'!$J$7:$J$100,'15g'!$H$7:$H$100,$A428,'15g'!$I$7:$I$100,2)+SUMIFS('15h'!$J$7:$J$100,'15h'!$H$7:$H$100,$A428,'15h'!$I$7:$I$100,2)+SUMIFS('15i'!$J$7:$J$100,'15i'!$H$7:$H$100,$A428,'15i'!$I$7:$I$100,2)+SUMIFS('15j'!$J$7:$J$100,'15j'!$H$7:$H$100,$A428,'15j'!$I$7:$I$100,2)+SUMIFS('15k'!$J$7:$J$100,'15k'!$H$7:$H$100,$A428,'15k'!$I$7:$I$100,2)+SUMIFS('15l'!$J$7:$J$100,'15l'!$H$7:$H$100,$A428,'15l'!$I$7:$I$100,2)+SUMIFS('15m'!$J$7:$J$100,'15m'!$H$7:$H$100,$A428,'15m'!$I$7:$I$100,2)+SUMIFS('15n'!$J$7:$J$100,'15n'!$H$7:$H$100,$A428,'15n'!$I$7:$I$100,2)+SUMIFS('16'!$J$7:$J$100,'16'!$H$7:$H$100,$A428,'16'!$I$7:$I$100,2)+SUMIFS('16a'!$J$7:$J$100,'16a'!$H$7:$H$100,$A428,'16a'!$I$7:$I$100,2)+SUMIFS('17'!$J$7:$J$100,'17'!$H$7:$H$100,$A428,'17'!$I$7:$I$100,2)+SUMIFS('17a'!$J$7:$J$100,'17a'!$H$7:$H$100,$A428,'17a'!$I$7:$I$100,2)+SUMIFS('18'!$J$7:$J$100,'18'!$H$7:$H$100,$A428,'18'!$I$7:$I$100,2)+SUMIFS('18a'!$J$7:$J$100,'18a'!$H$7:$H$100,$A428,'18a'!$I$7:$I$100,2)
+SUMIFS('19'!$J$7:$J$100,'19'!$H$7:$H$100,$A428,'19'!$I$7:$I$100,2)+SUMIFS('20'!$J$7:$J$100,'20'!$H$7:$H$100,$A428,'20'!$I$7:$I$100,2)+SUMIFS('20a'!$J$7:$J$100,'20a'!$H$7:$H$100,$A428,'20a'!$I$7:$I$100,2)+SUMIFS('21'!$J$7:$J$100,'21'!$H$7:$H$100,$A428,'21'!$I$7:$I$100,2)+SUMIFS('22'!$J$7:$J$100,'22'!$H$7:$H$100,$A428,'22'!$I$7:$I$100,2)+SUMIFS('22a'!$J$7:$J$100,'22a'!$H$7:$H$100,$A428,'22a'!$I$7:$I$100,2)+SUMIFS('22b'!$J$7:$J$100,'22b'!$H$7:$H$100,$A428,'22b'!$I$7:$I$100,2)+SUMIFS('23'!$J$7:$J$100,'23'!$H$7:$H$100,$A428,'23'!$I$7:$I$100,2)+SUMIFS('24'!$J$7:$J$100,'24'!$H$7:$H$100,$A428,'24'!$I$7:$I$100,2)+SUMIFS('24a'!$J$7:$J$100,'24a'!$H$7:$H$100,$A428,'24a'!$I$7:$I$100,2)+SUMIFS('24b'!$J$7:$J$100,'24b'!$H$7:$H$100,$A428,'24b'!$I$7:$I$100,2)+SUMIFS('24c'!$J$7:$J$100,'24c'!$H$7:$H$100,$A428,'24c'!$I$7:$I$100,2)+SUMIFS('24d'!$J$7:$J$100,'24d'!$H$7:$H$100,$A428,'24d'!$I$7:$I$100,2)+SUMIFS('24e'!$J$7:$J$100,'24e'!$H$7:$H$100,$A428,'24e'!$I$7:$I$100,2)+SUMIFS('24f'!$J$7:$J$100,'24f'!$H$7:$H$100,$A428,'24f'!$I$7:$I$100,2)+SUMIFS('24g'!$J$7:$J$100,'24g'!$H$7:$H$100,$A428,'24g'!$I$7:$I$100,2)+SUMIFS('24h'!$J$7:$J$100,'24h'!$H$7:$H$100,$A428,'24h'!$I$7:$I$100,2)+SUMIFS('24i'!$J$7:$J$100,'24i'!$H$7:$H$100,$A428,'24i'!$I$7:$I$100,2)+SUMIFS('25'!$J$7:$J$100,'25'!$H$7:$H$100,$A428,'25'!$I$7:$I$100,2)+SUMIFS('26'!$J$7:$J$100,'26'!$H$7:$H$100,$A428,'26'!$I$7:$I$100,2)+SUMIFS('26a'!$J$7:$J$100,'26a'!$H$7:$H$100,$A428,'26a'!$I$7:$I$100,2)+SUMIFS('27'!$J$7:$J$100,'27'!$H$7:$H$100,$A428,'27'!$I$7:$I$100,2)+SUMIFS('27a'!$J$7:$J$100,'27a'!$H$7:$H$100,$A428,'27a'!$I$7:$I$100,2)+SUMIFS('28'!$J$7:$J$100,'28'!$H$7:$H$100,$A428,'28'!$I$7:$I$100,2)+SUMIFS('29'!$J$7:$J$100,'29'!$H$7:$H$100,$A428,'29'!$I$7:$I$100,2)</f>
        <v>0</v>
      </c>
      <c r="I428" s="1315">
        <f>SUMIFS('12'!$J$7:$J$100,'12'!$H$7:$H$100,$A428,'12'!$I$7:$I$100,"")+SUMIFS('13'!$J$7:$J$100,'13'!$H$7:$H$100,$A428,'13'!$I$7:$I$100,"")+SUMIFS('14'!$J$7:$J$100,'14'!$H$7:$H$100,$A428,'14'!$I$7:$I$100,"")+SUMIFS('15'!$J$7:$J$100,'15'!$H$7:$H$100,$A428,'15'!$I$7:$I$100,"")+SUMIFS('15a'!$J$7:$J$100,'15a'!$H$7:$H$100,$A428,'15a'!$I$7:$I$100,"")+SUMIFS('15b'!$J$7:$J$100,'15b'!$H$7:$H$100,$A428,'15b'!$I$7:$I$100,"")+SUMIFS('15c'!$J$7:$J$100,'15c'!$H$7:$H$100,$A428,'15c'!$I$7:$I$100,"")+SUMIFS('15d'!$J$7:$J$100,'15d'!$H$7:$H$100,$A428,'15d'!$I$7:$I$100,"")+SUMIFS('15e'!$J$7:$J$100,'15e'!$H$7:$H$100,$A428,'15e'!$I$7:$I$100,"")+SUMIFS('15f'!$J$7:$J$100,'15f'!$H$7:$H$100,$A428,'15f'!$I$7:$I$100,"")+SUMIFS('15g'!$J$7:$J$100,'15g'!$H$7:$H$100,$A428,'15g'!$I$7:$I$100,"")+SUMIFS('15h'!$J$7:$J$100,'15h'!$H$7:$H$100,$A428,'15h'!$I$7:$I$100,"")+SUMIFS('15i'!$J$7:$J$100,'15i'!$H$7:$H$100,$A428,'15i'!$I$7:$I$100,"")+SUMIFS('15j'!$J$7:$J$100,'15j'!$H$7:$H$100,$A428,'15j'!$I$7:$I$100,"")+SUMIFS('15k'!$J$7:$J$100,'15k'!$H$7:$H$100,$A428,'15k'!$I$7:$I$100,"")+SUMIFS('15l'!$J$7:$J$100,'15l'!$H$7:$H$100,$A428,'15l'!$I$7:$I$100,"")+SUMIFS('15m'!$J$7:$J$100,'15m'!$H$7:$H$100,$A428,'15m'!$I$7:$I$100,"")+SUMIFS('15n'!$J$7:$J$100,'15n'!$H$7:$H$100,$A428,'15n'!$I$7:$I$100,"")+SUMIFS('16'!$J$7:$J$100,'16'!$H$7:$H$100,$A428,'16'!$I$7:$I$100,"")+SUMIFS('16a'!$J$7:$J$100,'16a'!$H$7:$H$100,$A428,'16a'!$I$7:$I$100,"")+SUMIFS('17'!$J$7:$J$100,'17'!$H$7:$H$100,$A428,'17'!$I$7:$I$100,"")+SUMIFS('17a'!$J$7:$J$100,'17a'!$H$7:$H$100,$A428,'17a'!$I$7:$I$100,"")+SUMIFS('18'!$J$7:$J$100,'18'!$H$7:$H$100,$A428,'18'!$I$7:$I$100,"")+SUMIFS('18a'!$J$7:$J$100,'18a'!$H$7:$H$100,$A428,'18a'!$I$7:$I$100,"")
+SUMIFS('19'!$J$7:$J$100,'19'!$H$7:$H$100,$A428,'19'!$I$7:$I$100,"")+SUMIFS('20'!$J$7:$J$100,'20'!$H$7:$H$100,$A428,'20'!$I$7:$I$100,"")+SUMIFS('20a'!$J$7:$J$100,'20a'!$H$7:$H$100,$A428,'20a'!$I$7:$I$100,"")+SUMIFS('21'!$J$7:$J$100,'21'!$H$7:$H$100,$A428,'21'!$I$7:$I$100,"")+SUMIFS('22'!$J$7:$J$100,'22'!$H$7:$H$100,$A428,'22'!$I$7:$I$100,"")+SUMIFS('22a'!$J$7:$J$100,'22a'!$H$7:$H$100,$A428,'22a'!$I$7:$I$100,"")+SUMIFS('22b'!$J$7:$J$100,'22b'!$H$7:$H$100,$A428,'22b'!$I$7:$I$100,"")+SUMIFS('23'!$J$7:$J$100,'23'!$H$7:$H$100,$A428,'23'!$I$7:$I$100,"")+SUMIFS('24'!$J$7:$J$100,'24'!$H$7:$H$100,$A428,'24'!$I$7:$I$100,"")+SUMIFS('24a'!$J$7:$J$100,'24a'!$H$7:$H$100,$A428,'24a'!$I$7:$I$100,"")+SUMIFS('24b'!$J$7:$J$100,'24b'!$H$7:$H$100,$A428,'24b'!$I$7:$I$100,"")+SUMIFS('24c'!$J$7:$J$100,'24c'!$H$7:$H$100,$A428,'24c'!$I$7:$I$100,"")+SUMIFS('24d'!$J$7:$J$100,'24d'!$H$7:$H$100,$A428,'24d'!$I$7:$I$100,"")+SUMIFS('24e'!$J$7:$J$100,'24e'!$H$7:$H$100,$A428,'24e'!$I$7:$I$100,"")+SUMIFS('24f'!$J$7:$J$100,'24f'!$H$7:$H$100,$A428,'24f'!$I$7:$I$100,"")+SUMIFS('24g'!$J$7:$J$100,'24g'!$H$7:$H$100,$A428,'24g'!$I$7:$I$100,"")+SUMIFS('24h'!$J$7:$J$100,'24h'!$H$7:$H$100,$A428,'24h'!$I$7:$I$100,"")+SUMIFS('24i'!$J$7:$J$100,'24i'!$H$7:$H$100,$A428,'24i'!$I$7:$I$100,"")+SUMIFS('25'!$J$7:$J$100,'25'!$H$7:$H$100,$A428,'25'!$I$7:$I$100,"")+SUMIFS('26'!$J$7:$J$100,'26'!$H$7:$H$100,$A428,'26'!$I$7:$I$100,"")+SUMIFS('26a'!$J$7:$J$100,'26a'!$H$7:$H$100,$A428,'26a'!$I$7:$I$100,"")+SUMIFS('27'!$J$7:$J$100,'27'!$H$7:$H$100,$A428,'27'!$I$7:$I$100,"")+SUMIFS('27a'!$J$7:$J$100,'27a'!$H$7:$H$100,$A428,'27a'!$I$7:$I$100,"")+SUMIFS('28'!$J$7:$J$100,'28'!$H$7:$H$100,$A428,'28'!$I$7:$I$100,"")+SUMIFS('29'!$J$7:$J$100,'29'!$H$7:$H$100,$A428,'29'!$I$7:$I$100,"")</f>
        <v>0</v>
      </c>
      <c r="J428" s="1296">
        <f>SUM(G428:I428)</f>
        <v>0</v>
      </c>
      <c r="K428"/>
      <c r="L428"/>
      <c r="M428"/>
      <c r="N428"/>
      <c r="O428"/>
      <c r="P428"/>
      <c r="Q428"/>
      <c r="R428"/>
      <c r="S428" s="1307">
        <f t="shared" si="71"/>
        <v>0</v>
      </c>
      <c r="T428"/>
    </row>
    <row r="429" spans="1:20" outlineLevel="1" x14ac:dyDescent="0.2">
      <c r="A429" s="784" t="s">
        <v>5292</v>
      </c>
      <c r="B429" t="s">
        <v>5462</v>
      </c>
      <c r="C429" s="1295">
        <f>SUMIFS('12'!$N$7:$N$100,'12'!$H$7:$H$100,$A429,'12'!$I$7:$I$100,1)+SUMIFS('13'!$N$7:$N$100,'13'!$H$7:$H$100,$A429,'13'!$I$7:$I$100,1)+SUMIFS('14'!$N$7:$N$100,'14'!$H$7:$H$100,$A429,'14'!$I$7:$I$100,1)+SUMIFS('15'!$N$7:$N$100,'15'!$H$7:$H$100,$A429,'15'!$I$7:$I$100,1)+SUMIFS('15a'!$N$7:$N$100,'15a'!$H$7:$H$100,$A429,'15a'!$I$7:$I$100,1)+SUMIFS('15b'!$N$7:$N$100,'15b'!$H$7:$H$100,$A429,'15b'!$I$7:$I$100,1)+SUMIFS('15c'!$N$7:$N$100,'15c'!$H$7:$H$100,$A429,'15c'!$I$7:$I$100,1)+SUMIFS('15d'!$N$7:$N$100,'15d'!$H$7:$H$100,$A429,'15d'!$I$7:$I$100,1)+SUMIFS('15e'!$N$7:$N$100,'15e'!$H$7:$H$100,$A429,'15e'!$I$7:$I$100,1)+SUMIFS('15f'!$N$7:$N$100,'15f'!$H$7:$H$100,$A429,'15f'!$I$7:$I$100,1)+SUMIFS('15g'!$N$7:$N$100,'15g'!$H$7:$H$100,$A429,'15g'!$I$7:$I$100,1)+SUMIFS('15h'!$N$7:$N$100,'15h'!$H$7:$H$100,$A429,'15h'!$I$7:$I$100,1)+SUMIFS('15i'!$N$7:$N$100,'15i'!$H$7:$H$100,$A429,'15i'!$I$7:$I$100,1)+SUMIFS('15j'!$N$7:$N$100,'15j'!$H$7:$H$100,$A429,'15j'!$I$7:$I$100,1)+SUMIFS('15k'!$N$7:$N$100,'15k'!$H$7:$H$100,$A429,'15k'!$I$7:$I$100,1)+SUMIFS('15l'!$N$7:$N$100,'15l'!$H$7:$H$100,$A429,'15l'!$I$7:$I$100,1)+SUMIFS('15m'!$N$7:$N$100,'15m'!$H$7:$H$100,$A429,'15m'!$I$7:$I$100,1)+SUMIFS('15n'!$N$7:$N$100,'15n'!$H$7:$H$100,$A429,'15n'!$I$7:$I$100,1)+SUMIFS('16'!$N$7:$N$100,'16'!$H$7:$H$100,$A429,'16'!$I$7:$I$100,1)+SUMIFS('16a'!$N$7:$N$100,'16a'!$H$7:$H$100,$A429,'16a'!$I$7:$I$100,1)+SUMIFS('17'!$N$7:$N$100,'17'!$H$7:$H$100,$A429,'17'!$I$7:$I$100,1)+SUMIFS('17a'!$N$7:$N$100,'17a'!$H$7:$H$100,$A429,'17a'!$I$7:$I$100,1)+SUMIFS('18'!$N$7:$N$100,'18'!$H$7:$H$100,$A429,'18'!$I$7:$I$100,1)+SUMIFS('18a'!$N$7:$N$100,'18a'!$H$7:$H$100,$A429,'18a'!$I$7:$I$100,1)
+SUMIFS('19'!$N$7:$N$100,'19'!$H$7:$H$100,$A429,'19'!$I$7:$I$100,1)+SUMIFS('20'!$N$7:$N$100,'20'!$H$7:$H$100,$A429,'20'!$I$7:$I$100,1)+SUMIFS('20a'!$N$7:$N$100,'20a'!$H$7:$H$100,$A429,'20a'!$I$7:$I$100,1)+SUMIFS('21'!$N$7:$N$100,'21'!$H$7:$H$100,$A429,'21'!$I$7:$I$100,1)+SUMIFS('22'!$N$7:$N$100,'22'!$H$7:$H$100,$A429,'22'!$I$7:$I$100,1)+SUMIFS('22a'!$N$7:$N$100,'22a'!$H$7:$H$100,$A429,'22a'!$I$7:$I$100,1)+SUMIFS('22b'!$N$7:$N$100,'22b'!$H$7:$H$100,$A429,'22b'!$I$7:$I$100,1)+SUMIFS('23'!$N$7:$N$100,'23'!$H$7:$H$100,$A429,'23'!$I$7:$I$100,1)+SUMIFS('24'!$N$7:$N$100,'24'!$H$7:$H$100,$A429,'24'!$I$7:$I$100,1)+SUMIFS('24a'!$N$7:$N$100,'24a'!$H$7:$H$100,$A429,'24a'!$I$7:$I$100,1)+SUMIFS('24b'!$N$7:$N$100,'24b'!$H$7:$H$100,$A429,'24b'!$I$7:$I$100,1)+SUMIFS('24c'!$N$7:$N$100,'24c'!$H$7:$H$100,$A429,'24c'!$I$7:$I$100,1)+SUMIFS('24d'!$N$7:$N$100,'24d'!$H$7:$H$100,$A429,'24d'!$I$7:$I$100,1)+SUMIFS('24e'!$N$7:$N$100,'24e'!$H$7:$H$100,$A429,'24e'!$I$7:$I$100,1)+SUMIFS('24f'!$N$7:$N$100,'24f'!$H$7:$H$100,$A429,'24f'!$I$7:$I$100,1)+SUMIFS('24g'!$N$7:$N$100,'24g'!$H$7:$H$100,$A429,'24g'!$I$7:$I$100,1)+SUMIFS('24h'!$N$7:$N$100,'24h'!$H$7:$H$100,$A429,'24h'!$I$7:$I$100,1)+SUMIFS('24i'!$N$7:$N$100,'24i'!$H$7:$H$100,$A429,'24i'!$I$7:$I$100,1)+SUMIFS('25'!$N$7:$N$100,'25'!$H$7:$H$100,$A429,'25'!$I$7:$I$100,1)+SUMIFS('26'!$N$7:$N$100,'26'!$H$7:$H$100,$A429,'26'!$I$7:$I$100,1)+SUMIFS('26a'!$N$7:$N$100,'26a'!$H$7:$H$100,$A429,'26a'!$I$7:$I$100,1)+SUMIFS('27'!$N$7:$N$100,'27'!$H$7:$H$100,$A429,'27'!$I$7:$I$100,1)+SUMIFS('27a'!$N$7:$N$100,'27a'!$H$7:$H$100,$A429,'27a'!$I$7:$I$100,1)+SUMIFS('28'!$N$7:$N$100,'28'!$H$7:$H$100,$A429,'28'!$I$7:$I$100,1)+SUMIFS('29'!$N$7:$N$100,'29'!$H$7:$H$100,$A429,'29'!$I$7:$I$100,1)</f>
        <v>0</v>
      </c>
      <c r="D429" s="1315">
        <f>SUMIFS('12'!$N$7:$N$100,'12'!$H$7:$H$100,$A429,'12'!$I$7:$I$100,2)+SUMIFS('13'!$N$7:$N$100,'13'!$H$7:$H$100,$A429,'13'!$I$7:$I$100,2)+SUMIFS('14'!$N$7:$N$100,'14'!$H$7:$H$100,$A429,'14'!$I$7:$I$100,2)+SUMIFS('15'!$N$7:$N$100,'15'!$H$7:$H$100,$A429,'15'!$I$7:$I$100,2)+SUMIFS('15a'!$N$7:$N$100,'15a'!$H$7:$H$100,$A429,'15a'!$I$7:$I$100,2)+SUMIFS('15b'!$N$7:$N$100,'15b'!$H$7:$H$100,$A429,'15b'!$I$7:$I$100,2)+SUMIFS('15c'!$N$7:$N$100,'15c'!$H$7:$H$100,$A429,'15c'!$I$7:$I$100,2)+SUMIFS('15d'!$N$7:$N$100,'15d'!$H$7:$H$100,$A429,'15d'!$I$7:$I$100,2)+SUMIFS('15e'!$N$7:$N$100,'15e'!$H$7:$H$100,$A429,'15e'!$I$7:$I$100,2)+SUMIFS('15f'!$N$7:$N$100,'15f'!$H$7:$H$100,$A429,'15f'!$I$7:$I$100,2)+SUMIFS('15g'!$N$7:$N$100,'15g'!$H$7:$H$100,$A429,'15g'!$I$7:$I$100,2)+SUMIFS('15h'!$N$7:$N$100,'15h'!$H$7:$H$100,$A429,'15h'!$I$7:$I$100,2)+SUMIFS('15i'!$N$7:$N$100,'15i'!$H$7:$H$100,$A429,'15i'!$I$7:$I$100,2)+SUMIFS('15j'!$N$7:$N$100,'15j'!$H$7:$H$100,$A429,'15j'!$I$7:$I$100,2)+SUMIFS('15k'!$N$7:$N$100,'15k'!$H$7:$H$100,$A429,'15k'!$I$7:$I$100,2)+SUMIFS('15l'!$N$7:$N$100,'15l'!$H$7:$H$100,$A429,'15l'!$I$7:$I$100,2)+SUMIFS('15m'!$N$7:$N$100,'15m'!$H$7:$H$100,$A429,'15m'!$I$7:$I$100,2)+SUMIFS('15n'!$N$7:$N$100,'15n'!$H$7:$H$100,$A429,'15n'!$I$7:$I$100,2)+SUMIFS('16'!$N$7:$N$100,'16'!$H$7:$H$100,$A429,'16'!$I$7:$I$100,2)+SUMIFS('16a'!$N$7:$N$100,'16a'!$H$7:$H$100,$A429,'16a'!$I$7:$I$100,2)+SUMIFS('17'!$N$7:$N$100,'17'!$H$7:$H$100,$A429,'17'!$I$7:$I$100,2)+SUMIFS('17a'!$N$7:$N$100,'17a'!$H$7:$H$100,$A429,'17a'!$I$7:$I$100,2)+SUMIFS('18'!$N$7:$N$100,'18'!$H$7:$H$100,$A429,'18'!$I$7:$I$100,2)+SUMIFS('18a'!$N$7:$N$100,'18a'!$H$7:$H$100,$A429,'18a'!$I$7:$I$100,2)
+SUMIFS('19'!$N$7:$N$100,'19'!$H$7:$H$100,$A429,'19'!$I$7:$I$100,2)+SUMIFS('20'!$N$7:$N$100,'20'!$H$7:$H$100,$A429,'20'!$I$7:$I$100,2)+SUMIFS('20a'!$N$7:$N$100,'20a'!$H$7:$H$100,$A429,'20a'!$I$7:$I$100,2)+SUMIFS('21'!$N$7:$N$100,'21'!$H$7:$H$100,$A429,'21'!$I$7:$I$100,2)+SUMIFS('22'!$N$7:$N$100,'22'!$H$7:$H$100,$A429,'22'!$I$7:$I$100,2)+SUMIFS('22a'!$N$7:$N$100,'22a'!$H$7:$H$100,$A429,'22a'!$I$7:$I$100,2)+SUMIFS('22b'!$N$7:$N$100,'22b'!$H$7:$H$100,$A429,'22b'!$I$7:$I$100,2)+SUMIFS('23'!$N$7:$N$100,'23'!$H$7:$H$100,$A429,'23'!$I$7:$I$100,2)+SUMIFS('24'!$N$7:$N$100,'24'!$H$7:$H$100,$A429,'24'!$I$7:$I$100,2)+SUMIFS('24a'!$N$7:$N$100,'24a'!$H$7:$H$100,$A429,'24a'!$I$7:$I$100,2)+SUMIFS('24b'!$N$7:$N$100,'24b'!$H$7:$H$100,$A429,'24b'!$I$7:$I$100,2)+SUMIFS('24c'!$N$7:$N$100,'24c'!$H$7:$H$100,$A429,'24c'!$I$7:$I$100,2)+SUMIFS('24d'!$N$7:$N$100,'24d'!$H$7:$H$100,$A429,'24d'!$I$7:$I$100,2)+SUMIFS('24e'!$N$7:$N$100,'24e'!$H$7:$H$100,$A429,'24e'!$I$7:$I$100,2)+SUMIFS('24f'!$N$7:$N$100,'24f'!$H$7:$H$100,$A429,'24f'!$I$7:$I$100,2)+SUMIFS('24g'!$N$7:$N$100,'24g'!$H$7:$H$100,$A429,'24g'!$I$7:$I$100,2)+SUMIFS('24h'!$N$7:$N$100,'24h'!$H$7:$H$100,$A429,'24h'!$I$7:$I$100,2)+SUMIFS('24i'!$N$7:$N$100,'24i'!$H$7:$H$100,$A429,'24i'!$I$7:$I$100,2)+SUMIFS('25'!$N$7:$N$100,'25'!$H$7:$H$100,$A429,'25'!$I$7:$I$100,2)+SUMIFS('26'!$N$7:$N$100,'26'!$H$7:$H$100,$A429,'26'!$I$7:$I$100,2)+SUMIFS('26a'!$N$7:$N$100,'26a'!$H$7:$H$100,$A429,'26a'!$I$7:$I$100,2)+SUMIFS('27'!$N$7:$N$100,'27'!$H$7:$H$100,$A429,'27'!$I$7:$I$100,2)+SUMIFS('27a'!$N$7:$N$100,'27a'!$H$7:$H$100,$A429,'27a'!$I$7:$I$100,2)+SUMIFS('28'!$N$7:$N$100,'28'!$H$7:$H$100,$A429,'28'!$I$7:$I$100,2)+SUMIFS('29'!$N$7:$N$100,'29'!$H$7:$H$100,$A429,'29'!$I$7:$I$100,2)</f>
        <v>0</v>
      </c>
      <c r="E429" s="1315">
        <f>SUMIFS('12'!$N$7:$N$100,'12'!$H$7:$H$100,$A429,'12'!$I$7:$I$100,"")+SUMIFS('13'!$N$7:$N$100,'13'!$H$7:$H$100,$A429,'13'!$I$7:$I$100,"")+SUMIFS('14'!$N$7:$N$100,'14'!$H$7:$H$100,$A429,'14'!$I$7:$I$100,"")+SUMIFS('15'!$N$7:$N$100,'15'!$H$7:$H$100,$A429,'15'!$I$7:$I$100,"")+SUMIFS('15a'!$N$7:$N$100,'15a'!$H$7:$H$100,$A429,'15a'!$I$7:$I$100,"")+SUMIFS('15b'!$N$7:$N$100,'15b'!$H$7:$H$100,$A429,'15b'!$I$7:$I$100,"")+SUMIFS('15c'!$N$7:$N$100,'15c'!$H$7:$H$100,$A429,'15c'!$I$7:$I$100,"")+SUMIFS('15d'!$N$7:$N$100,'15d'!$H$7:$H$100,$A429,'15d'!$I$7:$I$100,"")+SUMIFS('15e'!$N$7:$N$100,'15e'!$H$7:$H$100,$A429,'15e'!$I$7:$I$100,"")+SUMIFS('15f'!$N$7:$N$100,'15f'!$H$7:$H$100,$A429,'15f'!$I$7:$I$100,"")+SUMIFS('15g'!$N$7:$N$100,'15g'!$H$7:$H$100,$A429,'15g'!$I$7:$I$100,"")+SUMIFS('15h'!$N$7:$N$100,'15h'!$H$7:$H$100,$A429,'15h'!$I$7:$I$100,"")+SUMIFS('15i'!$N$7:$N$100,'15i'!$H$7:$H$100,$A429,'15i'!$I$7:$I$100,"")+SUMIFS('15j'!$N$7:$N$100,'15j'!$H$7:$H$100,$A429,'15j'!$I$7:$I$100,"")+SUMIFS('15k'!$N$7:$N$100,'15k'!$H$7:$H$100,$A429,'15k'!$I$7:$I$100,"")+SUMIFS('15l'!$N$7:$N$100,'15l'!$H$7:$H$100,$A429,'15l'!$I$7:$I$100,"")+SUMIFS('15m'!$N$7:$N$100,'15m'!$H$7:$H$100,$A429,'15m'!$I$7:$I$100,"")+SUMIFS('15n'!$N$7:$N$100,'15n'!$H$7:$H$100,$A429,'15n'!$I$7:$I$100,"")+SUMIFS('16'!$N$7:$N$100,'16'!$H$7:$H$100,$A429,'16'!$I$7:$I$100,"")+SUMIFS('16a'!$N$7:$N$100,'16a'!$H$7:$H$100,$A429,'16a'!$I$7:$I$100,"")+SUMIFS('17'!$N$7:$N$100,'17'!$H$7:$H$100,$A429,'17'!$I$7:$I$100,"")+SUMIFS('17a'!$N$7:$N$100,'17a'!$H$7:$H$100,$A429,'17a'!$I$7:$I$100,"")+SUMIFS('18'!$N$7:$N$100,'18'!$H$7:$H$100,$A429,'18'!$I$7:$I$100,"")+SUMIFS('18a'!$N$7:$N$100,'18a'!$H$7:$H$100,$A429,'18a'!$I$7:$I$100,"")
+SUMIFS('19'!$N$7:$N$100,'19'!$H$7:$H$100,$A429,'19'!$I$7:$I$100,"")+SUMIFS('20'!$N$7:$N$100,'20'!$H$7:$H$100,$A429,'20'!$I$7:$I$100,"")+SUMIFS('20a'!$N$7:$N$100,'20a'!$H$7:$H$100,$A429,'20a'!$I$7:$I$100,"")+SUMIFS('21'!$N$7:$N$100,'21'!$H$7:$H$100,$A429,'21'!$I$7:$I$100,"")+SUMIFS('22'!$N$7:$N$100,'22'!$H$7:$H$100,$A429,'22'!$I$7:$I$100,"")+SUMIFS('22a'!$N$7:$N$100,'22a'!$H$7:$H$100,$A429,'22a'!$I$7:$I$100,"")+SUMIFS('22b'!$N$7:$N$100,'22b'!$H$7:$H$100,$A429,'22b'!$I$7:$I$100,"")+SUMIFS('23'!$N$7:$N$100,'23'!$H$7:$H$100,$A429,'23'!$I$7:$I$100,"")+SUMIFS('24'!$N$7:$N$100,'24'!$H$7:$H$100,$A429,'24'!$I$7:$I$100,"")+SUMIFS('24a'!$N$7:$N$100,'24a'!$H$7:$H$100,$A429,'24a'!$I$7:$I$100,"")+SUMIFS('24b'!$N$7:$N$100,'24b'!$H$7:$H$100,$A429,'24b'!$I$7:$I$100,"")+SUMIFS('24c'!$N$7:$N$100,'24c'!$H$7:$H$100,$A429,'24c'!$I$7:$I$100,"")+SUMIFS('24d'!$N$7:$N$100,'24d'!$H$7:$H$100,$A429,'24d'!$I$7:$I$100,"")+SUMIFS('24e'!$N$7:$N$100,'24e'!$H$7:$H$100,$A429,'24e'!$I$7:$I$100,"")+SUMIFS('24f'!$N$7:$N$100,'24f'!$H$7:$H$100,$A429,'24f'!$I$7:$I$100,"")+SUMIFS('24g'!$N$7:$N$100,'24g'!$H$7:$H$100,$A429,'24g'!$I$7:$I$100,"")+SUMIFS('24h'!$N$7:$N$100,'24h'!$H$7:$H$100,$A429,'24h'!$I$7:$I$100,"")+SUMIFS('24i'!$N$7:$N$100,'24i'!$H$7:$H$100,$A429,'24i'!$I$7:$I$100,"")+SUMIFS('25'!$N$7:$N$100,'25'!$H$7:$H$100,$A429,'25'!$I$7:$I$100,"")+SUMIFS('26'!$N$7:$N$100,'26'!$H$7:$H$100,$A429,'26'!$I$7:$I$100,"")+SUMIFS('26a'!$N$7:$N$100,'26a'!$H$7:$H$100,$A429,'26a'!$I$7:$I$100,"")+SUMIFS('27'!$N$7:$N$100,'27'!$H$7:$H$100,$A429,'27'!$I$7:$I$100,"")+SUMIFS('27a'!$N$7:$N$100,'27a'!$H$7:$H$100,$A429,'27a'!$I$7:$I$100,"")+SUMIFS('28'!$N$7:$N$100,'28'!$H$7:$H$100,$A429,'28'!$I$7:$I$100,"")+SUMIFS('29'!$N$7:$N$100,'29'!$H$7:$H$100,$A429,'29'!$I$7:$I$100,"")</f>
        <v>0</v>
      </c>
      <c r="F429" s="1296">
        <f>SUM(C429:E429)</f>
        <v>0</v>
      </c>
      <c r="G429" s="1295">
        <f>SUMIFS('12'!$J$7:$J$100,'12'!$H$7:$H$100,$A429,'12'!$I$7:$I$100,1)+SUMIFS('13'!$J$7:$J$100,'13'!$H$7:$H$100,$A429,'13'!$I$7:$I$100,1)+SUMIFS('14'!$J$7:$J$100,'14'!$H$7:$H$100,$A429,'14'!$I$7:$I$100,1)+SUMIFS('15'!$J$7:$J$100,'15'!$H$7:$H$100,$A429,'15'!$I$7:$I$100,1)+SUMIFS('15a'!$J$7:$J$100,'15a'!$H$7:$H$100,$A429,'15a'!$I$7:$I$100,1)+SUMIFS('15b'!$J$7:$J$100,'15b'!$H$7:$H$100,$A429,'15b'!$I$7:$I$100,1)+SUMIFS('15c'!$J$7:$J$100,'15c'!$H$7:$H$100,$A429,'15c'!$I$7:$I$100,1)+SUMIFS('15d'!$J$7:$J$100,'15d'!$H$7:$H$100,$A429,'15d'!$I$7:$I$100,1)+SUMIFS('15e'!$J$7:$J$100,'15e'!$H$7:$H$100,$A429,'15e'!$I$7:$I$100,1)+SUMIFS('15f'!$J$7:$J$100,'15f'!$H$7:$H$100,$A429,'15f'!$I$7:$I$100,1)+SUMIFS('15g'!$J$7:$J$100,'15g'!$H$7:$H$100,$A429,'15g'!$I$7:$I$100,1)+SUMIFS('15h'!$J$7:$J$100,'15h'!$H$7:$H$100,$A429,'15h'!$I$7:$I$100,1)+SUMIFS('15i'!$J$7:$J$100,'15i'!$H$7:$H$100,$A429,'15i'!$I$7:$I$100,1)+SUMIFS('15j'!$J$7:$J$100,'15j'!$H$7:$H$100,$A429,'15j'!$I$7:$I$100,1)+SUMIFS('15k'!$J$7:$J$100,'15k'!$H$7:$H$100,$A429,'15k'!$I$7:$I$100,1)+SUMIFS('15l'!$J$7:$J$100,'15l'!$H$7:$H$100,$A429,'15l'!$I$7:$I$100,1)+SUMIFS('15m'!$J$7:$J$100,'15m'!$H$7:$H$100,$A429,'15m'!$I$7:$I$100,1)+SUMIFS('15n'!$J$7:$J$100,'15n'!$H$7:$H$100,$A429,'15n'!$I$7:$I$100,1)+SUMIFS('16'!$J$7:$J$100,'16'!$H$7:$H$100,$A429,'16'!$I$7:$I$100,1)+SUMIFS('16a'!$J$7:$J$100,'16a'!$H$7:$H$100,$A429,'16a'!$I$7:$I$100,1)+SUMIFS('17'!$J$7:$J$100,'17'!$H$7:$H$100,$A429,'17'!$I$7:$I$100,1)+SUMIFS('17a'!$J$7:$J$100,'17a'!$H$7:$H$100,$A429,'17a'!$I$7:$I$100,1)+SUMIFS('18'!$J$7:$J$100,'18'!$H$7:$H$100,$A429,'18'!$I$7:$I$100,1)+SUMIFS('18a'!$J$7:$J$100,'18a'!$H$7:$H$100,$A429,'18a'!$I$7:$I$100,1)
+SUMIFS('19'!$J$7:$J$100,'19'!$H$7:$H$100,$A429,'19'!$I$7:$I$100,1)+SUMIFS('20'!$J$7:$J$100,'20'!$H$7:$H$100,$A429,'20'!$I$7:$I$100,1)+SUMIFS('20a'!$J$7:$J$100,'20a'!$H$7:$H$100,$A429,'20a'!$I$7:$I$100,1)+SUMIFS('21'!$J$7:$J$100,'21'!$H$7:$H$100,$A429,'21'!$I$7:$I$100,1)+SUMIFS('22'!$J$7:$J$100,'22'!$H$7:$H$100,$A429,'22'!$I$7:$I$100,1)+SUMIFS('22a'!$J$7:$J$100,'22a'!$H$7:$H$100,$A429,'22a'!$I$7:$I$100,1)+SUMIFS('22b'!$J$7:$J$100,'22b'!$H$7:$H$100,$A429,'22b'!$I$7:$I$100,1)+SUMIFS('23'!$J$7:$J$100,'23'!$H$7:$H$100,$A429,'23'!$I$7:$I$100,1)+SUMIFS('24'!$J$7:$J$100,'24'!$H$7:$H$100,$A429,'24'!$I$7:$I$100,1)+SUMIFS('24a'!$J$7:$J$100,'24a'!$H$7:$H$100,$A429,'24a'!$I$7:$I$100,1)+SUMIFS('24b'!$J$7:$J$100,'24b'!$H$7:$H$100,$A429,'24b'!$I$7:$I$100,1)+SUMIFS('24c'!$J$7:$J$100,'24c'!$H$7:$H$100,$A429,'24c'!$I$7:$I$100,1)+SUMIFS('24d'!$J$7:$J$100,'24d'!$H$7:$H$100,$A429,'24d'!$I$7:$I$100,1)+SUMIFS('24e'!$J$7:$J$100,'24e'!$H$7:$H$100,$A429,'24e'!$I$7:$I$100,1)+SUMIFS('24f'!$J$7:$J$100,'24f'!$H$7:$H$100,$A429,'24f'!$I$7:$I$100,1)+SUMIFS('24g'!$J$7:$J$100,'24g'!$H$7:$H$100,$A429,'24g'!$I$7:$I$100,1)+SUMIFS('24h'!$J$7:$J$100,'24h'!$H$7:$H$100,$A429,'24h'!$I$7:$I$100,1)+SUMIFS('24i'!$J$7:$J$100,'24i'!$H$7:$H$100,$A429,'24i'!$I$7:$I$100,1)+SUMIFS('25'!$J$7:$J$100,'25'!$H$7:$H$100,$A429,'25'!$I$7:$I$100,1)+SUMIFS('26'!$J$7:$J$100,'26'!$H$7:$H$100,$A429,'26'!$I$7:$I$100,1)+SUMIFS('26a'!$J$7:$J$100,'26a'!$H$7:$H$100,$A429,'26a'!$I$7:$I$100,1)+SUMIFS('27'!$J$7:$J$100,'27'!$H$7:$H$100,$A429,'27'!$I$7:$I$100,1)+SUMIFS('27a'!$J$7:$J$100,'27a'!$H$7:$H$100,$A429,'27a'!$I$7:$I$100,1)+SUMIFS('28'!$J$7:$J$100,'28'!$H$7:$H$100,$A429,'28'!$I$7:$I$100,1)+SUMIFS('29'!$J$7:$J$100,'29'!$H$7:$H$100,$A429,'29'!$I$7:$I$100,1)</f>
        <v>0</v>
      </c>
      <c r="H429" s="1315">
        <f>SUMIFS('12'!$J$7:$J$100,'12'!$H$7:$H$100,$A429,'12'!$I$7:$I$100,2)+SUMIFS('13'!$J$7:$J$100,'13'!$H$7:$H$100,$A429,'13'!$I$7:$I$100,2)+SUMIFS('14'!$J$7:$J$100,'14'!$H$7:$H$100,$A429,'14'!$I$7:$I$100,2)+SUMIFS('15'!$J$7:$J$100,'15'!$H$7:$H$100,$A429,'15'!$I$7:$I$100,2)+SUMIFS('15a'!$J$7:$J$100,'15a'!$H$7:$H$100,$A429,'15a'!$I$7:$I$100,2)+SUMIFS('15b'!$J$7:$J$100,'15b'!$H$7:$H$100,$A429,'15b'!$I$7:$I$100,2)+SUMIFS('15c'!$J$7:$J$100,'15c'!$H$7:$H$100,$A429,'15c'!$I$7:$I$100,2)+SUMIFS('15d'!$J$7:$J$100,'15d'!$H$7:$H$100,$A429,'15d'!$I$7:$I$100,2)+SUMIFS('15e'!$J$7:$J$100,'15e'!$H$7:$H$100,$A429,'15e'!$I$7:$I$100,2)+SUMIFS('15f'!$J$7:$J$100,'15f'!$H$7:$H$100,$A429,'15f'!$I$7:$I$100,2)+SUMIFS('15g'!$J$7:$J$100,'15g'!$H$7:$H$100,$A429,'15g'!$I$7:$I$100,2)+SUMIFS('15h'!$J$7:$J$100,'15h'!$H$7:$H$100,$A429,'15h'!$I$7:$I$100,2)+SUMIFS('15i'!$J$7:$J$100,'15i'!$H$7:$H$100,$A429,'15i'!$I$7:$I$100,2)+SUMIFS('15j'!$J$7:$J$100,'15j'!$H$7:$H$100,$A429,'15j'!$I$7:$I$100,2)+SUMIFS('15k'!$J$7:$J$100,'15k'!$H$7:$H$100,$A429,'15k'!$I$7:$I$100,2)+SUMIFS('15l'!$J$7:$J$100,'15l'!$H$7:$H$100,$A429,'15l'!$I$7:$I$100,2)+SUMIFS('15m'!$J$7:$J$100,'15m'!$H$7:$H$100,$A429,'15m'!$I$7:$I$100,2)+SUMIFS('15n'!$J$7:$J$100,'15n'!$H$7:$H$100,$A429,'15n'!$I$7:$I$100,2)+SUMIFS('16'!$J$7:$J$100,'16'!$H$7:$H$100,$A429,'16'!$I$7:$I$100,2)+SUMIFS('16a'!$J$7:$J$100,'16a'!$H$7:$H$100,$A429,'16a'!$I$7:$I$100,2)+SUMIFS('17'!$J$7:$J$100,'17'!$H$7:$H$100,$A429,'17'!$I$7:$I$100,2)+SUMIFS('17a'!$J$7:$J$100,'17a'!$H$7:$H$100,$A429,'17a'!$I$7:$I$100,2)+SUMIFS('18'!$J$7:$J$100,'18'!$H$7:$H$100,$A429,'18'!$I$7:$I$100,2)+SUMIFS('18a'!$J$7:$J$100,'18a'!$H$7:$H$100,$A429,'18a'!$I$7:$I$100,2)
+SUMIFS('19'!$J$7:$J$100,'19'!$H$7:$H$100,$A429,'19'!$I$7:$I$100,2)+SUMIFS('20'!$J$7:$J$100,'20'!$H$7:$H$100,$A429,'20'!$I$7:$I$100,2)+SUMIFS('20a'!$J$7:$J$100,'20a'!$H$7:$H$100,$A429,'20a'!$I$7:$I$100,2)+SUMIFS('21'!$J$7:$J$100,'21'!$H$7:$H$100,$A429,'21'!$I$7:$I$100,2)+SUMIFS('22'!$J$7:$J$100,'22'!$H$7:$H$100,$A429,'22'!$I$7:$I$100,2)+SUMIFS('22a'!$J$7:$J$100,'22a'!$H$7:$H$100,$A429,'22a'!$I$7:$I$100,2)+SUMIFS('22b'!$J$7:$J$100,'22b'!$H$7:$H$100,$A429,'22b'!$I$7:$I$100,2)+SUMIFS('23'!$J$7:$J$100,'23'!$H$7:$H$100,$A429,'23'!$I$7:$I$100,2)+SUMIFS('24'!$J$7:$J$100,'24'!$H$7:$H$100,$A429,'24'!$I$7:$I$100,2)+SUMIFS('24a'!$J$7:$J$100,'24a'!$H$7:$H$100,$A429,'24a'!$I$7:$I$100,2)+SUMIFS('24b'!$J$7:$J$100,'24b'!$H$7:$H$100,$A429,'24b'!$I$7:$I$100,2)+SUMIFS('24c'!$J$7:$J$100,'24c'!$H$7:$H$100,$A429,'24c'!$I$7:$I$100,2)+SUMIFS('24d'!$J$7:$J$100,'24d'!$H$7:$H$100,$A429,'24d'!$I$7:$I$100,2)+SUMIFS('24e'!$J$7:$J$100,'24e'!$H$7:$H$100,$A429,'24e'!$I$7:$I$100,2)+SUMIFS('24f'!$J$7:$J$100,'24f'!$H$7:$H$100,$A429,'24f'!$I$7:$I$100,2)+SUMIFS('24g'!$J$7:$J$100,'24g'!$H$7:$H$100,$A429,'24g'!$I$7:$I$100,2)+SUMIFS('24h'!$J$7:$J$100,'24h'!$H$7:$H$100,$A429,'24h'!$I$7:$I$100,2)+SUMIFS('24i'!$J$7:$J$100,'24i'!$H$7:$H$100,$A429,'24i'!$I$7:$I$100,2)+SUMIFS('25'!$J$7:$J$100,'25'!$H$7:$H$100,$A429,'25'!$I$7:$I$100,2)+SUMIFS('26'!$J$7:$J$100,'26'!$H$7:$H$100,$A429,'26'!$I$7:$I$100,2)+SUMIFS('26a'!$J$7:$J$100,'26a'!$H$7:$H$100,$A429,'26a'!$I$7:$I$100,2)+SUMIFS('27'!$J$7:$J$100,'27'!$H$7:$H$100,$A429,'27'!$I$7:$I$100,2)+SUMIFS('27a'!$J$7:$J$100,'27a'!$H$7:$H$100,$A429,'27a'!$I$7:$I$100,2)+SUMIFS('28'!$J$7:$J$100,'28'!$H$7:$H$100,$A429,'28'!$I$7:$I$100,2)+SUMIFS('29'!$J$7:$J$100,'29'!$H$7:$H$100,$A429,'29'!$I$7:$I$100,2)</f>
        <v>0</v>
      </c>
      <c r="I429" s="1315">
        <f>SUMIFS('12'!$J$7:$J$100,'12'!$H$7:$H$100,$A429,'12'!$I$7:$I$100,"")+SUMIFS('13'!$J$7:$J$100,'13'!$H$7:$H$100,$A429,'13'!$I$7:$I$100,"")+SUMIFS('14'!$J$7:$J$100,'14'!$H$7:$H$100,$A429,'14'!$I$7:$I$100,"")+SUMIFS('15'!$J$7:$J$100,'15'!$H$7:$H$100,$A429,'15'!$I$7:$I$100,"")+SUMIFS('15a'!$J$7:$J$100,'15a'!$H$7:$H$100,$A429,'15a'!$I$7:$I$100,"")+SUMIFS('15b'!$J$7:$J$100,'15b'!$H$7:$H$100,$A429,'15b'!$I$7:$I$100,"")+SUMIFS('15c'!$J$7:$J$100,'15c'!$H$7:$H$100,$A429,'15c'!$I$7:$I$100,"")+SUMIFS('15d'!$J$7:$J$100,'15d'!$H$7:$H$100,$A429,'15d'!$I$7:$I$100,"")+SUMIFS('15e'!$J$7:$J$100,'15e'!$H$7:$H$100,$A429,'15e'!$I$7:$I$100,"")+SUMIFS('15f'!$J$7:$J$100,'15f'!$H$7:$H$100,$A429,'15f'!$I$7:$I$100,"")+SUMIFS('15g'!$J$7:$J$100,'15g'!$H$7:$H$100,$A429,'15g'!$I$7:$I$100,"")+SUMIFS('15h'!$J$7:$J$100,'15h'!$H$7:$H$100,$A429,'15h'!$I$7:$I$100,"")+SUMIFS('15i'!$J$7:$J$100,'15i'!$H$7:$H$100,$A429,'15i'!$I$7:$I$100,"")+SUMIFS('15j'!$J$7:$J$100,'15j'!$H$7:$H$100,$A429,'15j'!$I$7:$I$100,"")+SUMIFS('15k'!$J$7:$J$100,'15k'!$H$7:$H$100,$A429,'15k'!$I$7:$I$100,"")+SUMIFS('15l'!$J$7:$J$100,'15l'!$H$7:$H$100,$A429,'15l'!$I$7:$I$100,"")+SUMIFS('15m'!$J$7:$J$100,'15m'!$H$7:$H$100,$A429,'15m'!$I$7:$I$100,"")+SUMIFS('15n'!$J$7:$J$100,'15n'!$H$7:$H$100,$A429,'15n'!$I$7:$I$100,"")+SUMIFS('16'!$J$7:$J$100,'16'!$H$7:$H$100,$A429,'16'!$I$7:$I$100,"")+SUMIFS('16a'!$J$7:$J$100,'16a'!$H$7:$H$100,$A429,'16a'!$I$7:$I$100,"")+SUMIFS('17'!$J$7:$J$100,'17'!$H$7:$H$100,$A429,'17'!$I$7:$I$100,"")+SUMIFS('17a'!$J$7:$J$100,'17a'!$H$7:$H$100,$A429,'17a'!$I$7:$I$100,"")+SUMIFS('18'!$J$7:$J$100,'18'!$H$7:$H$100,$A429,'18'!$I$7:$I$100,"")+SUMIFS('18a'!$J$7:$J$100,'18a'!$H$7:$H$100,$A429,'18a'!$I$7:$I$100,"")
+SUMIFS('19'!$J$7:$J$100,'19'!$H$7:$H$100,$A429,'19'!$I$7:$I$100,"")+SUMIFS('20'!$J$7:$J$100,'20'!$H$7:$H$100,$A429,'20'!$I$7:$I$100,"")+SUMIFS('20a'!$J$7:$J$100,'20a'!$H$7:$H$100,$A429,'20a'!$I$7:$I$100,"")+SUMIFS('21'!$J$7:$J$100,'21'!$H$7:$H$100,$A429,'21'!$I$7:$I$100,"")+SUMIFS('22'!$J$7:$J$100,'22'!$H$7:$H$100,$A429,'22'!$I$7:$I$100,"")+SUMIFS('22a'!$J$7:$J$100,'22a'!$H$7:$H$100,$A429,'22a'!$I$7:$I$100,"")+SUMIFS('22b'!$J$7:$J$100,'22b'!$H$7:$H$100,$A429,'22b'!$I$7:$I$100,"")+SUMIFS('23'!$J$7:$J$100,'23'!$H$7:$H$100,$A429,'23'!$I$7:$I$100,"")+SUMIFS('24'!$J$7:$J$100,'24'!$H$7:$H$100,$A429,'24'!$I$7:$I$100,"")+SUMIFS('24a'!$J$7:$J$100,'24a'!$H$7:$H$100,$A429,'24a'!$I$7:$I$100,"")+SUMIFS('24b'!$J$7:$J$100,'24b'!$H$7:$H$100,$A429,'24b'!$I$7:$I$100,"")+SUMIFS('24c'!$J$7:$J$100,'24c'!$H$7:$H$100,$A429,'24c'!$I$7:$I$100,"")+SUMIFS('24d'!$J$7:$J$100,'24d'!$H$7:$H$100,$A429,'24d'!$I$7:$I$100,"")+SUMIFS('24e'!$J$7:$J$100,'24e'!$H$7:$H$100,$A429,'24e'!$I$7:$I$100,"")+SUMIFS('24f'!$J$7:$J$100,'24f'!$H$7:$H$100,$A429,'24f'!$I$7:$I$100,"")+SUMIFS('24g'!$J$7:$J$100,'24g'!$H$7:$H$100,$A429,'24g'!$I$7:$I$100,"")+SUMIFS('24h'!$J$7:$J$100,'24h'!$H$7:$H$100,$A429,'24h'!$I$7:$I$100,"")+SUMIFS('24i'!$J$7:$J$100,'24i'!$H$7:$H$100,$A429,'24i'!$I$7:$I$100,"")+SUMIFS('25'!$J$7:$J$100,'25'!$H$7:$H$100,$A429,'25'!$I$7:$I$100,"")+SUMIFS('26'!$J$7:$J$100,'26'!$H$7:$H$100,$A429,'26'!$I$7:$I$100,"")+SUMIFS('26a'!$J$7:$J$100,'26a'!$H$7:$H$100,$A429,'26a'!$I$7:$I$100,"")+SUMIFS('27'!$J$7:$J$100,'27'!$H$7:$H$100,$A429,'27'!$I$7:$I$100,"")+SUMIFS('27a'!$J$7:$J$100,'27a'!$H$7:$H$100,$A429,'27a'!$I$7:$I$100,"")+SUMIFS('28'!$J$7:$J$100,'28'!$H$7:$H$100,$A429,'28'!$I$7:$I$100,"")+SUMIFS('29'!$J$7:$J$100,'29'!$H$7:$H$100,$A429,'29'!$I$7:$I$100,"")</f>
        <v>0</v>
      </c>
      <c r="J429" s="1296">
        <f>SUM(G429:I429)</f>
        <v>0</v>
      </c>
      <c r="K429"/>
      <c r="L429"/>
      <c r="M429"/>
      <c r="N429"/>
      <c r="O429"/>
      <c r="P429"/>
      <c r="Q429"/>
      <c r="R429"/>
      <c r="S429" s="1307">
        <f t="shared" si="71"/>
        <v>0</v>
      </c>
      <c r="T429"/>
    </row>
    <row r="430" spans="1:20" outlineLevel="1" x14ac:dyDescent="0.2">
      <c r="A430" s="784" t="s">
        <v>5293</v>
      </c>
      <c r="B430" t="s">
        <v>5462</v>
      </c>
      <c r="C430" s="1295">
        <f>SUMIFS('12'!$N$7:$N$100,'12'!$H$7:$H$100,$A430,'12'!$I$7:$I$100,1)+SUMIFS('13'!$N$7:$N$100,'13'!$H$7:$H$100,$A430,'13'!$I$7:$I$100,1)+SUMIFS('14'!$N$7:$N$100,'14'!$H$7:$H$100,$A430,'14'!$I$7:$I$100,1)+SUMIFS('15'!$N$7:$N$100,'15'!$H$7:$H$100,$A430,'15'!$I$7:$I$100,1)+SUMIFS('15a'!$N$7:$N$100,'15a'!$H$7:$H$100,$A430,'15a'!$I$7:$I$100,1)+SUMIFS('15b'!$N$7:$N$100,'15b'!$H$7:$H$100,$A430,'15b'!$I$7:$I$100,1)+SUMIFS('15c'!$N$7:$N$100,'15c'!$H$7:$H$100,$A430,'15c'!$I$7:$I$100,1)+SUMIFS('15d'!$N$7:$N$100,'15d'!$H$7:$H$100,$A430,'15d'!$I$7:$I$100,1)+SUMIFS('15e'!$N$7:$N$100,'15e'!$H$7:$H$100,$A430,'15e'!$I$7:$I$100,1)+SUMIFS('15f'!$N$7:$N$100,'15f'!$H$7:$H$100,$A430,'15f'!$I$7:$I$100,1)+SUMIFS('15g'!$N$7:$N$100,'15g'!$H$7:$H$100,$A430,'15g'!$I$7:$I$100,1)+SUMIFS('15h'!$N$7:$N$100,'15h'!$H$7:$H$100,$A430,'15h'!$I$7:$I$100,1)+SUMIFS('15i'!$N$7:$N$100,'15i'!$H$7:$H$100,$A430,'15i'!$I$7:$I$100,1)+SUMIFS('15j'!$N$7:$N$100,'15j'!$H$7:$H$100,$A430,'15j'!$I$7:$I$100,1)+SUMIFS('15k'!$N$7:$N$100,'15k'!$H$7:$H$100,$A430,'15k'!$I$7:$I$100,1)+SUMIFS('15l'!$N$7:$N$100,'15l'!$H$7:$H$100,$A430,'15l'!$I$7:$I$100,1)+SUMIFS('15m'!$N$7:$N$100,'15m'!$H$7:$H$100,$A430,'15m'!$I$7:$I$100,1)+SUMIFS('15n'!$N$7:$N$100,'15n'!$H$7:$H$100,$A430,'15n'!$I$7:$I$100,1)+SUMIFS('16'!$N$7:$N$100,'16'!$H$7:$H$100,$A430,'16'!$I$7:$I$100,1)+SUMIFS('16a'!$N$7:$N$100,'16a'!$H$7:$H$100,$A430,'16a'!$I$7:$I$100,1)+SUMIFS('17'!$N$7:$N$100,'17'!$H$7:$H$100,$A430,'17'!$I$7:$I$100,1)+SUMIFS('17a'!$N$7:$N$100,'17a'!$H$7:$H$100,$A430,'17a'!$I$7:$I$100,1)+SUMIFS('18'!$N$7:$N$100,'18'!$H$7:$H$100,$A430,'18'!$I$7:$I$100,1)+SUMIFS('18a'!$N$7:$N$100,'18a'!$H$7:$H$100,$A430,'18a'!$I$7:$I$100,1)
+SUMIFS('19'!$N$7:$N$100,'19'!$H$7:$H$100,$A430,'19'!$I$7:$I$100,1)+SUMIFS('20'!$N$7:$N$100,'20'!$H$7:$H$100,$A430,'20'!$I$7:$I$100,1)+SUMIFS('20a'!$N$7:$N$100,'20a'!$H$7:$H$100,$A430,'20a'!$I$7:$I$100,1)+SUMIFS('21'!$N$7:$N$100,'21'!$H$7:$H$100,$A430,'21'!$I$7:$I$100,1)+SUMIFS('22'!$N$7:$N$100,'22'!$H$7:$H$100,$A430,'22'!$I$7:$I$100,1)+SUMIFS('22a'!$N$7:$N$100,'22a'!$H$7:$H$100,$A430,'22a'!$I$7:$I$100,1)+SUMIFS('22b'!$N$7:$N$100,'22b'!$H$7:$H$100,$A430,'22b'!$I$7:$I$100,1)+SUMIFS('23'!$N$7:$N$100,'23'!$H$7:$H$100,$A430,'23'!$I$7:$I$100,1)+SUMIFS('24'!$N$7:$N$100,'24'!$H$7:$H$100,$A430,'24'!$I$7:$I$100,1)+SUMIFS('24a'!$N$7:$N$100,'24a'!$H$7:$H$100,$A430,'24a'!$I$7:$I$100,1)+SUMIFS('24b'!$N$7:$N$100,'24b'!$H$7:$H$100,$A430,'24b'!$I$7:$I$100,1)+SUMIFS('24c'!$N$7:$N$100,'24c'!$H$7:$H$100,$A430,'24c'!$I$7:$I$100,1)+SUMIFS('24d'!$N$7:$N$100,'24d'!$H$7:$H$100,$A430,'24d'!$I$7:$I$100,1)+SUMIFS('24e'!$N$7:$N$100,'24e'!$H$7:$H$100,$A430,'24e'!$I$7:$I$100,1)+SUMIFS('24f'!$N$7:$N$100,'24f'!$H$7:$H$100,$A430,'24f'!$I$7:$I$100,1)+SUMIFS('24g'!$N$7:$N$100,'24g'!$H$7:$H$100,$A430,'24g'!$I$7:$I$100,1)+SUMIFS('24h'!$N$7:$N$100,'24h'!$H$7:$H$100,$A430,'24h'!$I$7:$I$100,1)+SUMIFS('24i'!$N$7:$N$100,'24i'!$H$7:$H$100,$A430,'24i'!$I$7:$I$100,1)+SUMIFS('25'!$N$7:$N$100,'25'!$H$7:$H$100,$A430,'25'!$I$7:$I$100,1)+SUMIFS('26'!$N$7:$N$100,'26'!$H$7:$H$100,$A430,'26'!$I$7:$I$100,1)+SUMIFS('26a'!$N$7:$N$100,'26a'!$H$7:$H$100,$A430,'26a'!$I$7:$I$100,1)+SUMIFS('27'!$N$7:$N$100,'27'!$H$7:$H$100,$A430,'27'!$I$7:$I$100,1)+SUMIFS('27a'!$N$7:$N$100,'27a'!$H$7:$H$100,$A430,'27a'!$I$7:$I$100,1)+SUMIFS('28'!$N$7:$N$100,'28'!$H$7:$H$100,$A430,'28'!$I$7:$I$100,1)+SUMIFS('29'!$N$7:$N$100,'29'!$H$7:$H$100,$A430,'29'!$I$7:$I$100,1)</f>
        <v>0</v>
      </c>
      <c r="D430" s="1315">
        <f>SUMIFS('12'!$N$7:$N$100,'12'!$H$7:$H$100,$A430,'12'!$I$7:$I$100,2)+SUMIFS('13'!$N$7:$N$100,'13'!$H$7:$H$100,$A430,'13'!$I$7:$I$100,2)+SUMIFS('14'!$N$7:$N$100,'14'!$H$7:$H$100,$A430,'14'!$I$7:$I$100,2)+SUMIFS('15'!$N$7:$N$100,'15'!$H$7:$H$100,$A430,'15'!$I$7:$I$100,2)+SUMIFS('15a'!$N$7:$N$100,'15a'!$H$7:$H$100,$A430,'15a'!$I$7:$I$100,2)+SUMIFS('15b'!$N$7:$N$100,'15b'!$H$7:$H$100,$A430,'15b'!$I$7:$I$100,2)+SUMIFS('15c'!$N$7:$N$100,'15c'!$H$7:$H$100,$A430,'15c'!$I$7:$I$100,2)+SUMIFS('15d'!$N$7:$N$100,'15d'!$H$7:$H$100,$A430,'15d'!$I$7:$I$100,2)+SUMIFS('15e'!$N$7:$N$100,'15e'!$H$7:$H$100,$A430,'15e'!$I$7:$I$100,2)+SUMIFS('15f'!$N$7:$N$100,'15f'!$H$7:$H$100,$A430,'15f'!$I$7:$I$100,2)+SUMIFS('15g'!$N$7:$N$100,'15g'!$H$7:$H$100,$A430,'15g'!$I$7:$I$100,2)+SUMIFS('15h'!$N$7:$N$100,'15h'!$H$7:$H$100,$A430,'15h'!$I$7:$I$100,2)+SUMIFS('15i'!$N$7:$N$100,'15i'!$H$7:$H$100,$A430,'15i'!$I$7:$I$100,2)+SUMIFS('15j'!$N$7:$N$100,'15j'!$H$7:$H$100,$A430,'15j'!$I$7:$I$100,2)+SUMIFS('15k'!$N$7:$N$100,'15k'!$H$7:$H$100,$A430,'15k'!$I$7:$I$100,2)+SUMIFS('15l'!$N$7:$N$100,'15l'!$H$7:$H$100,$A430,'15l'!$I$7:$I$100,2)+SUMIFS('15m'!$N$7:$N$100,'15m'!$H$7:$H$100,$A430,'15m'!$I$7:$I$100,2)+SUMIFS('15n'!$N$7:$N$100,'15n'!$H$7:$H$100,$A430,'15n'!$I$7:$I$100,2)+SUMIFS('16'!$N$7:$N$100,'16'!$H$7:$H$100,$A430,'16'!$I$7:$I$100,2)+SUMIFS('16a'!$N$7:$N$100,'16a'!$H$7:$H$100,$A430,'16a'!$I$7:$I$100,2)+SUMIFS('17'!$N$7:$N$100,'17'!$H$7:$H$100,$A430,'17'!$I$7:$I$100,2)+SUMIFS('17a'!$N$7:$N$100,'17a'!$H$7:$H$100,$A430,'17a'!$I$7:$I$100,2)+SUMIFS('18'!$N$7:$N$100,'18'!$H$7:$H$100,$A430,'18'!$I$7:$I$100,2)+SUMIFS('18a'!$N$7:$N$100,'18a'!$H$7:$H$100,$A430,'18a'!$I$7:$I$100,2)
+SUMIFS('19'!$N$7:$N$100,'19'!$H$7:$H$100,$A430,'19'!$I$7:$I$100,2)+SUMIFS('20'!$N$7:$N$100,'20'!$H$7:$H$100,$A430,'20'!$I$7:$I$100,2)+SUMIFS('20a'!$N$7:$N$100,'20a'!$H$7:$H$100,$A430,'20a'!$I$7:$I$100,2)+SUMIFS('21'!$N$7:$N$100,'21'!$H$7:$H$100,$A430,'21'!$I$7:$I$100,2)+SUMIFS('22'!$N$7:$N$100,'22'!$H$7:$H$100,$A430,'22'!$I$7:$I$100,2)+SUMIFS('22a'!$N$7:$N$100,'22a'!$H$7:$H$100,$A430,'22a'!$I$7:$I$100,2)+SUMIFS('22b'!$N$7:$N$100,'22b'!$H$7:$H$100,$A430,'22b'!$I$7:$I$100,2)+SUMIFS('23'!$N$7:$N$100,'23'!$H$7:$H$100,$A430,'23'!$I$7:$I$100,2)+SUMIFS('24'!$N$7:$N$100,'24'!$H$7:$H$100,$A430,'24'!$I$7:$I$100,2)+SUMIFS('24a'!$N$7:$N$100,'24a'!$H$7:$H$100,$A430,'24a'!$I$7:$I$100,2)+SUMIFS('24b'!$N$7:$N$100,'24b'!$H$7:$H$100,$A430,'24b'!$I$7:$I$100,2)+SUMIFS('24c'!$N$7:$N$100,'24c'!$H$7:$H$100,$A430,'24c'!$I$7:$I$100,2)+SUMIFS('24d'!$N$7:$N$100,'24d'!$H$7:$H$100,$A430,'24d'!$I$7:$I$100,2)+SUMIFS('24e'!$N$7:$N$100,'24e'!$H$7:$H$100,$A430,'24e'!$I$7:$I$100,2)+SUMIFS('24f'!$N$7:$N$100,'24f'!$H$7:$H$100,$A430,'24f'!$I$7:$I$100,2)+SUMIFS('24g'!$N$7:$N$100,'24g'!$H$7:$H$100,$A430,'24g'!$I$7:$I$100,2)+SUMIFS('24h'!$N$7:$N$100,'24h'!$H$7:$H$100,$A430,'24h'!$I$7:$I$100,2)+SUMIFS('24i'!$N$7:$N$100,'24i'!$H$7:$H$100,$A430,'24i'!$I$7:$I$100,2)+SUMIFS('25'!$N$7:$N$100,'25'!$H$7:$H$100,$A430,'25'!$I$7:$I$100,2)+SUMIFS('26'!$N$7:$N$100,'26'!$H$7:$H$100,$A430,'26'!$I$7:$I$100,2)+SUMIFS('26a'!$N$7:$N$100,'26a'!$H$7:$H$100,$A430,'26a'!$I$7:$I$100,2)+SUMIFS('27'!$N$7:$N$100,'27'!$H$7:$H$100,$A430,'27'!$I$7:$I$100,2)+SUMIFS('27a'!$N$7:$N$100,'27a'!$H$7:$H$100,$A430,'27a'!$I$7:$I$100,2)+SUMIFS('28'!$N$7:$N$100,'28'!$H$7:$H$100,$A430,'28'!$I$7:$I$100,2)+SUMIFS('29'!$N$7:$N$100,'29'!$H$7:$H$100,$A430,'29'!$I$7:$I$100,2)</f>
        <v>0</v>
      </c>
      <c r="E430" s="1315">
        <f>SUMIFS('12'!$N$7:$N$100,'12'!$H$7:$H$100,$A430,'12'!$I$7:$I$100,"")+SUMIFS('13'!$N$7:$N$100,'13'!$H$7:$H$100,$A430,'13'!$I$7:$I$100,"")+SUMIFS('14'!$N$7:$N$100,'14'!$H$7:$H$100,$A430,'14'!$I$7:$I$100,"")+SUMIFS('15'!$N$7:$N$100,'15'!$H$7:$H$100,$A430,'15'!$I$7:$I$100,"")+SUMIFS('15a'!$N$7:$N$100,'15a'!$H$7:$H$100,$A430,'15a'!$I$7:$I$100,"")+SUMIFS('15b'!$N$7:$N$100,'15b'!$H$7:$H$100,$A430,'15b'!$I$7:$I$100,"")+SUMIFS('15c'!$N$7:$N$100,'15c'!$H$7:$H$100,$A430,'15c'!$I$7:$I$100,"")+SUMIFS('15d'!$N$7:$N$100,'15d'!$H$7:$H$100,$A430,'15d'!$I$7:$I$100,"")+SUMIFS('15e'!$N$7:$N$100,'15e'!$H$7:$H$100,$A430,'15e'!$I$7:$I$100,"")+SUMIFS('15f'!$N$7:$N$100,'15f'!$H$7:$H$100,$A430,'15f'!$I$7:$I$100,"")+SUMIFS('15g'!$N$7:$N$100,'15g'!$H$7:$H$100,$A430,'15g'!$I$7:$I$100,"")+SUMIFS('15h'!$N$7:$N$100,'15h'!$H$7:$H$100,$A430,'15h'!$I$7:$I$100,"")+SUMIFS('15i'!$N$7:$N$100,'15i'!$H$7:$H$100,$A430,'15i'!$I$7:$I$100,"")+SUMIFS('15j'!$N$7:$N$100,'15j'!$H$7:$H$100,$A430,'15j'!$I$7:$I$100,"")+SUMIFS('15k'!$N$7:$N$100,'15k'!$H$7:$H$100,$A430,'15k'!$I$7:$I$100,"")+SUMIFS('15l'!$N$7:$N$100,'15l'!$H$7:$H$100,$A430,'15l'!$I$7:$I$100,"")+SUMIFS('15m'!$N$7:$N$100,'15m'!$H$7:$H$100,$A430,'15m'!$I$7:$I$100,"")+SUMIFS('15n'!$N$7:$N$100,'15n'!$H$7:$H$100,$A430,'15n'!$I$7:$I$100,"")+SUMIFS('16'!$N$7:$N$100,'16'!$H$7:$H$100,$A430,'16'!$I$7:$I$100,"")+SUMIFS('16a'!$N$7:$N$100,'16a'!$H$7:$H$100,$A430,'16a'!$I$7:$I$100,"")+SUMIFS('17'!$N$7:$N$100,'17'!$H$7:$H$100,$A430,'17'!$I$7:$I$100,"")+SUMIFS('17a'!$N$7:$N$100,'17a'!$H$7:$H$100,$A430,'17a'!$I$7:$I$100,"")+SUMIFS('18'!$N$7:$N$100,'18'!$H$7:$H$100,$A430,'18'!$I$7:$I$100,"")+SUMIFS('18a'!$N$7:$N$100,'18a'!$H$7:$H$100,$A430,'18a'!$I$7:$I$100,"")
+SUMIFS('19'!$N$7:$N$100,'19'!$H$7:$H$100,$A430,'19'!$I$7:$I$100,"")+SUMIFS('20'!$N$7:$N$100,'20'!$H$7:$H$100,$A430,'20'!$I$7:$I$100,"")+SUMIFS('20a'!$N$7:$N$100,'20a'!$H$7:$H$100,$A430,'20a'!$I$7:$I$100,"")+SUMIFS('21'!$N$7:$N$100,'21'!$H$7:$H$100,$A430,'21'!$I$7:$I$100,"")+SUMIFS('22'!$N$7:$N$100,'22'!$H$7:$H$100,$A430,'22'!$I$7:$I$100,"")+SUMIFS('22a'!$N$7:$N$100,'22a'!$H$7:$H$100,$A430,'22a'!$I$7:$I$100,"")+SUMIFS('22b'!$N$7:$N$100,'22b'!$H$7:$H$100,$A430,'22b'!$I$7:$I$100,"")+SUMIFS('23'!$N$7:$N$100,'23'!$H$7:$H$100,$A430,'23'!$I$7:$I$100,"")+SUMIFS('24'!$N$7:$N$100,'24'!$H$7:$H$100,$A430,'24'!$I$7:$I$100,"")+SUMIFS('24a'!$N$7:$N$100,'24a'!$H$7:$H$100,$A430,'24a'!$I$7:$I$100,"")+SUMIFS('24b'!$N$7:$N$100,'24b'!$H$7:$H$100,$A430,'24b'!$I$7:$I$100,"")+SUMIFS('24c'!$N$7:$N$100,'24c'!$H$7:$H$100,$A430,'24c'!$I$7:$I$100,"")+SUMIFS('24d'!$N$7:$N$100,'24d'!$H$7:$H$100,$A430,'24d'!$I$7:$I$100,"")+SUMIFS('24e'!$N$7:$N$100,'24e'!$H$7:$H$100,$A430,'24e'!$I$7:$I$100,"")+SUMIFS('24f'!$N$7:$N$100,'24f'!$H$7:$H$100,$A430,'24f'!$I$7:$I$100,"")+SUMIFS('24g'!$N$7:$N$100,'24g'!$H$7:$H$100,$A430,'24g'!$I$7:$I$100,"")+SUMIFS('24h'!$N$7:$N$100,'24h'!$H$7:$H$100,$A430,'24h'!$I$7:$I$100,"")+SUMIFS('24i'!$N$7:$N$100,'24i'!$H$7:$H$100,$A430,'24i'!$I$7:$I$100,"")+SUMIFS('25'!$N$7:$N$100,'25'!$H$7:$H$100,$A430,'25'!$I$7:$I$100,"")+SUMIFS('26'!$N$7:$N$100,'26'!$H$7:$H$100,$A430,'26'!$I$7:$I$100,"")+SUMIFS('26a'!$N$7:$N$100,'26a'!$H$7:$H$100,$A430,'26a'!$I$7:$I$100,"")+SUMIFS('27'!$N$7:$N$100,'27'!$H$7:$H$100,$A430,'27'!$I$7:$I$100,"")+SUMIFS('27a'!$N$7:$N$100,'27a'!$H$7:$H$100,$A430,'27a'!$I$7:$I$100,"")+SUMIFS('28'!$N$7:$N$100,'28'!$H$7:$H$100,$A430,'28'!$I$7:$I$100,"")+SUMIFS('29'!$N$7:$N$100,'29'!$H$7:$H$100,$A430,'29'!$I$7:$I$100,"")</f>
        <v>0</v>
      </c>
      <c r="F430" s="1296">
        <f t="shared" ref="F430:F437" si="76">SUM(C430:E430)</f>
        <v>0</v>
      </c>
      <c r="G430" s="1295">
        <f>SUMIFS('12'!$J$7:$J$100,'12'!$H$7:$H$100,$A430,'12'!$I$7:$I$100,1)+SUMIFS('13'!$J$7:$J$100,'13'!$H$7:$H$100,$A430,'13'!$I$7:$I$100,1)+SUMIFS('14'!$J$7:$J$100,'14'!$H$7:$H$100,$A430,'14'!$I$7:$I$100,1)+SUMIFS('15'!$J$7:$J$100,'15'!$H$7:$H$100,$A430,'15'!$I$7:$I$100,1)+SUMIFS('15a'!$J$7:$J$100,'15a'!$H$7:$H$100,$A430,'15a'!$I$7:$I$100,1)+SUMIFS('15b'!$J$7:$J$100,'15b'!$H$7:$H$100,$A430,'15b'!$I$7:$I$100,1)+SUMIFS('15c'!$J$7:$J$100,'15c'!$H$7:$H$100,$A430,'15c'!$I$7:$I$100,1)+SUMIFS('15d'!$J$7:$J$100,'15d'!$H$7:$H$100,$A430,'15d'!$I$7:$I$100,1)+SUMIFS('15e'!$J$7:$J$100,'15e'!$H$7:$H$100,$A430,'15e'!$I$7:$I$100,1)+SUMIFS('15f'!$J$7:$J$100,'15f'!$H$7:$H$100,$A430,'15f'!$I$7:$I$100,1)+SUMIFS('15g'!$J$7:$J$100,'15g'!$H$7:$H$100,$A430,'15g'!$I$7:$I$100,1)+SUMIFS('15h'!$J$7:$J$100,'15h'!$H$7:$H$100,$A430,'15h'!$I$7:$I$100,1)+SUMIFS('15i'!$J$7:$J$100,'15i'!$H$7:$H$100,$A430,'15i'!$I$7:$I$100,1)+SUMIFS('15j'!$J$7:$J$100,'15j'!$H$7:$H$100,$A430,'15j'!$I$7:$I$100,1)+SUMIFS('15k'!$J$7:$J$100,'15k'!$H$7:$H$100,$A430,'15k'!$I$7:$I$100,1)+SUMIFS('15l'!$J$7:$J$100,'15l'!$H$7:$H$100,$A430,'15l'!$I$7:$I$100,1)+SUMIFS('15m'!$J$7:$J$100,'15m'!$H$7:$H$100,$A430,'15m'!$I$7:$I$100,1)+SUMIFS('15n'!$J$7:$J$100,'15n'!$H$7:$H$100,$A430,'15n'!$I$7:$I$100,1)+SUMIFS('16'!$J$7:$J$100,'16'!$H$7:$H$100,$A430,'16'!$I$7:$I$100,1)+SUMIFS('16a'!$J$7:$J$100,'16a'!$H$7:$H$100,$A430,'16a'!$I$7:$I$100,1)+SUMIFS('17'!$J$7:$J$100,'17'!$H$7:$H$100,$A430,'17'!$I$7:$I$100,1)+SUMIFS('17a'!$J$7:$J$100,'17a'!$H$7:$H$100,$A430,'17a'!$I$7:$I$100,1)+SUMIFS('18'!$J$7:$J$100,'18'!$H$7:$H$100,$A430,'18'!$I$7:$I$100,1)+SUMIFS('18a'!$J$7:$J$100,'18a'!$H$7:$H$100,$A430,'18a'!$I$7:$I$100,1)
+SUMIFS('19'!$J$7:$J$100,'19'!$H$7:$H$100,$A430,'19'!$I$7:$I$100,1)+SUMIFS('20'!$J$7:$J$100,'20'!$H$7:$H$100,$A430,'20'!$I$7:$I$100,1)+SUMIFS('20a'!$J$7:$J$100,'20a'!$H$7:$H$100,$A430,'20a'!$I$7:$I$100,1)+SUMIFS('21'!$J$7:$J$100,'21'!$H$7:$H$100,$A430,'21'!$I$7:$I$100,1)+SUMIFS('22'!$J$7:$J$100,'22'!$H$7:$H$100,$A430,'22'!$I$7:$I$100,1)+SUMIFS('22a'!$J$7:$J$100,'22a'!$H$7:$H$100,$A430,'22a'!$I$7:$I$100,1)+SUMIFS('22b'!$J$7:$J$100,'22b'!$H$7:$H$100,$A430,'22b'!$I$7:$I$100,1)+SUMIFS('23'!$J$7:$J$100,'23'!$H$7:$H$100,$A430,'23'!$I$7:$I$100,1)+SUMIFS('24'!$J$7:$J$100,'24'!$H$7:$H$100,$A430,'24'!$I$7:$I$100,1)+SUMIFS('24a'!$J$7:$J$100,'24a'!$H$7:$H$100,$A430,'24a'!$I$7:$I$100,1)+SUMIFS('24b'!$J$7:$J$100,'24b'!$H$7:$H$100,$A430,'24b'!$I$7:$I$100,1)+SUMIFS('24c'!$J$7:$J$100,'24c'!$H$7:$H$100,$A430,'24c'!$I$7:$I$100,1)+SUMIFS('24d'!$J$7:$J$100,'24d'!$H$7:$H$100,$A430,'24d'!$I$7:$I$100,1)+SUMIFS('24e'!$J$7:$J$100,'24e'!$H$7:$H$100,$A430,'24e'!$I$7:$I$100,1)+SUMIFS('24f'!$J$7:$J$100,'24f'!$H$7:$H$100,$A430,'24f'!$I$7:$I$100,1)+SUMIFS('24g'!$J$7:$J$100,'24g'!$H$7:$H$100,$A430,'24g'!$I$7:$I$100,1)+SUMIFS('24h'!$J$7:$J$100,'24h'!$H$7:$H$100,$A430,'24h'!$I$7:$I$100,1)+SUMIFS('24i'!$J$7:$J$100,'24i'!$H$7:$H$100,$A430,'24i'!$I$7:$I$100,1)+SUMIFS('25'!$J$7:$J$100,'25'!$H$7:$H$100,$A430,'25'!$I$7:$I$100,1)+SUMIFS('26'!$J$7:$J$100,'26'!$H$7:$H$100,$A430,'26'!$I$7:$I$100,1)+SUMIFS('26a'!$J$7:$J$100,'26a'!$H$7:$H$100,$A430,'26a'!$I$7:$I$100,1)+SUMIFS('27'!$J$7:$J$100,'27'!$H$7:$H$100,$A430,'27'!$I$7:$I$100,1)+SUMIFS('27a'!$J$7:$J$100,'27a'!$H$7:$H$100,$A430,'27a'!$I$7:$I$100,1)+SUMIFS('28'!$J$7:$J$100,'28'!$H$7:$H$100,$A430,'28'!$I$7:$I$100,1)+SUMIFS('29'!$J$7:$J$100,'29'!$H$7:$H$100,$A430,'29'!$I$7:$I$100,1)</f>
        <v>0</v>
      </c>
      <c r="H430" s="1315">
        <f>SUMIFS('12'!$J$7:$J$100,'12'!$H$7:$H$100,$A430,'12'!$I$7:$I$100,2)+SUMIFS('13'!$J$7:$J$100,'13'!$H$7:$H$100,$A430,'13'!$I$7:$I$100,2)+SUMIFS('14'!$J$7:$J$100,'14'!$H$7:$H$100,$A430,'14'!$I$7:$I$100,2)+SUMIFS('15'!$J$7:$J$100,'15'!$H$7:$H$100,$A430,'15'!$I$7:$I$100,2)+SUMIFS('15a'!$J$7:$J$100,'15a'!$H$7:$H$100,$A430,'15a'!$I$7:$I$100,2)+SUMIFS('15b'!$J$7:$J$100,'15b'!$H$7:$H$100,$A430,'15b'!$I$7:$I$100,2)+SUMIFS('15c'!$J$7:$J$100,'15c'!$H$7:$H$100,$A430,'15c'!$I$7:$I$100,2)+SUMIFS('15d'!$J$7:$J$100,'15d'!$H$7:$H$100,$A430,'15d'!$I$7:$I$100,2)+SUMIFS('15e'!$J$7:$J$100,'15e'!$H$7:$H$100,$A430,'15e'!$I$7:$I$100,2)+SUMIFS('15f'!$J$7:$J$100,'15f'!$H$7:$H$100,$A430,'15f'!$I$7:$I$100,2)+SUMIFS('15g'!$J$7:$J$100,'15g'!$H$7:$H$100,$A430,'15g'!$I$7:$I$100,2)+SUMIFS('15h'!$J$7:$J$100,'15h'!$H$7:$H$100,$A430,'15h'!$I$7:$I$100,2)+SUMIFS('15i'!$J$7:$J$100,'15i'!$H$7:$H$100,$A430,'15i'!$I$7:$I$100,2)+SUMIFS('15j'!$J$7:$J$100,'15j'!$H$7:$H$100,$A430,'15j'!$I$7:$I$100,2)+SUMIFS('15k'!$J$7:$J$100,'15k'!$H$7:$H$100,$A430,'15k'!$I$7:$I$100,2)+SUMIFS('15l'!$J$7:$J$100,'15l'!$H$7:$H$100,$A430,'15l'!$I$7:$I$100,2)+SUMIFS('15m'!$J$7:$J$100,'15m'!$H$7:$H$100,$A430,'15m'!$I$7:$I$100,2)+SUMIFS('15n'!$J$7:$J$100,'15n'!$H$7:$H$100,$A430,'15n'!$I$7:$I$100,2)+SUMIFS('16'!$J$7:$J$100,'16'!$H$7:$H$100,$A430,'16'!$I$7:$I$100,2)+SUMIFS('16a'!$J$7:$J$100,'16a'!$H$7:$H$100,$A430,'16a'!$I$7:$I$100,2)+SUMIFS('17'!$J$7:$J$100,'17'!$H$7:$H$100,$A430,'17'!$I$7:$I$100,2)+SUMIFS('17a'!$J$7:$J$100,'17a'!$H$7:$H$100,$A430,'17a'!$I$7:$I$100,2)+SUMIFS('18'!$J$7:$J$100,'18'!$H$7:$H$100,$A430,'18'!$I$7:$I$100,2)+SUMIFS('18a'!$J$7:$J$100,'18a'!$H$7:$H$100,$A430,'18a'!$I$7:$I$100,2)
+SUMIFS('19'!$J$7:$J$100,'19'!$H$7:$H$100,$A430,'19'!$I$7:$I$100,2)+SUMIFS('20'!$J$7:$J$100,'20'!$H$7:$H$100,$A430,'20'!$I$7:$I$100,2)+SUMIFS('20a'!$J$7:$J$100,'20a'!$H$7:$H$100,$A430,'20a'!$I$7:$I$100,2)+SUMIFS('21'!$J$7:$J$100,'21'!$H$7:$H$100,$A430,'21'!$I$7:$I$100,2)+SUMIFS('22'!$J$7:$J$100,'22'!$H$7:$H$100,$A430,'22'!$I$7:$I$100,2)+SUMIFS('22a'!$J$7:$J$100,'22a'!$H$7:$H$100,$A430,'22a'!$I$7:$I$100,2)+SUMIFS('22b'!$J$7:$J$100,'22b'!$H$7:$H$100,$A430,'22b'!$I$7:$I$100,2)+SUMIFS('23'!$J$7:$J$100,'23'!$H$7:$H$100,$A430,'23'!$I$7:$I$100,2)+SUMIFS('24'!$J$7:$J$100,'24'!$H$7:$H$100,$A430,'24'!$I$7:$I$100,2)+SUMIFS('24a'!$J$7:$J$100,'24a'!$H$7:$H$100,$A430,'24a'!$I$7:$I$100,2)+SUMIFS('24b'!$J$7:$J$100,'24b'!$H$7:$H$100,$A430,'24b'!$I$7:$I$100,2)+SUMIFS('24c'!$J$7:$J$100,'24c'!$H$7:$H$100,$A430,'24c'!$I$7:$I$100,2)+SUMIFS('24d'!$J$7:$J$100,'24d'!$H$7:$H$100,$A430,'24d'!$I$7:$I$100,2)+SUMIFS('24e'!$J$7:$J$100,'24e'!$H$7:$H$100,$A430,'24e'!$I$7:$I$100,2)+SUMIFS('24f'!$J$7:$J$100,'24f'!$H$7:$H$100,$A430,'24f'!$I$7:$I$100,2)+SUMIFS('24g'!$J$7:$J$100,'24g'!$H$7:$H$100,$A430,'24g'!$I$7:$I$100,2)+SUMIFS('24h'!$J$7:$J$100,'24h'!$H$7:$H$100,$A430,'24h'!$I$7:$I$100,2)+SUMIFS('24i'!$J$7:$J$100,'24i'!$H$7:$H$100,$A430,'24i'!$I$7:$I$100,2)+SUMIFS('25'!$J$7:$J$100,'25'!$H$7:$H$100,$A430,'25'!$I$7:$I$100,2)+SUMIFS('26'!$J$7:$J$100,'26'!$H$7:$H$100,$A430,'26'!$I$7:$I$100,2)+SUMIFS('26a'!$J$7:$J$100,'26a'!$H$7:$H$100,$A430,'26a'!$I$7:$I$100,2)+SUMIFS('27'!$J$7:$J$100,'27'!$H$7:$H$100,$A430,'27'!$I$7:$I$100,2)+SUMIFS('27a'!$J$7:$J$100,'27a'!$H$7:$H$100,$A430,'27a'!$I$7:$I$100,2)+SUMIFS('28'!$J$7:$J$100,'28'!$H$7:$H$100,$A430,'28'!$I$7:$I$100,2)+SUMIFS('29'!$J$7:$J$100,'29'!$H$7:$H$100,$A430,'29'!$I$7:$I$100,2)</f>
        <v>0</v>
      </c>
      <c r="I430" s="1315">
        <f>SUMIFS('12'!$J$7:$J$100,'12'!$H$7:$H$100,$A430,'12'!$I$7:$I$100,"")+SUMIFS('13'!$J$7:$J$100,'13'!$H$7:$H$100,$A430,'13'!$I$7:$I$100,"")+SUMIFS('14'!$J$7:$J$100,'14'!$H$7:$H$100,$A430,'14'!$I$7:$I$100,"")+SUMIFS('15'!$J$7:$J$100,'15'!$H$7:$H$100,$A430,'15'!$I$7:$I$100,"")+SUMIFS('15a'!$J$7:$J$100,'15a'!$H$7:$H$100,$A430,'15a'!$I$7:$I$100,"")+SUMIFS('15b'!$J$7:$J$100,'15b'!$H$7:$H$100,$A430,'15b'!$I$7:$I$100,"")+SUMIFS('15c'!$J$7:$J$100,'15c'!$H$7:$H$100,$A430,'15c'!$I$7:$I$100,"")+SUMIFS('15d'!$J$7:$J$100,'15d'!$H$7:$H$100,$A430,'15d'!$I$7:$I$100,"")+SUMIFS('15e'!$J$7:$J$100,'15e'!$H$7:$H$100,$A430,'15e'!$I$7:$I$100,"")+SUMIFS('15f'!$J$7:$J$100,'15f'!$H$7:$H$100,$A430,'15f'!$I$7:$I$100,"")+SUMIFS('15g'!$J$7:$J$100,'15g'!$H$7:$H$100,$A430,'15g'!$I$7:$I$100,"")+SUMIFS('15h'!$J$7:$J$100,'15h'!$H$7:$H$100,$A430,'15h'!$I$7:$I$100,"")+SUMIFS('15i'!$J$7:$J$100,'15i'!$H$7:$H$100,$A430,'15i'!$I$7:$I$100,"")+SUMIFS('15j'!$J$7:$J$100,'15j'!$H$7:$H$100,$A430,'15j'!$I$7:$I$100,"")+SUMIFS('15k'!$J$7:$J$100,'15k'!$H$7:$H$100,$A430,'15k'!$I$7:$I$100,"")+SUMIFS('15l'!$J$7:$J$100,'15l'!$H$7:$H$100,$A430,'15l'!$I$7:$I$100,"")+SUMIFS('15m'!$J$7:$J$100,'15m'!$H$7:$H$100,$A430,'15m'!$I$7:$I$100,"")+SUMIFS('15n'!$J$7:$J$100,'15n'!$H$7:$H$100,$A430,'15n'!$I$7:$I$100,"")+SUMIFS('16'!$J$7:$J$100,'16'!$H$7:$H$100,$A430,'16'!$I$7:$I$100,"")+SUMIFS('16a'!$J$7:$J$100,'16a'!$H$7:$H$100,$A430,'16a'!$I$7:$I$100,"")+SUMIFS('17'!$J$7:$J$100,'17'!$H$7:$H$100,$A430,'17'!$I$7:$I$100,"")+SUMIFS('17a'!$J$7:$J$100,'17a'!$H$7:$H$100,$A430,'17a'!$I$7:$I$100,"")+SUMIFS('18'!$J$7:$J$100,'18'!$H$7:$H$100,$A430,'18'!$I$7:$I$100,"")+SUMIFS('18a'!$J$7:$J$100,'18a'!$H$7:$H$100,$A430,'18a'!$I$7:$I$100,"")
+SUMIFS('19'!$J$7:$J$100,'19'!$H$7:$H$100,$A430,'19'!$I$7:$I$100,"")+SUMIFS('20'!$J$7:$J$100,'20'!$H$7:$H$100,$A430,'20'!$I$7:$I$100,"")+SUMIFS('20a'!$J$7:$J$100,'20a'!$H$7:$H$100,$A430,'20a'!$I$7:$I$100,"")+SUMIFS('21'!$J$7:$J$100,'21'!$H$7:$H$100,$A430,'21'!$I$7:$I$100,"")+SUMIFS('22'!$J$7:$J$100,'22'!$H$7:$H$100,$A430,'22'!$I$7:$I$100,"")+SUMIFS('22a'!$J$7:$J$100,'22a'!$H$7:$H$100,$A430,'22a'!$I$7:$I$100,"")+SUMIFS('22b'!$J$7:$J$100,'22b'!$H$7:$H$100,$A430,'22b'!$I$7:$I$100,"")+SUMIFS('23'!$J$7:$J$100,'23'!$H$7:$H$100,$A430,'23'!$I$7:$I$100,"")+SUMIFS('24'!$J$7:$J$100,'24'!$H$7:$H$100,$A430,'24'!$I$7:$I$100,"")+SUMIFS('24a'!$J$7:$J$100,'24a'!$H$7:$H$100,$A430,'24a'!$I$7:$I$100,"")+SUMIFS('24b'!$J$7:$J$100,'24b'!$H$7:$H$100,$A430,'24b'!$I$7:$I$100,"")+SUMIFS('24c'!$J$7:$J$100,'24c'!$H$7:$H$100,$A430,'24c'!$I$7:$I$100,"")+SUMIFS('24d'!$J$7:$J$100,'24d'!$H$7:$H$100,$A430,'24d'!$I$7:$I$100,"")+SUMIFS('24e'!$J$7:$J$100,'24e'!$H$7:$H$100,$A430,'24e'!$I$7:$I$100,"")+SUMIFS('24f'!$J$7:$J$100,'24f'!$H$7:$H$100,$A430,'24f'!$I$7:$I$100,"")+SUMIFS('24g'!$J$7:$J$100,'24g'!$H$7:$H$100,$A430,'24g'!$I$7:$I$100,"")+SUMIFS('24h'!$J$7:$J$100,'24h'!$H$7:$H$100,$A430,'24h'!$I$7:$I$100,"")+SUMIFS('24i'!$J$7:$J$100,'24i'!$H$7:$H$100,$A430,'24i'!$I$7:$I$100,"")+SUMIFS('25'!$J$7:$J$100,'25'!$H$7:$H$100,$A430,'25'!$I$7:$I$100,"")+SUMIFS('26'!$J$7:$J$100,'26'!$H$7:$H$100,$A430,'26'!$I$7:$I$100,"")+SUMIFS('26a'!$J$7:$J$100,'26a'!$H$7:$H$100,$A430,'26a'!$I$7:$I$100,"")+SUMIFS('27'!$J$7:$J$100,'27'!$H$7:$H$100,$A430,'27'!$I$7:$I$100,"")+SUMIFS('27a'!$J$7:$J$100,'27a'!$H$7:$H$100,$A430,'27a'!$I$7:$I$100,"")+SUMIFS('28'!$J$7:$J$100,'28'!$H$7:$H$100,$A430,'28'!$I$7:$I$100,"")+SUMIFS('29'!$J$7:$J$100,'29'!$H$7:$H$100,$A430,'29'!$I$7:$I$100,"")</f>
        <v>0</v>
      </c>
      <c r="J430" s="1296">
        <f t="shared" ref="J430:J437" si="77">SUM(G430:I430)</f>
        <v>0</v>
      </c>
      <c r="K430"/>
      <c r="L430"/>
      <c r="M430"/>
      <c r="N430"/>
      <c r="O430"/>
      <c r="P430"/>
      <c r="Q430"/>
      <c r="R430"/>
      <c r="S430" s="1307">
        <f t="shared" si="71"/>
        <v>0</v>
      </c>
      <c r="T430"/>
    </row>
    <row r="431" spans="1:20" x14ac:dyDescent="0.2">
      <c r="A431" t="s">
        <v>535</v>
      </c>
      <c r="B431" s="784" t="s">
        <v>5590</v>
      </c>
      <c r="C431" s="1295">
        <f>SUMIFS('12'!$N$7:$N$100,'12'!$H$7:$H$100,$A431,'12'!$I$7:$I$100,1)+SUMIFS('13'!$N$7:$N$100,'13'!$H$7:$H$100,$A431,'13'!$I$7:$I$100,1)+SUMIFS('14'!$N$7:$N$100,'14'!$H$7:$H$100,$A431,'14'!$I$7:$I$100,1)+SUMIFS('15'!$N$7:$N$100,'15'!$H$7:$H$100,$A431,'15'!$I$7:$I$100,1)+SUMIFS('15a'!$N$7:$N$100,'15a'!$H$7:$H$100,$A431,'15a'!$I$7:$I$100,1)+SUMIFS('15b'!$N$7:$N$100,'15b'!$H$7:$H$100,$A431,'15b'!$I$7:$I$100,1)+SUMIFS('15c'!$N$7:$N$100,'15c'!$H$7:$H$100,$A431,'15c'!$I$7:$I$100,1)+SUMIFS('15d'!$N$7:$N$100,'15d'!$H$7:$H$100,$A431,'15d'!$I$7:$I$100,1)+SUMIFS('15e'!$N$7:$N$100,'15e'!$H$7:$H$100,$A431,'15e'!$I$7:$I$100,1)+SUMIFS('15f'!$N$7:$N$100,'15f'!$H$7:$H$100,$A431,'15f'!$I$7:$I$100,1)+SUMIFS('15g'!$N$7:$N$100,'15g'!$H$7:$H$100,$A431,'15g'!$I$7:$I$100,1)+SUMIFS('15h'!$N$7:$N$100,'15h'!$H$7:$H$100,$A431,'15h'!$I$7:$I$100,1)+SUMIFS('15i'!$N$7:$N$100,'15i'!$H$7:$H$100,$A431,'15i'!$I$7:$I$100,1)+SUMIFS('15j'!$N$7:$N$100,'15j'!$H$7:$H$100,$A431,'15j'!$I$7:$I$100,1)+SUMIFS('15k'!$N$7:$N$100,'15k'!$H$7:$H$100,$A431,'15k'!$I$7:$I$100,1)+SUMIFS('15l'!$N$7:$N$100,'15l'!$H$7:$H$100,$A431,'15l'!$I$7:$I$100,1)+SUMIFS('15m'!$N$7:$N$100,'15m'!$H$7:$H$100,$A431,'15m'!$I$7:$I$100,1)+SUMIFS('15n'!$N$7:$N$100,'15n'!$H$7:$H$100,$A431,'15n'!$I$7:$I$100,1)+SUMIFS('16'!$N$7:$N$100,'16'!$H$7:$H$100,$A431,'16'!$I$7:$I$100,1)+SUMIFS('16a'!$N$7:$N$100,'16a'!$H$7:$H$100,$A431,'16a'!$I$7:$I$100,1)+SUMIFS('17'!$N$7:$N$100,'17'!$H$7:$H$100,$A431,'17'!$I$7:$I$100,1)+SUMIFS('17a'!$N$7:$N$100,'17a'!$H$7:$H$100,$A431,'17a'!$I$7:$I$100,1)+SUMIFS('18'!$N$7:$N$100,'18'!$H$7:$H$100,$A431,'18'!$I$7:$I$100,1)+SUMIFS('18a'!$N$7:$N$100,'18a'!$H$7:$H$100,$A431,'18a'!$I$7:$I$100,1)
+SUMIFS('19'!$N$7:$N$100,'19'!$H$7:$H$100,$A431,'19'!$I$7:$I$100,1)+SUMIFS('20'!$N$7:$N$100,'20'!$H$7:$H$100,$A431,'20'!$I$7:$I$100,1)+SUMIFS('20a'!$N$7:$N$100,'20a'!$H$7:$H$100,$A431,'20a'!$I$7:$I$100,1)+SUMIFS('21'!$N$7:$N$100,'21'!$H$7:$H$100,$A431,'21'!$I$7:$I$100,1)+SUMIFS('22'!$N$7:$N$100,'22'!$H$7:$H$100,$A431,'22'!$I$7:$I$100,1)+SUMIFS('22a'!$N$7:$N$100,'22a'!$H$7:$H$100,$A431,'22a'!$I$7:$I$100,1)+SUMIFS('22b'!$N$7:$N$100,'22b'!$H$7:$H$100,$A431,'22b'!$I$7:$I$100,1)+SUMIFS('23'!$N$7:$N$100,'23'!$H$7:$H$100,$A431,'23'!$I$7:$I$100,1)+SUMIFS('24'!$N$7:$N$100,'24'!$H$7:$H$100,$A431,'24'!$I$7:$I$100,1)+SUMIFS('24a'!$N$7:$N$100,'24a'!$H$7:$H$100,$A431,'24a'!$I$7:$I$100,1)+SUMIFS('24b'!$N$7:$N$100,'24b'!$H$7:$H$100,$A431,'24b'!$I$7:$I$100,1)+SUMIFS('24c'!$N$7:$N$100,'24c'!$H$7:$H$100,$A431,'24c'!$I$7:$I$100,1)+SUMIFS('24d'!$N$7:$N$100,'24d'!$H$7:$H$100,$A431,'24d'!$I$7:$I$100,1)+SUMIFS('24e'!$N$7:$N$100,'24e'!$H$7:$H$100,$A431,'24e'!$I$7:$I$100,1)+SUMIFS('24f'!$N$7:$N$100,'24f'!$H$7:$H$100,$A431,'24f'!$I$7:$I$100,1)+SUMIFS('24g'!$N$7:$N$100,'24g'!$H$7:$H$100,$A431,'24g'!$I$7:$I$100,1)+SUMIFS('24h'!$N$7:$N$100,'24h'!$H$7:$H$100,$A431,'24h'!$I$7:$I$100,1)+SUMIFS('24i'!$N$7:$N$100,'24i'!$H$7:$H$100,$A431,'24i'!$I$7:$I$100,1)+SUMIFS('25'!$N$7:$N$100,'25'!$H$7:$H$100,$A431,'25'!$I$7:$I$100,1)+SUMIFS('26'!$N$7:$N$100,'26'!$H$7:$H$100,$A431,'26'!$I$7:$I$100,1)+SUMIFS('26a'!$N$7:$N$100,'26a'!$H$7:$H$100,$A431,'26a'!$I$7:$I$100,1)+SUMIFS('27'!$N$7:$N$100,'27'!$H$7:$H$100,$A431,'27'!$I$7:$I$100,1)+SUMIFS('27a'!$N$7:$N$100,'27a'!$H$7:$H$100,$A431,'27a'!$I$7:$I$100,1)+SUMIFS('28'!$N$7:$N$100,'28'!$H$7:$H$100,$A431,'28'!$I$7:$I$100,1)+SUMIFS('29'!$N$7:$N$100,'29'!$H$7:$H$100,$A431,'29'!$I$7:$I$100,1)</f>
        <v>0</v>
      </c>
      <c r="D431" s="1315">
        <f>SUMIFS('12'!$N$7:$N$100,'12'!$H$7:$H$100,$A431,'12'!$I$7:$I$100,2)+SUMIFS('13'!$N$7:$N$100,'13'!$H$7:$H$100,$A431,'13'!$I$7:$I$100,2)+SUMIFS('14'!$N$7:$N$100,'14'!$H$7:$H$100,$A431,'14'!$I$7:$I$100,2)+SUMIFS('15'!$N$7:$N$100,'15'!$H$7:$H$100,$A431,'15'!$I$7:$I$100,2)+SUMIFS('15a'!$N$7:$N$100,'15a'!$H$7:$H$100,$A431,'15a'!$I$7:$I$100,2)+SUMIFS('15b'!$N$7:$N$100,'15b'!$H$7:$H$100,$A431,'15b'!$I$7:$I$100,2)+SUMIFS('15c'!$N$7:$N$100,'15c'!$H$7:$H$100,$A431,'15c'!$I$7:$I$100,2)+SUMIFS('15d'!$N$7:$N$100,'15d'!$H$7:$H$100,$A431,'15d'!$I$7:$I$100,2)+SUMIFS('15e'!$N$7:$N$100,'15e'!$H$7:$H$100,$A431,'15e'!$I$7:$I$100,2)+SUMIFS('15f'!$N$7:$N$100,'15f'!$H$7:$H$100,$A431,'15f'!$I$7:$I$100,2)+SUMIFS('15g'!$N$7:$N$100,'15g'!$H$7:$H$100,$A431,'15g'!$I$7:$I$100,2)+SUMIFS('15h'!$N$7:$N$100,'15h'!$H$7:$H$100,$A431,'15h'!$I$7:$I$100,2)+SUMIFS('15i'!$N$7:$N$100,'15i'!$H$7:$H$100,$A431,'15i'!$I$7:$I$100,2)+SUMIFS('15j'!$N$7:$N$100,'15j'!$H$7:$H$100,$A431,'15j'!$I$7:$I$100,2)+SUMIFS('15k'!$N$7:$N$100,'15k'!$H$7:$H$100,$A431,'15k'!$I$7:$I$100,2)+SUMIFS('15l'!$N$7:$N$100,'15l'!$H$7:$H$100,$A431,'15l'!$I$7:$I$100,2)+SUMIFS('15m'!$N$7:$N$100,'15m'!$H$7:$H$100,$A431,'15m'!$I$7:$I$100,2)+SUMIFS('15n'!$N$7:$N$100,'15n'!$H$7:$H$100,$A431,'15n'!$I$7:$I$100,2)+SUMIFS('16'!$N$7:$N$100,'16'!$H$7:$H$100,$A431,'16'!$I$7:$I$100,2)+SUMIFS('16a'!$N$7:$N$100,'16a'!$H$7:$H$100,$A431,'16a'!$I$7:$I$100,2)+SUMIFS('17'!$N$7:$N$100,'17'!$H$7:$H$100,$A431,'17'!$I$7:$I$100,2)+SUMIFS('17a'!$N$7:$N$100,'17a'!$H$7:$H$100,$A431,'17a'!$I$7:$I$100,2)+SUMIFS('18'!$N$7:$N$100,'18'!$H$7:$H$100,$A431,'18'!$I$7:$I$100,2)+SUMIFS('18a'!$N$7:$N$100,'18a'!$H$7:$H$100,$A431,'18a'!$I$7:$I$100,2)
+SUMIFS('19'!$N$7:$N$100,'19'!$H$7:$H$100,$A431,'19'!$I$7:$I$100,2)+SUMIFS('20'!$N$7:$N$100,'20'!$H$7:$H$100,$A431,'20'!$I$7:$I$100,2)+SUMIFS('20a'!$N$7:$N$100,'20a'!$H$7:$H$100,$A431,'20a'!$I$7:$I$100,2)+SUMIFS('21'!$N$7:$N$100,'21'!$H$7:$H$100,$A431,'21'!$I$7:$I$100,2)+SUMIFS('22'!$N$7:$N$100,'22'!$H$7:$H$100,$A431,'22'!$I$7:$I$100,2)+SUMIFS('22a'!$N$7:$N$100,'22a'!$H$7:$H$100,$A431,'22a'!$I$7:$I$100,2)+SUMIFS('22b'!$N$7:$N$100,'22b'!$H$7:$H$100,$A431,'22b'!$I$7:$I$100,2)+SUMIFS('23'!$N$7:$N$100,'23'!$H$7:$H$100,$A431,'23'!$I$7:$I$100,2)+SUMIFS('24'!$N$7:$N$100,'24'!$H$7:$H$100,$A431,'24'!$I$7:$I$100,2)+SUMIFS('24a'!$N$7:$N$100,'24a'!$H$7:$H$100,$A431,'24a'!$I$7:$I$100,2)+SUMIFS('24b'!$N$7:$N$100,'24b'!$H$7:$H$100,$A431,'24b'!$I$7:$I$100,2)+SUMIFS('24c'!$N$7:$N$100,'24c'!$H$7:$H$100,$A431,'24c'!$I$7:$I$100,2)+SUMIFS('24d'!$N$7:$N$100,'24d'!$H$7:$H$100,$A431,'24d'!$I$7:$I$100,2)+SUMIFS('24e'!$N$7:$N$100,'24e'!$H$7:$H$100,$A431,'24e'!$I$7:$I$100,2)+SUMIFS('24f'!$N$7:$N$100,'24f'!$H$7:$H$100,$A431,'24f'!$I$7:$I$100,2)+SUMIFS('24g'!$N$7:$N$100,'24g'!$H$7:$H$100,$A431,'24g'!$I$7:$I$100,2)+SUMIFS('24h'!$N$7:$N$100,'24h'!$H$7:$H$100,$A431,'24h'!$I$7:$I$100,2)+SUMIFS('24i'!$N$7:$N$100,'24i'!$H$7:$H$100,$A431,'24i'!$I$7:$I$100,2)+SUMIFS('25'!$N$7:$N$100,'25'!$H$7:$H$100,$A431,'25'!$I$7:$I$100,2)+SUMIFS('26'!$N$7:$N$100,'26'!$H$7:$H$100,$A431,'26'!$I$7:$I$100,2)+SUMIFS('26a'!$N$7:$N$100,'26a'!$H$7:$H$100,$A431,'26a'!$I$7:$I$100,2)+SUMIFS('27'!$N$7:$N$100,'27'!$H$7:$H$100,$A431,'27'!$I$7:$I$100,2)+SUMIFS('27a'!$N$7:$N$100,'27a'!$H$7:$H$100,$A431,'27a'!$I$7:$I$100,2)+SUMIFS('28'!$N$7:$N$100,'28'!$H$7:$H$100,$A431,'28'!$I$7:$I$100,2)+SUMIFS('29'!$N$7:$N$100,'29'!$H$7:$H$100,$A431,'29'!$I$7:$I$100,2)</f>
        <v>0</v>
      </c>
      <c r="E431" s="1315">
        <f>SUMIFS('12'!$N$7:$N$100,'12'!$H$7:$H$100,$A431,'12'!$I$7:$I$100,"")+SUMIFS('13'!$N$7:$N$100,'13'!$H$7:$H$100,$A431,'13'!$I$7:$I$100,"")+SUMIFS('14'!$N$7:$N$100,'14'!$H$7:$H$100,$A431,'14'!$I$7:$I$100,"")+SUMIFS('15'!$N$7:$N$100,'15'!$H$7:$H$100,$A431,'15'!$I$7:$I$100,"")+SUMIFS('15a'!$N$7:$N$100,'15a'!$H$7:$H$100,$A431,'15a'!$I$7:$I$100,"")+SUMIFS('15b'!$N$7:$N$100,'15b'!$H$7:$H$100,$A431,'15b'!$I$7:$I$100,"")+SUMIFS('15c'!$N$7:$N$100,'15c'!$H$7:$H$100,$A431,'15c'!$I$7:$I$100,"")+SUMIFS('15d'!$N$7:$N$100,'15d'!$H$7:$H$100,$A431,'15d'!$I$7:$I$100,"")+SUMIFS('15e'!$N$7:$N$100,'15e'!$H$7:$H$100,$A431,'15e'!$I$7:$I$100,"")+SUMIFS('15f'!$N$7:$N$100,'15f'!$H$7:$H$100,$A431,'15f'!$I$7:$I$100,"")+SUMIFS('15g'!$N$7:$N$100,'15g'!$H$7:$H$100,$A431,'15g'!$I$7:$I$100,"")+SUMIFS('15h'!$N$7:$N$100,'15h'!$H$7:$H$100,$A431,'15h'!$I$7:$I$100,"")+SUMIFS('15i'!$N$7:$N$100,'15i'!$H$7:$H$100,$A431,'15i'!$I$7:$I$100,"")+SUMIFS('15j'!$N$7:$N$100,'15j'!$H$7:$H$100,$A431,'15j'!$I$7:$I$100,"")+SUMIFS('15k'!$N$7:$N$100,'15k'!$H$7:$H$100,$A431,'15k'!$I$7:$I$100,"")+SUMIFS('15l'!$N$7:$N$100,'15l'!$H$7:$H$100,$A431,'15l'!$I$7:$I$100,"")+SUMIFS('15m'!$N$7:$N$100,'15m'!$H$7:$H$100,$A431,'15m'!$I$7:$I$100,"")+SUMIFS('15n'!$N$7:$N$100,'15n'!$H$7:$H$100,$A431,'15n'!$I$7:$I$100,"")+SUMIFS('16'!$N$7:$N$100,'16'!$H$7:$H$100,$A431,'16'!$I$7:$I$100,"")+SUMIFS('16a'!$N$7:$N$100,'16a'!$H$7:$H$100,$A431,'16a'!$I$7:$I$100,"")+SUMIFS('17'!$N$7:$N$100,'17'!$H$7:$H$100,$A431,'17'!$I$7:$I$100,"")+SUMIFS('17a'!$N$7:$N$100,'17a'!$H$7:$H$100,$A431,'17a'!$I$7:$I$100,"")+SUMIFS('18'!$N$7:$N$100,'18'!$H$7:$H$100,$A431,'18'!$I$7:$I$100,"")+SUMIFS('18a'!$N$7:$N$100,'18a'!$H$7:$H$100,$A431,'18a'!$I$7:$I$100,"")
+SUMIFS('19'!$N$7:$N$100,'19'!$H$7:$H$100,$A431,'19'!$I$7:$I$100,"")+SUMIFS('20'!$N$7:$N$100,'20'!$H$7:$H$100,$A431,'20'!$I$7:$I$100,"")+SUMIFS('20a'!$N$7:$N$100,'20a'!$H$7:$H$100,$A431,'20a'!$I$7:$I$100,"")+SUMIFS('21'!$N$7:$N$100,'21'!$H$7:$H$100,$A431,'21'!$I$7:$I$100,"")+SUMIFS('22'!$N$7:$N$100,'22'!$H$7:$H$100,$A431,'22'!$I$7:$I$100,"")+SUMIFS('22a'!$N$7:$N$100,'22a'!$H$7:$H$100,$A431,'22a'!$I$7:$I$100,"")+SUMIFS('22b'!$N$7:$N$100,'22b'!$H$7:$H$100,$A431,'22b'!$I$7:$I$100,"")+SUMIFS('23'!$N$7:$N$100,'23'!$H$7:$H$100,$A431,'23'!$I$7:$I$100,"")+SUMIFS('24'!$N$7:$N$100,'24'!$H$7:$H$100,$A431,'24'!$I$7:$I$100,"")+SUMIFS('24a'!$N$7:$N$100,'24a'!$H$7:$H$100,$A431,'24a'!$I$7:$I$100,"")+SUMIFS('24b'!$N$7:$N$100,'24b'!$H$7:$H$100,$A431,'24b'!$I$7:$I$100,"")+SUMIFS('24c'!$N$7:$N$100,'24c'!$H$7:$H$100,$A431,'24c'!$I$7:$I$100,"")+SUMIFS('24d'!$N$7:$N$100,'24d'!$H$7:$H$100,$A431,'24d'!$I$7:$I$100,"")+SUMIFS('24e'!$N$7:$N$100,'24e'!$H$7:$H$100,$A431,'24e'!$I$7:$I$100,"")+SUMIFS('24f'!$N$7:$N$100,'24f'!$H$7:$H$100,$A431,'24f'!$I$7:$I$100,"")+SUMIFS('24g'!$N$7:$N$100,'24g'!$H$7:$H$100,$A431,'24g'!$I$7:$I$100,"")+SUMIFS('24h'!$N$7:$N$100,'24h'!$H$7:$H$100,$A431,'24h'!$I$7:$I$100,"")+SUMIFS('24i'!$N$7:$N$100,'24i'!$H$7:$H$100,$A431,'24i'!$I$7:$I$100,"")+SUMIFS('25'!$N$7:$N$100,'25'!$H$7:$H$100,$A431,'25'!$I$7:$I$100,"")+SUMIFS('26'!$N$7:$N$100,'26'!$H$7:$H$100,$A431,'26'!$I$7:$I$100,"")+SUMIFS('26a'!$N$7:$N$100,'26a'!$H$7:$H$100,$A431,'26a'!$I$7:$I$100,"")+SUMIFS('27'!$N$7:$N$100,'27'!$H$7:$H$100,$A431,'27'!$I$7:$I$100,"")+SUMIFS('27a'!$N$7:$N$100,'27a'!$H$7:$H$100,$A431,'27a'!$I$7:$I$100,"")+SUMIFS('28'!$N$7:$N$100,'28'!$H$7:$H$100,$A431,'28'!$I$7:$I$100,"")+SUMIFS('29'!$N$7:$N$100,'29'!$H$7:$H$100,$A431,'29'!$I$7:$I$100,"")</f>
        <v>0</v>
      </c>
      <c r="F431" s="1296">
        <f t="shared" si="76"/>
        <v>0</v>
      </c>
      <c r="G431" s="1295">
        <f>SUMIFS('12'!$J$7:$J$100,'12'!$H$7:$H$100,$A431,'12'!$I$7:$I$100,1)+SUMIFS('13'!$J$7:$J$100,'13'!$H$7:$H$100,$A431,'13'!$I$7:$I$100,1)+SUMIFS('14'!$J$7:$J$100,'14'!$H$7:$H$100,$A431,'14'!$I$7:$I$100,1)+SUMIFS('15'!$J$7:$J$100,'15'!$H$7:$H$100,$A431,'15'!$I$7:$I$100,1)+SUMIFS('15a'!$J$7:$J$100,'15a'!$H$7:$H$100,$A431,'15a'!$I$7:$I$100,1)+SUMIFS('15b'!$J$7:$J$100,'15b'!$H$7:$H$100,$A431,'15b'!$I$7:$I$100,1)+SUMIFS('15c'!$J$7:$J$100,'15c'!$H$7:$H$100,$A431,'15c'!$I$7:$I$100,1)+SUMIFS('15d'!$J$7:$J$100,'15d'!$H$7:$H$100,$A431,'15d'!$I$7:$I$100,1)+SUMIFS('15e'!$J$7:$J$100,'15e'!$H$7:$H$100,$A431,'15e'!$I$7:$I$100,1)+SUMIFS('15f'!$J$7:$J$100,'15f'!$H$7:$H$100,$A431,'15f'!$I$7:$I$100,1)+SUMIFS('15g'!$J$7:$J$100,'15g'!$H$7:$H$100,$A431,'15g'!$I$7:$I$100,1)+SUMIFS('15h'!$J$7:$J$100,'15h'!$H$7:$H$100,$A431,'15h'!$I$7:$I$100,1)+SUMIFS('15i'!$J$7:$J$100,'15i'!$H$7:$H$100,$A431,'15i'!$I$7:$I$100,1)+SUMIFS('15j'!$J$7:$J$100,'15j'!$H$7:$H$100,$A431,'15j'!$I$7:$I$100,1)+SUMIFS('15k'!$J$7:$J$100,'15k'!$H$7:$H$100,$A431,'15k'!$I$7:$I$100,1)+SUMIFS('15l'!$J$7:$J$100,'15l'!$H$7:$H$100,$A431,'15l'!$I$7:$I$100,1)+SUMIFS('15m'!$J$7:$J$100,'15m'!$H$7:$H$100,$A431,'15m'!$I$7:$I$100,1)+SUMIFS('15n'!$J$7:$J$100,'15n'!$H$7:$H$100,$A431,'15n'!$I$7:$I$100,1)+SUMIFS('16'!$J$7:$J$100,'16'!$H$7:$H$100,$A431,'16'!$I$7:$I$100,1)+SUMIFS('16a'!$J$7:$J$100,'16a'!$H$7:$H$100,$A431,'16a'!$I$7:$I$100,1)+SUMIFS('17'!$J$7:$J$100,'17'!$H$7:$H$100,$A431,'17'!$I$7:$I$100,1)+SUMIFS('17a'!$J$7:$J$100,'17a'!$H$7:$H$100,$A431,'17a'!$I$7:$I$100,1)+SUMIFS('18'!$J$7:$J$100,'18'!$H$7:$H$100,$A431,'18'!$I$7:$I$100,1)+SUMIFS('18a'!$J$7:$J$100,'18a'!$H$7:$H$100,$A431,'18a'!$I$7:$I$100,1)
+SUMIFS('19'!$J$7:$J$100,'19'!$H$7:$H$100,$A431,'19'!$I$7:$I$100,1)+SUMIFS('20'!$J$7:$J$100,'20'!$H$7:$H$100,$A431,'20'!$I$7:$I$100,1)+SUMIFS('20a'!$J$7:$J$100,'20a'!$H$7:$H$100,$A431,'20a'!$I$7:$I$100,1)+SUMIFS('21'!$J$7:$J$100,'21'!$H$7:$H$100,$A431,'21'!$I$7:$I$100,1)+SUMIFS('22'!$J$7:$J$100,'22'!$H$7:$H$100,$A431,'22'!$I$7:$I$100,1)+SUMIFS('22a'!$J$7:$J$100,'22a'!$H$7:$H$100,$A431,'22a'!$I$7:$I$100,1)+SUMIFS('22b'!$J$7:$J$100,'22b'!$H$7:$H$100,$A431,'22b'!$I$7:$I$100,1)+SUMIFS('23'!$J$7:$J$100,'23'!$H$7:$H$100,$A431,'23'!$I$7:$I$100,1)+SUMIFS('24'!$J$7:$J$100,'24'!$H$7:$H$100,$A431,'24'!$I$7:$I$100,1)+SUMIFS('24a'!$J$7:$J$100,'24a'!$H$7:$H$100,$A431,'24a'!$I$7:$I$100,1)+SUMIFS('24b'!$J$7:$J$100,'24b'!$H$7:$H$100,$A431,'24b'!$I$7:$I$100,1)+SUMIFS('24c'!$J$7:$J$100,'24c'!$H$7:$H$100,$A431,'24c'!$I$7:$I$100,1)+SUMIFS('24d'!$J$7:$J$100,'24d'!$H$7:$H$100,$A431,'24d'!$I$7:$I$100,1)+SUMIFS('24e'!$J$7:$J$100,'24e'!$H$7:$H$100,$A431,'24e'!$I$7:$I$100,1)+SUMIFS('24f'!$J$7:$J$100,'24f'!$H$7:$H$100,$A431,'24f'!$I$7:$I$100,1)+SUMIFS('24g'!$J$7:$J$100,'24g'!$H$7:$H$100,$A431,'24g'!$I$7:$I$100,1)+SUMIFS('24h'!$J$7:$J$100,'24h'!$H$7:$H$100,$A431,'24h'!$I$7:$I$100,1)+SUMIFS('24i'!$J$7:$J$100,'24i'!$H$7:$H$100,$A431,'24i'!$I$7:$I$100,1)+SUMIFS('25'!$J$7:$J$100,'25'!$H$7:$H$100,$A431,'25'!$I$7:$I$100,1)+SUMIFS('26'!$J$7:$J$100,'26'!$H$7:$H$100,$A431,'26'!$I$7:$I$100,1)+SUMIFS('26a'!$J$7:$J$100,'26a'!$H$7:$H$100,$A431,'26a'!$I$7:$I$100,1)+SUMIFS('27'!$J$7:$J$100,'27'!$H$7:$H$100,$A431,'27'!$I$7:$I$100,1)+SUMIFS('27a'!$J$7:$J$100,'27a'!$H$7:$H$100,$A431,'27a'!$I$7:$I$100,1)+SUMIFS('28'!$J$7:$J$100,'28'!$H$7:$H$100,$A431,'28'!$I$7:$I$100,1)+SUMIFS('29'!$J$7:$J$100,'29'!$H$7:$H$100,$A431,'29'!$I$7:$I$100,1)</f>
        <v>0</v>
      </c>
      <c r="H431" s="1315">
        <f>SUMIFS('12'!$J$7:$J$100,'12'!$H$7:$H$100,$A431,'12'!$I$7:$I$100,2)+SUMIFS('13'!$J$7:$J$100,'13'!$H$7:$H$100,$A431,'13'!$I$7:$I$100,2)+SUMIFS('14'!$J$7:$J$100,'14'!$H$7:$H$100,$A431,'14'!$I$7:$I$100,2)+SUMIFS('15'!$J$7:$J$100,'15'!$H$7:$H$100,$A431,'15'!$I$7:$I$100,2)+SUMIFS('15a'!$J$7:$J$100,'15a'!$H$7:$H$100,$A431,'15a'!$I$7:$I$100,2)+SUMIFS('15b'!$J$7:$J$100,'15b'!$H$7:$H$100,$A431,'15b'!$I$7:$I$100,2)+SUMIFS('15c'!$J$7:$J$100,'15c'!$H$7:$H$100,$A431,'15c'!$I$7:$I$100,2)+SUMIFS('15d'!$J$7:$J$100,'15d'!$H$7:$H$100,$A431,'15d'!$I$7:$I$100,2)+SUMIFS('15e'!$J$7:$J$100,'15e'!$H$7:$H$100,$A431,'15e'!$I$7:$I$100,2)+SUMIFS('15f'!$J$7:$J$100,'15f'!$H$7:$H$100,$A431,'15f'!$I$7:$I$100,2)+SUMIFS('15g'!$J$7:$J$100,'15g'!$H$7:$H$100,$A431,'15g'!$I$7:$I$100,2)+SUMIFS('15h'!$J$7:$J$100,'15h'!$H$7:$H$100,$A431,'15h'!$I$7:$I$100,2)+SUMIFS('15i'!$J$7:$J$100,'15i'!$H$7:$H$100,$A431,'15i'!$I$7:$I$100,2)+SUMIFS('15j'!$J$7:$J$100,'15j'!$H$7:$H$100,$A431,'15j'!$I$7:$I$100,2)+SUMIFS('15k'!$J$7:$J$100,'15k'!$H$7:$H$100,$A431,'15k'!$I$7:$I$100,2)+SUMIFS('15l'!$J$7:$J$100,'15l'!$H$7:$H$100,$A431,'15l'!$I$7:$I$100,2)+SUMIFS('15m'!$J$7:$J$100,'15m'!$H$7:$H$100,$A431,'15m'!$I$7:$I$100,2)+SUMIFS('15n'!$J$7:$J$100,'15n'!$H$7:$H$100,$A431,'15n'!$I$7:$I$100,2)+SUMIFS('16'!$J$7:$J$100,'16'!$H$7:$H$100,$A431,'16'!$I$7:$I$100,2)+SUMIFS('16a'!$J$7:$J$100,'16a'!$H$7:$H$100,$A431,'16a'!$I$7:$I$100,2)+SUMIFS('17'!$J$7:$J$100,'17'!$H$7:$H$100,$A431,'17'!$I$7:$I$100,2)+SUMIFS('17a'!$J$7:$J$100,'17a'!$H$7:$H$100,$A431,'17a'!$I$7:$I$100,2)+SUMIFS('18'!$J$7:$J$100,'18'!$H$7:$H$100,$A431,'18'!$I$7:$I$100,2)+SUMIFS('18a'!$J$7:$J$100,'18a'!$H$7:$H$100,$A431,'18a'!$I$7:$I$100,2)
+SUMIFS('19'!$J$7:$J$100,'19'!$H$7:$H$100,$A431,'19'!$I$7:$I$100,2)+SUMIFS('20'!$J$7:$J$100,'20'!$H$7:$H$100,$A431,'20'!$I$7:$I$100,2)+SUMIFS('20a'!$J$7:$J$100,'20a'!$H$7:$H$100,$A431,'20a'!$I$7:$I$100,2)+SUMIFS('21'!$J$7:$J$100,'21'!$H$7:$H$100,$A431,'21'!$I$7:$I$100,2)+SUMIFS('22'!$J$7:$J$100,'22'!$H$7:$H$100,$A431,'22'!$I$7:$I$100,2)+SUMIFS('22a'!$J$7:$J$100,'22a'!$H$7:$H$100,$A431,'22a'!$I$7:$I$100,2)+SUMIFS('22b'!$J$7:$J$100,'22b'!$H$7:$H$100,$A431,'22b'!$I$7:$I$100,2)+SUMIFS('23'!$J$7:$J$100,'23'!$H$7:$H$100,$A431,'23'!$I$7:$I$100,2)+SUMIFS('24'!$J$7:$J$100,'24'!$H$7:$H$100,$A431,'24'!$I$7:$I$100,2)+SUMIFS('24a'!$J$7:$J$100,'24a'!$H$7:$H$100,$A431,'24a'!$I$7:$I$100,2)+SUMIFS('24b'!$J$7:$J$100,'24b'!$H$7:$H$100,$A431,'24b'!$I$7:$I$100,2)+SUMIFS('24c'!$J$7:$J$100,'24c'!$H$7:$H$100,$A431,'24c'!$I$7:$I$100,2)+SUMIFS('24d'!$J$7:$J$100,'24d'!$H$7:$H$100,$A431,'24d'!$I$7:$I$100,2)+SUMIFS('24e'!$J$7:$J$100,'24e'!$H$7:$H$100,$A431,'24e'!$I$7:$I$100,2)+SUMIFS('24f'!$J$7:$J$100,'24f'!$H$7:$H$100,$A431,'24f'!$I$7:$I$100,2)+SUMIFS('24g'!$J$7:$J$100,'24g'!$H$7:$H$100,$A431,'24g'!$I$7:$I$100,2)+SUMIFS('24h'!$J$7:$J$100,'24h'!$H$7:$H$100,$A431,'24h'!$I$7:$I$100,2)+SUMIFS('24i'!$J$7:$J$100,'24i'!$H$7:$H$100,$A431,'24i'!$I$7:$I$100,2)+SUMIFS('25'!$J$7:$J$100,'25'!$H$7:$H$100,$A431,'25'!$I$7:$I$100,2)+SUMIFS('26'!$J$7:$J$100,'26'!$H$7:$H$100,$A431,'26'!$I$7:$I$100,2)+SUMIFS('26a'!$J$7:$J$100,'26a'!$H$7:$H$100,$A431,'26a'!$I$7:$I$100,2)+SUMIFS('27'!$J$7:$J$100,'27'!$H$7:$H$100,$A431,'27'!$I$7:$I$100,2)+SUMIFS('27a'!$J$7:$J$100,'27a'!$H$7:$H$100,$A431,'27a'!$I$7:$I$100,2)+SUMIFS('28'!$J$7:$J$100,'28'!$H$7:$H$100,$A431,'28'!$I$7:$I$100,2)+SUMIFS('29'!$J$7:$J$100,'29'!$H$7:$H$100,$A431,'29'!$I$7:$I$100,2)</f>
        <v>0</v>
      </c>
      <c r="I431" s="1315">
        <f>SUMIFS('12'!$J$7:$J$100,'12'!$H$7:$H$100,$A431,'12'!$I$7:$I$100,"")+SUMIFS('13'!$J$7:$J$100,'13'!$H$7:$H$100,$A431,'13'!$I$7:$I$100,"")+SUMIFS('14'!$J$7:$J$100,'14'!$H$7:$H$100,$A431,'14'!$I$7:$I$100,"")+SUMIFS('15'!$J$7:$J$100,'15'!$H$7:$H$100,$A431,'15'!$I$7:$I$100,"")+SUMIFS('15a'!$J$7:$J$100,'15a'!$H$7:$H$100,$A431,'15a'!$I$7:$I$100,"")+SUMIFS('15b'!$J$7:$J$100,'15b'!$H$7:$H$100,$A431,'15b'!$I$7:$I$100,"")+SUMIFS('15c'!$J$7:$J$100,'15c'!$H$7:$H$100,$A431,'15c'!$I$7:$I$100,"")+SUMIFS('15d'!$J$7:$J$100,'15d'!$H$7:$H$100,$A431,'15d'!$I$7:$I$100,"")+SUMIFS('15e'!$J$7:$J$100,'15e'!$H$7:$H$100,$A431,'15e'!$I$7:$I$100,"")+SUMIFS('15f'!$J$7:$J$100,'15f'!$H$7:$H$100,$A431,'15f'!$I$7:$I$100,"")+SUMIFS('15g'!$J$7:$J$100,'15g'!$H$7:$H$100,$A431,'15g'!$I$7:$I$100,"")+SUMIFS('15h'!$J$7:$J$100,'15h'!$H$7:$H$100,$A431,'15h'!$I$7:$I$100,"")+SUMIFS('15i'!$J$7:$J$100,'15i'!$H$7:$H$100,$A431,'15i'!$I$7:$I$100,"")+SUMIFS('15j'!$J$7:$J$100,'15j'!$H$7:$H$100,$A431,'15j'!$I$7:$I$100,"")+SUMIFS('15k'!$J$7:$J$100,'15k'!$H$7:$H$100,$A431,'15k'!$I$7:$I$100,"")+SUMIFS('15l'!$J$7:$J$100,'15l'!$H$7:$H$100,$A431,'15l'!$I$7:$I$100,"")+SUMIFS('15m'!$J$7:$J$100,'15m'!$H$7:$H$100,$A431,'15m'!$I$7:$I$100,"")+SUMIFS('15n'!$J$7:$J$100,'15n'!$H$7:$H$100,$A431,'15n'!$I$7:$I$100,"")+SUMIFS('16'!$J$7:$J$100,'16'!$H$7:$H$100,$A431,'16'!$I$7:$I$100,"")+SUMIFS('16a'!$J$7:$J$100,'16a'!$H$7:$H$100,$A431,'16a'!$I$7:$I$100,"")+SUMIFS('17'!$J$7:$J$100,'17'!$H$7:$H$100,$A431,'17'!$I$7:$I$100,"")+SUMIFS('17a'!$J$7:$J$100,'17a'!$H$7:$H$100,$A431,'17a'!$I$7:$I$100,"")+SUMIFS('18'!$J$7:$J$100,'18'!$H$7:$H$100,$A431,'18'!$I$7:$I$100,"")+SUMIFS('18a'!$J$7:$J$100,'18a'!$H$7:$H$100,$A431,'18a'!$I$7:$I$100,"")
+SUMIFS('19'!$J$7:$J$100,'19'!$H$7:$H$100,$A431,'19'!$I$7:$I$100,"")+SUMIFS('20'!$J$7:$J$100,'20'!$H$7:$H$100,$A431,'20'!$I$7:$I$100,"")+SUMIFS('20a'!$J$7:$J$100,'20a'!$H$7:$H$100,$A431,'20a'!$I$7:$I$100,"")+SUMIFS('21'!$J$7:$J$100,'21'!$H$7:$H$100,$A431,'21'!$I$7:$I$100,"")+SUMIFS('22'!$J$7:$J$100,'22'!$H$7:$H$100,$A431,'22'!$I$7:$I$100,"")+SUMIFS('22a'!$J$7:$J$100,'22a'!$H$7:$H$100,$A431,'22a'!$I$7:$I$100,"")+SUMIFS('22b'!$J$7:$J$100,'22b'!$H$7:$H$100,$A431,'22b'!$I$7:$I$100,"")+SUMIFS('23'!$J$7:$J$100,'23'!$H$7:$H$100,$A431,'23'!$I$7:$I$100,"")+SUMIFS('24'!$J$7:$J$100,'24'!$H$7:$H$100,$A431,'24'!$I$7:$I$100,"")+SUMIFS('24a'!$J$7:$J$100,'24a'!$H$7:$H$100,$A431,'24a'!$I$7:$I$100,"")+SUMIFS('24b'!$J$7:$J$100,'24b'!$H$7:$H$100,$A431,'24b'!$I$7:$I$100,"")+SUMIFS('24c'!$J$7:$J$100,'24c'!$H$7:$H$100,$A431,'24c'!$I$7:$I$100,"")+SUMIFS('24d'!$J$7:$J$100,'24d'!$H$7:$H$100,$A431,'24d'!$I$7:$I$100,"")+SUMIFS('24e'!$J$7:$J$100,'24e'!$H$7:$H$100,$A431,'24e'!$I$7:$I$100,"")+SUMIFS('24f'!$J$7:$J$100,'24f'!$H$7:$H$100,$A431,'24f'!$I$7:$I$100,"")+SUMIFS('24g'!$J$7:$J$100,'24g'!$H$7:$H$100,$A431,'24g'!$I$7:$I$100,"")+SUMIFS('24h'!$J$7:$J$100,'24h'!$H$7:$H$100,$A431,'24h'!$I$7:$I$100,"")+SUMIFS('24i'!$J$7:$J$100,'24i'!$H$7:$H$100,$A431,'24i'!$I$7:$I$100,"")+SUMIFS('25'!$J$7:$J$100,'25'!$H$7:$H$100,$A431,'25'!$I$7:$I$100,"")+SUMIFS('26'!$J$7:$J$100,'26'!$H$7:$H$100,$A431,'26'!$I$7:$I$100,"")+SUMIFS('26a'!$J$7:$J$100,'26a'!$H$7:$H$100,$A431,'26a'!$I$7:$I$100,"")+SUMIFS('27'!$J$7:$J$100,'27'!$H$7:$H$100,$A431,'27'!$I$7:$I$100,"")+SUMIFS('27a'!$J$7:$J$100,'27a'!$H$7:$H$100,$A431,'27a'!$I$7:$I$100,"")+SUMIFS('28'!$J$7:$J$100,'28'!$H$7:$H$100,$A431,'28'!$I$7:$I$100,"")+SUMIFS('29'!$J$7:$J$100,'29'!$H$7:$H$100,$A431,'29'!$I$7:$I$100,"")</f>
        <v>0</v>
      </c>
      <c r="J431" s="1296">
        <f t="shared" si="77"/>
        <v>0</v>
      </c>
      <c r="K431"/>
      <c r="L431"/>
      <c r="M431"/>
      <c r="N431"/>
      <c r="O431"/>
      <c r="P431"/>
      <c r="Q431"/>
      <c r="R431"/>
      <c r="S431" s="1307">
        <f t="shared" si="71"/>
        <v>0</v>
      </c>
      <c r="T431"/>
    </row>
    <row r="432" spans="1:20" x14ac:dyDescent="0.2">
      <c r="A432" t="s">
        <v>548</v>
      </c>
      <c r="B432" t="s">
        <v>5559</v>
      </c>
      <c r="C432" s="1295">
        <f>SUMIFS('12'!$N$7:$N$100,'12'!$H$7:$H$100,$A432,'12'!$I$7:$I$100,1)+SUMIFS('13'!$N$7:$N$100,'13'!$H$7:$H$100,$A432,'13'!$I$7:$I$100,1)+SUMIFS('14'!$N$7:$N$100,'14'!$H$7:$H$100,$A432,'14'!$I$7:$I$100,1)+SUMIFS('15'!$N$7:$N$100,'15'!$H$7:$H$100,$A432,'15'!$I$7:$I$100,1)+SUMIFS('15a'!$N$7:$N$100,'15a'!$H$7:$H$100,$A432,'15a'!$I$7:$I$100,1)+SUMIFS('15b'!$N$7:$N$100,'15b'!$H$7:$H$100,$A432,'15b'!$I$7:$I$100,1)+SUMIFS('15c'!$N$7:$N$100,'15c'!$H$7:$H$100,$A432,'15c'!$I$7:$I$100,1)+SUMIFS('15d'!$N$7:$N$100,'15d'!$H$7:$H$100,$A432,'15d'!$I$7:$I$100,1)+SUMIFS('15e'!$N$7:$N$100,'15e'!$H$7:$H$100,$A432,'15e'!$I$7:$I$100,1)+SUMIFS('15f'!$N$7:$N$100,'15f'!$H$7:$H$100,$A432,'15f'!$I$7:$I$100,1)+SUMIFS('15g'!$N$7:$N$100,'15g'!$H$7:$H$100,$A432,'15g'!$I$7:$I$100,1)+SUMIFS('15h'!$N$7:$N$100,'15h'!$H$7:$H$100,$A432,'15h'!$I$7:$I$100,1)+SUMIFS('15i'!$N$7:$N$100,'15i'!$H$7:$H$100,$A432,'15i'!$I$7:$I$100,1)+SUMIFS('15j'!$N$7:$N$100,'15j'!$H$7:$H$100,$A432,'15j'!$I$7:$I$100,1)+SUMIFS('15k'!$N$7:$N$100,'15k'!$H$7:$H$100,$A432,'15k'!$I$7:$I$100,1)+SUMIFS('15l'!$N$7:$N$100,'15l'!$H$7:$H$100,$A432,'15l'!$I$7:$I$100,1)+SUMIFS('15m'!$N$7:$N$100,'15m'!$H$7:$H$100,$A432,'15m'!$I$7:$I$100,1)+SUMIFS('15n'!$N$7:$N$100,'15n'!$H$7:$H$100,$A432,'15n'!$I$7:$I$100,1)+SUMIFS('16'!$N$7:$N$100,'16'!$H$7:$H$100,$A432,'16'!$I$7:$I$100,1)+SUMIFS('16a'!$N$7:$N$100,'16a'!$H$7:$H$100,$A432,'16a'!$I$7:$I$100,1)+SUMIFS('17'!$N$7:$N$100,'17'!$H$7:$H$100,$A432,'17'!$I$7:$I$100,1)+SUMIFS('17a'!$N$7:$N$100,'17a'!$H$7:$H$100,$A432,'17a'!$I$7:$I$100,1)+SUMIFS('18'!$N$7:$N$100,'18'!$H$7:$H$100,$A432,'18'!$I$7:$I$100,1)+SUMIFS('18a'!$N$7:$N$100,'18a'!$H$7:$H$100,$A432,'18a'!$I$7:$I$100,1)
+SUMIFS('19'!$N$7:$N$100,'19'!$H$7:$H$100,$A432,'19'!$I$7:$I$100,1)+SUMIFS('20'!$N$7:$N$100,'20'!$H$7:$H$100,$A432,'20'!$I$7:$I$100,1)+SUMIFS('20a'!$N$7:$N$100,'20a'!$H$7:$H$100,$A432,'20a'!$I$7:$I$100,1)+SUMIFS('21'!$N$7:$N$100,'21'!$H$7:$H$100,$A432,'21'!$I$7:$I$100,1)+SUMIFS('22'!$N$7:$N$100,'22'!$H$7:$H$100,$A432,'22'!$I$7:$I$100,1)+SUMIFS('22a'!$N$7:$N$100,'22a'!$H$7:$H$100,$A432,'22a'!$I$7:$I$100,1)+SUMIFS('22b'!$N$7:$N$100,'22b'!$H$7:$H$100,$A432,'22b'!$I$7:$I$100,1)+SUMIFS('23'!$N$7:$N$100,'23'!$H$7:$H$100,$A432,'23'!$I$7:$I$100,1)+SUMIFS('24'!$N$7:$N$100,'24'!$H$7:$H$100,$A432,'24'!$I$7:$I$100,1)+SUMIFS('24a'!$N$7:$N$100,'24a'!$H$7:$H$100,$A432,'24a'!$I$7:$I$100,1)+SUMIFS('24b'!$N$7:$N$100,'24b'!$H$7:$H$100,$A432,'24b'!$I$7:$I$100,1)+SUMIFS('24c'!$N$7:$N$100,'24c'!$H$7:$H$100,$A432,'24c'!$I$7:$I$100,1)+SUMIFS('24d'!$N$7:$N$100,'24d'!$H$7:$H$100,$A432,'24d'!$I$7:$I$100,1)+SUMIFS('24e'!$N$7:$N$100,'24e'!$H$7:$H$100,$A432,'24e'!$I$7:$I$100,1)+SUMIFS('24f'!$N$7:$N$100,'24f'!$H$7:$H$100,$A432,'24f'!$I$7:$I$100,1)+SUMIFS('24g'!$N$7:$N$100,'24g'!$H$7:$H$100,$A432,'24g'!$I$7:$I$100,1)+SUMIFS('24h'!$N$7:$N$100,'24h'!$H$7:$H$100,$A432,'24h'!$I$7:$I$100,1)+SUMIFS('24i'!$N$7:$N$100,'24i'!$H$7:$H$100,$A432,'24i'!$I$7:$I$100,1)+SUMIFS('25'!$N$7:$N$100,'25'!$H$7:$H$100,$A432,'25'!$I$7:$I$100,1)+SUMIFS('26'!$N$7:$N$100,'26'!$H$7:$H$100,$A432,'26'!$I$7:$I$100,1)+SUMIFS('26a'!$N$7:$N$100,'26a'!$H$7:$H$100,$A432,'26a'!$I$7:$I$100,1)+SUMIFS('27'!$N$7:$N$100,'27'!$H$7:$H$100,$A432,'27'!$I$7:$I$100,1)+SUMIFS('27a'!$N$7:$N$100,'27a'!$H$7:$H$100,$A432,'27a'!$I$7:$I$100,1)+SUMIFS('28'!$N$7:$N$100,'28'!$H$7:$H$100,$A432,'28'!$I$7:$I$100,1)+SUMIFS('29'!$N$7:$N$100,'29'!$H$7:$H$100,$A432,'29'!$I$7:$I$100,1)</f>
        <v>0</v>
      </c>
      <c r="D432" s="1315">
        <f>SUMIFS('12'!$N$7:$N$100,'12'!$H$7:$H$100,$A432,'12'!$I$7:$I$100,2)+SUMIFS('13'!$N$7:$N$100,'13'!$H$7:$H$100,$A432,'13'!$I$7:$I$100,2)+SUMIFS('14'!$N$7:$N$100,'14'!$H$7:$H$100,$A432,'14'!$I$7:$I$100,2)+SUMIFS('15'!$N$7:$N$100,'15'!$H$7:$H$100,$A432,'15'!$I$7:$I$100,2)+SUMIFS('15a'!$N$7:$N$100,'15a'!$H$7:$H$100,$A432,'15a'!$I$7:$I$100,2)+SUMIFS('15b'!$N$7:$N$100,'15b'!$H$7:$H$100,$A432,'15b'!$I$7:$I$100,2)+SUMIFS('15c'!$N$7:$N$100,'15c'!$H$7:$H$100,$A432,'15c'!$I$7:$I$100,2)+SUMIFS('15d'!$N$7:$N$100,'15d'!$H$7:$H$100,$A432,'15d'!$I$7:$I$100,2)+SUMIFS('15e'!$N$7:$N$100,'15e'!$H$7:$H$100,$A432,'15e'!$I$7:$I$100,2)+SUMIFS('15f'!$N$7:$N$100,'15f'!$H$7:$H$100,$A432,'15f'!$I$7:$I$100,2)+SUMIFS('15g'!$N$7:$N$100,'15g'!$H$7:$H$100,$A432,'15g'!$I$7:$I$100,2)+SUMIFS('15h'!$N$7:$N$100,'15h'!$H$7:$H$100,$A432,'15h'!$I$7:$I$100,2)+SUMIFS('15i'!$N$7:$N$100,'15i'!$H$7:$H$100,$A432,'15i'!$I$7:$I$100,2)+SUMIFS('15j'!$N$7:$N$100,'15j'!$H$7:$H$100,$A432,'15j'!$I$7:$I$100,2)+SUMIFS('15k'!$N$7:$N$100,'15k'!$H$7:$H$100,$A432,'15k'!$I$7:$I$100,2)+SUMIFS('15l'!$N$7:$N$100,'15l'!$H$7:$H$100,$A432,'15l'!$I$7:$I$100,2)+SUMIFS('15m'!$N$7:$N$100,'15m'!$H$7:$H$100,$A432,'15m'!$I$7:$I$100,2)+SUMIFS('15n'!$N$7:$N$100,'15n'!$H$7:$H$100,$A432,'15n'!$I$7:$I$100,2)+SUMIFS('16'!$N$7:$N$100,'16'!$H$7:$H$100,$A432,'16'!$I$7:$I$100,2)+SUMIFS('16a'!$N$7:$N$100,'16a'!$H$7:$H$100,$A432,'16a'!$I$7:$I$100,2)+SUMIFS('17'!$N$7:$N$100,'17'!$H$7:$H$100,$A432,'17'!$I$7:$I$100,2)+SUMIFS('17a'!$N$7:$N$100,'17a'!$H$7:$H$100,$A432,'17a'!$I$7:$I$100,2)+SUMIFS('18'!$N$7:$N$100,'18'!$H$7:$H$100,$A432,'18'!$I$7:$I$100,2)+SUMIFS('18a'!$N$7:$N$100,'18a'!$H$7:$H$100,$A432,'18a'!$I$7:$I$100,2)
+SUMIFS('19'!$N$7:$N$100,'19'!$H$7:$H$100,$A432,'19'!$I$7:$I$100,2)+SUMIFS('20'!$N$7:$N$100,'20'!$H$7:$H$100,$A432,'20'!$I$7:$I$100,2)+SUMIFS('20a'!$N$7:$N$100,'20a'!$H$7:$H$100,$A432,'20a'!$I$7:$I$100,2)+SUMIFS('21'!$N$7:$N$100,'21'!$H$7:$H$100,$A432,'21'!$I$7:$I$100,2)+SUMIFS('22'!$N$7:$N$100,'22'!$H$7:$H$100,$A432,'22'!$I$7:$I$100,2)+SUMIFS('22a'!$N$7:$N$100,'22a'!$H$7:$H$100,$A432,'22a'!$I$7:$I$100,2)+SUMIFS('22b'!$N$7:$N$100,'22b'!$H$7:$H$100,$A432,'22b'!$I$7:$I$100,2)+SUMIFS('23'!$N$7:$N$100,'23'!$H$7:$H$100,$A432,'23'!$I$7:$I$100,2)+SUMIFS('24'!$N$7:$N$100,'24'!$H$7:$H$100,$A432,'24'!$I$7:$I$100,2)+SUMIFS('24a'!$N$7:$N$100,'24a'!$H$7:$H$100,$A432,'24a'!$I$7:$I$100,2)+SUMIFS('24b'!$N$7:$N$100,'24b'!$H$7:$H$100,$A432,'24b'!$I$7:$I$100,2)+SUMIFS('24c'!$N$7:$N$100,'24c'!$H$7:$H$100,$A432,'24c'!$I$7:$I$100,2)+SUMIFS('24d'!$N$7:$N$100,'24d'!$H$7:$H$100,$A432,'24d'!$I$7:$I$100,2)+SUMIFS('24e'!$N$7:$N$100,'24e'!$H$7:$H$100,$A432,'24e'!$I$7:$I$100,2)+SUMIFS('24f'!$N$7:$N$100,'24f'!$H$7:$H$100,$A432,'24f'!$I$7:$I$100,2)+SUMIFS('24g'!$N$7:$N$100,'24g'!$H$7:$H$100,$A432,'24g'!$I$7:$I$100,2)+SUMIFS('24h'!$N$7:$N$100,'24h'!$H$7:$H$100,$A432,'24h'!$I$7:$I$100,2)+SUMIFS('24i'!$N$7:$N$100,'24i'!$H$7:$H$100,$A432,'24i'!$I$7:$I$100,2)+SUMIFS('25'!$N$7:$N$100,'25'!$H$7:$H$100,$A432,'25'!$I$7:$I$100,2)+SUMIFS('26'!$N$7:$N$100,'26'!$H$7:$H$100,$A432,'26'!$I$7:$I$100,2)+SUMIFS('26a'!$N$7:$N$100,'26a'!$H$7:$H$100,$A432,'26a'!$I$7:$I$100,2)+SUMIFS('27'!$N$7:$N$100,'27'!$H$7:$H$100,$A432,'27'!$I$7:$I$100,2)+SUMIFS('27a'!$N$7:$N$100,'27a'!$H$7:$H$100,$A432,'27a'!$I$7:$I$100,2)+SUMIFS('28'!$N$7:$N$100,'28'!$H$7:$H$100,$A432,'28'!$I$7:$I$100,2)+SUMIFS('29'!$N$7:$N$100,'29'!$H$7:$H$100,$A432,'29'!$I$7:$I$100,2)</f>
        <v>0</v>
      </c>
      <c r="E432" s="1315">
        <f>SUMIFS('12'!$N$7:$N$100,'12'!$H$7:$H$100,$A432,'12'!$I$7:$I$100,"")+SUMIFS('13'!$N$7:$N$100,'13'!$H$7:$H$100,$A432,'13'!$I$7:$I$100,"")+SUMIFS('14'!$N$7:$N$100,'14'!$H$7:$H$100,$A432,'14'!$I$7:$I$100,"")+SUMIFS('15'!$N$7:$N$100,'15'!$H$7:$H$100,$A432,'15'!$I$7:$I$100,"")+SUMIFS('15a'!$N$7:$N$100,'15a'!$H$7:$H$100,$A432,'15a'!$I$7:$I$100,"")+SUMIFS('15b'!$N$7:$N$100,'15b'!$H$7:$H$100,$A432,'15b'!$I$7:$I$100,"")+SUMIFS('15c'!$N$7:$N$100,'15c'!$H$7:$H$100,$A432,'15c'!$I$7:$I$100,"")+SUMIFS('15d'!$N$7:$N$100,'15d'!$H$7:$H$100,$A432,'15d'!$I$7:$I$100,"")+SUMIFS('15e'!$N$7:$N$100,'15e'!$H$7:$H$100,$A432,'15e'!$I$7:$I$100,"")+SUMIFS('15f'!$N$7:$N$100,'15f'!$H$7:$H$100,$A432,'15f'!$I$7:$I$100,"")+SUMIFS('15g'!$N$7:$N$100,'15g'!$H$7:$H$100,$A432,'15g'!$I$7:$I$100,"")+SUMIFS('15h'!$N$7:$N$100,'15h'!$H$7:$H$100,$A432,'15h'!$I$7:$I$100,"")+SUMIFS('15i'!$N$7:$N$100,'15i'!$H$7:$H$100,$A432,'15i'!$I$7:$I$100,"")+SUMIFS('15j'!$N$7:$N$100,'15j'!$H$7:$H$100,$A432,'15j'!$I$7:$I$100,"")+SUMIFS('15k'!$N$7:$N$100,'15k'!$H$7:$H$100,$A432,'15k'!$I$7:$I$100,"")+SUMIFS('15l'!$N$7:$N$100,'15l'!$H$7:$H$100,$A432,'15l'!$I$7:$I$100,"")+SUMIFS('15m'!$N$7:$N$100,'15m'!$H$7:$H$100,$A432,'15m'!$I$7:$I$100,"")+SUMIFS('15n'!$N$7:$N$100,'15n'!$H$7:$H$100,$A432,'15n'!$I$7:$I$100,"")+SUMIFS('16'!$N$7:$N$100,'16'!$H$7:$H$100,$A432,'16'!$I$7:$I$100,"")+SUMIFS('16a'!$N$7:$N$100,'16a'!$H$7:$H$100,$A432,'16a'!$I$7:$I$100,"")+SUMIFS('17'!$N$7:$N$100,'17'!$H$7:$H$100,$A432,'17'!$I$7:$I$100,"")+SUMIFS('17a'!$N$7:$N$100,'17a'!$H$7:$H$100,$A432,'17a'!$I$7:$I$100,"")+SUMIFS('18'!$N$7:$N$100,'18'!$H$7:$H$100,$A432,'18'!$I$7:$I$100,"")+SUMIFS('18a'!$N$7:$N$100,'18a'!$H$7:$H$100,$A432,'18a'!$I$7:$I$100,"")
+SUMIFS('19'!$N$7:$N$100,'19'!$H$7:$H$100,$A432,'19'!$I$7:$I$100,"")+SUMIFS('20'!$N$7:$N$100,'20'!$H$7:$H$100,$A432,'20'!$I$7:$I$100,"")+SUMIFS('20a'!$N$7:$N$100,'20a'!$H$7:$H$100,$A432,'20a'!$I$7:$I$100,"")+SUMIFS('21'!$N$7:$N$100,'21'!$H$7:$H$100,$A432,'21'!$I$7:$I$100,"")+SUMIFS('22'!$N$7:$N$100,'22'!$H$7:$H$100,$A432,'22'!$I$7:$I$100,"")+SUMIFS('22a'!$N$7:$N$100,'22a'!$H$7:$H$100,$A432,'22a'!$I$7:$I$100,"")+SUMIFS('22b'!$N$7:$N$100,'22b'!$H$7:$H$100,$A432,'22b'!$I$7:$I$100,"")+SUMIFS('23'!$N$7:$N$100,'23'!$H$7:$H$100,$A432,'23'!$I$7:$I$100,"")+SUMIFS('24'!$N$7:$N$100,'24'!$H$7:$H$100,$A432,'24'!$I$7:$I$100,"")+SUMIFS('24a'!$N$7:$N$100,'24a'!$H$7:$H$100,$A432,'24a'!$I$7:$I$100,"")+SUMIFS('24b'!$N$7:$N$100,'24b'!$H$7:$H$100,$A432,'24b'!$I$7:$I$100,"")+SUMIFS('24c'!$N$7:$N$100,'24c'!$H$7:$H$100,$A432,'24c'!$I$7:$I$100,"")+SUMIFS('24d'!$N$7:$N$100,'24d'!$H$7:$H$100,$A432,'24d'!$I$7:$I$100,"")+SUMIFS('24e'!$N$7:$N$100,'24e'!$H$7:$H$100,$A432,'24e'!$I$7:$I$100,"")+SUMIFS('24f'!$N$7:$N$100,'24f'!$H$7:$H$100,$A432,'24f'!$I$7:$I$100,"")+SUMIFS('24g'!$N$7:$N$100,'24g'!$H$7:$H$100,$A432,'24g'!$I$7:$I$100,"")+SUMIFS('24h'!$N$7:$N$100,'24h'!$H$7:$H$100,$A432,'24h'!$I$7:$I$100,"")+SUMIFS('24i'!$N$7:$N$100,'24i'!$H$7:$H$100,$A432,'24i'!$I$7:$I$100,"")+SUMIFS('25'!$N$7:$N$100,'25'!$H$7:$H$100,$A432,'25'!$I$7:$I$100,"")+SUMIFS('26'!$N$7:$N$100,'26'!$H$7:$H$100,$A432,'26'!$I$7:$I$100,"")+SUMIFS('26a'!$N$7:$N$100,'26a'!$H$7:$H$100,$A432,'26a'!$I$7:$I$100,"")+SUMIFS('27'!$N$7:$N$100,'27'!$H$7:$H$100,$A432,'27'!$I$7:$I$100,"")+SUMIFS('27a'!$N$7:$N$100,'27a'!$H$7:$H$100,$A432,'27a'!$I$7:$I$100,"")+SUMIFS('28'!$N$7:$N$100,'28'!$H$7:$H$100,$A432,'28'!$I$7:$I$100,"")+SUMIFS('29'!$N$7:$N$100,'29'!$H$7:$H$100,$A432,'29'!$I$7:$I$100,"")</f>
        <v>13000</v>
      </c>
      <c r="F432" s="1296">
        <f t="shared" si="76"/>
        <v>13000</v>
      </c>
      <c r="G432" s="1295">
        <f>SUMIFS('12'!$J$7:$J$100,'12'!$H$7:$H$100,$A432,'12'!$I$7:$I$100,1)+SUMIFS('13'!$J$7:$J$100,'13'!$H$7:$H$100,$A432,'13'!$I$7:$I$100,1)+SUMIFS('14'!$J$7:$J$100,'14'!$H$7:$H$100,$A432,'14'!$I$7:$I$100,1)+SUMIFS('15'!$J$7:$J$100,'15'!$H$7:$H$100,$A432,'15'!$I$7:$I$100,1)+SUMIFS('15a'!$J$7:$J$100,'15a'!$H$7:$H$100,$A432,'15a'!$I$7:$I$100,1)+SUMIFS('15b'!$J$7:$J$100,'15b'!$H$7:$H$100,$A432,'15b'!$I$7:$I$100,1)+SUMIFS('15c'!$J$7:$J$100,'15c'!$H$7:$H$100,$A432,'15c'!$I$7:$I$100,1)+SUMIFS('15d'!$J$7:$J$100,'15d'!$H$7:$H$100,$A432,'15d'!$I$7:$I$100,1)+SUMIFS('15e'!$J$7:$J$100,'15e'!$H$7:$H$100,$A432,'15e'!$I$7:$I$100,1)+SUMIFS('15f'!$J$7:$J$100,'15f'!$H$7:$H$100,$A432,'15f'!$I$7:$I$100,1)+SUMIFS('15g'!$J$7:$J$100,'15g'!$H$7:$H$100,$A432,'15g'!$I$7:$I$100,1)+SUMIFS('15h'!$J$7:$J$100,'15h'!$H$7:$H$100,$A432,'15h'!$I$7:$I$100,1)+SUMIFS('15i'!$J$7:$J$100,'15i'!$H$7:$H$100,$A432,'15i'!$I$7:$I$100,1)+SUMIFS('15j'!$J$7:$J$100,'15j'!$H$7:$H$100,$A432,'15j'!$I$7:$I$100,1)+SUMIFS('15k'!$J$7:$J$100,'15k'!$H$7:$H$100,$A432,'15k'!$I$7:$I$100,1)+SUMIFS('15l'!$J$7:$J$100,'15l'!$H$7:$H$100,$A432,'15l'!$I$7:$I$100,1)+SUMIFS('15m'!$J$7:$J$100,'15m'!$H$7:$H$100,$A432,'15m'!$I$7:$I$100,1)+SUMIFS('15n'!$J$7:$J$100,'15n'!$H$7:$H$100,$A432,'15n'!$I$7:$I$100,1)+SUMIFS('16'!$J$7:$J$100,'16'!$H$7:$H$100,$A432,'16'!$I$7:$I$100,1)+SUMIFS('16a'!$J$7:$J$100,'16a'!$H$7:$H$100,$A432,'16a'!$I$7:$I$100,1)+SUMIFS('17'!$J$7:$J$100,'17'!$H$7:$H$100,$A432,'17'!$I$7:$I$100,1)+SUMIFS('17a'!$J$7:$J$100,'17a'!$H$7:$H$100,$A432,'17a'!$I$7:$I$100,1)+SUMIFS('18'!$J$7:$J$100,'18'!$H$7:$H$100,$A432,'18'!$I$7:$I$100,1)+SUMIFS('18a'!$J$7:$J$100,'18a'!$H$7:$H$100,$A432,'18a'!$I$7:$I$100,1)
+SUMIFS('19'!$J$7:$J$100,'19'!$H$7:$H$100,$A432,'19'!$I$7:$I$100,1)+SUMIFS('20'!$J$7:$J$100,'20'!$H$7:$H$100,$A432,'20'!$I$7:$I$100,1)+SUMIFS('20a'!$J$7:$J$100,'20a'!$H$7:$H$100,$A432,'20a'!$I$7:$I$100,1)+SUMIFS('21'!$J$7:$J$100,'21'!$H$7:$H$100,$A432,'21'!$I$7:$I$100,1)+SUMIFS('22'!$J$7:$J$100,'22'!$H$7:$H$100,$A432,'22'!$I$7:$I$100,1)+SUMIFS('22a'!$J$7:$J$100,'22a'!$H$7:$H$100,$A432,'22a'!$I$7:$I$100,1)+SUMIFS('22b'!$J$7:$J$100,'22b'!$H$7:$H$100,$A432,'22b'!$I$7:$I$100,1)+SUMIFS('23'!$J$7:$J$100,'23'!$H$7:$H$100,$A432,'23'!$I$7:$I$100,1)+SUMIFS('24'!$J$7:$J$100,'24'!$H$7:$H$100,$A432,'24'!$I$7:$I$100,1)+SUMIFS('24a'!$J$7:$J$100,'24a'!$H$7:$H$100,$A432,'24a'!$I$7:$I$100,1)+SUMIFS('24b'!$J$7:$J$100,'24b'!$H$7:$H$100,$A432,'24b'!$I$7:$I$100,1)+SUMIFS('24c'!$J$7:$J$100,'24c'!$H$7:$H$100,$A432,'24c'!$I$7:$I$100,1)+SUMIFS('24d'!$J$7:$J$100,'24d'!$H$7:$H$100,$A432,'24d'!$I$7:$I$100,1)+SUMIFS('24e'!$J$7:$J$100,'24e'!$H$7:$H$100,$A432,'24e'!$I$7:$I$100,1)+SUMIFS('24f'!$J$7:$J$100,'24f'!$H$7:$H$100,$A432,'24f'!$I$7:$I$100,1)+SUMIFS('24g'!$J$7:$J$100,'24g'!$H$7:$H$100,$A432,'24g'!$I$7:$I$100,1)+SUMIFS('24h'!$J$7:$J$100,'24h'!$H$7:$H$100,$A432,'24h'!$I$7:$I$100,1)+SUMIFS('24i'!$J$7:$J$100,'24i'!$H$7:$H$100,$A432,'24i'!$I$7:$I$100,1)+SUMIFS('25'!$J$7:$J$100,'25'!$H$7:$H$100,$A432,'25'!$I$7:$I$100,1)+SUMIFS('26'!$J$7:$J$100,'26'!$H$7:$H$100,$A432,'26'!$I$7:$I$100,1)+SUMIFS('26a'!$J$7:$J$100,'26a'!$H$7:$H$100,$A432,'26a'!$I$7:$I$100,1)+SUMIFS('27'!$J$7:$J$100,'27'!$H$7:$H$100,$A432,'27'!$I$7:$I$100,1)+SUMIFS('27a'!$J$7:$J$100,'27a'!$H$7:$H$100,$A432,'27a'!$I$7:$I$100,1)+SUMIFS('28'!$J$7:$J$100,'28'!$H$7:$H$100,$A432,'28'!$I$7:$I$100,1)+SUMIFS('29'!$J$7:$J$100,'29'!$H$7:$H$100,$A432,'29'!$I$7:$I$100,1)</f>
        <v>0</v>
      </c>
      <c r="H432" s="1315">
        <f>SUMIFS('12'!$J$7:$J$100,'12'!$H$7:$H$100,$A432,'12'!$I$7:$I$100,2)+SUMIFS('13'!$J$7:$J$100,'13'!$H$7:$H$100,$A432,'13'!$I$7:$I$100,2)+SUMIFS('14'!$J$7:$J$100,'14'!$H$7:$H$100,$A432,'14'!$I$7:$I$100,2)+SUMIFS('15'!$J$7:$J$100,'15'!$H$7:$H$100,$A432,'15'!$I$7:$I$100,2)+SUMIFS('15a'!$J$7:$J$100,'15a'!$H$7:$H$100,$A432,'15a'!$I$7:$I$100,2)+SUMIFS('15b'!$J$7:$J$100,'15b'!$H$7:$H$100,$A432,'15b'!$I$7:$I$100,2)+SUMIFS('15c'!$J$7:$J$100,'15c'!$H$7:$H$100,$A432,'15c'!$I$7:$I$100,2)+SUMIFS('15d'!$J$7:$J$100,'15d'!$H$7:$H$100,$A432,'15d'!$I$7:$I$100,2)+SUMIFS('15e'!$J$7:$J$100,'15e'!$H$7:$H$100,$A432,'15e'!$I$7:$I$100,2)+SUMIFS('15f'!$J$7:$J$100,'15f'!$H$7:$H$100,$A432,'15f'!$I$7:$I$100,2)+SUMIFS('15g'!$J$7:$J$100,'15g'!$H$7:$H$100,$A432,'15g'!$I$7:$I$100,2)+SUMIFS('15h'!$J$7:$J$100,'15h'!$H$7:$H$100,$A432,'15h'!$I$7:$I$100,2)+SUMIFS('15i'!$J$7:$J$100,'15i'!$H$7:$H$100,$A432,'15i'!$I$7:$I$100,2)+SUMIFS('15j'!$J$7:$J$100,'15j'!$H$7:$H$100,$A432,'15j'!$I$7:$I$100,2)+SUMIFS('15k'!$J$7:$J$100,'15k'!$H$7:$H$100,$A432,'15k'!$I$7:$I$100,2)+SUMIFS('15l'!$J$7:$J$100,'15l'!$H$7:$H$100,$A432,'15l'!$I$7:$I$100,2)+SUMIFS('15m'!$J$7:$J$100,'15m'!$H$7:$H$100,$A432,'15m'!$I$7:$I$100,2)+SUMIFS('15n'!$J$7:$J$100,'15n'!$H$7:$H$100,$A432,'15n'!$I$7:$I$100,2)+SUMIFS('16'!$J$7:$J$100,'16'!$H$7:$H$100,$A432,'16'!$I$7:$I$100,2)+SUMIFS('16a'!$J$7:$J$100,'16a'!$H$7:$H$100,$A432,'16a'!$I$7:$I$100,2)+SUMIFS('17'!$J$7:$J$100,'17'!$H$7:$H$100,$A432,'17'!$I$7:$I$100,2)+SUMIFS('17a'!$J$7:$J$100,'17a'!$H$7:$H$100,$A432,'17a'!$I$7:$I$100,2)+SUMIFS('18'!$J$7:$J$100,'18'!$H$7:$H$100,$A432,'18'!$I$7:$I$100,2)+SUMIFS('18a'!$J$7:$J$100,'18a'!$H$7:$H$100,$A432,'18a'!$I$7:$I$100,2)
+SUMIFS('19'!$J$7:$J$100,'19'!$H$7:$H$100,$A432,'19'!$I$7:$I$100,2)+SUMIFS('20'!$J$7:$J$100,'20'!$H$7:$H$100,$A432,'20'!$I$7:$I$100,2)+SUMIFS('20a'!$J$7:$J$100,'20a'!$H$7:$H$100,$A432,'20a'!$I$7:$I$100,2)+SUMIFS('21'!$J$7:$J$100,'21'!$H$7:$H$100,$A432,'21'!$I$7:$I$100,2)+SUMIFS('22'!$J$7:$J$100,'22'!$H$7:$H$100,$A432,'22'!$I$7:$I$100,2)+SUMIFS('22a'!$J$7:$J$100,'22a'!$H$7:$H$100,$A432,'22a'!$I$7:$I$100,2)+SUMIFS('22b'!$J$7:$J$100,'22b'!$H$7:$H$100,$A432,'22b'!$I$7:$I$100,2)+SUMIFS('23'!$J$7:$J$100,'23'!$H$7:$H$100,$A432,'23'!$I$7:$I$100,2)+SUMIFS('24'!$J$7:$J$100,'24'!$H$7:$H$100,$A432,'24'!$I$7:$I$100,2)+SUMIFS('24a'!$J$7:$J$100,'24a'!$H$7:$H$100,$A432,'24a'!$I$7:$I$100,2)+SUMIFS('24b'!$J$7:$J$100,'24b'!$H$7:$H$100,$A432,'24b'!$I$7:$I$100,2)+SUMIFS('24c'!$J$7:$J$100,'24c'!$H$7:$H$100,$A432,'24c'!$I$7:$I$100,2)+SUMIFS('24d'!$J$7:$J$100,'24d'!$H$7:$H$100,$A432,'24d'!$I$7:$I$100,2)+SUMIFS('24e'!$J$7:$J$100,'24e'!$H$7:$H$100,$A432,'24e'!$I$7:$I$100,2)+SUMIFS('24f'!$J$7:$J$100,'24f'!$H$7:$H$100,$A432,'24f'!$I$7:$I$100,2)+SUMIFS('24g'!$J$7:$J$100,'24g'!$H$7:$H$100,$A432,'24g'!$I$7:$I$100,2)+SUMIFS('24h'!$J$7:$J$100,'24h'!$H$7:$H$100,$A432,'24h'!$I$7:$I$100,2)+SUMIFS('24i'!$J$7:$J$100,'24i'!$H$7:$H$100,$A432,'24i'!$I$7:$I$100,2)+SUMIFS('25'!$J$7:$J$100,'25'!$H$7:$H$100,$A432,'25'!$I$7:$I$100,2)+SUMIFS('26'!$J$7:$J$100,'26'!$H$7:$H$100,$A432,'26'!$I$7:$I$100,2)+SUMIFS('26a'!$J$7:$J$100,'26a'!$H$7:$H$100,$A432,'26a'!$I$7:$I$100,2)+SUMIFS('27'!$J$7:$J$100,'27'!$H$7:$H$100,$A432,'27'!$I$7:$I$100,2)+SUMIFS('27a'!$J$7:$J$100,'27a'!$H$7:$H$100,$A432,'27a'!$I$7:$I$100,2)+SUMIFS('28'!$J$7:$J$100,'28'!$H$7:$H$100,$A432,'28'!$I$7:$I$100,2)+SUMIFS('29'!$J$7:$J$100,'29'!$H$7:$H$100,$A432,'29'!$I$7:$I$100,2)</f>
        <v>0</v>
      </c>
      <c r="I432" s="1315">
        <f>SUMIFS('12'!$J$7:$J$100,'12'!$H$7:$H$100,$A432,'12'!$I$7:$I$100,"")+SUMIFS('13'!$J$7:$J$100,'13'!$H$7:$H$100,$A432,'13'!$I$7:$I$100,"")+SUMIFS('14'!$J$7:$J$100,'14'!$H$7:$H$100,$A432,'14'!$I$7:$I$100,"")+SUMIFS('15'!$J$7:$J$100,'15'!$H$7:$H$100,$A432,'15'!$I$7:$I$100,"")+SUMIFS('15a'!$J$7:$J$100,'15a'!$H$7:$H$100,$A432,'15a'!$I$7:$I$100,"")+SUMIFS('15b'!$J$7:$J$100,'15b'!$H$7:$H$100,$A432,'15b'!$I$7:$I$100,"")+SUMIFS('15c'!$J$7:$J$100,'15c'!$H$7:$H$100,$A432,'15c'!$I$7:$I$100,"")+SUMIFS('15d'!$J$7:$J$100,'15d'!$H$7:$H$100,$A432,'15d'!$I$7:$I$100,"")+SUMIFS('15e'!$J$7:$J$100,'15e'!$H$7:$H$100,$A432,'15e'!$I$7:$I$100,"")+SUMIFS('15f'!$J$7:$J$100,'15f'!$H$7:$H$100,$A432,'15f'!$I$7:$I$100,"")+SUMIFS('15g'!$J$7:$J$100,'15g'!$H$7:$H$100,$A432,'15g'!$I$7:$I$100,"")+SUMIFS('15h'!$J$7:$J$100,'15h'!$H$7:$H$100,$A432,'15h'!$I$7:$I$100,"")+SUMIFS('15i'!$J$7:$J$100,'15i'!$H$7:$H$100,$A432,'15i'!$I$7:$I$100,"")+SUMIFS('15j'!$J$7:$J$100,'15j'!$H$7:$H$100,$A432,'15j'!$I$7:$I$100,"")+SUMIFS('15k'!$J$7:$J$100,'15k'!$H$7:$H$100,$A432,'15k'!$I$7:$I$100,"")+SUMIFS('15l'!$J$7:$J$100,'15l'!$H$7:$H$100,$A432,'15l'!$I$7:$I$100,"")+SUMIFS('15m'!$J$7:$J$100,'15m'!$H$7:$H$100,$A432,'15m'!$I$7:$I$100,"")+SUMIFS('15n'!$J$7:$J$100,'15n'!$H$7:$H$100,$A432,'15n'!$I$7:$I$100,"")+SUMIFS('16'!$J$7:$J$100,'16'!$H$7:$H$100,$A432,'16'!$I$7:$I$100,"")+SUMIFS('16a'!$J$7:$J$100,'16a'!$H$7:$H$100,$A432,'16a'!$I$7:$I$100,"")+SUMIFS('17'!$J$7:$J$100,'17'!$H$7:$H$100,$A432,'17'!$I$7:$I$100,"")+SUMIFS('17a'!$J$7:$J$100,'17a'!$H$7:$H$100,$A432,'17a'!$I$7:$I$100,"")+SUMIFS('18'!$J$7:$J$100,'18'!$H$7:$H$100,$A432,'18'!$I$7:$I$100,"")+SUMIFS('18a'!$J$7:$J$100,'18a'!$H$7:$H$100,$A432,'18a'!$I$7:$I$100,"")
+SUMIFS('19'!$J$7:$J$100,'19'!$H$7:$H$100,$A432,'19'!$I$7:$I$100,"")+SUMIFS('20'!$J$7:$J$100,'20'!$H$7:$H$100,$A432,'20'!$I$7:$I$100,"")+SUMIFS('20a'!$J$7:$J$100,'20a'!$H$7:$H$100,$A432,'20a'!$I$7:$I$100,"")+SUMIFS('21'!$J$7:$J$100,'21'!$H$7:$H$100,$A432,'21'!$I$7:$I$100,"")+SUMIFS('22'!$J$7:$J$100,'22'!$H$7:$H$100,$A432,'22'!$I$7:$I$100,"")+SUMIFS('22a'!$J$7:$J$100,'22a'!$H$7:$H$100,$A432,'22a'!$I$7:$I$100,"")+SUMIFS('22b'!$J$7:$J$100,'22b'!$H$7:$H$100,$A432,'22b'!$I$7:$I$100,"")+SUMIFS('23'!$J$7:$J$100,'23'!$H$7:$H$100,$A432,'23'!$I$7:$I$100,"")+SUMIFS('24'!$J$7:$J$100,'24'!$H$7:$H$100,$A432,'24'!$I$7:$I$100,"")+SUMIFS('24a'!$J$7:$J$100,'24a'!$H$7:$H$100,$A432,'24a'!$I$7:$I$100,"")+SUMIFS('24b'!$J$7:$J$100,'24b'!$H$7:$H$100,$A432,'24b'!$I$7:$I$100,"")+SUMIFS('24c'!$J$7:$J$100,'24c'!$H$7:$H$100,$A432,'24c'!$I$7:$I$100,"")+SUMIFS('24d'!$J$7:$J$100,'24d'!$H$7:$H$100,$A432,'24d'!$I$7:$I$100,"")+SUMIFS('24e'!$J$7:$J$100,'24e'!$H$7:$H$100,$A432,'24e'!$I$7:$I$100,"")+SUMIFS('24f'!$J$7:$J$100,'24f'!$H$7:$H$100,$A432,'24f'!$I$7:$I$100,"")+SUMIFS('24g'!$J$7:$J$100,'24g'!$H$7:$H$100,$A432,'24g'!$I$7:$I$100,"")+SUMIFS('24h'!$J$7:$J$100,'24h'!$H$7:$H$100,$A432,'24h'!$I$7:$I$100,"")+SUMIFS('24i'!$J$7:$J$100,'24i'!$H$7:$H$100,$A432,'24i'!$I$7:$I$100,"")+SUMIFS('25'!$J$7:$J$100,'25'!$H$7:$H$100,$A432,'25'!$I$7:$I$100,"")+SUMIFS('26'!$J$7:$J$100,'26'!$H$7:$H$100,$A432,'26'!$I$7:$I$100,"")+SUMIFS('26a'!$J$7:$J$100,'26a'!$H$7:$H$100,$A432,'26a'!$I$7:$I$100,"")+SUMIFS('27'!$J$7:$J$100,'27'!$H$7:$H$100,$A432,'27'!$I$7:$I$100,"")+SUMIFS('27a'!$J$7:$J$100,'27a'!$H$7:$H$100,$A432,'27a'!$I$7:$I$100,"")+SUMIFS('28'!$J$7:$J$100,'28'!$H$7:$H$100,$A432,'28'!$I$7:$I$100,"")+SUMIFS('29'!$J$7:$J$100,'29'!$H$7:$H$100,$A432,'29'!$I$7:$I$100,"")</f>
        <v>13000</v>
      </c>
      <c r="J432" s="1296">
        <f t="shared" si="77"/>
        <v>13000</v>
      </c>
      <c r="K432"/>
      <c r="L432"/>
      <c r="M432"/>
      <c r="N432"/>
      <c r="O432"/>
      <c r="P432"/>
      <c r="Q432"/>
      <c r="R432"/>
      <c r="S432" s="1307">
        <f t="shared" si="71"/>
        <v>52000</v>
      </c>
      <c r="T432"/>
    </row>
    <row r="433" spans="1:20" x14ac:dyDescent="0.2">
      <c r="A433" t="s">
        <v>5090</v>
      </c>
      <c r="B433" t="s">
        <v>5560</v>
      </c>
      <c r="C433" s="1295">
        <f>SUMIFS('12'!$N$7:$N$100,'12'!$H$7:$H$100,$A433,'12'!$I$7:$I$100,1)+SUMIFS('13'!$N$7:$N$100,'13'!$H$7:$H$100,$A433,'13'!$I$7:$I$100,1)+SUMIFS('14'!$N$7:$N$100,'14'!$H$7:$H$100,$A433,'14'!$I$7:$I$100,1)+SUMIFS('15'!$N$7:$N$100,'15'!$H$7:$H$100,$A433,'15'!$I$7:$I$100,1)+SUMIFS('15a'!$N$7:$N$100,'15a'!$H$7:$H$100,$A433,'15a'!$I$7:$I$100,1)+SUMIFS('15b'!$N$7:$N$100,'15b'!$H$7:$H$100,$A433,'15b'!$I$7:$I$100,1)+SUMIFS('15c'!$N$7:$N$100,'15c'!$H$7:$H$100,$A433,'15c'!$I$7:$I$100,1)+SUMIFS('15d'!$N$7:$N$100,'15d'!$H$7:$H$100,$A433,'15d'!$I$7:$I$100,1)+SUMIFS('15e'!$N$7:$N$100,'15e'!$H$7:$H$100,$A433,'15e'!$I$7:$I$100,1)+SUMIFS('15f'!$N$7:$N$100,'15f'!$H$7:$H$100,$A433,'15f'!$I$7:$I$100,1)+SUMIFS('15g'!$N$7:$N$100,'15g'!$H$7:$H$100,$A433,'15g'!$I$7:$I$100,1)+SUMIFS('15h'!$N$7:$N$100,'15h'!$H$7:$H$100,$A433,'15h'!$I$7:$I$100,1)+SUMIFS('15i'!$N$7:$N$100,'15i'!$H$7:$H$100,$A433,'15i'!$I$7:$I$100,1)+SUMIFS('15j'!$N$7:$N$100,'15j'!$H$7:$H$100,$A433,'15j'!$I$7:$I$100,1)+SUMIFS('15k'!$N$7:$N$100,'15k'!$H$7:$H$100,$A433,'15k'!$I$7:$I$100,1)+SUMIFS('15l'!$N$7:$N$100,'15l'!$H$7:$H$100,$A433,'15l'!$I$7:$I$100,1)+SUMIFS('15m'!$N$7:$N$100,'15m'!$H$7:$H$100,$A433,'15m'!$I$7:$I$100,1)+SUMIFS('15n'!$N$7:$N$100,'15n'!$H$7:$H$100,$A433,'15n'!$I$7:$I$100,1)+SUMIFS('16'!$N$7:$N$100,'16'!$H$7:$H$100,$A433,'16'!$I$7:$I$100,1)+SUMIFS('16a'!$N$7:$N$100,'16a'!$H$7:$H$100,$A433,'16a'!$I$7:$I$100,1)+SUMIFS('17'!$N$7:$N$100,'17'!$H$7:$H$100,$A433,'17'!$I$7:$I$100,1)+SUMIFS('17a'!$N$7:$N$100,'17a'!$H$7:$H$100,$A433,'17a'!$I$7:$I$100,1)+SUMIFS('18'!$N$7:$N$100,'18'!$H$7:$H$100,$A433,'18'!$I$7:$I$100,1)+SUMIFS('18a'!$N$7:$N$100,'18a'!$H$7:$H$100,$A433,'18a'!$I$7:$I$100,1)
+SUMIFS('19'!$N$7:$N$100,'19'!$H$7:$H$100,$A433,'19'!$I$7:$I$100,1)+SUMIFS('20'!$N$7:$N$100,'20'!$H$7:$H$100,$A433,'20'!$I$7:$I$100,1)+SUMIFS('20a'!$N$7:$N$100,'20a'!$H$7:$H$100,$A433,'20a'!$I$7:$I$100,1)+SUMIFS('21'!$N$7:$N$100,'21'!$H$7:$H$100,$A433,'21'!$I$7:$I$100,1)+SUMIFS('22'!$N$7:$N$100,'22'!$H$7:$H$100,$A433,'22'!$I$7:$I$100,1)+SUMIFS('22a'!$N$7:$N$100,'22a'!$H$7:$H$100,$A433,'22a'!$I$7:$I$100,1)+SUMIFS('22b'!$N$7:$N$100,'22b'!$H$7:$H$100,$A433,'22b'!$I$7:$I$100,1)+SUMIFS('23'!$N$7:$N$100,'23'!$H$7:$H$100,$A433,'23'!$I$7:$I$100,1)+SUMIFS('24'!$N$7:$N$100,'24'!$H$7:$H$100,$A433,'24'!$I$7:$I$100,1)+SUMIFS('24a'!$N$7:$N$100,'24a'!$H$7:$H$100,$A433,'24a'!$I$7:$I$100,1)+SUMIFS('24b'!$N$7:$N$100,'24b'!$H$7:$H$100,$A433,'24b'!$I$7:$I$100,1)+SUMIFS('24c'!$N$7:$N$100,'24c'!$H$7:$H$100,$A433,'24c'!$I$7:$I$100,1)+SUMIFS('24d'!$N$7:$N$100,'24d'!$H$7:$H$100,$A433,'24d'!$I$7:$I$100,1)+SUMIFS('24e'!$N$7:$N$100,'24e'!$H$7:$H$100,$A433,'24e'!$I$7:$I$100,1)+SUMIFS('24f'!$N$7:$N$100,'24f'!$H$7:$H$100,$A433,'24f'!$I$7:$I$100,1)+SUMIFS('24g'!$N$7:$N$100,'24g'!$H$7:$H$100,$A433,'24g'!$I$7:$I$100,1)+SUMIFS('24h'!$N$7:$N$100,'24h'!$H$7:$H$100,$A433,'24h'!$I$7:$I$100,1)+SUMIFS('24i'!$N$7:$N$100,'24i'!$H$7:$H$100,$A433,'24i'!$I$7:$I$100,1)+SUMIFS('25'!$N$7:$N$100,'25'!$H$7:$H$100,$A433,'25'!$I$7:$I$100,1)+SUMIFS('26'!$N$7:$N$100,'26'!$H$7:$H$100,$A433,'26'!$I$7:$I$100,1)+SUMIFS('26a'!$N$7:$N$100,'26a'!$H$7:$H$100,$A433,'26a'!$I$7:$I$100,1)+SUMIFS('27'!$N$7:$N$100,'27'!$H$7:$H$100,$A433,'27'!$I$7:$I$100,1)+SUMIFS('27a'!$N$7:$N$100,'27a'!$H$7:$H$100,$A433,'27a'!$I$7:$I$100,1)+SUMIFS('28'!$N$7:$N$100,'28'!$H$7:$H$100,$A433,'28'!$I$7:$I$100,1)+SUMIFS('29'!$N$7:$N$100,'29'!$H$7:$H$100,$A433,'29'!$I$7:$I$100,1)</f>
        <v>0</v>
      </c>
      <c r="D433" s="1315">
        <f>SUMIFS('12'!$N$7:$N$100,'12'!$H$7:$H$100,$A433,'12'!$I$7:$I$100,2)+SUMIFS('13'!$N$7:$N$100,'13'!$H$7:$H$100,$A433,'13'!$I$7:$I$100,2)+SUMIFS('14'!$N$7:$N$100,'14'!$H$7:$H$100,$A433,'14'!$I$7:$I$100,2)+SUMIFS('15'!$N$7:$N$100,'15'!$H$7:$H$100,$A433,'15'!$I$7:$I$100,2)+SUMIFS('15a'!$N$7:$N$100,'15a'!$H$7:$H$100,$A433,'15a'!$I$7:$I$100,2)+SUMIFS('15b'!$N$7:$N$100,'15b'!$H$7:$H$100,$A433,'15b'!$I$7:$I$100,2)+SUMIFS('15c'!$N$7:$N$100,'15c'!$H$7:$H$100,$A433,'15c'!$I$7:$I$100,2)+SUMIFS('15d'!$N$7:$N$100,'15d'!$H$7:$H$100,$A433,'15d'!$I$7:$I$100,2)+SUMIFS('15e'!$N$7:$N$100,'15e'!$H$7:$H$100,$A433,'15e'!$I$7:$I$100,2)+SUMIFS('15f'!$N$7:$N$100,'15f'!$H$7:$H$100,$A433,'15f'!$I$7:$I$100,2)+SUMIFS('15g'!$N$7:$N$100,'15g'!$H$7:$H$100,$A433,'15g'!$I$7:$I$100,2)+SUMIFS('15h'!$N$7:$N$100,'15h'!$H$7:$H$100,$A433,'15h'!$I$7:$I$100,2)+SUMIFS('15i'!$N$7:$N$100,'15i'!$H$7:$H$100,$A433,'15i'!$I$7:$I$100,2)+SUMIFS('15j'!$N$7:$N$100,'15j'!$H$7:$H$100,$A433,'15j'!$I$7:$I$100,2)+SUMIFS('15k'!$N$7:$N$100,'15k'!$H$7:$H$100,$A433,'15k'!$I$7:$I$100,2)+SUMIFS('15l'!$N$7:$N$100,'15l'!$H$7:$H$100,$A433,'15l'!$I$7:$I$100,2)+SUMIFS('15m'!$N$7:$N$100,'15m'!$H$7:$H$100,$A433,'15m'!$I$7:$I$100,2)+SUMIFS('15n'!$N$7:$N$100,'15n'!$H$7:$H$100,$A433,'15n'!$I$7:$I$100,2)+SUMIFS('16'!$N$7:$N$100,'16'!$H$7:$H$100,$A433,'16'!$I$7:$I$100,2)+SUMIFS('16a'!$N$7:$N$100,'16a'!$H$7:$H$100,$A433,'16a'!$I$7:$I$100,2)+SUMIFS('17'!$N$7:$N$100,'17'!$H$7:$H$100,$A433,'17'!$I$7:$I$100,2)+SUMIFS('17a'!$N$7:$N$100,'17a'!$H$7:$H$100,$A433,'17a'!$I$7:$I$100,2)+SUMIFS('18'!$N$7:$N$100,'18'!$H$7:$H$100,$A433,'18'!$I$7:$I$100,2)+SUMIFS('18a'!$N$7:$N$100,'18a'!$H$7:$H$100,$A433,'18a'!$I$7:$I$100,2)
+SUMIFS('19'!$N$7:$N$100,'19'!$H$7:$H$100,$A433,'19'!$I$7:$I$100,2)+SUMIFS('20'!$N$7:$N$100,'20'!$H$7:$H$100,$A433,'20'!$I$7:$I$100,2)+SUMIFS('20a'!$N$7:$N$100,'20a'!$H$7:$H$100,$A433,'20a'!$I$7:$I$100,2)+SUMIFS('21'!$N$7:$N$100,'21'!$H$7:$H$100,$A433,'21'!$I$7:$I$100,2)+SUMIFS('22'!$N$7:$N$100,'22'!$H$7:$H$100,$A433,'22'!$I$7:$I$100,2)+SUMIFS('22a'!$N$7:$N$100,'22a'!$H$7:$H$100,$A433,'22a'!$I$7:$I$100,2)+SUMIFS('22b'!$N$7:$N$100,'22b'!$H$7:$H$100,$A433,'22b'!$I$7:$I$100,2)+SUMIFS('23'!$N$7:$N$100,'23'!$H$7:$H$100,$A433,'23'!$I$7:$I$100,2)+SUMIFS('24'!$N$7:$N$100,'24'!$H$7:$H$100,$A433,'24'!$I$7:$I$100,2)+SUMIFS('24a'!$N$7:$N$100,'24a'!$H$7:$H$100,$A433,'24a'!$I$7:$I$100,2)+SUMIFS('24b'!$N$7:$N$100,'24b'!$H$7:$H$100,$A433,'24b'!$I$7:$I$100,2)+SUMIFS('24c'!$N$7:$N$100,'24c'!$H$7:$H$100,$A433,'24c'!$I$7:$I$100,2)+SUMIFS('24d'!$N$7:$N$100,'24d'!$H$7:$H$100,$A433,'24d'!$I$7:$I$100,2)+SUMIFS('24e'!$N$7:$N$100,'24e'!$H$7:$H$100,$A433,'24e'!$I$7:$I$100,2)+SUMIFS('24f'!$N$7:$N$100,'24f'!$H$7:$H$100,$A433,'24f'!$I$7:$I$100,2)+SUMIFS('24g'!$N$7:$N$100,'24g'!$H$7:$H$100,$A433,'24g'!$I$7:$I$100,2)+SUMIFS('24h'!$N$7:$N$100,'24h'!$H$7:$H$100,$A433,'24h'!$I$7:$I$100,2)+SUMIFS('24i'!$N$7:$N$100,'24i'!$H$7:$H$100,$A433,'24i'!$I$7:$I$100,2)+SUMIFS('25'!$N$7:$N$100,'25'!$H$7:$H$100,$A433,'25'!$I$7:$I$100,2)+SUMIFS('26'!$N$7:$N$100,'26'!$H$7:$H$100,$A433,'26'!$I$7:$I$100,2)+SUMIFS('26a'!$N$7:$N$100,'26a'!$H$7:$H$100,$A433,'26a'!$I$7:$I$100,2)+SUMIFS('27'!$N$7:$N$100,'27'!$H$7:$H$100,$A433,'27'!$I$7:$I$100,2)+SUMIFS('27a'!$N$7:$N$100,'27a'!$H$7:$H$100,$A433,'27a'!$I$7:$I$100,2)+SUMIFS('28'!$N$7:$N$100,'28'!$H$7:$H$100,$A433,'28'!$I$7:$I$100,2)+SUMIFS('29'!$N$7:$N$100,'29'!$H$7:$H$100,$A433,'29'!$I$7:$I$100,2)</f>
        <v>0</v>
      </c>
      <c r="E433" s="1315">
        <f>SUMIFS('12'!$N$7:$N$100,'12'!$H$7:$H$100,$A433,'12'!$I$7:$I$100,"")+SUMIFS('13'!$N$7:$N$100,'13'!$H$7:$H$100,$A433,'13'!$I$7:$I$100,"")+SUMIFS('14'!$N$7:$N$100,'14'!$H$7:$H$100,$A433,'14'!$I$7:$I$100,"")+SUMIFS('15'!$N$7:$N$100,'15'!$H$7:$H$100,$A433,'15'!$I$7:$I$100,"")+SUMIFS('15a'!$N$7:$N$100,'15a'!$H$7:$H$100,$A433,'15a'!$I$7:$I$100,"")+SUMIFS('15b'!$N$7:$N$100,'15b'!$H$7:$H$100,$A433,'15b'!$I$7:$I$100,"")+SUMIFS('15c'!$N$7:$N$100,'15c'!$H$7:$H$100,$A433,'15c'!$I$7:$I$100,"")+SUMIFS('15d'!$N$7:$N$100,'15d'!$H$7:$H$100,$A433,'15d'!$I$7:$I$100,"")+SUMIFS('15e'!$N$7:$N$100,'15e'!$H$7:$H$100,$A433,'15e'!$I$7:$I$100,"")+SUMIFS('15f'!$N$7:$N$100,'15f'!$H$7:$H$100,$A433,'15f'!$I$7:$I$100,"")+SUMIFS('15g'!$N$7:$N$100,'15g'!$H$7:$H$100,$A433,'15g'!$I$7:$I$100,"")+SUMIFS('15h'!$N$7:$N$100,'15h'!$H$7:$H$100,$A433,'15h'!$I$7:$I$100,"")+SUMIFS('15i'!$N$7:$N$100,'15i'!$H$7:$H$100,$A433,'15i'!$I$7:$I$100,"")+SUMIFS('15j'!$N$7:$N$100,'15j'!$H$7:$H$100,$A433,'15j'!$I$7:$I$100,"")+SUMIFS('15k'!$N$7:$N$100,'15k'!$H$7:$H$100,$A433,'15k'!$I$7:$I$100,"")+SUMIFS('15l'!$N$7:$N$100,'15l'!$H$7:$H$100,$A433,'15l'!$I$7:$I$100,"")+SUMIFS('15m'!$N$7:$N$100,'15m'!$H$7:$H$100,$A433,'15m'!$I$7:$I$100,"")+SUMIFS('15n'!$N$7:$N$100,'15n'!$H$7:$H$100,$A433,'15n'!$I$7:$I$100,"")+SUMIFS('16'!$N$7:$N$100,'16'!$H$7:$H$100,$A433,'16'!$I$7:$I$100,"")+SUMIFS('16a'!$N$7:$N$100,'16a'!$H$7:$H$100,$A433,'16a'!$I$7:$I$100,"")+SUMIFS('17'!$N$7:$N$100,'17'!$H$7:$H$100,$A433,'17'!$I$7:$I$100,"")+SUMIFS('17a'!$N$7:$N$100,'17a'!$H$7:$H$100,$A433,'17a'!$I$7:$I$100,"")+SUMIFS('18'!$N$7:$N$100,'18'!$H$7:$H$100,$A433,'18'!$I$7:$I$100,"")+SUMIFS('18a'!$N$7:$N$100,'18a'!$H$7:$H$100,$A433,'18a'!$I$7:$I$100,"")
+SUMIFS('19'!$N$7:$N$100,'19'!$H$7:$H$100,$A433,'19'!$I$7:$I$100,"")+SUMIFS('20'!$N$7:$N$100,'20'!$H$7:$H$100,$A433,'20'!$I$7:$I$100,"")+SUMIFS('20a'!$N$7:$N$100,'20a'!$H$7:$H$100,$A433,'20a'!$I$7:$I$100,"")+SUMIFS('21'!$N$7:$N$100,'21'!$H$7:$H$100,$A433,'21'!$I$7:$I$100,"")+SUMIFS('22'!$N$7:$N$100,'22'!$H$7:$H$100,$A433,'22'!$I$7:$I$100,"")+SUMIFS('22a'!$N$7:$N$100,'22a'!$H$7:$H$100,$A433,'22a'!$I$7:$I$100,"")+SUMIFS('22b'!$N$7:$N$100,'22b'!$H$7:$H$100,$A433,'22b'!$I$7:$I$100,"")+SUMIFS('23'!$N$7:$N$100,'23'!$H$7:$H$100,$A433,'23'!$I$7:$I$100,"")+SUMIFS('24'!$N$7:$N$100,'24'!$H$7:$H$100,$A433,'24'!$I$7:$I$100,"")+SUMIFS('24a'!$N$7:$N$100,'24a'!$H$7:$H$100,$A433,'24a'!$I$7:$I$100,"")+SUMIFS('24b'!$N$7:$N$100,'24b'!$H$7:$H$100,$A433,'24b'!$I$7:$I$100,"")+SUMIFS('24c'!$N$7:$N$100,'24c'!$H$7:$H$100,$A433,'24c'!$I$7:$I$100,"")+SUMIFS('24d'!$N$7:$N$100,'24d'!$H$7:$H$100,$A433,'24d'!$I$7:$I$100,"")+SUMIFS('24e'!$N$7:$N$100,'24e'!$H$7:$H$100,$A433,'24e'!$I$7:$I$100,"")+SUMIFS('24f'!$N$7:$N$100,'24f'!$H$7:$H$100,$A433,'24f'!$I$7:$I$100,"")+SUMIFS('24g'!$N$7:$N$100,'24g'!$H$7:$H$100,$A433,'24g'!$I$7:$I$100,"")+SUMIFS('24h'!$N$7:$N$100,'24h'!$H$7:$H$100,$A433,'24h'!$I$7:$I$100,"")+SUMIFS('24i'!$N$7:$N$100,'24i'!$H$7:$H$100,$A433,'24i'!$I$7:$I$100,"")+SUMIFS('25'!$N$7:$N$100,'25'!$H$7:$H$100,$A433,'25'!$I$7:$I$100,"")+SUMIFS('26'!$N$7:$N$100,'26'!$H$7:$H$100,$A433,'26'!$I$7:$I$100,"")+SUMIFS('26a'!$N$7:$N$100,'26a'!$H$7:$H$100,$A433,'26a'!$I$7:$I$100,"")+SUMIFS('27'!$N$7:$N$100,'27'!$H$7:$H$100,$A433,'27'!$I$7:$I$100,"")+SUMIFS('27a'!$N$7:$N$100,'27a'!$H$7:$H$100,$A433,'27a'!$I$7:$I$100,"")+SUMIFS('28'!$N$7:$N$100,'28'!$H$7:$H$100,$A433,'28'!$I$7:$I$100,"")+SUMIFS('29'!$N$7:$N$100,'29'!$H$7:$H$100,$A433,'29'!$I$7:$I$100,"")</f>
        <v>0</v>
      </c>
      <c r="F433" s="1296">
        <f t="shared" si="76"/>
        <v>0</v>
      </c>
      <c r="G433" s="1295">
        <f>SUMIFS('12'!$J$7:$J$100,'12'!$H$7:$H$100,$A433,'12'!$I$7:$I$100,1)+SUMIFS('13'!$J$7:$J$100,'13'!$H$7:$H$100,$A433,'13'!$I$7:$I$100,1)+SUMIFS('14'!$J$7:$J$100,'14'!$H$7:$H$100,$A433,'14'!$I$7:$I$100,1)+SUMIFS('15'!$J$7:$J$100,'15'!$H$7:$H$100,$A433,'15'!$I$7:$I$100,1)+SUMIFS('15a'!$J$7:$J$100,'15a'!$H$7:$H$100,$A433,'15a'!$I$7:$I$100,1)+SUMIFS('15b'!$J$7:$J$100,'15b'!$H$7:$H$100,$A433,'15b'!$I$7:$I$100,1)+SUMIFS('15c'!$J$7:$J$100,'15c'!$H$7:$H$100,$A433,'15c'!$I$7:$I$100,1)+SUMIFS('15d'!$J$7:$J$100,'15d'!$H$7:$H$100,$A433,'15d'!$I$7:$I$100,1)+SUMIFS('15e'!$J$7:$J$100,'15e'!$H$7:$H$100,$A433,'15e'!$I$7:$I$100,1)+SUMIFS('15f'!$J$7:$J$100,'15f'!$H$7:$H$100,$A433,'15f'!$I$7:$I$100,1)+SUMIFS('15g'!$J$7:$J$100,'15g'!$H$7:$H$100,$A433,'15g'!$I$7:$I$100,1)+SUMIFS('15h'!$J$7:$J$100,'15h'!$H$7:$H$100,$A433,'15h'!$I$7:$I$100,1)+SUMIFS('15i'!$J$7:$J$100,'15i'!$H$7:$H$100,$A433,'15i'!$I$7:$I$100,1)+SUMIFS('15j'!$J$7:$J$100,'15j'!$H$7:$H$100,$A433,'15j'!$I$7:$I$100,1)+SUMIFS('15k'!$J$7:$J$100,'15k'!$H$7:$H$100,$A433,'15k'!$I$7:$I$100,1)+SUMIFS('15l'!$J$7:$J$100,'15l'!$H$7:$H$100,$A433,'15l'!$I$7:$I$100,1)+SUMIFS('15m'!$J$7:$J$100,'15m'!$H$7:$H$100,$A433,'15m'!$I$7:$I$100,1)+SUMIFS('15n'!$J$7:$J$100,'15n'!$H$7:$H$100,$A433,'15n'!$I$7:$I$100,1)+SUMIFS('16'!$J$7:$J$100,'16'!$H$7:$H$100,$A433,'16'!$I$7:$I$100,1)+SUMIFS('16a'!$J$7:$J$100,'16a'!$H$7:$H$100,$A433,'16a'!$I$7:$I$100,1)+SUMIFS('17'!$J$7:$J$100,'17'!$H$7:$H$100,$A433,'17'!$I$7:$I$100,1)+SUMIFS('17a'!$J$7:$J$100,'17a'!$H$7:$H$100,$A433,'17a'!$I$7:$I$100,1)+SUMIFS('18'!$J$7:$J$100,'18'!$H$7:$H$100,$A433,'18'!$I$7:$I$100,1)+SUMIFS('18a'!$J$7:$J$100,'18a'!$H$7:$H$100,$A433,'18a'!$I$7:$I$100,1)
+SUMIFS('19'!$J$7:$J$100,'19'!$H$7:$H$100,$A433,'19'!$I$7:$I$100,1)+SUMIFS('20'!$J$7:$J$100,'20'!$H$7:$H$100,$A433,'20'!$I$7:$I$100,1)+SUMIFS('20a'!$J$7:$J$100,'20a'!$H$7:$H$100,$A433,'20a'!$I$7:$I$100,1)+SUMIFS('21'!$J$7:$J$100,'21'!$H$7:$H$100,$A433,'21'!$I$7:$I$100,1)+SUMIFS('22'!$J$7:$J$100,'22'!$H$7:$H$100,$A433,'22'!$I$7:$I$100,1)+SUMIFS('22a'!$J$7:$J$100,'22a'!$H$7:$H$100,$A433,'22a'!$I$7:$I$100,1)+SUMIFS('22b'!$J$7:$J$100,'22b'!$H$7:$H$100,$A433,'22b'!$I$7:$I$100,1)+SUMIFS('23'!$J$7:$J$100,'23'!$H$7:$H$100,$A433,'23'!$I$7:$I$100,1)+SUMIFS('24'!$J$7:$J$100,'24'!$H$7:$H$100,$A433,'24'!$I$7:$I$100,1)+SUMIFS('24a'!$J$7:$J$100,'24a'!$H$7:$H$100,$A433,'24a'!$I$7:$I$100,1)+SUMIFS('24b'!$J$7:$J$100,'24b'!$H$7:$H$100,$A433,'24b'!$I$7:$I$100,1)+SUMIFS('24c'!$J$7:$J$100,'24c'!$H$7:$H$100,$A433,'24c'!$I$7:$I$100,1)+SUMIFS('24d'!$J$7:$J$100,'24d'!$H$7:$H$100,$A433,'24d'!$I$7:$I$100,1)+SUMIFS('24e'!$J$7:$J$100,'24e'!$H$7:$H$100,$A433,'24e'!$I$7:$I$100,1)+SUMIFS('24f'!$J$7:$J$100,'24f'!$H$7:$H$100,$A433,'24f'!$I$7:$I$100,1)+SUMIFS('24g'!$J$7:$J$100,'24g'!$H$7:$H$100,$A433,'24g'!$I$7:$I$100,1)+SUMIFS('24h'!$J$7:$J$100,'24h'!$H$7:$H$100,$A433,'24h'!$I$7:$I$100,1)+SUMIFS('24i'!$J$7:$J$100,'24i'!$H$7:$H$100,$A433,'24i'!$I$7:$I$100,1)+SUMIFS('25'!$J$7:$J$100,'25'!$H$7:$H$100,$A433,'25'!$I$7:$I$100,1)+SUMIFS('26'!$J$7:$J$100,'26'!$H$7:$H$100,$A433,'26'!$I$7:$I$100,1)+SUMIFS('26a'!$J$7:$J$100,'26a'!$H$7:$H$100,$A433,'26a'!$I$7:$I$100,1)+SUMIFS('27'!$J$7:$J$100,'27'!$H$7:$H$100,$A433,'27'!$I$7:$I$100,1)+SUMIFS('27a'!$J$7:$J$100,'27a'!$H$7:$H$100,$A433,'27a'!$I$7:$I$100,1)+SUMIFS('28'!$J$7:$J$100,'28'!$H$7:$H$100,$A433,'28'!$I$7:$I$100,1)+SUMIFS('29'!$J$7:$J$100,'29'!$H$7:$H$100,$A433,'29'!$I$7:$I$100,1)</f>
        <v>0</v>
      </c>
      <c r="H433" s="1315">
        <f>SUMIFS('12'!$J$7:$J$100,'12'!$H$7:$H$100,$A433,'12'!$I$7:$I$100,2)+SUMIFS('13'!$J$7:$J$100,'13'!$H$7:$H$100,$A433,'13'!$I$7:$I$100,2)+SUMIFS('14'!$J$7:$J$100,'14'!$H$7:$H$100,$A433,'14'!$I$7:$I$100,2)+SUMIFS('15'!$J$7:$J$100,'15'!$H$7:$H$100,$A433,'15'!$I$7:$I$100,2)+SUMIFS('15a'!$J$7:$J$100,'15a'!$H$7:$H$100,$A433,'15a'!$I$7:$I$100,2)+SUMIFS('15b'!$J$7:$J$100,'15b'!$H$7:$H$100,$A433,'15b'!$I$7:$I$100,2)+SUMIFS('15c'!$J$7:$J$100,'15c'!$H$7:$H$100,$A433,'15c'!$I$7:$I$100,2)+SUMIFS('15d'!$J$7:$J$100,'15d'!$H$7:$H$100,$A433,'15d'!$I$7:$I$100,2)+SUMIFS('15e'!$J$7:$J$100,'15e'!$H$7:$H$100,$A433,'15e'!$I$7:$I$100,2)+SUMIFS('15f'!$J$7:$J$100,'15f'!$H$7:$H$100,$A433,'15f'!$I$7:$I$100,2)+SUMIFS('15g'!$J$7:$J$100,'15g'!$H$7:$H$100,$A433,'15g'!$I$7:$I$100,2)+SUMIFS('15h'!$J$7:$J$100,'15h'!$H$7:$H$100,$A433,'15h'!$I$7:$I$100,2)+SUMIFS('15i'!$J$7:$J$100,'15i'!$H$7:$H$100,$A433,'15i'!$I$7:$I$100,2)+SUMIFS('15j'!$J$7:$J$100,'15j'!$H$7:$H$100,$A433,'15j'!$I$7:$I$100,2)+SUMIFS('15k'!$J$7:$J$100,'15k'!$H$7:$H$100,$A433,'15k'!$I$7:$I$100,2)+SUMIFS('15l'!$J$7:$J$100,'15l'!$H$7:$H$100,$A433,'15l'!$I$7:$I$100,2)+SUMIFS('15m'!$J$7:$J$100,'15m'!$H$7:$H$100,$A433,'15m'!$I$7:$I$100,2)+SUMIFS('15n'!$J$7:$J$100,'15n'!$H$7:$H$100,$A433,'15n'!$I$7:$I$100,2)+SUMIFS('16'!$J$7:$J$100,'16'!$H$7:$H$100,$A433,'16'!$I$7:$I$100,2)+SUMIFS('16a'!$J$7:$J$100,'16a'!$H$7:$H$100,$A433,'16a'!$I$7:$I$100,2)+SUMIFS('17'!$J$7:$J$100,'17'!$H$7:$H$100,$A433,'17'!$I$7:$I$100,2)+SUMIFS('17a'!$J$7:$J$100,'17a'!$H$7:$H$100,$A433,'17a'!$I$7:$I$100,2)+SUMIFS('18'!$J$7:$J$100,'18'!$H$7:$H$100,$A433,'18'!$I$7:$I$100,2)+SUMIFS('18a'!$J$7:$J$100,'18a'!$H$7:$H$100,$A433,'18a'!$I$7:$I$100,2)
+SUMIFS('19'!$J$7:$J$100,'19'!$H$7:$H$100,$A433,'19'!$I$7:$I$100,2)+SUMIFS('20'!$J$7:$J$100,'20'!$H$7:$H$100,$A433,'20'!$I$7:$I$100,2)+SUMIFS('20a'!$J$7:$J$100,'20a'!$H$7:$H$100,$A433,'20a'!$I$7:$I$100,2)+SUMIFS('21'!$J$7:$J$100,'21'!$H$7:$H$100,$A433,'21'!$I$7:$I$100,2)+SUMIFS('22'!$J$7:$J$100,'22'!$H$7:$H$100,$A433,'22'!$I$7:$I$100,2)+SUMIFS('22a'!$J$7:$J$100,'22a'!$H$7:$H$100,$A433,'22a'!$I$7:$I$100,2)+SUMIFS('22b'!$J$7:$J$100,'22b'!$H$7:$H$100,$A433,'22b'!$I$7:$I$100,2)+SUMIFS('23'!$J$7:$J$100,'23'!$H$7:$H$100,$A433,'23'!$I$7:$I$100,2)+SUMIFS('24'!$J$7:$J$100,'24'!$H$7:$H$100,$A433,'24'!$I$7:$I$100,2)+SUMIFS('24a'!$J$7:$J$100,'24a'!$H$7:$H$100,$A433,'24a'!$I$7:$I$100,2)+SUMIFS('24b'!$J$7:$J$100,'24b'!$H$7:$H$100,$A433,'24b'!$I$7:$I$100,2)+SUMIFS('24c'!$J$7:$J$100,'24c'!$H$7:$H$100,$A433,'24c'!$I$7:$I$100,2)+SUMIFS('24d'!$J$7:$J$100,'24d'!$H$7:$H$100,$A433,'24d'!$I$7:$I$100,2)+SUMIFS('24e'!$J$7:$J$100,'24e'!$H$7:$H$100,$A433,'24e'!$I$7:$I$100,2)+SUMIFS('24f'!$J$7:$J$100,'24f'!$H$7:$H$100,$A433,'24f'!$I$7:$I$100,2)+SUMIFS('24g'!$J$7:$J$100,'24g'!$H$7:$H$100,$A433,'24g'!$I$7:$I$100,2)+SUMIFS('24h'!$J$7:$J$100,'24h'!$H$7:$H$100,$A433,'24h'!$I$7:$I$100,2)+SUMIFS('24i'!$J$7:$J$100,'24i'!$H$7:$H$100,$A433,'24i'!$I$7:$I$100,2)+SUMIFS('25'!$J$7:$J$100,'25'!$H$7:$H$100,$A433,'25'!$I$7:$I$100,2)+SUMIFS('26'!$J$7:$J$100,'26'!$H$7:$H$100,$A433,'26'!$I$7:$I$100,2)+SUMIFS('26a'!$J$7:$J$100,'26a'!$H$7:$H$100,$A433,'26a'!$I$7:$I$100,2)+SUMIFS('27'!$J$7:$J$100,'27'!$H$7:$H$100,$A433,'27'!$I$7:$I$100,2)+SUMIFS('27a'!$J$7:$J$100,'27a'!$H$7:$H$100,$A433,'27a'!$I$7:$I$100,2)+SUMIFS('28'!$J$7:$J$100,'28'!$H$7:$H$100,$A433,'28'!$I$7:$I$100,2)+SUMIFS('29'!$J$7:$J$100,'29'!$H$7:$H$100,$A433,'29'!$I$7:$I$100,2)</f>
        <v>0</v>
      </c>
      <c r="I433" s="1315">
        <f>SUMIFS('12'!$J$7:$J$100,'12'!$H$7:$H$100,$A433,'12'!$I$7:$I$100,"")+SUMIFS('13'!$J$7:$J$100,'13'!$H$7:$H$100,$A433,'13'!$I$7:$I$100,"")+SUMIFS('14'!$J$7:$J$100,'14'!$H$7:$H$100,$A433,'14'!$I$7:$I$100,"")+SUMIFS('15'!$J$7:$J$100,'15'!$H$7:$H$100,$A433,'15'!$I$7:$I$100,"")+SUMIFS('15a'!$J$7:$J$100,'15a'!$H$7:$H$100,$A433,'15a'!$I$7:$I$100,"")+SUMIFS('15b'!$J$7:$J$100,'15b'!$H$7:$H$100,$A433,'15b'!$I$7:$I$100,"")+SUMIFS('15c'!$J$7:$J$100,'15c'!$H$7:$H$100,$A433,'15c'!$I$7:$I$100,"")+SUMIFS('15d'!$J$7:$J$100,'15d'!$H$7:$H$100,$A433,'15d'!$I$7:$I$100,"")+SUMIFS('15e'!$J$7:$J$100,'15e'!$H$7:$H$100,$A433,'15e'!$I$7:$I$100,"")+SUMIFS('15f'!$J$7:$J$100,'15f'!$H$7:$H$100,$A433,'15f'!$I$7:$I$100,"")+SUMIFS('15g'!$J$7:$J$100,'15g'!$H$7:$H$100,$A433,'15g'!$I$7:$I$100,"")+SUMIFS('15h'!$J$7:$J$100,'15h'!$H$7:$H$100,$A433,'15h'!$I$7:$I$100,"")+SUMIFS('15i'!$J$7:$J$100,'15i'!$H$7:$H$100,$A433,'15i'!$I$7:$I$100,"")+SUMIFS('15j'!$J$7:$J$100,'15j'!$H$7:$H$100,$A433,'15j'!$I$7:$I$100,"")+SUMIFS('15k'!$J$7:$J$100,'15k'!$H$7:$H$100,$A433,'15k'!$I$7:$I$100,"")+SUMIFS('15l'!$J$7:$J$100,'15l'!$H$7:$H$100,$A433,'15l'!$I$7:$I$100,"")+SUMIFS('15m'!$J$7:$J$100,'15m'!$H$7:$H$100,$A433,'15m'!$I$7:$I$100,"")+SUMIFS('15n'!$J$7:$J$100,'15n'!$H$7:$H$100,$A433,'15n'!$I$7:$I$100,"")+SUMIFS('16'!$J$7:$J$100,'16'!$H$7:$H$100,$A433,'16'!$I$7:$I$100,"")+SUMIFS('16a'!$J$7:$J$100,'16a'!$H$7:$H$100,$A433,'16a'!$I$7:$I$100,"")+SUMIFS('17'!$J$7:$J$100,'17'!$H$7:$H$100,$A433,'17'!$I$7:$I$100,"")+SUMIFS('17a'!$J$7:$J$100,'17a'!$H$7:$H$100,$A433,'17a'!$I$7:$I$100,"")+SUMIFS('18'!$J$7:$J$100,'18'!$H$7:$H$100,$A433,'18'!$I$7:$I$100,"")+SUMIFS('18a'!$J$7:$J$100,'18a'!$H$7:$H$100,$A433,'18a'!$I$7:$I$100,"")
+SUMIFS('19'!$J$7:$J$100,'19'!$H$7:$H$100,$A433,'19'!$I$7:$I$100,"")+SUMIFS('20'!$J$7:$J$100,'20'!$H$7:$H$100,$A433,'20'!$I$7:$I$100,"")+SUMIFS('20a'!$J$7:$J$100,'20a'!$H$7:$H$100,$A433,'20a'!$I$7:$I$100,"")+SUMIFS('21'!$J$7:$J$100,'21'!$H$7:$H$100,$A433,'21'!$I$7:$I$100,"")+SUMIFS('22'!$J$7:$J$100,'22'!$H$7:$H$100,$A433,'22'!$I$7:$I$100,"")+SUMIFS('22a'!$J$7:$J$100,'22a'!$H$7:$H$100,$A433,'22a'!$I$7:$I$100,"")+SUMIFS('22b'!$J$7:$J$100,'22b'!$H$7:$H$100,$A433,'22b'!$I$7:$I$100,"")+SUMIFS('23'!$J$7:$J$100,'23'!$H$7:$H$100,$A433,'23'!$I$7:$I$100,"")+SUMIFS('24'!$J$7:$J$100,'24'!$H$7:$H$100,$A433,'24'!$I$7:$I$100,"")+SUMIFS('24a'!$J$7:$J$100,'24a'!$H$7:$H$100,$A433,'24a'!$I$7:$I$100,"")+SUMIFS('24b'!$J$7:$J$100,'24b'!$H$7:$H$100,$A433,'24b'!$I$7:$I$100,"")+SUMIFS('24c'!$J$7:$J$100,'24c'!$H$7:$H$100,$A433,'24c'!$I$7:$I$100,"")+SUMIFS('24d'!$J$7:$J$100,'24d'!$H$7:$H$100,$A433,'24d'!$I$7:$I$100,"")+SUMIFS('24e'!$J$7:$J$100,'24e'!$H$7:$H$100,$A433,'24e'!$I$7:$I$100,"")+SUMIFS('24f'!$J$7:$J$100,'24f'!$H$7:$H$100,$A433,'24f'!$I$7:$I$100,"")+SUMIFS('24g'!$J$7:$J$100,'24g'!$H$7:$H$100,$A433,'24g'!$I$7:$I$100,"")+SUMIFS('24h'!$J$7:$J$100,'24h'!$H$7:$H$100,$A433,'24h'!$I$7:$I$100,"")+SUMIFS('24i'!$J$7:$J$100,'24i'!$H$7:$H$100,$A433,'24i'!$I$7:$I$100,"")+SUMIFS('25'!$J$7:$J$100,'25'!$H$7:$H$100,$A433,'25'!$I$7:$I$100,"")+SUMIFS('26'!$J$7:$J$100,'26'!$H$7:$H$100,$A433,'26'!$I$7:$I$100,"")+SUMIFS('26a'!$J$7:$J$100,'26a'!$H$7:$H$100,$A433,'26a'!$I$7:$I$100,"")+SUMIFS('27'!$J$7:$J$100,'27'!$H$7:$H$100,$A433,'27'!$I$7:$I$100,"")+SUMIFS('27a'!$J$7:$J$100,'27a'!$H$7:$H$100,$A433,'27a'!$I$7:$I$100,"")+SUMIFS('28'!$J$7:$J$100,'28'!$H$7:$H$100,$A433,'28'!$I$7:$I$100,"")+SUMIFS('29'!$J$7:$J$100,'29'!$H$7:$H$100,$A433,'29'!$I$7:$I$100,"")</f>
        <v>0</v>
      </c>
      <c r="J433" s="1296">
        <f t="shared" si="77"/>
        <v>0</v>
      </c>
      <c r="K433"/>
      <c r="L433"/>
      <c r="M433"/>
      <c r="N433"/>
      <c r="O433"/>
      <c r="P433"/>
      <c r="Q433"/>
      <c r="R433"/>
      <c r="S433" s="1307">
        <f t="shared" si="71"/>
        <v>0</v>
      </c>
      <c r="T433"/>
    </row>
    <row r="434" spans="1:20" x14ac:dyDescent="0.2">
      <c r="A434" t="s">
        <v>5097</v>
      </c>
      <c r="B434" t="s">
        <v>5561</v>
      </c>
      <c r="C434" s="1295">
        <f>SUMIFS('12'!$N$7:$N$100,'12'!$H$7:$H$100,$A434,'12'!$I$7:$I$100,1)+SUMIFS('13'!$N$7:$N$100,'13'!$H$7:$H$100,$A434,'13'!$I$7:$I$100,1)+SUMIFS('14'!$N$7:$N$100,'14'!$H$7:$H$100,$A434,'14'!$I$7:$I$100,1)+SUMIFS('15'!$N$7:$N$100,'15'!$H$7:$H$100,$A434,'15'!$I$7:$I$100,1)+SUMIFS('15a'!$N$7:$N$100,'15a'!$H$7:$H$100,$A434,'15a'!$I$7:$I$100,1)+SUMIFS('15b'!$N$7:$N$100,'15b'!$H$7:$H$100,$A434,'15b'!$I$7:$I$100,1)+SUMIFS('15c'!$N$7:$N$100,'15c'!$H$7:$H$100,$A434,'15c'!$I$7:$I$100,1)+SUMIFS('15d'!$N$7:$N$100,'15d'!$H$7:$H$100,$A434,'15d'!$I$7:$I$100,1)+SUMIFS('15e'!$N$7:$N$100,'15e'!$H$7:$H$100,$A434,'15e'!$I$7:$I$100,1)+SUMIFS('15f'!$N$7:$N$100,'15f'!$H$7:$H$100,$A434,'15f'!$I$7:$I$100,1)+SUMIFS('15g'!$N$7:$N$100,'15g'!$H$7:$H$100,$A434,'15g'!$I$7:$I$100,1)+SUMIFS('15h'!$N$7:$N$100,'15h'!$H$7:$H$100,$A434,'15h'!$I$7:$I$100,1)+SUMIFS('15i'!$N$7:$N$100,'15i'!$H$7:$H$100,$A434,'15i'!$I$7:$I$100,1)+SUMIFS('15j'!$N$7:$N$100,'15j'!$H$7:$H$100,$A434,'15j'!$I$7:$I$100,1)+SUMIFS('15k'!$N$7:$N$100,'15k'!$H$7:$H$100,$A434,'15k'!$I$7:$I$100,1)+SUMIFS('15l'!$N$7:$N$100,'15l'!$H$7:$H$100,$A434,'15l'!$I$7:$I$100,1)+SUMIFS('15m'!$N$7:$N$100,'15m'!$H$7:$H$100,$A434,'15m'!$I$7:$I$100,1)+SUMIFS('15n'!$N$7:$N$100,'15n'!$H$7:$H$100,$A434,'15n'!$I$7:$I$100,1)+SUMIFS('16'!$N$7:$N$100,'16'!$H$7:$H$100,$A434,'16'!$I$7:$I$100,1)+SUMIFS('16a'!$N$7:$N$100,'16a'!$H$7:$H$100,$A434,'16a'!$I$7:$I$100,1)+SUMIFS('17'!$N$7:$N$100,'17'!$H$7:$H$100,$A434,'17'!$I$7:$I$100,1)+SUMIFS('17a'!$N$7:$N$100,'17a'!$H$7:$H$100,$A434,'17a'!$I$7:$I$100,1)+SUMIFS('18'!$N$7:$N$100,'18'!$H$7:$H$100,$A434,'18'!$I$7:$I$100,1)+SUMIFS('18a'!$N$7:$N$100,'18a'!$H$7:$H$100,$A434,'18a'!$I$7:$I$100,1)
+SUMIFS('19'!$N$7:$N$100,'19'!$H$7:$H$100,$A434,'19'!$I$7:$I$100,1)+SUMIFS('20'!$N$7:$N$100,'20'!$H$7:$H$100,$A434,'20'!$I$7:$I$100,1)+SUMIFS('20a'!$N$7:$N$100,'20a'!$H$7:$H$100,$A434,'20a'!$I$7:$I$100,1)+SUMIFS('21'!$N$7:$N$100,'21'!$H$7:$H$100,$A434,'21'!$I$7:$I$100,1)+SUMIFS('22'!$N$7:$N$100,'22'!$H$7:$H$100,$A434,'22'!$I$7:$I$100,1)+SUMIFS('22a'!$N$7:$N$100,'22a'!$H$7:$H$100,$A434,'22a'!$I$7:$I$100,1)+SUMIFS('22b'!$N$7:$N$100,'22b'!$H$7:$H$100,$A434,'22b'!$I$7:$I$100,1)+SUMIFS('23'!$N$7:$N$100,'23'!$H$7:$H$100,$A434,'23'!$I$7:$I$100,1)+SUMIFS('24'!$N$7:$N$100,'24'!$H$7:$H$100,$A434,'24'!$I$7:$I$100,1)+SUMIFS('24a'!$N$7:$N$100,'24a'!$H$7:$H$100,$A434,'24a'!$I$7:$I$100,1)+SUMIFS('24b'!$N$7:$N$100,'24b'!$H$7:$H$100,$A434,'24b'!$I$7:$I$100,1)+SUMIFS('24c'!$N$7:$N$100,'24c'!$H$7:$H$100,$A434,'24c'!$I$7:$I$100,1)+SUMIFS('24d'!$N$7:$N$100,'24d'!$H$7:$H$100,$A434,'24d'!$I$7:$I$100,1)+SUMIFS('24e'!$N$7:$N$100,'24e'!$H$7:$H$100,$A434,'24e'!$I$7:$I$100,1)+SUMIFS('24f'!$N$7:$N$100,'24f'!$H$7:$H$100,$A434,'24f'!$I$7:$I$100,1)+SUMIFS('24g'!$N$7:$N$100,'24g'!$H$7:$H$100,$A434,'24g'!$I$7:$I$100,1)+SUMIFS('24h'!$N$7:$N$100,'24h'!$H$7:$H$100,$A434,'24h'!$I$7:$I$100,1)+SUMIFS('24i'!$N$7:$N$100,'24i'!$H$7:$H$100,$A434,'24i'!$I$7:$I$100,1)+SUMIFS('25'!$N$7:$N$100,'25'!$H$7:$H$100,$A434,'25'!$I$7:$I$100,1)+SUMIFS('26'!$N$7:$N$100,'26'!$H$7:$H$100,$A434,'26'!$I$7:$I$100,1)+SUMIFS('26a'!$N$7:$N$100,'26a'!$H$7:$H$100,$A434,'26a'!$I$7:$I$100,1)+SUMIFS('27'!$N$7:$N$100,'27'!$H$7:$H$100,$A434,'27'!$I$7:$I$100,1)+SUMIFS('27a'!$N$7:$N$100,'27a'!$H$7:$H$100,$A434,'27a'!$I$7:$I$100,1)+SUMIFS('28'!$N$7:$N$100,'28'!$H$7:$H$100,$A434,'28'!$I$7:$I$100,1)+SUMIFS('29'!$N$7:$N$100,'29'!$H$7:$H$100,$A434,'29'!$I$7:$I$100,1)</f>
        <v>0</v>
      </c>
      <c r="D434" s="1315">
        <f>SUMIFS('12'!$N$7:$N$100,'12'!$H$7:$H$100,$A434,'12'!$I$7:$I$100,2)+SUMIFS('13'!$N$7:$N$100,'13'!$H$7:$H$100,$A434,'13'!$I$7:$I$100,2)+SUMIFS('14'!$N$7:$N$100,'14'!$H$7:$H$100,$A434,'14'!$I$7:$I$100,2)+SUMIFS('15'!$N$7:$N$100,'15'!$H$7:$H$100,$A434,'15'!$I$7:$I$100,2)+SUMIFS('15a'!$N$7:$N$100,'15a'!$H$7:$H$100,$A434,'15a'!$I$7:$I$100,2)+SUMIFS('15b'!$N$7:$N$100,'15b'!$H$7:$H$100,$A434,'15b'!$I$7:$I$100,2)+SUMIFS('15c'!$N$7:$N$100,'15c'!$H$7:$H$100,$A434,'15c'!$I$7:$I$100,2)+SUMIFS('15d'!$N$7:$N$100,'15d'!$H$7:$H$100,$A434,'15d'!$I$7:$I$100,2)+SUMIFS('15e'!$N$7:$N$100,'15e'!$H$7:$H$100,$A434,'15e'!$I$7:$I$100,2)+SUMIFS('15f'!$N$7:$N$100,'15f'!$H$7:$H$100,$A434,'15f'!$I$7:$I$100,2)+SUMIFS('15g'!$N$7:$N$100,'15g'!$H$7:$H$100,$A434,'15g'!$I$7:$I$100,2)+SUMIFS('15h'!$N$7:$N$100,'15h'!$H$7:$H$100,$A434,'15h'!$I$7:$I$100,2)+SUMIFS('15i'!$N$7:$N$100,'15i'!$H$7:$H$100,$A434,'15i'!$I$7:$I$100,2)+SUMIFS('15j'!$N$7:$N$100,'15j'!$H$7:$H$100,$A434,'15j'!$I$7:$I$100,2)+SUMIFS('15k'!$N$7:$N$100,'15k'!$H$7:$H$100,$A434,'15k'!$I$7:$I$100,2)+SUMIFS('15l'!$N$7:$N$100,'15l'!$H$7:$H$100,$A434,'15l'!$I$7:$I$100,2)+SUMIFS('15m'!$N$7:$N$100,'15m'!$H$7:$H$100,$A434,'15m'!$I$7:$I$100,2)+SUMIFS('15n'!$N$7:$N$100,'15n'!$H$7:$H$100,$A434,'15n'!$I$7:$I$100,2)+SUMIFS('16'!$N$7:$N$100,'16'!$H$7:$H$100,$A434,'16'!$I$7:$I$100,2)+SUMIFS('16a'!$N$7:$N$100,'16a'!$H$7:$H$100,$A434,'16a'!$I$7:$I$100,2)+SUMIFS('17'!$N$7:$N$100,'17'!$H$7:$H$100,$A434,'17'!$I$7:$I$100,2)+SUMIFS('17a'!$N$7:$N$100,'17a'!$H$7:$H$100,$A434,'17a'!$I$7:$I$100,2)+SUMIFS('18'!$N$7:$N$100,'18'!$H$7:$H$100,$A434,'18'!$I$7:$I$100,2)+SUMIFS('18a'!$N$7:$N$100,'18a'!$H$7:$H$100,$A434,'18a'!$I$7:$I$100,2)
+SUMIFS('19'!$N$7:$N$100,'19'!$H$7:$H$100,$A434,'19'!$I$7:$I$100,2)+SUMIFS('20'!$N$7:$N$100,'20'!$H$7:$H$100,$A434,'20'!$I$7:$I$100,2)+SUMIFS('20a'!$N$7:$N$100,'20a'!$H$7:$H$100,$A434,'20a'!$I$7:$I$100,2)+SUMIFS('21'!$N$7:$N$100,'21'!$H$7:$H$100,$A434,'21'!$I$7:$I$100,2)+SUMIFS('22'!$N$7:$N$100,'22'!$H$7:$H$100,$A434,'22'!$I$7:$I$100,2)+SUMIFS('22a'!$N$7:$N$100,'22a'!$H$7:$H$100,$A434,'22a'!$I$7:$I$100,2)+SUMIFS('22b'!$N$7:$N$100,'22b'!$H$7:$H$100,$A434,'22b'!$I$7:$I$100,2)+SUMIFS('23'!$N$7:$N$100,'23'!$H$7:$H$100,$A434,'23'!$I$7:$I$100,2)+SUMIFS('24'!$N$7:$N$100,'24'!$H$7:$H$100,$A434,'24'!$I$7:$I$100,2)+SUMIFS('24a'!$N$7:$N$100,'24a'!$H$7:$H$100,$A434,'24a'!$I$7:$I$100,2)+SUMIFS('24b'!$N$7:$N$100,'24b'!$H$7:$H$100,$A434,'24b'!$I$7:$I$100,2)+SUMIFS('24c'!$N$7:$N$100,'24c'!$H$7:$H$100,$A434,'24c'!$I$7:$I$100,2)+SUMIFS('24d'!$N$7:$N$100,'24d'!$H$7:$H$100,$A434,'24d'!$I$7:$I$100,2)+SUMIFS('24e'!$N$7:$N$100,'24e'!$H$7:$H$100,$A434,'24e'!$I$7:$I$100,2)+SUMIFS('24f'!$N$7:$N$100,'24f'!$H$7:$H$100,$A434,'24f'!$I$7:$I$100,2)+SUMIFS('24g'!$N$7:$N$100,'24g'!$H$7:$H$100,$A434,'24g'!$I$7:$I$100,2)+SUMIFS('24h'!$N$7:$N$100,'24h'!$H$7:$H$100,$A434,'24h'!$I$7:$I$100,2)+SUMIFS('24i'!$N$7:$N$100,'24i'!$H$7:$H$100,$A434,'24i'!$I$7:$I$100,2)+SUMIFS('25'!$N$7:$N$100,'25'!$H$7:$H$100,$A434,'25'!$I$7:$I$100,2)+SUMIFS('26'!$N$7:$N$100,'26'!$H$7:$H$100,$A434,'26'!$I$7:$I$100,2)+SUMIFS('26a'!$N$7:$N$100,'26a'!$H$7:$H$100,$A434,'26a'!$I$7:$I$100,2)+SUMIFS('27'!$N$7:$N$100,'27'!$H$7:$H$100,$A434,'27'!$I$7:$I$100,2)+SUMIFS('27a'!$N$7:$N$100,'27a'!$H$7:$H$100,$A434,'27a'!$I$7:$I$100,2)+SUMIFS('28'!$N$7:$N$100,'28'!$H$7:$H$100,$A434,'28'!$I$7:$I$100,2)+SUMIFS('29'!$N$7:$N$100,'29'!$H$7:$H$100,$A434,'29'!$I$7:$I$100,2)</f>
        <v>0</v>
      </c>
      <c r="E434" s="1315">
        <f>SUMIFS('12'!$N$7:$N$100,'12'!$H$7:$H$100,$A434,'12'!$I$7:$I$100,"")+SUMIFS('13'!$N$7:$N$100,'13'!$H$7:$H$100,$A434,'13'!$I$7:$I$100,"")+SUMIFS('14'!$N$7:$N$100,'14'!$H$7:$H$100,$A434,'14'!$I$7:$I$100,"")+SUMIFS('15'!$N$7:$N$100,'15'!$H$7:$H$100,$A434,'15'!$I$7:$I$100,"")+SUMIFS('15a'!$N$7:$N$100,'15a'!$H$7:$H$100,$A434,'15a'!$I$7:$I$100,"")+SUMIFS('15b'!$N$7:$N$100,'15b'!$H$7:$H$100,$A434,'15b'!$I$7:$I$100,"")+SUMIFS('15c'!$N$7:$N$100,'15c'!$H$7:$H$100,$A434,'15c'!$I$7:$I$100,"")+SUMIFS('15d'!$N$7:$N$100,'15d'!$H$7:$H$100,$A434,'15d'!$I$7:$I$100,"")+SUMIFS('15e'!$N$7:$N$100,'15e'!$H$7:$H$100,$A434,'15e'!$I$7:$I$100,"")+SUMIFS('15f'!$N$7:$N$100,'15f'!$H$7:$H$100,$A434,'15f'!$I$7:$I$100,"")+SUMIFS('15g'!$N$7:$N$100,'15g'!$H$7:$H$100,$A434,'15g'!$I$7:$I$100,"")+SUMIFS('15h'!$N$7:$N$100,'15h'!$H$7:$H$100,$A434,'15h'!$I$7:$I$100,"")+SUMIFS('15i'!$N$7:$N$100,'15i'!$H$7:$H$100,$A434,'15i'!$I$7:$I$100,"")+SUMIFS('15j'!$N$7:$N$100,'15j'!$H$7:$H$100,$A434,'15j'!$I$7:$I$100,"")+SUMIFS('15k'!$N$7:$N$100,'15k'!$H$7:$H$100,$A434,'15k'!$I$7:$I$100,"")+SUMIFS('15l'!$N$7:$N$100,'15l'!$H$7:$H$100,$A434,'15l'!$I$7:$I$100,"")+SUMIFS('15m'!$N$7:$N$100,'15m'!$H$7:$H$100,$A434,'15m'!$I$7:$I$100,"")+SUMIFS('15n'!$N$7:$N$100,'15n'!$H$7:$H$100,$A434,'15n'!$I$7:$I$100,"")+SUMIFS('16'!$N$7:$N$100,'16'!$H$7:$H$100,$A434,'16'!$I$7:$I$100,"")+SUMIFS('16a'!$N$7:$N$100,'16a'!$H$7:$H$100,$A434,'16a'!$I$7:$I$100,"")+SUMIFS('17'!$N$7:$N$100,'17'!$H$7:$H$100,$A434,'17'!$I$7:$I$100,"")+SUMIFS('17a'!$N$7:$N$100,'17a'!$H$7:$H$100,$A434,'17a'!$I$7:$I$100,"")+SUMIFS('18'!$N$7:$N$100,'18'!$H$7:$H$100,$A434,'18'!$I$7:$I$100,"")+SUMIFS('18a'!$N$7:$N$100,'18a'!$H$7:$H$100,$A434,'18a'!$I$7:$I$100,"")
+SUMIFS('19'!$N$7:$N$100,'19'!$H$7:$H$100,$A434,'19'!$I$7:$I$100,"")+SUMIFS('20'!$N$7:$N$100,'20'!$H$7:$H$100,$A434,'20'!$I$7:$I$100,"")+SUMIFS('20a'!$N$7:$N$100,'20a'!$H$7:$H$100,$A434,'20a'!$I$7:$I$100,"")+SUMIFS('21'!$N$7:$N$100,'21'!$H$7:$H$100,$A434,'21'!$I$7:$I$100,"")+SUMIFS('22'!$N$7:$N$100,'22'!$H$7:$H$100,$A434,'22'!$I$7:$I$100,"")+SUMIFS('22a'!$N$7:$N$100,'22a'!$H$7:$H$100,$A434,'22a'!$I$7:$I$100,"")+SUMIFS('22b'!$N$7:$N$100,'22b'!$H$7:$H$100,$A434,'22b'!$I$7:$I$100,"")+SUMIFS('23'!$N$7:$N$100,'23'!$H$7:$H$100,$A434,'23'!$I$7:$I$100,"")+SUMIFS('24'!$N$7:$N$100,'24'!$H$7:$H$100,$A434,'24'!$I$7:$I$100,"")+SUMIFS('24a'!$N$7:$N$100,'24a'!$H$7:$H$100,$A434,'24a'!$I$7:$I$100,"")+SUMIFS('24b'!$N$7:$N$100,'24b'!$H$7:$H$100,$A434,'24b'!$I$7:$I$100,"")+SUMIFS('24c'!$N$7:$N$100,'24c'!$H$7:$H$100,$A434,'24c'!$I$7:$I$100,"")+SUMIFS('24d'!$N$7:$N$100,'24d'!$H$7:$H$100,$A434,'24d'!$I$7:$I$100,"")+SUMIFS('24e'!$N$7:$N$100,'24e'!$H$7:$H$100,$A434,'24e'!$I$7:$I$100,"")+SUMIFS('24f'!$N$7:$N$100,'24f'!$H$7:$H$100,$A434,'24f'!$I$7:$I$100,"")+SUMIFS('24g'!$N$7:$N$100,'24g'!$H$7:$H$100,$A434,'24g'!$I$7:$I$100,"")+SUMIFS('24h'!$N$7:$N$100,'24h'!$H$7:$H$100,$A434,'24h'!$I$7:$I$100,"")+SUMIFS('24i'!$N$7:$N$100,'24i'!$H$7:$H$100,$A434,'24i'!$I$7:$I$100,"")+SUMIFS('25'!$N$7:$N$100,'25'!$H$7:$H$100,$A434,'25'!$I$7:$I$100,"")+SUMIFS('26'!$N$7:$N$100,'26'!$H$7:$H$100,$A434,'26'!$I$7:$I$100,"")+SUMIFS('26a'!$N$7:$N$100,'26a'!$H$7:$H$100,$A434,'26a'!$I$7:$I$100,"")+SUMIFS('27'!$N$7:$N$100,'27'!$H$7:$H$100,$A434,'27'!$I$7:$I$100,"")+SUMIFS('27a'!$N$7:$N$100,'27a'!$H$7:$H$100,$A434,'27a'!$I$7:$I$100,"")+SUMIFS('28'!$N$7:$N$100,'28'!$H$7:$H$100,$A434,'28'!$I$7:$I$100,"")+SUMIFS('29'!$N$7:$N$100,'29'!$H$7:$H$100,$A434,'29'!$I$7:$I$100,"")</f>
        <v>0</v>
      </c>
      <c r="F434" s="1296">
        <f t="shared" si="76"/>
        <v>0</v>
      </c>
      <c r="G434" s="1295">
        <f>SUMIFS('12'!$J$7:$J$100,'12'!$H$7:$H$100,$A434,'12'!$I$7:$I$100,1)+SUMIFS('13'!$J$7:$J$100,'13'!$H$7:$H$100,$A434,'13'!$I$7:$I$100,1)+SUMIFS('14'!$J$7:$J$100,'14'!$H$7:$H$100,$A434,'14'!$I$7:$I$100,1)+SUMIFS('15'!$J$7:$J$100,'15'!$H$7:$H$100,$A434,'15'!$I$7:$I$100,1)+SUMIFS('15a'!$J$7:$J$100,'15a'!$H$7:$H$100,$A434,'15a'!$I$7:$I$100,1)+SUMIFS('15b'!$J$7:$J$100,'15b'!$H$7:$H$100,$A434,'15b'!$I$7:$I$100,1)+SUMIFS('15c'!$J$7:$J$100,'15c'!$H$7:$H$100,$A434,'15c'!$I$7:$I$100,1)+SUMIFS('15d'!$J$7:$J$100,'15d'!$H$7:$H$100,$A434,'15d'!$I$7:$I$100,1)+SUMIFS('15e'!$J$7:$J$100,'15e'!$H$7:$H$100,$A434,'15e'!$I$7:$I$100,1)+SUMIFS('15f'!$J$7:$J$100,'15f'!$H$7:$H$100,$A434,'15f'!$I$7:$I$100,1)+SUMIFS('15g'!$J$7:$J$100,'15g'!$H$7:$H$100,$A434,'15g'!$I$7:$I$100,1)+SUMIFS('15h'!$J$7:$J$100,'15h'!$H$7:$H$100,$A434,'15h'!$I$7:$I$100,1)+SUMIFS('15i'!$J$7:$J$100,'15i'!$H$7:$H$100,$A434,'15i'!$I$7:$I$100,1)+SUMIFS('15j'!$J$7:$J$100,'15j'!$H$7:$H$100,$A434,'15j'!$I$7:$I$100,1)+SUMIFS('15k'!$J$7:$J$100,'15k'!$H$7:$H$100,$A434,'15k'!$I$7:$I$100,1)+SUMIFS('15l'!$J$7:$J$100,'15l'!$H$7:$H$100,$A434,'15l'!$I$7:$I$100,1)+SUMIFS('15m'!$J$7:$J$100,'15m'!$H$7:$H$100,$A434,'15m'!$I$7:$I$100,1)+SUMIFS('15n'!$J$7:$J$100,'15n'!$H$7:$H$100,$A434,'15n'!$I$7:$I$100,1)+SUMIFS('16'!$J$7:$J$100,'16'!$H$7:$H$100,$A434,'16'!$I$7:$I$100,1)+SUMIFS('16a'!$J$7:$J$100,'16a'!$H$7:$H$100,$A434,'16a'!$I$7:$I$100,1)+SUMIFS('17'!$J$7:$J$100,'17'!$H$7:$H$100,$A434,'17'!$I$7:$I$100,1)+SUMIFS('17a'!$J$7:$J$100,'17a'!$H$7:$H$100,$A434,'17a'!$I$7:$I$100,1)+SUMIFS('18'!$J$7:$J$100,'18'!$H$7:$H$100,$A434,'18'!$I$7:$I$100,1)+SUMIFS('18a'!$J$7:$J$100,'18a'!$H$7:$H$100,$A434,'18a'!$I$7:$I$100,1)
+SUMIFS('19'!$J$7:$J$100,'19'!$H$7:$H$100,$A434,'19'!$I$7:$I$100,1)+SUMIFS('20'!$J$7:$J$100,'20'!$H$7:$H$100,$A434,'20'!$I$7:$I$100,1)+SUMIFS('20a'!$J$7:$J$100,'20a'!$H$7:$H$100,$A434,'20a'!$I$7:$I$100,1)+SUMIFS('21'!$J$7:$J$100,'21'!$H$7:$H$100,$A434,'21'!$I$7:$I$100,1)+SUMIFS('22'!$J$7:$J$100,'22'!$H$7:$H$100,$A434,'22'!$I$7:$I$100,1)+SUMIFS('22a'!$J$7:$J$100,'22a'!$H$7:$H$100,$A434,'22a'!$I$7:$I$100,1)+SUMIFS('22b'!$J$7:$J$100,'22b'!$H$7:$H$100,$A434,'22b'!$I$7:$I$100,1)+SUMIFS('23'!$J$7:$J$100,'23'!$H$7:$H$100,$A434,'23'!$I$7:$I$100,1)+SUMIFS('24'!$J$7:$J$100,'24'!$H$7:$H$100,$A434,'24'!$I$7:$I$100,1)+SUMIFS('24a'!$J$7:$J$100,'24a'!$H$7:$H$100,$A434,'24a'!$I$7:$I$100,1)+SUMIFS('24b'!$J$7:$J$100,'24b'!$H$7:$H$100,$A434,'24b'!$I$7:$I$100,1)+SUMIFS('24c'!$J$7:$J$100,'24c'!$H$7:$H$100,$A434,'24c'!$I$7:$I$100,1)+SUMIFS('24d'!$J$7:$J$100,'24d'!$H$7:$H$100,$A434,'24d'!$I$7:$I$100,1)+SUMIFS('24e'!$J$7:$J$100,'24e'!$H$7:$H$100,$A434,'24e'!$I$7:$I$100,1)+SUMIFS('24f'!$J$7:$J$100,'24f'!$H$7:$H$100,$A434,'24f'!$I$7:$I$100,1)+SUMIFS('24g'!$J$7:$J$100,'24g'!$H$7:$H$100,$A434,'24g'!$I$7:$I$100,1)+SUMIFS('24h'!$J$7:$J$100,'24h'!$H$7:$H$100,$A434,'24h'!$I$7:$I$100,1)+SUMIFS('24i'!$J$7:$J$100,'24i'!$H$7:$H$100,$A434,'24i'!$I$7:$I$100,1)+SUMIFS('25'!$J$7:$J$100,'25'!$H$7:$H$100,$A434,'25'!$I$7:$I$100,1)+SUMIFS('26'!$J$7:$J$100,'26'!$H$7:$H$100,$A434,'26'!$I$7:$I$100,1)+SUMIFS('26a'!$J$7:$J$100,'26a'!$H$7:$H$100,$A434,'26a'!$I$7:$I$100,1)+SUMIFS('27'!$J$7:$J$100,'27'!$H$7:$H$100,$A434,'27'!$I$7:$I$100,1)+SUMIFS('27a'!$J$7:$J$100,'27a'!$H$7:$H$100,$A434,'27a'!$I$7:$I$100,1)+SUMIFS('28'!$J$7:$J$100,'28'!$H$7:$H$100,$A434,'28'!$I$7:$I$100,1)+SUMIFS('29'!$J$7:$J$100,'29'!$H$7:$H$100,$A434,'29'!$I$7:$I$100,1)</f>
        <v>0</v>
      </c>
      <c r="H434" s="1315">
        <f>SUMIFS('12'!$J$7:$J$100,'12'!$H$7:$H$100,$A434,'12'!$I$7:$I$100,2)+SUMIFS('13'!$J$7:$J$100,'13'!$H$7:$H$100,$A434,'13'!$I$7:$I$100,2)+SUMIFS('14'!$J$7:$J$100,'14'!$H$7:$H$100,$A434,'14'!$I$7:$I$100,2)+SUMIFS('15'!$J$7:$J$100,'15'!$H$7:$H$100,$A434,'15'!$I$7:$I$100,2)+SUMIFS('15a'!$J$7:$J$100,'15a'!$H$7:$H$100,$A434,'15a'!$I$7:$I$100,2)+SUMIFS('15b'!$J$7:$J$100,'15b'!$H$7:$H$100,$A434,'15b'!$I$7:$I$100,2)+SUMIFS('15c'!$J$7:$J$100,'15c'!$H$7:$H$100,$A434,'15c'!$I$7:$I$100,2)+SUMIFS('15d'!$J$7:$J$100,'15d'!$H$7:$H$100,$A434,'15d'!$I$7:$I$100,2)+SUMIFS('15e'!$J$7:$J$100,'15e'!$H$7:$H$100,$A434,'15e'!$I$7:$I$100,2)+SUMIFS('15f'!$J$7:$J$100,'15f'!$H$7:$H$100,$A434,'15f'!$I$7:$I$100,2)+SUMIFS('15g'!$J$7:$J$100,'15g'!$H$7:$H$100,$A434,'15g'!$I$7:$I$100,2)+SUMIFS('15h'!$J$7:$J$100,'15h'!$H$7:$H$100,$A434,'15h'!$I$7:$I$100,2)+SUMIFS('15i'!$J$7:$J$100,'15i'!$H$7:$H$100,$A434,'15i'!$I$7:$I$100,2)+SUMIFS('15j'!$J$7:$J$100,'15j'!$H$7:$H$100,$A434,'15j'!$I$7:$I$100,2)+SUMIFS('15k'!$J$7:$J$100,'15k'!$H$7:$H$100,$A434,'15k'!$I$7:$I$100,2)+SUMIFS('15l'!$J$7:$J$100,'15l'!$H$7:$H$100,$A434,'15l'!$I$7:$I$100,2)+SUMIFS('15m'!$J$7:$J$100,'15m'!$H$7:$H$100,$A434,'15m'!$I$7:$I$100,2)+SUMIFS('15n'!$J$7:$J$100,'15n'!$H$7:$H$100,$A434,'15n'!$I$7:$I$100,2)+SUMIFS('16'!$J$7:$J$100,'16'!$H$7:$H$100,$A434,'16'!$I$7:$I$100,2)+SUMIFS('16a'!$J$7:$J$100,'16a'!$H$7:$H$100,$A434,'16a'!$I$7:$I$100,2)+SUMIFS('17'!$J$7:$J$100,'17'!$H$7:$H$100,$A434,'17'!$I$7:$I$100,2)+SUMIFS('17a'!$J$7:$J$100,'17a'!$H$7:$H$100,$A434,'17a'!$I$7:$I$100,2)+SUMIFS('18'!$J$7:$J$100,'18'!$H$7:$H$100,$A434,'18'!$I$7:$I$100,2)+SUMIFS('18a'!$J$7:$J$100,'18a'!$H$7:$H$100,$A434,'18a'!$I$7:$I$100,2)
+SUMIFS('19'!$J$7:$J$100,'19'!$H$7:$H$100,$A434,'19'!$I$7:$I$100,2)+SUMIFS('20'!$J$7:$J$100,'20'!$H$7:$H$100,$A434,'20'!$I$7:$I$100,2)+SUMIFS('20a'!$J$7:$J$100,'20a'!$H$7:$H$100,$A434,'20a'!$I$7:$I$100,2)+SUMIFS('21'!$J$7:$J$100,'21'!$H$7:$H$100,$A434,'21'!$I$7:$I$100,2)+SUMIFS('22'!$J$7:$J$100,'22'!$H$7:$H$100,$A434,'22'!$I$7:$I$100,2)+SUMIFS('22a'!$J$7:$J$100,'22a'!$H$7:$H$100,$A434,'22a'!$I$7:$I$100,2)+SUMIFS('22b'!$J$7:$J$100,'22b'!$H$7:$H$100,$A434,'22b'!$I$7:$I$100,2)+SUMIFS('23'!$J$7:$J$100,'23'!$H$7:$H$100,$A434,'23'!$I$7:$I$100,2)+SUMIFS('24'!$J$7:$J$100,'24'!$H$7:$H$100,$A434,'24'!$I$7:$I$100,2)+SUMIFS('24a'!$J$7:$J$100,'24a'!$H$7:$H$100,$A434,'24a'!$I$7:$I$100,2)+SUMIFS('24b'!$J$7:$J$100,'24b'!$H$7:$H$100,$A434,'24b'!$I$7:$I$100,2)+SUMIFS('24c'!$J$7:$J$100,'24c'!$H$7:$H$100,$A434,'24c'!$I$7:$I$100,2)+SUMIFS('24d'!$J$7:$J$100,'24d'!$H$7:$H$100,$A434,'24d'!$I$7:$I$100,2)+SUMIFS('24e'!$J$7:$J$100,'24e'!$H$7:$H$100,$A434,'24e'!$I$7:$I$100,2)+SUMIFS('24f'!$J$7:$J$100,'24f'!$H$7:$H$100,$A434,'24f'!$I$7:$I$100,2)+SUMIFS('24g'!$J$7:$J$100,'24g'!$H$7:$H$100,$A434,'24g'!$I$7:$I$100,2)+SUMIFS('24h'!$J$7:$J$100,'24h'!$H$7:$H$100,$A434,'24h'!$I$7:$I$100,2)+SUMIFS('24i'!$J$7:$J$100,'24i'!$H$7:$H$100,$A434,'24i'!$I$7:$I$100,2)+SUMIFS('25'!$J$7:$J$100,'25'!$H$7:$H$100,$A434,'25'!$I$7:$I$100,2)+SUMIFS('26'!$J$7:$J$100,'26'!$H$7:$H$100,$A434,'26'!$I$7:$I$100,2)+SUMIFS('26a'!$J$7:$J$100,'26a'!$H$7:$H$100,$A434,'26a'!$I$7:$I$100,2)+SUMIFS('27'!$J$7:$J$100,'27'!$H$7:$H$100,$A434,'27'!$I$7:$I$100,2)+SUMIFS('27a'!$J$7:$J$100,'27a'!$H$7:$H$100,$A434,'27a'!$I$7:$I$100,2)+SUMIFS('28'!$J$7:$J$100,'28'!$H$7:$H$100,$A434,'28'!$I$7:$I$100,2)+SUMIFS('29'!$J$7:$J$100,'29'!$H$7:$H$100,$A434,'29'!$I$7:$I$100,2)</f>
        <v>0</v>
      </c>
      <c r="I434" s="1315">
        <f>SUMIFS('12'!$J$7:$J$100,'12'!$H$7:$H$100,$A434,'12'!$I$7:$I$100,"")+SUMIFS('13'!$J$7:$J$100,'13'!$H$7:$H$100,$A434,'13'!$I$7:$I$100,"")+SUMIFS('14'!$J$7:$J$100,'14'!$H$7:$H$100,$A434,'14'!$I$7:$I$100,"")+SUMIFS('15'!$J$7:$J$100,'15'!$H$7:$H$100,$A434,'15'!$I$7:$I$100,"")+SUMIFS('15a'!$J$7:$J$100,'15a'!$H$7:$H$100,$A434,'15a'!$I$7:$I$100,"")+SUMIFS('15b'!$J$7:$J$100,'15b'!$H$7:$H$100,$A434,'15b'!$I$7:$I$100,"")+SUMIFS('15c'!$J$7:$J$100,'15c'!$H$7:$H$100,$A434,'15c'!$I$7:$I$100,"")+SUMIFS('15d'!$J$7:$J$100,'15d'!$H$7:$H$100,$A434,'15d'!$I$7:$I$100,"")+SUMIFS('15e'!$J$7:$J$100,'15e'!$H$7:$H$100,$A434,'15e'!$I$7:$I$100,"")+SUMIFS('15f'!$J$7:$J$100,'15f'!$H$7:$H$100,$A434,'15f'!$I$7:$I$100,"")+SUMIFS('15g'!$J$7:$J$100,'15g'!$H$7:$H$100,$A434,'15g'!$I$7:$I$100,"")+SUMIFS('15h'!$J$7:$J$100,'15h'!$H$7:$H$100,$A434,'15h'!$I$7:$I$100,"")+SUMIFS('15i'!$J$7:$J$100,'15i'!$H$7:$H$100,$A434,'15i'!$I$7:$I$100,"")+SUMIFS('15j'!$J$7:$J$100,'15j'!$H$7:$H$100,$A434,'15j'!$I$7:$I$100,"")+SUMIFS('15k'!$J$7:$J$100,'15k'!$H$7:$H$100,$A434,'15k'!$I$7:$I$100,"")+SUMIFS('15l'!$J$7:$J$100,'15l'!$H$7:$H$100,$A434,'15l'!$I$7:$I$100,"")+SUMIFS('15m'!$J$7:$J$100,'15m'!$H$7:$H$100,$A434,'15m'!$I$7:$I$100,"")+SUMIFS('15n'!$J$7:$J$100,'15n'!$H$7:$H$100,$A434,'15n'!$I$7:$I$100,"")+SUMIFS('16'!$J$7:$J$100,'16'!$H$7:$H$100,$A434,'16'!$I$7:$I$100,"")+SUMIFS('16a'!$J$7:$J$100,'16a'!$H$7:$H$100,$A434,'16a'!$I$7:$I$100,"")+SUMIFS('17'!$J$7:$J$100,'17'!$H$7:$H$100,$A434,'17'!$I$7:$I$100,"")+SUMIFS('17a'!$J$7:$J$100,'17a'!$H$7:$H$100,$A434,'17a'!$I$7:$I$100,"")+SUMIFS('18'!$J$7:$J$100,'18'!$H$7:$H$100,$A434,'18'!$I$7:$I$100,"")+SUMIFS('18a'!$J$7:$J$100,'18a'!$H$7:$H$100,$A434,'18a'!$I$7:$I$100,"")
+SUMIFS('19'!$J$7:$J$100,'19'!$H$7:$H$100,$A434,'19'!$I$7:$I$100,"")+SUMIFS('20'!$J$7:$J$100,'20'!$H$7:$H$100,$A434,'20'!$I$7:$I$100,"")+SUMIFS('20a'!$J$7:$J$100,'20a'!$H$7:$H$100,$A434,'20a'!$I$7:$I$100,"")+SUMIFS('21'!$J$7:$J$100,'21'!$H$7:$H$100,$A434,'21'!$I$7:$I$100,"")+SUMIFS('22'!$J$7:$J$100,'22'!$H$7:$H$100,$A434,'22'!$I$7:$I$100,"")+SUMIFS('22a'!$J$7:$J$100,'22a'!$H$7:$H$100,$A434,'22a'!$I$7:$I$100,"")+SUMIFS('22b'!$J$7:$J$100,'22b'!$H$7:$H$100,$A434,'22b'!$I$7:$I$100,"")+SUMIFS('23'!$J$7:$J$100,'23'!$H$7:$H$100,$A434,'23'!$I$7:$I$100,"")+SUMIFS('24'!$J$7:$J$100,'24'!$H$7:$H$100,$A434,'24'!$I$7:$I$100,"")+SUMIFS('24a'!$J$7:$J$100,'24a'!$H$7:$H$100,$A434,'24a'!$I$7:$I$100,"")+SUMIFS('24b'!$J$7:$J$100,'24b'!$H$7:$H$100,$A434,'24b'!$I$7:$I$100,"")+SUMIFS('24c'!$J$7:$J$100,'24c'!$H$7:$H$100,$A434,'24c'!$I$7:$I$100,"")+SUMIFS('24d'!$J$7:$J$100,'24d'!$H$7:$H$100,$A434,'24d'!$I$7:$I$100,"")+SUMIFS('24e'!$J$7:$J$100,'24e'!$H$7:$H$100,$A434,'24e'!$I$7:$I$100,"")+SUMIFS('24f'!$J$7:$J$100,'24f'!$H$7:$H$100,$A434,'24f'!$I$7:$I$100,"")+SUMIFS('24g'!$J$7:$J$100,'24g'!$H$7:$H$100,$A434,'24g'!$I$7:$I$100,"")+SUMIFS('24h'!$J$7:$J$100,'24h'!$H$7:$H$100,$A434,'24h'!$I$7:$I$100,"")+SUMIFS('24i'!$J$7:$J$100,'24i'!$H$7:$H$100,$A434,'24i'!$I$7:$I$100,"")+SUMIFS('25'!$J$7:$J$100,'25'!$H$7:$H$100,$A434,'25'!$I$7:$I$100,"")+SUMIFS('26'!$J$7:$J$100,'26'!$H$7:$H$100,$A434,'26'!$I$7:$I$100,"")+SUMIFS('26a'!$J$7:$J$100,'26a'!$H$7:$H$100,$A434,'26a'!$I$7:$I$100,"")+SUMIFS('27'!$J$7:$J$100,'27'!$H$7:$H$100,$A434,'27'!$I$7:$I$100,"")+SUMIFS('27a'!$J$7:$J$100,'27a'!$H$7:$H$100,$A434,'27a'!$I$7:$I$100,"")+SUMIFS('28'!$J$7:$J$100,'28'!$H$7:$H$100,$A434,'28'!$I$7:$I$100,"")+SUMIFS('29'!$J$7:$J$100,'29'!$H$7:$H$100,$A434,'29'!$I$7:$I$100,"")</f>
        <v>0</v>
      </c>
      <c r="J434" s="1296">
        <f t="shared" si="77"/>
        <v>0</v>
      </c>
      <c r="K434"/>
      <c r="L434"/>
      <c r="M434"/>
      <c r="N434"/>
      <c r="O434"/>
      <c r="P434"/>
      <c r="Q434"/>
      <c r="R434"/>
      <c r="S434" s="1307">
        <f t="shared" si="71"/>
        <v>0</v>
      </c>
      <c r="T434"/>
    </row>
    <row r="435" spans="1:20" x14ac:dyDescent="0.2">
      <c r="A435" t="s">
        <v>5096</v>
      </c>
      <c r="B435" t="s">
        <v>5562</v>
      </c>
      <c r="C435" s="1295">
        <f>SUMIFS('12'!$N$7:$N$100,'12'!$H$7:$H$100,$A435,'12'!$I$7:$I$100,1)+SUMIFS('13'!$N$7:$N$100,'13'!$H$7:$H$100,$A435,'13'!$I$7:$I$100,1)+SUMIFS('14'!$N$7:$N$100,'14'!$H$7:$H$100,$A435,'14'!$I$7:$I$100,1)+SUMIFS('15'!$N$7:$N$100,'15'!$H$7:$H$100,$A435,'15'!$I$7:$I$100,1)+SUMIFS('15a'!$N$7:$N$100,'15a'!$H$7:$H$100,$A435,'15a'!$I$7:$I$100,1)+SUMIFS('15b'!$N$7:$N$100,'15b'!$H$7:$H$100,$A435,'15b'!$I$7:$I$100,1)+SUMIFS('15c'!$N$7:$N$100,'15c'!$H$7:$H$100,$A435,'15c'!$I$7:$I$100,1)+SUMIFS('15d'!$N$7:$N$100,'15d'!$H$7:$H$100,$A435,'15d'!$I$7:$I$100,1)+SUMIFS('15e'!$N$7:$N$100,'15e'!$H$7:$H$100,$A435,'15e'!$I$7:$I$100,1)+SUMIFS('15f'!$N$7:$N$100,'15f'!$H$7:$H$100,$A435,'15f'!$I$7:$I$100,1)+SUMIFS('15g'!$N$7:$N$100,'15g'!$H$7:$H$100,$A435,'15g'!$I$7:$I$100,1)+SUMIFS('15h'!$N$7:$N$100,'15h'!$H$7:$H$100,$A435,'15h'!$I$7:$I$100,1)+SUMIFS('15i'!$N$7:$N$100,'15i'!$H$7:$H$100,$A435,'15i'!$I$7:$I$100,1)+SUMIFS('15j'!$N$7:$N$100,'15j'!$H$7:$H$100,$A435,'15j'!$I$7:$I$100,1)+SUMIFS('15k'!$N$7:$N$100,'15k'!$H$7:$H$100,$A435,'15k'!$I$7:$I$100,1)+SUMIFS('15l'!$N$7:$N$100,'15l'!$H$7:$H$100,$A435,'15l'!$I$7:$I$100,1)+SUMIFS('15m'!$N$7:$N$100,'15m'!$H$7:$H$100,$A435,'15m'!$I$7:$I$100,1)+SUMIFS('15n'!$N$7:$N$100,'15n'!$H$7:$H$100,$A435,'15n'!$I$7:$I$100,1)+SUMIFS('16'!$N$7:$N$100,'16'!$H$7:$H$100,$A435,'16'!$I$7:$I$100,1)+SUMIFS('16a'!$N$7:$N$100,'16a'!$H$7:$H$100,$A435,'16a'!$I$7:$I$100,1)+SUMIFS('17'!$N$7:$N$100,'17'!$H$7:$H$100,$A435,'17'!$I$7:$I$100,1)+SUMIFS('17a'!$N$7:$N$100,'17a'!$H$7:$H$100,$A435,'17a'!$I$7:$I$100,1)+SUMIFS('18'!$N$7:$N$100,'18'!$H$7:$H$100,$A435,'18'!$I$7:$I$100,1)+SUMIFS('18a'!$N$7:$N$100,'18a'!$H$7:$H$100,$A435,'18a'!$I$7:$I$100,1)
+SUMIFS('19'!$N$7:$N$100,'19'!$H$7:$H$100,$A435,'19'!$I$7:$I$100,1)+SUMIFS('20'!$N$7:$N$100,'20'!$H$7:$H$100,$A435,'20'!$I$7:$I$100,1)+SUMIFS('20a'!$N$7:$N$100,'20a'!$H$7:$H$100,$A435,'20a'!$I$7:$I$100,1)+SUMIFS('21'!$N$7:$N$100,'21'!$H$7:$H$100,$A435,'21'!$I$7:$I$100,1)+SUMIFS('22'!$N$7:$N$100,'22'!$H$7:$H$100,$A435,'22'!$I$7:$I$100,1)+SUMIFS('22a'!$N$7:$N$100,'22a'!$H$7:$H$100,$A435,'22a'!$I$7:$I$100,1)+SUMIFS('22b'!$N$7:$N$100,'22b'!$H$7:$H$100,$A435,'22b'!$I$7:$I$100,1)+SUMIFS('23'!$N$7:$N$100,'23'!$H$7:$H$100,$A435,'23'!$I$7:$I$100,1)+SUMIFS('24'!$N$7:$N$100,'24'!$H$7:$H$100,$A435,'24'!$I$7:$I$100,1)+SUMIFS('24a'!$N$7:$N$100,'24a'!$H$7:$H$100,$A435,'24a'!$I$7:$I$100,1)+SUMIFS('24b'!$N$7:$N$100,'24b'!$H$7:$H$100,$A435,'24b'!$I$7:$I$100,1)+SUMIFS('24c'!$N$7:$N$100,'24c'!$H$7:$H$100,$A435,'24c'!$I$7:$I$100,1)+SUMIFS('24d'!$N$7:$N$100,'24d'!$H$7:$H$100,$A435,'24d'!$I$7:$I$100,1)+SUMIFS('24e'!$N$7:$N$100,'24e'!$H$7:$H$100,$A435,'24e'!$I$7:$I$100,1)+SUMIFS('24f'!$N$7:$N$100,'24f'!$H$7:$H$100,$A435,'24f'!$I$7:$I$100,1)+SUMIFS('24g'!$N$7:$N$100,'24g'!$H$7:$H$100,$A435,'24g'!$I$7:$I$100,1)+SUMIFS('24h'!$N$7:$N$100,'24h'!$H$7:$H$100,$A435,'24h'!$I$7:$I$100,1)+SUMIFS('24i'!$N$7:$N$100,'24i'!$H$7:$H$100,$A435,'24i'!$I$7:$I$100,1)+SUMIFS('25'!$N$7:$N$100,'25'!$H$7:$H$100,$A435,'25'!$I$7:$I$100,1)+SUMIFS('26'!$N$7:$N$100,'26'!$H$7:$H$100,$A435,'26'!$I$7:$I$100,1)+SUMIFS('26a'!$N$7:$N$100,'26a'!$H$7:$H$100,$A435,'26a'!$I$7:$I$100,1)+SUMIFS('27'!$N$7:$N$100,'27'!$H$7:$H$100,$A435,'27'!$I$7:$I$100,1)+SUMIFS('27a'!$N$7:$N$100,'27a'!$H$7:$H$100,$A435,'27a'!$I$7:$I$100,1)+SUMIFS('28'!$N$7:$N$100,'28'!$H$7:$H$100,$A435,'28'!$I$7:$I$100,1)+SUMIFS('29'!$N$7:$N$100,'29'!$H$7:$H$100,$A435,'29'!$I$7:$I$100,1)</f>
        <v>0</v>
      </c>
      <c r="D435" s="1315">
        <f>SUMIFS('12'!$N$7:$N$100,'12'!$H$7:$H$100,$A435,'12'!$I$7:$I$100,2)+SUMIFS('13'!$N$7:$N$100,'13'!$H$7:$H$100,$A435,'13'!$I$7:$I$100,2)+SUMIFS('14'!$N$7:$N$100,'14'!$H$7:$H$100,$A435,'14'!$I$7:$I$100,2)+SUMIFS('15'!$N$7:$N$100,'15'!$H$7:$H$100,$A435,'15'!$I$7:$I$100,2)+SUMIFS('15a'!$N$7:$N$100,'15a'!$H$7:$H$100,$A435,'15a'!$I$7:$I$100,2)+SUMIFS('15b'!$N$7:$N$100,'15b'!$H$7:$H$100,$A435,'15b'!$I$7:$I$100,2)+SUMIFS('15c'!$N$7:$N$100,'15c'!$H$7:$H$100,$A435,'15c'!$I$7:$I$100,2)+SUMIFS('15d'!$N$7:$N$100,'15d'!$H$7:$H$100,$A435,'15d'!$I$7:$I$100,2)+SUMIFS('15e'!$N$7:$N$100,'15e'!$H$7:$H$100,$A435,'15e'!$I$7:$I$100,2)+SUMIFS('15f'!$N$7:$N$100,'15f'!$H$7:$H$100,$A435,'15f'!$I$7:$I$100,2)+SUMIFS('15g'!$N$7:$N$100,'15g'!$H$7:$H$100,$A435,'15g'!$I$7:$I$100,2)+SUMIFS('15h'!$N$7:$N$100,'15h'!$H$7:$H$100,$A435,'15h'!$I$7:$I$100,2)+SUMIFS('15i'!$N$7:$N$100,'15i'!$H$7:$H$100,$A435,'15i'!$I$7:$I$100,2)+SUMIFS('15j'!$N$7:$N$100,'15j'!$H$7:$H$100,$A435,'15j'!$I$7:$I$100,2)+SUMIFS('15k'!$N$7:$N$100,'15k'!$H$7:$H$100,$A435,'15k'!$I$7:$I$100,2)+SUMIFS('15l'!$N$7:$N$100,'15l'!$H$7:$H$100,$A435,'15l'!$I$7:$I$100,2)+SUMIFS('15m'!$N$7:$N$100,'15m'!$H$7:$H$100,$A435,'15m'!$I$7:$I$100,2)+SUMIFS('15n'!$N$7:$N$100,'15n'!$H$7:$H$100,$A435,'15n'!$I$7:$I$100,2)+SUMIFS('16'!$N$7:$N$100,'16'!$H$7:$H$100,$A435,'16'!$I$7:$I$100,2)+SUMIFS('16a'!$N$7:$N$100,'16a'!$H$7:$H$100,$A435,'16a'!$I$7:$I$100,2)+SUMIFS('17'!$N$7:$N$100,'17'!$H$7:$H$100,$A435,'17'!$I$7:$I$100,2)+SUMIFS('17a'!$N$7:$N$100,'17a'!$H$7:$H$100,$A435,'17a'!$I$7:$I$100,2)+SUMIFS('18'!$N$7:$N$100,'18'!$H$7:$H$100,$A435,'18'!$I$7:$I$100,2)+SUMIFS('18a'!$N$7:$N$100,'18a'!$H$7:$H$100,$A435,'18a'!$I$7:$I$100,2)
+SUMIFS('19'!$N$7:$N$100,'19'!$H$7:$H$100,$A435,'19'!$I$7:$I$100,2)+SUMIFS('20'!$N$7:$N$100,'20'!$H$7:$H$100,$A435,'20'!$I$7:$I$100,2)+SUMIFS('20a'!$N$7:$N$100,'20a'!$H$7:$H$100,$A435,'20a'!$I$7:$I$100,2)+SUMIFS('21'!$N$7:$N$100,'21'!$H$7:$H$100,$A435,'21'!$I$7:$I$100,2)+SUMIFS('22'!$N$7:$N$100,'22'!$H$7:$H$100,$A435,'22'!$I$7:$I$100,2)+SUMIFS('22a'!$N$7:$N$100,'22a'!$H$7:$H$100,$A435,'22a'!$I$7:$I$100,2)+SUMIFS('22b'!$N$7:$N$100,'22b'!$H$7:$H$100,$A435,'22b'!$I$7:$I$100,2)+SUMIFS('23'!$N$7:$N$100,'23'!$H$7:$H$100,$A435,'23'!$I$7:$I$100,2)+SUMIFS('24'!$N$7:$N$100,'24'!$H$7:$H$100,$A435,'24'!$I$7:$I$100,2)+SUMIFS('24a'!$N$7:$N$100,'24a'!$H$7:$H$100,$A435,'24a'!$I$7:$I$100,2)+SUMIFS('24b'!$N$7:$N$100,'24b'!$H$7:$H$100,$A435,'24b'!$I$7:$I$100,2)+SUMIFS('24c'!$N$7:$N$100,'24c'!$H$7:$H$100,$A435,'24c'!$I$7:$I$100,2)+SUMIFS('24d'!$N$7:$N$100,'24d'!$H$7:$H$100,$A435,'24d'!$I$7:$I$100,2)+SUMIFS('24e'!$N$7:$N$100,'24e'!$H$7:$H$100,$A435,'24e'!$I$7:$I$100,2)+SUMIFS('24f'!$N$7:$N$100,'24f'!$H$7:$H$100,$A435,'24f'!$I$7:$I$100,2)+SUMIFS('24g'!$N$7:$N$100,'24g'!$H$7:$H$100,$A435,'24g'!$I$7:$I$100,2)+SUMIFS('24h'!$N$7:$N$100,'24h'!$H$7:$H$100,$A435,'24h'!$I$7:$I$100,2)+SUMIFS('24i'!$N$7:$N$100,'24i'!$H$7:$H$100,$A435,'24i'!$I$7:$I$100,2)+SUMIFS('25'!$N$7:$N$100,'25'!$H$7:$H$100,$A435,'25'!$I$7:$I$100,2)+SUMIFS('26'!$N$7:$N$100,'26'!$H$7:$H$100,$A435,'26'!$I$7:$I$100,2)+SUMIFS('26a'!$N$7:$N$100,'26a'!$H$7:$H$100,$A435,'26a'!$I$7:$I$100,2)+SUMIFS('27'!$N$7:$N$100,'27'!$H$7:$H$100,$A435,'27'!$I$7:$I$100,2)+SUMIFS('27a'!$N$7:$N$100,'27a'!$H$7:$H$100,$A435,'27a'!$I$7:$I$100,2)+SUMIFS('28'!$N$7:$N$100,'28'!$H$7:$H$100,$A435,'28'!$I$7:$I$100,2)+SUMIFS('29'!$N$7:$N$100,'29'!$H$7:$H$100,$A435,'29'!$I$7:$I$100,2)</f>
        <v>0</v>
      </c>
      <c r="E435" s="1315">
        <f>SUMIFS('12'!$N$7:$N$100,'12'!$H$7:$H$100,$A435,'12'!$I$7:$I$100,"")+SUMIFS('13'!$N$7:$N$100,'13'!$H$7:$H$100,$A435,'13'!$I$7:$I$100,"")+SUMIFS('14'!$N$7:$N$100,'14'!$H$7:$H$100,$A435,'14'!$I$7:$I$100,"")+SUMIFS('15'!$N$7:$N$100,'15'!$H$7:$H$100,$A435,'15'!$I$7:$I$100,"")+SUMIFS('15a'!$N$7:$N$100,'15a'!$H$7:$H$100,$A435,'15a'!$I$7:$I$100,"")+SUMIFS('15b'!$N$7:$N$100,'15b'!$H$7:$H$100,$A435,'15b'!$I$7:$I$100,"")+SUMIFS('15c'!$N$7:$N$100,'15c'!$H$7:$H$100,$A435,'15c'!$I$7:$I$100,"")+SUMIFS('15d'!$N$7:$N$100,'15d'!$H$7:$H$100,$A435,'15d'!$I$7:$I$100,"")+SUMIFS('15e'!$N$7:$N$100,'15e'!$H$7:$H$100,$A435,'15e'!$I$7:$I$100,"")+SUMIFS('15f'!$N$7:$N$100,'15f'!$H$7:$H$100,$A435,'15f'!$I$7:$I$100,"")+SUMIFS('15g'!$N$7:$N$100,'15g'!$H$7:$H$100,$A435,'15g'!$I$7:$I$100,"")+SUMIFS('15h'!$N$7:$N$100,'15h'!$H$7:$H$100,$A435,'15h'!$I$7:$I$100,"")+SUMIFS('15i'!$N$7:$N$100,'15i'!$H$7:$H$100,$A435,'15i'!$I$7:$I$100,"")+SUMIFS('15j'!$N$7:$N$100,'15j'!$H$7:$H$100,$A435,'15j'!$I$7:$I$100,"")+SUMIFS('15k'!$N$7:$N$100,'15k'!$H$7:$H$100,$A435,'15k'!$I$7:$I$100,"")+SUMIFS('15l'!$N$7:$N$100,'15l'!$H$7:$H$100,$A435,'15l'!$I$7:$I$100,"")+SUMIFS('15m'!$N$7:$N$100,'15m'!$H$7:$H$100,$A435,'15m'!$I$7:$I$100,"")+SUMIFS('15n'!$N$7:$N$100,'15n'!$H$7:$H$100,$A435,'15n'!$I$7:$I$100,"")+SUMIFS('16'!$N$7:$N$100,'16'!$H$7:$H$100,$A435,'16'!$I$7:$I$100,"")+SUMIFS('16a'!$N$7:$N$100,'16a'!$H$7:$H$100,$A435,'16a'!$I$7:$I$100,"")+SUMIFS('17'!$N$7:$N$100,'17'!$H$7:$H$100,$A435,'17'!$I$7:$I$100,"")+SUMIFS('17a'!$N$7:$N$100,'17a'!$H$7:$H$100,$A435,'17a'!$I$7:$I$100,"")+SUMIFS('18'!$N$7:$N$100,'18'!$H$7:$H$100,$A435,'18'!$I$7:$I$100,"")+SUMIFS('18a'!$N$7:$N$100,'18a'!$H$7:$H$100,$A435,'18a'!$I$7:$I$100,"")
+SUMIFS('19'!$N$7:$N$100,'19'!$H$7:$H$100,$A435,'19'!$I$7:$I$100,"")+SUMIFS('20'!$N$7:$N$100,'20'!$H$7:$H$100,$A435,'20'!$I$7:$I$100,"")+SUMIFS('20a'!$N$7:$N$100,'20a'!$H$7:$H$100,$A435,'20a'!$I$7:$I$100,"")+SUMIFS('21'!$N$7:$N$100,'21'!$H$7:$H$100,$A435,'21'!$I$7:$I$100,"")+SUMIFS('22'!$N$7:$N$100,'22'!$H$7:$H$100,$A435,'22'!$I$7:$I$100,"")+SUMIFS('22a'!$N$7:$N$100,'22a'!$H$7:$H$100,$A435,'22a'!$I$7:$I$100,"")+SUMIFS('22b'!$N$7:$N$100,'22b'!$H$7:$H$100,$A435,'22b'!$I$7:$I$100,"")+SUMIFS('23'!$N$7:$N$100,'23'!$H$7:$H$100,$A435,'23'!$I$7:$I$100,"")+SUMIFS('24'!$N$7:$N$100,'24'!$H$7:$H$100,$A435,'24'!$I$7:$I$100,"")+SUMIFS('24a'!$N$7:$N$100,'24a'!$H$7:$H$100,$A435,'24a'!$I$7:$I$100,"")+SUMIFS('24b'!$N$7:$N$100,'24b'!$H$7:$H$100,$A435,'24b'!$I$7:$I$100,"")+SUMIFS('24c'!$N$7:$N$100,'24c'!$H$7:$H$100,$A435,'24c'!$I$7:$I$100,"")+SUMIFS('24d'!$N$7:$N$100,'24d'!$H$7:$H$100,$A435,'24d'!$I$7:$I$100,"")+SUMIFS('24e'!$N$7:$N$100,'24e'!$H$7:$H$100,$A435,'24e'!$I$7:$I$100,"")+SUMIFS('24f'!$N$7:$N$100,'24f'!$H$7:$H$100,$A435,'24f'!$I$7:$I$100,"")+SUMIFS('24g'!$N$7:$N$100,'24g'!$H$7:$H$100,$A435,'24g'!$I$7:$I$100,"")+SUMIFS('24h'!$N$7:$N$100,'24h'!$H$7:$H$100,$A435,'24h'!$I$7:$I$100,"")+SUMIFS('24i'!$N$7:$N$100,'24i'!$H$7:$H$100,$A435,'24i'!$I$7:$I$100,"")+SUMIFS('25'!$N$7:$N$100,'25'!$H$7:$H$100,$A435,'25'!$I$7:$I$100,"")+SUMIFS('26'!$N$7:$N$100,'26'!$H$7:$H$100,$A435,'26'!$I$7:$I$100,"")+SUMIFS('26a'!$N$7:$N$100,'26a'!$H$7:$H$100,$A435,'26a'!$I$7:$I$100,"")+SUMIFS('27'!$N$7:$N$100,'27'!$H$7:$H$100,$A435,'27'!$I$7:$I$100,"")+SUMIFS('27a'!$N$7:$N$100,'27a'!$H$7:$H$100,$A435,'27a'!$I$7:$I$100,"")+SUMIFS('28'!$N$7:$N$100,'28'!$H$7:$H$100,$A435,'28'!$I$7:$I$100,"")+SUMIFS('29'!$N$7:$N$100,'29'!$H$7:$H$100,$A435,'29'!$I$7:$I$100,"")</f>
        <v>0</v>
      </c>
      <c r="F435" s="1296">
        <f t="shared" si="76"/>
        <v>0</v>
      </c>
      <c r="G435" s="1295">
        <f>SUMIFS('12'!$J$7:$J$100,'12'!$H$7:$H$100,$A435,'12'!$I$7:$I$100,1)+SUMIFS('13'!$J$7:$J$100,'13'!$H$7:$H$100,$A435,'13'!$I$7:$I$100,1)+SUMIFS('14'!$J$7:$J$100,'14'!$H$7:$H$100,$A435,'14'!$I$7:$I$100,1)+SUMIFS('15'!$J$7:$J$100,'15'!$H$7:$H$100,$A435,'15'!$I$7:$I$100,1)+SUMIFS('15a'!$J$7:$J$100,'15a'!$H$7:$H$100,$A435,'15a'!$I$7:$I$100,1)+SUMIFS('15b'!$J$7:$J$100,'15b'!$H$7:$H$100,$A435,'15b'!$I$7:$I$100,1)+SUMIFS('15c'!$J$7:$J$100,'15c'!$H$7:$H$100,$A435,'15c'!$I$7:$I$100,1)+SUMIFS('15d'!$J$7:$J$100,'15d'!$H$7:$H$100,$A435,'15d'!$I$7:$I$100,1)+SUMIFS('15e'!$J$7:$J$100,'15e'!$H$7:$H$100,$A435,'15e'!$I$7:$I$100,1)+SUMIFS('15f'!$J$7:$J$100,'15f'!$H$7:$H$100,$A435,'15f'!$I$7:$I$100,1)+SUMIFS('15g'!$J$7:$J$100,'15g'!$H$7:$H$100,$A435,'15g'!$I$7:$I$100,1)+SUMIFS('15h'!$J$7:$J$100,'15h'!$H$7:$H$100,$A435,'15h'!$I$7:$I$100,1)+SUMIFS('15i'!$J$7:$J$100,'15i'!$H$7:$H$100,$A435,'15i'!$I$7:$I$100,1)+SUMIFS('15j'!$J$7:$J$100,'15j'!$H$7:$H$100,$A435,'15j'!$I$7:$I$100,1)+SUMIFS('15k'!$J$7:$J$100,'15k'!$H$7:$H$100,$A435,'15k'!$I$7:$I$100,1)+SUMIFS('15l'!$J$7:$J$100,'15l'!$H$7:$H$100,$A435,'15l'!$I$7:$I$100,1)+SUMIFS('15m'!$J$7:$J$100,'15m'!$H$7:$H$100,$A435,'15m'!$I$7:$I$100,1)+SUMIFS('15n'!$J$7:$J$100,'15n'!$H$7:$H$100,$A435,'15n'!$I$7:$I$100,1)+SUMIFS('16'!$J$7:$J$100,'16'!$H$7:$H$100,$A435,'16'!$I$7:$I$100,1)+SUMIFS('16a'!$J$7:$J$100,'16a'!$H$7:$H$100,$A435,'16a'!$I$7:$I$100,1)+SUMIFS('17'!$J$7:$J$100,'17'!$H$7:$H$100,$A435,'17'!$I$7:$I$100,1)+SUMIFS('17a'!$J$7:$J$100,'17a'!$H$7:$H$100,$A435,'17a'!$I$7:$I$100,1)+SUMIFS('18'!$J$7:$J$100,'18'!$H$7:$H$100,$A435,'18'!$I$7:$I$100,1)+SUMIFS('18a'!$J$7:$J$100,'18a'!$H$7:$H$100,$A435,'18a'!$I$7:$I$100,1)
+SUMIFS('19'!$J$7:$J$100,'19'!$H$7:$H$100,$A435,'19'!$I$7:$I$100,1)+SUMIFS('20'!$J$7:$J$100,'20'!$H$7:$H$100,$A435,'20'!$I$7:$I$100,1)+SUMIFS('20a'!$J$7:$J$100,'20a'!$H$7:$H$100,$A435,'20a'!$I$7:$I$100,1)+SUMIFS('21'!$J$7:$J$100,'21'!$H$7:$H$100,$A435,'21'!$I$7:$I$100,1)+SUMIFS('22'!$J$7:$J$100,'22'!$H$7:$H$100,$A435,'22'!$I$7:$I$100,1)+SUMIFS('22a'!$J$7:$J$100,'22a'!$H$7:$H$100,$A435,'22a'!$I$7:$I$100,1)+SUMIFS('22b'!$J$7:$J$100,'22b'!$H$7:$H$100,$A435,'22b'!$I$7:$I$100,1)+SUMIFS('23'!$J$7:$J$100,'23'!$H$7:$H$100,$A435,'23'!$I$7:$I$100,1)+SUMIFS('24'!$J$7:$J$100,'24'!$H$7:$H$100,$A435,'24'!$I$7:$I$100,1)+SUMIFS('24a'!$J$7:$J$100,'24a'!$H$7:$H$100,$A435,'24a'!$I$7:$I$100,1)+SUMIFS('24b'!$J$7:$J$100,'24b'!$H$7:$H$100,$A435,'24b'!$I$7:$I$100,1)+SUMIFS('24c'!$J$7:$J$100,'24c'!$H$7:$H$100,$A435,'24c'!$I$7:$I$100,1)+SUMIFS('24d'!$J$7:$J$100,'24d'!$H$7:$H$100,$A435,'24d'!$I$7:$I$100,1)+SUMIFS('24e'!$J$7:$J$100,'24e'!$H$7:$H$100,$A435,'24e'!$I$7:$I$100,1)+SUMIFS('24f'!$J$7:$J$100,'24f'!$H$7:$H$100,$A435,'24f'!$I$7:$I$100,1)+SUMIFS('24g'!$J$7:$J$100,'24g'!$H$7:$H$100,$A435,'24g'!$I$7:$I$100,1)+SUMIFS('24h'!$J$7:$J$100,'24h'!$H$7:$H$100,$A435,'24h'!$I$7:$I$100,1)+SUMIFS('24i'!$J$7:$J$100,'24i'!$H$7:$H$100,$A435,'24i'!$I$7:$I$100,1)+SUMIFS('25'!$J$7:$J$100,'25'!$H$7:$H$100,$A435,'25'!$I$7:$I$100,1)+SUMIFS('26'!$J$7:$J$100,'26'!$H$7:$H$100,$A435,'26'!$I$7:$I$100,1)+SUMIFS('26a'!$J$7:$J$100,'26a'!$H$7:$H$100,$A435,'26a'!$I$7:$I$100,1)+SUMIFS('27'!$J$7:$J$100,'27'!$H$7:$H$100,$A435,'27'!$I$7:$I$100,1)+SUMIFS('27a'!$J$7:$J$100,'27a'!$H$7:$H$100,$A435,'27a'!$I$7:$I$100,1)+SUMIFS('28'!$J$7:$J$100,'28'!$H$7:$H$100,$A435,'28'!$I$7:$I$100,1)+SUMIFS('29'!$J$7:$J$100,'29'!$H$7:$H$100,$A435,'29'!$I$7:$I$100,1)</f>
        <v>0</v>
      </c>
      <c r="H435" s="1315">
        <f>SUMIFS('12'!$J$7:$J$100,'12'!$H$7:$H$100,$A435,'12'!$I$7:$I$100,2)+SUMIFS('13'!$J$7:$J$100,'13'!$H$7:$H$100,$A435,'13'!$I$7:$I$100,2)+SUMIFS('14'!$J$7:$J$100,'14'!$H$7:$H$100,$A435,'14'!$I$7:$I$100,2)+SUMIFS('15'!$J$7:$J$100,'15'!$H$7:$H$100,$A435,'15'!$I$7:$I$100,2)+SUMIFS('15a'!$J$7:$J$100,'15a'!$H$7:$H$100,$A435,'15a'!$I$7:$I$100,2)+SUMIFS('15b'!$J$7:$J$100,'15b'!$H$7:$H$100,$A435,'15b'!$I$7:$I$100,2)+SUMIFS('15c'!$J$7:$J$100,'15c'!$H$7:$H$100,$A435,'15c'!$I$7:$I$100,2)+SUMIFS('15d'!$J$7:$J$100,'15d'!$H$7:$H$100,$A435,'15d'!$I$7:$I$100,2)+SUMIFS('15e'!$J$7:$J$100,'15e'!$H$7:$H$100,$A435,'15e'!$I$7:$I$100,2)+SUMIFS('15f'!$J$7:$J$100,'15f'!$H$7:$H$100,$A435,'15f'!$I$7:$I$100,2)+SUMIFS('15g'!$J$7:$J$100,'15g'!$H$7:$H$100,$A435,'15g'!$I$7:$I$100,2)+SUMIFS('15h'!$J$7:$J$100,'15h'!$H$7:$H$100,$A435,'15h'!$I$7:$I$100,2)+SUMIFS('15i'!$J$7:$J$100,'15i'!$H$7:$H$100,$A435,'15i'!$I$7:$I$100,2)+SUMIFS('15j'!$J$7:$J$100,'15j'!$H$7:$H$100,$A435,'15j'!$I$7:$I$100,2)+SUMIFS('15k'!$J$7:$J$100,'15k'!$H$7:$H$100,$A435,'15k'!$I$7:$I$100,2)+SUMIFS('15l'!$J$7:$J$100,'15l'!$H$7:$H$100,$A435,'15l'!$I$7:$I$100,2)+SUMIFS('15m'!$J$7:$J$100,'15m'!$H$7:$H$100,$A435,'15m'!$I$7:$I$100,2)+SUMIFS('15n'!$J$7:$J$100,'15n'!$H$7:$H$100,$A435,'15n'!$I$7:$I$100,2)+SUMIFS('16'!$J$7:$J$100,'16'!$H$7:$H$100,$A435,'16'!$I$7:$I$100,2)+SUMIFS('16a'!$J$7:$J$100,'16a'!$H$7:$H$100,$A435,'16a'!$I$7:$I$100,2)+SUMIFS('17'!$J$7:$J$100,'17'!$H$7:$H$100,$A435,'17'!$I$7:$I$100,2)+SUMIFS('17a'!$J$7:$J$100,'17a'!$H$7:$H$100,$A435,'17a'!$I$7:$I$100,2)+SUMIFS('18'!$J$7:$J$100,'18'!$H$7:$H$100,$A435,'18'!$I$7:$I$100,2)+SUMIFS('18a'!$J$7:$J$100,'18a'!$H$7:$H$100,$A435,'18a'!$I$7:$I$100,2)
+SUMIFS('19'!$J$7:$J$100,'19'!$H$7:$H$100,$A435,'19'!$I$7:$I$100,2)+SUMIFS('20'!$J$7:$J$100,'20'!$H$7:$H$100,$A435,'20'!$I$7:$I$100,2)+SUMIFS('20a'!$J$7:$J$100,'20a'!$H$7:$H$100,$A435,'20a'!$I$7:$I$100,2)+SUMIFS('21'!$J$7:$J$100,'21'!$H$7:$H$100,$A435,'21'!$I$7:$I$100,2)+SUMIFS('22'!$J$7:$J$100,'22'!$H$7:$H$100,$A435,'22'!$I$7:$I$100,2)+SUMIFS('22a'!$J$7:$J$100,'22a'!$H$7:$H$100,$A435,'22a'!$I$7:$I$100,2)+SUMIFS('22b'!$J$7:$J$100,'22b'!$H$7:$H$100,$A435,'22b'!$I$7:$I$100,2)+SUMIFS('23'!$J$7:$J$100,'23'!$H$7:$H$100,$A435,'23'!$I$7:$I$100,2)+SUMIFS('24'!$J$7:$J$100,'24'!$H$7:$H$100,$A435,'24'!$I$7:$I$100,2)+SUMIFS('24a'!$J$7:$J$100,'24a'!$H$7:$H$100,$A435,'24a'!$I$7:$I$100,2)+SUMIFS('24b'!$J$7:$J$100,'24b'!$H$7:$H$100,$A435,'24b'!$I$7:$I$100,2)+SUMIFS('24c'!$J$7:$J$100,'24c'!$H$7:$H$100,$A435,'24c'!$I$7:$I$100,2)+SUMIFS('24d'!$J$7:$J$100,'24d'!$H$7:$H$100,$A435,'24d'!$I$7:$I$100,2)+SUMIFS('24e'!$J$7:$J$100,'24e'!$H$7:$H$100,$A435,'24e'!$I$7:$I$100,2)+SUMIFS('24f'!$J$7:$J$100,'24f'!$H$7:$H$100,$A435,'24f'!$I$7:$I$100,2)+SUMIFS('24g'!$J$7:$J$100,'24g'!$H$7:$H$100,$A435,'24g'!$I$7:$I$100,2)+SUMIFS('24h'!$J$7:$J$100,'24h'!$H$7:$H$100,$A435,'24h'!$I$7:$I$100,2)+SUMIFS('24i'!$J$7:$J$100,'24i'!$H$7:$H$100,$A435,'24i'!$I$7:$I$100,2)+SUMIFS('25'!$J$7:$J$100,'25'!$H$7:$H$100,$A435,'25'!$I$7:$I$100,2)+SUMIFS('26'!$J$7:$J$100,'26'!$H$7:$H$100,$A435,'26'!$I$7:$I$100,2)+SUMIFS('26a'!$J$7:$J$100,'26a'!$H$7:$H$100,$A435,'26a'!$I$7:$I$100,2)+SUMIFS('27'!$J$7:$J$100,'27'!$H$7:$H$100,$A435,'27'!$I$7:$I$100,2)+SUMIFS('27a'!$J$7:$J$100,'27a'!$H$7:$H$100,$A435,'27a'!$I$7:$I$100,2)+SUMIFS('28'!$J$7:$J$100,'28'!$H$7:$H$100,$A435,'28'!$I$7:$I$100,2)+SUMIFS('29'!$J$7:$J$100,'29'!$H$7:$H$100,$A435,'29'!$I$7:$I$100,2)</f>
        <v>0</v>
      </c>
      <c r="I435" s="1315">
        <f>SUMIFS('12'!$J$7:$J$100,'12'!$H$7:$H$100,$A435,'12'!$I$7:$I$100,"")+SUMIFS('13'!$J$7:$J$100,'13'!$H$7:$H$100,$A435,'13'!$I$7:$I$100,"")+SUMIFS('14'!$J$7:$J$100,'14'!$H$7:$H$100,$A435,'14'!$I$7:$I$100,"")+SUMIFS('15'!$J$7:$J$100,'15'!$H$7:$H$100,$A435,'15'!$I$7:$I$100,"")+SUMIFS('15a'!$J$7:$J$100,'15a'!$H$7:$H$100,$A435,'15a'!$I$7:$I$100,"")+SUMIFS('15b'!$J$7:$J$100,'15b'!$H$7:$H$100,$A435,'15b'!$I$7:$I$100,"")+SUMIFS('15c'!$J$7:$J$100,'15c'!$H$7:$H$100,$A435,'15c'!$I$7:$I$100,"")+SUMIFS('15d'!$J$7:$J$100,'15d'!$H$7:$H$100,$A435,'15d'!$I$7:$I$100,"")+SUMIFS('15e'!$J$7:$J$100,'15e'!$H$7:$H$100,$A435,'15e'!$I$7:$I$100,"")+SUMIFS('15f'!$J$7:$J$100,'15f'!$H$7:$H$100,$A435,'15f'!$I$7:$I$100,"")+SUMIFS('15g'!$J$7:$J$100,'15g'!$H$7:$H$100,$A435,'15g'!$I$7:$I$100,"")+SUMIFS('15h'!$J$7:$J$100,'15h'!$H$7:$H$100,$A435,'15h'!$I$7:$I$100,"")+SUMIFS('15i'!$J$7:$J$100,'15i'!$H$7:$H$100,$A435,'15i'!$I$7:$I$100,"")+SUMIFS('15j'!$J$7:$J$100,'15j'!$H$7:$H$100,$A435,'15j'!$I$7:$I$100,"")+SUMIFS('15k'!$J$7:$J$100,'15k'!$H$7:$H$100,$A435,'15k'!$I$7:$I$100,"")+SUMIFS('15l'!$J$7:$J$100,'15l'!$H$7:$H$100,$A435,'15l'!$I$7:$I$100,"")+SUMIFS('15m'!$J$7:$J$100,'15m'!$H$7:$H$100,$A435,'15m'!$I$7:$I$100,"")+SUMIFS('15n'!$J$7:$J$100,'15n'!$H$7:$H$100,$A435,'15n'!$I$7:$I$100,"")+SUMIFS('16'!$J$7:$J$100,'16'!$H$7:$H$100,$A435,'16'!$I$7:$I$100,"")+SUMIFS('16a'!$J$7:$J$100,'16a'!$H$7:$H$100,$A435,'16a'!$I$7:$I$100,"")+SUMIFS('17'!$J$7:$J$100,'17'!$H$7:$H$100,$A435,'17'!$I$7:$I$100,"")+SUMIFS('17a'!$J$7:$J$100,'17a'!$H$7:$H$100,$A435,'17a'!$I$7:$I$100,"")+SUMIFS('18'!$J$7:$J$100,'18'!$H$7:$H$100,$A435,'18'!$I$7:$I$100,"")+SUMIFS('18a'!$J$7:$J$100,'18a'!$H$7:$H$100,$A435,'18a'!$I$7:$I$100,"")
+SUMIFS('19'!$J$7:$J$100,'19'!$H$7:$H$100,$A435,'19'!$I$7:$I$100,"")+SUMIFS('20'!$J$7:$J$100,'20'!$H$7:$H$100,$A435,'20'!$I$7:$I$100,"")+SUMIFS('20a'!$J$7:$J$100,'20a'!$H$7:$H$100,$A435,'20a'!$I$7:$I$100,"")+SUMIFS('21'!$J$7:$J$100,'21'!$H$7:$H$100,$A435,'21'!$I$7:$I$100,"")+SUMIFS('22'!$J$7:$J$100,'22'!$H$7:$H$100,$A435,'22'!$I$7:$I$100,"")+SUMIFS('22a'!$J$7:$J$100,'22a'!$H$7:$H$100,$A435,'22a'!$I$7:$I$100,"")+SUMIFS('22b'!$J$7:$J$100,'22b'!$H$7:$H$100,$A435,'22b'!$I$7:$I$100,"")+SUMIFS('23'!$J$7:$J$100,'23'!$H$7:$H$100,$A435,'23'!$I$7:$I$100,"")+SUMIFS('24'!$J$7:$J$100,'24'!$H$7:$H$100,$A435,'24'!$I$7:$I$100,"")+SUMIFS('24a'!$J$7:$J$100,'24a'!$H$7:$H$100,$A435,'24a'!$I$7:$I$100,"")+SUMIFS('24b'!$J$7:$J$100,'24b'!$H$7:$H$100,$A435,'24b'!$I$7:$I$100,"")+SUMIFS('24c'!$J$7:$J$100,'24c'!$H$7:$H$100,$A435,'24c'!$I$7:$I$100,"")+SUMIFS('24d'!$J$7:$J$100,'24d'!$H$7:$H$100,$A435,'24d'!$I$7:$I$100,"")+SUMIFS('24e'!$J$7:$J$100,'24e'!$H$7:$H$100,$A435,'24e'!$I$7:$I$100,"")+SUMIFS('24f'!$J$7:$J$100,'24f'!$H$7:$H$100,$A435,'24f'!$I$7:$I$100,"")+SUMIFS('24g'!$J$7:$J$100,'24g'!$H$7:$H$100,$A435,'24g'!$I$7:$I$100,"")+SUMIFS('24h'!$J$7:$J$100,'24h'!$H$7:$H$100,$A435,'24h'!$I$7:$I$100,"")+SUMIFS('24i'!$J$7:$J$100,'24i'!$H$7:$H$100,$A435,'24i'!$I$7:$I$100,"")+SUMIFS('25'!$J$7:$J$100,'25'!$H$7:$H$100,$A435,'25'!$I$7:$I$100,"")+SUMIFS('26'!$J$7:$J$100,'26'!$H$7:$H$100,$A435,'26'!$I$7:$I$100,"")+SUMIFS('26a'!$J$7:$J$100,'26a'!$H$7:$H$100,$A435,'26a'!$I$7:$I$100,"")+SUMIFS('27'!$J$7:$J$100,'27'!$H$7:$H$100,$A435,'27'!$I$7:$I$100,"")+SUMIFS('27a'!$J$7:$J$100,'27a'!$H$7:$H$100,$A435,'27a'!$I$7:$I$100,"")+SUMIFS('28'!$J$7:$J$100,'28'!$H$7:$H$100,$A435,'28'!$I$7:$I$100,"")+SUMIFS('29'!$J$7:$J$100,'29'!$H$7:$H$100,$A435,'29'!$I$7:$I$100,"")</f>
        <v>0</v>
      </c>
      <c r="J435" s="1296">
        <f t="shared" si="77"/>
        <v>0</v>
      </c>
      <c r="K435"/>
      <c r="L435"/>
      <c r="M435"/>
      <c r="N435"/>
      <c r="O435"/>
      <c r="P435"/>
      <c r="Q435"/>
      <c r="R435"/>
      <c r="S435" s="1307">
        <f t="shared" si="71"/>
        <v>0</v>
      </c>
      <c r="T435"/>
    </row>
    <row r="436" spans="1:20" x14ac:dyDescent="0.2">
      <c r="A436" t="s">
        <v>5102</v>
      </c>
      <c r="B436" t="s">
        <v>5563</v>
      </c>
      <c r="C436" s="1295">
        <f>SUMIFS('12'!$N$7:$N$100,'12'!$H$7:$H$100,$A436,'12'!$I$7:$I$100,1)+SUMIFS('13'!$N$7:$N$100,'13'!$H$7:$H$100,$A436,'13'!$I$7:$I$100,1)+SUMIFS('14'!$N$7:$N$100,'14'!$H$7:$H$100,$A436,'14'!$I$7:$I$100,1)+SUMIFS('15'!$N$7:$N$100,'15'!$H$7:$H$100,$A436,'15'!$I$7:$I$100,1)+SUMIFS('15a'!$N$7:$N$100,'15a'!$H$7:$H$100,$A436,'15a'!$I$7:$I$100,1)+SUMIFS('15b'!$N$7:$N$100,'15b'!$H$7:$H$100,$A436,'15b'!$I$7:$I$100,1)+SUMIFS('15c'!$N$7:$N$100,'15c'!$H$7:$H$100,$A436,'15c'!$I$7:$I$100,1)+SUMIFS('15d'!$N$7:$N$100,'15d'!$H$7:$H$100,$A436,'15d'!$I$7:$I$100,1)+SUMIFS('15e'!$N$7:$N$100,'15e'!$H$7:$H$100,$A436,'15e'!$I$7:$I$100,1)+SUMIFS('15f'!$N$7:$N$100,'15f'!$H$7:$H$100,$A436,'15f'!$I$7:$I$100,1)+SUMIFS('15g'!$N$7:$N$100,'15g'!$H$7:$H$100,$A436,'15g'!$I$7:$I$100,1)+SUMIFS('15h'!$N$7:$N$100,'15h'!$H$7:$H$100,$A436,'15h'!$I$7:$I$100,1)+SUMIFS('15i'!$N$7:$N$100,'15i'!$H$7:$H$100,$A436,'15i'!$I$7:$I$100,1)+SUMIFS('15j'!$N$7:$N$100,'15j'!$H$7:$H$100,$A436,'15j'!$I$7:$I$100,1)+SUMIFS('15k'!$N$7:$N$100,'15k'!$H$7:$H$100,$A436,'15k'!$I$7:$I$100,1)+SUMIFS('15l'!$N$7:$N$100,'15l'!$H$7:$H$100,$A436,'15l'!$I$7:$I$100,1)+SUMIFS('15m'!$N$7:$N$100,'15m'!$H$7:$H$100,$A436,'15m'!$I$7:$I$100,1)+SUMIFS('15n'!$N$7:$N$100,'15n'!$H$7:$H$100,$A436,'15n'!$I$7:$I$100,1)+SUMIFS('16'!$N$7:$N$100,'16'!$H$7:$H$100,$A436,'16'!$I$7:$I$100,1)+SUMIFS('16a'!$N$7:$N$100,'16a'!$H$7:$H$100,$A436,'16a'!$I$7:$I$100,1)+SUMIFS('17'!$N$7:$N$100,'17'!$H$7:$H$100,$A436,'17'!$I$7:$I$100,1)+SUMIFS('17a'!$N$7:$N$100,'17a'!$H$7:$H$100,$A436,'17a'!$I$7:$I$100,1)+SUMIFS('18'!$N$7:$N$100,'18'!$H$7:$H$100,$A436,'18'!$I$7:$I$100,1)+SUMIFS('18a'!$N$7:$N$100,'18a'!$H$7:$H$100,$A436,'18a'!$I$7:$I$100,1)
+SUMIFS('19'!$N$7:$N$100,'19'!$H$7:$H$100,$A436,'19'!$I$7:$I$100,1)+SUMIFS('20'!$N$7:$N$100,'20'!$H$7:$H$100,$A436,'20'!$I$7:$I$100,1)+SUMIFS('20a'!$N$7:$N$100,'20a'!$H$7:$H$100,$A436,'20a'!$I$7:$I$100,1)+SUMIFS('21'!$N$7:$N$100,'21'!$H$7:$H$100,$A436,'21'!$I$7:$I$100,1)+SUMIFS('22'!$N$7:$N$100,'22'!$H$7:$H$100,$A436,'22'!$I$7:$I$100,1)+SUMIFS('22a'!$N$7:$N$100,'22a'!$H$7:$H$100,$A436,'22a'!$I$7:$I$100,1)+SUMIFS('22b'!$N$7:$N$100,'22b'!$H$7:$H$100,$A436,'22b'!$I$7:$I$100,1)+SUMIFS('23'!$N$7:$N$100,'23'!$H$7:$H$100,$A436,'23'!$I$7:$I$100,1)+SUMIFS('24'!$N$7:$N$100,'24'!$H$7:$H$100,$A436,'24'!$I$7:$I$100,1)+SUMIFS('24a'!$N$7:$N$100,'24a'!$H$7:$H$100,$A436,'24a'!$I$7:$I$100,1)+SUMIFS('24b'!$N$7:$N$100,'24b'!$H$7:$H$100,$A436,'24b'!$I$7:$I$100,1)+SUMIFS('24c'!$N$7:$N$100,'24c'!$H$7:$H$100,$A436,'24c'!$I$7:$I$100,1)+SUMIFS('24d'!$N$7:$N$100,'24d'!$H$7:$H$100,$A436,'24d'!$I$7:$I$100,1)+SUMIFS('24e'!$N$7:$N$100,'24e'!$H$7:$H$100,$A436,'24e'!$I$7:$I$100,1)+SUMIFS('24f'!$N$7:$N$100,'24f'!$H$7:$H$100,$A436,'24f'!$I$7:$I$100,1)+SUMIFS('24g'!$N$7:$N$100,'24g'!$H$7:$H$100,$A436,'24g'!$I$7:$I$100,1)+SUMIFS('24h'!$N$7:$N$100,'24h'!$H$7:$H$100,$A436,'24h'!$I$7:$I$100,1)+SUMIFS('24i'!$N$7:$N$100,'24i'!$H$7:$H$100,$A436,'24i'!$I$7:$I$100,1)+SUMIFS('25'!$N$7:$N$100,'25'!$H$7:$H$100,$A436,'25'!$I$7:$I$100,1)+SUMIFS('26'!$N$7:$N$100,'26'!$H$7:$H$100,$A436,'26'!$I$7:$I$100,1)+SUMIFS('26a'!$N$7:$N$100,'26a'!$H$7:$H$100,$A436,'26a'!$I$7:$I$100,1)+SUMIFS('27'!$N$7:$N$100,'27'!$H$7:$H$100,$A436,'27'!$I$7:$I$100,1)+SUMIFS('27a'!$N$7:$N$100,'27a'!$H$7:$H$100,$A436,'27a'!$I$7:$I$100,1)+SUMIFS('28'!$N$7:$N$100,'28'!$H$7:$H$100,$A436,'28'!$I$7:$I$100,1)+SUMIFS('29'!$N$7:$N$100,'29'!$H$7:$H$100,$A436,'29'!$I$7:$I$100,1)</f>
        <v>0</v>
      </c>
      <c r="D436" s="1315">
        <f>SUMIFS('12'!$N$7:$N$100,'12'!$H$7:$H$100,$A436,'12'!$I$7:$I$100,2)+SUMIFS('13'!$N$7:$N$100,'13'!$H$7:$H$100,$A436,'13'!$I$7:$I$100,2)+SUMIFS('14'!$N$7:$N$100,'14'!$H$7:$H$100,$A436,'14'!$I$7:$I$100,2)+SUMIFS('15'!$N$7:$N$100,'15'!$H$7:$H$100,$A436,'15'!$I$7:$I$100,2)+SUMIFS('15a'!$N$7:$N$100,'15a'!$H$7:$H$100,$A436,'15a'!$I$7:$I$100,2)+SUMIFS('15b'!$N$7:$N$100,'15b'!$H$7:$H$100,$A436,'15b'!$I$7:$I$100,2)+SUMIFS('15c'!$N$7:$N$100,'15c'!$H$7:$H$100,$A436,'15c'!$I$7:$I$100,2)+SUMIFS('15d'!$N$7:$N$100,'15d'!$H$7:$H$100,$A436,'15d'!$I$7:$I$100,2)+SUMIFS('15e'!$N$7:$N$100,'15e'!$H$7:$H$100,$A436,'15e'!$I$7:$I$100,2)+SUMIFS('15f'!$N$7:$N$100,'15f'!$H$7:$H$100,$A436,'15f'!$I$7:$I$100,2)+SUMIFS('15g'!$N$7:$N$100,'15g'!$H$7:$H$100,$A436,'15g'!$I$7:$I$100,2)+SUMIFS('15h'!$N$7:$N$100,'15h'!$H$7:$H$100,$A436,'15h'!$I$7:$I$100,2)+SUMIFS('15i'!$N$7:$N$100,'15i'!$H$7:$H$100,$A436,'15i'!$I$7:$I$100,2)+SUMIFS('15j'!$N$7:$N$100,'15j'!$H$7:$H$100,$A436,'15j'!$I$7:$I$100,2)+SUMIFS('15k'!$N$7:$N$100,'15k'!$H$7:$H$100,$A436,'15k'!$I$7:$I$100,2)+SUMIFS('15l'!$N$7:$N$100,'15l'!$H$7:$H$100,$A436,'15l'!$I$7:$I$100,2)+SUMIFS('15m'!$N$7:$N$100,'15m'!$H$7:$H$100,$A436,'15m'!$I$7:$I$100,2)+SUMIFS('15n'!$N$7:$N$100,'15n'!$H$7:$H$100,$A436,'15n'!$I$7:$I$100,2)+SUMIFS('16'!$N$7:$N$100,'16'!$H$7:$H$100,$A436,'16'!$I$7:$I$100,2)+SUMIFS('16a'!$N$7:$N$100,'16a'!$H$7:$H$100,$A436,'16a'!$I$7:$I$100,2)+SUMIFS('17'!$N$7:$N$100,'17'!$H$7:$H$100,$A436,'17'!$I$7:$I$100,2)+SUMIFS('17a'!$N$7:$N$100,'17a'!$H$7:$H$100,$A436,'17a'!$I$7:$I$100,2)+SUMIFS('18'!$N$7:$N$100,'18'!$H$7:$H$100,$A436,'18'!$I$7:$I$100,2)+SUMIFS('18a'!$N$7:$N$100,'18a'!$H$7:$H$100,$A436,'18a'!$I$7:$I$100,2)
+SUMIFS('19'!$N$7:$N$100,'19'!$H$7:$H$100,$A436,'19'!$I$7:$I$100,2)+SUMIFS('20'!$N$7:$N$100,'20'!$H$7:$H$100,$A436,'20'!$I$7:$I$100,2)+SUMIFS('20a'!$N$7:$N$100,'20a'!$H$7:$H$100,$A436,'20a'!$I$7:$I$100,2)+SUMIFS('21'!$N$7:$N$100,'21'!$H$7:$H$100,$A436,'21'!$I$7:$I$100,2)+SUMIFS('22'!$N$7:$N$100,'22'!$H$7:$H$100,$A436,'22'!$I$7:$I$100,2)+SUMIFS('22a'!$N$7:$N$100,'22a'!$H$7:$H$100,$A436,'22a'!$I$7:$I$100,2)+SUMIFS('22b'!$N$7:$N$100,'22b'!$H$7:$H$100,$A436,'22b'!$I$7:$I$100,2)+SUMIFS('23'!$N$7:$N$100,'23'!$H$7:$H$100,$A436,'23'!$I$7:$I$100,2)+SUMIFS('24'!$N$7:$N$100,'24'!$H$7:$H$100,$A436,'24'!$I$7:$I$100,2)+SUMIFS('24a'!$N$7:$N$100,'24a'!$H$7:$H$100,$A436,'24a'!$I$7:$I$100,2)+SUMIFS('24b'!$N$7:$N$100,'24b'!$H$7:$H$100,$A436,'24b'!$I$7:$I$100,2)+SUMIFS('24c'!$N$7:$N$100,'24c'!$H$7:$H$100,$A436,'24c'!$I$7:$I$100,2)+SUMIFS('24d'!$N$7:$N$100,'24d'!$H$7:$H$100,$A436,'24d'!$I$7:$I$100,2)+SUMIFS('24e'!$N$7:$N$100,'24e'!$H$7:$H$100,$A436,'24e'!$I$7:$I$100,2)+SUMIFS('24f'!$N$7:$N$100,'24f'!$H$7:$H$100,$A436,'24f'!$I$7:$I$100,2)+SUMIFS('24g'!$N$7:$N$100,'24g'!$H$7:$H$100,$A436,'24g'!$I$7:$I$100,2)+SUMIFS('24h'!$N$7:$N$100,'24h'!$H$7:$H$100,$A436,'24h'!$I$7:$I$100,2)+SUMIFS('24i'!$N$7:$N$100,'24i'!$H$7:$H$100,$A436,'24i'!$I$7:$I$100,2)+SUMIFS('25'!$N$7:$N$100,'25'!$H$7:$H$100,$A436,'25'!$I$7:$I$100,2)+SUMIFS('26'!$N$7:$N$100,'26'!$H$7:$H$100,$A436,'26'!$I$7:$I$100,2)+SUMIFS('26a'!$N$7:$N$100,'26a'!$H$7:$H$100,$A436,'26a'!$I$7:$I$100,2)+SUMIFS('27'!$N$7:$N$100,'27'!$H$7:$H$100,$A436,'27'!$I$7:$I$100,2)+SUMIFS('27a'!$N$7:$N$100,'27a'!$H$7:$H$100,$A436,'27a'!$I$7:$I$100,2)+SUMIFS('28'!$N$7:$N$100,'28'!$H$7:$H$100,$A436,'28'!$I$7:$I$100,2)+SUMIFS('29'!$N$7:$N$100,'29'!$H$7:$H$100,$A436,'29'!$I$7:$I$100,2)</f>
        <v>0</v>
      </c>
      <c r="E436" s="1315">
        <f>SUMIFS('12'!$N$7:$N$100,'12'!$H$7:$H$100,$A436,'12'!$I$7:$I$100,"")+SUMIFS('13'!$N$7:$N$100,'13'!$H$7:$H$100,$A436,'13'!$I$7:$I$100,"")+SUMIFS('14'!$N$7:$N$100,'14'!$H$7:$H$100,$A436,'14'!$I$7:$I$100,"")+SUMIFS('15'!$N$7:$N$100,'15'!$H$7:$H$100,$A436,'15'!$I$7:$I$100,"")+SUMIFS('15a'!$N$7:$N$100,'15a'!$H$7:$H$100,$A436,'15a'!$I$7:$I$100,"")+SUMIFS('15b'!$N$7:$N$100,'15b'!$H$7:$H$100,$A436,'15b'!$I$7:$I$100,"")+SUMIFS('15c'!$N$7:$N$100,'15c'!$H$7:$H$100,$A436,'15c'!$I$7:$I$100,"")+SUMIFS('15d'!$N$7:$N$100,'15d'!$H$7:$H$100,$A436,'15d'!$I$7:$I$100,"")+SUMIFS('15e'!$N$7:$N$100,'15e'!$H$7:$H$100,$A436,'15e'!$I$7:$I$100,"")+SUMIFS('15f'!$N$7:$N$100,'15f'!$H$7:$H$100,$A436,'15f'!$I$7:$I$100,"")+SUMIFS('15g'!$N$7:$N$100,'15g'!$H$7:$H$100,$A436,'15g'!$I$7:$I$100,"")+SUMIFS('15h'!$N$7:$N$100,'15h'!$H$7:$H$100,$A436,'15h'!$I$7:$I$100,"")+SUMIFS('15i'!$N$7:$N$100,'15i'!$H$7:$H$100,$A436,'15i'!$I$7:$I$100,"")+SUMIFS('15j'!$N$7:$N$100,'15j'!$H$7:$H$100,$A436,'15j'!$I$7:$I$100,"")+SUMIFS('15k'!$N$7:$N$100,'15k'!$H$7:$H$100,$A436,'15k'!$I$7:$I$100,"")+SUMIFS('15l'!$N$7:$N$100,'15l'!$H$7:$H$100,$A436,'15l'!$I$7:$I$100,"")+SUMIFS('15m'!$N$7:$N$100,'15m'!$H$7:$H$100,$A436,'15m'!$I$7:$I$100,"")+SUMIFS('15n'!$N$7:$N$100,'15n'!$H$7:$H$100,$A436,'15n'!$I$7:$I$100,"")+SUMIFS('16'!$N$7:$N$100,'16'!$H$7:$H$100,$A436,'16'!$I$7:$I$100,"")+SUMIFS('16a'!$N$7:$N$100,'16a'!$H$7:$H$100,$A436,'16a'!$I$7:$I$100,"")+SUMIFS('17'!$N$7:$N$100,'17'!$H$7:$H$100,$A436,'17'!$I$7:$I$100,"")+SUMIFS('17a'!$N$7:$N$100,'17a'!$H$7:$H$100,$A436,'17a'!$I$7:$I$100,"")+SUMIFS('18'!$N$7:$N$100,'18'!$H$7:$H$100,$A436,'18'!$I$7:$I$100,"")+SUMIFS('18a'!$N$7:$N$100,'18a'!$H$7:$H$100,$A436,'18a'!$I$7:$I$100,"")
+SUMIFS('19'!$N$7:$N$100,'19'!$H$7:$H$100,$A436,'19'!$I$7:$I$100,"")+SUMIFS('20'!$N$7:$N$100,'20'!$H$7:$H$100,$A436,'20'!$I$7:$I$100,"")+SUMIFS('20a'!$N$7:$N$100,'20a'!$H$7:$H$100,$A436,'20a'!$I$7:$I$100,"")+SUMIFS('21'!$N$7:$N$100,'21'!$H$7:$H$100,$A436,'21'!$I$7:$I$100,"")+SUMIFS('22'!$N$7:$N$100,'22'!$H$7:$H$100,$A436,'22'!$I$7:$I$100,"")+SUMIFS('22a'!$N$7:$N$100,'22a'!$H$7:$H$100,$A436,'22a'!$I$7:$I$100,"")+SUMIFS('22b'!$N$7:$N$100,'22b'!$H$7:$H$100,$A436,'22b'!$I$7:$I$100,"")+SUMIFS('23'!$N$7:$N$100,'23'!$H$7:$H$100,$A436,'23'!$I$7:$I$100,"")+SUMIFS('24'!$N$7:$N$100,'24'!$H$7:$H$100,$A436,'24'!$I$7:$I$100,"")+SUMIFS('24a'!$N$7:$N$100,'24a'!$H$7:$H$100,$A436,'24a'!$I$7:$I$100,"")+SUMIFS('24b'!$N$7:$N$100,'24b'!$H$7:$H$100,$A436,'24b'!$I$7:$I$100,"")+SUMIFS('24c'!$N$7:$N$100,'24c'!$H$7:$H$100,$A436,'24c'!$I$7:$I$100,"")+SUMIFS('24d'!$N$7:$N$100,'24d'!$H$7:$H$100,$A436,'24d'!$I$7:$I$100,"")+SUMIFS('24e'!$N$7:$N$100,'24e'!$H$7:$H$100,$A436,'24e'!$I$7:$I$100,"")+SUMIFS('24f'!$N$7:$N$100,'24f'!$H$7:$H$100,$A436,'24f'!$I$7:$I$100,"")+SUMIFS('24g'!$N$7:$N$100,'24g'!$H$7:$H$100,$A436,'24g'!$I$7:$I$100,"")+SUMIFS('24h'!$N$7:$N$100,'24h'!$H$7:$H$100,$A436,'24h'!$I$7:$I$100,"")+SUMIFS('24i'!$N$7:$N$100,'24i'!$H$7:$H$100,$A436,'24i'!$I$7:$I$100,"")+SUMIFS('25'!$N$7:$N$100,'25'!$H$7:$H$100,$A436,'25'!$I$7:$I$100,"")+SUMIFS('26'!$N$7:$N$100,'26'!$H$7:$H$100,$A436,'26'!$I$7:$I$100,"")+SUMIFS('26a'!$N$7:$N$100,'26a'!$H$7:$H$100,$A436,'26a'!$I$7:$I$100,"")+SUMIFS('27'!$N$7:$N$100,'27'!$H$7:$H$100,$A436,'27'!$I$7:$I$100,"")+SUMIFS('27a'!$N$7:$N$100,'27a'!$H$7:$H$100,$A436,'27a'!$I$7:$I$100,"")+SUMIFS('28'!$N$7:$N$100,'28'!$H$7:$H$100,$A436,'28'!$I$7:$I$100,"")+SUMIFS('29'!$N$7:$N$100,'29'!$H$7:$H$100,$A436,'29'!$I$7:$I$100,"")</f>
        <v>0</v>
      </c>
      <c r="F436" s="1296">
        <f t="shared" si="76"/>
        <v>0</v>
      </c>
      <c r="G436" s="1295">
        <f>SUMIFS('12'!$J$7:$J$100,'12'!$H$7:$H$100,$A436,'12'!$I$7:$I$100,1)+SUMIFS('13'!$J$7:$J$100,'13'!$H$7:$H$100,$A436,'13'!$I$7:$I$100,1)+SUMIFS('14'!$J$7:$J$100,'14'!$H$7:$H$100,$A436,'14'!$I$7:$I$100,1)+SUMIFS('15'!$J$7:$J$100,'15'!$H$7:$H$100,$A436,'15'!$I$7:$I$100,1)+SUMIFS('15a'!$J$7:$J$100,'15a'!$H$7:$H$100,$A436,'15a'!$I$7:$I$100,1)+SUMIFS('15b'!$J$7:$J$100,'15b'!$H$7:$H$100,$A436,'15b'!$I$7:$I$100,1)+SUMIFS('15c'!$J$7:$J$100,'15c'!$H$7:$H$100,$A436,'15c'!$I$7:$I$100,1)+SUMIFS('15d'!$J$7:$J$100,'15d'!$H$7:$H$100,$A436,'15d'!$I$7:$I$100,1)+SUMIFS('15e'!$J$7:$J$100,'15e'!$H$7:$H$100,$A436,'15e'!$I$7:$I$100,1)+SUMIFS('15f'!$J$7:$J$100,'15f'!$H$7:$H$100,$A436,'15f'!$I$7:$I$100,1)+SUMIFS('15g'!$J$7:$J$100,'15g'!$H$7:$H$100,$A436,'15g'!$I$7:$I$100,1)+SUMIFS('15h'!$J$7:$J$100,'15h'!$H$7:$H$100,$A436,'15h'!$I$7:$I$100,1)+SUMIFS('15i'!$J$7:$J$100,'15i'!$H$7:$H$100,$A436,'15i'!$I$7:$I$100,1)+SUMIFS('15j'!$J$7:$J$100,'15j'!$H$7:$H$100,$A436,'15j'!$I$7:$I$100,1)+SUMIFS('15k'!$J$7:$J$100,'15k'!$H$7:$H$100,$A436,'15k'!$I$7:$I$100,1)+SUMIFS('15l'!$J$7:$J$100,'15l'!$H$7:$H$100,$A436,'15l'!$I$7:$I$100,1)+SUMIFS('15m'!$J$7:$J$100,'15m'!$H$7:$H$100,$A436,'15m'!$I$7:$I$100,1)+SUMIFS('15n'!$J$7:$J$100,'15n'!$H$7:$H$100,$A436,'15n'!$I$7:$I$100,1)+SUMIFS('16'!$J$7:$J$100,'16'!$H$7:$H$100,$A436,'16'!$I$7:$I$100,1)+SUMIFS('16a'!$J$7:$J$100,'16a'!$H$7:$H$100,$A436,'16a'!$I$7:$I$100,1)+SUMIFS('17'!$J$7:$J$100,'17'!$H$7:$H$100,$A436,'17'!$I$7:$I$100,1)+SUMIFS('17a'!$J$7:$J$100,'17a'!$H$7:$H$100,$A436,'17a'!$I$7:$I$100,1)+SUMIFS('18'!$J$7:$J$100,'18'!$H$7:$H$100,$A436,'18'!$I$7:$I$100,1)+SUMIFS('18a'!$J$7:$J$100,'18a'!$H$7:$H$100,$A436,'18a'!$I$7:$I$100,1)
+SUMIFS('19'!$J$7:$J$100,'19'!$H$7:$H$100,$A436,'19'!$I$7:$I$100,1)+SUMIFS('20'!$J$7:$J$100,'20'!$H$7:$H$100,$A436,'20'!$I$7:$I$100,1)+SUMIFS('20a'!$J$7:$J$100,'20a'!$H$7:$H$100,$A436,'20a'!$I$7:$I$100,1)+SUMIFS('21'!$J$7:$J$100,'21'!$H$7:$H$100,$A436,'21'!$I$7:$I$100,1)+SUMIFS('22'!$J$7:$J$100,'22'!$H$7:$H$100,$A436,'22'!$I$7:$I$100,1)+SUMIFS('22a'!$J$7:$J$100,'22a'!$H$7:$H$100,$A436,'22a'!$I$7:$I$100,1)+SUMIFS('22b'!$J$7:$J$100,'22b'!$H$7:$H$100,$A436,'22b'!$I$7:$I$100,1)+SUMIFS('23'!$J$7:$J$100,'23'!$H$7:$H$100,$A436,'23'!$I$7:$I$100,1)+SUMIFS('24'!$J$7:$J$100,'24'!$H$7:$H$100,$A436,'24'!$I$7:$I$100,1)+SUMIFS('24a'!$J$7:$J$100,'24a'!$H$7:$H$100,$A436,'24a'!$I$7:$I$100,1)+SUMIFS('24b'!$J$7:$J$100,'24b'!$H$7:$H$100,$A436,'24b'!$I$7:$I$100,1)+SUMIFS('24c'!$J$7:$J$100,'24c'!$H$7:$H$100,$A436,'24c'!$I$7:$I$100,1)+SUMIFS('24d'!$J$7:$J$100,'24d'!$H$7:$H$100,$A436,'24d'!$I$7:$I$100,1)+SUMIFS('24e'!$J$7:$J$100,'24e'!$H$7:$H$100,$A436,'24e'!$I$7:$I$100,1)+SUMIFS('24f'!$J$7:$J$100,'24f'!$H$7:$H$100,$A436,'24f'!$I$7:$I$100,1)+SUMIFS('24g'!$J$7:$J$100,'24g'!$H$7:$H$100,$A436,'24g'!$I$7:$I$100,1)+SUMIFS('24h'!$J$7:$J$100,'24h'!$H$7:$H$100,$A436,'24h'!$I$7:$I$100,1)+SUMIFS('24i'!$J$7:$J$100,'24i'!$H$7:$H$100,$A436,'24i'!$I$7:$I$100,1)+SUMIFS('25'!$J$7:$J$100,'25'!$H$7:$H$100,$A436,'25'!$I$7:$I$100,1)+SUMIFS('26'!$J$7:$J$100,'26'!$H$7:$H$100,$A436,'26'!$I$7:$I$100,1)+SUMIFS('26a'!$J$7:$J$100,'26a'!$H$7:$H$100,$A436,'26a'!$I$7:$I$100,1)+SUMIFS('27'!$J$7:$J$100,'27'!$H$7:$H$100,$A436,'27'!$I$7:$I$100,1)+SUMIFS('27a'!$J$7:$J$100,'27a'!$H$7:$H$100,$A436,'27a'!$I$7:$I$100,1)+SUMIFS('28'!$J$7:$J$100,'28'!$H$7:$H$100,$A436,'28'!$I$7:$I$100,1)+SUMIFS('29'!$J$7:$J$100,'29'!$H$7:$H$100,$A436,'29'!$I$7:$I$100,1)</f>
        <v>0</v>
      </c>
      <c r="H436" s="1315">
        <f>SUMIFS('12'!$J$7:$J$100,'12'!$H$7:$H$100,$A436,'12'!$I$7:$I$100,2)+SUMIFS('13'!$J$7:$J$100,'13'!$H$7:$H$100,$A436,'13'!$I$7:$I$100,2)+SUMIFS('14'!$J$7:$J$100,'14'!$H$7:$H$100,$A436,'14'!$I$7:$I$100,2)+SUMIFS('15'!$J$7:$J$100,'15'!$H$7:$H$100,$A436,'15'!$I$7:$I$100,2)+SUMIFS('15a'!$J$7:$J$100,'15a'!$H$7:$H$100,$A436,'15a'!$I$7:$I$100,2)+SUMIFS('15b'!$J$7:$J$100,'15b'!$H$7:$H$100,$A436,'15b'!$I$7:$I$100,2)+SUMIFS('15c'!$J$7:$J$100,'15c'!$H$7:$H$100,$A436,'15c'!$I$7:$I$100,2)+SUMIFS('15d'!$J$7:$J$100,'15d'!$H$7:$H$100,$A436,'15d'!$I$7:$I$100,2)+SUMIFS('15e'!$J$7:$J$100,'15e'!$H$7:$H$100,$A436,'15e'!$I$7:$I$100,2)+SUMIFS('15f'!$J$7:$J$100,'15f'!$H$7:$H$100,$A436,'15f'!$I$7:$I$100,2)+SUMIFS('15g'!$J$7:$J$100,'15g'!$H$7:$H$100,$A436,'15g'!$I$7:$I$100,2)+SUMIFS('15h'!$J$7:$J$100,'15h'!$H$7:$H$100,$A436,'15h'!$I$7:$I$100,2)+SUMIFS('15i'!$J$7:$J$100,'15i'!$H$7:$H$100,$A436,'15i'!$I$7:$I$100,2)+SUMIFS('15j'!$J$7:$J$100,'15j'!$H$7:$H$100,$A436,'15j'!$I$7:$I$100,2)+SUMIFS('15k'!$J$7:$J$100,'15k'!$H$7:$H$100,$A436,'15k'!$I$7:$I$100,2)+SUMIFS('15l'!$J$7:$J$100,'15l'!$H$7:$H$100,$A436,'15l'!$I$7:$I$100,2)+SUMIFS('15m'!$J$7:$J$100,'15m'!$H$7:$H$100,$A436,'15m'!$I$7:$I$100,2)+SUMIFS('15n'!$J$7:$J$100,'15n'!$H$7:$H$100,$A436,'15n'!$I$7:$I$100,2)+SUMIFS('16'!$J$7:$J$100,'16'!$H$7:$H$100,$A436,'16'!$I$7:$I$100,2)+SUMIFS('16a'!$J$7:$J$100,'16a'!$H$7:$H$100,$A436,'16a'!$I$7:$I$100,2)+SUMIFS('17'!$J$7:$J$100,'17'!$H$7:$H$100,$A436,'17'!$I$7:$I$100,2)+SUMIFS('17a'!$J$7:$J$100,'17a'!$H$7:$H$100,$A436,'17a'!$I$7:$I$100,2)+SUMIFS('18'!$J$7:$J$100,'18'!$H$7:$H$100,$A436,'18'!$I$7:$I$100,2)+SUMIFS('18a'!$J$7:$J$100,'18a'!$H$7:$H$100,$A436,'18a'!$I$7:$I$100,2)
+SUMIFS('19'!$J$7:$J$100,'19'!$H$7:$H$100,$A436,'19'!$I$7:$I$100,2)+SUMIFS('20'!$J$7:$J$100,'20'!$H$7:$H$100,$A436,'20'!$I$7:$I$100,2)+SUMIFS('20a'!$J$7:$J$100,'20a'!$H$7:$H$100,$A436,'20a'!$I$7:$I$100,2)+SUMIFS('21'!$J$7:$J$100,'21'!$H$7:$H$100,$A436,'21'!$I$7:$I$100,2)+SUMIFS('22'!$J$7:$J$100,'22'!$H$7:$H$100,$A436,'22'!$I$7:$I$100,2)+SUMIFS('22a'!$J$7:$J$100,'22a'!$H$7:$H$100,$A436,'22a'!$I$7:$I$100,2)+SUMIFS('22b'!$J$7:$J$100,'22b'!$H$7:$H$100,$A436,'22b'!$I$7:$I$100,2)+SUMIFS('23'!$J$7:$J$100,'23'!$H$7:$H$100,$A436,'23'!$I$7:$I$100,2)+SUMIFS('24'!$J$7:$J$100,'24'!$H$7:$H$100,$A436,'24'!$I$7:$I$100,2)+SUMIFS('24a'!$J$7:$J$100,'24a'!$H$7:$H$100,$A436,'24a'!$I$7:$I$100,2)+SUMIFS('24b'!$J$7:$J$100,'24b'!$H$7:$H$100,$A436,'24b'!$I$7:$I$100,2)+SUMIFS('24c'!$J$7:$J$100,'24c'!$H$7:$H$100,$A436,'24c'!$I$7:$I$100,2)+SUMIFS('24d'!$J$7:$J$100,'24d'!$H$7:$H$100,$A436,'24d'!$I$7:$I$100,2)+SUMIFS('24e'!$J$7:$J$100,'24e'!$H$7:$H$100,$A436,'24e'!$I$7:$I$100,2)+SUMIFS('24f'!$J$7:$J$100,'24f'!$H$7:$H$100,$A436,'24f'!$I$7:$I$100,2)+SUMIFS('24g'!$J$7:$J$100,'24g'!$H$7:$H$100,$A436,'24g'!$I$7:$I$100,2)+SUMIFS('24h'!$J$7:$J$100,'24h'!$H$7:$H$100,$A436,'24h'!$I$7:$I$100,2)+SUMIFS('24i'!$J$7:$J$100,'24i'!$H$7:$H$100,$A436,'24i'!$I$7:$I$100,2)+SUMIFS('25'!$J$7:$J$100,'25'!$H$7:$H$100,$A436,'25'!$I$7:$I$100,2)+SUMIFS('26'!$J$7:$J$100,'26'!$H$7:$H$100,$A436,'26'!$I$7:$I$100,2)+SUMIFS('26a'!$J$7:$J$100,'26a'!$H$7:$H$100,$A436,'26a'!$I$7:$I$100,2)+SUMIFS('27'!$J$7:$J$100,'27'!$H$7:$H$100,$A436,'27'!$I$7:$I$100,2)+SUMIFS('27a'!$J$7:$J$100,'27a'!$H$7:$H$100,$A436,'27a'!$I$7:$I$100,2)+SUMIFS('28'!$J$7:$J$100,'28'!$H$7:$H$100,$A436,'28'!$I$7:$I$100,2)+SUMIFS('29'!$J$7:$J$100,'29'!$H$7:$H$100,$A436,'29'!$I$7:$I$100,2)</f>
        <v>0</v>
      </c>
      <c r="I436" s="1315">
        <f>SUMIFS('12'!$J$7:$J$100,'12'!$H$7:$H$100,$A436,'12'!$I$7:$I$100,"")+SUMIFS('13'!$J$7:$J$100,'13'!$H$7:$H$100,$A436,'13'!$I$7:$I$100,"")+SUMIFS('14'!$J$7:$J$100,'14'!$H$7:$H$100,$A436,'14'!$I$7:$I$100,"")+SUMIFS('15'!$J$7:$J$100,'15'!$H$7:$H$100,$A436,'15'!$I$7:$I$100,"")+SUMIFS('15a'!$J$7:$J$100,'15a'!$H$7:$H$100,$A436,'15a'!$I$7:$I$100,"")+SUMIFS('15b'!$J$7:$J$100,'15b'!$H$7:$H$100,$A436,'15b'!$I$7:$I$100,"")+SUMIFS('15c'!$J$7:$J$100,'15c'!$H$7:$H$100,$A436,'15c'!$I$7:$I$100,"")+SUMIFS('15d'!$J$7:$J$100,'15d'!$H$7:$H$100,$A436,'15d'!$I$7:$I$100,"")+SUMIFS('15e'!$J$7:$J$100,'15e'!$H$7:$H$100,$A436,'15e'!$I$7:$I$100,"")+SUMIFS('15f'!$J$7:$J$100,'15f'!$H$7:$H$100,$A436,'15f'!$I$7:$I$100,"")+SUMIFS('15g'!$J$7:$J$100,'15g'!$H$7:$H$100,$A436,'15g'!$I$7:$I$100,"")+SUMIFS('15h'!$J$7:$J$100,'15h'!$H$7:$H$100,$A436,'15h'!$I$7:$I$100,"")+SUMIFS('15i'!$J$7:$J$100,'15i'!$H$7:$H$100,$A436,'15i'!$I$7:$I$100,"")+SUMIFS('15j'!$J$7:$J$100,'15j'!$H$7:$H$100,$A436,'15j'!$I$7:$I$100,"")+SUMIFS('15k'!$J$7:$J$100,'15k'!$H$7:$H$100,$A436,'15k'!$I$7:$I$100,"")+SUMIFS('15l'!$J$7:$J$100,'15l'!$H$7:$H$100,$A436,'15l'!$I$7:$I$100,"")+SUMIFS('15m'!$J$7:$J$100,'15m'!$H$7:$H$100,$A436,'15m'!$I$7:$I$100,"")+SUMIFS('15n'!$J$7:$J$100,'15n'!$H$7:$H$100,$A436,'15n'!$I$7:$I$100,"")+SUMIFS('16'!$J$7:$J$100,'16'!$H$7:$H$100,$A436,'16'!$I$7:$I$100,"")+SUMIFS('16a'!$J$7:$J$100,'16a'!$H$7:$H$100,$A436,'16a'!$I$7:$I$100,"")+SUMIFS('17'!$J$7:$J$100,'17'!$H$7:$H$100,$A436,'17'!$I$7:$I$100,"")+SUMIFS('17a'!$J$7:$J$100,'17a'!$H$7:$H$100,$A436,'17a'!$I$7:$I$100,"")+SUMIFS('18'!$J$7:$J$100,'18'!$H$7:$H$100,$A436,'18'!$I$7:$I$100,"")+SUMIFS('18a'!$J$7:$J$100,'18a'!$H$7:$H$100,$A436,'18a'!$I$7:$I$100,"")
+SUMIFS('19'!$J$7:$J$100,'19'!$H$7:$H$100,$A436,'19'!$I$7:$I$100,"")+SUMIFS('20'!$J$7:$J$100,'20'!$H$7:$H$100,$A436,'20'!$I$7:$I$100,"")+SUMIFS('20a'!$J$7:$J$100,'20a'!$H$7:$H$100,$A436,'20a'!$I$7:$I$100,"")+SUMIFS('21'!$J$7:$J$100,'21'!$H$7:$H$100,$A436,'21'!$I$7:$I$100,"")+SUMIFS('22'!$J$7:$J$100,'22'!$H$7:$H$100,$A436,'22'!$I$7:$I$100,"")+SUMIFS('22a'!$J$7:$J$100,'22a'!$H$7:$H$100,$A436,'22a'!$I$7:$I$100,"")+SUMIFS('22b'!$J$7:$J$100,'22b'!$H$7:$H$100,$A436,'22b'!$I$7:$I$100,"")+SUMIFS('23'!$J$7:$J$100,'23'!$H$7:$H$100,$A436,'23'!$I$7:$I$100,"")+SUMIFS('24'!$J$7:$J$100,'24'!$H$7:$H$100,$A436,'24'!$I$7:$I$100,"")+SUMIFS('24a'!$J$7:$J$100,'24a'!$H$7:$H$100,$A436,'24a'!$I$7:$I$100,"")+SUMIFS('24b'!$J$7:$J$100,'24b'!$H$7:$H$100,$A436,'24b'!$I$7:$I$100,"")+SUMIFS('24c'!$J$7:$J$100,'24c'!$H$7:$H$100,$A436,'24c'!$I$7:$I$100,"")+SUMIFS('24d'!$J$7:$J$100,'24d'!$H$7:$H$100,$A436,'24d'!$I$7:$I$100,"")+SUMIFS('24e'!$J$7:$J$100,'24e'!$H$7:$H$100,$A436,'24e'!$I$7:$I$100,"")+SUMIFS('24f'!$J$7:$J$100,'24f'!$H$7:$H$100,$A436,'24f'!$I$7:$I$100,"")+SUMIFS('24g'!$J$7:$J$100,'24g'!$H$7:$H$100,$A436,'24g'!$I$7:$I$100,"")+SUMIFS('24h'!$J$7:$J$100,'24h'!$H$7:$H$100,$A436,'24h'!$I$7:$I$100,"")+SUMIFS('24i'!$J$7:$J$100,'24i'!$H$7:$H$100,$A436,'24i'!$I$7:$I$100,"")+SUMIFS('25'!$J$7:$J$100,'25'!$H$7:$H$100,$A436,'25'!$I$7:$I$100,"")+SUMIFS('26'!$J$7:$J$100,'26'!$H$7:$H$100,$A436,'26'!$I$7:$I$100,"")+SUMIFS('26a'!$J$7:$J$100,'26a'!$H$7:$H$100,$A436,'26a'!$I$7:$I$100,"")+SUMIFS('27'!$J$7:$J$100,'27'!$H$7:$H$100,$A436,'27'!$I$7:$I$100,"")+SUMIFS('27a'!$J$7:$J$100,'27a'!$H$7:$H$100,$A436,'27a'!$I$7:$I$100,"")+SUMIFS('28'!$J$7:$J$100,'28'!$H$7:$H$100,$A436,'28'!$I$7:$I$100,"")+SUMIFS('29'!$J$7:$J$100,'29'!$H$7:$H$100,$A436,'29'!$I$7:$I$100,"")</f>
        <v>0</v>
      </c>
      <c r="J436" s="1296">
        <f t="shared" si="77"/>
        <v>0</v>
      </c>
      <c r="K436"/>
      <c r="L436"/>
      <c r="M436"/>
      <c r="N436"/>
      <c r="O436"/>
      <c r="P436"/>
      <c r="Q436"/>
      <c r="R436"/>
      <c r="S436" s="1307">
        <f t="shared" si="71"/>
        <v>0</v>
      </c>
      <c r="T436"/>
    </row>
    <row r="437" spans="1:20" x14ac:dyDescent="0.2">
      <c r="A437" t="s">
        <v>5103</v>
      </c>
      <c r="B437" s="784" t="s">
        <v>5597</v>
      </c>
      <c r="C437" s="1295">
        <f>SUMIFS('12'!$N$7:$N$100,'12'!$H$7:$H$100,$A437,'12'!$I$7:$I$100,1)+SUMIFS('13'!$N$7:$N$100,'13'!$H$7:$H$100,$A437,'13'!$I$7:$I$100,1)+SUMIFS('14'!$N$7:$N$100,'14'!$H$7:$H$100,$A437,'14'!$I$7:$I$100,1)+SUMIFS('15'!$N$7:$N$100,'15'!$H$7:$H$100,$A437,'15'!$I$7:$I$100,1)+SUMIFS('15a'!$N$7:$N$100,'15a'!$H$7:$H$100,$A437,'15a'!$I$7:$I$100,1)+SUMIFS('15b'!$N$7:$N$100,'15b'!$H$7:$H$100,$A437,'15b'!$I$7:$I$100,1)+SUMIFS('15c'!$N$7:$N$100,'15c'!$H$7:$H$100,$A437,'15c'!$I$7:$I$100,1)+SUMIFS('15d'!$N$7:$N$100,'15d'!$H$7:$H$100,$A437,'15d'!$I$7:$I$100,1)+SUMIFS('15e'!$N$7:$N$100,'15e'!$H$7:$H$100,$A437,'15e'!$I$7:$I$100,1)+SUMIFS('15f'!$N$7:$N$100,'15f'!$H$7:$H$100,$A437,'15f'!$I$7:$I$100,1)+SUMIFS('15g'!$N$7:$N$100,'15g'!$H$7:$H$100,$A437,'15g'!$I$7:$I$100,1)+SUMIFS('15h'!$N$7:$N$100,'15h'!$H$7:$H$100,$A437,'15h'!$I$7:$I$100,1)+SUMIFS('15i'!$N$7:$N$100,'15i'!$H$7:$H$100,$A437,'15i'!$I$7:$I$100,1)+SUMIFS('15j'!$N$7:$N$100,'15j'!$H$7:$H$100,$A437,'15j'!$I$7:$I$100,1)+SUMIFS('15k'!$N$7:$N$100,'15k'!$H$7:$H$100,$A437,'15k'!$I$7:$I$100,1)+SUMIFS('15l'!$N$7:$N$100,'15l'!$H$7:$H$100,$A437,'15l'!$I$7:$I$100,1)+SUMIFS('15m'!$N$7:$N$100,'15m'!$H$7:$H$100,$A437,'15m'!$I$7:$I$100,1)+SUMIFS('15n'!$N$7:$N$100,'15n'!$H$7:$H$100,$A437,'15n'!$I$7:$I$100,1)+SUMIFS('16'!$N$7:$N$100,'16'!$H$7:$H$100,$A437,'16'!$I$7:$I$100,1)+SUMIFS('16a'!$N$7:$N$100,'16a'!$H$7:$H$100,$A437,'16a'!$I$7:$I$100,1)+SUMIFS('17'!$N$7:$N$100,'17'!$H$7:$H$100,$A437,'17'!$I$7:$I$100,1)+SUMIFS('17a'!$N$7:$N$100,'17a'!$H$7:$H$100,$A437,'17a'!$I$7:$I$100,1)+SUMIFS('18'!$N$7:$N$100,'18'!$H$7:$H$100,$A437,'18'!$I$7:$I$100,1)+SUMIFS('18a'!$N$7:$N$100,'18a'!$H$7:$H$100,$A437,'18a'!$I$7:$I$100,1)
+SUMIFS('19'!$N$7:$N$100,'19'!$H$7:$H$100,$A437,'19'!$I$7:$I$100,1)+SUMIFS('20'!$N$7:$N$100,'20'!$H$7:$H$100,$A437,'20'!$I$7:$I$100,1)+SUMIFS('20a'!$N$7:$N$100,'20a'!$H$7:$H$100,$A437,'20a'!$I$7:$I$100,1)+SUMIFS('21'!$N$7:$N$100,'21'!$H$7:$H$100,$A437,'21'!$I$7:$I$100,1)+SUMIFS('22'!$N$7:$N$100,'22'!$H$7:$H$100,$A437,'22'!$I$7:$I$100,1)+SUMIFS('22a'!$N$7:$N$100,'22a'!$H$7:$H$100,$A437,'22a'!$I$7:$I$100,1)+SUMIFS('22b'!$N$7:$N$100,'22b'!$H$7:$H$100,$A437,'22b'!$I$7:$I$100,1)+SUMIFS('23'!$N$7:$N$100,'23'!$H$7:$H$100,$A437,'23'!$I$7:$I$100,1)+SUMIFS('24'!$N$7:$N$100,'24'!$H$7:$H$100,$A437,'24'!$I$7:$I$100,1)+SUMIFS('24a'!$N$7:$N$100,'24a'!$H$7:$H$100,$A437,'24a'!$I$7:$I$100,1)+SUMIFS('24b'!$N$7:$N$100,'24b'!$H$7:$H$100,$A437,'24b'!$I$7:$I$100,1)+SUMIFS('24c'!$N$7:$N$100,'24c'!$H$7:$H$100,$A437,'24c'!$I$7:$I$100,1)+SUMIFS('24d'!$N$7:$N$100,'24d'!$H$7:$H$100,$A437,'24d'!$I$7:$I$100,1)+SUMIFS('24e'!$N$7:$N$100,'24e'!$H$7:$H$100,$A437,'24e'!$I$7:$I$100,1)+SUMIFS('24f'!$N$7:$N$100,'24f'!$H$7:$H$100,$A437,'24f'!$I$7:$I$100,1)+SUMIFS('24g'!$N$7:$N$100,'24g'!$H$7:$H$100,$A437,'24g'!$I$7:$I$100,1)+SUMIFS('24h'!$N$7:$N$100,'24h'!$H$7:$H$100,$A437,'24h'!$I$7:$I$100,1)+SUMIFS('24i'!$N$7:$N$100,'24i'!$H$7:$H$100,$A437,'24i'!$I$7:$I$100,1)+SUMIFS('25'!$N$7:$N$100,'25'!$H$7:$H$100,$A437,'25'!$I$7:$I$100,1)+SUMIFS('26'!$N$7:$N$100,'26'!$H$7:$H$100,$A437,'26'!$I$7:$I$100,1)+SUMIFS('26a'!$N$7:$N$100,'26a'!$H$7:$H$100,$A437,'26a'!$I$7:$I$100,1)+SUMIFS('27'!$N$7:$N$100,'27'!$H$7:$H$100,$A437,'27'!$I$7:$I$100,1)+SUMIFS('27a'!$N$7:$N$100,'27a'!$H$7:$H$100,$A437,'27a'!$I$7:$I$100,1)+SUMIFS('28'!$N$7:$N$100,'28'!$H$7:$H$100,$A437,'28'!$I$7:$I$100,1)+SUMIFS('29'!$N$7:$N$100,'29'!$H$7:$H$100,$A437,'29'!$I$7:$I$100,1)</f>
        <v>0</v>
      </c>
      <c r="D437" s="1315">
        <f>SUMIFS('12'!$N$7:$N$100,'12'!$H$7:$H$100,$A437,'12'!$I$7:$I$100,2)+SUMIFS('13'!$N$7:$N$100,'13'!$H$7:$H$100,$A437,'13'!$I$7:$I$100,2)+SUMIFS('14'!$N$7:$N$100,'14'!$H$7:$H$100,$A437,'14'!$I$7:$I$100,2)+SUMIFS('15'!$N$7:$N$100,'15'!$H$7:$H$100,$A437,'15'!$I$7:$I$100,2)+SUMIFS('15a'!$N$7:$N$100,'15a'!$H$7:$H$100,$A437,'15a'!$I$7:$I$100,2)+SUMIFS('15b'!$N$7:$N$100,'15b'!$H$7:$H$100,$A437,'15b'!$I$7:$I$100,2)+SUMIFS('15c'!$N$7:$N$100,'15c'!$H$7:$H$100,$A437,'15c'!$I$7:$I$100,2)+SUMIFS('15d'!$N$7:$N$100,'15d'!$H$7:$H$100,$A437,'15d'!$I$7:$I$100,2)+SUMIFS('15e'!$N$7:$N$100,'15e'!$H$7:$H$100,$A437,'15e'!$I$7:$I$100,2)+SUMIFS('15f'!$N$7:$N$100,'15f'!$H$7:$H$100,$A437,'15f'!$I$7:$I$100,2)+SUMIFS('15g'!$N$7:$N$100,'15g'!$H$7:$H$100,$A437,'15g'!$I$7:$I$100,2)+SUMIFS('15h'!$N$7:$N$100,'15h'!$H$7:$H$100,$A437,'15h'!$I$7:$I$100,2)+SUMIFS('15i'!$N$7:$N$100,'15i'!$H$7:$H$100,$A437,'15i'!$I$7:$I$100,2)+SUMIFS('15j'!$N$7:$N$100,'15j'!$H$7:$H$100,$A437,'15j'!$I$7:$I$100,2)+SUMIFS('15k'!$N$7:$N$100,'15k'!$H$7:$H$100,$A437,'15k'!$I$7:$I$100,2)+SUMIFS('15l'!$N$7:$N$100,'15l'!$H$7:$H$100,$A437,'15l'!$I$7:$I$100,2)+SUMIFS('15m'!$N$7:$N$100,'15m'!$H$7:$H$100,$A437,'15m'!$I$7:$I$100,2)+SUMIFS('15n'!$N$7:$N$100,'15n'!$H$7:$H$100,$A437,'15n'!$I$7:$I$100,2)+SUMIFS('16'!$N$7:$N$100,'16'!$H$7:$H$100,$A437,'16'!$I$7:$I$100,2)+SUMIFS('16a'!$N$7:$N$100,'16a'!$H$7:$H$100,$A437,'16a'!$I$7:$I$100,2)+SUMIFS('17'!$N$7:$N$100,'17'!$H$7:$H$100,$A437,'17'!$I$7:$I$100,2)+SUMIFS('17a'!$N$7:$N$100,'17a'!$H$7:$H$100,$A437,'17a'!$I$7:$I$100,2)+SUMIFS('18'!$N$7:$N$100,'18'!$H$7:$H$100,$A437,'18'!$I$7:$I$100,2)+SUMIFS('18a'!$N$7:$N$100,'18a'!$H$7:$H$100,$A437,'18a'!$I$7:$I$100,2)
+SUMIFS('19'!$N$7:$N$100,'19'!$H$7:$H$100,$A437,'19'!$I$7:$I$100,2)+SUMIFS('20'!$N$7:$N$100,'20'!$H$7:$H$100,$A437,'20'!$I$7:$I$100,2)+SUMIFS('20a'!$N$7:$N$100,'20a'!$H$7:$H$100,$A437,'20a'!$I$7:$I$100,2)+SUMIFS('21'!$N$7:$N$100,'21'!$H$7:$H$100,$A437,'21'!$I$7:$I$100,2)+SUMIFS('22'!$N$7:$N$100,'22'!$H$7:$H$100,$A437,'22'!$I$7:$I$100,2)+SUMIFS('22a'!$N$7:$N$100,'22a'!$H$7:$H$100,$A437,'22a'!$I$7:$I$100,2)+SUMIFS('22b'!$N$7:$N$100,'22b'!$H$7:$H$100,$A437,'22b'!$I$7:$I$100,2)+SUMIFS('23'!$N$7:$N$100,'23'!$H$7:$H$100,$A437,'23'!$I$7:$I$100,2)+SUMIFS('24'!$N$7:$N$100,'24'!$H$7:$H$100,$A437,'24'!$I$7:$I$100,2)+SUMIFS('24a'!$N$7:$N$100,'24a'!$H$7:$H$100,$A437,'24a'!$I$7:$I$100,2)+SUMIFS('24b'!$N$7:$N$100,'24b'!$H$7:$H$100,$A437,'24b'!$I$7:$I$100,2)+SUMIFS('24c'!$N$7:$N$100,'24c'!$H$7:$H$100,$A437,'24c'!$I$7:$I$100,2)+SUMIFS('24d'!$N$7:$N$100,'24d'!$H$7:$H$100,$A437,'24d'!$I$7:$I$100,2)+SUMIFS('24e'!$N$7:$N$100,'24e'!$H$7:$H$100,$A437,'24e'!$I$7:$I$100,2)+SUMIFS('24f'!$N$7:$N$100,'24f'!$H$7:$H$100,$A437,'24f'!$I$7:$I$100,2)+SUMIFS('24g'!$N$7:$N$100,'24g'!$H$7:$H$100,$A437,'24g'!$I$7:$I$100,2)+SUMIFS('24h'!$N$7:$N$100,'24h'!$H$7:$H$100,$A437,'24h'!$I$7:$I$100,2)+SUMIFS('24i'!$N$7:$N$100,'24i'!$H$7:$H$100,$A437,'24i'!$I$7:$I$100,2)+SUMIFS('25'!$N$7:$N$100,'25'!$H$7:$H$100,$A437,'25'!$I$7:$I$100,2)+SUMIFS('26'!$N$7:$N$100,'26'!$H$7:$H$100,$A437,'26'!$I$7:$I$100,2)+SUMIFS('26a'!$N$7:$N$100,'26a'!$H$7:$H$100,$A437,'26a'!$I$7:$I$100,2)+SUMIFS('27'!$N$7:$N$100,'27'!$H$7:$H$100,$A437,'27'!$I$7:$I$100,2)+SUMIFS('27a'!$N$7:$N$100,'27a'!$H$7:$H$100,$A437,'27a'!$I$7:$I$100,2)+SUMIFS('28'!$N$7:$N$100,'28'!$H$7:$H$100,$A437,'28'!$I$7:$I$100,2)+SUMIFS('29'!$N$7:$N$100,'29'!$H$7:$H$100,$A437,'29'!$I$7:$I$100,2)</f>
        <v>0</v>
      </c>
      <c r="E437" s="1315">
        <f>SUMIFS('12'!$N$7:$N$100,'12'!$H$7:$H$100,$A437,'12'!$I$7:$I$100,"")+SUMIFS('13'!$N$7:$N$100,'13'!$H$7:$H$100,$A437,'13'!$I$7:$I$100,"")+SUMIFS('14'!$N$7:$N$100,'14'!$H$7:$H$100,$A437,'14'!$I$7:$I$100,"")+SUMIFS('15'!$N$7:$N$100,'15'!$H$7:$H$100,$A437,'15'!$I$7:$I$100,"")+SUMIFS('15a'!$N$7:$N$100,'15a'!$H$7:$H$100,$A437,'15a'!$I$7:$I$100,"")+SUMIFS('15b'!$N$7:$N$100,'15b'!$H$7:$H$100,$A437,'15b'!$I$7:$I$100,"")+SUMIFS('15c'!$N$7:$N$100,'15c'!$H$7:$H$100,$A437,'15c'!$I$7:$I$100,"")+SUMIFS('15d'!$N$7:$N$100,'15d'!$H$7:$H$100,$A437,'15d'!$I$7:$I$100,"")+SUMIFS('15e'!$N$7:$N$100,'15e'!$H$7:$H$100,$A437,'15e'!$I$7:$I$100,"")+SUMIFS('15f'!$N$7:$N$100,'15f'!$H$7:$H$100,$A437,'15f'!$I$7:$I$100,"")+SUMIFS('15g'!$N$7:$N$100,'15g'!$H$7:$H$100,$A437,'15g'!$I$7:$I$100,"")+SUMIFS('15h'!$N$7:$N$100,'15h'!$H$7:$H$100,$A437,'15h'!$I$7:$I$100,"")+SUMIFS('15i'!$N$7:$N$100,'15i'!$H$7:$H$100,$A437,'15i'!$I$7:$I$100,"")+SUMIFS('15j'!$N$7:$N$100,'15j'!$H$7:$H$100,$A437,'15j'!$I$7:$I$100,"")+SUMIFS('15k'!$N$7:$N$100,'15k'!$H$7:$H$100,$A437,'15k'!$I$7:$I$100,"")+SUMIFS('15l'!$N$7:$N$100,'15l'!$H$7:$H$100,$A437,'15l'!$I$7:$I$100,"")+SUMIFS('15m'!$N$7:$N$100,'15m'!$H$7:$H$100,$A437,'15m'!$I$7:$I$100,"")+SUMIFS('15n'!$N$7:$N$100,'15n'!$H$7:$H$100,$A437,'15n'!$I$7:$I$100,"")+SUMIFS('16'!$N$7:$N$100,'16'!$H$7:$H$100,$A437,'16'!$I$7:$I$100,"")+SUMIFS('16a'!$N$7:$N$100,'16a'!$H$7:$H$100,$A437,'16a'!$I$7:$I$100,"")+SUMIFS('17'!$N$7:$N$100,'17'!$H$7:$H$100,$A437,'17'!$I$7:$I$100,"")+SUMIFS('17a'!$N$7:$N$100,'17a'!$H$7:$H$100,$A437,'17a'!$I$7:$I$100,"")+SUMIFS('18'!$N$7:$N$100,'18'!$H$7:$H$100,$A437,'18'!$I$7:$I$100,"")+SUMIFS('18a'!$N$7:$N$100,'18a'!$H$7:$H$100,$A437,'18a'!$I$7:$I$100,"")
+SUMIFS('19'!$N$7:$N$100,'19'!$H$7:$H$100,$A437,'19'!$I$7:$I$100,"")+SUMIFS('20'!$N$7:$N$100,'20'!$H$7:$H$100,$A437,'20'!$I$7:$I$100,"")+SUMIFS('20a'!$N$7:$N$100,'20a'!$H$7:$H$100,$A437,'20a'!$I$7:$I$100,"")+SUMIFS('21'!$N$7:$N$100,'21'!$H$7:$H$100,$A437,'21'!$I$7:$I$100,"")+SUMIFS('22'!$N$7:$N$100,'22'!$H$7:$H$100,$A437,'22'!$I$7:$I$100,"")+SUMIFS('22a'!$N$7:$N$100,'22a'!$H$7:$H$100,$A437,'22a'!$I$7:$I$100,"")+SUMIFS('22b'!$N$7:$N$100,'22b'!$H$7:$H$100,$A437,'22b'!$I$7:$I$100,"")+SUMIFS('23'!$N$7:$N$100,'23'!$H$7:$H$100,$A437,'23'!$I$7:$I$100,"")+SUMIFS('24'!$N$7:$N$100,'24'!$H$7:$H$100,$A437,'24'!$I$7:$I$100,"")+SUMIFS('24a'!$N$7:$N$100,'24a'!$H$7:$H$100,$A437,'24a'!$I$7:$I$100,"")+SUMIFS('24b'!$N$7:$N$100,'24b'!$H$7:$H$100,$A437,'24b'!$I$7:$I$100,"")+SUMIFS('24c'!$N$7:$N$100,'24c'!$H$7:$H$100,$A437,'24c'!$I$7:$I$100,"")+SUMIFS('24d'!$N$7:$N$100,'24d'!$H$7:$H$100,$A437,'24d'!$I$7:$I$100,"")+SUMIFS('24e'!$N$7:$N$100,'24e'!$H$7:$H$100,$A437,'24e'!$I$7:$I$100,"")+SUMIFS('24f'!$N$7:$N$100,'24f'!$H$7:$H$100,$A437,'24f'!$I$7:$I$100,"")+SUMIFS('24g'!$N$7:$N$100,'24g'!$H$7:$H$100,$A437,'24g'!$I$7:$I$100,"")+SUMIFS('24h'!$N$7:$N$100,'24h'!$H$7:$H$100,$A437,'24h'!$I$7:$I$100,"")+SUMIFS('24i'!$N$7:$N$100,'24i'!$H$7:$H$100,$A437,'24i'!$I$7:$I$100,"")+SUMIFS('25'!$N$7:$N$100,'25'!$H$7:$H$100,$A437,'25'!$I$7:$I$100,"")+SUMIFS('26'!$N$7:$N$100,'26'!$H$7:$H$100,$A437,'26'!$I$7:$I$100,"")+SUMIFS('26a'!$N$7:$N$100,'26a'!$H$7:$H$100,$A437,'26a'!$I$7:$I$100,"")+SUMIFS('27'!$N$7:$N$100,'27'!$H$7:$H$100,$A437,'27'!$I$7:$I$100,"")+SUMIFS('27a'!$N$7:$N$100,'27a'!$H$7:$H$100,$A437,'27a'!$I$7:$I$100,"")+SUMIFS('28'!$N$7:$N$100,'28'!$H$7:$H$100,$A437,'28'!$I$7:$I$100,"")+SUMIFS('29'!$N$7:$N$100,'29'!$H$7:$H$100,$A437,'29'!$I$7:$I$100,"")</f>
        <v>0</v>
      </c>
      <c r="F437" s="1296">
        <f t="shared" si="76"/>
        <v>0</v>
      </c>
      <c r="G437" s="1295">
        <f>SUMIFS('12'!$J$7:$J$100,'12'!$H$7:$H$100,$A437,'12'!$I$7:$I$100,1)+SUMIFS('13'!$J$7:$J$100,'13'!$H$7:$H$100,$A437,'13'!$I$7:$I$100,1)+SUMIFS('14'!$J$7:$J$100,'14'!$H$7:$H$100,$A437,'14'!$I$7:$I$100,1)+SUMIFS('15'!$J$7:$J$100,'15'!$H$7:$H$100,$A437,'15'!$I$7:$I$100,1)+SUMIFS('15a'!$J$7:$J$100,'15a'!$H$7:$H$100,$A437,'15a'!$I$7:$I$100,1)+SUMIFS('15b'!$J$7:$J$100,'15b'!$H$7:$H$100,$A437,'15b'!$I$7:$I$100,1)+SUMIFS('15c'!$J$7:$J$100,'15c'!$H$7:$H$100,$A437,'15c'!$I$7:$I$100,1)+SUMIFS('15d'!$J$7:$J$100,'15d'!$H$7:$H$100,$A437,'15d'!$I$7:$I$100,1)+SUMIFS('15e'!$J$7:$J$100,'15e'!$H$7:$H$100,$A437,'15e'!$I$7:$I$100,1)+SUMIFS('15f'!$J$7:$J$100,'15f'!$H$7:$H$100,$A437,'15f'!$I$7:$I$100,1)+SUMIFS('15g'!$J$7:$J$100,'15g'!$H$7:$H$100,$A437,'15g'!$I$7:$I$100,1)+SUMIFS('15h'!$J$7:$J$100,'15h'!$H$7:$H$100,$A437,'15h'!$I$7:$I$100,1)+SUMIFS('15i'!$J$7:$J$100,'15i'!$H$7:$H$100,$A437,'15i'!$I$7:$I$100,1)+SUMIFS('15j'!$J$7:$J$100,'15j'!$H$7:$H$100,$A437,'15j'!$I$7:$I$100,1)+SUMIFS('15k'!$J$7:$J$100,'15k'!$H$7:$H$100,$A437,'15k'!$I$7:$I$100,1)+SUMIFS('15l'!$J$7:$J$100,'15l'!$H$7:$H$100,$A437,'15l'!$I$7:$I$100,1)+SUMIFS('15m'!$J$7:$J$100,'15m'!$H$7:$H$100,$A437,'15m'!$I$7:$I$100,1)+SUMIFS('15n'!$J$7:$J$100,'15n'!$H$7:$H$100,$A437,'15n'!$I$7:$I$100,1)+SUMIFS('16'!$J$7:$J$100,'16'!$H$7:$H$100,$A437,'16'!$I$7:$I$100,1)+SUMIFS('16a'!$J$7:$J$100,'16a'!$H$7:$H$100,$A437,'16a'!$I$7:$I$100,1)+SUMIFS('17'!$J$7:$J$100,'17'!$H$7:$H$100,$A437,'17'!$I$7:$I$100,1)+SUMIFS('17a'!$J$7:$J$100,'17a'!$H$7:$H$100,$A437,'17a'!$I$7:$I$100,1)+SUMIFS('18'!$J$7:$J$100,'18'!$H$7:$H$100,$A437,'18'!$I$7:$I$100,1)+SUMIFS('18a'!$J$7:$J$100,'18a'!$H$7:$H$100,$A437,'18a'!$I$7:$I$100,1)
+SUMIFS('19'!$J$7:$J$100,'19'!$H$7:$H$100,$A437,'19'!$I$7:$I$100,1)+SUMIFS('20'!$J$7:$J$100,'20'!$H$7:$H$100,$A437,'20'!$I$7:$I$100,1)+SUMIFS('20a'!$J$7:$J$100,'20a'!$H$7:$H$100,$A437,'20a'!$I$7:$I$100,1)+SUMIFS('21'!$J$7:$J$100,'21'!$H$7:$H$100,$A437,'21'!$I$7:$I$100,1)+SUMIFS('22'!$J$7:$J$100,'22'!$H$7:$H$100,$A437,'22'!$I$7:$I$100,1)+SUMIFS('22a'!$J$7:$J$100,'22a'!$H$7:$H$100,$A437,'22a'!$I$7:$I$100,1)+SUMIFS('22b'!$J$7:$J$100,'22b'!$H$7:$H$100,$A437,'22b'!$I$7:$I$100,1)+SUMIFS('23'!$J$7:$J$100,'23'!$H$7:$H$100,$A437,'23'!$I$7:$I$100,1)+SUMIFS('24'!$J$7:$J$100,'24'!$H$7:$H$100,$A437,'24'!$I$7:$I$100,1)+SUMIFS('24a'!$J$7:$J$100,'24a'!$H$7:$H$100,$A437,'24a'!$I$7:$I$100,1)+SUMIFS('24b'!$J$7:$J$100,'24b'!$H$7:$H$100,$A437,'24b'!$I$7:$I$100,1)+SUMIFS('24c'!$J$7:$J$100,'24c'!$H$7:$H$100,$A437,'24c'!$I$7:$I$100,1)+SUMIFS('24d'!$J$7:$J$100,'24d'!$H$7:$H$100,$A437,'24d'!$I$7:$I$100,1)+SUMIFS('24e'!$J$7:$J$100,'24e'!$H$7:$H$100,$A437,'24e'!$I$7:$I$100,1)+SUMIFS('24f'!$J$7:$J$100,'24f'!$H$7:$H$100,$A437,'24f'!$I$7:$I$100,1)+SUMIFS('24g'!$J$7:$J$100,'24g'!$H$7:$H$100,$A437,'24g'!$I$7:$I$100,1)+SUMIFS('24h'!$J$7:$J$100,'24h'!$H$7:$H$100,$A437,'24h'!$I$7:$I$100,1)+SUMIFS('24i'!$J$7:$J$100,'24i'!$H$7:$H$100,$A437,'24i'!$I$7:$I$100,1)+SUMIFS('25'!$J$7:$J$100,'25'!$H$7:$H$100,$A437,'25'!$I$7:$I$100,1)+SUMIFS('26'!$J$7:$J$100,'26'!$H$7:$H$100,$A437,'26'!$I$7:$I$100,1)+SUMIFS('26a'!$J$7:$J$100,'26a'!$H$7:$H$100,$A437,'26a'!$I$7:$I$100,1)+SUMIFS('27'!$J$7:$J$100,'27'!$H$7:$H$100,$A437,'27'!$I$7:$I$100,1)+SUMIFS('27a'!$J$7:$J$100,'27a'!$H$7:$H$100,$A437,'27a'!$I$7:$I$100,1)+SUMIFS('28'!$J$7:$J$100,'28'!$H$7:$H$100,$A437,'28'!$I$7:$I$100,1)+SUMIFS('29'!$J$7:$J$100,'29'!$H$7:$H$100,$A437,'29'!$I$7:$I$100,1)</f>
        <v>0</v>
      </c>
      <c r="H437" s="1315">
        <f>SUMIFS('12'!$J$7:$J$100,'12'!$H$7:$H$100,$A437,'12'!$I$7:$I$100,2)+SUMIFS('13'!$J$7:$J$100,'13'!$H$7:$H$100,$A437,'13'!$I$7:$I$100,2)+SUMIFS('14'!$J$7:$J$100,'14'!$H$7:$H$100,$A437,'14'!$I$7:$I$100,2)+SUMIFS('15'!$J$7:$J$100,'15'!$H$7:$H$100,$A437,'15'!$I$7:$I$100,2)+SUMIFS('15a'!$J$7:$J$100,'15a'!$H$7:$H$100,$A437,'15a'!$I$7:$I$100,2)+SUMIFS('15b'!$J$7:$J$100,'15b'!$H$7:$H$100,$A437,'15b'!$I$7:$I$100,2)+SUMIFS('15c'!$J$7:$J$100,'15c'!$H$7:$H$100,$A437,'15c'!$I$7:$I$100,2)+SUMIFS('15d'!$J$7:$J$100,'15d'!$H$7:$H$100,$A437,'15d'!$I$7:$I$100,2)+SUMIFS('15e'!$J$7:$J$100,'15e'!$H$7:$H$100,$A437,'15e'!$I$7:$I$100,2)+SUMIFS('15f'!$J$7:$J$100,'15f'!$H$7:$H$100,$A437,'15f'!$I$7:$I$100,2)+SUMIFS('15g'!$J$7:$J$100,'15g'!$H$7:$H$100,$A437,'15g'!$I$7:$I$100,2)+SUMIFS('15h'!$J$7:$J$100,'15h'!$H$7:$H$100,$A437,'15h'!$I$7:$I$100,2)+SUMIFS('15i'!$J$7:$J$100,'15i'!$H$7:$H$100,$A437,'15i'!$I$7:$I$100,2)+SUMIFS('15j'!$J$7:$J$100,'15j'!$H$7:$H$100,$A437,'15j'!$I$7:$I$100,2)+SUMIFS('15k'!$J$7:$J$100,'15k'!$H$7:$H$100,$A437,'15k'!$I$7:$I$100,2)+SUMIFS('15l'!$J$7:$J$100,'15l'!$H$7:$H$100,$A437,'15l'!$I$7:$I$100,2)+SUMIFS('15m'!$J$7:$J$100,'15m'!$H$7:$H$100,$A437,'15m'!$I$7:$I$100,2)+SUMIFS('15n'!$J$7:$J$100,'15n'!$H$7:$H$100,$A437,'15n'!$I$7:$I$100,2)+SUMIFS('16'!$J$7:$J$100,'16'!$H$7:$H$100,$A437,'16'!$I$7:$I$100,2)+SUMIFS('16a'!$J$7:$J$100,'16a'!$H$7:$H$100,$A437,'16a'!$I$7:$I$100,2)+SUMIFS('17'!$J$7:$J$100,'17'!$H$7:$H$100,$A437,'17'!$I$7:$I$100,2)+SUMIFS('17a'!$J$7:$J$100,'17a'!$H$7:$H$100,$A437,'17a'!$I$7:$I$100,2)+SUMIFS('18'!$J$7:$J$100,'18'!$H$7:$H$100,$A437,'18'!$I$7:$I$100,2)+SUMIFS('18a'!$J$7:$J$100,'18a'!$H$7:$H$100,$A437,'18a'!$I$7:$I$100,2)
+SUMIFS('19'!$J$7:$J$100,'19'!$H$7:$H$100,$A437,'19'!$I$7:$I$100,2)+SUMIFS('20'!$J$7:$J$100,'20'!$H$7:$H$100,$A437,'20'!$I$7:$I$100,2)+SUMIFS('20a'!$J$7:$J$100,'20a'!$H$7:$H$100,$A437,'20a'!$I$7:$I$100,2)+SUMIFS('21'!$J$7:$J$100,'21'!$H$7:$H$100,$A437,'21'!$I$7:$I$100,2)+SUMIFS('22'!$J$7:$J$100,'22'!$H$7:$H$100,$A437,'22'!$I$7:$I$100,2)+SUMIFS('22a'!$J$7:$J$100,'22a'!$H$7:$H$100,$A437,'22a'!$I$7:$I$100,2)+SUMIFS('22b'!$J$7:$J$100,'22b'!$H$7:$H$100,$A437,'22b'!$I$7:$I$100,2)+SUMIFS('23'!$J$7:$J$100,'23'!$H$7:$H$100,$A437,'23'!$I$7:$I$100,2)+SUMIFS('24'!$J$7:$J$100,'24'!$H$7:$H$100,$A437,'24'!$I$7:$I$100,2)+SUMIFS('24a'!$J$7:$J$100,'24a'!$H$7:$H$100,$A437,'24a'!$I$7:$I$100,2)+SUMIFS('24b'!$J$7:$J$100,'24b'!$H$7:$H$100,$A437,'24b'!$I$7:$I$100,2)+SUMIFS('24c'!$J$7:$J$100,'24c'!$H$7:$H$100,$A437,'24c'!$I$7:$I$100,2)+SUMIFS('24d'!$J$7:$J$100,'24d'!$H$7:$H$100,$A437,'24d'!$I$7:$I$100,2)+SUMIFS('24e'!$J$7:$J$100,'24e'!$H$7:$H$100,$A437,'24e'!$I$7:$I$100,2)+SUMIFS('24f'!$J$7:$J$100,'24f'!$H$7:$H$100,$A437,'24f'!$I$7:$I$100,2)+SUMIFS('24g'!$J$7:$J$100,'24g'!$H$7:$H$100,$A437,'24g'!$I$7:$I$100,2)+SUMIFS('24h'!$J$7:$J$100,'24h'!$H$7:$H$100,$A437,'24h'!$I$7:$I$100,2)+SUMIFS('24i'!$J$7:$J$100,'24i'!$H$7:$H$100,$A437,'24i'!$I$7:$I$100,2)+SUMIFS('25'!$J$7:$J$100,'25'!$H$7:$H$100,$A437,'25'!$I$7:$I$100,2)+SUMIFS('26'!$J$7:$J$100,'26'!$H$7:$H$100,$A437,'26'!$I$7:$I$100,2)+SUMIFS('26a'!$J$7:$J$100,'26a'!$H$7:$H$100,$A437,'26a'!$I$7:$I$100,2)+SUMIFS('27'!$J$7:$J$100,'27'!$H$7:$H$100,$A437,'27'!$I$7:$I$100,2)+SUMIFS('27a'!$J$7:$J$100,'27a'!$H$7:$H$100,$A437,'27a'!$I$7:$I$100,2)+SUMIFS('28'!$J$7:$J$100,'28'!$H$7:$H$100,$A437,'28'!$I$7:$I$100,2)+SUMIFS('29'!$J$7:$J$100,'29'!$H$7:$H$100,$A437,'29'!$I$7:$I$100,2)</f>
        <v>0</v>
      </c>
      <c r="I437" s="1315">
        <f>SUMIFS('12'!$J$7:$J$100,'12'!$H$7:$H$100,$A437,'12'!$I$7:$I$100,"")+SUMIFS('13'!$J$7:$J$100,'13'!$H$7:$H$100,$A437,'13'!$I$7:$I$100,"")+SUMIFS('14'!$J$7:$J$100,'14'!$H$7:$H$100,$A437,'14'!$I$7:$I$100,"")+SUMIFS('15'!$J$7:$J$100,'15'!$H$7:$H$100,$A437,'15'!$I$7:$I$100,"")+SUMIFS('15a'!$J$7:$J$100,'15a'!$H$7:$H$100,$A437,'15a'!$I$7:$I$100,"")+SUMIFS('15b'!$J$7:$J$100,'15b'!$H$7:$H$100,$A437,'15b'!$I$7:$I$100,"")+SUMIFS('15c'!$J$7:$J$100,'15c'!$H$7:$H$100,$A437,'15c'!$I$7:$I$100,"")+SUMIFS('15d'!$J$7:$J$100,'15d'!$H$7:$H$100,$A437,'15d'!$I$7:$I$100,"")+SUMIFS('15e'!$J$7:$J$100,'15e'!$H$7:$H$100,$A437,'15e'!$I$7:$I$100,"")+SUMIFS('15f'!$J$7:$J$100,'15f'!$H$7:$H$100,$A437,'15f'!$I$7:$I$100,"")+SUMIFS('15g'!$J$7:$J$100,'15g'!$H$7:$H$100,$A437,'15g'!$I$7:$I$100,"")+SUMIFS('15h'!$J$7:$J$100,'15h'!$H$7:$H$100,$A437,'15h'!$I$7:$I$100,"")+SUMIFS('15i'!$J$7:$J$100,'15i'!$H$7:$H$100,$A437,'15i'!$I$7:$I$100,"")+SUMIFS('15j'!$J$7:$J$100,'15j'!$H$7:$H$100,$A437,'15j'!$I$7:$I$100,"")+SUMIFS('15k'!$J$7:$J$100,'15k'!$H$7:$H$100,$A437,'15k'!$I$7:$I$100,"")+SUMIFS('15l'!$J$7:$J$100,'15l'!$H$7:$H$100,$A437,'15l'!$I$7:$I$100,"")+SUMIFS('15m'!$J$7:$J$100,'15m'!$H$7:$H$100,$A437,'15m'!$I$7:$I$100,"")+SUMIFS('15n'!$J$7:$J$100,'15n'!$H$7:$H$100,$A437,'15n'!$I$7:$I$100,"")+SUMIFS('16'!$J$7:$J$100,'16'!$H$7:$H$100,$A437,'16'!$I$7:$I$100,"")+SUMIFS('16a'!$J$7:$J$100,'16a'!$H$7:$H$100,$A437,'16a'!$I$7:$I$100,"")+SUMIFS('17'!$J$7:$J$100,'17'!$H$7:$H$100,$A437,'17'!$I$7:$I$100,"")+SUMIFS('17a'!$J$7:$J$100,'17a'!$H$7:$H$100,$A437,'17a'!$I$7:$I$100,"")+SUMIFS('18'!$J$7:$J$100,'18'!$H$7:$H$100,$A437,'18'!$I$7:$I$100,"")+SUMIFS('18a'!$J$7:$J$100,'18a'!$H$7:$H$100,$A437,'18a'!$I$7:$I$100,"")
+SUMIFS('19'!$J$7:$J$100,'19'!$H$7:$H$100,$A437,'19'!$I$7:$I$100,"")+SUMIFS('20'!$J$7:$J$100,'20'!$H$7:$H$100,$A437,'20'!$I$7:$I$100,"")+SUMIFS('20a'!$J$7:$J$100,'20a'!$H$7:$H$100,$A437,'20a'!$I$7:$I$100,"")+SUMIFS('21'!$J$7:$J$100,'21'!$H$7:$H$100,$A437,'21'!$I$7:$I$100,"")+SUMIFS('22'!$J$7:$J$100,'22'!$H$7:$H$100,$A437,'22'!$I$7:$I$100,"")+SUMIFS('22a'!$J$7:$J$100,'22a'!$H$7:$H$100,$A437,'22a'!$I$7:$I$100,"")+SUMIFS('22b'!$J$7:$J$100,'22b'!$H$7:$H$100,$A437,'22b'!$I$7:$I$100,"")+SUMIFS('23'!$J$7:$J$100,'23'!$H$7:$H$100,$A437,'23'!$I$7:$I$100,"")+SUMIFS('24'!$J$7:$J$100,'24'!$H$7:$H$100,$A437,'24'!$I$7:$I$100,"")+SUMIFS('24a'!$J$7:$J$100,'24a'!$H$7:$H$100,$A437,'24a'!$I$7:$I$100,"")+SUMIFS('24b'!$J$7:$J$100,'24b'!$H$7:$H$100,$A437,'24b'!$I$7:$I$100,"")+SUMIFS('24c'!$J$7:$J$100,'24c'!$H$7:$H$100,$A437,'24c'!$I$7:$I$100,"")+SUMIFS('24d'!$J$7:$J$100,'24d'!$H$7:$H$100,$A437,'24d'!$I$7:$I$100,"")+SUMIFS('24e'!$J$7:$J$100,'24e'!$H$7:$H$100,$A437,'24e'!$I$7:$I$100,"")+SUMIFS('24f'!$J$7:$J$100,'24f'!$H$7:$H$100,$A437,'24f'!$I$7:$I$100,"")+SUMIFS('24g'!$J$7:$J$100,'24g'!$H$7:$H$100,$A437,'24g'!$I$7:$I$100,"")+SUMIFS('24h'!$J$7:$J$100,'24h'!$H$7:$H$100,$A437,'24h'!$I$7:$I$100,"")+SUMIFS('24i'!$J$7:$J$100,'24i'!$H$7:$H$100,$A437,'24i'!$I$7:$I$100,"")+SUMIFS('25'!$J$7:$J$100,'25'!$H$7:$H$100,$A437,'25'!$I$7:$I$100,"")+SUMIFS('26'!$J$7:$J$100,'26'!$H$7:$H$100,$A437,'26'!$I$7:$I$100,"")+SUMIFS('26a'!$J$7:$J$100,'26a'!$H$7:$H$100,$A437,'26a'!$I$7:$I$100,"")+SUMIFS('27'!$J$7:$J$100,'27'!$H$7:$H$100,$A437,'27'!$I$7:$I$100,"")+SUMIFS('27a'!$J$7:$J$100,'27a'!$H$7:$H$100,$A437,'27a'!$I$7:$I$100,"")+SUMIFS('28'!$J$7:$J$100,'28'!$H$7:$H$100,$A437,'28'!$I$7:$I$100,"")+SUMIFS('29'!$J$7:$J$100,'29'!$H$7:$H$100,$A437,'29'!$I$7:$I$100,"")</f>
        <v>0</v>
      </c>
      <c r="J437" s="1296">
        <f t="shared" si="77"/>
        <v>0</v>
      </c>
      <c r="K437"/>
      <c r="L437"/>
      <c r="M437"/>
      <c r="N437"/>
      <c r="O437"/>
      <c r="P437"/>
      <c r="Q437"/>
      <c r="R437"/>
      <c r="S437" s="1307">
        <f t="shared" si="71"/>
        <v>0</v>
      </c>
      <c r="T437"/>
    </row>
    <row r="438" spans="1:20" x14ac:dyDescent="0.2">
      <c r="A438"/>
      <c r="B438" s="1289" t="str">
        <f>"Total- "&amp;A423</f>
        <v>Total- Deferred Charges and Emergencies</v>
      </c>
      <c r="C438" s="1297">
        <f>SUM(C431:C437,C424:C425)</f>
        <v>0</v>
      </c>
      <c r="D438" s="1290">
        <f t="shared" ref="D438:J438" si="78">SUM(D431:D437,D424:D425)</f>
        <v>0</v>
      </c>
      <c r="E438" s="1290">
        <f>SUM(E431:E437,E424:E425)</f>
        <v>13000</v>
      </c>
      <c r="F438" s="1298">
        <f t="shared" si="78"/>
        <v>13000</v>
      </c>
      <c r="G438" s="1297">
        <f t="shared" si="78"/>
        <v>0</v>
      </c>
      <c r="H438" s="1290">
        <f>SUM(H431:H437,H424:H425)</f>
        <v>0</v>
      </c>
      <c r="I438" s="1290">
        <f t="shared" si="78"/>
        <v>13000</v>
      </c>
      <c r="J438" s="1298">
        <f t="shared" si="78"/>
        <v>13000</v>
      </c>
      <c r="K438"/>
      <c r="L438"/>
      <c r="M438"/>
      <c r="N438"/>
      <c r="O438"/>
      <c r="P438"/>
      <c r="Q438"/>
      <c r="R438"/>
      <c r="S438" s="1307"/>
      <c r="T438"/>
    </row>
    <row r="439" spans="1:20" x14ac:dyDescent="0.2">
      <c r="A439"/>
      <c r="B439"/>
      <c r="C439" s="292"/>
      <c r="D439"/>
      <c r="E439"/>
      <c r="F439" s="345"/>
      <c r="G439" s="292"/>
      <c r="H439"/>
      <c r="I439"/>
      <c r="J439" s="345"/>
      <c r="K439"/>
      <c r="L439"/>
      <c r="M439"/>
      <c r="N439"/>
      <c r="O439"/>
      <c r="P439"/>
      <c r="Q439"/>
      <c r="R439"/>
      <c r="S439" s="1307"/>
      <c r="T439"/>
    </row>
    <row r="440" spans="1:20" x14ac:dyDescent="0.2">
      <c r="A440" s="106" t="s">
        <v>5454</v>
      </c>
      <c r="B440" s="5"/>
      <c r="C440" s="1299"/>
      <c r="D440" s="523"/>
      <c r="E440" s="5"/>
      <c r="F440" s="1322"/>
      <c r="G440" s="1321"/>
      <c r="H440" s="5"/>
      <c r="I440" s="5"/>
      <c r="J440" s="1322"/>
      <c r="K440"/>
      <c r="L440"/>
      <c r="M440"/>
      <c r="N440"/>
      <c r="O440"/>
      <c r="P440"/>
      <c r="Q440"/>
      <c r="R440"/>
      <c r="S440" s="1307"/>
      <c r="T440"/>
    </row>
    <row r="441" spans="1:20" x14ac:dyDescent="0.2">
      <c r="A441" t="s">
        <v>552</v>
      </c>
      <c r="B441" t="s">
        <v>5564</v>
      </c>
      <c r="C441" s="1295">
        <f>SUMIFS('12'!$N$7:$N$100,'12'!$H$7:$H$100,$A441,'12'!$I$7:$I$100,1)+SUMIFS('13'!$N$7:$N$100,'13'!$H$7:$H$100,$A441,'13'!$I$7:$I$100,1)+SUMIFS('14'!$N$7:$N$100,'14'!$H$7:$H$100,$A441,'14'!$I$7:$I$100,1)+SUMIFS('15'!$N$7:$N$100,'15'!$H$7:$H$100,$A441,'15'!$I$7:$I$100,1)+SUMIFS('15a'!$N$7:$N$100,'15a'!$H$7:$H$100,$A441,'15a'!$I$7:$I$100,1)+SUMIFS('15b'!$N$7:$N$100,'15b'!$H$7:$H$100,$A441,'15b'!$I$7:$I$100,1)+SUMIFS('15c'!$N$7:$N$100,'15c'!$H$7:$H$100,$A441,'15c'!$I$7:$I$100,1)+SUMIFS('15d'!$N$7:$N$100,'15d'!$H$7:$H$100,$A441,'15d'!$I$7:$I$100,1)+SUMIFS('15e'!$N$7:$N$100,'15e'!$H$7:$H$100,$A441,'15e'!$I$7:$I$100,1)+SUMIFS('15f'!$N$7:$N$100,'15f'!$H$7:$H$100,$A441,'15f'!$I$7:$I$100,1)+SUMIFS('15g'!$N$7:$N$100,'15g'!$H$7:$H$100,$A441,'15g'!$I$7:$I$100,1)+SUMIFS('15h'!$N$7:$N$100,'15h'!$H$7:$H$100,$A441,'15h'!$I$7:$I$100,1)+SUMIFS('15i'!$N$7:$N$100,'15i'!$H$7:$H$100,$A441,'15i'!$I$7:$I$100,1)+SUMIFS('15j'!$N$7:$N$100,'15j'!$H$7:$H$100,$A441,'15j'!$I$7:$I$100,1)+SUMIFS('15k'!$N$7:$N$100,'15k'!$H$7:$H$100,$A441,'15k'!$I$7:$I$100,1)+SUMIFS('15l'!$N$7:$N$100,'15l'!$H$7:$H$100,$A441,'15l'!$I$7:$I$100,1)+SUMIFS('15m'!$N$7:$N$100,'15m'!$H$7:$H$100,$A441,'15m'!$I$7:$I$100,1)+SUMIFS('15n'!$N$7:$N$100,'15n'!$H$7:$H$100,$A441,'15n'!$I$7:$I$100,1)+SUMIFS('16'!$N$7:$N$100,'16'!$H$7:$H$100,$A441,'16'!$I$7:$I$100,1)+SUMIFS('16a'!$N$7:$N$100,'16a'!$H$7:$H$100,$A441,'16a'!$I$7:$I$100,1)+SUMIFS('17'!$N$7:$N$100,'17'!$H$7:$H$100,$A441,'17'!$I$7:$I$100,1)+SUMIFS('17a'!$N$7:$N$100,'17a'!$H$7:$H$100,$A441,'17a'!$I$7:$I$100,1)+SUMIFS('18'!$N$7:$N$100,'18'!$H$7:$H$100,$A441,'18'!$I$7:$I$100,1)+SUMIFS('18a'!$N$7:$N$100,'18a'!$H$7:$H$100,$A441,'18a'!$I$7:$I$100,1)
+SUMIFS('19'!$N$7:$N$100,'19'!$H$7:$H$100,$A441,'19'!$I$7:$I$100,1)+SUMIFS('20'!$N$7:$N$100,'20'!$H$7:$H$100,$A441,'20'!$I$7:$I$100,1)+SUMIFS('20a'!$N$7:$N$100,'20a'!$H$7:$H$100,$A441,'20a'!$I$7:$I$100,1)+SUMIFS('21'!$N$7:$N$100,'21'!$H$7:$H$100,$A441,'21'!$I$7:$I$100,1)+SUMIFS('22'!$N$7:$N$100,'22'!$H$7:$H$100,$A441,'22'!$I$7:$I$100,1)+SUMIFS('22a'!$N$7:$N$100,'22a'!$H$7:$H$100,$A441,'22a'!$I$7:$I$100,1)+SUMIFS('22b'!$N$7:$N$100,'22b'!$H$7:$H$100,$A441,'22b'!$I$7:$I$100,1)+SUMIFS('23'!$N$7:$N$100,'23'!$H$7:$H$100,$A441,'23'!$I$7:$I$100,1)+SUMIFS('24'!$N$7:$N$100,'24'!$H$7:$H$100,$A441,'24'!$I$7:$I$100,1)+SUMIFS('24a'!$N$7:$N$100,'24a'!$H$7:$H$100,$A441,'24a'!$I$7:$I$100,1)+SUMIFS('24b'!$N$7:$N$100,'24b'!$H$7:$H$100,$A441,'24b'!$I$7:$I$100,1)+SUMIFS('24c'!$N$7:$N$100,'24c'!$H$7:$H$100,$A441,'24c'!$I$7:$I$100,1)+SUMIFS('24d'!$N$7:$N$100,'24d'!$H$7:$H$100,$A441,'24d'!$I$7:$I$100,1)+SUMIFS('24e'!$N$7:$N$100,'24e'!$H$7:$H$100,$A441,'24e'!$I$7:$I$100,1)+SUMIFS('24f'!$N$7:$N$100,'24f'!$H$7:$H$100,$A441,'24f'!$I$7:$I$100,1)+SUMIFS('24g'!$N$7:$N$100,'24g'!$H$7:$H$100,$A441,'24g'!$I$7:$I$100,1)+SUMIFS('24h'!$N$7:$N$100,'24h'!$H$7:$H$100,$A441,'24h'!$I$7:$I$100,1)+SUMIFS('24i'!$N$7:$N$100,'24i'!$H$7:$H$100,$A441,'24i'!$I$7:$I$100,1)+SUMIFS('25'!$N$7:$N$100,'25'!$H$7:$H$100,$A441,'25'!$I$7:$I$100,1)+SUMIFS('26'!$N$7:$N$100,'26'!$H$7:$H$100,$A441,'26'!$I$7:$I$100,1)+SUMIFS('26a'!$N$7:$N$100,'26a'!$H$7:$H$100,$A441,'26a'!$I$7:$I$100,1)+SUMIFS('27'!$N$7:$N$100,'27'!$H$7:$H$100,$A441,'27'!$I$7:$I$100,1)+SUMIFS('27a'!$N$7:$N$100,'27a'!$H$7:$H$100,$A441,'27a'!$I$7:$I$100,1)+SUMIFS('28'!$N$7:$N$100,'28'!$H$7:$H$100,$A441,'28'!$I$7:$I$100,1)+SUMIFS('29'!$N$7:$N$100,'29'!$H$7:$H$100,$A441,'29'!$I$7:$I$100,1)</f>
        <v>0</v>
      </c>
      <c r="D441" s="1315">
        <f>SUMIFS('12'!$N$7:$N$100,'12'!$H$7:$H$100,$A441,'12'!$I$7:$I$100,2)+SUMIFS('13'!$N$7:$N$100,'13'!$H$7:$H$100,$A441,'13'!$I$7:$I$100,2)+SUMIFS('14'!$N$7:$N$100,'14'!$H$7:$H$100,$A441,'14'!$I$7:$I$100,2)+SUMIFS('15'!$N$7:$N$100,'15'!$H$7:$H$100,$A441,'15'!$I$7:$I$100,2)+SUMIFS('15a'!$N$7:$N$100,'15a'!$H$7:$H$100,$A441,'15a'!$I$7:$I$100,2)+SUMIFS('15b'!$N$7:$N$100,'15b'!$H$7:$H$100,$A441,'15b'!$I$7:$I$100,2)+SUMIFS('15c'!$N$7:$N$100,'15c'!$H$7:$H$100,$A441,'15c'!$I$7:$I$100,2)+SUMIFS('15d'!$N$7:$N$100,'15d'!$H$7:$H$100,$A441,'15d'!$I$7:$I$100,2)+SUMIFS('15e'!$N$7:$N$100,'15e'!$H$7:$H$100,$A441,'15e'!$I$7:$I$100,2)+SUMIFS('15f'!$N$7:$N$100,'15f'!$H$7:$H$100,$A441,'15f'!$I$7:$I$100,2)+SUMIFS('15g'!$N$7:$N$100,'15g'!$H$7:$H$100,$A441,'15g'!$I$7:$I$100,2)+SUMIFS('15h'!$N$7:$N$100,'15h'!$H$7:$H$100,$A441,'15h'!$I$7:$I$100,2)+SUMIFS('15i'!$N$7:$N$100,'15i'!$H$7:$H$100,$A441,'15i'!$I$7:$I$100,2)+SUMIFS('15j'!$N$7:$N$100,'15j'!$H$7:$H$100,$A441,'15j'!$I$7:$I$100,2)+SUMIFS('15k'!$N$7:$N$100,'15k'!$H$7:$H$100,$A441,'15k'!$I$7:$I$100,2)+SUMIFS('15l'!$N$7:$N$100,'15l'!$H$7:$H$100,$A441,'15l'!$I$7:$I$100,2)+SUMIFS('15m'!$N$7:$N$100,'15m'!$H$7:$H$100,$A441,'15m'!$I$7:$I$100,2)+SUMIFS('15n'!$N$7:$N$100,'15n'!$H$7:$H$100,$A441,'15n'!$I$7:$I$100,2)+SUMIFS('16'!$N$7:$N$100,'16'!$H$7:$H$100,$A441,'16'!$I$7:$I$100,2)+SUMIFS('16a'!$N$7:$N$100,'16a'!$H$7:$H$100,$A441,'16a'!$I$7:$I$100,2)+SUMIFS('17'!$N$7:$N$100,'17'!$H$7:$H$100,$A441,'17'!$I$7:$I$100,2)+SUMIFS('17a'!$N$7:$N$100,'17a'!$H$7:$H$100,$A441,'17a'!$I$7:$I$100,2)+SUMIFS('18'!$N$7:$N$100,'18'!$H$7:$H$100,$A441,'18'!$I$7:$I$100,2)+SUMIFS('18a'!$N$7:$N$100,'18a'!$H$7:$H$100,$A441,'18a'!$I$7:$I$100,2)
+SUMIFS('19'!$N$7:$N$100,'19'!$H$7:$H$100,$A441,'19'!$I$7:$I$100,2)+SUMIFS('20'!$N$7:$N$100,'20'!$H$7:$H$100,$A441,'20'!$I$7:$I$100,2)+SUMIFS('20a'!$N$7:$N$100,'20a'!$H$7:$H$100,$A441,'20a'!$I$7:$I$100,2)+SUMIFS('21'!$N$7:$N$100,'21'!$H$7:$H$100,$A441,'21'!$I$7:$I$100,2)+SUMIFS('22'!$N$7:$N$100,'22'!$H$7:$H$100,$A441,'22'!$I$7:$I$100,2)+SUMIFS('22a'!$N$7:$N$100,'22a'!$H$7:$H$100,$A441,'22a'!$I$7:$I$100,2)+SUMIFS('22b'!$N$7:$N$100,'22b'!$H$7:$H$100,$A441,'22b'!$I$7:$I$100,2)+SUMIFS('23'!$N$7:$N$100,'23'!$H$7:$H$100,$A441,'23'!$I$7:$I$100,2)+SUMIFS('24'!$N$7:$N$100,'24'!$H$7:$H$100,$A441,'24'!$I$7:$I$100,2)+SUMIFS('24a'!$N$7:$N$100,'24a'!$H$7:$H$100,$A441,'24a'!$I$7:$I$100,2)+SUMIFS('24b'!$N$7:$N$100,'24b'!$H$7:$H$100,$A441,'24b'!$I$7:$I$100,2)+SUMIFS('24c'!$N$7:$N$100,'24c'!$H$7:$H$100,$A441,'24c'!$I$7:$I$100,2)+SUMIFS('24d'!$N$7:$N$100,'24d'!$H$7:$H$100,$A441,'24d'!$I$7:$I$100,2)+SUMIFS('24e'!$N$7:$N$100,'24e'!$H$7:$H$100,$A441,'24e'!$I$7:$I$100,2)+SUMIFS('24f'!$N$7:$N$100,'24f'!$H$7:$H$100,$A441,'24f'!$I$7:$I$100,2)+SUMIFS('24g'!$N$7:$N$100,'24g'!$H$7:$H$100,$A441,'24g'!$I$7:$I$100,2)+SUMIFS('24h'!$N$7:$N$100,'24h'!$H$7:$H$100,$A441,'24h'!$I$7:$I$100,2)+SUMIFS('24i'!$N$7:$N$100,'24i'!$H$7:$H$100,$A441,'24i'!$I$7:$I$100,2)+SUMIFS('25'!$N$7:$N$100,'25'!$H$7:$H$100,$A441,'25'!$I$7:$I$100,2)+SUMIFS('26'!$N$7:$N$100,'26'!$H$7:$H$100,$A441,'26'!$I$7:$I$100,2)+SUMIFS('26a'!$N$7:$N$100,'26a'!$H$7:$H$100,$A441,'26a'!$I$7:$I$100,2)+SUMIFS('27'!$N$7:$N$100,'27'!$H$7:$H$100,$A441,'27'!$I$7:$I$100,2)+SUMIFS('27a'!$N$7:$N$100,'27a'!$H$7:$H$100,$A441,'27a'!$I$7:$I$100,2)+SUMIFS('28'!$N$7:$N$100,'28'!$H$7:$H$100,$A441,'28'!$I$7:$I$100,2)+SUMIFS('29'!$N$7:$N$100,'29'!$H$7:$H$100,$A441,'29'!$I$7:$I$100,2)</f>
        <v>0</v>
      </c>
      <c r="E441" s="1315">
        <f>SUMIFS('12'!$N$7:$N$100,'12'!$H$7:$H$100,$A441,'12'!$I$7:$I$100,"")+SUMIFS('13'!$N$7:$N$100,'13'!$H$7:$H$100,$A441,'13'!$I$7:$I$100,"")+SUMIFS('14'!$N$7:$N$100,'14'!$H$7:$H$100,$A441,'14'!$I$7:$I$100,"")+SUMIFS('15'!$N$7:$N$100,'15'!$H$7:$H$100,$A441,'15'!$I$7:$I$100,"")+SUMIFS('15a'!$N$7:$N$100,'15a'!$H$7:$H$100,$A441,'15a'!$I$7:$I$100,"")+SUMIFS('15b'!$N$7:$N$100,'15b'!$H$7:$H$100,$A441,'15b'!$I$7:$I$100,"")+SUMIFS('15c'!$N$7:$N$100,'15c'!$H$7:$H$100,$A441,'15c'!$I$7:$I$100,"")+SUMIFS('15d'!$N$7:$N$100,'15d'!$H$7:$H$100,$A441,'15d'!$I$7:$I$100,"")+SUMIFS('15e'!$N$7:$N$100,'15e'!$H$7:$H$100,$A441,'15e'!$I$7:$I$100,"")+SUMIFS('15f'!$N$7:$N$100,'15f'!$H$7:$H$100,$A441,'15f'!$I$7:$I$100,"")+SUMIFS('15g'!$N$7:$N$100,'15g'!$H$7:$H$100,$A441,'15g'!$I$7:$I$100,"")+SUMIFS('15h'!$N$7:$N$100,'15h'!$H$7:$H$100,$A441,'15h'!$I$7:$I$100,"")+SUMIFS('15i'!$N$7:$N$100,'15i'!$H$7:$H$100,$A441,'15i'!$I$7:$I$100,"")+SUMIFS('15j'!$N$7:$N$100,'15j'!$H$7:$H$100,$A441,'15j'!$I$7:$I$100,"")+SUMIFS('15k'!$N$7:$N$100,'15k'!$H$7:$H$100,$A441,'15k'!$I$7:$I$100,"")+SUMIFS('15l'!$N$7:$N$100,'15l'!$H$7:$H$100,$A441,'15l'!$I$7:$I$100,"")+SUMIFS('15m'!$N$7:$N$100,'15m'!$H$7:$H$100,$A441,'15m'!$I$7:$I$100,"")+SUMIFS('15n'!$N$7:$N$100,'15n'!$H$7:$H$100,$A441,'15n'!$I$7:$I$100,"")+SUMIFS('16'!$N$7:$N$100,'16'!$H$7:$H$100,$A441,'16'!$I$7:$I$100,"")+SUMIFS('16a'!$N$7:$N$100,'16a'!$H$7:$H$100,$A441,'16a'!$I$7:$I$100,"")+SUMIFS('17'!$N$7:$N$100,'17'!$H$7:$H$100,$A441,'17'!$I$7:$I$100,"")+SUMIFS('17a'!$N$7:$N$100,'17a'!$H$7:$H$100,$A441,'17a'!$I$7:$I$100,"")+SUMIFS('18'!$N$7:$N$100,'18'!$H$7:$H$100,$A441,'18'!$I$7:$I$100,"")+SUMIFS('18a'!$N$7:$N$100,'18a'!$H$7:$H$100,$A441,'18a'!$I$7:$I$100,"")
+SUMIFS('19'!$N$7:$N$100,'19'!$H$7:$H$100,$A441,'19'!$I$7:$I$100,"")+SUMIFS('20'!$N$7:$N$100,'20'!$H$7:$H$100,$A441,'20'!$I$7:$I$100,"")+SUMIFS('20a'!$N$7:$N$100,'20a'!$H$7:$H$100,$A441,'20a'!$I$7:$I$100,"")+SUMIFS('21'!$N$7:$N$100,'21'!$H$7:$H$100,$A441,'21'!$I$7:$I$100,"")+SUMIFS('22'!$N$7:$N$100,'22'!$H$7:$H$100,$A441,'22'!$I$7:$I$100,"")+SUMIFS('22a'!$N$7:$N$100,'22a'!$H$7:$H$100,$A441,'22a'!$I$7:$I$100,"")+SUMIFS('22b'!$N$7:$N$100,'22b'!$H$7:$H$100,$A441,'22b'!$I$7:$I$100,"")+SUMIFS('23'!$N$7:$N$100,'23'!$H$7:$H$100,$A441,'23'!$I$7:$I$100,"")+SUMIFS('24'!$N$7:$N$100,'24'!$H$7:$H$100,$A441,'24'!$I$7:$I$100,"")+SUMIFS('24a'!$N$7:$N$100,'24a'!$H$7:$H$100,$A441,'24a'!$I$7:$I$100,"")+SUMIFS('24b'!$N$7:$N$100,'24b'!$H$7:$H$100,$A441,'24b'!$I$7:$I$100,"")+SUMIFS('24c'!$N$7:$N$100,'24c'!$H$7:$H$100,$A441,'24c'!$I$7:$I$100,"")+SUMIFS('24d'!$N$7:$N$100,'24d'!$H$7:$H$100,$A441,'24d'!$I$7:$I$100,"")+SUMIFS('24e'!$N$7:$N$100,'24e'!$H$7:$H$100,$A441,'24e'!$I$7:$I$100,"")+SUMIFS('24f'!$N$7:$N$100,'24f'!$H$7:$H$100,$A441,'24f'!$I$7:$I$100,"")+SUMIFS('24g'!$N$7:$N$100,'24g'!$H$7:$H$100,$A441,'24g'!$I$7:$I$100,"")+SUMIFS('24h'!$N$7:$N$100,'24h'!$H$7:$H$100,$A441,'24h'!$I$7:$I$100,"")+SUMIFS('24i'!$N$7:$N$100,'24i'!$H$7:$H$100,$A441,'24i'!$I$7:$I$100,"")+SUMIFS('25'!$N$7:$N$100,'25'!$H$7:$H$100,$A441,'25'!$I$7:$I$100,"")+SUMIFS('26'!$N$7:$N$100,'26'!$H$7:$H$100,$A441,'26'!$I$7:$I$100,"")+SUMIFS('26a'!$N$7:$N$100,'26a'!$H$7:$H$100,$A441,'26a'!$I$7:$I$100,"")+SUMIFS('27'!$N$7:$N$100,'27'!$H$7:$H$100,$A441,'27'!$I$7:$I$100,"")+SUMIFS('27a'!$N$7:$N$100,'27a'!$H$7:$H$100,$A441,'27a'!$I$7:$I$100,"")+SUMIFS('28'!$N$7:$N$100,'28'!$H$7:$H$100,$A441,'28'!$I$7:$I$100,"")+SUMIFS('29'!$N$7:$N$100,'29'!$H$7:$H$100,$A441,'29'!$I$7:$I$100,"")</f>
        <v>0</v>
      </c>
      <c r="F441" s="1296">
        <f>SUM(C441:E441)</f>
        <v>0</v>
      </c>
      <c r="G441" s="1295">
        <f>SUMIFS('12'!$J$7:$J$100,'12'!$H$7:$H$100,$A441,'12'!$I$7:$I$100,1)+SUMIFS('13'!$J$7:$J$100,'13'!$H$7:$H$100,$A441,'13'!$I$7:$I$100,1)+SUMIFS('14'!$J$7:$J$100,'14'!$H$7:$H$100,$A441,'14'!$I$7:$I$100,1)+SUMIFS('15'!$J$7:$J$100,'15'!$H$7:$H$100,$A441,'15'!$I$7:$I$100,1)+SUMIFS('15a'!$J$7:$J$100,'15a'!$H$7:$H$100,$A441,'15a'!$I$7:$I$100,1)+SUMIFS('15b'!$J$7:$J$100,'15b'!$H$7:$H$100,$A441,'15b'!$I$7:$I$100,1)+SUMIFS('15c'!$J$7:$J$100,'15c'!$H$7:$H$100,$A441,'15c'!$I$7:$I$100,1)+SUMIFS('15d'!$J$7:$J$100,'15d'!$H$7:$H$100,$A441,'15d'!$I$7:$I$100,1)+SUMIFS('15e'!$J$7:$J$100,'15e'!$H$7:$H$100,$A441,'15e'!$I$7:$I$100,1)+SUMIFS('15f'!$J$7:$J$100,'15f'!$H$7:$H$100,$A441,'15f'!$I$7:$I$100,1)+SUMIFS('15g'!$J$7:$J$100,'15g'!$H$7:$H$100,$A441,'15g'!$I$7:$I$100,1)+SUMIFS('15h'!$J$7:$J$100,'15h'!$H$7:$H$100,$A441,'15h'!$I$7:$I$100,1)+SUMIFS('15i'!$J$7:$J$100,'15i'!$H$7:$H$100,$A441,'15i'!$I$7:$I$100,1)+SUMIFS('15j'!$J$7:$J$100,'15j'!$H$7:$H$100,$A441,'15j'!$I$7:$I$100,1)+SUMIFS('15k'!$J$7:$J$100,'15k'!$H$7:$H$100,$A441,'15k'!$I$7:$I$100,1)+SUMIFS('15l'!$J$7:$J$100,'15l'!$H$7:$H$100,$A441,'15l'!$I$7:$I$100,1)+SUMIFS('15m'!$J$7:$J$100,'15m'!$H$7:$H$100,$A441,'15m'!$I$7:$I$100,1)+SUMIFS('15n'!$J$7:$J$100,'15n'!$H$7:$H$100,$A441,'15n'!$I$7:$I$100,1)+SUMIFS('16'!$J$7:$J$100,'16'!$H$7:$H$100,$A441,'16'!$I$7:$I$100,1)+SUMIFS('16a'!$J$7:$J$100,'16a'!$H$7:$H$100,$A441,'16a'!$I$7:$I$100,1)+SUMIFS('17'!$J$7:$J$100,'17'!$H$7:$H$100,$A441,'17'!$I$7:$I$100,1)+SUMIFS('17a'!$J$7:$J$100,'17a'!$H$7:$H$100,$A441,'17a'!$I$7:$I$100,1)+SUMIFS('18'!$J$7:$J$100,'18'!$H$7:$H$100,$A441,'18'!$I$7:$I$100,1)+SUMIFS('18a'!$J$7:$J$100,'18a'!$H$7:$H$100,$A441,'18a'!$I$7:$I$100,1)
+SUMIFS('19'!$J$7:$J$100,'19'!$H$7:$H$100,$A441,'19'!$I$7:$I$100,1)+SUMIFS('20'!$J$7:$J$100,'20'!$H$7:$H$100,$A441,'20'!$I$7:$I$100,1)+SUMIFS('20a'!$J$7:$J$100,'20a'!$H$7:$H$100,$A441,'20a'!$I$7:$I$100,1)+SUMIFS('21'!$J$7:$J$100,'21'!$H$7:$H$100,$A441,'21'!$I$7:$I$100,1)+SUMIFS('22'!$J$7:$J$100,'22'!$H$7:$H$100,$A441,'22'!$I$7:$I$100,1)+SUMIFS('22a'!$J$7:$J$100,'22a'!$H$7:$H$100,$A441,'22a'!$I$7:$I$100,1)+SUMIFS('22b'!$J$7:$J$100,'22b'!$H$7:$H$100,$A441,'22b'!$I$7:$I$100,1)+SUMIFS('23'!$J$7:$J$100,'23'!$H$7:$H$100,$A441,'23'!$I$7:$I$100,1)+SUMIFS('24'!$J$7:$J$100,'24'!$H$7:$H$100,$A441,'24'!$I$7:$I$100,1)+SUMIFS('24a'!$J$7:$J$100,'24a'!$H$7:$H$100,$A441,'24a'!$I$7:$I$100,1)+SUMIFS('24b'!$J$7:$J$100,'24b'!$H$7:$H$100,$A441,'24b'!$I$7:$I$100,1)+SUMIFS('24c'!$J$7:$J$100,'24c'!$H$7:$H$100,$A441,'24c'!$I$7:$I$100,1)+SUMIFS('24d'!$J$7:$J$100,'24d'!$H$7:$H$100,$A441,'24d'!$I$7:$I$100,1)+SUMIFS('24e'!$J$7:$J$100,'24e'!$H$7:$H$100,$A441,'24e'!$I$7:$I$100,1)+SUMIFS('24f'!$J$7:$J$100,'24f'!$H$7:$H$100,$A441,'24f'!$I$7:$I$100,1)+SUMIFS('24g'!$J$7:$J$100,'24g'!$H$7:$H$100,$A441,'24g'!$I$7:$I$100,1)+SUMIFS('24h'!$J$7:$J$100,'24h'!$H$7:$H$100,$A441,'24h'!$I$7:$I$100,1)+SUMIFS('24i'!$J$7:$J$100,'24i'!$H$7:$H$100,$A441,'24i'!$I$7:$I$100,1)+SUMIFS('25'!$J$7:$J$100,'25'!$H$7:$H$100,$A441,'25'!$I$7:$I$100,1)+SUMIFS('26'!$J$7:$J$100,'26'!$H$7:$H$100,$A441,'26'!$I$7:$I$100,1)+SUMIFS('26a'!$J$7:$J$100,'26a'!$H$7:$H$100,$A441,'26a'!$I$7:$I$100,1)+SUMIFS('27'!$J$7:$J$100,'27'!$H$7:$H$100,$A441,'27'!$I$7:$I$100,1)+SUMIFS('27a'!$J$7:$J$100,'27a'!$H$7:$H$100,$A441,'27a'!$I$7:$I$100,1)+SUMIFS('28'!$J$7:$J$100,'28'!$H$7:$H$100,$A441,'28'!$I$7:$I$100,1)+SUMIFS('29'!$J$7:$J$100,'29'!$H$7:$H$100,$A441,'29'!$I$7:$I$100,1)</f>
        <v>0</v>
      </c>
      <c r="H441" s="1315">
        <f>SUMIFS('12'!$J$7:$J$100,'12'!$H$7:$H$100,$A441,'12'!$I$7:$I$100,2)+SUMIFS('13'!$J$7:$J$100,'13'!$H$7:$H$100,$A441,'13'!$I$7:$I$100,2)+SUMIFS('14'!$J$7:$J$100,'14'!$H$7:$H$100,$A441,'14'!$I$7:$I$100,2)+SUMIFS('15'!$J$7:$J$100,'15'!$H$7:$H$100,$A441,'15'!$I$7:$I$100,2)+SUMIFS('15a'!$J$7:$J$100,'15a'!$H$7:$H$100,$A441,'15a'!$I$7:$I$100,2)+SUMIFS('15b'!$J$7:$J$100,'15b'!$H$7:$H$100,$A441,'15b'!$I$7:$I$100,2)+SUMIFS('15c'!$J$7:$J$100,'15c'!$H$7:$H$100,$A441,'15c'!$I$7:$I$100,2)+SUMIFS('15d'!$J$7:$J$100,'15d'!$H$7:$H$100,$A441,'15d'!$I$7:$I$100,2)+SUMIFS('15e'!$J$7:$J$100,'15e'!$H$7:$H$100,$A441,'15e'!$I$7:$I$100,2)+SUMIFS('15f'!$J$7:$J$100,'15f'!$H$7:$H$100,$A441,'15f'!$I$7:$I$100,2)+SUMIFS('15g'!$J$7:$J$100,'15g'!$H$7:$H$100,$A441,'15g'!$I$7:$I$100,2)+SUMIFS('15h'!$J$7:$J$100,'15h'!$H$7:$H$100,$A441,'15h'!$I$7:$I$100,2)+SUMIFS('15i'!$J$7:$J$100,'15i'!$H$7:$H$100,$A441,'15i'!$I$7:$I$100,2)+SUMIFS('15j'!$J$7:$J$100,'15j'!$H$7:$H$100,$A441,'15j'!$I$7:$I$100,2)+SUMIFS('15k'!$J$7:$J$100,'15k'!$H$7:$H$100,$A441,'15k'!$I$7:$I$100,2)+SUMIFS('15l'!$J$7:$J$100,'15l'!$H$7:$H$100,$A441,'15l'!$I$7:$I$100,2)+SUMIFS('15m'!$J$7:$J$100,'15m'!$H$7:$H$100,$A441,'15m'!$I$7:$I$100,2)+SUMIFS('15n'!$J$7:$J$100,'15n'!$H$7:$H$100,$A441,'15n'!$I$7:$I$100,2)+SUMIFS('16'!$J$7:$J$100,'16'!$H$7:$H$100,$A441,'16'!$I$7:$I$100,2)+SUMIFS('16a'!$J$7:$J$100,'16a'!$H$7:$H$100,$A441,'16a'!$I$7:$I$100,2)+SUMIFS('17'!$J$7:$J$100,'17'!$H$7:$H$100,$A441,'17'!$I$7:$I$100,2)+SUMIFS('17a'!$J$7:$J$100,'17a'!$H$7:$H$100,$A441,'17a'!$I$7:$I$100,2)+SUMIFS('18'!$J$7:$J$100,'18'!$H$7:$H$100,$A441,'18'!$I$7:$I$100,2)+SUMIFS('18a'!$J$7:$J$100,'18a'!$H$7:$H$100,$A441,'18a'!$I$7:$I$100,2)
+SUMIFS('19'!$J$7:$J$100,'19'!$H$7:$H$100,$A441,'19'!$I$7:$I$100,2)+SUMIFS('20'!$J$7:$J$100,'20'!$H$7:$H$100,$A441,'20'!$I$7:$I$100,2)+SUMIFS('20a'!$J$7:$J$100,'20a'!$H$7:$H$100,$A441,'20a'!$I$7:$I$100,2)+SUMIFS('21'!$J$7:$J$100,'21'!$H$7:$H$100,$A441,'21'!$I$7:$I$100,2)+SUMIFS('22'!$J$7:$J$100,'22'!$H$7:$H$100,$A441,'22'!$I$7:$I$100,2)+SUMIFS('22a'!$J$7:$J$100,'22a'!$H$7:$H$100,$A441,'22a'!$I$7:$I$100,2)+SUMIFS('22b'!$J$7:$J$100,'22b'!$H$7:$H$100,$A441,'22b'!$I$7:$I$100,2)+SUMIFS('23'!$J$7:$J$100,'23'!$H$7:$H$100,$A441,'23'!$I$7:$I$100,2)+SUMIFS('24'!$J$7:$J$100,'24'!$H$7:$H$100,$A441,'24'!$I$7:$I$100,2)+SUMIFS('24a'!$J$7:$J$100,'24a'!$H$7:$H$100,$A441,'24a'!$I$7:$I$100,2)+SUMIFS('24b'!$J$7:$J$100,'24b'!$H$7:$H$100,$A441,'24b'!$I$7:$I$100,2)+SUMIFS('24c'!$J$7:$J$100,'24c'!$H$7:$H$100,$A441,'24c'!$I$7:$I$100,2)+SUMIFS('24d'!$J$7:$J$100,'24d'!$H$7:$H$100,$A441,'24d'!$I$7:$I$100,2)+SUMIFS('24e'!$J$7:$J$100,'24e'!$H$7:$H$100,$A441,'24e'!$I$7:$I$100,2)+SUMIFS('24f'!$J$7:$J$100,'24f'!$H$7:$H$100,$A441,'24f'!$I$7:$I$100,2)+SUMIFS('24g'!$J$7:$J$100,'24g'!$H$7:$H$100,$A441,'24g'!$I$7:$I$100,2)+SUMIFS('24h'!$J$7:$J$100,'24h'!$H$7:$H$100,$A441,'24h'!$I$7:$I$100,2)+SUMIFS('24i'!$J$7:$J$100,'24i'!$H$7:$H$100,$A441,'24i'!$I$7:$I$100,2)+SUMIFS('25'!$J$7:$J$100,'25'!$H$7:$H$100,$A441,'25'!$I$7:$I$100,2)+SUMIFS('26'!$J$7:$J$100,'26'!$H$7:$H$100,$A441,'26'!$I$7:$I$100,2)+SUMIFS('26a'!$J$7:$J$100,'26a'!$H$7:$H$100,$A441,'26a'!$I$7:$I$100,2)+SUMIFS('27'!$J$7:$J$100,'27'!$H$7:$H$100,$A441,'27'!$I$7:$I$100,2)+SUMIFS('27a'!$J$7:$J$100,'27a'!$H$7:$H$100,$A441,'27a'!$I$7:$I$100,2)+SUMIFS('28'!$J$7:$J$100,'28'!$H$7:$H$100,$A441,'28'!$I$7:$I$100,2)+SUMIFS('29'!$J$7:$J$100,'29'!$H$7:$H$100,$A441,'29'!$I$7:$I$100,2)</f>
        <v>0</v>
      </c>
      <c r="I441" s="1315">
        <f>SUMIFS('12'!$J$7:$J$100,'12'!$H$7:$H$100,$A441,'12'!$I$7:$I$100,"")+SUMIFS('13'!$J$7:$J$100,'13'!$H$7:$H$100,$A441,'13'!$I$7:$I$100,"")+SUMIFS('14'!$J$7:$J$100,'14'!$H$7:$H$100,$A441,'14'!$I$7:$I$100,"")+SUMIFS('15'!$J$7:$J$100,'15'!$H$7:$H$100,$A441,'15'!$I$7:$I$100,"")+SUMIFS('15a'!$J$7:$J$100,'15a'!$H$7:$H$100,$A441,'15a'!$I$7:$I$100,"")+SUMIFS('15b'!$J$7:$J$100,'15b'!$H$7:$H$100,$A441,'15b'!$I$7:$I$100,"")+SUMIFS('15c'!$J$7:$J$100,'15c'!$H$7:$H$100,$A441,'15c'!$I$7:$I$100,"")+SUMIFS('15d'!$J$7:$J$100,'15d'!$H$7:$H$100,$A441,'15d'!$I$7:$I$100,"")+SUMIFS('15e'!$J$7:$J$100,'15e'!$H$7:$H$100,$A441,'15e'!$I$7:$I$100,"")+SUMIFS('15f'!$J$7:$J$100,'15f'!$H$7:$H$100,$A441,'15f'!$I$7:$I$100,"")+SUMIFS('15g'!$J$7:$J$100,'15g'!$H$7:$H$100,$A441,'15g'!$I$7:$I$100,"")+SUMIFS('15h'!$J$7:$J$100,'15h'!$H$7:$H$100,$A441,'15h'!$I$7:$I$100,"")+SUMIFS('15i'!$J$7:$J$100,'15i'!$H$7:$H$100,$A441,'15i'!$I$7:$I$100,"")+SUMIFS('15j'!$J$7:$J$100,'15j'!$H$7:$H$100,$A441,'15j'!$I$7:$I$100,"")+SUMIFS('15k'!$J$7:$J$100,'15k'!$H$7:$H$100,$A441,'15k'!$I$7:$I$100,"")+SUMIFS('15l'!$J$7:$J$100,'15l'!$H$7:$H$100,$A441,'15l'!$I$7:$I$100,"")+SUMIFS('15m'!$J$7:$J$100,'15m'!$H$7:$H$100,$A441,'15m'!$I$7:$I$100,"")+SUMIFS('15n'!$J$7:$J$100,'15n'!$H$7:$H$100,$A441,'15n'!$I$7:$I$100,"")+SUMIFS('16'!$J$7:$J$100,'16'!$H$7:$H$100,$A441,'16'!$I$7:$I$100,"")+SUMIFS('16a'!$J$7:$J$100,'16a'!$H$7:$H$100,$A441,'16a'!$I$7:$I$100,"")+SUMIFS('17'!$J$7:$J$100,'17'!$H$7:$H$100,$A441,'17'!$I$7:$I$100,"")+SUMIFS('17a'!$J$7:$J$100,'17a'!$H$7:$H$100,$A441,'17a'!$I$7:$I$100,"")+SUMIFS('18'!$J$7:$J$100,'18'!$H$7:$H$100,$A441,'18'!$I$7:$I$100,"")+SUMIFS('18a'!$J$7:$J$100,'18a'!$H$7:$H$100,$A441,'18a'!$I$7:$I$100,"")
+SUMIFS('19'!$J$7:$J$100,'19'!$H$7:$H$100,$A441,'19'!$I$7:$I$100,"")+SUMIFS('20'!$J$7:$J$100,'20'!$H$7:$H$100,$A441,'20'!$I$7:$I$100,"")+SUMIFS('20a'!$J$7:$J$100,'20a'!$H$7:$H$100,$A441,'20a'!$I$7:$I$100,"")+SUMIFS('21'!$J$7:$J$100,'21'!$H$7:$H$100,$A441,'21'!$I$7:$I$100,"")+SUMIFS('22'!$J$7:$J$100,'22'!$H$7:$H$100,$A441,'22'!$I$7:$I$100,"")+SUMIFS('22a'!$J$7:$J$100,'22a'!$H$7:$H$100,$A441,'22a'!$I$7:$I$100,"")+SUMIFS('22b'!$J$7:$J$100,'22b'!$H$7:$H$100,$A441,'22b'!$I$7:$I$100,"")+SUMIFS('23'!$J$7:$J$100,'23'!$H$7:$H$100,$A441,'23'!$I$7:$I$100,"")+SUMIFS('24'!$J$7:$J$100,'24'!$H$7:$H$100,$A441,'24'!$I$7:$I$100,"")+SUMIFS('24a'!$J$7:$J$100,'24a'!$H$7:$H$100,$A441,'24a'!$I$7:$I$100,"")+SUMIFS('24b'!$J$7:$J$100,'24b'!$H$7:$H$100,$A441,'24b'!$I$7:$I$100,"")+SUMIFS('24c'!$J$7:$J$100,'24c'!$H$7:$H$100,$A441,'24c'!$I$7:$I$100,"")+SUMIFS('24d'!$J$7:$J$100,'24d'!$H$7:$H$100,$A441,'24d'!$I$7:$I$100,"")+SUMIFS('24e'!$J$7:$J$100,'24e'!$H$7:$H$100,$A441,'24e'!$I$7:$I$100,"")+SUMIFS('24f'!$J$7:$J$100,'24f'!$H$7:$H$100,$A441,'24f'!$I$7:$I$100,"")+SUMIFS('24g'!$J$7:$J$100,'24g'!$H$7:$H$100,$A441,'24g'!$I$7:$I$100,"")+SUMIFS('24h'!$J$7:$J$100,'24h'!$H$7:$H$100,$A441,'24h'!$I$7:$I$100,"")+SUMIFS('24i'!$J$7:$J$100,'24i'!$H$7:$H$100,$A441,'24i'!$I$7:$I$100,"")+SUMIFS('25'!$J$7:$J$100,'25'!$H$7:$H$100,$A441,'25'!$I$7:$I$100,"")+SUMIFS('26'!$J$7:$J$100,'26'!$H$7:$H$100,$A441,'26'!$I$7:$I$100,"")+SUMIFS('26a'!$J$7:$J$100,'26a'!$H$7:$H$100,$A441,'26a'!$I$7:$I$100,"")+SUMIFS('27'!$J$7:$J$100,'27'!$H$7:$H$100,$A441,'27'!$I$7:$I$100,"")+SUMIFS('27a'!$J$7:$J$100,'27a'!$H$7:$H$100,$A441,'27a'!$I$7:$I$100,"")+SUMIFS('28'!$J$7:$J$100,'28'!$H$7:$H$100,$A441,'28'!$I$7:$I$100,"")+SUMIFS('29'!$J$7:$J$100,'29'!$H$7:$H$100,$A441,'29'!$I$7:$I$100,"")</f>
        <v>0</v>
      </c>
      <c r="J441" s="1296">
        <f>SUM(G441:I441)</f>
        <v>0</v>
      </c>
      <c r="K441"/>
      <c r="L441"/>
      <c r="M441"/>
      <c r="N441"/>
      <c r="O441"/>
      <c r="P441"/>
      <c r="Q441"/>
      <c r="R441"/>
      <c r="S441" s="1307">
        <f t="shared" si="71"/>
        <v>0</v>
      </c>
      <c r="T441"/>
    </row>
    <row r="442" spans="1:20" x14ac:dyDescent="0.2">
      <c r="A442" t="s">
        <v>553</v>
      </c>
      <c r="B442" t="s">
        <v>5565</v>
      </c>
      <c r="C442" s="1295">
        <f>SUMIFS('12'!$N$7:$N$100,'12'!$H$7:$H$100,$A442,'12'!$I$7:$I$100,1)+SUMIFS('13'!$N$7:$N$100,'13'!$H$7:$H$100,$A442,'13'!$I$7:$I$100,1)+SUMIFS('14'!$N$7:$N$100,'14'!$H$7:$H$100,$A442,'14'!$I$7:$I$100,1)+SUMIFS('15'!$N$7:$N$100,'15'!$H$7:$H$100,$A442,'15'!$I$7:$I$100,1)+SUMIFS('15a'!$N$7:$N$100,'15a'!$H$7:$H$100,$A442,'15a'!$I$7:$I$100,1)+SUMIFS('15b'!$N$7:$N$100,'15b'!$H$7:$H$100,$A442,'15b'!$I$7:$I$100,1)+SUMIFS('15c'!$N$7:$N$100,'15c'!$H$7:$H$100,$A442,'15c'!$I$7:$I$100,1)+SUMIFS('15d'!$N$7:$N$100,'15d'!$H$7:$H$100,$A442,'15d'!$I$7:$I$100,1)+SUMIFS('15e'!$N$7:$N$100,'15e'!$H$7:$H$100,$A442,'15e'!$I$7:$I$100,1)+SUMIFS('15f'!$N$7:$N$100,'15f'!$H$7:$H$100,$A442,'15f'!$I$7:$I$100,1)+SUMIFS('15g'!$N$7:$N$100,'15g'!$H$7:$H$100,$A442,'15g'!$I$7:$I$100,1)+SUMIFS('15h'!$N$7:$N$100,'15h'!$H$7:$H$100,$A442,'15h'!$I$7:$I$100,1)+SUMIFS('15i'!$N$7:$N$100,'15i'!$H$7:$H$100,$A442,'15i'!$I$7:$I$100,1)+SUMIFS('15j'!$N$7:$N$100,'15j'!$H$7:$H$100,$A442,'15j'!$I$7:$I$100,1)+SUMIFS('15k'!$N$7:$N$100,'15k'!$H$7:$H$100,$A442,'15k'!$I$7:$I$100,1)+SUMIFS('15l'!$N$7:$N$100,'15l'!$H$7:$H$100,$A442,'15l'!$I$7:$I$100,1)+SUMIFS('15m'!$N$7:$N$100,'15m'!$H$7:$H$100,$A442,'15m'!$I$7:$I$100,1)+SUMIFS('15n'!$N$7:$N$100,'15n'!$H$7:$H$100,$A442,'15n'!$I$7:$I$100,1)+SUMIFS('16'!$N$7:$N$100,'16'!$H$7:$H$100,$A442,'16'!$I$7:$I$100,1)+SUMIFS('16a'!$N$7:$N$100,'16a'!$H$7:$H$100,$A442,'16a'!$I$7:$I$100,1)+SUMIFS('17'!$N$7:$N$100,'17'!$H$7:$H$100,$A442,'17'!$I$7:$I$100,1)+SUMIFS('17a'!$N$7:$N$100,'17a'!$H$7:$H$100,$A442,'17a'!$I$7:$I$100,1)+SUMIFS('18'!$N$7:$N$100,'18'!$H$7:$H$100,$A442,'18'!$I$7:$I$100,1)+SUMIFS('18a'!$N$7:$N$100,'18a'!$H$7:$H$100,$A442,'18a'!$I$7:$I$100,1)
+SUMIFS('19'!$N$7:$N$100,'19'!$H$7:$H$100,$A442,'19'!$I$7:$I$100,1)+SUMIFS('20'!$N$7:$N$100,'20'!$H$7:$H$100,$A442,'20'!$I$7:$I$100,1)+SUMIFS('20a'!$N$7:$N$100,'20a'!$H$7:$H$100,$A442,'20a'!$I$7:$I$100,1)+SUMIFS('21'!$N$7:$N$100,'21'!$H$7:$H$100,$A442,'21'!$I$7:$I$100,1)+SUMIFS('22'!$N$7:$N$100,'22'!$H$7:$H$100,$A442,'22'!$I$7:$I$100,1)+SUMIFS('22a'!$N$7:$N$100,'22a'!$H$7:$H$100,$A442,'22a'!$I$7:$I$100,1)+SUMIFS('22b'!$N$7:$N$100,'22b'!$H$7:$H$100,$A442,'22b'!$I$7:$I$100,1)+SUMIFS('23'!$N$7:$N$100,'23'!$H$7:$H$100,$A442,'23'!$I$7:$I$100,1)+SUMIFS('24'!$N$7:$N$100,'24'!$H$7:$H$100,$A442,'24'!$I$7:$I$100,1)+SUMIFS('24a'!$N$7:$N$100,'24a'!$H$7:$H$100,$A442,'24a'!$I$7:$I$100,1)+SUMIFS('24b'!$N$7:$N$100,'24b'!$H$7:$H$100,$A442,'24b'!$I$7:$I$100,1)+SUMIFS('24c'!$N$7:$N$100,'24c'!$H$7:$H$100,$A442,'24c'!$I$7:$I$100,1)+SUMIFS('24d'!$N$7:$N$100,'24d'!$H$7:$H$100,$A442,'24d'!$I$7:$I$100,1)+SUMIFS('24e'!$N$7:$N$100,'24e'!$H$7:$H$100,$A442,'24e'!$I$7:$I$100,1)+SUMIFS('24f'!$N$7:$N$100,'24f'!$H$7:$H$100,$A442,'24f'!$I$7:$I$100,1)+SUMIFS('24g'!$N$7:$N$100,'24g'!$H$7:$H$100,$A442,'24g'!$I$7:$I$100,1)+SUMIFS('24h'!$N$7:$N$100,'24h'!$H$7:$H$100,$A442,'24h'!$I$7:$I$100,1)+SUMIFS('24i'!$N$7:$N$100,'24i'!$H$7:$H$100,$A442,'24i'!$I$7:$I$100,1)+SUMIFS('25'!$N$7:$N$100,'25'!$H$7:$H$100,$A442,'25'!$I$7:$I$100,1)+SUMIFS('26'!$N$7:$N$100,'26'!$H$7:$H$100,$A442,'26'!$I$7:$I$100,1)+SUMIFS('26a'!$N$7:$N$100,'26a'!$H$7:$H$100,$A442,'26a'!$I$7:$I$100,1)+SUMIFS('27'!$N$7:$N$100,'27'!$H$7:$H$100,$A442,'27'!$I$7:$I$100,1)+SUMIFS('27a'!$N$7:$N$100,'27a'!$H$7:$H$100,$A442,'27a'!$I$7:$I$100,1)+SUMIFS('28'!$N$7:$N$100,'28'!$H$7:$H$100,$A442,'28'!$I$7:$I$100,1)+SUMIFS('29'!$N$7:$N$100,'29'!$H$7:$H$100,$A442,'29'!$I$7:$I$100,1)</f>
        <v>0</v>
      </c>
      <c r="D442" s="1315">
        <f>SUMIFS('12'!$N$7:$N$100,'12'!$H$7:$H$100,$A442,'12'!$I$7:$I$100,2)+SUMIFS('13'!$N$7:$N$100,'13'!$H$7:$H$100,$A442,'13'!$I$7:$I$100,2)+SUMIFS('14'!$N$7:$N$100,'14'!$H$7:$H$100,$A442,'14'!$I$7:$I$100,2)+SUMIFS('15'!$N$7:$N$100,'15'!$H$7:$H$100,$A442,'15'!$I$7:$I$100,2)+SUMIFS('15a'!$N$7:$N$100,'15a'!$H$7:$H$100,$A442,'15a'!$I$7:$I$100,2)+SUMIFS('15b'!$N$7:$N$100,'15b'!$H$7:$H$100,$A442,'15b'!$I$7:$I$100,2)+SUMIFS('15c'!$N$7:$N$100,'15c'!$H$7:$H$100,$A442,'15c'!$I$7:$I$100,2)+SUMIFS('15d'!$N$7:$N$100,'15d'!$H$7:$H$100,$A442,'15d'!$I$7:$I$100,2)+SUMIFS('15e'!$N$7:$N$100,'15e'!$H$7:$H$100,$A442,'15e'!$I$7:$I$100,2)+SUMIFS('15f'!$N$7:$N$100,'15f'!$H$7:$H$100,$A442,'15f'!$I$7:$I$100,2)+SUMIFS('15g'!$N$7:$N$100,'15g'!$H$7:$H$100,$A442,'15g'!$I$7:$I$100,2)+SUMIFS('15h'!$N$7:$N$100,'15h'!$H$7:$H$100,$A442,'15h'!$I$7:$I$100,2)+SUMIFS('15i'!$N$7:$N$100,'15i'!$H$7:$H$100,$A442,'15i'!$I$7:$I$100,2)+SUMIFS('15j'!$N$7:$N$100,'15j'!$H$7:$H$100,$A442,'15j'!$I$7:$I$100,2)+SUMIFS('15k'!$N$7:$N$100,'15k'!$H$7:$H$100,$A442,'15k'!$I$7:$I$100,2)+SUMIFS('15l'!$N$7:$N$100,'15l'!$H$7:$H$100,$A442,'15l'!$I$7:$I$100,2)+SUMIFS('15m'!$N$7:$N$100,'15m'!$H$7:$H$100,$A442,'15m'!$I$7:$I$100,2)+SUMIFS('15n'!$N$7:$N$100,'15n'!$H$7:$H$100,$A442,'15n'!$I$7:$I$100,2)+SUMIFS('16'!$N$7:$N$100,'16'!$H$7:$H$100,$A442,'16'!$I$7:$I$100,2)+SUMIFS('16a'!$N$7:$N$100,'16a'!$H$7:$H$100,$A442,'16a'!$I$7:$I$100,2)+SUMIFS('17'!$N$7:$N$100,'17'!$H$7:$H$100,$A442,'17'!$I$7:$I$100,2)+SUMIFS('17a'!$N$7:$N$100,'17a'!$H$7:$H$100,$A442,'17a'!$I$7:$I$100,2)+SUMIFS('18'!$N$7:$N$100,'18'!$H$7:$H$100,$A442,'18'!$I$7:$I$100,2)+SUMIFS('18a'!$N$7:$N$100,'18a'!$H$7:$H$100,$A442,'18a'!$I$7:$I$100,2)
+SUMIFS('19'!$N$7:$N$100,'19'!$H$7:$H$100,$A442,'19'!$I$7:$I$100,2)+SUMIFS('20'!$N$7:$N$100,'20'!$H$7:$H$100,$A442,'20'!$I$7:$I$100,2)+SUMIFS('20a'!$N$7:$N$100,'20a'!$H$7:$H$100,$A442,'20a'!$I$7:$I$100,2)+SUMIFS('21'!$N$7:$N$100,'21'!$H$7:$H$100,$A442,'21'!$I$7:$I$100,2)+SUMIFS('22'!$N$7:$N$100,'22'!$H$7:$H$100,$A442,'22'!$I$7:$I$100,2)+SUMIFS('22a'!$N$7:$N$100,'22a'!$H$7:$H$100,$A442,'22a'!$I$7:$I$100,2)+SUMIFS('22b'!$N$7:$N$100,'22b'!$H$7:$H$100,$A442,'22b'!$I$7:$I$100,2)+SUMIFS('23'!$N$7:$N$100,'23'!$H$7:$H$100,$A442,'23'!$I$7:$I$100,2)+SUMIFS('24'!$N$7:$N$100,'24'!$H$7:$H$100,$A442,'24'!$I$7:$I$100,2)+SUMIFS('24a'!$N$7:$N$100,'24a'!$H$7:$H$100,$A442,'24a'!$I$7:$I$100,2)+SUMIFS('24b'!$N$7:$N$100,'24b'!$H$7:$H$100,$A442,'24b'!$I$7:$I$100,2)+SUMIFS('24c'!$N$7:$N$100,'24c'!$H$7:$H$100,$A442,'24c'!$I$7:$I$100,2)+SUMIFS('24d'!$N$7:$N$100,'24d'!$H$7:$H$100,$A442,'24d'!$I$7:$I$100,2)+SUMIFS('24e'!$N$7:$N$100,'24e'!$H$7:$H$100,$A442,'24e'!$I$7:$I$100,2)+SUMIFS('24f'!$N$7:$N$100,'24f'!$H$7:$H$100,$A442,'24f'!$I$7:$I$100,2)+SUMIFS('24g'!$N$7:$N$100,'24g'!$H$7:$H$100,$A442,'24g'!$I$7:$I$100,2)+SUMIFS('24h'!$N$7:$N$100,'24h'!$H$7:$H$100,$A442,'24h'!$I$7:$I$100,2)+SUMIFS('24i'!$N$7:$N$100,'24i'!$H$7:$H$100,$A442,'24i'!$I$7:$I$100,2)+SUMIFS('25'!$N$7:$N$100,'25'!$H$7:$H$100,$A442,'25'!$I$7:$I$100,2)+SUMIFS('26'!$N$7:$N$100,'26'!$H$7:$H$100,$A442,'26'!$I$7:$I$100,2)+SUMIFS('26a'!$N$7:$N$100,'26a'!$H$7:$H$100,$A442,'26a'!$I$7:$I$100,2)+SUMIFS('27'!$N$7:$N$100,'27'!$H$7:$H$100,$A442,'27'!$I$7:$I$100,2)+SUMIFS('27a'!$N$7:$N$100,'27a'!$H$7:$H$100,$A442,'27a'!$I$7:$I$100,2)+SUMIFS('28'!$N$7:$N$100,'28'!$H$7:$H$100,$A442,'28'!$I$7:$I$100,2)+SUMIFS('29'!$N$7:$N$100,'29'!$H$7:$H$100,$A442,'29'!$I$7:$I$100,2)</f>
        <v>0</v>
      </c>
      <c r="E442" s="1315">
        <f>SUMIFS('12'!$N$7:$N$100,'12'!$H$7:$H$100,$A442,'12'!$I$7:$I$100,"")+SUMIFS('13'!$N$7:$N$100,'13'!$H$7:$H$100,$A442,'13'!$I$7:$I$100,"")+SUMIFS('14'!$N$7:$N$100,'14'!$H$7:$H$100,$A442,'14'!$I$7:$I$100,"")+SUMIFS('15'!$N$7:$N$100,'15'!$H$7:$H$100,$A442,'15'!$I$7:$I$100,"")+SUMIFS('15a'!$N$7:$N$100,'15a'!$H$7:$H$100,$A442,'15a'!$I$7:$I$100,"")+SUMIFS('15b'!$N$7:$N$100,'15b'!$H$7:$H$100,$A442,'15b'!$I$7:$I$100,"")+SUMIFS('15c'!$N$7:$N$100,'15c'!$H$7:$H$100,$A442,'15c'!$I$7:$I$100,"")+SUMIFS('15d'!$N$7:$N$100,'15d'!$H$7:$H$100,$A442,'15d'!$I$7:$I$100,"")+SUMIFS('15e'!$N$7:$N$100,'15e'!$H$7:$H$100,$A442,'15e'!$I$7:$I$100,"")+SUMIFS('15f'!$N$7:$N$100,'15f'!$H$7:$H$100,$A442,'15f'!$I$7:$I$100,"")+SUMIFS('15g'!$N$7:$N$100,'15g'!$H$7:$H$100,$A442,'15g'!$I$7:$I$100,"")+SUMIFS('15h'!$N$7:$N$100,'15h'!$H$7:$H$100,$A442,'15h'!$I$7:$I$100,"")+SUMIFS('15i'!$N$7:$N$100,'15i'!$H$7:$H$100,$A442,'15i'!$I$7:$I$100,"")+SUMIFS('15j'!$N$7:$N$100,'15j'!$H$7:$H$100,$A442,'15j'!$I$7:$I$100,"")+SUMIFS('15k'!$N$7:$N$100,'15k'!$H$7:$H$100,$A442,'15k'!$I$7:$I$100,"")+SUMIFS('15l'!$N$7:$N$100,'15l'!$H$7:$H$100,$A442,'15l'!$I$7:$I$100,"")+SUMIFS('15m'!$N$7:$N$100,'15m'!$H$7:$H$100,$A442,'15m'!$I$7:$I$100,"")+SUMIFS('15n'!$N$7:$N$100,'15n'!$H$7:$H$100,$A442,'15n'!$I$7:$I$100,"")+SUMIFS('16'!$N$7:$N$100,'16'!$H$7:$H$100,$A442,'16'!$I$7:$I$100,"")+SUMIFS('16a'!$N$7:$N$100,'16a'!$H$7:$H$100,$A442,'16a'!$I$7:$I$100,"")+SUMIFS('17'!$N$7:$N$100,'17'!$H$7:$H$100,$A442,'17'!$I$7:$I$100,"")+SUMIFS('17a'!$N$7:$N$100,'17a'!$H$7:$H$100,$A442,'17a'!$I$7:$I$100,"")+SUMIFS('18'!$N$7:$N$100,'18'!$H$7:$H$100,$A442,'18'!$I$7:$I$100,"")+SUMIFS('18a'!$N$7:$N$100,'18a'!$H$7:$H$100,$A442,'18a'!$I$7:$I$100,"")
+SUMIFS('19'!$N$7:$N$100,'19'!$H$7:$H$100,$A442,'19'!$I$7:$I$100,"")+SUMIFS('20'!$N$7:$N$100,'20'!$H$7:$H$100,$A442,'20'!$I$7:$I$100,"")+SUMIFS('20a'!$N$7:$N$100,'20a'!$H$7:$H$100,$A442,'20a'!$I$7:$I$100,"")+SUMIFS('21'!$N$7:$N$100,'21'!$H$7:$H$100,$A442,'21'!$I$7:$I$100,"")+SUMIFS('22'!$N$7:$N$100,'22'!$H$7:$H$100,$A442,'22'!$I$7:$I$100,"")+SUMIFS('22a'!$N$7:$N$100,'22a'!$H$7:$H$100,$A442,'22a'!$I$7:$I$100,"")+SUMIFS('22b'!$N$7:$N$100,'22b'!$H$7:$H$100,$A442,'22b'!$I$7:$I$100,"")+SUMIFS('23'!$N$7:$N$100,'23'!$H$7:$H$100,$A442,'23'!$I$7:$I$100,"")+SUMIFS('24'!$N$7:$N$100,'24'!$H$7:$H$100,$A442,'24'!$I$7:$I$100,"")+SUMIFS('24a'!$N$7:$N$100,'24a'!$H$7:$H$100,$A442,'24a'!$I$7:$I$100,"")+SUMIFS('24b'!$N$7:$N$100,'24b'!$H$7:$H$100,$A442,'24b'!$I$7:$I$100,"")+SUMIFS('24c'!$N$7:$N$100,'24c'!$H$7:$H$100,$A442,'24c'!$I$7:$I$100,"")+SUMIFS('24d'!$N$7:$N$100,'24d'!$H$7:$H$100,$A442,'24d'!$I$7:$I$100,"")+SUMIFS('24e'!$N$7:$N$100,'24e'!$H$7:$H$100,$A442,'24e'!$I$7:$I$100,"")+SUMIFS('24f'!$N$7:$N$100,'24f'!$H$7:$H$100,$A442,'24f'!$I$7:$I$100,"")+SUMIFS('24g'!$N$7:$N$100,'24g'!$H$7:$H$100,$A442,'24g'!$I$7:$I$100,"")+SUMIFS('24h'!$N$7:$N$100,'24h'!$H$7:$H$100,$A442,'24h'!$I$7:$I$100,"")+SUMIFS('24i'!$N$7:$N$100,'24i'!$H$7:$H$100,$A442,'24i'!$I$7:$I$100,"")+SUMIFS('25'!$N$7:$N$100,'25'!$H$7:$H$100,$A442,'25'!$I$7:$I$100,"")+SUMIFS('26'!$N$7:$N$100,'26'!$H$7:$H$100,$A442,'26'!$I$7:$I$100,"")+SUMIFS('26a'!$N$7:$N$100,'26a'!$H$7:$H$100,$A442,'26a'!$I$7:$I$100,"")+SUMIFS('27'!$N$7:$N$100,'27'!$H$7:$H$100,$A442,'27'!$I$7:$I$100,"")+SUMIFS('27a'!$N$7:$N$100,'27a'!$H$7:$H$100,$A442,'27a'!$I$7:$I$100,"")+SUMIFS('28'!$N$7:$N$100,'28'!$H$7:$H$100,$A442,'28'!$I$7:$I$100,"")+SUMIFS('29'!$N$7:$N$100,'29'!$H$7:$H$100,$A442,'29'!$I$7:$I$100,"")</f>
        <v>0</v>
      </c>
      <c r="F442" s="1296">
        <f>SUM(C442:E442)</f>
        <v>0</v>
      </c>
      <c r="G442" s="1295">
        <f>SUMIFS('12'!$J$7:$J$100,'12'!$H$7:$H$100,$A442,'12'!$I$7:$I$100,1)+SUMIFS('13'!$J$7:$J$100,'13'!$H$7:$H$100,$A442,'13'!$I$7:$I$100,1)+SUMIFS('14'!$J$7:$J$100,'14'!$H$7:$H$100,$A442,'14'!$I$7:$I$100,1)+SUMIFS('15'!$J$7:$J$100,'15'!$H$7:$H$100,$A442,'15'!$I$7:$I$100,1)+SUMIFS('15a'!$J$7:$J$100,'15a'!$H$7:$H$100,$A442,'15a'!$I$7:$I$100,1)+SUMIFS('15b'!$J$7:$J$100,'15b'!$H$7:$H$100,$A442,'15b'!$I$7:$I$100,1)+SUMIFS('15c'!$J$7:$J$100,'15c'!$H$7:$H$100,$A442,'15c'!$I$7:$I$100,1)+SUMIFS('15d'!$J$7:$J$100,'15d'!$H$7:$H$100,$A442,'15d'!$I$7:$I$100,1)+SUMIFS('15e'!$J$7:$J$100,'15e'!$H$7:$H$100,$A442,'15e'!$I$7:$I$100,1)+SUMIFS('15f'!$J$7:$J$100,'15f'!$H$7:$H$100,$A442,'15f'!$I$7:$I$100,1)+SUMIFS('15g'!$J$7:$J$100,'15g'!$H$7:$H$100,$A442,'15g'!$I$7:$I$100,1)+SUMIFS('15h'!$J$7:$J$100,'15h'!$H$7:$H$100,$A442,'15h'!$I$7:$I$100,1)+SUMIFS('15i'!$J$7:$J$100,'15i'!$H$7:$H$100,$A442,'15i'!$I$7:$I$100,1)+SUMIFS('15j'!$J$7:$J$100,'15j'!$H$7:$H$100,$A442,'15j'!$I$7:$I$100,1)+SUMIFS('15k'!$J$7:$J$100,'15k'!$H$7:$H$100,$A442,'15k'!$I$7:$I$100,1)+SUMIFS('15l'!$J$7:$J$100,'15l'!$H$7:$H$100,$A442,'15l'!$I$7:$I$100,1)+SUMIFS('15m'!$J$7:$J$100,'15m'!$H$7:$H$100,$A442,'15m'!$I$7:$I$100,1)+SUMIFS('15n'!$J$7:$J$100,'15n'!$H$7:$H$100,$A442,'15n'!$I$7:$I$100,1)+SUMIFS('16'!$J$7:$J$100,'16'!$H$7:$H$100,$A442,'16'!$I$7:$I$100,1)+SUMIFS('16a'!$J$7:$J$100,'16a'!$H$7:$H$100,$A442,'16a'!$I$7:$I$100,1)+SUMIFS('17'!$J$7:$J$100,'17'!$H$7:$H$100,$A442,'17'!$I$7:$I$100,1)+SUMIFS('17a'!$J$7:$J$100,'17a'!$H$7:$H$100,$A442,'17a'!$I$7:$I$100,1)+SUMIFS('18'!$J$7:$J$100,'18'!$H$7:$H$100,$A442,'18'!$I$7:$I$100,1)+SUMIFS('18a'!$J$7:$J$100,'18a'!$H$7:$H$100,$A442,'18a'!$I$7:$I$100,1)
+SUMIFS('19'!$J$7:$J$100,'19'!$H$7:$H$100,$A442,'19'!$I$7:$I$100,1)+SUMIFS('20'!$J$7:$J$100,'20'!$H$7:$H$100,$A442,'20'!$I$7:$I$100,1)+SUMIFS('20a'!$J$7:$J$100,'20a'!$H$7:$H$100,$A442,'20a'!$I$7:$I$100,1)+SUMIFS('21'!$J$7:$J$100,'21'!$H$7:$H$100,$A442,'21'!$I$7:$I$100,1)+SUMIFS('22'!$J$7:$J$100,'22'!$H$7:$H$100,$A442,'22'!$I$7:$I$100,1)+SUMIFS('22a'!$J$7:$J$100,'22a'!$H$7:$H$100,$A442,'22a'!$I$7:$I$100,1)+SUMIFS('22b'!$J$7:$J$100,'22b'!$H$7:$H$100,$A442,'22b'!$I$7:$I$100,1)+SUMIFS('23'!$J$7:$J$100,'23'!$H$7:$H$100,$A442,'23'!$I$7:$I$100,1)+SUMIFS('24'!$J$7:$J$100,'24'!$H$7:$H$100,$A442,'24'!$I$7:$I$100,1)+SUMIFS('24a'!$J$7:$J$100,'24a'!$H$7:$H$100,$A442,'24a'!$I$7:$I$100,1)+SUMIFS('24b'!$J$7:$J$100,'24b'!$H$7:$H$100,$A442,'24b'!$I$7:$I$100,1)+SUMIFS('24c'!$J$7:$J$100,'24c'!$H$7:$H$100,$A442,'24c'!$I$7:$I$100,1)+SUMIFS('24d'!$J$7:$J$100,'24d'!$H$7:$H$100,$A442,'24d'!$I$7:$I$100,1)+SUMIFS('24e'!$J$7:$J$100,'24e'!$H$7:$H$100,$A442,'24e'!$I$7:$I$100,1)+SUMIFS('24f'!$J$7:$J$100,'24f'!$H$7:$H$100,$A442,'24f'!$I$7:$I$100,1)+SUMIFS('24g'!$J$7:$J$100,'24g'!$H$7:$H$100,$A442,'24g'!$I$7:$I$100,1)+SUMIFS('24h'!$J$7:$J$100,'24h'!$H$7:$H$100,$A442,'24h'!$I$7:$I$100,1)+SUMIFS('24i'!$J$7:$J$100,'24i'!$H$7:$H$100,$A442,'24i'!$I$7:$I$100,1)+SUMIFS('25'!$J$7:$J$100,'25'!$H$7:$H$100,$A442,'25'!$I$7:$I$100,1)+SUMIFS('26'!$J$7:$J$100,'26'!$H$7:$H$100,$A442,'26'!$I$7:$I$100,1)+SUMIFS('26a'!$J$7:$J$100,'26a'!$H$7:$H$100,$A442,'26a'!$I$7:$I$100,1)+SUMIFS('27'!$J$7:$J$100,'27'!$H$7:$H$100,$A442,'27'!$I$7:$I$100,1)+SUMIFS('27a'!$J$7:$J$100,'27a'!$H$7:$H$100,$A442,'27a'!$I$7:$I$100,1)+SUMIFS('28'!$J$7:$J$100,'28'!$H$7:$H$100,$A442,'28'!$I$7:$I$100,1)+SUMIFS('29'!$J$7:$J$100,'29'!$H$7:$H$100,$A442,'29'!$I$7:$I$100,1)</f>
        <v>0</v>
      </c>
      <c r="H442" s="1315">
        <f>SUMIFS('12'!$J$7:$J$100,'12'!$H$7:$H$100,$A442,'12'!$I$7:$I$100,2)+SUMIFS('13'!$J$7:$J$100,'13'!$H$7:$H$100,$A442,'13'!$I$7:$I$100,2)+SUMIFS('14'!$J$7:$J$100,'14'!$H$7:$H$100,$A442,'14'!$I$7:$I$100,2)+SUMIFS('15'!$J$7:$J$100,'15'!$H$7:$H$100,$A442,'15'!$I$7:$I$100,2)+SUMIFS('15a'!$J$7:$J$100,'15a'!$H$7:$H$100,$A442,'15a'!$I$7:$I$100,2)+SUMIFS('15b'!$J$7:$J$100,'15b'!$H$7:$H$100,$A442,'15b'!$I$7:$I$100,2)+SUMIFS('15c'!$J$7:$J$100,'15c'!$H$7:$H$100,$A442,'15c'!$I$7:$I$100,2)+SUMIFS('15d'!$J$7:$J$100,'15d'!$H$7:$H$100,$A442,'15d'!$I$7:$I$100,2)+SUMIFS('15e'!$J$7:$J$100,'15e'!$H$7:$H$100,$A442,'15e'!$I$7:$I$100,2)+SUMIFS('15f'!$J$7:$J$100,'15f'!$H$7:$H$100,$A442,'15f'!$I$7:$I$100,2)+SUMIFS('15g'!$J$7:$J$100,'15g'!$H$7:$H$100,$A442,'15g'!$I$7:$I$100,2)+SUMIFS('15h'!$J$7:$J$100,'15h'!$H$7:$H$100,$A442,'15h'!$I$7:$I$100,2)+SUMIFS('15i'!$J$7:$J$100,'15i'!$H$7:$H$100,$A442,'15i'!$I$7:$I$100,2)+SUMIFS('15j'!$J$7:$J$100,'15j'!$H$7:$H$100,$A442,'15j'!$I$7:$I$100,2)+SUMIFS('15k'!$J$7:$J$100,'15k'!$H$7:$H$100,$A442,'15k'!$I$7:$I$100,2)+SUMIFS('15l'!$J$7:$J$100,'15l'!$H$7:$H$100,$A442,'15l'!$I$7:$I$100,2)+SUMIFS('15m'!$J$7:$J$100,'15m'!$H$7:$H$100,$A442,'15m'!$I$7:$I$100,2)+SUMIFS('15n'!$J$7:$J$100,'15n'!$H$7:$H$100,$A442,'15n'!$I$7:$I$100,2)+SUMIFS('16'!$J$7:$J$100,'16'!$H$7:$H$100,$A442,'16'!$I$7:$I$100,2)+SUMIFS('16a'!$J$7:$J$100,'16a'!$H$7:$H$100,$A442,'16a'!$I$7:$I$100,2)+SUMIFS('17'!$J$7:$J$100,'17'!$H$7:$H$100,$A442,'17'!$I$7:$I$100,2)+SUMIFS('17a'!$J$7:$J$100,'17a'!$H$7:$H$100,$A442,'17a'!$I$7:$I$100,2)+SUMIFS('18'!$J$7:$J$100,'18'!$H$7:$H$100,$A442,'18'!$I$7:$I$100,2)+SUMIFS('18a'!$J$7:$J$100,'18a'!$H$7:$H$100,$A442,'18a'!$I$7:$I$100,2)
+SUMIFS('19'!$J$7:$J$100,'19'!$H$7:$H$100,$A442,'19'!$I$7:$I$100,2)+SUMIFS('20'!$J$7:$J$100,'20'!$H$7:$H$100,$A442,'20'!$I$7:$I$100,2)+SUMIFS('20a'!$J$7:$J$100,'20a'!$H$7:$H$100,$A442,'20a'!$I$7:$I$100,2)+SUMIFS('21'!$J$7:$J$100,'21'!$H$7:$H$100,$A442,'21'!$I$7:$I$100,2)+SUMIFS('22'!$J$7:$J$100,'22'!$H$7:$H$100,$A442,'22'!$I$7:$I$100,2)+SUMIFS('22a'!$J$7:$J$100,'22a'!$H$7:$H$100,$A442,'22a'!$I$7:$I$100,2)+SUMIFS('22b'!$J$7:$J$100,'22b'!$H$7:$H$100,$A442,'22b'!$I$7:$I$100,2)+SUMIFS('23'!$J$7:$J$100,'23'!$H$7:$H$100,$A442,'23'!$I$7:$I$100,2)+SUMIFS('24'!$J$7:$J$100,'24'!$H$7:$H$100,$A442,'24'!$I$7:$I$100,2)+SUMIFS('24a'!$J$7:$J$100,'24a'!$H$7:$H$100,$A442,'24a'!$I$7:$I$100,2)+SUMIFS('24b'!$J$7:$J$100,'24b'!$H$7:$H$100,$A442,'24b'!$I$7:$I$100,2)+SUMIFS('24c'!$J$7:$J$100,'24c'!$H$7:$H$100,$A442,'24c'!$I$7:$I$100,2)+SUMIFS('24d'!$J$7:$J$100,'24d'!$H$7:$H$100,$A442,'24d'!$I$7:$I$100,2)+SUMIFS('24e'!$J$7:$J$100,'24e'!$H$7:$H$100,$A442,'24e'!$I$7:$I$100,2)+SUMIFS('24f'!$J$7:$J$100,'24f'!$H$7:$H$100,$A442,'24f'!$I$7:$I$100,2)+SUMIFS('24g'!$J$7:$J$100,'24g'!$H$7:$H$100,$A442,'24g'!$I$7:$I$100,2)+SUMIFS('24h'!$J$7:$J$100,'24h'!$H$7:$H$100,$A442,'24h'!$I$7:$I$100,2)+SUMIFS('24i'!$J$7:$J$100,'24i'!$H$7:$H$100,$A442,'24i'!$I$7:$I$100,2)+SUMIFS('25'!$J$7:$J$100,'25'!$H$7:$H$100,$A442,'25'!$I$7:$I$100,2)+SUMIFS('26'!$J$7:$J$100,'26'!$H$7:$H$100,$A442,'26'!$I$7:$I$100,2)+SUMIFS('26a'!$J$7:$J$100,'26a'!$H$7:$H$100,$A442,'26a'!$I$7:$I$100,2)+SUMIFS('27'!$J$7:$J$100,'27'!$H$7:$H$100,$A442,'27'!$I$7:$I$100,2)+SUMIFS('27a'!$J$7:$J$100,'27a'!$H$7:$H$100,$A442,'27a'!$I$7:$I$100,2)+SUMIFS('28'!$J$7:$J$100,'28'!$H$7:$H$100,$A442,'28'!$I$7:$I$100,2)+SUMIFS('29'!$J$7:$J$100,'29'!$H$7:$H$100,$A442,'29'!$I$7:$I$100,2)</f>
        <v>0</v>
      </c>
      <c r="I442" s="1315">
        <f>SUMIFS('12'!$J$7:$J$100,'12'!$H$7:$H$100,$A442,'12'!$I$7:$I$100,"")+SUMIFS('13'!$J$7:$J$100,'13'!$H$7:$H$100,$A442,'13'!$I$7:$I$100,"")+SUMIFS('14'!$J$7:$J$100,'14'!$H$7:$H$100,$A442,'14'!$I$7:$I$100,"")+SUMIFS('15'!$J$7:$J$100,'15'!$H$7:$H$100,$A442,'15'!$I$7:$I$100,"")+SUMIFS('15a'!$J$7:$J$100,'15a'!$H$7:$H$100,$A442,'15a'!$I$7:$I$100,"")+SUMIFS('15b'!$J$7:$J$100,'15b'!$H$7:$H$100,$A442,'15b'!$I$7:$I$100,"")+SUMIFS('15c'!$J$7:$J$100,'15c'!$H$7:$H$100,$A442,'15c'!$I$7:$I$100,"")+SUMIFS('15d'!$J$7:$J$100,'15d'!$H$7:$H$100,$A442,'15d'!$I$7:$I$100,"")+SUMIFS('15e'!$J$7:$J$100,'15e'!$H$7:$H$100,$A442,'15e'!$I$7:$I$100,"")+SUMIFS('15f'!$J$7:$J$100,'15f'!$H$7:$H$100,$A442,'15f'!$I$7:$I$100,"")+SUMIFS('15g'!$J$7:$J$100,'15g'!$H$7:$H$100,$A442,'15g'!$I$7:$I$100,"")+SUMIFS('15h'!$J$7:$J$100,'15h'!$H$7:$H$100,$A442,'15h'!$I$7:$I$100,"")+SUMIFS('15i'!$J$7:$J$100,'15i'!$H$7:$H$100,$A442,'15i'!$I$7:$I$100,"")+SUMIFS('15j'!$J$7:$J$100,'15j'!$H$7:$H$100,$A442,'15j'!$I$7:$I$100,"")+SUMIFS('15k'!$J$7:$J$100,'15k'!$H$7:$H$100,$A442,'15k'!$I$7:$I$100,"")+SUMIFS('15l'!$J$7:$J$100,'15l'!$H$7:$H$100,$A442,'15l'!$I$7:$I$100,"")+SUMIFS('15m'!$J$7:$J$100,'15m'!$H$7:$H$100,$A442,'15m'!$I$7:$I$100,"")+SUMIFS('15n'!$J$7:$J$100,'15n'!$H$7:$H$100,$A442,'15n'!$I$7:$I$100,"")+SUMIFS('16'!$J$7:$J$100,'16'!$H$7:$H$100,$A442,'16'!$I$7:$I$100,"")+SUMIFS('16a'!$J$7:$J$100,'16a'!$H$7:$H$100,$A442,'16a'!$I$7:$I$100,"")+SUMIFS('17'!$J$7:$J$100,'17'!$H$7:$H$100,$A442,'17'!$I$7:$I$100,"")+SUMIFS('17a'!$J$7:$J$100,'17a'!$H$7:$H$100,$A442,'17a'!$I$7:$I$100,"")+SUMIFS('18'!$J$7:$J$100,'18'!$H$7:$H$100,$A442,'18'!$I$7:$I$100,"")+SUMIFS('18a'!$J$7:$J$100,'18a'!$H$7:$H$100,$A442,'18a'!$I$7:$I$100,"")
+SUMIFS('19'!$J$7:$J$100,'19'!$H$7:$H$100,$A442,'19'!$I$7:$I$100,"")+SUMIFS('20'!$J$7:$J$100,'20'!$H$7:$H$100,$A442,'20'!$I$7:$I$100,"")+SUMIFS('20a'!$J$7:$J$100,'20a'!$H$7:$H$100,$A442,'20a'!$I$7:$I$100,"")+SUMIFS('21'!$J$7:$J$100,'21'!$H$7:$H$100,$A442,'21'!$I$7:$I$100,"")+SUMIFS('22'!$J$7:$J$100,'22'!$H$7:$H$100,$A442,'22'!$I$7:$I$100,"")+SUMIFS('22a'!$J$7:$J$100,'22a'!$H$7:$H$100,$A442,'22a'!$I$7:$I$100,"")+SUMIFS('22b'!$J$7:$J$100,'22b'!$H$7:$H$100,$A442,'22b'!$I$7:$I$100,"")+SUMIFS('23'!$J$7:$J$100,'23'!$H$7:$H$100,$A442,'23'!$I$7:$I$100,"")+SUMIFS('24'!$J$7:$J$100,'24'!$H$7:$H$100,$A442,'24'!$I$7:$I$100,"")+SUMIFS('24a'!$J$7:$J$100,'24a'!$H$7:$H$100,$A442,'24a'!$I$7:$I$100,"")+SUMIFS('24b'!$J$7:$J$100,'24b'!$H$7:$H$100,$A442,'24b'!$I$7:$I$100,"")+SUMIFS('24c'!$J$7:$J$100,'24c'!$H$7:$H$100,$A442,'24c'!$I$7:$I$100,"")+SUMIFS('24d'!$J$7:$J$100,'24d'!$H$7:$H$100,$A442,'24d'!$I$7:$I$100,"")+SUMIFS('24e'!$J$7:$J$100,'24e'!$H$7:$H$100,$A442,'24e'!$I$7:$I$100,"")+SUMIFS('24f'!$J$7:$J$100,'24f'!$H$7:$H$100,$A442,'24f'!$I$7:$I$100,"")+SUMIFS('24g'!$J$7:$J$100,'24g'!$H$7:$H$100,$A442,'24g'!$I$7:$I$100,"")+SUMIFS('24h'!$J$7:$J$100,'24h'!$H$7:$H$100,$A442,'24h'!$I$7:$I$100,"")+SUMIFS('24i'!$J$7:$J$100,'24i'!$H$7:$H$100,$A442,'24i'!$I$7:$I$100,"")+SUMIFS('25'!$J$7:$J$100,'25'!$H$7:$H$100,$A442,'25'!$I$7:$I$100,"")+SUMIFS('26'!$J$7:$J$100,'26'!$H$7:$H$100,$A442,'26'!$I$7:$I$100,"")+SUMIFS('26a'!$J$7:$J$100,'26a'!$H$7:$H$100,$A442,'26a'!$I$7:$I$100,"")+SUMIFS('27'!$J$7:$J$100,'27'!$H$7:$H$100,$A442,'27'!$I$7:$I$100,"")+SUMIFS('27a'!$J$7:$J$100,'27a'!$H$7:$H$100,$A442,'27a'!$I$7:$I$100,"")+SUMIFS('28'!$J$7:$J$100,'28'!$H$7:$H$100,$A442,'28'!$I$7:$I$100,"")+SUMIFS('29'!$J$7:$J$100,'29'!$H$7:$H$100,$A442,'29'!$I$7:$I$100,"")</f>
        <v>0</v>
      </c>
      <c r="J442" s="1296">
        <f>SUM(G442:I442)</f>
        <v>0</v>
      </c>
      <c r="K442"/>
      <c r="L442"/>
      <c r="M442"/>
      <c r="N442"/>
      <c r="O442"/>
      <c r="P442"/>
      <c r="Q442"/>
      <c r="R442"/>
      <c r="S442" s="1307">
        <f t="shared" si="71"/>
        <v>0</v>
      </c>
      <c r="T442"/>
    </row>
    <row r="443" spans="1:20" x14ac:dyDescent="0.2">
      <c r="A443" t="s">
        <v>554</v>
      </c>
      <c r="B443" t="s">
        <v>5566</v>
      </c>
      <c r="C443" s="1295">
        <f>SUMIFS('12'!$N$7:$N$100,'12'!$H$7:$H$100,$A443,'12'!$I$7:$I$100,1)+SUMIFS('13'!$N$7:$N$100,'13'!$H$7:$H$100,$A443,'13'!$I$7:$I$100,1)+SUMIFS('14'!$N$7:$N$100,'14'!$H$7:$H$100,$A443,'14'!$I$7:$I$100,1)+SUMIFS('15'!$N$7:$N$100,'15'!$H$7:$H$100,$A443,'15'!$I$7:$I$100,1)+SUMIFS('15a'!$N$7:$N$100,'15a'!$H$7:$H$100,$A443,'15a'!$I$7:$I$100,1)+SUMIFS('15b'!$N$7:$N$100,'15b'!$H$7:$H$100,$A443,'15b'!$I$7:$I$100,1)+SUMIFS('15c'!$N$7:$N$100,'15c'!$H$7:$H$100,$A443,'15c'!$I$7:$I$100,1)+SUMIFS('15d'!$N$7:$N$100,'15d'!$H$7:$H$100,$A443,'15d'!$I$7:$I$100,1)+SUMIFS('15e'!$N$7:$N$100,'15e'!$H$7:$H$100,$A443,'15e'!$I$7:$I$100,1)+SUMIFS('15f'!$N$7:$N$100,'15f'!$H$7:$H$100,$A443,'15f'!$I$7:$I$100,1)+SUMIFS('15g'!$N$7:$N$100,'15g'!$H$7:$H$100,$A443,'15g'!$I$7:$I$100,1)+SUMIFS('15h'!$N$7:$N$100,'15h'!$H$7:$H$100,$A443,'15h'!$I$7:$I$100,1)+SUMIFS('15i'!$N$7:$N$100,'15i'!$H$7:$H$100,$A443,'15i'!$I$7:$I$100,1)+SUMIFS('15j'!$N$7:$N$100,'15j'!$H$7:$H$100,$A443,'15j'!$I$7:$I$100,1)+SUMIFS('15k'!$N$7:$N$100,'15k'!$H$7:$H$100,$A443,'15k'!$I$7:$I$100,1)+SUMIFS('15l'!$N$7:$N$100,'15l'!$H$7:$H$100,$A443,'15l'!$I$7:$I$100,1)+SUMIFS('15m'!$N$7:$N$100,'15m'!$H$7:$H$100,$A443,'15m'!$I$7:$I$100,1)+SUMIFS('15n'!$N$7:$N$100,'15n'!$H$7:$H$100,$A443,'15n'!$I$7:$I$100,1)+SUMIFS('16'!$N$7:$N$100,'16'!$H$7:$H$100,$A443,'16'!$I$7:$I$100,1)+SUMIFS('16a'!$N$7:$N$100,'16a'!$H$7:$H$100,$A443,'16a'!$I$7:$I$100,1)+SUMIFS('17'!$N$7:$N$100,'17'!$H$7:$H$100,$A443,'17'!$I$7:$I$100,1)+SUMIFS('17a'!$N$7:$N$100,'17a'!$H$7:$H$100,$A443,'17a'!$I$7:$I$100,1)+SUMIFS('18'!$N$7:$N$100,'18'!$H$7:$H$100,$A443,'18'!$I$7:$I$100,1)+SUMIFS('18a'!$N$7:$N$100,'18a'!$H$7:$H$100,$A443,'18a'!$I$7:$I$100,1)
+SUMIFS('19'!$N$7:$N$100,'19'!$H$7:$H$100,$A443,'19'!$I$7:$I$100,1)+SUMIFS('20'!$N$7:$N$100,'20'!$H$7:$H$100,$A443,'20'!$I$7:$I$100,1)+SUMIFS('20a'!$N$7:$N$100,'20a'!$H$7:$H$100,$A443,'20a'!$I$7:$I$100,1)+SUMIFS('21'!$N$7:$N$100,'21'!$H$7:$H$100,$A443,'21'!$I$7:$I$100,1)+SUMIFS('22'!$N$7:$N$100,'22'!$H$7:$H$100,$A443,'22'!$I$7:$I$100,1)+SUMIFS('22a'!$N$7:$N$100,'22a'!$H$7:$H$100,$A443,'22a'!$I$7:$I$100,1)+SUMIFS('22b'!$N$7:$N$100,'22b'!$H$7:$H$100,$A443,'22b'!$I$7:$I$100,1)+SUMIFS('23'!$N$7:$N$100,'23'!$H$7:$H$100,$A443,'23'!$I$7:$I$100,1)+SUMIFS('24'!$N$7:$N$100,'24'!$H$7:$H$100,$A443,'24'!$I$7:$I$100,1)+SUMIFS('24a'!$N$7:$N$100,'24a'!$H$7:$H$100,$A443,'24a'!$I$7:$I$100,1)+SUMIFS('24b'!$N$7:$N$100,'24b'!$H$7:$H$100,$A443,'24b'!$I$7:$I$100,1)+SUMIFS('24c'!$N$7:$N$100,'24c'!$H$7:$H$100,$A443,'24c'!$I$7:$I$100,1)+SUMIFS('24d'!$N$7:$N$100,'24d'!$H$7:$H$100,$A443,'24d'!$I$7:$I$100,1)+SUMIFS('24e'!$N$7:$N$100,'24e'!$H$7:$H$100,$A443,'24e'!$I$7:$I$100,1)+SUMIFS('24f'!$N$7:$N$100,'24f'!$H$7:$H$100,$A443,'24f'!$I$7:$I$100,1)+SUMIFS('24g'!$N$7:$N$100,'24g'!$H$7:$H$100,$A443,'24g'!$I$7:$I$100,1)+SUMIFS('24h'!$N$7:$N$100,'24h'!$H$7:$H$100,$A443,'24h'!$I$7:$I$100,1)+SUMIFS('24i'!$N$7:$N$100,'24i'!$H$7:$H$100,$A443,'24i'!$I$7:$I$100,1)+SUMIFS('25'!$N$7:$N$100,'25'!$H$7:$H$100,$A443,'25'!$I$7:$I$100,1)+SUMIFS('26'!$N$7:$N$100,'26'!$H$7:$H$100,$A443,'26'!$I$7:$I$100,1)+SUMIFS('26a'!$N$7:$N$100,'26a'!$H$7:$H$100,$A443,'26a'!$I$7:$I$100,1)+SUMIFS('27'!$N$7:$N$100,'27'!$H$7:$H$100,$A443,'27'!$I$7:$I$100,1)+SUMIFS('27a'!$N$7:$N$100,'27a'!$H$7:$H$100,$A443,'27a'!$I$7:$I$100,1)+SUMIFS('28'!$N$7:$N$100,'28'!$H$7:$H$100,$A443,'28'!$I$7:$I$100,1)+SUMIFS('29'!$N$7:$N$100,'29'!$H$7:$H$100,$A443,'29'!$I$7:$I$100,1)</f>
        <v>0</v>
      </c>
      <c r="D443" s="1315">
        <f>SUMIFS('12'!$N$7:$N$100,'12'!$H$7:$H$100,$A443,'12'!$I$7:$I$100,2)+SUMIFS('13'!$N$7:$N$100,'13'!$H$7:$H$100,$A443,'13'!$I$7:$I$100,2)+SUMIFS('14'!$N$7:$N$100,'14'!$H$7:$H$100,$A443,'14'!$I$7:$I$100,2)+SUMIFS('15'!$N$7:$N$100,'15'!$H$7:$H$100,$A443,'15'!$I$7:$I$100,2)+SUMIFS('15a'!$N$7:$N$100,'15a'!$H$7:$H$100,$A443,'15a'!$I$7:$I$100,2)+SUMIFS('15b'!$N$7:$N$100,'15b'!$H$7:$H$100,$A443,'15b'!$I$7:$I$100,2)+SUMIFS('15c'!$N$7:$N$100,'15c'!$H$7:$H$100,$A443,'15c'!$I$7:$I$100,2)+SUMIFS('15d'!$N$7:$N$100,'15d'!$H$7:$H$100,$A443,'15d'!$I$7:$I$100,2)+SUMIFS('15e'!$N$7:$N$100,'15e'!$H$7:$H$100,$A443,'15e'!$I$7:$I$100,2)+SUMIFS('15f'!$N$7:$N$100,'15f'!$H$7:$H$100,$A443,'15f'!$I$7:$I$100,2)+SUMIFS('15g'!$N$7:$N$100,'15g'!$H$7:$H$100,$A443,'15g'!$I$7:$I$100,2)+SUMIFS('15h'!$N$7:$N$100,'15h'!$H$7:$H$100,$A443,'15h'!$I$7:$I$100,2)+SUMIFS('15i'!$N$7:$N$100,'15i'!$H$7:$H$100,$A443,'15i'!$I$7:$I$100,2)+SUMIFS('15j'!$N$7:$N$100,'15j'!$H$7:$H$100,$A443,'15j'!$I$7:$I$100,2)+SUMIFS('15k'!$N$7:$N$100,'15k'!$H$7:$H$100,$A443,'15k'!$I$7:$I$100,2)+SUMIFS('15l'!$N$7:$N$100,'15l'!$H$7:$H$100,$A443,'15l'!$I$7:$I$100,2)+SUMIFS('15m'!$N$7:$N$100,'15m'!$H$7:$H$100,$A443,'15m'!$I$7:$I$100,2)+SUMIFS('15n'!$N$7:$N$100,'15n'!$H$7:$H$100,$A443,'15n'!$I$7:$I$100,2)+SUMIFS('16'!$N$7:$N$100,'16'!$H$7:$H$100,$A443,'16'!$I$7:$I$100,2)+SUMIFS('16a'!$N$7:$N$100,'16a'!$H$7:$H$100,$A443,'16a'!$I$7:$I$100,2)+SUMIFS('17'!$N$7:$N$100,'17'!$H$7:$H$100,$A443,'17'!$I$7:$I$100,2)+SUMIFS('17a'!$N$7:$N$100,'17a'!$H$7:$H$100,$A443,'17a'!$I$7:$I$100,2)+SUMIFS('18'!$N$7:$N$100,'18'!$H$7:$H$100,$A443,'18'!$I$7:$I$100,2)+SUMIFS('18a'!$N$7:$N$100,'18a'!$H$7:$H$100,$A443,'18a'!$I$7:$I$100,2)
+SUMIFS('19'!$N$7:$N$100,'19'!$H$7:$H$100,$A443,'19'!$I$7:$I$100,2)+SUMIFS('20'!$N$7:$N$100,'20'!$H$7:$H$100,$A443,'20'!$I$7:$I$100,2)+SUMIFS('20a'!$N$7:$N$100,'20a'!$H$7:$H$100,$A443,'20a'!$I$7:$I$100,2)+SUMIFS('21'!$N$7:$N$100,'21'!$H$7:$H$100,$A443,'21'!$I$7:$I$100,2)+SUMIFS('22'!$N$7:$N$100,'22'!$H$7:$H$100,$A443,'22'!$I$7:$I$100,2)+SUMIFS('22a'!$N$7:$N$100,'22a'!$H$7:$H$100,$A443,'22a'!$I$7:$I$100,2)+SUMIFS('22b'!$N$7:$N$100,'22b'!$H$7:$H$100,$A443,'22b'!$I$7:$I$100,2)+SUMIFS('23'!$N$7:$N$100,'23'!$H$7:$H$100,$A443,'23'!$I$7:$I$100,2)+SUMIFS('24'!$N$7:$N$100,'24'!$H$7:$H$100,$A443,'24'!$I$7:$I$100,2)+SUMIFS('24a'!$N$7:$N$100,'24a'!$H$7:$H$100,$A443,'24a'!$I$7:$I$100,2)+SUMIFS('24b'!$N$7:$N$100,'24b'!$H$7:$H$100,$A443,'24b'!$I$7:$I$100,2)+SUMIFS('24c'!$N$7:$N$100,'24c'!$H$7:$H$100,$A443,'24c'!$I$7:$I$100,2)+SUMIFS('24d'!$N$7:$N$100,'24d'!$H$7:$H$100,$A443,'24d'!$I$7:$I$100,2)+SUMIFS('24e'!$N$7:$N$100,'24e'!$H$7:$H$100,$A443,'24e'!$I$7:$I$100,2)+SUMIFS('24f'!$N$7:$N$100,'24f'!$H$7:$H$100,$A443,'24f'!$I$7:$I$100,2)+SUMIFS('24g'!$N$7:$N$100,'24g'!$H$7:$H$100,$A443,'24g'!$I$7:$I$100,2)+SUMIFS('24h'!$N$7:$N$100,'24h'!$H$7:$H$100,$A443,'24h'!$I$7:$I$100,2)+SUMIFS('24i'!$N$7:$N$100,'24i'!$H$7:$H$100,$A443,'24i'!$I$7:$I$100,2)+SUMIFS('25'!$N$7:$N$100,'25'!$H$7:$H$100,$A443,'25'!$I$7:$I$100,2)+SUMIFS('26'!$N$7:$N$100,'26'!$H$7:$H$100,$A443,'26'!$I$7:$I$100,2)+SUMIFS('26a'!$N$7:$N$100,'26a'!$H$7:$H$100,$A443,'26a'!$I$7:$I$100,2)+SUMIFS('27'!$N$7:$N$100,'27'!$H$7:$H$100,$A443,'27'!$I$7:$I$100,2)+SUMIFS('27a'!$N$7:$N$100,'27a'!$H$7:$H$100,$A443,'27a'!$I$7:$I$100,2)+SUMIFS('28'!$N$7:$N$100,'28'!$H$7:$H$100,$A443,'28'!$I$7:$I$100,2)+SUMIFS('29'!$N$7:$N$100,'29'!$H$7:$H$100,$A443,'29'!$I$7:$I$100,2)</f>
        <v>0</v>
      </c>
      <c r="E443" s="1315">
        <f>SUMIFS('12'!$N$7:$N$100,'12'!$H$7:$H$100,$A443,'12'!$I$7:$I$100,"")+SUMIFS('13'!$N$7:$N$100,'13'!$H$7:$H$100,$A443,'13'!$I$7:$I$100,"")+SUMIFS('14'!$N$7:$N$100,'14'!$H$7:$H$100,$A443,'14'!$I$7:$I$100,"")+SUMIFS('15'!$N$7:$N$100,'15'!$H$7:$H$100,$A443,'15'!$I$7:$I$100,"")+SUMIFS('15a'!$N$7:$N$100,'15a'!$H$7:$H$100,$A443,'15a'!$I$7:$I$100,"")+SUMIFS('15b'!$N$7:$N$100,'15b'!$H$7:$H$100,$A443,'15b'!$I$7:$I$100,"")+SUMIFS('15c'!$N$7:$N$100,'15c'!$H$7:$H$100,$A443,'15c'!$I$7:$I$100,"")+SUMIFS('15d'!$N$7:$N$100,'15d'!$H$7:$H$100,$A443,'15d'!$I$7:$I$100,"")+SUMIFS('15e'!$N$7:$N$100,'15e'!$H$7:$H$100,$A443,'15e'!$I$7:$I$100,"")+SUMIFS('15f'!$N$7:$N$100,'15f'!$H$7:$H$100,$A443,'15f'!$I$7:$I$100,"")+SUMIFS('15g'!$N$7:$N$100,'15g'!$H$7:$H$100,$A443,'15g'!$I$7:$I$100,"")+SUMIFS('15h'!$N$7:$N$100,'15h'!$H$7:$H$100,$A443,'15h'!$I$7:$I$100,"")+SUMIFS('15i'!$N$7:$N$100,'15i'!$H$7:$H$100,$A443,'15i'!$I$7:$I$100,"")+SUMIFS('15j'!$N$7:$N$100,'15j'!$H$7:$H$100,$A443,'15j'!$I$7:$I$100,"")+SUMIFS('15k'!$N$7:$N$100,'15k'!$H$7:$H$100,$A443,'15k'!$I$7:$I$100,"")+SUMIFS('15l'!$N$7:$N$100,'15l'!$H$7:$H$100,$A443,'15l'!$I$7:$I$100,"")+SUMIFS('15m'!$N$7:$N$100,'15m'!$H$7:$H$100,$A443,'15m'!$I$7:$I$100,"")+SUMIFS('15n'!$N$7:$N$100,'15n'!$H$7:$H$100,$A443,'15n'!$I$7:$I$100,"")+SUMIFS('16'!$N$7:$N$100,'16'!$H$7:$H$100,$A443,'16'!$I$7:$I$100,"")+SUMIFS('16a'!$N$7:$N$100,'16a'!$H$7:$H$100,$A443,'16a'!$I$7:$I$100,"")+SUMIFS('17'!$N$7:$N$100,'17'!$H$7:$H$100,$A443,'17'!$I$7:$I$100,"")+SUMIFS('17a'!$N$7:$N$100,'17a'!$H$7:$H$100,$A443,'17a'!$I$7:$I$100,"")+SUMIFS('18'!$N$7:$N$100,'18'!$H$7:$H$100,$A443,'18'!$I$7:$I$100,"")+SUMIFS('18a'!$N$7:$N$100,'18a'!$H$7:$H$100,$A443,'18a'!$I$7:$I$100,"")
+SUMIFS('19'!$N$7:$N$100,'19'!$H$7:$H$100,$A443,'19'!$I$7:$I$100,"")+SUMIFS('20'!$N$7:$N$100,'20'!$H$7:$H$100,$A443,'20'!$I$7:$I$100,"")+SUMIFS('20a'!$N$7:$N$100,'20a'!$H$7:$H$100,$A443,'20a'!$I$7:$I$100,"")+SUMIFS('21'!$N$7:$N$100,'21'!$H$7:$H$100,$A443,'21'!$I$7:$I$100,"")+SUMIFS('22'!$N$7:$N$100,'22'!$H$7:$H$100,$A443,'22'!$I$7:$I$100,"")+SUMIFS('22a'!$N$7:$N$100,'22a'!$H$7:$H$100,$A443,'22a'!$I$7:$I$100,"")+SUMIFS('22b'!$N$7:$N$100,'22b'!$H$7:$H$100,$A443,'22b'!$I$7:$I$100,"")+SUMIFS('23'!$N$7:$N$100,'23'!$H$7:$H$100,$A443,'23'!$I$7:$I$100,"")+SUMIFS('24'!$N$7:$N$100,'24'!$H$7:$H$100,$A443,'24'!$I$7:$I$100,"")+SUMIFS('24a'!$N$7:$N$100,'24a'!$H$7:$H$100,$A443,'24a'!$I$7:$I$100,"")+SUMIFS('24b'!$N$7:$N$100,'24b'!$H$7:$H$100,$A443,'24b'!$I$7:$I$100,"")+SUMIFS('24c'!$N$7:$N$100,'24c'!$H$7:$H$100,$A443,'24c'!$I$7:$I$100,"")+SUMIFS('24d'!$N$7:$N$100,'24d'!$H$7:$H$100,$A443,'24d'!$I$7:$I$100,"")+SUMIFS('24e'!$N$7:$N$100,'24e'!$H$7:$H$100,$A443,'24e'!$I$7:$I$100,"")+SUMIFS('24f'!$N$7:$N$100,'24f'!$H$7:$H$100,$A443,'24f'!$I$7:$I$100,"")+SUMIFS('24g'!$N$7:$N$100,'24g'!$H$7:$H$100,$A443,'24g'!$I$7:$I$100,"")+SUMIFS('24h'!$N$7:$N$100,'24h'!$H$7:$H$100,$A443,'24h'!$I$7:$I$100,"")+SUMIFS('24i'!$N$7:$N$100,'24i'!$H$7:$H$100,$A443,'24i'!$I$7:$I$100,"")+SUMIFS('25'!$N$7:$N$100,'25'!$H$7:$H$100,$A443,'25'!$I$7:$I$100,"")+SUMIFS('26'!$N$7:$N$100,'26'!$H$7:$H$100,$A443,'26'!$I$7:$I$100,"")+SUMIFS('26a'!$N$7:$N$100,'26a'!$H$7:$H$100,$A443,'26a'!$I$7:$I$100,"")+SUMIFS('27'!$N$7:$N$100,'27'!$H$7:$H$100,$A443,'27'!$I$7:$I$100,"")+SUMIFS('27a'!$N$7:$N$100,'27a'!$H$7:$H$100,$A443,'27a'!$I$7:$I$100,"")+SUMIFS('28'!$N$7:$N$100,'28'!$H$7:$H$100,$A443,'28'!$I$7:$I$100,"")+SUMIFS('29'!$N$7:$N$100,'29'!$H$7:$H$100,$A443,'29'!$I$7:$I$100,"")</f>
        <v>0</v>
      </c>
      <c r="F443" s="1296">
        <f>SUM(C443:E443)</f>
        <v>0</v>
      </c>
      <c r="G443" s="1295">
        <f>SUMIFS('12'!$J$7:$J$100,'12'!$H$7:$H$100,$A443,'12'!$I$7:$I$100,1)+SUMIFS('13'!$J$7:$J$100,'13'!$H$7:$H$100,$A443,'13'!$I$7:$I$100,1)+SUMIFS('14'!$J$7:$J$100,'14'!$H$7:$H$100,$A443,'14'!$I$7:$I$100,1)+SUMIFS('15'!$J$7:$J$100,'15'!$H$7:$H$100,$A443,'15'!$I$7:$I$100,1)+SUMIFS('15a'!$J$7:$J$100,'15a'!$H$7:$H$100,$A443,'15a'!$I$7:$I$100,1)+SUMIFS('15b'!$J$7:$J$100,'15b'!$H$7:$H$100,$A443,'15b'!$I$7:$I$100,1)+SUMIFS('15c'!$J$7:$J$100,'15c'!$H$7:$H$100,$A443,'15c'!$I$7:$I$100,1)+SUMIFS('15d'!$J$7:$J$100,'15d'!$H$7:$H$100,$A443,'15d'!$I$7:$I$100,1)+SUMIFS('15e'!$J$7:$J$100,'15e'!$H$7:$H$100,$A443,'15e'!$I$7:$I$100,1)+SUMIFS('15f'!$J$7:$J$100,'15f'!$H$7:$H$100,$A443,'15f'!$I$7:$I$100,1)+SUMIFS('15g'!$J$7:$J$100,'15g'!$H$7:$H$100,$A443,'15g'!$I$7:$I$100,1)+SUMIFS('15h'!$J$7:$J$100,'15h'!$H$7:$H$100,$A443,'15h'!$I$7:$I$100,1)+SUMIFS('15i'!$J$7:$J$100,'15i'!$H$7:$H$100,$A443,'15i'!$I$7:$I$100,1)+SUMIFS('15j'!$J$7:$J$100,'15j'!$H$7:$H$100,$A443,'15j'!$I$7:$I$100,1)+SUMIFS('15k'!$J$7:$J$100,'15k'!$H$7:$H$100,$A443,'15k'!$I$7:$I$100,1)+SUMIFS('15l'!$J$7:$J$100,'15l'!$H$7:$H$100,$A443,'15l'!$I$7:$I$100,1)+SUMIFS('15m'!$J$7:$J$100,'15m'!$H$7:$H$100,$A443,'15m'!$I$7:$I$100,1)+SUMIFS('15n'!$J$7:$J$100,'15n'!$H$7:$H$100,$A443,'15n'!$I$7:$I$100,1)+SUMIFS('16'!$J$7:$J$100,'16'!$H$7:$H$100,$A443,'16'!$I$7:$I$100,1)+SUMIFS('16a'!$J$7:$J$100,'16a'!$H$7:$H$100,$A443,'16a'!$I$7:$I$100,1)+SUMIFS('17'!$J$7:$J$100,'17'!$H$7:$H$100,$A443,'17'!$I$7:$I$100,1)+SUMIFS('17a'!$J$7:$J$100,'17a'!$H$7:$H$100,$A443,'17a'!$I$7:$I$100,1)+SUMIFS('18'!$J$7:$J$100,'18'!$H$7:$H$100,$A443,'18'!$I$7:$I$100,1)+SUMIFS('18a'!$J$7:$J$100,'18a'!$H$7:$H$100,$A443,'18a'!$I$7:$I$100,1)
+SUMIFS('19'!$J$7:$J$100,'19'!$H$7:$H$100,$A443,'19'!$I$7:$I$100,1)+SUMIFS('20'!$J$7:$J$100,'20'!$H$7:$H$100,$A443,'20'!$I$7:$I$100,1)+SUMIFS('20a'!$J$7:$J$100,'20a'!$H$7:$H$100,$A443,'20a'!$I$7:$I$100,1)+SUMIFS('21'!$J$7:$J$100,'21'!$H$7:$H$100,$A443,'21'!$I$7:$I$100,1)+SUMIFS('22'!$J$7:$J$100,'22'!$H$7:$H$100,$A443,'22'!$I$7:$I$100,1)+SUMIFS('22a'!$J$7:$J$100,'22a'!$H$7:$H$100,$A443,'22a'!$I$7:$I$100,1)+SUMIFS('22b'!$J$7:$J$100,'22b'!$H$7:$H$100,$A443,'22b'!$I$7:$I$100,1)+SUMIFS('23'!$J$7:$J$100,'23'!$H$7:$H$100,$A443,'23'!$I$7:$I$100,1)+SUMIFS('24'!$J$7:$J$100,'24'!$H$7:$H$100,$A443,'24'!$I$7:$I$100,1)+SUMIFS('24a'!$J$7:$J$100,'24a'!$H$7:$H$100,$A443,'24a'!$I$7:$I$100,1)+SUMIFS('24b'!$J$7:$J$100,'24b'!$H$7:$H$100,$A443,'24b'!$I$7:$I$100,1)+SUMIFS('24c'!$J$7:$J$100,'24c'!$H$7:$H$100,$A443,'24c'!$I$7:$I$100,1)+SUMIFS('24d'!$J$7:$J$100,'24d'!$H$7:$H$100,$A443,'24d'!$I$7:$I$100,1)+SUMIFS('24e'!$J$7:$J$100,'24e'!$H$7:$H$100,$A443,'24e'!$I$7:$I$100,1)+SUMIFS('24f'!$J$7:$J$100,'24f'!$H$7:$H$100,$A443,'24f'!$I$7:$I$100,1)+SUMIFS('24g'!$J$7:$J$100,'24g'!$H$7:$H$100,$A443,'24g'!$I$7:$I$100,1)+SUMIFS('24h'!$J$7:$J$100,'24h'!$H$7:$H$100,$A443,'24h'!$I$7:$I$100,1)+SUMIFS('24i'!$J$7:$J$100,'24i'!$H$7:$H$100,$A443,'24i'!$I$7:$I$100,1)+SUMIFS('25'!$J$7:$J$100,'25'!$H$7:$H$100,$A443,'25'!$I$7:$I$100,1)+SUMIFS('26'!$J$7:$J$100,'26'!$H$7:$H$100,$A443,'26'!$I$7:$I$100,1)+SUMIFS('26a'!$J$7:$J$100,'26a'!$H$7:$H$100,$A443,'26a'!$I$7:$I$100,1)+SUMIFS('27'!$J$7:$J$100,'27'!$H$7:$H$100,$A443,'27'!$I$7:$I$100,1)+SUMIFS('27a'!$J$7:$J$100,'27a'!$H$7:$H$100,$A443,'27a'!$I$7:$I$100,1)+SUMIFS('28'!$J$7:$J$100,'28'!$H$7:$H$100,$A443,'28'!$I$7:$I$100,1)+SUMIFS('29'!$J$7:$J$100,'29'!$H$7:$H$100,$A443,'29'!$I$7:$I$100,1)</f>
        <v>0</v>
      </c>
      <c r="H443" s="1315">
        <f>SUMIFS('12'!$J$7:$J$100,'12'!$H$7:$H$100,$A443,'12'!$I$7:$I$100,2)+SUMIFS('13'!$J$7:$J$100,'13'!$H$7:$H$100,$A443,'13'!$I$7:$I$100,2)+SUMIFS('14'!$J$7:$J$100,'14'!$H$7:$H$100,$A443,'14'!$I$7:$I$100,2)+SUMIFS('15'!$J$7:$J$100,'15'!$H$7:$H$100,$A443,'15'!$I$7:$I$100,2)+SUMIFS('15a'!$J$7:$J$100,'15a'!$H$7:$H$100,$A443,'15a'!$I$7:$I$100,2)+SUMIFS('15b'!$J$7:$J$100,'15b'!$H$7:$H$100,$A443,'15b'!$I$7:$I$100,2)+SUMIFS('15c'!$J$7:$J$100,'15c'!$H$7:$H$100,$A443,'15c'!$I$7:$I$100,2)+SUMIFS('15d'!$J$7:$J$100,'15d'!$H$7:$H$100,$A443,'15d'!$I$7:$I$100,2)+SUMIFS('15e'!$J$7:$J$100,'15e'!$H$7:$H$100,$A443,'15e'!$I$7:$I$100,2)+SUMIFS('15f'!$J$7:$J$100,'15f'!$H$7:$H$100,$A443,'15f'!$I$7:$I$100,2)+SUMIFS('15g'!$J$7:$J$100,'15g'!$H$7:$H$100,$A443,'15g'!$I$7:$I$100,2)+SUMIFS('15h'!$J$7:$J$100,'15h'!$H$7:$H$100,$A443,'15h'!$I$7:$I$100,2)+SUMIFS('15i'!$J$7:$J$100,'15i'!$H$7:$H$100,$A443,'15i'!$I$7:$I$100,2)+SUMIFS('15j'!$J$7:$J$100,'15j'!$H$7:$H$100,$A443,'15j'!$I$7:$I$100,2)+SUMIFS('15k'!$J$7:$J$100,'15k'!$H$7:$H$100,$A443,'15k'!$I$7:$I$100,2)+SUMIFS('15l'!$J$7:$J$100,'15l'!$H$7:$H$100,$A443,'15l'!$I$7:$I$100,2)+SUMIFS('15m'!$J$7:$J$100,'15m'!$H$7:$H$100,$A443,'15m'!$I$7:$I$100,2)+SUMIFS('15n'!$J$7:$J$100,'15n'!$H$7:$H$100,$A443,'15n'!$I$7:$I$100,2)+SUMIFS('16'!$J$7:$J$100,'16'!$H$7:$H$100,$A443,'16'!$I$7:$I$100,2)+SUMIFS('16a'!$J$7:$J$100,'16a'!$H$7:$H$100,$A443,'16a'!$I$7:$I$100,2)+SUMIFS('17'!$J$7:$J$100,'17'!$H$7:$H$100,$A443,'17'!$I$7:$I$100,2)+SUMIFS('17a'!$J$7:$J$100,'17a'!$H$7:$H$100,$A443,'17a'!$I$7:$I$100,2)+SUMIFS('18'!$J$7:$J$100,'18'!$H$7:$H$100,$A443,'18'!$I$7:$I$100,2)+SUMIFS('18a'!$J$7:$J$100,'18a'!$H$7:$H$100,$A443,'18a'!$I$7:$I$100,2)
+SUMIFS('19'!$J$7:$J$100,'19'!$H$7:$H$100,$A443,'19'!$I$7:$I$100,2)+SUMIFS('20'!$J$7:$J$100,'20'!$H$7:$H$100,$A443,'20'!$I$7:$I$100,2)+SUMIFS('20a'!$J$7:$J$100,'20a'!$H$7:$H$100,$A443,'20a'!$I$7:$I$100,2)+SUMIFS('21'!$J$7:$J$100,'21'!$H$7:$H$100,$A443,'21'!$I$7:$I$100,2)+SUMIFS('22'!$J$7:$J$100,'22'!$H$7:$H$100,$A443,'22'!$I$7:$I$100,2)+SUMIFS('22a'!$J$7:$J$100,'22a'!$H$7:$H$100,$A443,'22a'!$I$7:$I$100,2)+SUMIFS('22b'!$J$7:$J$100,'22b'!$H$7:$H$100,$A443,'22b'!$I$7:$I$100,2)+SUMIFS('23'!$J$7:$J$100,'23'!$H$7:$H$100,$A443,'23'!$I$7:$I$100,2)+SUMIFS('24'!$J$7:$J$100,'24'!$H$7:$H$100,$A443,'24'!$I$7:$I$100,2)+SUMIFS('24a'!$J$7:$J$100,'24a'!$H$7:$H$100,$A443,'24a'!$I$7:$I$100,2)+SUMIFS('24b'!$J$7:$J$100,'24b'!$H$7:$H$100,$A443,'24b'!$I$7:$I$100,2)+SUMIFS('24c'!$J$7:$J$100,'24c'!$H$7:$H$100,$A443,'24c'!$I$7:$I$100,2)+SUMIFS('24d'!$J$7:$J$100,'24d'!$H$7:$H$100,$A443,'24d'!$I$7:$I$100,2)+SUMIFS('24e'!$J$7:$J$100,'24e'!$H$7:$H$100,$A443,'24e'!$I$7:$I$100,2)+SUMIFS('24f'!$J$7:$J$100,'24f'!$H$7:$H$100,$A443,'24f'!$I$7:$I$100,2)+SUMIFS('24g'!$J$7:$J$100,'24g'!$H$7:$H$100,$A443,'24g'!$I$7:$I$100,2)+SUMIFS('24h'!$J$7:$J$100,'24h'!$H$7:$H$100,$A443,'24h'!$I$7:$I$100,2)+SUMIFS('24i'!$J$7:$J$100,'24i'!$H$7:$H$100,$A443,'24i'!$I$7:$I$100,2)+SUMIFS('25'!$J$7:$J$100,'25'!$H$7:$H$100,$A443,'25'!$I$7:$I$100,2)+SUMIFS('26'!$J$7:$J$100,'26'!$H$7:$H$100,$A443,'26'!$I$7:$I$100,2)+SUMIFS('26a'!$J$7:$J$100,'26a'!$H$7:$H$100,$A443,'26a'!$I$7:$I$100,2)+SUMIFS('27'!$J$7:$J$100,'27'!$H$7:$H$100,$A443,'27'!$I$7:$I$100,2)+SUMIFS('27a'!$J$7:$J$100,'27a'!$H$7:$H$100,$A443,'27a'!$I$7:$I$100,2)+SUMIFS('28'!$J$7:$J$100,'28'!$H$7:$H$100,$A443,'28'!$I$7:$I$100,2)+SUMIFS('29'!$J$7:$J$100,'29'!$H$7:$H$100,$A443,'29'!$I$7:$I$100,2)</f>
        <v>0</v>
      </c>
      <c r="I443" s="1315">
        <f>SUMIFS('12'!$J$7:$J$100,'12'!$H$7:$H$100,$A443,'12'!$I$7:$I$100,"")+SUMIFS('13'!$J$7:$J$100,'13'!$H$7:$H$100,$A443,'13'!$I$7:$I$100,"")+SUMIFS('14'!$J$7:$J$100,'14'!$H$7:$H$100,$A443,'14'!$I$7:$I$100,"")+SUMIFS('15'!$J$7:$J$100,'15'!$H$7:$H$100,$A443,'15'!$I$7:$I$100,"")+SUMIFS('15a'!$J$7:$J$100,'15a'!$H$7:$H$100,$A443,'15a'!$I$7:$I$100,"")+SUMIFS('15b'!$J$7:$J$100,'15b'!$H$7:$H$100,$A443,'15b'!$I$7:$I$100,"")+SUMIFS('15c'!$J$7:$J$100,'15c'!$H$7:$H$100,$A443,'15c'!$I$7:$I$100,"")+SUMIFS('15d'!$J$7:$J$100,'15d'!$H$7:$H$100,$A443,'15d'!$I$7:$I$100,"")+SUMIFS('15e'!$J$7:$J$100,'15e'!$H$7:$H$100,$A443,'15e'!$I$7:$I$100,"")+SUMIFS('15f'!$J$7:$J$100,'15f'!$H$7:$H$100,$A443,'15f'!$I$7:$I$100,"")+SUMIFS('15g'!$J$7:$J$100,'15g'!$H$7:$H$100,$A443,'15g'!$I$7:$I$100,"")+SUMIFS('15h'!$J$7:$J$100,'15h'!$H$7:$H$100,$A443,'15h'!$I$7:$I$100,"")+SUMIFS('15i'!$J$7:$J$100,'15i'!$H$7:$H$100,$A443,'15i'!$I$7:$I$100,"")+SUMIFS('15j'!$J$7:$J$100,'15j'!$H$7:$H$100,$A443,'15j'!$I$7:$I$100,"")+SUMIFS('15k'!$J$7:$J$100,'15k'!$H$7:$H$100,$A443,'15k'!$I$7:$I$100,"")+SUMIFS('15l'!$J$7:$J$100,'15l'!$H$7:$H$100,$A443,'15l'!$I$7:$I$100,"")+SUMIFS('15m'!$J$7:$J$100,'15m'!$H$7:$H$100,$A443,'15m'!$I$7:$I$100,"")+SUMIFS('15n'!$J$7:$J$100,'15n'!$H$7:$H$100,$A443,'15n'!$I$7:$I$100,"")+SUMIFS('16'!$J$7:$J$100,'16'!$H$7:$H$100,$A443,'16'!$I$7:$I$100,"")+SUMIFS('16a'!$J$7:$J$100,'16a'!$H$7:$H$100,$A443,'16a'!$I$7:$I$100,"")+SUMIFS('17'!$J$7:$J$100,'17'!$H$7:$H$100,$A443,'17'!$I$7:$I$100,"")+SUMIFS('17a'!$J$7:$J$100,'17a'!$H$7:$H$100,$A443,'17a'!$I$7:$I$100,"")+SUMIFS('18'!$J$7:$J$100,'18'!$H$7:$H$100,$A443,'18'!$I$7:$I$100,"")+SUMIFS('18a'!$J$7:$J$100,'18a'!$H$7:$H$100,$A443,'18a'!$I$7:$I$100,"")
+SUMIFS('19'!$J$7:$J$100,'19'!$H$7:$H$100,$A443,'19'!$I$7:$I$100,"")+SUMIFS('20'!$J$7:$J$100,'20'!$H$7:$H$100,$A443,'20'!$I$7:$I$100,"")+SUMIFS('20a'!$J$7:$J$100,'20a'!$H$7:$H$100,$A443,'20a'!$I$7:$I$100,"")+SUMIFS('21'!$J$7:$J$100,'21'!$H$7:$H$100,$A443,'21'!$I$7:$I$100,"")+SUMIFS('22'!$J$7:$J$100,'22'!$H$7:$H$100,$A443,'22'!$I$7:$I$100,"")+SUMIFS('22a'!$J$7:$J$100,'22a'!$H$7:$H$100,$A443,'22a'!$I$7:$I$100,"")+SUMIFS('22b'!$J$7:$J$100,'22b'!$H$7:$H$100,$A443,'22b'!$I$7:$I$100,"")+SUMIFS('23'!$J$7:$J$100,'23'!$H$7:$H$100,$A443,'23'!$I$7:$I$100,"")+SUMIFS('24'!$J$7:$J$100,'24'!$H$7:$H$100,$A443,'24'!$I$7:$I$100,"")+SUMIFS('24a'!$J$7:$J$100,'24a'!$H$7:$H$100,$A443,'24a'!$I$7:$I$100,"")+SUMIFS('24b'!$J$7:$J$100,'24b'!$H$7:$H$100,$A443,'24b'!$I$7:$I$100,"")+SUMIFS('24c'!$J$7:$J$100,'24c'!$H$7:$H$100,$A443,'24c'!$I$7:$I$100,"")+SUMIFS('24d'!$J$7:$J$100,'24d'!$H$7:$H$100,$A443,'24d'!$I$7:$I$100,"")+SUMIFS('24e'!$J$7:$J$100,'24e'!$H$7:$H$100,$A443,'24e'!$I$7:$I$100,"")+SUMIFS('24f'!$J$7:$J$100,'24f'!$H$7:$H$100,$A443,'24f'!$I$7:$I$100,"")+SUMIFS('24g'!$J$7:$J$100,'24g'!$H$7:$H$100,$A443,'24g'!$I$7:$I$100,"")+SUMIFS('24h'!$J$7:$J$100,'24h'!$H$7:$H$100,$A443,'24h'!$I$7:$I$100,"")+SUMIFS('24i'!$J$7:$J$100,'24i'!$H$7:$H$100,$A443,'24i'!$I$7:$I$100,"")+SUMIFS('25'!$J$7:$J$100,'25'!$H$7:$H$100,$A443,'25'!$I$7:$I$100,"")+SUMIFS('26'!$J$7:$J$100,'26'!$H$7:$H$100,$A443,'26'!$I$7:$I$100,"")+SUMIFS('26a'!$J$7:$J$100,'26a'!$H$7:$H$100,$A443,'26a'!$I$7:$I$100,"")+SUMIFS('27'!$J$7:$J$100,'27'!$H$7:$H$100,$A443,'27'!$I$7:$I$100,"")+SUMIFS('27a'!$J$7:$J$100,'27a'!$H$7:$H$100,$A443,'27a'!$I$7:$I$100,"")+SUMIFS('28'!$J$7:$J$100,'28'!$H$7:$H$100,$A443,'28'!$I$7:$I$100,"")+SUMIFS('29'!$J$7:$J$100,'29'!$H$7:$H$100,$A443,'29'!$I$7:$I$100,"")</f>
        <v>0</v>
      </c>
      <c r="J443" s="1296">
        <f>SUM(G443:I443)</f>
        <v>0</v>
      </c>
      <c r="K443"/>
      <c r="L443"/>
      <c r="M443"/>
      <c r="N443"/>
      <c r="O443"/>
      <c r="P443"/>
      <c r="Q443"/>
      <c r="R443"/>
      <c r="S443" s="1307">
        <f t="shared" si="71"/>
        <v>0</v>
      </c>
      <c r="T443"/>
    </row>
    <row r="444" spans="1:20" x14ac:dyDescent="0.2">
      <c r="A444" t="s">
        <v>555</v>
      </c>
      <c r="B444" t="s">
        <v>5567</v>
      </c>
      <c r="C444" s="1295">
        <f>SUMIFS('12'!$N$7:$N$100,'12'!$H$7:$H$100,$A444,'12'!$I$7:$I$100,1)+SUMIFS('13'!$N$7:$N$100,'13'!$H$7:$H$100,$A444,'13'!$I$7:$I$100,1)+SUMIFS('14'!$N$7:$N$100,'14'!$H$7:$H$100,$A444,'14'!$I$7:$I$100,1)+SUMIFS('15'!$N$7:$N$100,'15'!$H$7:$H$100,$A444,'15'!$I$7:$I$100,1)+SUMIFS('15a'!$N$7:$N$100,'15a'!$H$7:$H$100,$A444,'15a'!$I$7:$I$100,1)+SUMIFS('15b'!$N$7:$N$100,'15b'!$H$7:$H$100,$A444,'15b'!$I$7:$I$100,1)+SUMIFS('15c'!$N$7:$N$100,'15c'!$H$7:$H$100,$A444,'15c'!$I$7:$I$100,1)+SUMIFS('15d'!$N$7:$N$100,'15d'!$H$7:$H$100,$A444,'15d'!$I$7:$I$100,1)+SUMIFS('15e'!$N$7:$N$100,'15e'!$H$7:$H$100,$A444,'15e'!$I$7:$I$100,1)+SUMIFS('15f'!$N$7:$N$100,'15f'!$H$7:$H$100,$A444,'15f'!$I$7:$I$100,1)+SUMIFS('15g'!$N$7:$N$100,'15g'!$H$7:$H$100,$A444,'15g'!$I$7:$I$100,1)+SUMIFS('15h'!$N$7:$N$100,'15h'!$H$7:$H$100,$A444,'15h'!$I$7:$I$100,1)+SUMIFS('15i'!$N$7:$N$100,'15i'!$H$7:$H$100,$A444,'15i'!$I$7:$I$100,1)+SUMIFS('15j'!$N$7:$N$100,'15j'!$H$7:$H$100,$A444,'15j'!$I$7:$I$100,1)+SUMIFS('15k'!$N$7:$N$100,'15k'!$H$7:$H$100,$A444,'15k'!$I$7:$I$100,1)+SUMIFS('15l'!$N$7:$N$100,'15l'!$H$7:$H$100,$A444,'15l'!$I$7:$I$100,1)+SUMIFS('15m'!$N$7:$N$100,'15m'!$H$7:$H$100,$A444,'15m'!$I$7:$I$100,1)+SUMIFS('15n'!$N$7:$N$100,'15n'!$H$7:$H$100,$A444,'15n'!$I$7:$I$100,1)+SUMIFS('16'!$N$7:$N$100,'16'!$H$7:$H$100,$A444,'16'!$I$7:$I$100,1)+SUMIFS('16a'!$N$7:$N$100,'16a'!$H$7:$H$100,$A444,'16a'!$I$7:$I$100,1)+SUMIFS('17'!$N$7:$N$100,'17'!$H$7:$H$100,$A444,'17'!$I$7:$I$100,1)+SUMIFS('17a'!$N$7:$N$100,'17a'!$H$7:$H$100,$A444,'17a'!$I$7:$I$100,1)+SUMIFS('18'!$N$7:$N$100,'18'!$H$7:$H$100,$A444,'18'!$I$7:$I$100,1)+SUMIFS('18a'!$N$7:$N$100,'18a'!$H$7:$H$100,$A444,'18a'!$I$7:$I$100,1)
+SUMIFS('19'!$N$7:$N$100,'19'!$H$7:$H$100,$A444,'19'!$I$7:$I$100,1)+SUMIFS('20'!$N$7:$N$100,'20'!$H$7:$H$100,$A444,'20'!$I$7:$I$100,1)+SUMIFS('20a'!$N$7:$N$100,'20a'!$H$7:$H$100,$A444,'20a'!$I$7:$I$100,1)+SUMIFS('21'!$N$7:$N$100,'21'!$H$7:$H$100,$A444,'21'!$I$7:$I$100,1)+SUMIFS('22'!$N$7:$N$100,'22'!$H$7:$H$100,$A444,'22'!$I$7:$I$100,1)+SUMIFS('22a'!$N$7:$N$100,'22a'!$H$7:$H$100,$A444,'22a'!$I$7:$I$100,1)+SUMIFS('22b'!$N$7:$N$100,'22b'!$H$7:$H$100,$A444,'22b'!$I$7:$I$100,1)+SUMIFS('23'!$N$7:$N$100,'23'!$H$7:$H$100,$A444,'23'!$I$7:$I$100,1)+SUMIFS('24'!$N$7:$N$100,'24'!$H$7:$H$100,$A444,'24'!$I$7:$I$100,1)+SUMIFS('24a'!$N$7:$N$100,'24a'!$H$7:$H$100,$A444,'24a'!$I$7:$I$100,1)+SUMIFS('24b'!$N$7:$N$100,'24b'!$H$7:$H$100,$A444,'24b'!$I$7:$I$100,1)+SUMIFS('24c'!$N$7:$N$100,'24c'!$H$7:$H$100,$A444,'24c'!$I$7:$I$100,1)+SUMIFS('24d'!$N$7:$N$100,'24d'!$H$7:$H$100,$A444,'24d'!$I$7:$I$100,1)+SUMIFS('24e'!$N$7:$N$100,'24e'!$H$7:$H$100,$A444,'24e'!$I$7:$I$100,1)+SUMIFS('24f'!$N$7:$N$100,'24f'!$H$7:$H$100,$A444,'24f'!$I$7:$I$100,1)+SUMIFS('24g'!$N$7:$N$100,'24g'!$H$7:$H$100,$A444,'24g'!$I$7:$I$100,1)+SUMIFS('24h'!$N$7:$N$100,'24h'!$H$7:$H$100,$A444,'24h'!$I$7:$I$100,1)+SUMIFS('24i'!$N$7:$N$100,'24i'!$H$7:$H$100,$A444,'24i'!$I$7:$I$100,1)+SUMIFS('25'!$N$7:$N$100,'25'!$H$7:$H$100,$A444,'25'!$I$7:$I$100,1)+SUMIFS('26'!$N$7:$N$100,'26'!$H$7:$H$100,$A444,'26'!$I$7:$I$100,1)+SUMIFS('26a'!$N$7:$N$100,'26a'!$H$7:$H$100,$A444,'26a'!$I$7:$I$100,1)+SUMIFS('27'!$N$7:$N$100,'27'!$H$7:$H$100,$A444,'27'!$I$7:$I$100,1)+SUMIFS('27a'!$N$7:$N$100,'27a'!$H$7:$H$100,$A444,'27a'!$I$7:$I$100,1)+SUMIFS('28'!$N$7:$N$100,'28'!$H$7:$H$100,$A444,'28'!$I$7:$I$100,1)+SUMIFS('29'!$N$7:$N$100,'29'!$H$7:$H$100,$A444,'29'!$I$7:$I$100,1)</f>
        <v>0</v>
      </c>
      <c r="D444" s="1315">
        <f>SUMIFS('12'!$N$7:$N$100,'12'!$H$7:$H$100,$A444,'12'!$I$7:$I$100,2)+SUMIFS('13'!$N$7:$N$100,'13'!$H$7:$H$100,$A444,'13'!$I$7:$I$100,2)+SUMIFS('14'!$N$7:$N$100,'14'!$H$7:$H$100,$A444,'14'!$I$7:$I$100,2)+SUMIFS('15'!$N$7:$N$100,'15'!$H$7:$H$100,$A444,'15'!$I$7:$I$100,2)+SUMIFS('15a'!$N$7:$N$100,'15a'!$H$7:$H$100,$A444,'15a'!$I$7:$I$100,2)+SUMIFS('15b'!$N$7:$N$100,'15b'!$H$7:$H$100,$A444,'15b'!$I$7:$I$100,2)+SUMIFS('15c'!$N$7:$N$100,'15c'!$H$7:$H$100,$A444,'15c'!$I$7:$I$100,2)+SUMIFS('15d'!$N$7:$N$100,'15d'!$H$7:$H$100,$A444,'15d'!$I$7:$I$100,2)+SUMIFS('15e'!$N$7:$N$100,'15e'!$H$7:$H$100,$A444,'15e'!$I$7:$I$100,2)+SUMIFS('15f'!$N$7:$N$100,'15f'!$H$7:$H$100,$A444,'15f'!$I$7:$I$100,2)+SUMIFS('15g'!$N$7:$N$100,'15g'!$H$7:$H$100,$A444,'15g'!$I$7:$I$100,2)+SUMIFS('15h'!$N$7:$N$100,'15h'!$H$7:$H$100,$A444,'15h'!$I$7:$I$100,2)+SUMIFS('15i'!$N$7:$N$100,'15i'!$H$7:$H$100,$A444,'15i'!$I$7:$I$100,2)+SUMIFS('15j'!$N$7:$N$100,'15j'!$H$7:$H$100,$A444,'15j'!$I$7:$I$100,2)+SUMIFS('15k'!$N$7:$N$100,'15k'!$H$7:$H$100,$A444,'15k'!$I$7:$I$100,2)+SUMIFS('15l'!$N$7:$N$100,'15l'!$H$7:$H$100,$A444,'15l'!$I$7:$I$100,2)+SUMIFS('15m'!$N$7:$N$100,'15m'!$H$7:$H$100,$A444,'15m'!$I$7:$I$100,2)+SUMIFS('15n'!$N$7:$N$100,'15n'!$H$7:$H$100,$A444,'15n'!$I$7:$I$100,2)+SUMIFS('16'!$N$7:$N$100,'16'!$H$7:$H$100,$A444,'16'!$I$7:$I$100,2)+SUMIFS('16a'!$N$7:$N$100,'16a'!$H$7:$H$100,$A444,'16a'!$I$7:$I$100,2)+SUMIFS('17'!$N$7:$N$100,'17'!$H$7:$H$100,$A444,'17'!$I$7:$I$100,2)+SUMIFS('17a'!$N$7:$N$100,'17a'!$H$7:$H$100,$A444,'17a'!$I$7:$I$100,2)+SUMIFS('18'!$N$7:$N$100,'18'!$H$7:$H$100,$A444,'18'!$I$7:$I$100,2)+SUMIFS('18a'!$N$7:$N$100,'18a'!$H$7:$H$100,$A444,'18a'!$I$7:$I$100,2)
+SUMIFS('19'!$N$7:$N$100,'19'!$H$7:$H$100,$A444,'19'!$I$7:$I$100,2)+SUMIFS('20'!$N$7:$N$100,'20'!$H$7:$H$100,$A444,'20'!$I$7:$I$100,2)+SUMIFS('20a'!$N$7:$N$100,'20a'!$H$7:$H$100,$A444,'20a'!$I$7:$I$100,2)+SUMIFS('21'!$N$7:$N$100,'21'!$H$7:$H$100,$A444,'21'!$I$7:$I$100,2)+SUMIFS('22'!$N$7:$N$100,'22'!$H$7:$H$100,$A444,'22'!$I$7:$I$100,2)+SUMIFS('22a'!$N$7:$N$100,'22a'!$H$7:$H$100,$A444,'22a'!$I$7:$I$100,2)+SUMIFS('22b'!$N$7:$N$100,'22b'!$H$7:$H$100,$A444,'22b'!$I$7:$I$100,2)+SUMIFS('23'!$N$7:$N$100,'23'!$H$7:$H$100,$A444,'23'!$I$7:$I$100,2)+SUMIFS('24'!$N$7:$N$100,'24'!$H$7:$H$100,$A444,'24'!$I$7:$I$100,2)+SUMIFS('24a'!$N$7:$N$100,'24a'!$H$7:$H$100,$A444,'24a'!$I$7:$I$100,2)+SUMIFS('24b'!$N$7:$N$100,'24b'!$H$7:$H$100,$A444,'24b'!$I$7:$I$100,2)+SUMIFS('24c'!$N$7:$N$100,'24c'!$H$7:$H$100,$A444,'24c'!$I$7:$I$100,2)+SUMIFS('24d'!$N$7:$N$100,'24d'!$H$7:$H$100,$A444,'24d'!$I$7:$I$100,2)+SUMIFS('24e'!$N$7:$N$100,'24e'!$H$7:$H$100,$A444,'24e'!$I$7:$I$100,2)+SUMIFS('24f'!$N$7:$N$100,'24f'!$H$7:$H$100,$A444,'24f'!$I$7:$I$100,2)+SUMIFS('24g'!$N$7:$N$100,'24g'!$H$7:$H$100,$A444,'24g'!$I$7:$I$100,2)+SUMIFS('24h'!$N$7:$N$100,'24h'!$H$7:$H$100,$A444,'24h'!$I$7:$I$100,2)+SUMIFS('24i'!$N$7:$N$100,'24i'!$H$7:$H$100,$A444,'24i'!$I$7:$I$100,2)+SUMIFS('25'!$N$7:$N$100,'25'!$H$7:$H$100,$A444,'25'!$I$7:$I$100,2)+SUMIFS('26'!$N$7:$N$100,'26'!$H$7:$H$100,$A444,'26'!$I$7:$I$100,2)+SUMIFS('26a'!$N$7:$N$100,'26a'!$H$7:$H$100,$A444,'26a'!$I$7:$I$100,2)+SUMIFS('27'!$N$7:$N$100,'27'!$H$7:$H$100,$A444,'27'!$I$7:$I$100,2)+SUMIFS('27a'!$N$7:$N$100,'27a'!$H$7:$H$100,$A444,'27a'!$I$7:$I$100,2)+SUMIFS('28'!$N$7:$N$100,'28'!$H$7:$H$100,$A444,'28'!$I$7:$I$100,2)+SUMIFS('29'!$N$7:$N$100,'29'!$H$7:$H$100,$A444,'29'!$I$7:$I$100,2)</f>
        <v>0</v>
      </c>
      <c r="E444" s="1315">
        <f>SUMIFS('12'!$N$7:$N$100,'12'!$H$7:$H$100,$A444,'12'!$I$7:$I$100,"")+SUMIFS('13'!$N$7:$N$100,'13'!$H$7:$H$100,$A444,'13'!$I$7:$I$100,"")+SUMIFS('14'!$N$7:$N$100,'14'!$H$7:$H$100,$A444,'14'!$I$7:$I$100,"")+SUMIFS('15'!$N$7:$N$100,'15'!$H$7:$H$100,$A444,'15'!$I$7:$I$100,"")+SUMIFS('15a'!$N$7:$N$100,'15a'!$H$7:$H$100,$A444,'15a'!$I$7:$I$100,"")+SUMIFS('15b'!$N$7:$N$100,'15b'!$H$7:$H$100,$A444,'15b'!$I$7:$I$100,"")+SUMIFS('15c'!$N$7:$N$100,'15c'!$H$7:$H$100,$A444,'15c'!$I$7:$I$100,"")+SUMIFS('15d'!$N$7:$N$100,'15d'!$H$7:$H$100,$A444,'15d'!$I$7:$I$100,"")+SUMIFS('15e'!$N$7:$N$100,'15e'!$H$7:$H$100,$A444,'15e'!$I$7:$I$100,"")+SUMIFS('15f'!$N$7:$N$100,'15f'!$H$7:$H$100,$A444,'15f'!$I$7:$I$100,"")+SUMIFS('15g'!$N$7:$N$100,'15g'!$H$7:$H$100,$A444,'15g'!$I$7:$I$100,"")+SUMIFS('15h'!$N$7:$N$100,'15h'!$H$7:$H$100,$A444,'15h'!$I$7:$I$100,"")+SUMIFS('15i'!$N$7:$N$100,'15i'!$H$7:$H$100,$A444,'15i'!$I$7:$I$100,"")+SUMIFS('15j'!$N$7:$N$100,'15j'!$H$7:$H$100,$A444,'15j'!$I$7:$I$100,"")+SUMIFS('15k'!$N$7:$N$100,'15k'!$H$7:$H$100,$A444,'15k'!$I$7:$I$100,"")+SUMIFS('15l'!$N$7:$N$100,'15l'!$H$7:$H$100,$A444,'15l'!$I$7:$I$100,"")+SUMIFS('15m'!$N$7:$N$100,'15m'!$H$7:$H$100,$A444,'15m'!$I$7:$I$100,"")+SUMIFS('15n'!$N$7:$N$100,'15n'!$H$7:$H$100,$A444,'15n'!$I$7:$I$100,"")+SUMIFS('16'!$N$7:$N$100,'16'!$H$7:$H$100,$A444,'16'!$I$7:$I$100,"")+SUMIFS('16a'!$N$7:$N$100,'16a'!$H$7:$H$100,$A444,'16a'!$I$7:$I$100,"")+SUMIFS('17'!$N$7:$N$100,'17'!$H$7:$H$100,$A444,'17'!$I$7:$I$100,"")+SUMIFS('17a'!$N$7:$N$100,'17a'!$H$7:$H$100,$A444,'17a'!$I$7:$I$100,"")+SUMIFS('18'!$N$7:$N$100,'18'!$H$7:$H$100,$A444,'18'!$I$7:$I$100,"")+SUMIFS('18a'!$N$7:$N$100,'18a'!$H$7:$H$100,$A444,'18a'!$I$7:$I$100,"")
+SUMIFS('19'!$N$7:$N$100,'19'!$H$7:$H$100,$A444,'19'!$I$7:$I$100,"")+SUMIFS('20'!$N$7:$N$100,'20'!$H$7:$H$100,$A444,'20'!$I$7:$I$100,"")+SUMIFS('20a'!$N$7:$N$100,'20a'!$H$7:$H$100,$A444,'20a'!$I$7:$I$100,"")+SUMIFS('21'!$N$7:$N$100,'21'!$H$7:$H$100,$A444,'21'!$I$7:$I$100,"")+SUMIFS('22'!$N$7:$N$100,'22'!$H$7:$H$100,$A444,'22'!$I$7:$I$100,"")+SUMIFS('22a'!$N$7:$N$100,'22a'!$H$7:$H$100,$A444,'22a'!$I$7:$I$100,"")+SUMIFS('22b'!$N$7:$N$100,'22b'!$H$7:$H$100,$A444,'22b'!$I$7:$I$100,"")+SUMIFS('23'!$N$7:$N$100,'23'!$H$7:$H$100,$A444,'23'!$I$7:$I$100,"")+SUMIFS('24'!$N$7:$N$100,'24'!$H$7:$H$100,$A444,'24'!$I$7:$I$100,"")+SUMIFS('24a'!$N$7:$N$100,'24a'!$H$7:$H$100,$A444,'24a'!$I$7:$I$100,"")+SUMIFS('24b'!$N$7:$N$100,'24b'!$H$7:$H$100,$A444,'24b'!$I$7:$I$100,"")+SUMIFS('24c'!$N$7:$N$100,'24c'!$H$7:$H$100,$A444,'24c'!$I$7:$I$100,"")+SUMIFS('24d'!$N$7:$N$100,'24d'!$H$7:$H$100,$A444,'24d'!$I$7:$I$100,"")+SUMIFS('24e'!$N$7:$N$100,'24e'!$H$7:$H$100,$A444,'24e'!$I$7:$I$100,"")+SUMIFS('24f'!$N$7:$N$100,'24f'!$H$7:$H$100,$A444,'24f'!$I$7:$I$100,"")+SUMIFS('24g'!$N$7:$N$100,'24g'!$H$7:$H$100,$A444,'24g'!$I$7:$I$100,"")+SUMIFS('24h'!$N$7:$N$100,'24h'!$H$7:$H$100,$A444,'24h'!$I$7:$I$100,"")+SUMIFS('24i'!$N$7:$N$100,'24i'!$H$7:$H$100,$A444,'24i'!$I$7:$I$100,"")+SUMIFS('25'!$N$7:$N$100,'25'!$H$7:$H$100,$A444,'25'!$I$7:$I$100,"")+SUMIFS('26'!$N$7:$N$100,'26'!$H$7:$H$100,$A444,'26'!$I$7:$I$100,"")+SUMIFS('26a'!$N$7:$N$100,'26a'!$H$7:$H$100,$A444,'26a'!$I$7:$I$100,"")+SUMIFS('27'!$N$7:$N$100,'27'!$H$7:$H$100,$A444,'27'!$I$7:$I$100,"")+SUMIFS('27a'!$N$7:$N$100,'27a'!$H$7:$H$100,$A444,'27a'!$I$7:$I$100,"")+SUMIFS('28'!$N$7:$N$100,'28'!$H$7:$H$100,$A444,'28'!$I$7:$I$100,"")+SUMIFS('29'!$N$7:$N$100,'29'!$H$7:$H$100,$A444,'29'!$I$7:$I$100,"")</f>
        <v>0</v>
      </c>
      <c r="F444" s="1296">
        <f>SUM(C444:E444)</f>
        <v>0</v>
      </c>
      <c r="G444" s="1295">
        <f>SUMIFS('12'!$J$7:$J$100,'12'!$H$7:$H$100,$A444,'12'!$I$7:$I$100,1)+SUMIFS('13'!$J$7:$J$100,'13'!$H$7:$H$100,$A444,'13'!$I$7:$I$100,1)+SUMIFS('14'!$J$7:$J$100,'14'!$H$7:$H$100,$A444,'14'!$I$7:$I$100,1)+SUMIFS('15'!$J$7:$J$100,'15'!$H$7:$H$100,$A444,'15'!$I$7:$I$100,1)+SUMIFS('15a'!$J$7:$J$100,'15a'!$H$7:$H$100,$A444,'15a'!$I$7:$I$100,1)+SUMIFS('15b'!$J$7:$J$100,'15b'!$H$7:$H$100,$A444,'15b'!$I$7:$I$100,1)+SUMIFS('15c'!$J$7:$J$100,'15c'!$H$7:$H$100,$A444,'15c'!$I$7:$I$100,1)+SUMIFS('15d'!$J$7:$J$100,'15d'!$H$7:$H$100,$A444,'15d'!$I$7:$I$100,1)+SUMIFS('15e'!$J$7:$J$100,'15e'!$H$7:$H$100,$A444,'15e'!$I$7:$I$100,1)+SUMIFS('15f'!$J$7:$J$100,'15f'!$H$7:$H$100,$A444,'15f'!$I$7:$I$100,1)+SUMIFS('15g'!$J$7:$J$100,'15g'!$H$7:$H$100,$A444,'15g'!$I$7:$I$100,1)+SUMIFS('15h'!$J$7:$J$100,'15h'!$H$7:$H$100,$A444,'15h'!$I$7:$I$100,1)+SUMIFS('15i'!$J$7:$J$100,'15i'!$H$7:$H$100,$A444,'15i'!$I$7:$I$100,1)+SUMIFS('15j'!$J$7:$J$100,'15j'!$H$7:$H$100,$A444,'15j'!$I$7:$I$100,1)+SUMIFS('15k'!$J$7:$J$100,'15k'!$H$7:$H$100,$A444,'15k'!$I$7:$I$100,1)+SUMIFS('15l'!$J$7:$J$100,'15l'!$H$7:$H$100,$A444,'15l'!$I$7:$I$100,1)+SUMIFS('15m'!$J$7:$J$100,'15m'!$H$7:$H$100,$A444,'15m'!$I$7:$I$100,1)+SUMIFS('15n'!$J$7:$J$100,'15n'!$H$7:$H$100,$A444,'15n'!$I$7:$I$100,1)+SUMIFS('16'!$J$7:$J$100,'16'!$H$7:$H$100,$A444,'16'!$I$7:$I$100,1)+SUMIFS('16a'!$J$7:$J$100,'16a'!$H$7:$H$100,$A444,'16a'!$I$7:$I$100,1)+SUMIFS('17'!$J$7:$J$100,'17'!$H$7:$H$100,$A444,'17'!$I$7:$I$100,1)+SUMIFS('17a'!$J$7:$J$100,'17a'!$H$7:$H$100,$A444,'17a'!$I$7:$I$100,1)+SUMIFS('18'!$J$7:$J$100,'18'!$H$7:$H$100,$A444,'18'!$I$7:$I$100,1)+SUMIFS('18a'!$J$7:$J$100,'18a'!$H$7:$H$100,$A444,'18a'!$I$7:$I$100,1)
+SUMIFS('19'!$J$7:$J$100,'19'!$H$7:$H$100,$A444,'19'!$I$7:$I$100,1)+SUMIFS('20'!$J$7:$J$100,'20'!$H$7:$H$100,$A444,'20'!$I$7:$I$100,1)+SUMIFS('20a'!$J$7:$J$100,'20a'!$H$7:$H$100,$A444,'20a'!$I$7:$I$100,1)+SUMIFS('21'!$J$7:$J$100,'21'!$H$7:$H$100,$A444,'21'!$I$7:$I$100,1)+SUMIFS('22'!$J$7:$J$100,'22'!$H$7:$H$100,$A444,'22'!$I$7:$I$100,1)+SUMIFS('22a'!$J$7:$J$100,'22a'!$H$7:$H$100,$A444,'22a'!$I$7:$I$100,1)+SUMIFS('22b'!$J$7:$J$100,'22b'!$H$7:$H$100,$A444,'22b'!$I$7:$I$100,1)+SUMIFS('23'!$J$7:$J$100,'23'!$H$7:$H$100,$A444,'23'!$I$7:$I$100,1)+SUMIFS('24'!$J$7:$J$100,'24'!$H$7:$H$100,$A444,'24'!$I$7:$I$100,1)+SUMIFS('24a'!$J$7:$J$100,'24a'!$H$7:$H$100,$A444,'24a'!$I$7:$I$100,1)+SUMIFS('24b'!$J$7:$J$100,'24b'!$H$7:$H$100,$A444,'24b'!$I$7:$I$100,1)+SUMIFS('24c'!$J$7:$J$100,'24c'!$H$7:$H$100,$A444,'24c'!$I$7:$I$100,1)+SUMIFS('24d'!$J$7:$J$100,'24d'!$H$7:$H$100,$A444,'24d'!$I$7:$I$100,1)+SUMIFS('24e'!$J$7:$J$100,'24e'!$H$7:$H$100,$A444,'24e'!$I$7:$I$100,1)+SUMIFS('24f'!$J$7:$J$100,'24f'!$H$7:$H$100,$A444,'24f'!$I$7:$I$100,1)+SUMIFS('24g'!$J$7:$J$100,'24g'!$H$7:$H$100,$A444,'24g'!$I$7:$I$100,1)+SUMIFS('24h'!$J$7:$J$100,'24h'!$H$7:$H$100,$A444,'24h'!$I$7:$I$100,1)+SUMIFS('24i'!$J$7:$J$100,'24i'!$H$7:$H$100,$A444,'24i'!$I$7:$I$100,1)+SUMIFS('25'!$J$7:$J$100,'25'!$H$7:$H$100,$A444,'25'!$I$7:$I$100,1)+SUMIFS('26'!$J$7:$J$100,'26'!$H$7:$H$100,$A444,'26'!$I$7:$I$100,1)+SUMIFS('26a'!$J$7:$J$100,'26a'!$H$7:$H$100,$A444,'26a'!$I$7:$I$100,1)+SUMIFS('27'!$J$7:$J$100,'27'!$H$7:$H$100,$A444,'27'!$I$7:$I$100,1)+SUMIFS('27a'!$J$7:$J$100,'27a'!$H$7:$H$100,$A444,'27a'!$I$7:$I$100,1)+SUMIFS('28'!$J$7:$J$100,'28'!$H$7:$H$100,$A444,'28'!$I$7:$I$100,1)+SUMIFS('29'!$J$7:$J$100,'29'!$H$7:$H$100,$A444,'29'!$I$7:$I$100,1)</f>
        <v>0</v>
      </c>
      <c r="H444" s="1315">
        <f>SUMIFS('12'!$J$7:$J$100,'12'!$H$7:$H$100,$A444,'12'!$I$7:$I$100,2)+SUMIFS('13'!$J$7:$J$100,'13'!$H$7:$H$100,$A444,'13'!$I$7:$I$100,2)+SUMIFS('14'!$J$7:$J$100,'14'!$H$7:$H$100,$A444,'14'!$I$7:$I$100,2)+SUMIFS('15'!$J$7:$J$100,'15'!$H$7:$H$100,$A444,'15'!$I$7:$I$100,2)+SUMIFS('15a'!$J$7:$J$100,'15a'!$H$7:$H$100,$A444,'15a'!$I$7:$I$100,2)+SUMIFS('15b'!$J$7:$J$100,'15b'!$H$7:$H$100,$A444,'15b'!$I$7:$I$100,2)+SUMIFS('15c'!$J$7:$J$100,'15c'!$H$7:$H$100,$A444,'15c'!$I$7:$I$100,2)+SUMIFS('15d'!$J$7:$J$100,'15d'!$H$7:$H$100,$A444,'15d'!$I$7:$I$100,2)+SUMIFS('15e'!$J$7:$J$100,'15e'!$H$7:$H$100,$A444,'15e'!$I$7:$I$100,2)+SUMIFS('15f'!$J$7:$J$100,'15f'!$H$7:$H$100,$A444,'15f'!$I$7:$I$100,2)+SUMIFS('15g'!$J$7:$J$100,'15g'!$H$7:$H$100,$A444,'15g'!$I$7:$I$100,2)+SUMIFS('15h'!$J$7:$J$100,'15h'!$H$7:$H$100,$A444,'15h'!$I$7:$I$100,2)+SUMIFS('15i'!$J$7:$J$100,'15i'!$H$7:$H$100,$A444,'15i'!$I$7:$I$100,2)+SUMIFS('15j'!$J$7:$J$100,'15j'!$H$7:$H$100,$A444,'15j'!$I$7:$I$100,2)+SUMIFS('15k'!$J$7:$J$100,'15k'!$H$7:$H$100,$A444,'15k'!$I$7:$I$100,2)+SUMIFS('15l'!$J$7:$J$100,'15l'!$H$7:$H$100,$A444,'15l'!$I$7:$I$100,2)+SUMIFS('15m'!$J$7:$J$100,'15m'!$H$7:$H$100,$A444,'15m'!$I$7:$I$100,2)+SUMIFS('15n'!$J$7:$J$100,'15n'!$H$7:$H$100,$A444,'15n'!$I$7:$I$100,2)+SUMIFS('16'!$J$7:$J$100,'16'!$H$7:$H$100,$A444,'16'!$I$7:$I$100,2)+SUMIFS('16a'!$J$7:$J$100,'16a'!$H$7:$H$100,$A444,'16a'!$I$7:$I$100,2)+SUMIFS('17'!$J$7:$J$100,'17'!$H$7:$H$100,$A444,'17'!$I$7:$I$100,2)+SUMIFS('17a'!$J$7:$J$100,'17a'!$H$7:$H$100,$A444,'17a'!$I$7:$I$100,2)+SUMIFS('18'!$J$7:$J$100,'18'!$H$7:$H$100,$A444,'18'!$I$7:$I$100,2)+SUMIFS('18a'!$J$7:$J$100,'18a'!$H$7:$H$100,$A444,'18a'!$I$7:$I$100,2)
+SUMIFS('19'!$J$7:$J$100,'19'!$H$7:$H$100,$A444,'19'!$I$7:$I$100,2)+SUMIFS('20'!$J$7:$J$100,'20'!$H$7:$H$100,$A444,'20'!$I$7:$I$100,2)+SUMIFS('20a'!$J$7:$J$100,'20a'!$H$7:$H$100,$A444,'20a'!$I$7:$I$100,2)+SUMIFS('21'!$J$7:$J$100,'21'!$H$7:$H$100,$A444,'21'!$I$7:$I$100,2)+SUMIFS('22'!$J$7:$J$100,'22'!$H$7:$H$100,$A444,'22'!$I$7:$I$100,2)+SUMIFS('22a'!$J$7:$J$100,'22a'!$H$7:$H$100,$A444,'22a'!$I$7:$I$100,2)+SUMIFS('22b'!$J$7:$J$100,'22b'!$H$7:$H$100,$A444,'22b'!$I$7:$I$100,2)+SUMIFS('23'!$J$7:$J$100,'23'!$H$7:$H$100,$A444,'23'!$I$7:$I$100,2)+SUMIFS('24'!$J$7:$J$100,'24'!$H$7:$H$100,$A444,'24'!$I$7:$I$100,2)+SUMIFS('24a'!$J$7:$J$100,'24a'!$H$7:$H$100,$A444,'24a'!$I$7:$I$100,2)+SUMIFS('24b'!$J$7:$J$100,'24b'!$H$7:$H$100,$A444,'24b'!$I$7:$I$100,2)+SUMIFS('24c'!$J$7:$J$100,'24c'!$H$7:$H$100,$A444,'24c'!$I$7:$I$100,2)+SUMIFS('24d'!$J$7:$J$100,'24d'!$H$7:$H$100,$A444,'24d'!$I$7:$I$100,2)+SUMIFS('24e'!$J$7:$J$100,'24e'!$H$7:$H$100,$A444,'24e'!$I$7:$I$100,2)+SUMIFS('24f'!$J$7:$J$100,'24f'!$H$7:$H$100,$A444,'24f'!$I$7:$I$100,2)+SUMIFS('24g'!$J$7:$J$100,'24g'!$H$7:$H$100,$A444,'24g'!$I$7:$I$100,2)+SUMIFS('24h'!$J$7:$J$100,'24h'!$H$7:$H$100,$A444,'24h'!$I$7:$I$100,2)+SUMIFS('24i'!$J$7:$J$100,'24i'!$H$7:$H$100,$A444,'24i'!$I$7:$I$100,2)+SUMIFS('25'!$J$7:$J$100,'25'!$H$7:$H$100,$A444,'25'!$I$7:$I$100,2)+SUMIFS('26'!$J$7:$J$100,'26'!$H$7:$H$100,$A444,'26'!$I$7:$I$100,2)+SUMIFS('26a'!$J$7:$J$100,'26a'!$H$7:$H$100,$A444,'26a'!$I$7:$I$100,2)+SUMIFS('27'!$J$7:$J$100,'27'!$H$7:$H$100,$A444,'27'!$I$7:$I$100,2)+SUMIFS('27a'!$J$7:$J$100,'27a'!$H$7:$H$100,$A444,'27a'!$I$7:$I$100,2)+SUMIFS('28'!$J$7:$J$100,'28'!$H$7:$H$100,$A444,'28'!$I$7:$I$100,2)+SUMIFS('29'!$J$7:$J$100,'29'!$H$7:$H$100,$A444,'29'!$I$7:$I$100,2)</f>
        <v>0</v>
      </c>
      <c r="I444" s="1315">
        <f>SUMIFS('12'!$J$7:$J$100,'12'!$H$7:$H$100,$A444,'12'!$I$7:$I$100,"")+SUMIFS('13'!$J$7:$J$100,'13'!$H$7:$H$100,$A444,'13'!$I$7:$I$100,"")+SUMIFS('14'!$J$7:$J$100,'14'!$H$7:$H$100,$A444,'14'!$I$7:$I$100,"")+SUMIFS('15'!$J$7:$J$100,'15'!$H$7:$H$100,$A444,'15'!$I$7:$I$100,"")+SUMIFS('15a'!$J$7:$J$100,'15a'!$H$7:$H$100,$A444,'15a'!$I$7:$I$100,"")+SUMIFS('15b'!$J$7:$J$100,'15b'!$H$7:$H$100,$A444,'15b'!$I$7:$I$100,"")+SUMIFS('15c'!$J$7:$J$100,'15c'!$H$7:$H$100,$A444,'15c'!$I$7:$I$100,"")+SUMIFS('15d'!$J$7:$J$100,'15d'!$H$7:$H$100,$A444,'15d'!$I$7:$I$100,"")+SUMIFS('15e'!$J$7:$J$100,'15e'!$H$7:$H$100,$A444,'15e'!$I$7:$I$100,"")+SUMIFS('15f'!$J$7:$J$100,'15f'!$H$7:$H$100,$A444,'15f'!$I$7:$I$100,"")+SUMIFS('15g'!$J$7:$J$100,'15g'!$H$7:$H$100,$A444,'15g'!$I$7:$I$100,"")+SUMIFS('15h'!$J$7:$J$100,'15h'!$H$7:$H$100,$A444,'15h'!$I$7:$I$100,"")+SUMIFS('15i'!$J$7:$J$100,'15i'!$H$7:$H$100,$A444,'15i'!$I$7:$I$100,"")+SUMIFS('15j'!$J$7:$J$100,'15j'!$H$7:$H$100,$A444,'15j'!$I$7:$I$100,"")+SUMIFS('15k'!$J$7:$J$100,'15k'!$H$7:$H$100,$A444,'15k'!$I$7:$I$100,"")+SUMIFS('15l'!$J$7:$J$100,'15l'!$H$7:$H$100,$A444,'15l'!$I$7:$I$100,"")+SUMIFS('15m'!$J$7:$J$100,'15m'!$H$7:$H$100,$A444,'15m'!$I$7:$I$100,"")+SUMIFS('15n'!$J$7:$J$100,'15n'!$H$7:$H$100,$A444,'15n'!$I$7:$I$100,"")+SUMIFS('16'!$J$7:$J$100,'16'!$H$7:$H$100,$A444,'16'!$I$7:$I$100,"")+SUMIFS('16a'!$J$7:$J$100,'16a'!$H$7:$H$100,$A444,'16a'!$I$7:$I$100,"")+SUMIFS('17'!$J$7:$J$100,'17'!$H$7:$H$100,$A444,'17'!$I$7:$I$100,"")+SUMIFS('17a'!$J$7:$J$100,'17a'!$H$7:$H$100,$A444,'17a'!$I$7:$I$100,"")+SUMIFS('18'!$J$7:$J$100,'18'!$H$7:$H$100,$A444,'18'!$I$7:$I$100,"")+SUMIFS('18a'!$J$7:$J$100,'18a'!$H$7:$H$100,$A444,'18a'!$I$7:$I$100,"")
+SUMIFS('19'!$J$7:$J$100,'19'!$H$7:$H$100,$A444,'19'!$I$7:$I$100,"")+SUMIFS('20'!$J$7:$J$100,'20'!$H$7:$H$100,$A444,'20'!$I$7:$I$100,"")+SUMIFS('20a'!$J$7:$J$100,'20a'!$H$7:$H$100,$A444,'20a'!$I$7:$I$100,"")+SUMIFS('21'!$J$7:$J$100,'21'!$H$7:$H$100,$A444,'21'!$I$7:$I$100,"")+SUMIFS('22'!$J$7:$J$100,'22'!$H$7:$H$100,$A444,'22'!$I$7:$I$100,"")+SUMIFS('22a'!$J$7:$J$100,'22a'!$H$7:$H$100,$A444,'22a'!$I$7:$I$100,"")+SUMIFS('22b'!$J$7:$J$100,'22b'!$H$7:$H$100,$A444,'22b'!$I$7:$I$100,"")+SUMIFS('23'!$J$7:$J$100,'23'!$H$7:$H$100,$A444,'23'!$I$7:$I$100,"")+SUMIFS('24'!$J$7:$J$100,'24'!$H$7:$H$100,$A444,'24'!$I$7:$I$100,"")+SUMIFS('24a'!$J$7:$J$100,'24a'!$H$7:$H$100,$A444,'24a'!$I$7:$I$100,"")+SUMIFS('24b'!$J$7:$J$100,'24b'!$H$7:$H$100,$A444,'24b'!$I$7:$I$100,"")+SUMIFS('24c'!$J$7:$J$100,'24c'!$H$7:$H$100,$A444,'24c'!$I$7:$I$100,"")+SUMIFS('24d'!$J$7:$J$100,'24d'!$H$7:$H$100,$A444,'24d'!$I$7:$I$100,"")+SUMIFS('24e'!$J$7:$J$100,'24e'!$H$7:$H$100,$A444,'24e'!$I$7:$I$100,"")+SUMIFS('24f'!$J$7:$J$100,'24f'!$H$7:$H$100,$A444,'24f'!$I$7:$I$100,"")+SUMIFS('24g'!$J$7:$J$100,'24g'!$H$7:$H$100,$A444,'24g'!$I$7:$I$100,"")+SUMIFS('24h'!$J$7:$J$100,'24h'!$H$7:$H$100,$A444,'24h'!$I$7:$I$100,"")+SUMIFS('24i'!$J$7:$J$100,'24i'!$H$7:$H$100,$A444,'24i'!$I$7:$I$100,"")+SUMIFS('25'!$J$7:$J$100,'25'!$H$7:$H$100,$A444,'25'!$I$7:$I$100,"")+SUMIFS('26'!$J$7:$J$100,'26'!$H$7:$H$100,$A444,'26'!$I$7:$I$100,"")+SUMIFS('26a'!$J$7:$J$100,'26a'!$H$7:$H$100,$A444,'26a'!$I$7:$I$100,"")+SUMIFS('27'!$J$7:$J$100,'27'!$H$7:$H$100,$A444,'27'!$I$7:$I$100,"")+SUMIFS('27a'!$J$7:$J$100,'27a'!$H$7:$H$100,$A444,'27a'!$I$7:$I$100,"")+SUMIFS('28'!$J$7:$J$100,'28'!$H$7:$H$100,$A444,'28'!$I$7:$I$100,"")+SUMIFS('29'!$J$7:$J$100,'29'!$H$7:$H$100,$A444,'29'!$I$7:$I$100,"")</f>
        <v>0</v>
      </c>
      <c r="J444" s="1296">
        <f>SUM(G444:I444)</f>
        <v>0</v>
      </c>
      <c r="K444"/>
      <c r="L444"/>
      <c r="M444"/>
      <c r="N444"/>
      <c r="O444"/>
      <c r="P444"/>
      <c r="Q444"/>
      <c r="R444"/>
      <c r="S444" s="1307">
        <f t="shared" si="71"/>
        <v>0</v>
      </c>
      <c r="T444"/>
    </row>
    <row r="445" spans="1:20" x14ac:dyDescent="0.2">
      <c r="A445"/>
      <c r="B445" s="1289" t="str">
        <f>"Total- "&amp;A440</f>
        <v>Total- Type I School District</v>
      </c>
      <c r="C445" s="1297">
        <f>SUM(C441:C444)</f>
        <v>0</v>
      </c>
      <c r="D445" s="1290">
        <f t="shared" ref="D445:J445" si="79">SUM(D441:D444)</f>
        <v>0</v>
      </c>
      <c r="E445" s="1290">
        <f t="shared" si="79"/>
        <v>0</v>
      </c>
      <c r="F445" s="1298">
        <f t="shared" si="79"/>
        <v>0</v>
      </c>
      <c r="G445" s="1297">
        <f t="shared" si="79"/>
        <v>0</v>
      </c>
      <c r="H445" s="1290">
        <f t="shared" si="79"/>
        <v>0</v>
      </c>
      <c r="I445" s="1290">
        <f t="shared" si="79"/>
        <v>0</v>
      </c>
      <c r="J445" s="1298">
        <f t="shared" si="79"/>
        <v>0</v>
      </c>
      <c r="K445"/>
      <c r="L445"/>
      <c r="M445"/>
      <c r="N445"/>
      <c r="O445"/>
      <c r="P445"/>
      <c r="Q445"/>
      <c r="R445"/>
      <c r="S445" s="1307"/>
      <c r="T445"/>
    </row>
    <row r="446" spans="1:20" x14ac:dyDescent="0.2">
      <c r="A446"/>
      <c r="B446" s="1289"/>
      <c r="C446" s="1297"/>
      <c r="D446" s="1290"/>
      <c r="E446" s="1290"/>
      <c r="F446" s="1298"/>
      <c r="G446" s="1297"/>
      <c r="H446" s="1290"/>
      <c r="I446" s="1290"/>
      <c r="J446" s="1298"/>
      <c r="K446"/>
      <c r="L446"/>
      <c r="M446"/>
      <c r="N446"/>
      <c r="O446"/>
      <c r="P446"/>
      <c r="Q446"/>
      <c r="R446"/>
      <c r="S446" s="1307"/>
      <c r="T446"/>
    </row>
    <row r="447" spans="1:20" x14ac:dyDescent="0.2">
      <c r="A447" s="106" t="s">
        <v>345</v>
      </c>
      <c r="B447" s="5"/>
      <c r="C447" s="1299"/>
      <c r="D447" s="523"/>
      <c r="E447" s="5"/>
      <c r="F447" s="1322"/>
      <c r="G447" s="1299"/>
      <c r="H447" s="523"/>
      <c r="I447" s="5"/>
      <c r="J447" s="1322"/>
      <c r="K447"/>
      <c r="L447"/>
      <c r="M447"/>
      <c r="N447"/>
      <c r="O447"/>
      <c r="P447"/>
      <c r="Q447"/>
      <c r="R447"/>
      <c r="S447" s="1307"/>
      <c r="T447"/>
    </row>
    <row r="448" spans="1:20" x14ac:dyDescent="0.2">
      <c r="A448" t="s">
        <v>558</v>
      </c>
      <c r="B448" t="s">
        <v>345</v>
      </c>
      <c r="C448" s="1295">
        <f>SUMIFS('12'!$N$7:$N$100,'12'!$H$7:$H$100,$A448,'12'!$I$7:$I$100,1)+SUMIFS('13'!$N$7:$N$100,'13'!$H$7:$H$100,$A448,'13'!$I$7:$I$100,1)+SUMIFS('14'!$N$7:$N$100,'14'!$H$7:$H$100,$A448,'14'!$I$7:$I$100,1)+SUMIFS('15'!$N$7:$N$100,'15'!$H$7:$H$100,$A448,'15'!$I$7:$I$100,1)+SUMIFS('15a'!$N$7:$N$100,'15a'!$H$7:$H$100,$A448,'15a'!$I$7:$I$100,1)+SUMIFS('15b'!$N$7:$N$100,'15b'!$H$7:$H$100,$A448,'15b'!$I$7:$I$100,1)+SUMIFS('15c'!$N$7:$N$100,'15c'!$H$7:$H$100,$A448,'15c'!$I$7:$I$100,1)+SUMIFS('15d'!$N$7:$N$100,'15d'!$H$7:$H$100,$A448,'15d'!$I$7:$I$100,1)+SUMIFS('15e'!$N$7:$N$100,'15e'!$H$7:$H$100,$A448,'15e'!$I$7:$I$100,1)+SUMIFS('15f'!$N$7:$N$100,'15f'!$H$7:$H$100,$A448,'15f'!$I$7:$I$100,1)+SUMIFS('15g'!$N$7:$N$100,'15g'!$H$7:$H$100,$A448,'15g'!$I$7:$I$100,1)+SUMIFS('15h'!$N$7:$N$100,'15h'!$H$7:$H$100,$A448,'15h'!$I$7:$I$100,1)+SUMIFS('15i'!$N$7:$N$100,'15i'!$H$7:$H$100,$A448,'15i'!$I$7:$I$100,1)+SUMIFS('15j'!$N$7:$N$100,'15j'!$H$7:$H$100,$A448,'15j'!$I$7:$I$100,1)+SUMIFS('15k'!$N$7:$N$100,'15k'!$H$7:$H$100,$A448,'15k'!$I$7:$I$100,1)+SUMIFS('15l'!$N$7:$N$100,'15l'!$H$7:$H$100,$A448,'15l'!$I$7:$I$100,1)+SUMIFS('15m'!$N$7:$N$100,'15m'!$H$7:$H$100,$A448,'15m'!$I$7:$I$100,1)+SUMIFS('15n'!$N$7:$N$100,'15n'!$H$7:$H$100,$A448,'15n'!$I$7:$I$100,1)+SUMIFS('16'!$N$7:$N$100,'16'!$H$7:$H$100,$A448,'16'!$I$7:$I$100,1)+SUMIFS('16a'!$N$7:$N$100,'16a'!$H$7:$H$100,$A448,'16a'!$I$7:$I$100,1)+SUMIFS('17'!$N$7:$N$100,'17'!$H$7:$H$100,$A448,'17'!$I$7:$I$100,1)+SUMIFS('17a'!$N$7:$N$100,'17a'!$H$7:$H$100,$A448,'17a'!$I$7:$I$100,1)+SUMIFS('18'!$N$7:$N$100,'18'!$H$7:$H$100,$A448,'18'!$I$7:$I$100,1)+SUMIFS('18a'!$N$7:$N$100,'18a'!$H$7:$H$100,$A448,'18a'!$I$7:$I$100,1)
+SUMIFS('19'!$N$7:$N$100,'19'!$H$7:$H$100,$A448,'19'!$I$7:$I$100,1)+SUMIFS('20'!$N$7:$N$100,'20'!$H$7:$H$100,$A448,'20'!$I$7:$I$100,1)+SUMIFS('20a'!$N$7:$N$100,'20a'!$H$7:$H$100,$A448,'20a'!$I$7:$I$100,1)+SUMIFS('21'!$N$7:$N$100,'21'!$H$7:$H$100,$A448,'21'!$I$7:$I$100,1)+SUMIFS('22'!$N$7:$N$100,'22'!$H$7:$H$100,$A448,'22'!$I$7:$I$100,1)+SUMIFS('22a'!$N$7:$N$100,'22a'!$H$7:$H$100,$A448,'22a'!$I$7:$I$100,1)+SUMIFS('22b'!$N$7:$N$100,'22b'!$H$7:$H$100,$A448,'22b'!$I$7:$I$100,1)+SUMIFS('23'!$N$7:$N$100,'23'!$H$7:$H$100,$A448,'23'!$I$7:$I$100,1)+SUMIFS('24'!$N$7:$N$100,'24'!$H$7:$H$100,$A448,'24'!$I$7:$I$100,1)+SUMIFS('24a'!$N$7:$N$100,'24a'!$H$7:$H$100,$A448,'24a'!$I$7:$I$100,1)+SUMIFS('24b'!$N$7:$N$100,'24b'!$H$7:$H$100,$A448,'24b'!$I$7:$I$100,1)+SUMIFS('24c'!$N$7:$N$100,'24c'!$H$7:$H$100,$A448,'24c'!$I$7:$I$100,1)+SUMIFS('24d'!$N$7:$N$100,'24d'!$H$7:$H$100,$A448,'24d'!$I$7:$I$100,1)+SUMIFS('24e'!$N$7:$N$100,'24e'!$H$7:$H$100,$A448,'24e'!$I$7:$I$100,1)+SUMIFS('24f'!$N$7:$N$100,'24f'!$H$7:$H$100,$A448,'24f'!$I$7:$I$100,1)+SUMIFS('24g'!$N$7:$N$100,'24g'!$H$7:$H$100,$A448,'24g'!$I$7:$I$100,1)+SUMIFS('24h'!$N$7:$N$100,'24h'!$H$7:$H$100,$A448,'24h'!$I$7:$I$100,1)+SUMIFS('24i'!$N$7:$N$100,'24i'!$H$7:$H$100,$A448,'24i'!$I$7:$I$100,1)+SUMIFS('25'!$N$7:$N$100,'25'!$H$7:$H$100,$A448,'25'!$I$7:$I$100,1)+SUMIFS('26'!$N$7:$N$100,'26'!$H$7:$H$100,$A448,'26'!$I$7:$I$100,1)+SUMIFS('26a'!$N$7:$N$100,'26a'!$H$7:$H$100,$A448,'26a'!$I$7:$I$100,1)+SUMIFS('27'!$N$7:$N$100,'27'!$H$7:$H$100,$A448,'27'!$I$7:$I$100,1)+SUMIFS('27a'!$N$7:$N$100,'27a'!$H$7:$H$100,$A448,'27a'!$I$7:$I$100,1)+SUMIFS('28'!$N$7:$N$100,'28'!$H$7:$H$100,$A448,'28'!$I$7:$I$100,1)+SUMIFS('29'!$N$7:$N$100,'29'!$H$7:$H$100,$A448,'29'!$I$7:$I$100,1)</f>
        <v>0</v>
      </c>
      <c r="D448" s="1315">
        <f>SUMIFS('12'!$N$7:$N$100,'12'!$H$7:$H$100,$A448,'12'!$I$7:$I$100,2)+SUMIFS('13'!$N$7:$N$100,'13'!$H$7:$H$100,$A448,'13'!$I$7:$I$100,2)+SUMIFS('14'!$N$7:$N$100,'14'!$H$7:$H$100,$A448,'14'!$I$7:$I$100,2)+SUMIFS('15'!$N$7:$N$100,'15'!$H$7:$H$100,$A448,'15'!$I$7:$I$100,2)+SUMIFS('15a'!$N$7:$N$100,'15a'!$H$7:$H$100,$A448,'15a'!$I$7:$I$100,2)+SUMIFS('15b'!$N$7:$N$100,'15b'!$H$7:$H$100,$A448,'15b'!$I$7:$I$100,2)+SUMIFS('15c'!$N$7:$N$100,'15c'!$H$7:$H$100,$A448,'15c'!$I$7:$I$100,2)+SUMIFS('15d'!$N$7:$N$100,'15d'!$H$7:$H$100,$A448,'15d'!$I$7:$I$100,2)+SUMIFS('15e'!$N$7:$N$100,'15e'!$H$7:$H$100,$A448,'15e'!$I$7:$I$100,2)+SUMIFS('15f'!$N$7:$N$100,'15f'!$H$7:$H$100,$A448,'15f'!$I$7:$I$100,2)+SUMIFS('15g'!$N$7:$N$100,'15g'!$H$7:$H$100,$A448,'15g'!$I$7:$I$100,2)+SUMIFS('15h'!$N$7:$N$100,'15h'!$H$7:$H$100,$A448,'15h'!$I$7:$I$100,2)+SUMIFS('15i'!$N$7:$N$100,'15i'!$H$7:$H$100,$A448,'15i'!$I$7:$I$100,2)+SUMIFS('15j'!$N$7:$N$100,'15j'!$H$7:$H$100,$A448,'15j'!$I$7:$I$100,2)+SUMIFS('15k'!$N$7:$N$100,'15k'!$H$7:$H$100,$A448,'15k'!$I$7:$I$100,2)+SUMIFS('15l'!$N$7:$N$100,'15l'!$H$7:$H$100,$A448,'15l'!$I$7:$I$100,2)+SUMIFS('15m'!$N$7:$N$100,'15m'!$H$7:$H$100,$A448,'15m'!$I$7:$I$100,2)+SUMIFS('15n'!$N$7:$N$100,'15n'!$H$7:$H$100,$A448,'15n'!$I$7:$I$100,2)+SUMIFS('16'!$N$7:$N$100,'16'!$H$7:$H$100,$A448,'16'!$I$7:$I$100,2)+SUMIFS('16a'!$N$7:$N$100,'16a'!$H$7:$H$100,$A448,'16a'!$I$7:$I$100,2)+SUMIFS('17'!$N$7:$N$100,'17'!$H$7:$H$100,$A448,'17'!$I$7:$I$100,2)+SUMIFS('17a'!$N$7:$N$100,'17a'!$H$7:$H$100,$A448,'17a'!$I$7:$I$100,2)+SUMIFS('18'!$N$7:$N$100,'18'!$H$7:$H$100,$A448,'18'!$I$7:$I$100,2)+SUMIFS('18a'!$N$7:$N$100,'18a'!$H$7:$H$100,$A448,'18a'!$I$7:$I$100,2)
+SUMIFS('19'!$N$7:$N$100,'19'!$H$7:$H$100,$A448,'19'!$I$7:$I$100,2)+SUMIFS('20'!$N$7:$N$100,'20'!$H$7:$H$100,$A448,'20'!$I$7:$I$100,2)+SUMIFS('20a'!$N$7:$N$100,'20a'!$H$7:$H$100,$A448,'20a'!$I$7:$I$100,2)+SUMIFS('21'!$N$7:$N$100,'21'!$H$7:$H$100,$A448,'21'!$I$7:$I$100,2)+SUMIFS('22'!$N$7:$N$100,'22'!$H$7:$H$100,$A448,'22'!$I$7:$I$100,2)+SUMIFS('22a'!$N$7:$N$100,'22a'!$H$7:$H$100,$A448,'22a'!$I$7:$I$100,2)+SUMIFS('22b'!$N$7:$N$100,'22b'!$H$7:$H$100,$A448,'22b'!$I$7:$I$100,2)+SUMIFS('23'!$N$7:$N$100,'23'!$H$7:$H$100,$A448,'23'!$I$7:$I$100,2)+SUMIFS('24'!$N$7:$N$100,'24'!$H$7:$H$100,$A448,'24'!$I$7:$I$100,2)+SUMIFS('24a'!$N$7:$N$100,'24a'!$H$7:$H$100,$A448,'24a'!$I$7:$I$100,2)+SUMIFS('24b'!$N$7:$N$100,'24b'!$H$7:$H$100,$A448,'24b'!$I$7:$I$100,2)+SUMIFS('24c'!$N$7:$N$100,'24c'!$H$7:$H$100,$A448,'24c'!$I$7:$I$100,2)+SUMIFS('24d'!$N$7:$N$100,'24d'!$H$7:$H$100,$A448,'24d'!$I$7:$I$100,2)+SUMIFS('24e'!$N$7:$N$100,'24e'!$H$7:$H$100,$A448,'24e'!$I$7:$I$100,2)+SUMIFS('24f'!$N$7:$N$100,'24f'!$H$7:$H$100,$A448,'24f'!$I$7:$I$100,2)+SUMIFS('24g'!$N$7:$N$100,'24g'!$H$7:$H$100,$A448,'24g'!$I$7:$I$100,2)+SUMIFS('24h'!$N$7:$N$100,'24h'!$H$7:$H$100,$A448,'24h'!$I$7:$I$100,2)+SUMIFS('24i'!$N$7:$N$100,'24i'!$H$7:$H$100,$A448,'24i'!$I$7:$I$100,2)+SUMIFS('25'!$N$7:$N$100,'25'!$H$7:$H$100,$A448,'25'!$I$7:$I$100,2)+SUMIFS('26'!$N$7:$N$100,'26'!$H$7:$H$100,$A448,'26'!$I$7:$I$100,2)+SUMIFS('26a'!$N$7:$N$100,'26a'!$H$7:$H$100,$A448,'26a'!$I$7:$I$100,2)+SUMIFS('27'!$N$7:$N$100,'27'!$H$7:$H$100,$A448,'27'!$I$7:$I$100,2)+SUMIFS('27a'!$N$7:$N$100,'27a'!$H$7:$H$100,$A448,'27a'!$I$7:$I$100,2)+SUMIFS('28'!$N$7:$N$100,'28'!$H$7:$H$100,$A448,'28'!$I$7:$I$100,2)+SUMIFS('29'!$N$7:$N$100,'29'!$H$7:$H$100,$A448,'29'!$I$7:$I$100,2)</f>
        <v>0</v>
      </c>
      <c r="E448" s="1315">
        <f>SUMIFS('12'!$N$7:$N$100,'12'!$H$7:$H$100,$A448,'12'!$I$7:$I$100,"")+SUMIFS('13'!$N$7:$N$100,'13'!$H$7:$H$100,$A448,'13'!$I$7:$I$100,"")+SUMIFS('14'!$N$7:$N$100,'14'!$H$7:$H$100,$A448,'14'!$I$7:$I$100,"")+SUMIFS('15'!$N$7:$N$100,'15'!$H$7:$H$100,$A448,'15'!$I$7:$I$100,"")+SUMIFS('15a'!$N$7:$N$100,'15a'!$H$7:$H$100,$A448,'15a'!$I$7:$I$100,"")+SUMIFS('15b'!$N$7:$N$100,'15b'!$H$7:$H$100,$A448,'15b'!$I$7:$I$100,"")+SUMIFS('15c'!$N$7:$N$100,'15c'!$H$7:$H$100,$A448,'15c'!$I$7:$I$100,"")+SUMIFS('15d'!$N$7:$N$100,'15d'!$H$7:$H$100,$A448,'15d'!$I$7:$I$100,"")+SUMIFS('15e'!$N$7:$N$100,'15e'!$H$7:$H$100,$A448,'15e'!$I$7:$I$100,"")+SUMIFS('15f'!$N$7:$N$100,'15f'!$H$7:$H$100,$A448,'15f'!$I$7:$I$100,"")+SUMIFS('15g'!$N$7:$N$100,'15g'!$H$7:$H$100,$A448,'15g'!$I$7:$I$100,"")+SUMIFS('15h'!$N$7:$N$100,'15h'!$H$7:$H$100,$A448,'15h'!$I$7:$I$100,"")+SUMIFS('15i'!$N$7:$N$100,'15i'!$H$7:$H$100,$A448,'15i'!$I$7:$I$100,"")+SUMIFS('15j'!$N$7:$N$100,'15j'!$H$7:$H$100,$A448,'15j'!$I$7:$I$100,"")+SUMIFS('15k'!$N$7:$N$100,'15k'!$H$7:$H$100,$A448,'15k'!$I$7:$I$100,"")+SUMIFS('15l'!$N$7:$N$100,'15l'!$H$7:$H$100,$A448,'15l'!$I$7:$I$100,"")+SUMIFS('15m'!$N$7:$N$100,'15m'!$H$7:$H$100,$A448,'15m'!$I$7:$I$100,"")+SUMIFS('15n'!$N$7:$N$100,'15n'!$H$7:$H$100,$A448,'15n'!$I$7:$I$100,"")+SUMIFS('16'!$N$7:$N$100,'16'!$H$7:$H$100,$A448,'16'!$I$7:$I$100,"")+SUMIFS('16a'!$N$7:$N$100,'16a'!$H$7:$H$100,$A448,'16a'!$I$7:$I$100,"")+SUMIFS('17'!$N$7:$N$100,'17'!$H$7:$H$100,$A448,'17'!$I$7:$I$100,"")+SUMIFS('17a'!$N$7:$N$100,'17a'!$H$7:$H$100,$A448,'17a'!$I$7:$I$100,"")+SUMIFS('18'!$N$7:$N$100,'18'!$H$7:$H$100,$A448,'18'!$I$7:$I$100,"")+SUMIFS('18a'!$N$7:$N$100,'18a'!$H$7:$H$100,$A448,'18a'!$I$7:$I$100,"")
+SUMIFS('19'!$N$7:$N$100,'19'!$H$7:$H$100,$A448,'19'!$I$7:$I$100,"")+SUMIFS('20'!$N$7:$N$100,'20'!$H$7:$H$100,$A448,'20'!$I$7:$I$100,"")+SUMIFS('20a'!$N$7:$N$100,'20a'!$H$7:$H$100,$A448,'20a'!$I$7:$I$100,"")+SUMIFS('21'!$N$7:$N$100,'21'!$H$7:$H$100,$A448,'21'!$I$7:$I$100,"")+SUMIFS('22'!$N$7:$N$100,'22'!$H$7:$H$100,$A448,'22'!$I$7:$I$100,"")+SUMIFS('22a'!$N$7:$N$100,'22a'!$H$7:$H$100,$A448,'22a'!$I$7:$I$100,"")+SUMIFS('22b'!$N$7:$N$100,'22b'!$H$7:$H$100,$A448,'22b'!$I$7:$I$100,"")+SUMIFS('23'!$N$7:$N$100,'23'!$H$7:$H$100,$A448,'23'!$I$7:$I$100,"")+SUMIFS('24'!$N$7:$N$100,'24'!$H$7:$H$100,$A448,'24'!$I$7:$I$100,"")+SUMIFS('24a'!$N$7:$N$100,'24a'!$H$7:$H$100,$A448,'24a'!$I$7:$I$100,"")+SUMIFS('24b'!$N$7:$N$100,'24b'!$H$7:$H$100,$A448,'24b'!$I$7:$I$100,"")+SUMIFS('24c'!$N$7:$N$100,'24c'!$H$7:$H$100,$A448,'24c'!$I$7:$I$100,"")+SUMIFS('24d'!$N$7:$N$100,'24d'!$H$7:$H$100,$A448,'24d'!$I$7:$I$100,"")+SUMIFS('24e'!$N$7:$N$100,'24e'!$H$7:$H$100,$A448,'24e'!$I$7:$I$100,"")+SUMIFS('24f'!$N$7:$N$100,'24f'!$H$7:$H$100,$A448,'24f'!$I$7:$I$100,"")+SUMIFS('24g'!$N$7:$N$100,'24g'!$H$7:$H$100,$A448,'24g'!$I$7:$I$100,"")+SUMIFS('24h'!$N$7:$N$100,'24h'!$H$7:$H$100,$A448,'24h'!$I$7:$I$100,"")+SUMIFS('24i'!$N$7:$N$100,'24i'!$H$7:$H$100,$A448,'24i'!$I$7:$I$100,"")+SUMIFS('25'!$N$7:$N$100,'25'!$H$7:$H$100,$A448,'25'!$I$7:$I$100,"")+SUMIFS('26'!$N$7:$N$100,'26'!$H$7:$H$100,$A448,'26'!$I$7:$I$100,"")+SUMIFS('26a'!$N$7:$N$100,'26a'!$H$7:$H$100,$A448,'26a'!$I$7:$I$100,"")+SUMIFS('27'!$N$7:$N$100,'27'!$H$7:$H$100,$A448,'27'!$I$7:$I$100,"")+SUMIFS('27a'!$N$7:$N$100,'27a'!$H$7:$H$100,$A448,'27a'!$I$7:$I$100,"")+SUMIFS('28'!$N$7:$N$100,'28'!$H$7:$H$100,$A448,'28'!$I$7:$I$100,"")+SUMIFS('29'!$N$7:$N$100,'29'!$H$7:$H$100,$A448,'29'!$I$7:$I$100,"")</f>
        <v>305137.67</v>
      </c>
      <c r="F448" s="1296">
        <f>SUM(C448:E448)</f>
        <v>305137.67</v>
      </c>
      <c r="G448" s="1295">
        <f>SUMIFS('12'!$J$7:$J$100,'12'!$H$7:$H$100,$A448,'12'!$I$7:$I$100,1)+SUMIFS('13'!$J$7:$J$100,'13'!$H$7:$H$100,$A448,'13'!$I$7:$I$100,1)+SUMIFS('14'!$J$7:$J$100,'14'!$H$7:$H$100,$A448,'14'!$I$7:$I$100,1)+SUMIFS('15'!$J$7:$J$100,'15'!$H$7:$H$100,$A448,'15'!$I$7:$I$100,1)+SUMIFS('15a'!$J$7:$J$100,'15a'!$H$7:$H$100,$A448,'15a'!$I$7:$I$100,1)+SUMIFS('15b'!$J$7:$J$100,'15b'!$H$7:$H$100,$A448,'15b'!$I$7:$I$100,1)+SUMIFS('15c'!$J$7:$J$100,'15c'!$H$7:$H$100,$A448,'15c'!$I$7:$I$100,1)+SUMIFS('15d'!$J$7:$J$100,'15d'!$H$7:$H$100,$A448,'15d'!$I$7:$I$100,1)+SUMIFS('15e'!$J$7:$J$100,'15e'!$H$7:$H$100,$A448,'15e'!$I$7:$I$100,1)+SUMIFS('15f'!$J$7:$J$100,'15f'!$H$7:$H$100,$A448,'15f'!$I$7:$I$100,1)+SUMIFS('15g'!$J$7:$J$100,'15g'!$H$7:$H$100,$A448,'15g'!$I$7:$I$100,1)+SUMIFS('15h'!$J$7:$J$100,'15h'!$H$7:$H$100,$A448,'15h'!$I$7:$I$100,1)+SUMIFS('15i'!$J$7:$J$100,'15i'!$H$7:$H$100,$A448,'15i'!$I$7:$I$100,1)+SUMIFS('15j'!$J$7:$J$100,'15j'!$H$7:$H$100,$A448,'15j'!$I$7:$I$100,1)+SUMIFS('15k'!$J$7:$J$100,'15k'!$H$7:$H$100,$A448,'15k'!$I$7:$I$100,1)+SUMIFS('15l'!$J$7:$J$100,'15l'!$H$7:$H$100,$A448,'15l'!$I$7:$I$100,1)+SUMIFS('15m'!$J$7:$J$100,'15m'!$H$7:$H$100,$A448,'15m'!$I$7:$I$100,1)+SUMIFS('15n'!$J$7:$J$100,'15n'!$H$7:$H$100,$A448,'15n'!$I$7:$I$100,1)+SUMIFS('16'!$J$7:$J$100,'16'!$H$7:$H$100,$A448,'16'!$I$7:$I$100,1)+SUMIFS('16a'!$J$7:$J$100,'16a'!$H$7:$H$100,$A448,'16a'!$I$7:$I$100,1)+SUMIFS('17'!$J$7:$J$100,'17'!$H$7:$H$100,$A448,'17'!$I$7:$I$100,1)+SUMIFS('17a'!$J$7:$J$100,'17a'!$H$7:$H$100,$A448,'17a'!$I$7:$I$100,1)+SUMIFS('18'!$J$7:$J$100,'18'!$H$7:$H$100,$A448,'18'!$I$7:$I$100,1)+SUMIFS('18a'!$J$7:$J$100,'18a'!$H$7:$H$100,$A448,'18a'!$I$7:$I$100,1)
+SUMIFS('19'!$J$7:$J$100,'19'!$H$7:$H$100,$A448,'19'!$I$7:$I$100,1)+SUMIFS('20'!$J$7:$J$100,'20'!$H$7:$H$100,$A448,'20'!$I$7:$I$100,1)+SUMIFS('20a'!$J$7:$J$100,'20a'!$H$7:$H$100,$A448,'20a'!$I$7:$I$100,1)+SUMIFS('21'!$J$7:$J$100,'21'!$H$7:$H$100,$A448,'21'!$I$7:$I$100,1)+SUMIFS('22'!$J$7:$J$100,'22'!$H$7:$H$100,$A448,'22'!$I$7:$I$100,1)+SUMIFS('22a'!$J$7:$J$100,'22a'!$H$7:$H$100,$A448,'22a'!$I$7:$I$100,1)+SUMIFS('22b'!$J$7:$J$100,'22b'!$H$7:$H$100,$A448,'22b'!$I$7:$I$100,1)+SUMIFS('23'!$J$7:$J$100,'23'!$H$7:$H$100,$A448,'23'!$I$7:$I$100,1)+SUMIFS('24'!$J$7:$J$100,'24'!$H$7:$H$100,$A448,'24'!$I$7:$I$100,1)+SUMIFS('24a'!$J$7:$J$100,'24a'!$H$7:$H$100,$A448,'24a'!$I$7:$I$100,1)+SUMIFS('24b'!$J$7:$J$100,'24b'!$H$7:$H$100,$A448,'24b'!$I$7:$I$100,1)+SUMIFS('24c'!$J$7:$J$100,'24c'!$H$7:$H$100,$A448,'24c'!$I$7:$I$100,1)+SUMIFS('24d'!$J$7:$J$100,'24d'!$H$7:$H$100,$A448,'24d'!$I$7:$I$100,1)+SUMIFS('24e'!$J$7:$J$100,'24e'!$H$7:$H$100,$A448,'24e'!$I$7:$I$100,1)+SUMIFS('24f'!$J$7:$J$100,'24f'!$H$7:$H$100,$A448,'24f'!$I$7:$I$100,1)+SUMIFS('24g'!$J$7:$J$100,'24g'!$H$7:$H$100,$A448,'24g'!$I$7:$I$100,1)+SUMIFS('24h'!$J$7:$J$100,'24h'!$H$7:$H$100,$A448,'24h'!$I$7:$I$100,1)+SUMIFS('24i'!$J$7:$J$100,'24i'!$H$7:$H$100,$A448,'24i'!$I$7:$I$100,1)+SUMIFS('25'!$J$7:$J$100,'25'!$H$7:$H$100,$A448,'25'!$I$7:$I$100,1)+SUMIFS('26'!$J$7:$J$100,'26'!$H$7:$H$100,$A448,'26'!$I$7:$I$100,1)+SUMIFS('26a'!$J$7:$J$100,'26a'!$H$7:$H$100,$A448,'26a'!$I$7:$I$100,1)+SUMIFS('27'!$J$7:$J$100,'27'!$H$7:$H$100,$A448,'27'!$I$7:$I$100,1)+SUMIFS('27a'!$J$7:$J$100,'27a'!$H$7:$H$100,$A448,'27a'!$I$7:$I$100,1)+SUMIFS('28'!$J$7:$J$100,'28'!$H$7:$H$100,$A448,'28'!$I$7:$I$100,1)+SUMIFS('29'!$J$7:$J$100,'29'!$H$7:$H$100,$A448,'29'!$I$7:$I$100,1)</f>
        <v>0</v>
      </c>
      <c r="H448" s="1315">
        <f>SUMIFS('12'!$J$7:$J$100,'12'!$H$7:$H$100,$A448,'12'!$I$7:$I$100,2)+SUMIFS('13'!$J$7:$J$100,'13'!$H$7:$H$100,$A448,'13'!$I$7:$I$100,2)+SUMIFS('14'!$J$7:$J$100,'14'!$H$7:$H$100,$A448,'14'!$I$7:$I$100,2)+SUMIFS('15'!$J$7:$J$100,'15'!$H$7:$H$100,$A448,'15'!$I$7:$I$100,2)+SUMIFS('15a'!$J$7:$J$100,'15a'!$H$7:$H$100,$A448,'15a'!$I$7:$I$100,2)+SUMIFS('15b'!$J$7:$J$100,'15b'!$H$7:$H$100,$A448,'15b'!$I$7:$I$100,2)+SUMIFS('15c'!$J$7:$J$100,'15c'!$H$7:$H$100,$A448,'15c'!$I$7:$I$100,2)+SUMIFS('15d'!$J$7:$J$100,'15d'!$H$7:$H$100,$A448,'15d'!$I$7:$I$100,2)+SUMIFS('15e'!$J$7:$J$100,'15e'!$H$7:$H$100,$A448,'15e'!$I$7:$I$100,2)+SUMIFS('15f'!$J$7:$J$100,'15f'!$H$7:$H$100,$A448,'15f'!$I$7:$I$100,2)+SUMIFS('15g'!$J$7:$J$100,'15g'!$H$7:$H$100,$A448,'15g'!$I$7:$I$100,2)+SUMIFS('15h'!$J$7:$J$100,'15h'!$H$7:$H$100,$A448,'15h'!$I$7:$I$100,2)+SUMIFS('15i'!$J$7:$J$100,'15i'!$H$7:$H$100,$A448,'15i'!$I$7:$I$100,2)+SUMIFS('15j'!$J$7:$J$100,'15j'!$H$7:$H$100,$A448,'15j'!$I$7:$I$100,2)+SUMIFS('15k'!$J$7:$J$100,'15k'!$H$7:$H$100,$A448,'15k'!$I$7:$I$100,2)+SUMIFS('15l'!$J$7:$J$100,'15l'!$H$7:$H$100,$A448,'15l'!$I$7:$I$100,2)+SUMIFS('15m'!$J$7:$J$100,'15m'!$H$7:$H$100,$A448,'15m'!$I$7:$I$100,2)+SUMIFS('15n'!$J$7:$J$100,'15n'!$H$7:$H$100,$A448,'15n'!$I$7:$I$100,2)+SUMIFS('16'!$J$7:$J$100,'16'!$H$7:$H$100,$A448,'16'!$I$7:$I$100,2)+SUMIFS('16a'!$J$7:$J$100,'16a'!$H$7:$H$100,$A448,'16a'!$I$7:$I$100,2)+SUMIFS('17'!$J$7:$J$100,'17'!$H$7:$H$100,$A448,'17'!$I$7:$I$100,2)+SUMIFS('17a'!$J$7:$J$100,'17a'!$H$7:$H$100,$A448,'17a'!$I$7:$I$100,2)+SUMIFS('18'!$J$7:$J$100,'18'!$H$7:$H$100,$A448,'18'!$I$7:$I$100,2)+SUMIFS('18a'!$J$7:$J$100,'18a'!$H$7:$H$100,$A448,'18a'!$I$7:$I$100,2)
+SUMIFS('19'!$J$7:$J$100,'19'!$H$7:$H$100,$A448,'19'!$I$7:$I$100,2)+SUMIFS('20'!$J$7:$J$100,'20'!$H$7:$H$100,$A448,'20'!$I$7:$I$100,2)+SUMIFS('20a'!$J$7:$J$100,'20a'!$H$7:$H$100,$A448,'20a'!$I$7:$I$100,2)+SUMIFS('21'!$J$7:$J$100,'21'!$H$7:$H$100,$A448,'21'!$I$7:$I$100,2)+SUMIFS('22'!$J$7:$J$100,'22'!$H$7:$H$100,$A448,'22'!$I$7:$I$100,2)+SUMIFS('22a'!$J$7:$J$100,'22a'!$H$7:$H$100,$A448,'22a'!$I$7:$I$100,2)+SUMIFS('22b'!$J$7:$J$100,'22b'!$H$7:$H$100,$A448,'22b'!$I$7:$I$100,2)+SUMIFS('23'!$J$7:$J$100,'23'!$H$7:$H$100,$A448,'23'!$I$7:$I$100,2)+SUMIFS('24'!$J$7:$J$100,'24'!$H$7:$H$100,$A448,'24'!$I$7:$I$100,2)+SUMIFS('24a'!$J$7:$J$100,'24a'!$H$7:$H$100,$A448,'24a'!$I$7:$I$100,2)+SUMIFS('24b'!$J$7:$J$100,'24b'!$H$7:$H$100,$A448,'24b'!$I$7:$I$100,2)+SUMIFS('24c'!$J$7:$J$100,'24c'!$H$7:$H$100,$A448,'24c'!$I$7:$I$100,2)+SUMIFS('24d'!$J$7:$J$100,'24d'!$H$7:$H$100,$A448,'24d'!$I$7:$I$100,2)+SUMIFS('24e'!$J$7:$J$100,'24e'!$H$7:$H$100,$A448,'24e'!$I$7:$I$100,2)+SUMIFS('24f'!$J$7:$J$100,'24f'!$H$7:$H$100,$A448,'24f'!$I$7:$I$100,2)+SUMIFS('24g'!$J$7:$J$100,'24g'!$H$7:$H$100,$A448,'24g'!$I$7:$I$100,2)+SUMIFS('24h'!$J$7:$J$100,'24h'!$H$7:$H$100,$A448,'24h'!$I$7:$I$100,2)+SUMIFS('24i'!$J$7:$J$100,'24i'!$H$7:$H$100,$A448,'24i'!$I$7:$I$100,2)+SUMIFS('25'!$J$7:$J$100,'25'!$H$7:$H$100,$A448,'25'!$I$7:$I$100,2)+SUMIFS('26'!$J$7:$J$100,'26'!$H$7:$H$100,$A448,'26'!$I$7:$I$100,2)+SUMIFS('26a'!$J$7:$J$100,'26a'!$H$7:$H$100,$A448,'26a'!$I$7:$I$100,2)+SUMIFS('27'!$J$7:$J$100,'27'!$H$7:$H$100,$A448,'27'!$I$7:$I$100,2)+SUMIFS('27a'!$J$7:$J$100,'27a'!$H$7:$H$100,$A448,'27a'!$I$7:$I$100,2)+SUMIFS('28'!$J$7:$J$100,'28'!$H$7:$H$100,$A448,'28'!$I$7:$I$100,2)+SUMIFS('29'!$J$7:$J$100,'29'!$H$7:$H$100,$A448,'29'!$I$7:$I$100,2)</f>
        <v>0</v>
      </c>
      <c r="I448" s="1287">
        <f>IFERROR(SUMIFS('12'!$J$7:$J$100,'12'!$H$7:$H$100,$A448,'12'!$I$7:$I$100,"")+SUMIFS('13'!$J$7:$J$100,'13'!$H$7:$H$100,$A448,'13'!$I$7:$I$100,"")+SUMIFS('14'!$J$7:$J$100,'14'!$H$7:$H$100,$A448,'14'!$I$7:$I$100,"")+SUMIFS('15'!$J$7:$J$100,'15'!$H$7:$H$100,$A448,'15'!$I$7:$I$100,"")+SUMIFS('15a'!$J$7:$J$100,'15a'!$H$7:$H$100,$A448,'15a'!$I$7:$I$100,"")+SUMIFS('15b'!$J$7:$J$100,'15b'!$H$7:$H$100,$A448,'15b'!$I$7:$I$100,"")+SUMIFS('15c'!$J$7:$J$100,'15c'!$H$7:$H$100,$A448,'15c'!$I$7:$I$100,"")+SUMIFS('15d'!$J$7:$J$100,'15d'!$H$7:$H$100,$A448,'15d'!$I$7:$I$100,"")+SUMIFS('15e'!$J$7:$J$100,'15e'!$H$7:$H$100,$A448,'15e'!$I$7:$I$100,"")+SUMIFS('15f'!$J$7:$J$100,'15f'!$H$7:$H$100,$A448,'15f'!$I$7:$I$100,"")+SUMIFS('15g'!$J$7:$J$100,'15g'!$H$7:$H$100,$A448,'15g'!$I$7:$I$100,"")+SUMIFS('15h'!$J$7:$J$100,'15h'!$H$7:$H$100,$A448,'15h'!$I$7:$I$100,"")+SUMIFS('15i'!$J$7:$J$100,'15i'!$H$7:$H$100,$A448,'15i'!$I$7:$I$100,"")+SUMIFS('15j'!$J$7:$J$100,'15j'!$H$7:$H$100,$A448,'15j'!$I$7:$I$100,"")+SUMIFS('15k'!$J$7:$J$100,'15k'!$H$7:$H$100,$A448,'15k'!$I$7:$I$100,"")+SUMIFS('15l'!$J$7:$J$100,'15l'!$H$7:$H$100,$A448,'15l'!$I$7:$I$100,"")+SUMIFS('15m'!$J$7:$J$100,'15m'!$H$7:$H$100,$A448,'15m'!$I$7:$I$100,"")+SUMIFS('15n'!$J$7:$J$100,'15n'!$H$7:$H$100,$A448,'15n'!$I$7:$I$100,"")+SUMIFS('16'!$J$7:$J$100,'16'!$H$7:$H$100,$A448,'16'!$I$7:$I$100,"")+SUMIFS('16a'!$J$7:$J$100,'16a'!$H$7:$H$100,$A448,'16a'!$I$7:$I$100,"")+SUMIFS('17'!$J$7:$J$100,'17'!$H$7:$H$100,$A448,'17'!$I$7:$I$100,"")+SUMIFS('17a'!$J$7:$J$100,'17a'!$H$7:$H$100,$A448,'17a'!$I$7:$I$100,"")+SUMIFS('18'!$J$7:$J$100,'18'!$H$7:$H$100,$A448,'18'!$I$7:$I$100,"")+SUMIFS('18a'!$J$7:$J$100,'18a'!$H$7:$H$100,$A448,'18a'!$I$7:$I$100,"")
+SUMIFS('19'!$J$7:$J$100,'19'!$H$7:$H$100,$A448,'19'!$I$7:$I$100,"")+SUMIFS('20'!$J$7:$J$100,'20'!$H$7:$H$100,$A448,'20'!$I$7:$I$100,"")+SUMIFS('20a'!$J$7:$J$100,'20a'!$H$7:$H$100,$A448,'20a'!$I$7:$I$100,"")+SUMIFS('21'!$J$7:$J$100,'21'!$H$7:$H$100,$A448,'21'!$I$7:$I$100,"")+SUMIFS('22'!$J$7:$J$100,'22'!$H$7:$H$100,$A448,'22'!$I$7:$I$100,"")+SUMIFS('22a'!$J$7:$J$100,'22a'!$H$7:$H$100,$A448,'22a'!$I$7:$I$100,"")+SUMIFS('22b'!$J$7:$J$100,'22b'!$H$7:$H$100,$A448,'22b'!$I$7:$I$100,"")+SUMIFS('23'!$J$7:$J$100,'23'!$H$7:$H$100,$A448,'23'!$I$7:$I$100,"")+SUMIFS('24'!$J$7:$J$100,'24'!$H$7:$H$100,$A448,'24'!$I$7:$I$100,"")+SUMIFS('24a'!$J$7:$J$100,'24a'!$H$7:$H$100,$A448,'24a'!$I$7:$I$100,"")+SUMIFS('24b'!$J$7:$J$100,'24b'!$H$7:$H$100,$A448,'24b'!$I$7:$I$100,"")+SUMIFS('24c'!$J$7:$J$100,'24c'!$H$7:$H$100,$A448,'24c'!$I$7:$I$100,"")+SUMIFS('24d'!$J$7:$J$100,'24d'!$H$7:$H$100,$A448,'24d'!$I$7:$I$100,"")+SUMIFS('24e'!$J$7:$J$100,'24e'!$H$7:$H$100,$A448,'24e'!$I$7:$I$100,"")+SUMIFS('24f'!$J$7:$J$100,'24f'!$H$7:$H$100,$A448,'24f'!$I$7:$I$100,"")+SUMIFS('24g'!$J$7:$J$100,'24g'!$H$7:$H$100,$A448,'24g'!$I$7:$I$100,"")+SUMIFS('24h'!$J$7:$J$100,'24h'!$H$7:$H$100,$A448,'24h'!$I$7:$I$100,"")+SUMIFS('24i'!$J$7:$J$100,'24i'!$H$7:$H$100,$A448,'24i'!$I$7:$I$100,"")+SUMIFS('25'!$J$7:$J$100,'25'!$H$7:$H$100,$A448,'25'!$I$7:$I$100,"")+SUMIFS('26'!$J$7:$J$100,'26'!$H$7:$H$100,$A448,'26'!$I$7:$I$100,"")+SUMIFS('26a'!$J$7:$J$100,'26a'!$H$7:$H$100,$A448,'26a'!$I$7:$I$100,"")+SUMIFS('27'!$J$7:$J$100,'27'!$H$7:$H$100,$A448,'27'!$I$7:$I$100,"")+SUMIFS('27a'!$J$7:$J$100,'27a'!$H$7:$H$100,$A448,'27a'!$I$7:$I$100,"")+SUMIFS('28'!$J$7:$J$100,'28'!$H$7:$H$100,$A448,'28'!$I$7:$I$100,"")+SUMIFS('29'!$J$7:$J$100,'29'!$H$7:$H$100,$A448,'29'!$I$7:$I$100,""),0)</f>
        <v>298014.59115825919</v>
      </c>
      <c r="J448" s="1296">
        <f>SUM(G448:I448)</f>
        <v>298014.59115825919</v>
      </c>
      <c r="K448"/>
      <c r="L448"/>
      <c r="M448"/>
      <c r="N448"/>
      <c r="O448"/>
      <c r="P448"/>
      <c r="Q448"/>
      <c r="R448"/>
      <c r="S448" s="1307">
        <f t="shared" si="71"/>
        <v>1206304.5223165182</v>
      </c>
      <c r="T448"/>
    </row>
    <row r="449" spans="1:20" x14ac:dyDescent="0.2">
      <c r="A449"/>
      <c r="B449" s="1289" t="str">
        <f>"Total- "&amp;A447</f>
        <v>Total- Reserve for Uncollected Taxes</v>
      </c>
      <c r="C449" s="1297">
        <f>C448</f>
        <v>0</v>
      </c>
      <c r="D449" s="1290">
        <f t="shared" ref="D449:J449" si="80">D448</f>
        <v>0</v>
      </c>
      <c r="E449" s="1290">
        <f t="shared" si="80"/>
        <v>305137.67</v>
      </c>
      <c r="F449" s="1298">
        <f t="shared" si="80"/>
        <v>305137.67</v>
      </c>
      <c r="G449" s="1297">
        <f t="shared" si="80"/>
        <v>0</v>
      </c>
      <c r="H449" s="1290">
        <f t="shared" si="80"/>
        <v>0</v>
      </c>
      <c r="I449" s="1290">
        <f t="shared" si="80"/>
        <v>298014.59115825919</v>
      </c>
      <c r="J449" s="1298">
        <f t="shared" si="80"/>
        <v>298014.59115825919</v>
      </c>
      <c r="K449"/>
      <c r="L449"/>
      <c r="M449"/>
      <c r="N449"/>
      <c r="O449"/>
      <c r="P449"/>
      <c r="Q449"/>
      <c r="R449"/>
      <c r="S449" s="1307"/>
      <c r="T449"/>
    </row>
    <row r="450" spans="1:20" x14ac:dyDescent="0.2">
      <c r="A450"/>
      <c r="B450"/>
      <c r="C450" s="292"/>
      <c r="D450"/>
      <c r="E450"/>
      <c r="F450" s="345"/>
      <c r="G450" s="292"/>
      <c r="H450"/>
      <c r="I450"/>
      <c r="J450" s="345"/>
      <c r="K450"/>
      <c r="L450"/>
      <c r="M450"/>
      <c r="N450"/>
      <c r="O450"/>
      <c r="P450"/>
      <c r="Q450"/>
      <c r="R450"/>
      <c r="S450" s="1307"/>
      <c r="T450"/>
    </row>
    <row r="451" spans="1:20" ht="13.5" thickBot="1" x14ac:dyDescent="0.25">
      <c r="A451"/>
      <c r="B451" s="217" t="s">
        <v>5579</v>
      </c>
      <c r="C451" s="1301">
        <f t="shared" ref="C451:J451" si="81">C445+C438+C421+C408+C398+C393+C361+C357+C347+C343+C339+C335+C322+C305+C293+C282+C267+C249+C228+C218+C199+C187+C449+C365</f>
        <v>50718</v>
      </c>
      <c r="D451" s="1302">
        <f t="shared" si="81"/>
        <v>269238.47000000003</v>
      </c>
      <c r="E451" s="1302">
        <f t="shared" si="81"/>
        <v>389041.60000000003</v>
      </c>
      <c r="F451" s="1303">
        <f t="shared" si="81"/>
        <v>708998.07</v>
      </c>
      <c r="G451" s="1301">
        <f t="shared" si="81"/>
        <v>52980.049999999996</v>
      </c>
      <c r="H451" s="1302">
        <f t="shared" si="81"/>
        <v>378223.52</v>
      </c>
      <c r="I451" s="1302">
        <f t="shared" si="81"/>
        <v>397550.92115825921</v>
      </c>
      <c r="J451" s="1303">
        <f t="shared" si="81"/>
        <v>828754.49115825922</v>
      </c>
      <c r="K451"/>
      <c r="L451"/>
      <c r="M451"/>
      <c r="N451"/>
      <c r="O451"/>
      <c r="P451"/>
      <c r="Q451"/>
      <c r="R451"/>
      <c r="S451" s="1307"/>
      <c r="T451"/>
    </row>
    <row r="452" spans="1:20" x14ac:dyDescent="0.2">
      <c r="A452"/>
      <c r="B452"/>
      <c r="C452"/>
      <c r="D452"/>
      <c r="E452"/>
      <c r="F452"/>
      <c r="G452"/>
      <c r="H452"/>
      <c r="I452"/>
      <c r="J452"/>
      <c r="K452"/>
      <c r="L452"/>
      <c r="M452"/>
      <c r="N452"/>
      <c r="O452"/>
      <c r="P452"/>
      <c r="Q452"/>
      <c r="R452"/>
      <c r="S452" s="1307"/>
      <c r="T452"/>
    </row>
    <row r="453" spans="1:20" ht="15.75" x14ac:dyDescent="0.25">
      <c r="A453" s="1" t="s">
        <v>5610</v>
      </c>
      <c r="B453"/>
      <c r="C453"/>
      <c r="D453"/>
      <c r="E453"/>
      <c r="F453"/>
      <c r="G453"/>
      <c r="H453"/>
      <c r="I453"/>
      <c r="J453"/>
      <c r="K453"/>
      <c r="L453"/>
      <c r="M453"/>
      <c r="N453"/>
      <c r="O453"/>
      <c r="P453"/>
      <c r="Q453"/>
      <c r="R453"/>
      <c r="S453" s="1307"/>
      <c r="T453"/>
    </row>
    <row r="454" spans="1:20" x14ac:dyDescent="0.2">
      <c r="A454"/>
      <c r="B454"/>
      <c r="D454"/>
      <c r="E454"/>
      <c r="F454"/>
      <c r="G454"/>
      <c r="H454"/>
      <c r="I454"/>
      <c r="J454"/>
      <c r="K454"/>
      <c r="L454"/>
      <c r="M454"/>
      <c r="N454"/>
      <c r="O454"/>
      <c r="P454"/>
      <c r="Q454"/>
      <c r="R454"/>
      <c r="S454" s="1307"/>
      <c r="T454"/>
    </row>
    <row r="455" spans="1:20" x14ac:dyDescent="0.2">
      <c r="A455"/>
      <c r="B455" t="s">
        <v>463</v>
      </c>
      <c r="C455" s="1287" t="str">
        <f>'Key Inputs'!E16</f>
        <v>LISA GARRISON</v>
      </c>
      <c r="D455"/>
      <c r="E455"/>
      <c r="F455"/>
      <c r="G455"/>
      <c r="H455"/>
      <c r="I455"/>
      <c r="J455"/>
      <c r="K455"/>
      <c r="L455"/>
      <c r="M455"/>
      <c r="N455"/>
      <c r="O455"/>
      <c r="P455"/>
      <c r="Q455"/>
      <c r="R455"/>
      <c r="S455" s="1307"/>
      <c r="T455"/>
    </row>
    <row r="456" spans="1:20" x14ac:dyDescent="0.2">
      <c r="A456"/>
      <c r="B456" t="s">
        <v>465</v>
      </c>
      <c r="C456" s="1287" t="str">
        <f>'Key Inputs'!E17</f>
        <v>ELIZABETH WALLENDER</v>
      </c>
      <c r="D456"/>
      <c r="E456"/>
      <c r="F456"/>
      <c r="G456"/>
      <c r="H456"/>
      <c r="I456"/>
      <c r="J456"/>
      <c r="K456"/>
      <c r="L456"/>
      <c r="M456"/>
      <c r="N456"/>
      <c r="O456"/>
      <c r="P456"/>
      <c r="Q456"/>
      <c r="R456"/>
      <c r="S456" s="1307"/>
      <c r="T456"/>
    </row>
    <row r="457" spans="1:20" x14ac:dyDescent="0.2">
      <c r="A457"/>
      <c r="B457" t="s">
        <v>464</v>
      </c>
      <c r="C457" s="1287" t="str">
        <f>'Key Inputs'!E18</f>
        <v>KIMBERLY FLEETWOOD</v>
      </c>
      <c r="D457"/>
      <c r="E457"/>
      <c r="F457"/>
      <c r="G457"/>
      <c r="H457"/>
      <c r="I457"/>
      <c r="J457"/>
      <c r="K457"/>
      <c r="L457"/>
      <c r="M457"/>
      <c r="N457"/>
      <c r="O457"/>
      <c r="P457"/>
      <c r="Q457"/>
      <c r="R457"/>
      <c r="S457" s="1307"/>
      <c r="T457"/>
    </row>
    <row r="458" spans="1:20" x14ac:dyDescent="0.2">
      <c r="A458"/>
      <c r="B458" t="s">
        <v>466</v>
      </c>
      <c r="C458" s="1287" t="str">
        <f>'Key Inputs'!E19</f>
        <v>RAYMOND COLAVITA</v>
      </c>
      <c r="D458"/>
      <c r="E458"/>
      <c r="F458"/>
      <c r="G458"/>
      <c r="H458"/>
      <c r="I458"/>
      <c r="J458"/>
      <c r="K458"/>
      <c r="L458"/>
      <c r="M458"/>
      <c r="N458"/>
      <c r="O458"/>
      <c r="P458"/>
      <c r="Q458"/>
      <c r="R458"/>
      <c r="S458" s="1307"/>
      <c r="T458"/>
    </row>
    <row r="459" spans="1:20" x14ac:dyDescent="0.2">
      <c r="A459"/>
      <c r="B459" t="s">
        <v>467</v>
      </c>
      <c r="C459" s="1287" t="str">
        <f>'Key Inputs'!E20</f>
        <v>JOHN G CARR, ESQ</v>
      </c>
      <c r="D459"/>
      <c r="E459"/>
      <c r="F459"/>
      <c r="G459"/>
      <c r="H459"/>
      <c r="I459"/>
      <c r="J459"/>
      <c r="K459"/>
      <c r="L459"/>
      <c r="M459"/>
      <c r="N459"/>
      <c r="O459"/>
      <c r="P459"/>
      <c r="Q459"/>
      <c r="R459"/>
      <c r="S459"/>
      <c r="T459"/>
    </row>
    <row r="460" spans="1:20" x14ac:dyDescent="0.2">
      <c r="A460"/>
      <c r="B460"/>
      <c r="D460"/>
      <c r="E460"/>
      <c r="F460"/>
      <c r="G460"/>
      <c r="H460"/>
      <c r="I460"/>
      <c r="J460"/>
      <c r="K460"/>
      <c r="L460"/>
      <c r="M460"/>
      <c r="N460"/>
      <c r="O460"/>
      <c r="P460"/>
      <c r="Q460"/>
      <c r="R460"/>
      <c r="S460"/>
      <c r="T460"/>
    </row>
    <row r="461" spans="1:20" x14ac:dyDescent="0.2">
      <c r="A461"/>
      <c r="B461" t="s">
        <v>472</v>
      </c>
      <c r="C461" s="1287">
        <f>'Key Inputs'!F31</f>
        <v>75794063</v>
      </c>
      <c r="D461"/>
      <c r="E461"/>
      <c r="F461"/>
      <c r="G461"/>
      <c r="H461"/>
      <c r="I461"/>
      <c r="J461"/>
      <c r="K461"/>
      <c r="L461"/>
      <c r="M461"/>
      <c r="N461"/>
      <c r="O461"/>
      <c r="P461"/>
      <c r="Q461"/>
      <c r="R461"/>
      <c r="S461"/>
      <c r="T461"/>
    </row>
    <row r="462" spans="1:20" x14ac:dyDescent="0.2">
      <c r="A462"/>
      <c r="B462" t="s">
        <v>473</v>
      </c>
      <c r="C462" s="1287">
        <f>'Key Inputs'!F32</f>
        <v>75758623</v>
      </c>
      <c r="D462"/>
      <c r="E462"/>
      <c r="F462"/>
      <c r="G462"/>
      <c r="H462"/>
      <c r="I462"/>
      <c r="J462"/>
      <c r="K462"/>
      <c r="L462"/>
      <c r="M462"/>
      <c r="N462"/>
      <c r="O462"/>
      <c r="P462"/>
      <c r="Q462"/>
      <c r="R462"/>
      <c r="S462"/>
      <c r="T462"/>
    </row>
    <row r="463" spans="1:20" x14ac:dyDescent="0.2">
      <c r="A463"/>
      <c r="B463"/>
      <c r="D463"/>
      <c r="E463"/>
      <c r="F463"/>
      <c r="G463"/>
      <c r="H463"/>
      <c r="I463"/>
      <c r="J463"/>
      <c r="K463"/>
      <c r="L463"/>
      <c r="M463"/>
      <c r="N463"/>
      <c r="O463"/>
      <c r="P463"/>
      <c r="Q463"/>
      <c r="R463"/>
      <c r="S463"/>
      <c r="T463"/>
    </row>
    <row r="464" spans="1:20" x14ac:dyDescent="0.2">
      <c r="A464"/>
      <c r="B464" t="s">
        <v>3230</v>
      </c>
      <c r="C464" s="1287">
        <f>'Key Inputs'!E39</f>
        <v>0</v>
      </c>
      <c r="D464"/>
      <c r="E464"/>
      <c r="F464"/>
      <c r="G464"/>
      <c r="H464"/>
      <c r="I464"/>
      <c r="J464"/>
      <c r="K464"/>
      <c r="L464"/>
      <c r="M464"/>
      <c r="N464"/>
      <c r="O464"/>
      <c r="P464"/>
      <c r="Q464"/>
      <c r="R464"/>
      <c r="S464"/>
      <c r="T464"/>
    </row>
    <row r="465" spans="1:20" x14ac:dyDescent="0.2">
      <c r="A465"/>
      <c r="B465" t="s">
        <v>3231</v>
      </c>
      <c r="C465" s="1287">
        <f>'Key Inputs'!E40</f>
        <v>0</v>
      </c>
      <c r="D465"/>
      <c r="E465"/>
      <c r="F465"/>
      <c r="G465"/>
      <c r="H465"/>
      <c r="I465"/>
      <c r="J465"/>
      <c r="K465"/>
      <c r="L465"/>
      <c r="M465"/>
      <c r="N465"/>
      <c r="O465"/>
      <c r="P465"/>
      <c r="Q465"/>
      <c r="R465"/>
      <c r="S465"/>
      <c r="T465"/>
    </row>
    <row r="466" spans="1:20" x14ac:dyDescent="0.2">
      <c r="A466"/>
      <c r="B466" t="s">
        <v>3232</v>
      </c>
      <c r="C466" s="1287">
        <f>'Key Inputs'!E41</f>
        <v>0</v>
      </c>
      <c r="D466"/>
      <c r="E466"/>
      <c r="F466"/>
      <c r="G466"/>
      <c r="H466"/>
      <c r="I466"/>
      <c r="J466"/>
      <c r="K466"/>
      <c r="L466"/>
      <c r="M466"/>
      <c r="N466"/>
      <c r="O466"/>
      <c r="P466"/>
      <c r="Q466"/>
      <c r="R466"/>
      <c r="S466"/>
      <c r="T466"/>
    </row>
    <row r="467" spans="1:20" x14ac:dyDescent="0.2">
      <c r="A467"/>
      <c r="B467" t="s">
        <v>3233</v>
      </c>
      <c r="C467" s="1287">
        <f>'Key Inputs'!E42</f>
        <v>0</v>
      </c>
      <c r="D467"/>
      <c r="E467"/>
      <c r="F467"/>
      <c r="G467"/>
      <c r="H467"/>
      <c r="I467"/>
      <c r="J467"/>
      <c r="K467"/>
      <c r="L467"/>
      <c r="M467"/>
      <c r="N467"/>
      <c r="O467"/>
      <c r="P467"/>
      <c r="Q467"/>
      <c r="R467"/>
      <c r="S467"/>
      <c r="T467"/>
    </row>
    <row r="468" spans="1:20" x14ac:dyDescent="0.2">
      <c r="A468"/>
      <c r="B468" t="s">
        <v>3234</v>
      </c>
      <c r="C468" s="1287">
        <f>'Key Inputs'!E43</f>
        <v>0</v>
      </c>
      <c r="D468"/>
      <c r="E468"/>
      <c r="F468"/>
      <c r="G468"/>
      <c r="H468"/>
      <c r="I468"/>
      <c r="J468"/>
      <c r="K468"/>
      <c r="L468"/>
      <c r="M468"/>
      <c r="N468"/>
      <c r="O468"/>
      <c r="P468"/>
      <c r="Q468"/>
      <c r="R468"/>
      <c r="S468"/>
      <c r="T468"/>
    </row>
    <row r="469" spans="1:20" x14ac:dyDescent="0.2">
      <c r="A469"/>
      <c r="B469" t="s">
        <v>3235</v>
      </c>
      <c r="C469" s="1287">
        <f>'Key Inputs'!E44</f>
        <v>0</v>
      </c>
      <c r="D469"/>
      <c r="E469"/>
      <c r="F469"/>
      <c r="G469"/>
      <c r="H469"/>
      <c r="I469"/>
      <c r="J469"/>
      <c r="K469"/>
      <c r="L469"/>
      <c r="M469"/>
      <c r="N469"/>
      <c r="O469"/>
      <c r="P469"/>
      <c r="Q469"/>
      <c r="R469"/>
      <c r="S469"/>
      <c r="T469"/>
    </row>
    <row r="470" spans="1:20" x14ac:dyDescent="0.2">
      <c r="A470"/>
      <c r="B470"/>
      <c r="D470"/>
      <c r="E470"/>
      <c r="F470"/>
      <c r="G470"/>
      <c r="H470"/>
      <c r="I470"/>
      <c r="J470"/>
      <c r="K470"/>
      <c r="L470"/>
      <c r="M470"/>
      <c r="N470"/>
      <c r="O470"/>
      <c r="P470"/>
      <c r="Q470"/>
      <c r="R470"/>
      <c r="S470"/>
      <c r="T470"/>
    </row>
    <row r="471" spans="1:20" x14ac:dyDescent="0.2">
      <c r="A471"/>
      <c r="B471" t="s">
        <v>3253</v>
      </c>
      <c r="C471" s="1287">
        <f>'Key Inputs'!E46</f>
        <v>0</v>
      </c>
      <c r="D471"/>
      <c r="E471"/>
      <c r="F471"/>
      <c r="G471"/>
      <c r="H471"/>
      <c r="I471"/>
      <c r="J471"/>
      <c r="K471"/>
      <c r="L471"/>
      <c r="M471"/>
      <c r="N471"/>
      <c r="O471"/>
      <c r="P471"/>
      <c r="Q471"/>
      <c r="R471"/>
      <c r="S471"/>
      <c r="T471"/>
    </row>
    <row r="472" spans="1:20" x14ac:dyDescent="0.2">
      <c r="A472"/>
      <c r="B472" t="s">
        <v>3252</v>
      </c>
      <c r="C472" s="1287">
        <f>'Key Inputs'!E47</f>
        <v>0</v>
      </c>
      <c r="D472"/>
      <c r="E472"/>
      <c r="F472"/>
      <c r="G472"/>
      <c r="H472"/>
      <c r="I472"/>
      <c r="J472"/>
      <c r="K472"/>
      <c r="L472"/>
      <c r="M472"/>
      <c r="N472"/>
      <c r="O472"/>
      <c r="P472"/>
      <c r="Q472"/>
      <c r="R472"/>
      <c r="S472"/>
      <c r="T472"/>
    </row>
    <row r="473" spans="1:20" x14ac:dyDescent="0.2">
      <c r="A473"/>
      <c r="B473"/>
      <c r="D473"/>
      <c r="E473"/>
      <c r="F473"/>
      <c r="G473"/>
      <c r="H473"/>
      <c r="I473"/>
      <c r="J473"/>
      <c r="K473"/>
      <c r="L473"/>
      <c r="M473"/>
      <c r="N473"/>
      <c r="O473"/>
      <c r="P473"/>
      <c r="Q473"/>
      <c r="R473"/>
      <c r="S473"/>
      <c r="T473"/>
    </row>
    <row r="474" spans="1:20" x14ac:dyDescent="0.2">
      <c r="A474"/>
      <c r="B474"/>
      <c r="D474"/>
      <c r="E474"/>
      <c r="F474"/>
      <c r="G474"/>
      <c r="H474"/>
      <c r="I474"/>
      <c r="J474"/>
      <c r="K474"/>
      <c r="L474"/>
      <c r="M474"/>
      <c r="N474"/>
      <c r="O474"/>
      <c r="P474"/>
      <c r="Q474"/>
      <c r="R474"/>
      <c r="S474"/>
      <c r="T474"/>
    </row>
    <row r="475" spans="1:20" x14ac:dyDescent="0.2">
      <c r="A475"/>
      <c r="B475"/>
      <c r="D475"/>
      <c r="E475"/>
      <c r="F475"/>
      <c r="G475"/>
      <c r="H475"/>
      <c r="I475"/>
      <c r="J475"/>
      <c r="K475"/>
      <c r="L475"/>
      <c r="M475"/>
      <c r="N475"/>
      <c r="O475"/>
      <c r="P475"/>
      <c r="Q475"/>
      <c r="R475"/>
      <c r="S475"/>
      <c r="T475"/>
    </row>
    <row r="476" spans="1:20" x14ac:dyDescent="0.2">
      <c r="A476"/>
      <c r="B476"/>
      <c r="C476"/>
      <c r="D476"/>
      <c r="E476"/>
      <c r="F476"/>
      <c r="G476"/>
      <c r="H476"/>
      <c r="I476"/>
      <c r="J476"/>
      <c r="K476"/>
      <c r="L476"/>
      <c r="M476"/>
      <c r="N476"/>
      <c r="O476"/>
      <c r="P476"/>
      <c r="Q476"/>
      <c r="R476"/>
      <c r="S476"/>
      <c r="T476"/>
    </row>
    <row r="477" spans="1:20" x14ac:dyDescent="0.2">
      <c r="A477"/>
      <c r="B477"/>
      <c r="C477"/>
      <c r="D477"/>
      <c r="E477"/>
      <c r="F477"/>
      <c r="G477"/>
      <c r="H477"/>
      <c r="I477"/>
      <c r="J477"/>
      <c r="K477"/>
      <c r="L477"/>
      <c r="M477"/>
      <c r="N477"/>
      <c r="O477"/>
      <c r="P477"/>
      <c r="Q477"/>
      <c r="R477"/>
      <c r="S477"/>
      <c r="T477"/>
    </row>
    <row r="478" spans="1:20" x14ac:dyDescent="0.2">
      <c r="A478"/>
      <c r="B478"/>
      <c r="C478"/>
      <c r="D478"/>
      <c r="E478"/>
      <c r="F478"/>
      <c r="G478"/>
      <c r="H478"/>
      <c r="I478"/>
      <c r="J478"/>
      <c r="K478"/>
      <c r="L478"/>
      <c r="M478"/>
      <c r="N478"/>
      <c r="O478"/>
      <c r="P478"/>
      <c r="Q478"/>
      <c r="R478"/>
      <c r="S478"/>
      <c r="T478"/>
    </row>
    <row r="479" spans="1:20" x14ac:dyDescent="0.2">
      <c r="A479"/>
      <c r="B479"/>
      <c r="C479"/>
      <c r="D479"/>
      <c r="E479"/>
      <c r="F479"/>
      <c r="G479"/>
      <c r="H479"/>
      <c r="I479"/>
      <c r="J479"/>
      <c r="K479"/>
      <c r="L479"/>
      <c r="M479"/>
      <c r="N479"/>
      <c r="O479"/>
      <c r="P479"/>
      <c r="Q479"/>
      <c r="R479"/>
      <c r="S479"/>
      <c r="T479"/>
    </row>
    <row r="480" spans="1:20" x14ac:dyDescent="0.2">
      <c r="A480"/>
      <c r="B480"/>
      <c r="C480"/>
      <c r="D480"/>
      <c r="E480"/>
      <c r="F480"/>
      <c r="G480"/>
      <c r="H480"/>
      <c r="I480"/>
      <c r="J480"/>
      <c r="K480"/>
      <c r="L480"/>
      <c r="M480"/>
      <c r="N480"/>
      <c r="O480"/>
      <c r="P480"/>
      <c r="Q480"/>
      <c r="R480"/>
      <c r="S480"/>
      <c r="T480"/>
    </row>
    <row r="481" spans="1:20" x14ac:dyDescent="0.2">
      <c r="A481"/>
      <c r="B481"/>
      <c r="C481"/>
      <c r="D481"/>
      <c r="E481"/>
      <c r="F481"/>
      <c r="G481"/>
      <c r="H481"/>
      <c r="I481"/>
      <c r="J481"/>
      <c r="K481"/>
      <c r="L481"/>
      <c r="M481"/>
      <c r="N481"/>
      <c r="O481"/>
      <c r="P481"/>
      <c r="Q481"/>
      <c r="R481"/>
      <c r="S481"/>
      <c r="T481"/>
    </row>
    <row r="482" spans="1:20" x14ac:dyDescent="0.2">
      <c r="A482"/>
      <c r="B482"/>
      <c r="C482"/>
      <c r="D482"/>
      <c r="E482"/>
      <c r="F482"/>
      <c r="G482"/>
      <c r="H482"/>
      <c r="I482"/>
      <c r="J482"/>
      <c r="K482"/>
      <c r="L482"/>
      <c r="M482"/>
      <c r="N482"/>
      <c r="O482"/>
      <c r="P482"/>
      <c r="Q482"/>
      <c r="R482"/>
      <c r="S482"/>
      <c r="T482"/>
    </row>
    <row r="483" spans="1:20" x14ac:dyDescent="0.2">
      <c r="A483"/>
      <c r="B483"/>
      <c r="C483"/>
      <c r="D483"/>
      <c r="E483"/>
      <c r="F483"/>
      <c r="G483"/>
      <c r="H483"/>
      <c r="I483"/>
      <c r="J483"/>
      <c r="K483"/>
      <c r="L483"/>
      <c r="M483"/>
      <c r="N483"/>
      <c r="O483"/>
      <c r="P483"/>
      <c r="Q483"/>
      <c r="R483"/>
      <c r="S483"/>
      <c r="T483"/>
    </row>
    <row r="484" spans="1:20" x14ac:dyDescent="0.2">
      <c r="A484"/>
      <c r="B484"/>
      <c r="C484"/>
      <c r="D484"/>
      <c r="E484"/>
      <c r="F484"/>
      <c r="G484"/>
      <c r="H484"/>
      <c r="I484"/>
      <c r="J484"/>
      <c r="K484"/>
      <c r="L484"/>
      <c r="M484"/>
      <c r="N484"/>
      <c r="O484"/>
      <c r="P484"/>
      <c r="Q484"/>
      <c r="R484"/>
      <c r="S484"/>
      <c r="T484"/>
    </row>
    <row r="485" spans="1:20" x14ac:dyDescent="0.2">
      <c r="A485"/>
      <c r="B485"/>
      <c r="C485"/>
      <c r="D485"/>
      <c r="E485"/>
      <c r="F485"/>
      <c r="G485"/>
      <c r="H485"/>
      <c r="I485"/>
      <c r="J485"/>
      <c r="K485"/>
      <c r="L485"/>
      <c r="M485"/>
      <c r="N485"/>
      <c r="O485"/>
      <c r="P485"/>
      <c r="Q485"/>
      <c r="R485"/>
      <c r="S485"/>
      <c r="T485"/>
    </row>
    <row r="486" spans="1:20" x14ac:dyDescent="0.2">
      <c r="A486"/>
      <c r="B486"/>
      <c r="C486"/>
      <c r="D486"/>
      <c r="E486"/>
      <c r="F486"/>
      <c r="G486"/>
      <c r="H486"/>
      <c r="I486"/>
      <c r="J486"/>
      <c r="K486"/>
      <c r="L486"/>
      <c r="M486"/>
      <c r="N486"/>
      <c r="O486"/>
      <c r="P486"/>
      <c r="Q486"/>
      <c r="R486"/>
      <c r="S486"/>
      <c r="T486"/>
    </row>
    <row r="487" spans="1:20" x14ac:dyDescent="0.2">
      <c r="A487"/>
      <c r="B487"/>
      <c r="C487"/>
      <c r="D487"/>
      <c r="E487"/>
      <c r="F487"/>
      <c r="G487"/>
      <c r="H487"/>
      <c r="I487"/>
      <c r="J487"/>
      <c r="K487"/>
      <c r="L487"/>
      <c r="M487"/>
      <c r="N487"/>
      <c r="O487"/>
      <c r="P487"/>
      <c r="Q487"/>
      <c r="R487"/>
      <c r="S487"/>
      <c r="T487"/>
    </row>
    <row r="488" spans="1:20" x14ac:dyDescent="0.2">
      <c r="A488"/>
      <c r="B488"/>
      <c r="C488"/>
      <c r="D488"/>
      <c r="E488"/>
      <c r="F488"/>
      <c r="G488"/>
      <c r="H488"/>
      <c r="I488"/>
      <c r="J488"/>
      <c r="K488"/>
      <c r="L488"/>
      <c r="M488"/>
      <c r="N488"/>
      <c r="O488"/>
      <c r="P488"/>
      <c r="Q488"/>
      <c r="R488"/>
      <c r="S488"/>
      <c r="T488"/>
    </row>
    <row r="489" spans="1:20" x14ac:dyDescent="0.2">
      <c r="A489"/>
      <c r="B489"/>
      <c r="C489"/>
      <c r="D489"/>
      <c r="E489"/>
      <c r="F489"/>
      <c r="G489"/>
      <c r="H489"/>
      <c r="I489"/>
      <c r="J489"/>
      <c r="K489"/>
      <c r="L489"/>
      <c r="M489"/>
      <c r="N489"/>
      <c r="O489"/>
      <c r="P489"/>
      <c r="Q489"/>
      <c r="R489"/>
      <c r="S489"/>
      <c r="T489"/>
    </row>
    <row r="490" spans="1:20" x14ac:dyDescent="0.2">
      <c r="A490"/>
      <c r="B490"/>
      <c r="C490"/>
      <c r="D490"/>
      <c r="E490"/>
      <c r="F490"/>
      <c r="G490"/>
      <c r="H490"/>
      <c r="I490"/>
      <c r="J490"/>
      <c r="K490"/>
      <c r="L490"/>
      <c r="M490"/>
      <c r="N490"/>
      <c r="O490"/>
      <c r="P490"/>
      <c r="Q490"/>
      <c r="R490"/>
      <c r="S490"/>
      <c r="T490"/>
    </row>
    <row r="491" spans="1:20" x14ac:dyDescent="0.2">
      <c r="A491"/>
      <c r="B491"/>
      <c r="C491"/>
      <c r="D491"/>
      <c r="E491"/>
      <c r="F491"/>
      <c r="G491"/>
      <c r="H491"/>
      <c r="I491"/>
      <c r="J491"/>
      <c r="K491"/>
      <c r="L491"/>
      <c r="M491"/>
      <c r="N491"/>
      <c r="O491"/>
      <c r="P491"/>
      <c r="Q491"/>
      <c r="R491"/>
      <c r="S491"/>
      <c r="T491"/>
    </row>
    <row r="492" spans="1:20" x14ac:dyDescent="0.2">
      <c r="A492"/>
      <c r="B492"/>
      <c r="C492"/>
      <c r="D492"/>
      <c r="E492"/>
      <c r="F492"/>
      <c r="G492"/>
      <c r="H492"/>
      <c r="I492"/>
      <c r="J492"/>
      <c r="K492"/>
      <c r="L492"/>
      <c r="M492"/>
      <c r="N492"/>
      <c r="O492"/>
      <c r="P492"/>
      <c r="Q492"/>
      <c r="R492"/>
      <c r="S492"/>
      <c r="T492"/>
    </row>
    <row r="493" spans="1:20" x14ac:dyDescent="0.2">
      <c r="A493"/>
      <c r="B493"/>
      <c r="C493"/>
      <c r="D493"/>
      <c r="E493"/>
      <c r="F493"/>
      <c r="G493"/>
      <c r="H493"/>
      <c r="I493"/>
      <c r="J493"/>
      <c r="K493"/>
      <c r="L493"/>
      <c r="M493"/>
      <c r="N493"/>
      <c r="O493"/>
      <c r="P493"/>
      <c r="Q493"/>
      <c r="R493"/>
      <c r="S493"/>
      <c r="T493"/>
    </row>
    <row r="494" spans="1:20" x14ac:dyDescent="0.2">
      <c r="A494"/>
      <c r="B494"/>
      <c r="C494"/>
      <c r="D494"/>
      <c r="E494"/>
      <c r="F494"/>
      <c r="G494"/>
      <c r="H494"/>
      <c r="I494"/>
      <c r="J494"/>
      <c r="K494"/>
      <c r="L494"/>
      <c r="M494"/>
      <c r="N494"/>
      <c r="O494"/>
      <c r="P494"/>
      <c r="Q494"/>
      <c r="R494"/>
      <c r="S494"/>
      <c r="T494"/>
    </row>
    <row r="495" spans="1:20" x14ac:dyDescent="0.2">
      <c r="A495"/>
      <c r="B495"/>
      <c r="C495"/>
      <c r="D495"/>
      <c r="E495"/>
      <c r="F495"/>
      <c r="G495"/>
      <c r="H495"/>
      <c r="I495"/>
      <c r="J495"/>
      <c r="K495"/>
      <c r="L495"/>
      <c r="M495"/>
      <c r="N495"/>
      <c r="O495"/>
      <c r="P495"/>
      <c r="Q495"/>
      <c r="R495"/>
      <c r="S495"/>
      <c r="T495"/>
    </row>
    <row r="496" spans="1:20" x14ac:dyDescent="0.2">
      <c r="A496"/>
      <c r="B496"/>
      <c r="C496"/>
      <c r="D496"/>
      <c r="E496"/>
      <c r="F496"/>
      <c r="G496"/>
      <c r="H496"/>
      <c r="I496"/>
      <c r="J496"/>
      <c r="K496"/>
      <c r="L496"/>
      <c r="M496"/>
      <c r="N496"/>
      <c r="O496"/>
      <c r="P496"/>
      <c r="Q496"/>
      <c r="R496"/>
      <c r="S496"/>
      <c r="T496"/>
    </row>
    <row r="497" spans="1:20" x14ac:dyDescent="0.2">
      <c r="A497"/>
      <c r="B497"/>
      <c r="C497"/>
      <c r="D497"/>
      <c r="E497"/>
      <c r="F497"/>
      <c r="G497"/>
      <c r="H497"/>
      <c r="I497"/>
      <c r="J497"/>
      <c r="K497"/>
      <c r="L497"/>
      <c r="M497"/>
      <c r="N497"/>
      <c r="O497"/>
      <c r="P497"/>
      <c r="Q497"/>
      <c r="R497"/>
      <c r="S497"/>
      <c r="T497"/>
    </row>
    <row r="498" spans="1:20" x14ac:dyDescent="0.2">
      <c r="A498"/>
      <c r="B498"/>
      <c r="C498"/>
      <c r="D498"/>
      <c r="E498"/>
      <c r="F498"/>
      <c r="G498"/>
      <c r="H498"/>
      <c r="I498"/>
      <c r="J498"/>
      <c r="K498"/>
      <c r="L498"/>
      <c r="M498"/>
      <c r="N498"/>
      <c r="O498"/>
      <c r="P498"/>
      <c r="Q498"/>
      <c r="R498"/>
      <c r="S498"/>
      <c r="T498"/>
    </row>
    <row r="499" spans="1:20" x14ac:dyDescent="0.2">
      <c r="A499"/>
      <c r="B499"/>
      <c r="C499"/>
      <c r="D499"/>
      <c r="E499"/>
      <c r="F499"/>
      <c r="G499"/>
      <c r="H499"/>
      <c r="I499"/>
      <c r="J499"/>
      <c r="K499"/>
      <c r="L499"/>
      <c r="M499"/>
      <c r="N499"/>
      <c r="O499"/>
      <c r="P499"/>
      <c r="Q499"/>
      <c r="R499"/>
      <c r="S499"/>
      <c r="T499"/>
    </row>
    <row r="500" spans="1:20" x14ac:dyDescent="0.2">
      <c r="A500"/>
      <c r="B500"/>
      <c r="C500"/>
      <c r="D500"/>
      <c r="E500"/>
      <c r="F500"/>
      <c r="G500"/>
      <c r="H500"/>
      <c r="I500"/>
      <c r="J500"/>
      <c r="K500"/>
      <c r="L500"/>
      <c r="M500"/>
      <c r="N500"/>
      <c r="O500"/>
      <c r="P500"/>
      <c r="Q500"/>
      <c r="R500"/>
      <c r="S500"/>
      <c r="T500"/>
    </row>
    <row r="501" spans="1:20" x14ac:dyDescent="0.2">
      <c r="A501"/>
      <c r="B501"/>
      <c r="C501"/>
      <c r="D501"/>
      <c r="E501"/>
      <c r="F501"/>
      <c r="G501"/>
      <c r="H501"/>
      <c r="I501"/>
      <c r="J501"/>
      <c r="K501"/>
      <c r="L501"/>
      <c r="M501"/>
      <c r="N501"/>
      <c r="O501"/>
      <c r="P501"/>
      <c r="Q501"/>
      <c r="R501"/>
      <c r="S501"/>
      <c r="T501"/>
    </row>
    <row r="502" spans="1:20" x14ac:dyDescent="0.2">
      <c r="A502"/>
      <c r="B502"/>
      <c r="C502"/>
      <c r="D502"/>
      <c r="E502"/>
      <c r="F502"/>
      <c r="G502"/>
      <c r="H502"/>
      <c r="I502"/>
      <c r="J502"/>
      <c r="K502"/>
      <c r="L502"/>
      <c r="M502"/>
      <c r="N502"/>
      <c r="O502"/>
      <c r="P502"/>
      <c r="Q502"/>
      <c r="R502"/>
      <c r="S502"/>
      <c r="T502"/>
    </row>
    <row r="503" spans="1:20" x14ac:dyDescent="0.2">
      <c r="A503"/>
      <c r="B503"/>
      <c r="C503"/>
      <c r="D503"/>
      <c r="E503"/>
      <c r="F503"/>
      <c r="G503"/>
      <c r="H503"/>
      <c r="I503"/>
      <c r="J503"/>
      <c r="K503"/>
      <c r="L503"/>
      <c r="M503"/>
      <c r="N503"/>
      <c r="O503"/>
      <c r="P503"/>
      <c r="Q503"/>
      <c r="R503"/>
      <c r="S503"/>
      <c r="T503"/>
    </row>
    <row r="504" spans="1:20" x14ac:dyDescent="0.2">
      <c r="A504"/>
      <c r="B504"/>
      <c r="C504"/>
      <c r="D504"/>
      <c r="E504"/>
      <c r="F504"/>
      <c r="G504"/>
      <c r="H504"/>
      <c r="I504"/>
      <c r="J504"/>
      <c r="K504"/>
      <c r="L504"/>
      <c r="M504"/>
      <c r="N504"/>
      <c r="O504"/>
      <c r="P504"/>
      <c r="Q504"/>
      <c r="R504"/>
      <c r="S504"/>
      <c r="T504"/>
    </row>
    <row r="505" spans="1:20" x14ac:dyDescent="0.2">
      <c r="A505"/>
      <c r="B505"/>
      <c r="C505"/>
      <c r="D505"/>
      <c r="E505"/>
      <c r="F505"/>
      <c r="G505"/>
      <c r="H505"/>
      <c r="I505"/>
      <c r="J505"/>
      <c r="K505"/>
      <c r="L505"/>
      <c r="M505"/>
      <c r="N505"/>
      <c r="O505"/>
      <c r="P505"/>
      <c r="Q505"/>
      <c r="R505"/>
      <c r="S505"/>
      <c r="T505"/>
    </row>
    <row r="506" spans="1:20" x14ac:dyDescent="0.2">
      <c r="A506"/>
      <c r="B506"/>
      <c r="C506"/>
      <c r="D506"/>
      <c r="E506"/>
      <c r="F506"/>
      <c r="G506"/>
      <c r="H506"/>
      <c r="I506"/>
      <c r="J506"/>
      <c r="K506"/>
      <c r="L506"/>
      <c r="M506"/>
      <c r="N506"/>
      <c r="O506"/>
      <c r="P506"/>
      <c r="Q506"/>
      <c r="R506"/>
      <c r="S506"/>
      <c r="T506"/>
    </row>
    <row r="507" spans="1:20" x14ac:dyDescent="0.2">
      <c r="A507"/>
      <c r="B507"/>
      <c r="C507"/>
      <c r="D507"/>
      <c r="E507"/>
      <c r="F507"/>
      <c r="G507"/>
      <c r="H507"/>
      <c r="I507"/>
      <c r="J507"/>
      <c r="K507"/>
      <c r="L507"/>
      <c r="M507"/>
      <c r="N507"/>
      <c r="O507"/>
      <c r="P507"/>
      <c r="Q507"/>
      <c r="R507"/>
      <c r="S507"/>
      <c r="T507"/>
    </row>
    <row r="508" spans="1:20" x14ac:dyDescent="0.2">
      <c r="A508"/>
      <c r="B508"/>
      <c r="C508"/>
      <c r="D508"/>
      <c r="E508"/>
      <c r="F508"/>
      <c r="G508"/>
      <c r="H508"/>
      <c r="I508"/>
      <c r="J508"/>
      <c r="K508"/>
      <c r="L508"/>
      <c r="M508"/>
      <c r="N508"/>
      <c r="O508"/>
      <c r="P508"/>
      <c r="Q508"/>
      <c r="R508"/>
      <c r="S508"/>
      <c r="T508"/>
    </row>
    <row r="509" spans="1:20" x14ac:dyDescent="0.2">
      <c r="A509"/>
      <c r="B509"/>
      <c r="C509"/>
      <c r="D509"/>
      <c r="E509"/>
      <c r="F509"/>
      <c r="G509"/>
      <c r="H509"/>
      <c r="I509"/>
      <c r="J509"/>
      <c r="K509"/>
      <c r="L509"/>
      <c r="M509"/>
      <c r="N509"/>
      <c r="O509"/>
      <c r="P509"/>
      <c r="Q509"/>
      <c r="R509"/>
      <c r="S509"/>
      <c r="T509"/>
    </row>
    <row r="510" spans="1:20" x14ac:dyDescent="0.2">
      <c r="A510"/>
      <c r="B510"/>
      <c r="C510"/>
      <c r="D510"/>
      <c r="E510"/>
      <c r="F510"/>
      <c r="G510"/>
      <c r="H510"/>
      <c r="I510"/>
      <c r="J510"/>
      <c r="K510"/>
      <c r="L510"/>
      <c r="M510"/>
      <c r="N510"/>
      <c r="O510"/>
      <c r="P510"/>
      <c r="Q510"/>
      <c r="R510"/>
      <c r="S510"/>
      <c r="T510"/>
    </row>
    <row r="511" spans="1:20" x14ac:dyDescent="0.2">
      <c r="A511"/>
      <c r="B511"/>
      <c r="C511"/>
      <c r="D511"/>
      <c r="E511"/>
      <c r="F511"/>
      <c r="G511"/>
      <c r="H511"/>
      <c r="I511"/>
      <c r="J511"/>
      <c r="K511"/>
      <c r="L511"/>
      <c r="M511"/>
      <c r="N511"/>
      <c r="O511"/>
      <c r="P511"/>
      <c r="Q511"/>
      <c r="R511"/>
      <c r="S511"/>
      <c r="T511"/>
    </row>
    <row r="512" spans="1:20" x14ac:dyDescent="0.2">
      <c r="A512"/>
      <c r="B512"/>
      <c r="C512"/>
      <c r="D512"/>
      <c r="E512"/>
      <c r="F512"/>
      <c r="G512"/>
      <c r="H512"/>
      <c r="I512"/>
      <c r="J512"/>
      <c r="K512"/>
      <c r="L512"/>
      <c r="M512"/>
      <c r="N512"/>
      <c r="O512"/>
      <c r="P512"/>
      <c r="Q512"/>
      <c r="R512"/>
      <c r="S512"/>
      <c r="T512"/>
    </row>
    <row r="513" spans="1:20" x14ac:dyDescent="0.2">
      <c r="A513"/>
      <c r="B513"/>
      <c r="C513"/>
      <c r="D513"/>
      <c r="E513"/>
      <c r="F513"/>
      <c r="G513"/>
      <c r="H513"/>
      <c r="I513"/>
      <c r="J513"/>
      <c r="K513"/>
      <c r="L513"/>
      <c r="M513"/>
      <c r="N513"/>
      <c r="O513"/>
      <c r="P513"/>
      <c r="Q513"/>
      <c r="R513"/>
      <c r="S513"/>
      <c r="T513"/>
    </row>
    <row r="514" spans="1:20" x14ac:dyDescent="0.2">
      <c r="A514"/>
      <c r="B514"/>
      <c r="C514"/>
      <c r="D514"/>
      <c r="E514"/>
      <c r="F514"/>
      <c r="G514"/>
      <c r="H514"/>
      <c r="I514"/>
      <c r="J514"/>
      <c r="K514"/>
      <c r="L514"/>
      <c r="M514"/>
      <c r="N514"/>
      <c r="O514"/>
      <c r="P514"/>
      <c r="Q514"/>
      <c r="R514"/>
      <c r="S514"/>
      <c r="T514"/>
    </row>
    <row r="515" spans="1:20" x14ac:dyDescent="0.2">
      <c r="A515"/>
      <c r="B515"/>
      <c r="C515"/>
      <c r="D515"/>
      <c r="E515"/>
      <c r="F515"/>
      <c r="G515"/>
      <c r="H515"/>
      <c r="I515"/>
      <c r="J515"/>
      <c r="K515"/>
      <c r="L515"/>
      <c r="M515"/>
      <c r="N515"/>
      <c r="O515"/>
      <c r="P515"/>
      <c r="Q515"/>
      <c r="R515"/>
      <c r="S515"/>
      <c r="T515"/>
    </row>
    <row r="516" spans="1:20" x14ac:dyDescent="0.2">
      <c r="A516"/>
      <c r="B516"/>
      <c r="C516"/>
      <c r="D516"/>
      <c r="E516"/>
      <c r="F516"/>
      <c r="G516"/>
      <c r="H516"/>
      <c r="I516"/>
      <c r="J516"/>
      <c r="K516"/>
      <c r="L516"/>
      <c r="M516"/>
      <c r="N516"/>
      <c r="O516"/>
      <c r="P516"/>
      <c r="Q516"/>
      <c r="R516"/>
      <c r="S516"/>
      <c r="T516"/>
    </row>
  </sheetData>
  <mergeCells count="4">
    <mergeCell ref="C5:F5"/>
    <mergeCell ref="G5:J5"/>
    <mergeCell ref="C165:F165"/>
    <mergeCell ref="G165:J165"/>
  </mergeCells>
  <conditionalFormatting sqref="A367:A446 A125:A129 A23:A26 A131:A362 A32:A123">
    <cfRule type="duplicateValues" dxfId="56" priority="3"/>
  </conditionalFormatting>
  <conditionalFormatting sqref="A28:A31">
    <cfRule type="duplicateValues" dxfId="55" priority="4"/>
  </conditionalFormatting>
  <conditionalFormatting sqref="A447:A449">
    <cfRule type="duplicateValues" dxfId="54" priority="2"/>
  </conditionalFormatting>
  <conditionalFormatting sqref="A363:A365">
    <cfRule type="duplicateValues" dxfId="53" priority="1"/>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76801" r:id="rId4" name="Button 1">
              <controlPr defaultSize="0" print="0" autoFill="0" autoPict="0" macro="[0]!HideRows">
                <anchor moveWithCells="1" sizeWithCells="1">
                  <from>
                    <xdr:col>4</xdr:col>
                    <xdr:colOff>371475</xdr:colOff>
                    <xdr:row>1</xdr:row>
                    <xdr:rowOff>19050</xdr:rowOff>
                  </from>
                  <to>
                    <xdr:col>5</xdr:col>
                    <xdr:colOff>923925</xdr:colOff>
                    <xdr:row>2</xdr:row>
                    <xdr:rowOff>152400</xdr:rowOff>
                  </to>
                </anchor>
              </controlPr>
            </control>
          </mc:Choice>
        </mc:AlternateContent>
        <mc:AlternateContent xmlns:mc="http://schemas.openxmlformats.org/markup-compatibility/2006">
          <mc:Choice Requires="x14">
            <control shapeId="76803" r:id="rId5" name="Button 3">
              <controlPr defaultSize="0" print="0" autoFill="0" autoPict="0" macro="[0]!UnhideRows">
                <anchor moveWithCells="1" sizeWithCells="1">
                  <from>
                    <xdr:col>6</xdr:col>
                    <xdr:colOff>28575</xdr:colOff>
                    <xdr:row>1</xdr:row>
                    <xdr:rowOff>9525</xdr:rowOff>
                  </from>
                  <to>
                    <xdr:col>7</xdr:col>
                    <xdr:colOff>581025</xdr:colOff>
                    <xdr:row>2</xdr:row>
                    <xdr:rowOff>142875</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69"/>
  <dimension ref="B2:Q35"/>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91" t="s">
        <v>198</v>
      </c>
      <c r="D7" s="89"/>
      <c r="E7" s="89"/>
      <c r="F7" s="89"/>
      <c r="G7" s="90"/>
      <c r="H7" s="1713" t="s">
        <v>200</v>
      </c>
      <c r="I7" s="1714"/>
      <c r="J7" s="94" t="s">
        <v>201</v>
      </c>
      <c r="K7" s="95" t="s">
        <v>201</v>
      </c>
      <c r="L7" s="94" t="s">
        <v>201</v>
      </c>
      <c r="M7" s="95" t="s">
        <v>201</v>
      </c>
      <c r="N7" s="95" t="s">
        <v>201</v>
      </c>
      <c r="O7" s="96" t="s">
        <v>201</v>
      </c>
    </row>
    <row r="8" spans="2:17" ht="21.95" customHeight="1" x14ac:dyDescent="0.2">
      <c r="C8" s="92" t="s">
        <v>199</v>
      </c>
      <c r="D8" s="87"/>
      <c r="E8" s="87"/>
      <c r="F8" s="87"/>
      <c r="G8" s="88"/>
      <c r="H8" s="1715" t="s">
        <v>200</v>
      </c>
      <c r="I8" s="1716"/>
      <c r="J8" s="97" t="s">
        <v>201</v>
      </c>
      <c r="K8" s="98" t="s">
        <v>201</v>
      </c>
      <c r="L8" s="97" t="s">
        <v>201</v>
      </c>
      <c r="M8" s="98" t="s">
        <v>201</v>
      </c>
      <c r="N8" s="98" t="s">
        <v>201</v>
      </c>
      <c r="O8" s="99" t="s">
        <v>201</v>
      </c>
    </row>
    <row r="9" spans="2:17" ht="21.95" customHeight="1" x14ac:dyDescent="0.2">
      <c r="C9" s="16"/>
      <c r="D9" s="16"/>
      <c r="E9" s="16"/>
      <c r="F9" s="16"/>
      <c r="G9" s="17"/>
      <c r="H9" s="680"/>
      <c r="I9" s="145"/>
      <c r="J9" s="21"/>
      <c r="K9" s="22"/>
      <c r="L9" s="21"/>
      <c r="M9" s="22"/>
      <c r="N9" s="22"/>
      <c r="O9" s="85"/>
    </row>
    <row r="10" spans="2:17" ht="21.95" customHeight="1" x14ac:dyDescent="0.2">
      <c r="C10" s="16" t="s">
        <v>479</v>
      </c>
      <c r="D10" s="16"/>
      <c r="E10" s="16"/>
      <c r="F10" s="16"/>
      <c r="G10" s="17"/>
      <c r="H10" s="680"/>
      <c r="I10" s="145"/>
      <c r="J10" s="21"/>
      <c r="K10" s="22"/>
      <c r="L10" s="21"/>
      <c r="M10" s="22"/>
      <c r="N10" s="22"/>
      <c r="O10" s="85"/>
    </row>
    <row r="11" spans="2:17" ht="21.95" customHeight="1" x14ac:dyDescent="0.2">
      <c r="C11" s="16" t="s">
        <v>480</v>
      </c>
      <c r="D11" s="16"/>
      <c r="E11" s="16"/>
      <c r="F11" s="16"/>
      <c r="G11" s="17"/>
      <c r="H11" s="680"/>
      <c r="I11" s="145"/>
      <c r="J11" s="21"/>
      <c r="K11" s="22"/>
      <c r="L11" s="21"/>
      <c r="M11" s="22"/>
      <c r="N11" s="22"/>
      <c r="O11" s="85"/>
    </row>
    <row r="12" spans="2:17" ht="21.95" customHeight="1" x14ac:dyDescent="0.2">
      <c r="C12" s="16"/>
      <c r="D12" s="16" t="s">
        <v>478</v>
      </c>
      <c r="E12" s="16"/>
      <c r="F12" s="16"/>
      <c r="G12" s="17"/>
      <c r="H12" s="1043" t="s">
        <v>830</v>
      </c>
      <c r="I12" s="145">
        <v>1</v>
      </c>
      <c r="J12" s="742"/>
      <c r="K12" s="743"/>
      <c r="L12" s="742"/>
      <c r="M12" s="743">
        <f>+K12</f>
        <v>0</v>
      </c>
      <c r="N12" s="743"/>
      <c r="O12" s="370">
        <f t="shared" ref="O12:O26" si="0">IFERROR(IF(+M12-N12&gt;=0,M12-N12,"*")-Q12,"*")</f>
        <v>0</v>
      </c>
      <c r="Q12" s="1262"/>
    </row>
    <row r="13" spans="2:17" ht="21.95" customHeight="1" x14ac:dyDescent="0.2">
      <c r="C13" s="16"/>
      <c r="D13" s="16" t="s">
        <v>314</v>
      </c>
      <c r="E13" s="16"/>
      <c r="F13" s="16"/>
      <c r="G13" s="17"/>
      <c r="H13" s="1043" t="s">
        <v>830</v>
      </c>
      <c r="I13" s="145">
        <v>2</v>
      </c>
      <c r="J13" s="742"/>
      <c r="K13" s="743"/>
      <c r="L13" s="742"/>
      <c r="M13" s="743">
        <f>+K13</f>
        <v>0</v>
      </c>
      <c r="N13" s="743"/>
      <c r="O13" s="370">
        <f t="shared" si="0"/>
        <v>0</v>
      </c>
      <c r="Q13" s="899"/>
    </row>
    <row r="14" spans="2:17" ht="21.95" customHeight="1" x14ac:dyDescent="0.2">
      <c r="C14" s="744"/>
      <c r="D14" s="744"/>
      <c r="E14" s="744"/>
      <c r="F14" s="744"/>
      <c r="G14" s="745"/>
      <c r="H14" s="746"/>
      <c r="I14" s="892"/>
      <c r="J14" s="742"/>
      <c r="K14" s="743"/>
      <c r="L14" s="742"/>
      <c r="M14" s="743">
        <f t="shared" ref="M14:M26" si="1">+K14</f>
        <v>0</v>
      </c>
      <c r="N14" s="743"/>
      <c r="O14" s="370">
        <f t="shared" si="0"/>
        <v>0</v>
      </c>
      <c r="Q14" s="899"/>
    </row>
    <row r="15" spans="2:17" ht="21.95" customHeight="1" x14ac:dyDescent="0.2">
      <c r="C15" s="744" t="s">
        <v>6319</v>
      </c>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t="s">
        <v>6320</v>
      </c>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t="s">
        <v>6271</v>
      </c>
      <c r="F17" s="744"/>
      <c r="G17" s="745"/>
      <c r="H17" s="746" t="s">
        <v>5272</v>
      </c>
      <c r="I17" s="892">
        <v>1</v>
      </c>
      <c r="J17" s="742">
        <v>3917</v>
      </c>
      <c r="K17" s="743">
        <v>3849.48</v>
      </c>
      <c r="L17" s="742"/>
      <c r="M17" s="743">
        <f t="shared" si="1"/>
        <v>3849.48</v>
      </c>
      <c r="N17" s="743">
        <v>3840</v>
      </c>
      <c r="O17" s="370">
        <f t="shared" si="0"/>
        <v>9.4800000000000182</v>
      </c>
      <c r="Q17" s="899"/>
    </row>
    <row r="18" spans="2:17" ht="21.95" customHeight="1" x14ac:dyDescent="0.2">
      <c r="C18" s="744"/>
      <c r="D18" s="744"/>
      <c r="E18" s="744" t="s">
        <v>6272</v>
      </c>
      <c r="F18" s="744"/>
      <c r="G18" s="745"/>
      <c r="H18" s="746" t="s">
        <v>5272</v>
      </c>
      <c r="I18" s="892">
        <v>2</v>
      </c>
      <c r="J18" s="742">
        <v>100</v>
      </c>
      <c r="K18" s="743">
        <v>100</v>
      </c>
      <c r="L18" s="742"/>
      <c r="M18" s="743">
        <f t="shared" si="1"/>
        <v>100</v>
      </c>
      <c r="N18" s="743">
        <v>45.71</v>
      </c>
      <c r="O18" s="370">
        <f t="shared" si="0"/>
        <v>54.29</v>
      </c>
      <c r="Q18" s="899"/>
    </row>
    <row r="19" spans="2:17" ht="21.95" customHeight="1" x14ac:dyDescent="0.2">
      <c r="C19" s="744"/>
      <c r="D19" s="744"/>
      <c r="E19" s="744"/>
      <c r="F19" s="744"/>
      <c r="G19" s="745"/>
      <c r="H19" s="746"/>
      <c r="I19" s="892"/>
      <c r="J19" s="742"/>
      <c r="K19" s="743"/>
      <c r="L19" s="742"/>
      <c r="M19" s="743">
        <f t="shared" si="1"/>
        <v>0</v>
      </c>
      <c r="N19" s="743"/>
      <c r="O19" s="370">
        <f t="shared" si="0"/>
        <v>0</v>
      </c>
      <c r="Q19" s="900"/>
    </row>
    <row r="20" spans="2:17" ht="21.95" customHeight="1" x14ac:dyDescent="0.2">
      <c r="C20" s="744" t="s">
        <v>6319</v>
      </c>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t="s">
        <v>6321</v>
      </c>
      <c r="E21" s="744"/>
      <c r="F21" s="744"/>
      <c r="G21" s="745"/>
      <c r="H21" s="746"/>
      <c r="I21" s="892"/>
      <c r="J21" s="742"/>
      <c r="K21" s="743"/>
      <c r="L21" s="742"/>
      <c r="M21" s="743">
        <f t="shared" si="1"/>
        <v>0</v>
      </c>
      <c r="N21" s="743"/>
      <c r="O21" s="370">
        <f t="shared" si="0"/>
        <v>0</v>
      </c>
      <c r="Q21" s="899"/>
    </row>
    <row r="22" spans="2:17" ht="21.95" customHeight="1" x14ac:dyDescent="0.2">
      <c r="C22" s="744"/>
      <c r="D22" s="744"/>
      <c r="E22" s="744" t="s">
        <v>6272</v>
      </c>
      <c r="F22" s="744"/>
      <c r="G22" s="745"/>
      <c r="H22" s="746" t="s">
        <v>5268</v>
      </c>
      <c r="I22" s="892">
        <v>2</v>
      </c>
      <c r="J22" s="742">
        <v>5000</v>
      </c>
      <c r="K22" s="743">
        <v>3060</v>
      </c>
      <c r="L22" s="742"/>
      <c r="M22" s="743">
        <f t="shared" si="1"/>
        <v>3060</v>
      </c>
      <c r="N22" s="743"/>
      <c r="O22" s="370">
        <f t="shared" si="0"/>
        <v>3060</v>
      </c>
      <c r="Q22" s="899"/>
    </row>
    <row r="23" spans="2:17" ht="21.95" customHeight="1" x14ac:dyDescent="0.2">
      <c r="C23" s="744"/>
      <c r="D23" s="744"/>
      <c r="E23" s="744"/>
      <c r="F23" s="744"/>
      <c r="G23" s="745"/>
      <c r="H23" s="746"/>
      <c r="I23" s="892"/>
      <c r="J23" s="742"/>
      <c r="K23" s="743"/>
      <c r="L23" s="742"/>
      <c r="M23" s="743">
        <f t="shared" si="1"/>
        <v>0</v>
      </c>
      <c r="N23" s="743"/>
      <c r="O23" s="370">
        <f t="shared" si="0"/>
        <v>0</v>
      </c>
      <c r="Q23" s="899"/>
    </row>
    <row r="24" spans="2:17" ht="21.95" customHeight="1" x14ac:dyDescent="0.2">
      <c r="C24" s="744"/>
      <c r="D24" s="744"/>
      <c r="E24" s="744"/>
      <c r="F24" s="744"/>
      <c r="G24" s="745"/>
      <c r="H24" s="746"/>
      <c r="I24" s="892"/>
      <c r="J24" s="742"/>
      <c r="K24" s="743"/>
      <c r="L24" s="742"/>
      <c r="M24" s="743">
        <f t="shared" si="1"/>
        <v>0</v>
      </c>
      <c r="N24" s="743"/>
      <c r="O24" s="370">
        <f t="shared" si="0"/>
        <v>0</v>
      </c>
      <c r="Q24" s="899"/>
    </row>
    <row r="25" spans="2:17" ht="21.95" customHeight="1" x14ac:dyDescent="0.2">
      <c r="C25" s="744"/>
      <c r="D25" s="744"/>
      <c r="E25" s="744"/>
      <c r="F25" s="744"/>
      <c r="G25" s="745"/>
      <c r="H25" s="746"/>
      <c r="I25" s="892"/>
      <c r="J25" s="742"/>
      <c r="K25" s="743"/>
      <c r="L25" s="742"/>
      <c r="M25" s="743">
        <f t="shared" si="1"/>
        <v>0</v>
      </c>
      <c r="N25" s="743"/>
      <c r="O25" s="370">
        <f t="shared" si="0"/>
        <v>0</v>
      </c>
      <c r="Q25" s="899"/>
    </row>
    <row r="26" spans="2:17" ht="21.95" customHeight="1" thickBot="1" x14ac:dyDescent="0.25">
      <c r="B26" s="2"/>
      <c r="C26" s="893"/>
      <c r="D26" s="893"/>
      <c r="E26" s="893"/>
      <c r="F26" s="893"/>
      <c r="G26" s="894"/>
      <c r="H26" s="895"/>
      <c r="I26" s="894"/>
      <c r="J26" s="897"/>
      <c r="K26" s="898"/>
      <c r="L26" s="897"/>
      <c r="M26" s="898">
        <f t="shared" si="1"/>
        <v>0</v>
      </c>
      <c r="N26" s="898"/>
      <c r="O26" s="525">
        <f t="shared" si="0"/>
        <v>0</v>
      </c>
      <c r="Q26" s="899"/>
    </row>
    <row r="27" spans="2:17" ht="16.5" thickTop="1" x14ac:dyDescent="0.25">
      <c r="B27" s="1617" t="s">
        <v>187</v>
      </c>
      <c r="C27" s="1617"/>
      <c r="D27" s="1617"/>
      <c r="E27" s="1617"/>
      <c r="F27" s="1617"/>
      <c r="G27" s="1617"/>
      <c r="H27" s="1617"/>
      <c r="I27" s="1617"/>
      <c r="J27" s="1617"/>
      <c r="K27" s="1617"/>
      <c r="L27" s="1617"/>
      <c r="M27" s="1617"/>
      <c r="N27" s="1617"/>
      <c r="O27" s="1617"/>
      <c r="Q27" s="669"/>
    </row>
    <row r="28" spans="2:17" x14ac:dyDescent="0.2">
      <c r="Q28" s="669"/>
    </row>
    <row r="29" spans="2:17" x14ac:dyDescent="0.2">
      <c r="Q29" s="669"/>
    </row>
    <row r="30" spans="2:17" x14ac:dyDescent="0.2">
      <c r="J30" s="29">
        <f>SUM(J7:J26)</f>
        <v>9017</v>
      </c>
      <c r="Q30" s="669"/>
    </row>
    <row r="31" spans="2:17" x14ac:dyDescent="0.2">
      <c r="Q31" s="669"/>
    </row>
    <row r="32" spans="2:17" x14ac:dyDescent="0.2">
      <c r="Q32" s="669"/>
    </row>
    <row r="33" spans="17:17" x14ac:dyDescent="0.2">
      <c r="Q33" s="669"/>
    </row>
    <row r="34" spans="17:17" x14ac:dyDescent="0.2">
      <c r="Q34" s="251"/>
    </row>
    <row r="35" spans="17:17" x14ac:dyDescent="0.2">
      <c r="Q35" s="251"/>
    </row>
  </sheetData>
  <sheetProtection algorithmName="SHA-512" hashValue="0O3hrRcTCnWsShK2wDEsveciZpPOtkhSd7SNoSRd1XU5nmwc0ZGlU079lwMN7KvpBv7sIjLfLvREDrDScW0eCA==" saltValue="saSK0d2i4haJOWWixEXexg==" spinCount="100000" sheet="1" objects="1" scenarios="1"/>
  <mergeCells count="7">
    <mergeCell ref="B2:O2"/>
    <mergeCell ref="N3:O3"/>
    <mergeCell ref="J3:M3"/>
    <mergeCell ref="B27:O27"/>
    <mergeCell ref="H7:I7"/>
    <mergeCell ref="H8:I8"/>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4F00-000000000000}">
          <x14:formula1>
            <xm:f>'Appropriation Codes'!$B$2:$B$25</xm:f>
          </x14:formula1>
          <xm:sqref>H14:H26</xm:sqref>
        </x14:dataValidation>
      </x14:dataValidations>
    </ext>
  </extLst>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169"/>
  <dimension ref="B2:Q35"/>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91" t="s">
        <v>198</v>
      </c>
      <c r="D7" s="89"/>
      <c r="E7" s="89"/>
      <c r="F7" s="89"/>
      <c r="G7" s="90"/>
      <c r="H7" s="1713" t="s">
        <v>200</v>
      </c>
      <c r="I7" s="1714"/>
      <c r="J7" s="94" t="s">
        <v>201</v>
      </c>
      <c r="K7" s="95" t="s">
        <v>201</v>
      </c>
      <c r="L7" s="94" t="s">
        <v>201</v>
      </c>
      <c r="M7" s="95" t="s">
        <v>201</v>
      </c>
      <c r="N7" s="95" t="s">
        <v>201</v>
      </c>
      <c r="O7" s="96" t="s">
        <v>201</v>
      </c>
    </row>
    <row r="8" spans="2:17" ht="21.95" customHeight="1" x14ac:dyDescent="0.2">
      <c r="C8" s="92" t="s">
        <v>199</v>
      </c>
      <c r="D8" s="87"/>
      <c r="E8" s="87"/>
      <c r="F8" s="87"/>
      <c r="G8" s="88"/>
      <c r="H8" s="1715" t="s">
        <v>200</v>
      </c>
      <c r="I8" s="1716"/>
      <c r="J8" s="97" t="s">
        <v>201</v>
      </c>
      <c r="K8" s="98" t="s">
        <v>201</v>
      </c>
      <c r="L8" s="97" t="s">
        <v>201</v>
      </c>
      <c r="M8" s="98" t="s">
        <v>201</v>
      </c>
      <c r="N8" s="98" t="s">
        <v>201</v>
      </c>
      <c r="O8" s="99" t="s">
        <v>201</v>
      </c>
    </row>
    <row r="9" spans="2:17" ht="21.95" customHeight="1" x14ac:dyDescent="0.2">
      <c r="C9" s="744"/>
      <c r="D9" s="744"/>
      <c r="E9" s="744"/>
      <c r="F9" s="744"/>
      <c r="G9" s="745"/>
      <c r="H9" s="746"/>
      <c r="I9" s="892"/>
      <c r="J9" s="742"/>
      <c r="K9" s="743"/>
      <c r="L9" s="742"/>
      <c r="M9" s="743">
        <f>+K9</f>
        <v>0</v>
      </c>
      <c r="N9" s="743"/>
      <c r="O9" s="370">
        <f t="shared" ref="O9:O26" si="0">IFERROR(IF(+M9-N9&gt;=0,M9-N9,"*")-Q9,"*")</f>
        <v>0</v>
      </c>
      <c r="Q9" s="1261"/>
    </row>
    <row r="10" spans="2:17" ht="21.95" customHeight="1" x14ac:dyDescent="0.2">
      <c r="C10" s="744"/>
      <c r="D10" s="744"/>
      <c r="E10" s="744"/>
      <c r="F10" s="744"/>
      <c r="G10" s="745"/>
      <c r="H10" s="746"/>
      <c r="I10" s="892"/>
      <c r="J10" s="742"/>
      <c r="K10" s="743"/>
      <c r="L10" s="742"/>
      <c r="M10" s="743">
        <f>+K10</f>
        <v>0</v>
      </c>
      <c r="N10" s="743"/>
      <c r="O10" s="370">
        <f t="shared" si="0"/>
        <v>0</v>
      </c>
      <c r="Q10" s="1431"/>
    </row>
    <row r="11" spans="2:17" ht="21.95" customHeight="1" x14ac:dyDescent="0.2">
      <c r="C11" s="744"/>
      <c r="D11" s="744"/>
      <c r="E11" s="744"/>
      <c r="F11" s="744"/>
      <c r="G11" s="745"/>
      <c r="H11" s="746"/>
      <c r="I11" s="892"/>
      <c r="J11" s="742"/>
      <c r="K11" s="743"/>
      <c r="L11" s="742"/>
      <c r="M11" s="743">
        <f>+K11</f>
        <v>0</v>
      </c>
      <c r="N11" s="743"/>
      <c r="O11" s="370">
        <f t="shared" si="0"/>
        <v>0</v>
      </c>
      <c r="Q11" s="1261"/>
    </row>
    <row r="12" spans="2:17" ht="21.95" customHeight="1" x14ac:dyDescent="0.25">
      <c r="C12" s="744"/>
      <c r="D12" s="744"/>
      <c r="E12" s="744"/>
      <c r="F12" s="744"/>
      <c r="G12" s="745"/>
      <c r="H12" s="1054"/>
      <c r="I12" s="892"/>
      <c r="J12" s="742"/>
      <c r="K12" s="743"/>
      <c r="L12" s="742"/>
      <c r="M12" s="743">
        <f>+K12</f>
        <v>0</v>
      </c>
      <c r="N12" s="743"/>
      <c r="O12" s="370">
        <f t="shared" si="0"/>
        <v>0</v>
      </c>
      <c r="Q12" s="1263"/>
    </row>
    <row r="13" spans="2:17" ht="21.95" customHeight="1" x14ac:dyDescent="0.2">
      <c r="C13" s="744"/>
      <c r="D13" s="744"/>
      <c r="E13" s="744"/>
      <c r="F13" s="744"/>
      <c r="G13" s="745"/>
      <c r="H13" s="1054"/>
      <c r="I13" s="892"/>
      <c r="J13" s="742"/>
      <c r="K13" s="743"/>
      <c r="L13" s="742"/>
      <c r="M13" s="743">
        <f>+K13</f>
        <v>0</v>
      </c>
      <c r="N13" s="743"/>
      <c r="O13" s="370">
        <f t="shared" si="0"/>
        <v>0</v>
      </c>
      <c r="Q13" s="1264"/>
    </row>
    <row r="14" spans="2:17" ht="21.95" customHeight="1" x14ac:dyDescent="0.2">
      <c r="C14" s="744"/>
      <c r="D14" s="744"/>
      <c r="E14" s="744"/>
      <c r="F14" s="744"/>
      <c r="G14" s="745"/>
      <c r="H14" s="746"/>
      <c r="I14" s="892"/>
      <c r="J14" s="742"/>
      <c r="K14" s="743"/>
      <c r="L14" s="742"/>
      <c r="M14" s="743">
        <f t="shared" ref="M14:M26" si="1">+K14</f>
        <v>0</v>
      </c>
      <c r="N14" s="743"/>
      <c r="O14" s="370">
        <f t="shared" si="0"/>
        <v>0</v>
      </c>
      <c r="Q14" s="1264"/>
    </row>
    <row r="15" spans="2:17" ht="21.95" customHeight="1" x14ac:dyDescent="0.2">
      <c r="C15" s="744"/>
      <c r="D15" s="744"/>
      <c r="E15" s="744"/>
      <c r="F15" s="744"/>
      <c r="G15" s="745"/>
      <c r="H15" s="746"/>
      <c r="I15" s="892"/>
      <c r="J15" s="742"/>
      <c r="K15" s="743"/>
      <c r="L15" s="742"/>
      <c r="M15" s="743">
        <f t="shared" si="1"/>
        <v>0</v>
      </c>
      <c r="N15" s="743"/>
      <c r="O15" s="370">
        <f t="shared" si="0"/>
        <v>0</v>
      </c>
      <c r="Q15" s="1264"/>
    </row>
    <row r="16" spans="2:17" ht="21.95" customHeight="1" x14ac:dyDescent="0.2">
      <c r="C16" s="744"/>
      <c r="D16" s="744"/>
      <c r="E16" s="744"/>
      <c r="F16" s="744"/>
      <c r="G16" s="745"/>
      <c r="H16" s="746"/>
      <c r="I16" s="892"/>
      <c r="J16" s="742"/>
      <c r="K16" s="743"/>
      <c r="L16" s="742"/>
      <c r="M16" s="743">
        <f t="shared" si="1"/>
        <v>0</v>
      </c>
      <c r="N16" s="743"/>
      <c r="O16" s="370">
        <f t="shared" si="0"/>
        <v>0</v>
      </c>
      <c r="Q16" s="1264"/>
    </row>
    <row r="17" spans="2:17" ht="21.95" customHeight="1" x14ac:dyDescent="0.2">
      <c r="C17" s="744"/>
      <c r="D17" s="744"/>
      <c r="E17" s="744"/>
      <c r="F17" s="744"/>
      <c r="G17" s="745"/>
      <c r="H17" s="746"/>
      <c r="I17" s="892"/>
      <c r="J17" s="742"/>
      <c r="K17" s="743"/>
      <c r="L17" s="742"/>
      <c r="M17" s="743">
        <f t="shared" si="1"/>
        <v>0</v>
      </c>
      <c r="N17" s="743"/>
      <c r="O17" s="370">
        <f t="shared" si="0"/>
        <v>0</v>
      </c>
      <c r="Q17" s="1264"/>
    </row>
    <row r="18" spans="2:17" ht="21.95" customHeight="1" x14ac:dyDescent="0.2">
      <c r="C18" s="744"/>
      <c r="D18" s="744"/>
      <c r="E18" s="744"/>
      <c r="F18" s="744"/>
      <c r="G18" s="745"/>
      <c r="H18" s="746"/>
      <c r="I18" s="892"/>
      <c r="J18" s="742"/>
      <c r="K18" s="743"/>
      <c r="L18" s="742"/>
      <c r="M18" s="743">
        <f t="shared" si="1"/>
        <v>0</v>
      </c>
      <c r="N18" s="743"/>
      <c r="O18" s="370">
        <f t="shared" si="0"/>
        <v>0</v>
      </c>
      <c r="Q18" s="1264"/>
    </row>
    <row r="19" spans="2:17" ht="21.95" customHeight="1" x14ac:dyDescent="0.2">
      <c r="C19" s="744"/>
      <c r="D19" s="744"/>
      <c r="E19" s="744"/>
      <c r="F19" s="744"/>
      <c r="G19" s="745"/>
      <c r="H19" s="746"/>
      <c r="I19" s="892"/>
      <c r="J19" s="742"/>
      <c r="K19" s="743"/>
      <c r="L19" s="742"/>
      <c r="M19" s="743">
        <f t="shared" si="1"/>
        <v>0</v>
      </c>
      <c r="N19" s="743"/>
      <c r="O19" s="370">
        <f t="shared" si="0"/>
        <v>0</v>
      </c>
      <c r="Q19" s="1265"/>
    </row>
    <row r="20" spans="2:17" ht="21.95" customHeight="1" x14ac:dyDescent="0.2">
      <c r="C20" s="744"/>
      <c r="D20" s="744"/>
      <c r="E20" s="744"/>
      <c r="F20" s="744"/>
      <c r="G20" s="745"/>
      <c r="H20" s="746"/>
      <c r="I20" s="892"/>
      <c r="J20" s="742"/>
      <c r="K20" s="743"/>
      <c r="L20" s="742"/>
      <c r="M20" s="743">
        <f t="shared" si="1"/>
        <v>0</v>
      </c>
      <c r="N20" s="743"/>
      <c r="O20" s="370">
        <f t="shared" si="0"/>
        <v>0</v>
      </c>
      <c r="Q20" s="1264"/>
    </row>
    <row r="21" spans="2:17" ht="21.95" customHeight="1" x14ac:dyDescent="0.2">
      <c r="C21" s="744"/>
      <c r="D21" s="744"/>
      <c r="E21" s="744"/>
      <c r="F21" s="744"/>
      <c r="G21" s="745"/>
      <c r="H21" s="746"/>
      <c r="I21" s="892"/>
      <c r="J21" s="742"/>
      <c r="K21" s="743"/>
      <c r="L21" s="742"/>
      <c r="M21" s="743">
        <f t="shared" si="1"/>
        <v>0</v>
      </c>
      <c r="N21" s="743"/>
      <c r="O21" s="370">
        <f t="shared" si="0"/>
        <v>0</v>
      </c>
      <c r="Q21" s="1264"/>
    </row>
    <row r="22" spans="2:17" ht="21.95" customHeight="1" x14ac:dyDescent="0.2">
      <c r="C22" s="744"/>
      <c r="D22" s="744"/>
      <c r="E22" s="744"/>
      <c r="F22" s="744"/>
      <c r="G22" s="745"/>
      <c r="H22" s="746"/>
      <c r="I22" s="892"/>
      <c r="J22" s="742"/>
      <c r="K22" s="743"/>
      <c r="L22" s="742"/>
      <c r="M22" s="743">
        <f t="shared" si="1"/>
        <v>0</v>
      </c>
      <c r="N22" s="743"/>
      <c r="O22" s="370">
        <f t="shared" si="0"/>
        <v>0</v>
      </c>
      <c r="Q22" s="1264"/>
    </row>
    <row r="23" spans="2:17" ht="21.95" customHeight="1" x14ac:dyDescent="0.2">
      <c r="C23" s="744"/>
      <c r="D23" s="744"/>
      <c r="E23" s="744"/>
      <c r="F23" s="744"/>
      <c r="G23" s="745"/>
      <c r="H23" s="746"/>
      <c r="I23" s="892"/>
      <c r="J23" s="742"/>
      <c r="K23" s="743"/>
      <c r="L23" s="742"/>
      <c r="M23" s="743">
        <f t="shared" si="1"/>
        <v>0</v>
      </c>
      <c r="N23" s="743"/>
      <c r="O23" s="370">
        <f t="shared" si="0"/>
        <v>0</v>
      </c>
      <c r="Q23" s="1264"/>
    </row>
    <row r="24" spans="2:17" ht="21.95" customHeight="1" x14ac:dyDescent="0.2">
      <c r="C24" s="744"/>
      <c r="D24" s="744"/>
      <c r="E24" s="744"/>
      <c r="F24" s="744"/>
      <c r="G24" s="745"/>
      <c r="H24" s="746"/>
      <c r="I24" s="892"/>
      <c r="J24" s="742"/>
      <c r="K24" s="743"/>
      <c r="L24" s="742"/>
      <c r="M24" s="743">
        <f t="shared" si="1"/>
        <v>0</v>
      </c>
      <c r="N24" s="743"/>
      <c r="O24" s="370">
        <f t="shared" si="0"/>
        <v>0</v>
      </c>
      <c r="Q24" s="1264"/>
    </row>
    <row r="25" spans="2:17" ht="21.95" customHeight="1" x14ac:dyDescent="0.2">
      <c r="C25" s="744"/>
      <c r="D25" s="744"/>
      <c r="E25" s="744"/>
      <c r="F25" s="744"/>
      <c r="G25" s="745"/>
      <c r="H25" s="746"/>
      <c r="I25" s="892"/>
      <c r="J25" s="742"/>
      <c r="K25" s="743"/>
      <c r="L25" s="742"/>
      <c r="M25" s="743">
        <f t="shared" si="1"/>
        <v>0</v>
      </c>
      <c r="N25" s="743"/>
      <c r="O25" s="370">
        <f t="shared" si="0"/>
        <v>0</v>
      </c>
      <c r="Q25" s="1264"/>
    </row>
    <row r="26" spans="2:17" ht="21.95" customHeight="1" thickBot="1" x14ac:dyDescent="0.25">
      <c r="B26" s="2"/>
      <c r="C26" s="893"/>
      <c r="D26" s="893"/>
      <c r="E26" s="893"/>
      <c r="F26" s="893"/>
      <c r="G26" s="894"/>
      <c r="H26" s="895"/>
      <c r="I26" s="894"/>
      <c r="J26" s="897"/>
      <c r="K26" s="898"/>
      <c r="L26" s="897"/>
      <c r="M26" s="898">
        <f t="shared" si="1"/>
        <v>0</v>
      </c>
      <c r="N26" s="898"/>
      <c r="O26" s="525">
        <f t="shared" si="0"/>
        <v>0</v>
      </c>
      <c r="Q26" s="1264"/>
    </row>
    <row r="27" spans="2:17" ht="16.5" thickTop="1" x14ac:dyDescent="0.25">
      <c r="B27" s="1617" t="s">
        <v>3465</v>
      </c>
      <c r="C27" s="1617"/>
      <c r="D27" s="1617"/>
      <c r="E27" s="1617"/>
      <c r="F27" s="1617"/>
      <c r="G27" s="1617"/>
      <c r="H27" s="1617"/>
      <c r="I27" s="1617"/>
      <c r="J27" s="1617"/>
      <c r="K27" s="1617"/>
      <c r="L27" s="1617"/>
      <c r="M27" s="1617"/>
      <c r="N27" s="1617"/>
      <c r="O27" s="1617"/>
      <c r="Q27" s="669"/>
    </row>
    <row r="28" spans="2:17" x14ac:dyDescent="0.2">
      <c r="Q28" s="669"/>
    </row>
    <row r="29" spans="2:17" x14ac:dyDescent="0.2">
      <c r="Q29" s="669"/>
    </row>
    <row r="30" spans="2:17" x14ac:dyDescent="0.2">
      <c r="J30" s="29">
        <f>SUM(J7:J26)</f>
        <v>0</v>
      </c>
      <c r="Q30" s="669"/>
    </row>
    <row r="31" spans="2:17" x14ac:dyDescent="0.2">
      <c r="Q31" s="669"/>
    </row>
    <row r="32" spans="2:17" x14ac:dyDescent="0.2">
      <c r="Q32" s="669"/>
    </row>
    <row r="33" spans="17:17" x14ac:dyDescent="0.2">
      <c r="Q33" s="669"/>
    </row>
    <row r="34" spans="17:17" x14ac:dyDescent="0.2">
      <c r="Q34" s="251"/>
    </row>
    <row r="35" spans="17:17" x14ac:dyDescent="0.2">
      <c r="Q35" s="251"/>
    </row>
  </sheetData>
  <sheetProtection algorithmName="SHA-512" hashValue="kd4Z7p5rtDGDbXBPWvpmb9Ln6wR0PAnnJLFp50Uw3FP1zmFYVw0N7o1lPyoa/f0trJrPqQ8In0rwsyfBH/mS9w==" saltValue="D4OlcsPbD+B1ZuIZdR1d1g==" spinCount="100000" sheet="1" objects="1" scenarios="1"/>
  <mergeCells count="7">
    <mergeCell ref="B27:O27"/>
    <mergeCell ref="B2:O2"/>
    <mergeCell ref="J3:M3"/>
    <mergeCell ref="N3:O3"/>
    <mergeCell ref="H7:I7"/>
    <mergeCell ref="H8:I8"/>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000-000000000000}">
          <x14:formula1>
            <xm:f>'Appropriation Codes'!$B$2:$B$25</xm:f>
          </x14:formula1>
          <xm:sqref>H9:H26</xm:sqref>
        </x14:dataValidation>
      </x14:dataValidations>
    </ext>
  </extLst>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70"/>
  <dimension ref="B2:Q46"/>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668" t="s">
        <v>3375</v>
      </c>
    </row>
    <row r="6" spans="2:17" ht="15" customHeight="1" thickBot="1" x14ac:dyDescent="0.3">
      <c r="B6" s="2"/>
      <c r="C6" s="3"/>
      <c r="D6" s="3"/>
      <c r="E6" s="2"/>
      <c r="F6" s="2"/>
      <c r="G6" s="8"/>
      <c r="H6" s="188"/>
      <c r="I6" s="675"/>
      <c r="J6" s="27"/>
      <c r="K6" s="28"/>
      <c r="L6" s="27" t="s">
        <v>18</v>
      </c>
      <c r="M6" s="28" t="s">
        <v>25</v>
      </c>
      <c r="N6" s="28" t="s">
        <v>21</v>
      </c>
      <c r="O6" s="83"/>
      <c r="Q6" s="180"/>
    </row>
    <row r="7" spans="2:17" ht="21.95" customHeight="1" thickTop="1" x14ac:dyDescent="0.25">
      <c r="C7" s="100" t="s">
        <v>203</v>
      </c>
      <c r="D7" s="14"/>
      <c r="E7" s="14"/>
      <c r="F7" s="14"/>
      <c r="G7" s="90"/>
      <c r="H7" s="1717" t="s">
        <v>200</v>
      </c>
      <c r="I7" s="1718"/>
      <c r="J7" s="94" t="s">
        <v>201</v>
      </c>
      <c r="K7" s="95" t="s">
        <v>201</v>
      </c>
      <c r="L7" s="94" t="s">
        <v>201</v>
      </c>
      <c r="M7" s="95" t="s">
        <v>201</v>
      </c>
      <c r="N7" s="95" t="s">
        <v>201</v>
      </c>
      <c r="O7" s="96" t="s">
        <v>201</v>
      </c>
      <c r="Q7" s="669"/>
    </row>
    <row r="8" spans="2:17" ht="21.95" customHeight="1" x14ac:dyDescent="0.2">
      <c r="C8" s="744"/>
      <c r="D8" s="744"/>
      <c r="E8" s="744"/>
      <c r="F8" s="744"/>
      <c r="G8" s="745"/>
      <c r="H8" s="746"/>
      <c r="I8" s="892"/>
      <c r="J8" s="742"/>
      <c r="K8" s="743"/>
      <c r="L8" s="742"/>
      <c r="M8" s="743">
        <f>+K8</f>
        <v>0</v>
      </c>
      <c r="N8" s="743"/>
      <c r="O8" s="370">
        <f t="shared" ref="O8:O26" si="0">IFERROR(IF(+M8-N8&gt;=0,M8-N8,"*")-Q8,"*")</f>
        <v>0</v>
      </c>
      <c r="Q8" s="1218"/>
    </row>
    <row r="9" spans="2:17" ht="21.95" customHeight="1" x14ac:dyDescent="0.2">
      <c r="C9" s="744" t="s">
        <v>6322</v>
      </c>
      <c r="D9" s="744"/>
      <c r="E9" s="744"/>
      <c r="F9" s="744"/>
      <c r="G9" s="745"/>
      <c r="H9" s="746"/>
      <c r="I9" s="892"/>
      <c r="J9" s="742"/>
      <c r="K9" s="743"/>
      <c r="L9" s="742"/>
      <c r="M9" s="743">
        <f t="shared" ref="M9:M25" si="1">+K9</f>
        <v>0</v>
      </c>
      <c r="N9" s="743"/>
      <c r="O9" s="370">
        <f t="shared" si="0"/>
        <v>0</v>
      </c>
      <c r="Q9" s="899"/>
    </row>
    <row r="10" spans="2:17" ht="21.95" customHeight="1" x14ac:dyDescent="0.2">
      <c r="C10" s="744"/>
      <c r="D10" s="744" t="s">
        <v>6272</v>
      </c>
      <c r="E10" s="744"/>
      <c r="F10" s="744"/>
      <c r="G10" s="745"/>
      <c r="H10" s="746" t="s">
        <v>5080</v>
      </c>
      <c r="I10" s="892">
        <v>2</v>
      </c>
      <c r="J10" s="742">
        <v>500</v>
      </c>
      <c r="K10" s="743">
        <v>500</v>
      </c>
      <c r="L10" s="742"/>
      <c r="M10" s="743">
        <f t="shared" si="1"/>
        <v>500</v>
      </c>
      <c r="N10" s="743"/>
      <c r="O10" s="370">
        <f t="shared" si="0"/>
        <v>500</v>
      </c>
      <c r="Q10" s="899"/>
    </row>
    <row r="11" spans="2:17" ht="21.95" customHeight="1" x14ac:dyDescent="0.2">
      <c r="C11" s="744"/>
      <c r="D11" s="744"/>
      <c r="E11" s="744"/>
      <c r="F11" s="744"/>
      <c r="G11" s="745"/>
      <c r="H11" s="746"/>
      <c r="I11" s="892"/>
      <c r="J11" s="742"/>
      <c r="K11" s="743"/>
      <c r="L11" s="742"/>
      <c r="M11" s="743">
        <f t="shared" si="1"/>
        <v>0</v>
      </c>
      <c r="N11" s="743"/>
      <c r="O11" s="370">
        <f t="shared" si="0"/>
        <v>0</v>
      </c>
      <c r="Q11" s="899"/>
    </row>
    <row r="12" spans="2:17" ht="21.95" customHeight="1" x14ac:dyDescent="0.2">
      <c r="C12" s="744"/>
      <c r="D12" s="744"/>
      <c r="E12" s="744"/>
      <c r="F12" s="744"/>
      <c r="G12" s="745"/>
      <c r="H12" s="746"/>
      <c r="I12" s="892"/>
      <c r="J12" s="742"/>
      <c r="K12" s="743"/>
      <c r="L12" s="742"/>
      <c r="M12" s="743">
        <f t="shared" si="1"/>
        <v>0</v>
      </c>
      <c r="N12" s="743"/>
      <c r="O12" s="370">
        <f t="shared" si="0"/>
        <v>0</v>
      </c>
      <c r="Q12" s="900"/>
    </row>
    <row r="13" spans="2:17" ht="21.95" customHeight="1" x14ac:dyDescent="0.2">
      <c r="C13" s="744"/>
      <c r="D13" s="744"/>
      <c r="E13" s="744"/>
      <c r="F13" s="744"/>
      <c r="G13" s="745"/>
      <c r="H13" s="746"/>
      <c r="I13" s="892"/>
      <c r="J13" s="742"/>
      <c r="K13" s="743"/>
      <c r="L13" s="742"/>
      <c r="M13" s="743">
        <f t="shared" si="1"/>
        <v>0</v>
      </c>
      <c r="N13" s="743"/>
      <c r="O13" s="370">
        <f t="shared" si="0"/>
        <v>0</v>
      </c>
      <c r="Q13" s="899"/>
    </row>
    <row r="14" spans="2:17" ht="21.95" customHeight="1" x14ac:dyDescent="0.2">
      <c r="C14" s="744"/>
      <c r="D14" s="744"/>
      <c r="E14" s="744"/>
      <c r="F14" s="744"/>
      <c r="G14" s="745"/>
      <c r="H14" s="746"/>
      <c r="I14" s="892"/>
      <c r="J14" s="742"/>
      <c r="K14" s="743"/>
      <c r="L14" s="742"/>
      <c r="M14" s="743">
        <f t="shared" si="1"/>
        <v>0</v>
      </c>
      <c r="N14" s="743"/>
      <c r="O14" s="370">
        <f t="shared" si="0"/>
        <v>0</v>
      </c>
      <c r="Q14" s="899"/>
    </row>
    <row r="15" spans="2:17" ht="21.95" customHeight="1" x14ac:dyDescent="0.2">
      <c r="C15" s="744"/>
      <c r="D15" s="744"/>
      <c r="E15" s="744"/>
      <c r="F15" s="744"/>
      <c r="G15" s="745"/>
      <c r="H15" s="746"/>
      <c r="I15" s="892"/>
      <c r="J15" s="742"/>
      <c r="K15" s="743"/>
      <c r="L15" s="742"/>
      <c r="M15" s="743">
        <f t="shared" si="1"/>
        <v>0</v>
      </c>
      <c r="N15" s="743"/>
      <c r="O15" s="370">
        <f t="shared" si="0"/>
        <v>0</v>
      </c>
      <c r="Q15" s="899"/>
    </row>
    <row r="16" spans="2:17" ht="21.95" customHeight="1" x14ac:dyDescent="0.2">
      <c r="C16" s="744"/>
      <c r="D16" s="744"/>
      <c r="E16" s="744"/>
      <c r="F16" s="744"/>
      <c r="G16" s="745"/>
      <c r="H16" s="746"/>
      <c r="I16" s="892"/>
      <c r="J16" s="742"/>
      <c r="K16" s="743"/>
      <c r="L16" s="742"/>
      <c r="M16" s="743">
        <f t="shared" si="1"/>
        <v>0</v>
      </c>
      <c r="N16" s="743"/>
      <c r="O16" s="370">
        <f t="shared" si="0"/>
        <v>0</v>
      </c>
      <c r="Q16" s="899"/>
    </row>
    <row r="17" spans="2:17" ht="21.95" customHeight="1" x14ac:dyDescent="0.2">
      <c r="C17" s="744"/>
      <c r="D17" s="744"/>
      <c r="E17" s="744"/>
      <c r="F17" s="744"/>
      <c r="G17" s="745"/>
      <c r="H17" s="746"/>
      <c r="I17" s="892"/>
      <c r="J17" s="742"/>
      <c r="K17" s="743"/>
      <c r="L17" s="742"/>
      <c r="M17" s="743">
        <f t="shared" si="1"/>
        <v>0</v>
      </c>
      <c r="N17" s="743"/>
      <c r="O17" s="370">
        <f t="shared" si="0"/>
        <v>0</v>
      </c>
      <c r="Q17" s="899"/>
    </row>
    <row r="18" spans="2:17" ht="21.95" customHeight="1" x14ac:dyDescent="0.2">
      <c r="C18" s="744"/>
      <c r="D18" s="744"/>
      <c r="E18" s="744"/>
      <c r="F18" s="744"/>
      <c r="G18" s="745"/>
      <c r="H18" s="746"/>
      <c r="I18" s="892"/>
      <c r="J18" s="742"/>
      <c r="K18" s="743"/>
      <c r="L18" s="742"/>
      <c r="M18" s="743">
        <f t="shared" si="1"/>
        <v>0</v>
      </c>
      <c r="N18" s="743"/>
      <c r="O18" s="370">
        <f t="shared" si="0"/>
        <v>0</v>
      </c>
      <c r="Q18" s="899"/>
    </row>
    <row r="19" spans="2:17" ht="21.95" customHeight="1" x14ac:dyDescent="0.2">
      <c r="C19" s="744"/>
      <c r="D19" s="744"/>
      <c r="E19" s="744"/>
      <c r="F19" s="744"/>
      <c r="G19" s="745"/>
      <c r="H19" s="746"/>
      <c r="I19" s="892"/>
      <c r="J19" s="742"/>
      <c r="K19" s="743"/>
      <c r="L19" s="742"/>
      <c r="M19" s="743">
        <f t="shared" si="1"/>
        <v>0</v>
      </c>
      <c r="N19" s="743"/>
      <c r="O19" s="370">
        <f t="shared" si="0"/>
        <v>0</v>
      </c>
      <c r="Q19" s="899"/>
    </row>
    <row r="20" spans="2:17" ht="21.95" customHeight="1" x14ac:dyDescent="0.2">
      <c r="C20" s="744"/>
      <c r="D20" s="744"/>
      <c r="E20" s="744"/>
      <c r="F20" s="744"/>
      <c r="G20" s="745"/>
      <c r="H20" s="746"/>
      <c r="I20" s="892"/>
      <c r="J20" s="742"/>
      <c r="K20" s="743"/>
      <c r="L20" s="742"/>
      <c r="M20" s="743">
        <f t="shared" si="1"/>
        <v>0</v>
      </c>
      <c r="N20" s="743"/>
      <c r="O20" s="370">
        <f t="shared" si="0"/>
        <v>0</v>
      </c>
      <c r="Q20" s="899"/>
    </row>
    <row r="21" spans="2:17" ht="21.95" customHeight="1" x14ac:dyDescent="0.2">
      <c r="C21" s="744"/>
      <c r="D21" s="744"/>
      <c r="E21" s="910"/>
      <c r="F21" s="744"/>
      <c r="G21" s="745"/>
      <c r="H21" s="746"/>
      <c r="I21" s="892"/>
      <c r="J21" s="742"/>
      <c r="K21" s="743"/>
      <c r="L21" s="742"/>
      <c r="M21" s="743">
        <f t="shared" si="1"/>
        <v>0</v>
      </c>
      <c r="N21" s="743"/>
      <c r="O21" s="370">
        <f t="shared" si="0"/>
        <v>0</v>
      </c>
      <c r="Q21" s="899"/>
    </row>
    <row r="22" spans="2:17" ht="21.95" customHeight="1" x14ac:dyDescent="0.2">
      <c r="C22" s="744"/>
      <c r="D22" s="910"/>
      <c r="E22" s="910"/>
      <c r="F22" s="744"/>
      <c r="G22" s="745"/>
      <c r="H22" s="746"/>
      <c r="I22" s="892"/>
      <c r="J22" s="742"/>
      <c r="K22" s="743"/>
      <c r="L22" s="742"/>
      <c r="M22" s="743">
        <f t="shared" si="1"/>
        <v>0</v>
      </c>
      <c r="N22" s="743"/>
      <c r="O22" s="370">
        <f t="shared" si="0"/>
        <v>0</v>
      </c>
      <c r="Q22" s="899"/>
    </row>
    <row r="23" spans="2:17" ht="21.75" customHeight="1" x14ac:dyDescent="0.2">
      <c r="C23" s="744"/>
      <c r="D23" s="744"/>
      <c r="E23" s="744"/>
      <c r="F23" s="912"/>
      <c r="G23" s="913"/>
      <c r="H23" s="1055"/>
      <c r="I23" s="892"/>
      <c r="J23" s="742"/>
      <c r="K23" s="743"/>
      <c r="L23" s="742"/>
      <c r="M23" s="743">
        <f t="shared" si="1"/>
        <v>0</v>
      </c>
      <c r="N23" s="743"/>
      <c r="O23" s="370">
        <f t="shared" si="0"/>
        <v>0</v>
      </c>
      <c r="Q23" s="899"/>
    </row>
    <row r="24" spans="2:17" ht="21.75" customHeight="1" x14ac:dyDescent="0.2">
      <c r="C24" s="744"/>
      <c r="D24" s="744"/>
      <c r="E24" s="744"/>
      <c r="F24" s="910"/>
      <c r="G24" s="914"/>
      <c r="H24" s="1056"/>
      <c r="I24" s="745"/>
      <c r="J24" s="742"/>
      <c r="K24" s="743"/>
      <c r="L24" s="742"/>
      <c r="M24" s="743">
        <f t="shared" si="1"/>
        <v>0</v>
      </c>
      <c r="N24" s="743"/>
      <c r="O24" s="370">
        <f t="shared" si="0"/>
        <v>0</v>
      </c>
      <c r="Q24" s="899"/>
    </row>
    <row r="25" spans="2:17" ht="21.95" customHeight="1" x14ac:dyDescent="0.2">
      <c r="C25" s="817"/>
      <c r="D25" s="817"/>
      <c r="E25" s="817"/>
      <c r="F25" s="821"/>
      <c r="G25" s="915"/>
      <c r="H25" s="1057"/>
      <c r="I25" s="892"/>
      <c r="J25" s="742"/>
      <c r="K25" s="743"/>
      <c r="L25" s="742"/>
      <c r="M25" s="743">
        <f t="shared" si="1"/>
        <v>0</v>
      </c>
      <c r="N25" s="743"/>
      <c r="O25" s="370">
        <f>IFERROR(IF(+M25-N25&gt;=0,M25-N25,"*")-Q25,"*")</f>
        <v>0</v>
      </c>
      <c r="Q25" s="899"/>
    </row>
    <row r="26" spans="2:17" ht="21.95" customHeight="1" thickBot="1" x14ac:dyDescent="0.25">
      <c r="C26" s="893"/>
      <c r="D26" s="893"/>
      <c r="E26" s="893"/>
      <c r="F26" s="916"/>
      <c r="G26" s="917"/>
      <c r="H26" s="1058"/>
      <c r="I26" s="896"/>
      <c r="J26" s="898"/>
      <c r="K26" s="898"/>
      <c r="L26" s="898"/>
      <c r="M26" s="898">
        <f>+K26</f>
        <v>0</v>
      </c>
      <c r="N26" s="898"/>
      <c r="O26" s="525">
        <f t="shared" si="0"/>
        <v>0</v>
      </c>
      <c r="Q26" s="899"/>
    </row>
    <row r="27" spans="2:17" ht="16.5" thickTop="1" x14ac:dyDescent="0.25">
      <c r="B27" s="1617" t="s">
        <v>202</v>
      </c>
      <c r="C27" s="1617"/>
      <c r="D27" s="1617"/>
      <c r="E27" s="1617"/>
      <c r="F27" s="1617"/>
      <c r="G27" s="1617"/>
      <c r="H27" s="1617"/>
      <c r="I27" s="1617"/>
      <c r="J27" s="1617"/>
      <c r="K27" s="1617"/>
      <c r="L27" s="1617"/>
      <c r="M27" s="1617"/>
      <c r="N27" s="1617"/>
      <c r="O27" s="1617"/>
    </row>
    <row r="30" spans="2:17" x14ac:dyDescent="0.2">
      <c r="J30" s="29">
        <f>SUM(J7:J20)</f>
        <v>500</v>
      </c>
      <c r="K30" s="29"/>
      <c r="M30" s="29">
        <f>+M23-K23</f>
        <v>0</v>
      </c>
    </row>
    <row r="32" spans="2:17" x14ac:dyDescent="0.2">
      <c r="J32" s="29"/>
      <c r="K32" s="29"/>
      <c r="O32" s="29"/>
    </row>
    <row r="33" spans="10:11" x14ac:dyDescent="0.2">
      <c r="J33" s="518"/>
      <c r="K33" s="518"/>
    </row>
    <row r="34" spans="10:11" x14ac:dyDescent="0.2">
      <c r="J34" s="29"/>
    </row>
    <row r="35" spans="10:11" x14ac:dyDescent="0.2">
      <c r="J35" s="180"/>
      <c r="K35" s="180"/>
    </row>
    <row r="36" spans="10:11" x14ac:dyDescent="0.2">
      <c r="J36" s="180"/>
      <c r="K36" s="180"/>
    </row>
    <row r="37" spans="10:11" x14ac:dyDescent="0.2">
      <c r="J37" s="180"/>
      <c r="K37" s="180"/>
    </row>
    <row r="38" spans="10:11" x14ac:dyDescent="0.2">
      <c r="J38" s="180"/>
      <c r="K38" s="180"/>
    </row>
    <row r="39" spans="10:11" x14ac:dyDescent="0.2">
      <c r="J39" s="180"/>
      <c r="K39" s="180"/>
    </row>
    <row r="40" spans="10:11" x14ac:dyDescent="0.2">
      <c r="J40" s="180"/>
      <c r="K40" s="180"/>
    </row>
    <row r="41" spans="10:11" x14ac:dyDescent="0.2">
      <c r="J41" s="180"/>
      <c r="K41" s="180"/>
    </row>
    <row r="42" spans="10:11" x14ac:dyDescent="0.2">
      <c r="J42" s="180"/>
      <c r="K42" s="180"/>
    </row>
    <row r="43" spans="10:11" x14ac:dyDescent="0.2">
      <c r="J43" s="180"/>
      <c r="K43" s="180"/>
    </row>
    <row r="44" spans="10:11" x14ac:dyDescent="0.2">
      <c r="J44" s="29"/>
    </row>
    <row r="45" spans="10:11" x14ac:dyDescent="0.2">
      <c r="J45" s="29"/>
    </row>
    <row r="46" spans="10:11" x14ac:dyDescent="0.2">
      <c r="J46" s="29"/>
    </row>
  </sheetData>
  <sheetProtection algorithmName="SHA-512" hashValue="fhhAdrMIRx1lNWq9STBRtclpJqYFUbIP6HIWVgob1bB3agdJ3DbbFnHY1/P7Y2+nGK4sEa4Lovkr3tt34qHHaA==" saltValue="Oa3tWciehwAEJEkpKwKe7A==" spinCount="100000" sheet="1" objects="1" scenarios="1"/>
  <mergeCells count="6">
    <mergeCell ref="B2:O2"/>
    <mergeCell ref="J3:M3"/>
    <mergeCell ref="N3:O3"/>
    <mergeCell ref="B27:O27"/>
    <mergeCell ref="H7:I7"/>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100-000000000000}">
          <x14:formula1>
            <xm:f>'Appropriation Codes'!$C$2:$C$19</xm:f>
          </x14:formula1>
          <xm:sqref>H8:H26</xm:sqref>
        </x14:dataValidation>
      </x14:dataValidations>
    </ext>
  </extLst>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71"/>
  <dimension ref="B2:Q46"/>
  <sheetViews>
    <sheetView topLeftCell="A4" zoomScaleNormal="100" workbookViewId="0">
      <selection activeCell="Q22" sqref="Q22"/>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2" t="s">
        <v>186</v>
      </c>
      <c r="F5" s="63"/>
      <c r="G5" s="7"/>
      <c r="H5" s="184"/>
      <c r="I5" s="674"/>
      <c r="J5" s="24" t="str">
        <f>"for  "&amp;'Key Inputs'!E34</f>
        <v>for  2021</v>
      </c>
      <c r="K5" s="26" t="str">
        <f>"for  "&amp;'Key Inputs'!E34-1</f>
        <v>for  2020</v>
      </c>
      <c r="L5" s="24" t="s">
        <v>19</v>
      </c>
      <c r="M5" s="26" t="s">
        <v>24</v>
      </c>
      <c r="N5" s="26" t="s">
        <v>20</v>
      </c>
      <c r="O5" s="82" t="s">
        <v>22</v>
      </c>
      <c r="Q5" s="417"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5">
      <c r="C7" s="100" t="s">
        <v>203</v>
      </c>
      <c r="D7" s="14"/>
      <c r="E7" s="14"/>
      <c r="F7" s="14"/>
      <c r="G7" s="90"/>
      <c r="H7" s="1717" t="s">
        <v>200</v>
      </c>
      <c r="I7" s="1718"/>
      <c r="J7" s="94" t="s">
        <v>201</v>
      </c>
      <c r="K7" s="95" t="s">
        <v>201</v>
      </c>
      <c r="L7" s="94" t="s">
        <v>201</v>
      </c>
      <c r="M7" s="95" t="s">
        <v>201</v>
      </c>
      <c r="N7" s="95" t="s">
        <v>201</v>
      </c>
      <c r="O7" s="96" t="s">
        <v>201</v>
      </c>
    </row>
    <row r="8" spans="2:17" ht="21.95" customHeight="1" x14ac:dyDescent="0.2">
      <c r="C8" s="744"/>
      <c r="D8" s="744"/>
      <c r="E8" s="744"/>
      <c r="F8" s="744"/>
      <c r="G8" s="745"/>
      <c r="H8" s="746"/>
      <c r="I8" s="892"/>
      <c r="J8" s="742"/>
      <c r="K8" s="743"/>
      <c r="L8" s="742"/>
      <c r="M8" s="743">
        <f>+K8</f>
        <v>0</v>
      </c>
      <c r="N8" s="743"/>
      <c r="O8" s="370">
        <f t="shared" ref="O8:O20" si="0">IFERROR(IF(+M8-N8&gt;=0,M8-N8,"*")-Q8,"*")</f>
        <v>0</v>
      </c>
      <c r="Q8" s="1261"/>
    </row>
    <row r="9" spans="2:17" ht="21.95" customHeight="1" x14ac:dyDescent="0.2">
      <c r="C9" s="744"/>
      <c r="D9" s="744"/>
      <c r="E9" s="744"/>
      <c r="F9" s="744"/>
      <c r="G9" s="745"/>
      <c r="H9" s="746"/>
      <c r="I9" s="892"/>
      <c r="J9" s="742"/>
      <c r="K9" s="743"/>
      <c r="L9" s="742"/>
      <c r="M9" s="743">
        <f>+K9</f>
        <v>0</v>
      </c>
      <c r="N9" s="743"/>
      <c r="O9" s="370">
        <f t="shared" si="0"/>
        <v>0</v>
      </c>
      <c r="Q9" s="1261"/>
    </row>
    <row r="10" spans="2:17" ht="21.95" customHeight="1" x14ac:dyDescent="0.2">
      <c r="C10" s="744"/>
      <c r="D10" s="744"/>
      <c r="E10" s="744"/>
      <c r="F10" s="744"/>
      <c r="G10" s="745"/>
      <c r="H10" s="746"/>
      <c r="I10" s="892"/>
      <c r="J10" s="742"/>
      <c r="K10" s="743"/>
      <c r="L10" s="742"/>
      <c r="M10" s="865">
        <f>+K10</f>
        <v>0</v>
      </c>
      <c r="N10" s="743"/>
      <c r="O10" s="370">
        <f t="shared" si="0"/>
        <v>0</v>
      </c>
      <c r="Q10" s="1261"/>
    </row>
    <row r="11" spans="2:17" ht="21.95" customHeight="1" x14ac:dyDescent="0.2">
      <c r="C11" s="744"/>
      <c r="D11" s="744"/>
      <c r="E11" s="744"/>
      <c r="F11" s="744"/>
      <c r="G11" s="745"/>
      <c r="H11" s="746"/>
      <c r="I11" s="892"/>
      <c r="J11" s="742"/>
      <c r="K11" s="743"/>
      <c r="L11" s="742"/>
      <c r="M11" s="865">
        <f>+K11</f>
        <v>0</v>
      </c>
      <c r="N11" s="743"/>
      <c r="O11" s="370">
        <f t="shared" si="0"/>
        <v>0</v>
      </c>
      <c r="Q11" s="1261"/>
    </row>
    <row r="12" spans="2:17" ht="21.95" customHeight="1" x14ac:dyDescent="0.2">
      <c r="C12" s="744"/>
      <c r="D12" s="744"/>
      <c r="E12" s="744"/>
      <c r="F12" s="744"/>
      <c r="G12" s="745"/>
      <c r="H12" s="746"/>
      <c r="I12" s="892"/>
      <c r="J12" s="742"/>
      <c r="K12" s="743"/>
      <c r="L12" s="742"/>
      <c r="M12" s="743">
        <f>+K12</f>
        <v>0</v>
      </c>
      <c r="N12" s="743"/>
      <c r="O12" s="370">
        <f t="shared" si="0"/>
        <v>0</v>
      </c>
      <c r="Q12" s="1261"/>
    </row>
    <row r="13" spans="2:17" ht="21.95" customHeight="1" x14ac:dyDescent="0.2">
      <c r="C13" s="744"/>
      <c r="D13" s="744"/>
      <c r="E13" s="744"/>
      <c r="F13" s="744"/>
      <c r="G13" s="745"/>
      <c r="H13" s="746"/>
      <c r="I13" s="892"/>
      <c r="J13" s="742"/>
      <c r="K13" s="743"/>
      <c r="L13" s="742"/>
      <c r="M13" s="743">
        <f t="shared" ref="M13:M22" si="1">+K13</f>
        <v>0</v>
      </c>
      <c r="N13" s="743"/>
      <c r="O13" s="370">
        <f t="shared" si="0"/>
        <v>0</v>
      </c>
      <c r="Q13" s="1261"/>
    </row>
    <row r="14" spans="2:17" ht="21.95" customHeight="1" x14ac:dyDescent="0.2">
      <c r="C14" s="744"/>
      <c r="D14" s="744"/>
      <c r="E14" s="744"/>
      <c r="F14" s="744"/>
      <c r="G14" s="745"/>
      <c r="H14" s="746"/>
      <c r="I14" s="892"/>
      <c r="J14" s="742"/>
      <c r="K14" s="743"/>
      <c r="L14" s="742"/>
      <c r="M14" s="743">
        <f t="shared" si="1"/>
        <v>0</v>
      </c>
      <c r="N14" s="743"/>
      <c r="O14" s="370">
        <f t="shared" si="0"/>
        <v>0</v>
      </c>
      <c r="Q14" s="1261"/>
    </row>
    <row r="15" spans="2:17" ht="21.95" customHeight="1" x14ac:dyDescent="0.2">
      <c r="C15" s="744"/>
      <c r="D15" s="744"/>
      <c r="E15" s="744"/>
      <c r="F15" s="744"/>
      <c r="G15" s="745"/>
      <c r="H15" s="746"/>
      <c r="I15" s="892"/>
      <c r="J15" s="742"/>
      <c r="K15" s="743"/>
      <c r="L15" s="742"/>
      <c r="M15" s="743">
        <f t="shared" si="1"/>
        <v>0</v>
      </c>
      <c r="N15" s="743"/>
      <c r="O15" s="370">
        <f t="shared" si="0"/>
        <v>0</v>
      </c>
      <c r="Q15" s="1261"/>
    </row>
    <row r="16" spans="2:17" ht="21.95" customHeight="1" x14ac:dyDescent="0.2">
      <c r="C16" s="744"/>
      <c r="D16" s="744"/>
      <c r="E16" s="744"/>
      <c r="F16" s="744"/>
      <c r="G16" s="745"/>
      <c r="H16" s="746"/>
      <c r="I16" s="892"/>
      <c r="J16" s="742"/>
      <c r="K16" s="743"/>
      <c r="L16" s="742"/>
      <c r="M16" s="743">
        <f t="shared" si="1"/>
        <v>0</v>
      </c>
      <c r="N16" s="743"/>
      <c r="O16" s="370">
        <f t="shared" si="0"/>
        <v>0</v>
      </c>
      <c r="Q16" s="1261"/>
    </row>
    <row r="17" spans="2:17" ht="21.95" customHeight="1" x14ac:dyDescent="0.2">
      <c r="C17" s="744"/>
      <c r="D17" s="744"/>
      <c r="E17" s="744"/>
      <c r="F17" s="744"/>
      <c r="G17" s="745"/>
      <c r="H17" s="746"/>
      <c r="I17" s="892"/>
      <c r="J17" s="742"/>
      <c r="K17" s="743"/>
      <c r="L17" s="742"/>
      <c r="M17" s="743">
        <f t="shared" si="1"/>
        <v>0</v>
      </c>
      <c r="N17" s="743"/>
      <c r="O17" s="370">
        <f t="shared" si="0"/>
        <v>0</v>
      </c>
      <c r="Q17" s="1261"/>
    </row>
    <row r="18" spans="2:17" ht="21.95" customHeight="1" x14ac:dyDescent="0.2">
      <c r="C18" s="744"/>
      <c r="D18" s="744"/>
      <c r="E18" s="744"/>
      <c r="F18" s="744"/>
      <c r="G18" s="745"/>
      <c r="H18" s="746"/>
      <c r="I18" s="892"/>
      <c r="J18" s="742"/>
      <c r="K18" s="743"/>
      <c r="L18" s="742"/>
      <c r="M18" s="743">
        <f t="shared" si="1"/>
        <v>0</v>
      </c>
      <c r="N18" s="743"/>
      <c r="O18" s="370">
        <f t="shared" si="0"/>
        <v>0</v>
      </c>
      <c r="Q18" s="1261"/>
    </row>
    <row r="19" spans="2:17" ht="21.95" customHeight="1" x14ac:dyDescent="0.2">
      <c r="C19" s="744"/>
      <c r="D19" s="744"/>
      <c r="E19" s="744"/>
      <c r="F19" s="744"/>
      <c r="G19" s="745"/>
      <c r="H19" s="746"/>
      <c r="I19" s="892"/>
      <c r="J19" s="742"/>
      <c r="K19" s="743"/>
      <c r="L19" s="742"/>
      <c r="M19" s="743">
        <f t="shared" si="1"/>
        <v>0</v>
      </c>
      <c r="N19" s="743"/>
      <c r="O19" s="370">
        <f t="shared" si="0"/>
        <v>0</v>
      </c>
      <c r="Q19" s="1261"/>
    </row>
    <row r="20" spans="2:17" ht="21.95" customHeight="1" thickBot="1" x14ac:dyDescent="0.25">
      <c r="C20" s="744"/>
      <c r="D20" s="744"/>
      <c r="E20" s="744"/>
      <c r="F20" s="744"/>
      <c r="G20" s="745"/>
      <c r="H20" s="746"/>
      <c r="I20" s="892"/>
      <c r="J20" s="905"/>
      <c r="K20" s="865"/>
      <c r="L20" s="905"/>
      <c r="M20" s="743">
        <f t="shared" si="1"/>
        <v>0</v>
      </c>
      <c r="N20" s="865"/>
      <c r="O20" s="370">
        <f t="shared" si="0"/>
        <v>0</v>
      </c>
      <c r="Q20" s="1261"/>
    </row>
    <row r="21" spans="2:17" ht="21.95" customHeight="1" thickTop="1" x14ac:dyDescent="0.2">
      <c r="C21" s="16"/>
      <c r="D21" s="16"/>
      <c r="E21" s="106" t="s">
        <v>210</v>
      </c>
      <c r="F21" s="16"/>
      <c r="G21" s="17"/>
      <c r="H21" s="626" t="s">
        <v>378</v>
      </c>
      <c r="I21" s="678"/>
      <c r="J21" s="115">
        <f>SUM('12:16a'!J7:J26)+SUM(J7:J20)+SUM('17'!J8:J26)</f>
        <v>388353.56999999995</v>
      </c>
      <c r="K21" s="115">
        <f>SUM('12:16a'!K7:K26)+SUM(K7:K20)+SUM('17'!K8:K26)</f>
        <v>377043.02999999997</v>
      </c>
      <c r="L21" s="115">
        <f>SUM('12:16a'!L7:L26)+SUM(L7:L20)+SUM('17'!L8:L26)</f>
        <v>0</v>
      </c>
      <c r="M21" s="115">
        <f>SUM('12:16a'!M7:M26)+SUM(M7:M20)+SUM('17'!M8:M26)</f>
        <v>377043.02999999997</v>
      </c>
      <c r="N21" s="115">
        <f>SUM('12:16a'!N7:N26)+SUM(N7:N20)+SUM('17'!N8:N26)</f>
        <v>285292.80000000005</v>
      </c>
      <c r="O21" s="117">
        <f>SUM('12:16a'!O7:O26)+SUM(O7:O20)+SUM('17'!O8:O26)</f>
        <v>91750.23</v>
      </c>
      <c r="Q21" s="1266"/>
    </row>
    <row r="22" spans="2:17" ht="21.95" customHeight="1" thickBot="1" x14ac:dyDescent="0.25">
      <c r="C22" s="16"/>
      <c r="D22" s="106" t="s">
        <v>207</v>
      </c>
      <c r="E22" s="106" t="s">
        <v>208</v>
      </c>
      <c r="F22" s="16"/>
      <c r="G22" s="17"/>
      <c r="H22" s="626" t="s">
        <v>534</v>
      </c>
      <c r="I22" s="892">
        <v>2</v>
      </c>
      <c r="J22" s="905"/>
      <c r="K22" s="865"/>
      <c r="L22" s="108" t="s">
        <v>201</v>
      </c>
      <c r="M22" s="865">
        <f t="shared" si="1"/>
        <v>0</v>
      </c>
      <c r="N22" s="865"/>
      <c r="O22" s="370">
        <f>IFERROR(IF(+M22-N22&gt;=0,M22-N22,"*")-Q22,"*")</f>
        <v>0</v>
      </c>
      <c r="Q22" s="1261"/>
    </row>
    <row r="23" spans="2:17" ht="27" customHeight="1" thickTop="1" thickBot="1" x14ac:dyDescent="0.25">
      <c r="C23" s="16"/>
      <c r="D23" s="16"/>
      <c r="E23" s="16"/>
      <c r="F23" s="657" t="s">
        <v>209</v>
      </c>
      <c r="G23" s="114"/>
      <c r="H23" s="626" t="s">
        <v>379</v>
      </c>
      <c r="I23" s="678"/>
      <c r="J23" s="112">
        <f>+J21+J22</f>
        <v>388353.56999999995</v>
      </c>
      <c r="K23" s="112">
        <f>+K21+K22</f>
        <v>377043.02999999997</v>
      </c>
      <c r="L23" s="112">
        <f>+L21</f>
        <v>0</v>
      </c>
      <c r="M23" s="112">
        <f>+M21+M22</f>
        <v>377043.02999999997</v>
      </c>
      <c r="N23" s="112">
        <f>+N21+N22</f>
        <v>285292.80000000005</v>
      </c>
      <c r="O23" s="113">
        <f>+O21+O22</f>
        <v>91750.23</v>
      </c>
    </row>
    <row r="24" spans="2:17" ht="18" customHeight="1" thickTop="1" x14ac:dyDescent="0.2">
      <c r="C24" s="104"/>
      <c r="D24" s="104"/>
      <c r="E24" s="104"/>
      <c r="F24" s="682" t="s">
        <v>206</v>
      </c>
      <c r="G24" s="105"/>
      <c r="H24" s="684"/>
      <c r="I24" s="17"/>
      <c r="J24" s="95" t="s">
        <v>201</v>
      </c>
      <c r="K24" s="95" t="s">
        <v>201</v>
      </c>
      <c r="L24" s="95" t="s">
        <v>201</v>
      </c>
      <c r="M24" s="95" t="s">
        <v>201</v>
      </c>
      <c r="N24" s="95" t="s">
        <v>201</v>
      </c>
      <c r="O24" s="96" t="s">
        <v>201</v>
      </c>
      <c r="Q24" s="251"/>
    </row>
    <row r="25" spans="2:17" ht="21.95" customHeight="1" x14ac:dyDescent="0.2">
      <c r="C25" s="87"/>
      <c r="D25" s="87"/>
      <c r="E25" s="87"/>
      <c r="F25" s="92" t="s">
        <v>205</v>
      </c>
      <c r="G25" s="103"/>
      <c r="H25" s="685" t="s">
        <v>379</v>
      </c>
      <c r="I25" s="681">
        <v>1</v>
      </c>
      <c r="J25" s="743">
        <f ca="1">SUMPRODUCT(SUMIF(INDIRECT("'"&amp;SeventeenA&amp;"'!$i$7:$i$26"),1,INDIRECT("'"&amp;SeventeenA&amp;"'!$j$7:$j$26")))+SUMIF($I$8:$I$20,1,$J$8:$J$20)+SUMIF('17'!$I$8:$I$26,1,'17'!$J$8:$J$26)</f>
        <v>52980.049999999996</v>
      </c>
      <c r="K25" s="743">
        <f ca="1">SUMPRODUCT(SUMIF(INDIRECT("'"&amp;SeventeenA&amp;"'!$i$7:$i$26"),1,INDIRECT("'"&amp;SeventeenA&amp;"'!$k$7:$k$26")))+SUMIF($I$7:$I$20,1,$K$7:$K$20)+SUMIF('17'!$I$8:$I$26,1,'17'!$K$8:$K$26)</f>
        <v>51458.68</v>
      </c>
      <c r="L25" s="743">
        <f ca="1">SUMPRODUCT(SUMIF(INDIRECT("'"&amp;SeventeenA&amp;"'!$i$7:$i$26"),1,INDIRECT("'"&amp;SeventeenA&amp;"'!$l$7:$l$26")))+SUMIF($I$8:$I$20,1,$L$8:$L$20)+SUMIF('17'!$I$8:$I$26,1,'17'!$L$8:$L$26)</f>
        <v>0</v>
      </c>
      <c r="M25" s="743">
        <f ca="1">SUMPRODUCT(SUMIF(INDIRECT("'"&amp;SeventeenA&amp;"'!$i$7:$i$26"),1,INDIRECT("'"&amp;SeventeenA&amp;"'!$m$7:$m$26")))+SUMIF($I$8:$I$20,1,$M$8:$M$20)+SUMIF('17'!$I$8:$I$26,1,'17'!$M$8:$M$26)</f>
        <v>51458.68</v>
      </c>
      <c r="N25" s="743">
        <f ca="1">SUMPRODUCT(SUMIF(INDIRECT("'"&amp;SeventeenA&amp;"'!$i$7:$i$26"),1,INDIRECT("'"&amp;SeventeenA&amp;"'!$n$7:$n$26")))+SUMIF($I$8:$I$20,1,$N$8:$N$20)+SUMIF('17'!$I$8:$I$26,1,'17'!$N$8:$N$26)</f>
        <v>50718</v>
      </c>
      <c r="O25" s="1059">
        <f ca="1">SUMPRODUCT(SUMIF(INDIRECT("'"&amp;SeventeenA&amp;"'!$i$7:$i$26"),1,INDIRECT("'"&amp;SeventeenA&amp;"'!$o$7:$o$26")))+SUMIF($I$8:$I$20,1,$O$8:$O$20)+SUMIF('17'!$I$8:$I$26,1,'17'!$O$8:$O$26)</f>
        <v>740.68000000000006</v>
      </c>
      <c r="Q25" s="1051"/>
    </row>
    <row r="26" spans="2:17" ht="21.95" customHeight="1" thickBot="1" x14ac:dyDescent="0.25">
      <c r="C26" s="18"/>
      <c r="D26" s="18"/>
      <c r="E26" s="18"/>
      <c r="F26" s="101" t="s">
        <v>204</v>
      </c>
      <c r="G26" s="101"/>
      <c r="H26" s="686" t="s">
        <v>379</v>
      </c>
      <c r="I26" s="683">
        <v>2</v>
      </c>
      <c r="J26" s="898">
        <f ca="1">SUMPRODUCT(SUMIF(INDIRECT("'"&amp;SeventeenA&amp;"'!$i$7:$i$26"),2,INDIRECT("'"&amp;SeventeenA&amp;"'!$j$7:$j$26")))+SUMIF($I$8:$I$20,2,$J$8:$J$20)+SUMIF('17'!$I$8:$I$26,2,'17'!$J$8:$J$26)+SUMIF(I22,2,J22)</f>
        <v>335373.52</v>
      </c>
      <c r="K26" s="898">
        <f ca="1">SUMPRODUCT(SUMIF(INDIRECT("'"&amp;SeventeenA&amp;"'!$i$7:$i$26"),2,INDIRECT("'"&amp;SeventeenA&amp;"'!$k$7:$k$26")))+SUMIF($I$7:$I$20,2,$K$7:$K$20)+SUMIF('17'!$I$8:$I$26,2,'17'!$K$8:$K$26)+SUMIF(I22,2,K22)</f>
        <v>325584.34999999998</v>
      </c>
      <c r="L26" s="898">
        <f ca="1">SUMPRODUCT(SUMIF(INDIRECT("'"&amp;SeventeenA&amp;"'!$i$7:$i$26"),2,INDIRECT("'"&amp;SeventeenA&amp;"'!$l$7:$l$26")))+SUMIF($I$8:$I$20,2,$L$8:$L$20)+SUMIF('17'!$I$8:$I$26,2,'17'!$L$8:$L$26)+SUMIF(I22,2,L22)</f>
        <v>0</v>
      </c>
      <c r="M26" s="898">
        <f ca="1">SUMPRODUCT(SUMIF(INDIRECT("'"&amp;SeventeenA&amp;"'!$i$7:$i$26"),2,INDIRECT("'"&amp;SeventeenA&amp;"'!$m$7:$m$26")))+SUMIF($I$8:$I$20,2,$M$8:$M$20)+SUMIF('17'!$I$8:$I$26,2,'17'!$M$8:$M$26)+SUMIF(I22,2,M22)</f>
        <v>325584.34999999998</v>
      </c>
      <c r="N26" s="898">
        <f ca="1">SUMPRODUCT(SUMIF(INDIRECT("'"&amp;SeventeenA&amp;"'!$i$7:$i$26"),2,INDIRECT("'"&amp;SeventeenA&amp;"'!$n$7:$n$26")))+SUMIF($I$8:$I$20,2,$N$8:$N$20)+SUMIF('17'!$I$8:$I$26,2,'17'!$N$8:$N$26)+SUMIF(I22,2,N22)</f>
        <v>234574.8</v>
      </c>
      <c r="O26" s="1061">
        <f ca="1">SUMPRODUCT(SUMIF(INDIRECT("'"&amp;SeventeenA&amp;"'!$i$7:$i$26"),2,INDIRECT("'"&amp;SeventeenA&amp;"'!$o$7:$o$26")))+SUMIF($I$8:$I$20,2,$O$8:$O$20)+SUMIF('17'!$I$8:$I$26,2,'17'!$O$8:$O$26)+SUMIF(I22,2,O22)</f>
        <v>91009.55</v>
      </c>
      <c r="Q26" s="251"/>
    </row>
    <row r="27" spans="2:17" ht="16.5" thickTop="1" x14ac:dyDescent="0.25">
      <c r="B27" s="1617" t="s">
        <v>3254</v>
      </c>
      <c r="C27" s="1617"/>
      <c r="D27" s="1617"/>
      <c r="E27" s="1617"/>
      <c r="F27" s="1617"/>
      <c r="G27" s="1617"/>
      <c r="H27" s="1617"/>
      <c r="I27" s="1617"/>
      <c r="J27" s="1617"/>
      <c r="K27" s="1617"/>
      <c r="L27" s="1617"/>
      <c r="M27" s="1617"/>
      <c r="N27" s="1617"/>
      <c r="O27" s="1617"/>
    </row>
    <row r="30" spans="2:17" x14ac:dyDescent="0.2">
      <c r="F30" s="784" t="s">
        <v>5295</v>
      </c>
      <c r="H30" t="s">
        <v>379</v>
      </c>
      <c r="I30">
        <v>1</v>
      </c>
      <c r="J30" s="29">
        <f ca="1">SUMPRODUCT(SUMIF(INDIRECT("'"&amp;SeventeenA&amp;"'!$i$7:$i$26"),1,INDIRECT("'"&amp;SeventeenA&amp;"'!$j$7:$j$26")))+SUMIF($I$7:$I$20,1,$J$7:$J$20)+SUMIF('17'!$I$8:$I$26,1,'17'!$J$8:$J$26)</f>
        <v>52980.049999999996</v>
      </c>
      <c r="K30" s="180">
        <f ca="1">SUMPRODUCT(SUMIF(INDIRECT("'"&amp;SeventeenA&amp;"'!$i$7:$i$26"),1,INDIRECT("'"&amp;SeventeenA&amp;"'!$k$7:$k$26")))+SUMIF($I$7:$I$20,1,$K$7:$K$20)+SUMIF('17'!$I$8:$I$26,1,'17'!$K$8:$K$26)</f>
        <v>51458.68</v>
      </c>
      <c r="L30" s="180">
        <f ca="1">SUMPRODUCT(SUMIF(INDIRECT("'"&amp;SeventeenA&amp;"'!$i$7:$i$26"),1,INDIRECT("'"&amp;SeventeenA&amp;"'!$l$7:$l$26")))+SUMIF($I$8:$I$20,1,$L$8:$L$20)+SUMIF('17'!$I$8:$I$26,1,'17'!$L$8:$L$26)</f>
        <v>0</v>
      </c>
      <c r="M30" s="180">
        <f ca="1">SUMPRODUCT(SUMIF(INDIRECT("'"&amp;SeventeenA&amp;"'!$i$7:$i$26"),1,INDIRECT("'"&amp;SeventeenA&amp;"'!$m$7:$m$26")))+SUMIF($I$8:$I$20,1,$M$8:$M$20)+SUMIF('17'!$I$8:$I$26,1,'17'!$M$8:$M$26)</f>
        <v>51458.68</v>
      </c>
      <c r="N30" s="180">
        <f ca="1">SUMPRODUCT(SUMIF(INDIRECT("'"&amp;SeventeenA&amp;"'!$i$7:$i$26"),1,INDIRECT("'"&amp;SeventeenA&amp;"'!$n$7:$n$26")))+SUMIF($I$8:$I$20,1,$N$8:$N$20)+SUMIF('17'!$I$8:$I$26,1,'17'!$N$8:$N$26)</f>
        <v>50718</v>
      </c>
      <c r="O30" s="180">
        <f ca="1">SUMPRODUCT(SUMIF(INDIRECT("'"&amp;SeventeenA&amp;"'!$i$7:$i$26"),1,INDIRECT("'"&amp;SeventeenA&amp;"'!$o$7:$o$26")))+SUMIF($I$8:$I$20,1,$O$8:$O$20)+SUMIF('17'!$I$8:$I$26,1,'17'!$O$8:$O$26)</f>
        <v>740.68000000000006</v>
      </c>
    </row>
    <row r="31" spans="2:17" x14ac:dyDescent="0.2">
      <c r="F31" s="784" t="s">
        <v>5294</v>
      </c>
      <c r="H31" t="s">
        <v>379</v>
      </c>
      <c r="I31">
        <v>2</v>
      </c>
      <c r="J31" s="180">
        <f ca="1">SUMPRODUCT(SUMIF(INDIRECT("'"&amp;SeventeenA&amp;"'!$i$7:$i$26"),2,INDIRECT("'"&amp;SeventeenA&amp;"'!$j$7:$j$26")))+SUMIF($I$7:$I$20,2,$J$7:$J$20)+SUMIF('17'!$I$9:$I$27,2,'17'!$J$8:$J$26)+SUMIF(I22,2,J22)</f>
        <v>334873.52</v>
      </c>
      <c r="K31" s="180">
        <f ca="1">SUMPRODUCT(SUMIF(INDIRECT("'"&amp;SeventeenA&amp;"'!$i$7:$i$26"),2,INDIRECT("'"&amp;SeventeenA&amp;"'!$k$7:$k$26")))+SUMIF($I$7:$I$20,2,$K$7:$K$20)+SUMIF('17'!$I$8:$I$26,2,'17'!$K$8:$K$26)+SUMIF(I22,2,K22)</f>
        <v>325584.34999999998</v>
      </c>
      <c r="L31" s="180">
        <f ca="1">SUMPRODUCT(SUMIF(INDIRECT("'"&amp;SeventeenA&amp;"'!$i$7:$i$26"),2,INDIRECT("'"&amp;SeventeenA&amp;"'!$l$7:$l$26")))+SUMIF($I$8:$I$20,2,$L$8:$L$20)+SUMIF('17'!$I$8:$I$26,2,'17'!$L$8:$L$26)+SUMIF(I22,2,L22)</f>
        <v>0</v>
      </c>
      <c r="M31" s="180">
        <f ca="1">SUMPRODUCT(SUMIF(INDIRECT("'"&amp;SeventeenA&amp;"'!$i$7:$i$26"),2,INDIRECT("'"&amp;SeventeenA&amp;"'!$m$7:$m$26")))+SUMIF($I$8:$I$20,2,$M$8:$M$20)+SUMIF('17'!$I$8:$I$26,2,'17'!$M$8:$M$26)+SUMIF(I22,2,M22)</f>
        <v>325584.34999999998</v>
      </c>
      <c r="N31" s="180">
        <f ca="1">SUMPRODUCT(SUMIF(INDIRECT("'"&amp;SeventeenA&amp;"'!$i$7:$i$26"),2,INDIRECT("'"&amp;SeventeenA&amp;"'!$n$7:$n$26")))+SUMIF($I$8:$I$20,2,$N$8:$N$20)+SUMIF('17'!$I$8:$I$26,2,'17'!$N$8:$N$26)+SUMIF(I22,2,N22)</f>
        <v>234574.8</v>
      </c>
      <c r="O31" s="180">
        <f ca="1">SUMPRODUCT(SUMIF(INDIRECT("'"&amp;SeventeenA&amp;"'!$i$7:$i$26"),2,INDIRECT("'"&amp;SeventeenA&amp;"'!$o$7:$o$26")))+SUMIF($I$8:$I$20,2,$O$8:$O$20)+SUMIF('17'!$I$8:$I$26,2,'17'!$O$8:$O$26)+SUMIF(I22,2,O22)</f>
        <v>91009.55</v>
      </c>
    </row>
    <row r="32" spans="2:17" x14ac:dyDescent="0.2">
      <c r="J32" s="29"/>
      <c r="K32" s="29"/>
      <c r="O32" s="29"/>
    </row>
    <row r="33" spans="10:11" x14ac:dyDescent="0.2">
      <c r="J33" s="518"/>
      <c r="K33" s="518"/>
    </row>
    <row r="34" spans="10:11" x14ac:dyDescent="0.2">
      <c r="J34" s="29"/>
    </row>
    <row r="35" spans="10:11" x14ac:dyDescent="0.2">
      <c r="J35" s="180"/>
      <c r="K35" s="180"/>
    </row>
    <row r="36" spans="10:11" x14ac:dyDescent="0.2">
      <c r="J36" s="180"/>
      <c r="K36" s="180"/>
    </row>
    <row r="37" spans="10:11" x14ac:dyDescent="0.2">
      <c r="J37" s="180"/>
      <c r="K37" s="180"/>
    </row>
    <row r="38" spans="10:11" x14ac:dyDescent="0.2">
      <c r="J38" s="180"/>
      <c r="K38" s="180"/>
    </row>
    <row r="39" spans="10:11" x14ac:dyDescent="0.2">
      <c r="J39" s="180"/>
      <c r="K39" s="180"/>
    </row>
    <row r="40" spans="10:11" x14ac:dyDescent="0.2">
      <c r="J40" s="180"/>
      <c r="K40" s="180"/>
    </row>
    <row r="41" spans="10:11" x14ac:dyDescent="0.2">
      <c r="J41" s="180"/>
      <c r="K41" s="180"/>
    </row>
    <row r="42" spans="10:11" x14ac:dyDescent="0.2">
      <c r="J42" s="180"/>
      <c r="K42" s="180"/>
    </row>
    <row r="43" spans="10:11" x14ac:dyDescent="0.2">
      <c r="J43" s="180"/>
      <c r="K43" s="180"/>
    </row>
    <row r="44" spans="10:11" x14ac:dyDescent="0.2">
      <c r="J44" s="29"/>
    </row>
    <row r="45" spans="10:11" x14ac:dyDescent="0.2">
      <c r="J45" s="29"/>
    </row>
    <row r="46" spans="10:11" x14ac:dyDescent="0.2">
      <c r="J46" s="29"/>
    </row>
  </sheetData>
  <sheetProtection algorithmName="SHA-512" hashValue="GM2hKwYNUxvXdTOW+f7U8uWRfWasNL/e1pPAIzfAs4gCiGYTMUC+nrloD3dpXwzuiT6OSR5SgbcmICXXIziwJw==" saltValue="WQaGlN0e4hsCnE8dmSC6Hg==" spinCount="100000" sheet="1" objects="1" scenarios="1"/>
  <mergeCells count="6">
    <mergeCell ref="B2:O2"/>
    <mergeCell ref="N3:O3"/>
    <mergeCell ref="J3:M3"/>
    <mergeCell ref="B27:O27"/>
    <mergeCell ref="H7:I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200-000000000000}">
          <x14:formula1>
            <xm:f>'Appropriation Codes'!$C$2:$C$19</xm:f>
          </x14:formula1>
          <xm:sqref>H8:H20</xm:sqref>
        </x14:dataValidation>
      </x14:dataValidations>
    </ext>
  </extLst>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Sheet72"/>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D3" s="222"/>
      <c r="E3" s="222"/>
      <c r="F3" s="222"/>
      <c r="G3" s="6"/>
      <c r="H3" s="221"/>
      <c r="I3" s="237"/>
      <c r="J3" s="1705" t="s">
        <v>23</v>
      </c>
      <c r="K3" s="1707"/>
      <c r="L3" s="1707"/>
      <c r="M3" s="1708"/>
      <c r="N3" s="1705" t="str">
        <f>"Expended "&amp;'Key Inputs'!E34-1</f>
        <v>Expended 2020</v>
      </c>
      <c r="O3" s="1706"/>
    </row>
    <row r="4" spans="2:17" ht="15" customHeight="1" thickTop="1" x14ac:dyDescent="0.25">
      <c r="D4" s="63"/>
      <c r="E4" s="63"/>
      <c r="F4" s="63"/>
      <c r="G4" s="7"/>
      <c r="H4" s="1711" t="s">
        <v>605</v>
      </c>
      <c r="I4" s="1712"/>
      <c r="J4" s="24"/>
      <c r="K4" s="25"/>
      <c r="L4" s="24" t="str">
        <f>"for "&amp;'Key Inputs'!E34-1&amp;"  By"</f>
        <v>for 2020  By</v>
      </c>
      <c r="M4" s="25" t="str">
        <f>"Total for "&amp;'Key Inputs'!E34-1</f>
        <v>Total for 2020</v>
      </c>
      <c r="N4" s="25"/>
      <c r="O4" s="81"/>
    </row>
    <row r="5" spans="2:17" ht="15" x14ac:dyDescent="0.25">
      <c r="C5" s="12"/>
      <c r="D5" s="63"/>
      <c r="E5" s="63"/>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5.5" customHeight="1" thickTop="1" x14ac:dyDescent="0.2">
      <c r="C7" s="156" t="s">
        <v>268</v>
      </c>
      <c r="D7" s="1723" t="s">
        <v>269</v>
      </c>
      <c r="E7" s="1723"/>
      <c r="F7" s="1723"/>
      <c r="G7" s="1724"/>
      <c r="H7" s="1719" t="s">
        <v>200</v>
      </c>
      <c r="I7" s="1720"/>
      <c r="J7" s="94" t="s">
        <v>201</v>
      </c>
      <c r="K7" s="95" t="s">
        <v>201</v>
      </c>
      <c r="L7" s="94" t="s">
        <v>201</v>
      </c>
      <c r="M7" s="95" t="s">
        <v>201</v>
      </c>
      <c r="N7" s="95" t="s">
        <v>201</v>
      </c>
      <c r="O7" s="96" t="s">
        <v>201</v>
      </c>
    </row>
    <row r="8" spans="2:17" ht="21.95" customHeight="1" x14ac:dyDescent="0.25">
      <c r="C8" s="43" t="s">
        <v>212</v>
      </c>
      <c r="D8" s="16"/>
      <c r="E8" s="16"/>
      <c r="F8" s="16"/>
      <c r="G8" s="17"/>
      <c r="H8" s="1721" t="s">
        <v>200</v>
      </c>
      <c r="I8" s="1722"/>
      <c r="J8" s="97" t="s">
        <v>201</v>
      </c>
      <c r="K8" s="98" t="s">
        <v>201</v>
      </c>
      <c r="L8" s="97" t="s">
        <v>201</v>
      </c>
      <c r="M8" s="98" t="s">
        <v>201</v>
      </c>
      <c r="N8" s="98" t="s">
        <v>201</v>
      </c>
      <c r="O8" s="99" t="s">
        <v>201</v>
      </c>
    </row>
    <row r="9" spans="2:17" ht="21.95" customHeight="1" x14ac:dyDescent="0.2">
      <c r="D9" s="63"/>
      <c r="E9" s="16" t="s">
        <v>213</v>
      </c>
      <c r="F9" s="16"/>
      <c r="G9" s="17"/>
      <c r="H9" s="689" t="s">
        <v>535</v>
      </c>
      <c r="I9" s="678"/>
      <c r="J9" s="742"/>
      <c r="K9" s="743"/>
      <c r="L9" s="97" t="s">
        <v>201</v>
      </c>
      <c r="M9" s="743">
        <f>+K9</f>
        <v>0</v>
      </c>
      <c r="N9" s="743"/>
      <c r="O9" s="99" t="s">
        <v>201</v>
      </c>
      <c r="Q9" s="670">
        <f>M9-N9</f>
        <v>0</v>
      </c>
    </row>
    <row r="10" spans="2:17" ht="21.95" customHeight="1" x14ac:dyDescent="0.2">
      <c r="D10" s="63"/>
      <c r="E10" s="744"/>
      <c r="F10" s="744"/>
      <c r="G10" s="745"/>
      <c r="H10" s="746"/>
      <c r="I10" s="747"/>
      <c r="J10" s="742"/>
      <c r="K10" s="743"/>
      <c r="L10" s="97" t="s">
        <v>201</v>
      </c>
      <c r="M10" s="743">
        <f t="shared" ref="M10:M26" si="0">+K10</f>
        <v>0</v>
      </c>
      <c r="N10" s="743"/>
      <c r="O10" s="99" t="s">
        <v>201</v>
      </c>
      <c r="Q10" s="670">
        <f t="shared" ref="Q10:Q26" si="1">M10-N10</f>
        <v>0</v>
      </c>
    </row>
    <row r="11" spans="2:17" ht="21.95" customHeight="1" x14ac:dyDescent="0.2">
      <c r="D11" s="63"/>
      <c r="E11" s="744"/>
      <c r="F11" s="744"/>
      <c r="G11" s="745"/>
      <c r="H11" s="746"/>
      <c r="I11" s="747"/>
      <c r="J11" s="742"/>
      <c r="K11" s="743"/>
      <c r="L11" s="97" t="s">
        <v>201</v>
      </c>
      <c r="M11" s="743">
        <f t="shared" si="0"/>
        <v>0</v>
      </c>
      <c r="N11" s="743"/>
      <c r="O11" s="99" t="s">
        <v>201</v>
      </c>
      <c r="Q11" s="670">
        <f t="shared" si="1"/>
        <v>0</v>
      </c>
    </row>
    <row r="12" spans="2:17" ht="21.95" customHeight="1" x14ac:dyDescent="0.2">
      <c r="D12" s="63"/>
      <c r="E12" s="744"/>
      <c r="F12" s="744"/>
      <c r="G12" s="745"/>
      <c r="H12" s="746"/>
      <c r="I12" s="747"/>
      <c r="J12" s="742"/>
      <c r="K12" s="743"/>
      <c r="L12" s="97" t="s">
        <v>201</v>
      </c>
      <c r="M12" s="743">
        <f t="shared" si="0"/>
        <v>0</v>
      </c>
      <c r="N12" s="743"/>
      <c r="O12" s="99" t="s">
        <v>201</v>
      </c>
      <c r="Q12" s="670">
        <f t="shared" si="1"/>
        <v>0</v>
      </c>
    </row>
    <row r="13" spans="2:17" ht="21.95" customHeight="1" x14ac:dyDescent="0.2">
      <c r="D13" s="63"/>
      <c r="E13" s="744"/>
      <c r="F13" s="744"/>
      <c r="G13" s="745"/>
      <c r="H13" s="746"/>
      <c r="I13" s="747"/>
      <c r="J13" s="742"/>
      <c r="K13" s="743"/>
      <c r="L13" s="97" t="s">
        <v>201</v>
      </c>
      <c r="M13" s="743">
        <f t="shared" si="0"/>
        <v>0</v>
      </c>
      <c r="N13" s="743"/>
      <c r="O13" s="99" t="s">
        <v>201</v>
      </c>
      <c r="Q13" s="670">
        <f t="shared" si="1"/>
        <v>0</v>
      </c>
    </row>
    <row r="14" spans="2:17" ht="21" customHeight="1" x14ac:dyDescent="0.2">
      <c r="D14" s="63"/>
      <c r="E14" s="744"/>
      <c r="F14" s="744"/>
      <c r="G14" s="745"/>
      <c r="H14" s="746"/>
      <c r="I14" s="747"/>
      <c r="J14" s="742"/>
      <c r="K14" s="743"/>
      <c r="L14" s="97" t="s">
        <v>201</v>
      </c>
      <c r="M14" s="743">
        <f t="shared" si="0"/>
        <v>0</v>
      </c>
      <c r="N14" s="743"/>
      <c r="O14" s="99" t="s">
        <v>201</v>
      </c>
      <c r="Q14" s="670">
        <f t="shared" si="1"/>
        <v>0</v>
      </c>
    </row>
    <row r="15" spans="2:17" ht="21" customHeight="1" x14ac:dyDescent="0.2">
      <c r="D15" s="63"/>
      <c r="E15" s="744"/>
      <c r="F15" s="744"/>
      <c r="G15" s="745"/>
      <c r="H15" s="746"/>
      <c r="I15" s="747"/>
      <c r="J15" s="742"/>
      <c r="K15" s="743"/>
      <c r="L15" s="97" t="s">
        <v>201</v>
      </c>
      <c r="M15" s="743">
        <f t="shared" si="0"/>
        <v>0</v>
      </c>
      <c r="N15" s="743"/>
      <c r="O15" s="99" t="s">
        <v>201</v>
      </c>
      <c r="Q15" s="670">
        <f t="shared" si="1"/>
        <v>0</v>
      </c>
    </row>
    <row r="16" spans="2:17" ht="21" customHeight="1" x14ac:dyDescent="0.2">
      <c r="D16" s="63"/>
      <c r="E16" s="744"/>
      <c r="F16" s="744"/>
      <c r="G16" s="745"/>
      <c r="H16" s="746"/>
      <c r="I16" s="747"/>
      <c r="J16" s="742"/>
      <c r="K16" s="743"/>
      <c r="L16" s="97" t="s">
        <v>201</v>
      </c>
      <c r="M16" s="743">
        <f t="shared" si="0"/>
        <v>0</v>
      </c>
      <c r="N16" s="743"/>
      <c r="O16" s="99" t="s">
        <v>201</v>
      </c>
      <c r="Q16" s="670">
        <f t="shared" si="1"/>
        <v>0</v>
      </c>
    </row>
    <row r="17" spans="2:17" ht="21.75" customHeight="1" x14ac:dyDescent="0.2">
      <c r="D17" s="63"/>
      <c r="E17" s="744"/>
      <c r="F17" s="744"/>
      <c r="G17" s="745"/>
      <c r="H17" s="746"/>
      <c r="I17" s="747"/>
      <c r="J17" s="742"/>
      <c r="K17" s="743"/>
      <c r="L17" s="97" t="s">
        <v>201</v>
      </c>
      <c r="M17" s="743">
        <f t="shared" si="0"/>
        <v>0</v>
      </c>
      <c r="N17" s="743"/>
      <c r="O17" s="99" t="s">
        <v>201</v>
      </c>
      <c r="Q17" s="670">
        <f t="shared" si="1"/>
        <v>0</v>
      </c>
    </row>
    <row r="18" spans="2:17" ht="21.75" customHeight="1" x14ac:dyDescent="0.2">
      <c r="D18" s="63"/>
      <c r="E18" s="744"/>
      <c r="F18" s="744"/>
      <c r="G18" s="745"/>
      <c r="H18" s="746"/>
      <c r="I18" s="747"/>
      <c r="J18" s="742"/>
      <c r="K18" s="743"/>
      <c r="L18" s="97" t="s">
        <v>201</v>
      </c>
      <c r="M18" s="743">
        <f t="shared" si="0"/>
        <v>0</v>
      </c>
      <c r="N18" s="743"/>
      <c r="O18" s="99" t="s">
        <v>201</v>
      </c>
      <c r="Q18" s="670">
        <f t="shared" si="1"/>
        <v>0</v>
      </c>
    </row>
    <row r="19" spans="2:17" ht="21.75" customHeight="1" x14ac:dyDescent="0.2">
      <c r="D19" s="63"/>
      <c r="E19" s="744"/>
      <c r="F19" s="744"/>
      <c r="G19" s="745"/>
      <c r="H19" s="746"/>
      <c r="I19" s="747"/>
      <c r="J19" s="742"/>
      <c r="K19" s="743"/>
      <c r="L19" s="97" t="s">
        <v>201</v>
      </c>
      <c r="M19" s="743">
        <f t="shared" si="0"/>
        <v>0</v>
      </c>
      <c r="N19" s="743"/>
      <c r="O19" s="99" t="s">
        <v>201</v>
      </c>
      <c r="Q19" s="670">
        <f t="shared" si="1"/>
        <v>0</v>
      </c>
    </row>
    <row r="20" spans="2:17" ht="21.75" customHeight="1" x14ac:dyDescent="0.2">
      <c r="D20" s="63"/>
      <c r="E20" s="744"/>
      <c r="F20" s="744"/>
      <c r="G20" s="745"/>
      <c r="H20" s="746"/>
      <c r="I20" s="747"/>
      <c r="J20" s="742"/>
      <c r="K20" s="743"/>
      <c r="L20" s="97" t="s">
        <v>201</v>
      </c>
      <c r="M20" s="743">
        <f t="shared" si="0"/>
        <v>0</v>
      </c>
      <c r="N20" s="743"/>
      <c r="O20" s="99" t="s">
        <v>201</v>
      </c>
      <c r="Q20" s="670">
        <f t="shared" si="1"/>
        <v>0</v>
      </c>
    </row>
    <row r="21" spans="2:17" ht="21.75" customHeight="1" x14ac:dyDescent="0.2">
      <c r="D21" s="63"/>
      <c r="E21" s="744"/>
      <c r="F21" s="744"/>
      <c r="G21" s="745"/>
      <c r="H21" s="746"/>
      <c r="I21" s="747"/>
      <c r="J21" s="742"/>
      <c r="K21" s="743"/>
      <c r="L21" s="97" t="s">
        <v>201</v>
      </c>
      <c r="M21" s="743">
        <f t="shared" si="0"/>
        <v>0</v>
      </c>
      <c r="N21" s="743"/>
      <c r="O21" s="99" t="s">
        <v>201</v>
      </c>
      <c r="Q21" s="670">
        <f t="shared" si="1"/>
        <v>0</v>
      </c>
    </row>
    <row r="22" spans="2:17" ht="21.75" customHeight="1" x14ac:dyDescent="0.2">
      <c r="D22" s="63"/>
      <c r="E22" s="744"/>
      <c r="F22" s="744"/>
      <c r="G22" s="745"/>
      <c r="H22" s="746"/>
      <c r="I22" s="747"/>
      <c r="J22" s="742"/>
      <c r="K22" s="743"/>
      <c r="L22" s="97" t="s">
        <v>201</v>
      </c>
      <c r="M22" s="743">
        <f t="shared" si="0"/>
        <v>0</v>
      </c>
      <c r="N22" s="743"/>
      <c r="O22" s="99" t="s">
        <v>201</v>
      </c>
      <c r="Q22" s="670">
        <f t="shared" si="1"/>
        <v>0</v>
      </c>
    </row>
    <row r="23" spans="2:17" ht="21.75" customHeight="1" x14ac:dyDescent="0.2">
      <c r="D23" s="63"/>
      <c r="E23" s="744"/>
      <c r="F23" s="744"/>
      <c r="G23" s="745"/>
      <c r="H23" s="746"/>
      <c r="I23" s="747"/>
      <c r="J23" s="742"/>
      <c r="K23" s="743"/>
      <c r="L23" s="97" t="s">
        <v>201</v>
      </c>
      <c r="M23" s="743">
        <f t="shared" si="0"/>
        <v>0</v>
      </c>
      <c r="N23" s="743"/>
      <c r="O23" s="99" t="s">
        <v>201</v>
      </c>
      <c r="Q23" s="670">
        <f t="shared" si="1"/>
        <v>0</v>
      </c>
    </row>
    <row r="24" spans="2:17" ht="21.75" customHeight="1" x14ac:dyDescent="0.2">
      <c r="D24" s="63"/>
      <c r="E24" s="744"/>
      <c r="F24" s="744"/>
      <c r="G24" s="745"/>
      <c r="H24" s="746"/>
      <c r="I24" s="747"/>
      <c r="J24" s="742"/>
      <c r="K24" s="743"/>
      <c r="L24" s="97" t="s">
        <v>201</v>
      </c>
      <c r="M24" s="743">
        <f t="shared" si="0"/>
        <v>0</v>
      </c>
      <c r="N24" s="743"/>
      <c r="O24" s="99" t="s">
        <v>201</v>
      </c>
      <c r="Q24" s="670">
        <f t="shared" si="1"/>
        <v>0</v>
      </c>
    </row>
    <row r="25" spans="2:17" ht="21.75" customHeight="1" x14ac:dyDescent="0.2">
      <c r="D25" s="63"/>
      <c r="E25" s="744"/>
      <c r="F25" s="744"/>
      <c r="G25" s="745"/>
      <c r="H25" s="746"/>
      <c r="I25" s="747"/>
      <c r="J25" s="742"/>
      <c r="K25" s="743"/>
      <c r="L25" s="97" t="s">
        <v>201</v>
      </c>
      <c r="M25" s="743">
        <f t="shared" si="0"/>
        <v>0</v>
      </c>
      <c r="N25" s="743"/>
      <c r="O25" s="99" t="s">
        <v>201</v>
      </c>
      <c r="Q25" s="670">
        <f t="shared" si="1"/>
        <v>0</v>
      </c>
    </row>
    <row r="26" spans="2:17" ht="21.95" customHeight="1" thickBot="1" x14ac:dyDescent="0.25">
      <c r="C26" s="2"/>
      <c r="D26" s="2"/>
      <c r="E26" s="893"/>
      <c r="F26" s="893"/>
      <c r="G26" s="894"/>
      <c r="H26" s="895"/>
      <c r="I26" s="908"/>
      <c r="J26" s="897"/>
      <c r="K26" s="898"/>
      <c r="L26" s="119" t="s">
        <v>201</v>
      </c>
      <c r="M26" s="898">
        <f t="shared" si="0"/>
        <v>0</v>
      </c>
      <c r="N26" s="898"/>
      <c r="O26" s="118" t="s">
        <v>201</v>
      </c>
      <c r="Q26" s="670">
        <f t="shared" si="1"/>
        <v>0</v>
      </c>
    </row>
    <row r="27" spans="2:17" ht="16.5" thickTop="1" x14ac:dyDescent="0.25">
      <c r="B27" s="1617" t="s">
        <v>211</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rvt9O1dbhvY2GClEpZnq/P/pcegPP6nZEaTYjNk8WJBSCm9jsMtPl4NEPNVgHR35nGTGNbfWLAVV2o9PFAwuvg==" saltValue="u9zfD4iVQJenezbiUsTBUw==" spinCount="100000" sheet="1" objects="1" scenarios="1"/>
  <mergeCells count="8">
    <mergeCell ref="B2:O2"/>
    <mergeCell ref="N3:O3"/>
    <mergeCell ref="J3:M3"/>
    <mergeCell ref="B27:O27"/>
    <mergeCell ref="H7:I7"/>
    <mergeCell ref="H8:I8"/>
    <mergeCell ref="H4:I4"/>
    <mergeCell ref="D7:G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300-000000000000}">
          <x14:formula1>
            <xm:f>'Appropriation Codes'!$D$2:$D$11</xm:f>
          </x14:formula1>
          <xm:sqref>H10:H26</xm:sqref>
        </x14:dataValidation>
      </x14:dataValidations>
    </ext>
  </extLst>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Sheet73"/>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D3" s="222"/>
      <c r="E3" s="222"/>
      <c r="F3" s="222"/>
      <c r="G3" s="6"/>
      <c r="H3" s="221"/>
      <c r="I3" s="237"/>
      <c r="J3" s="1705" t="s">
        <v>23</v>
      </c>
      <c r="K3" s="1707"/>
      <c r="L3" s="1707"/>
      <c r="M3" s="1708"/>
      <c r="N3" s="1705" t="str">
        <f>"Expended "&amp;'Key Inputs'!E34-1</f>
        <v>Expended 2020</v>
      </c>
      <c r="O3" s="1706"/>
    </row>
    <row r="4" spans="2:17" ht="15" customHeight="1" thickTop="1" x14ac:dyDescent="0.25">
      <c r="D4" s="63"/>
      <c r="E4" s="63"/>
      <c r="F4" s="63"/>
      <c r="G4" s="7"/>
      <c r="H4" s="1711" t="s">
        <v>605</v>
      </c>
      <c r="I4" s="1712"/>
      <c r="J4" s="24"/>
      <c r="K4" s="25"/>
      <c r="L4" s="24" t="str">
        <f>"for "&amp;'Key Inputs'!E34-1&amp;"  By"</f>
        <v>for 2020  By</v>
      </c>
      <c r="M4" s="25" t="str">
        <f>"Total for "&amp;'Key Inputs'!E34-1</f>
        <v>Total for 2020</v>
      </c>
      <c r="N4" s="25"/>
      <c r="O4" s="81"/>
    </row>
    <row r="5" spans="2:17" ht="15" x14ac:dyDescent="0.25">
      <c r="C5" s="12"/>
      <c r="D5" s="63"/>
      <c r="E5" s="63"/>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5.5" customHeight="1" thickTop="1" x14ac:dyDescent="0.2">
      <c r="C7" s="156" t="s">
        <v>268</v>
      </c>
      <c r="D7" s="1723" t="s">
        <v>269</v>
      </c>
      <c r="E7" s="1723"/>
      <c r="F7" s="1723"/>
      <c r="G7" s="1724"/>
      <c r="H7" s="1719" t="s">
        <v>200</v>
      </c>
      <c r="I7" s="1720"/>
      <c r="J7" s="94" t="s">
        <v>201</v>
      </c>
      <c r="K7" s="95" t="s">
        <v>201</v>
      </c>
      <c r="L7" s="94" t="s">
        <v>201</v>
      </c>
      <c r="M7" s="95" t="s">
        <v>201</v>
      </c>
      <c r="N7" s="95" t="s">
        <v>201</v>
      </c>
      <c r="O7" s="96" t="s">
        <v>201</v>
      </c>
    </row>
    <row r="8" spans="2:17" ht="21.95" customHeight="1" x14ac:dyDescent="0.25">
      <c r="C8" s="43" t="s">
        <v>212</v>
      </c>
      <c r="D8" s="16"/>
      <c r="E8" s="16"/>
      <c r="F8" s="16"/>
      <c r="G8" s="17"/>
      <c r="H8" s="1721" t="s">
        <v>200</v>
      </c>
      <c r="I8" s="1722"/>
      <c r="J8" s="97" t="s">
        <v>201</v>
      </c>
      <c r="K8" s="98" t="s">
        <v>201</v>
      </c>
      <c r="L8" s="97" t="s">
        <v>201</v>
      </c>
      <c r="M8" s="98" t="s">
        <v>201</v>
      </c>
      <c r="N8" s="98" t="s">
        <v>201</v>
      </c>
      <c r="O8" s="99" t="s">
        <v>201</v>
      </c>
    </row>
    <row r="9" spans="2:17" ht="21.95" customHeight="1" x14ac:dyDescent="0.2">
      <c r="D9" s="63"/>
      <c r="E9" s="744"/>
      <c r="F9" s="744"/>
      <c r="G9" s="745"/>
      <c r="H9" s="746"/>
      <c r="I9" s="911"/>
      <c r="J9" s="742"/>
      <c r="K9" s="743"/>
      <c r="L9" s="97" t="s">
        <v>201</v>
      </c>
      <c r="M9" s="743">
        <f>+K9</f>
        <v>0</v>
      </c>
      <c r="N9" s="743"/>
      <c r="O9" s="99" t="s">
        <v>201</v>
      </c>
      <c r="Q9" s="670">
        <f>M9-N9</f>
        <v>0</v>
      </c>
    </row>
    <row r="10" spans="2:17" ht="21.95" customHeight="1" x14ac:dyDescent="0.2">
      <c r="D10" s="63"/>
      <c r="E10" s="744"/>
      <c r="F10" s="744"/>
      <c r="G10" s="745"/>
      <c r="H10" s="746"/>
      <c r="I10" s="747"/>
      <c r="J10" s="742"/>
      <c r="K10" s="743"/>
      <c r="L10" s="97" t="s">
        <v>201</v>
      </c>
      <c r="M10" s="743">
        <f t="shared" ref="M10:M26" si="0">+K10</f>
        <v>0</v>
      </c>
      <c r="N10" s="743"/>
      <c r="O10" s="99" t="s">
        <v>201</v>
      </c>
      <c r="Q10" s="670">
        <f t="shared" ref="Q10:Q26" si="1">M10-N10</f>
        <v>0</v>
      </c>
    </row>
    <row r="11" spans="2:17" ht="21.95" customHeight="1" x14ac:dyDescent="0.2">
      <c r="D11" s="63"/>
      <c r="E11" s="744"/>
      <c r="F11" s="744"/>
      <c r="G11" s="745"/>
      <c r="H11" s="746"/>
      <c r="I11" s="747"/>
      <c r="J11" s="742"/>
      <c r="K11" s="743"/>
      <c r="L11" s="97" t="s">
        <v>201</v>
      </c>
      <c r="M11" s="743">
        <f t="shared" si="0"/>
        <v>0</v>
      </c>
      <c r="N11" s="743"/>
      <c r="O11" s="99" t="s">
        <v>201</v>
      </c>
      <c r="Q11" s="670">
        <f t="shared" si="1"/>
        <v>0</v>
      </c>
    </row>
    <row r="12" spans="2:17" ht="21.95" customHeight="1" x14ac:dyDescent="0.2">
      <c r="D12" s="63"/>
      <c r="E12" s="744"/>
      <c r="F12" s="744"/>
      <c r="G12" s="745"/>
      <c r="H12" s="746"/>
      <c r="I12" s="747"/>
      <c r="J12" s="742"/>
      <c r="K12" s="743"/>
      <c r="L12" s="97" t="s">
        <v>201</v>
      </c>
      <c r="M12" s="743">
        <f t="shared" si="0"/>
        <v>0</v>
      </c>
      <c r="N12" s="743"/>
      <c r="O12" s="99" t="s">
        <v>201</v>
      </c>
      <c r="Q12" s="670">
        <f t="shared" si="1"/>
        <v>0</v>
      </c>
    </row>
    <row r="13" spans="2:17" ht="21.95" customHeight="1" x14ac:dyDescent="0.2">
      <c r="D13" s="63"/>
      <c r="E13" s="744"/>
      <c r="F13" s="744"/>
      <c r="G13" s="745"/>
      <c r="H13" s="746"/>
      <c r="I13" s="747"/>
      <c r="J13" s="742"/>
      <c r="K13" s="743"/>
      <c r="L13" s="97" t="s">
        <v>201</v>
      </c>
      <c r="M13" s="743">
        <f t="shared" si="0"/>
        <v>0</v>
      </c>
      <c r="N13" s="743"/>
      <c r="O13" s="99" t="s">
        <v>201</v>
      </c>
      <c r="Q13" s="670">
        <f t="shared" si="1"/>
        <v>0</v>
      </c>
    </row>
    <row r="14" spans="2:17" ht="21" customHeight="1" x14ac:dyDescent="0.2">
      <c r="D14" s="63"/>
      <c r="E14" s="744"/>
      <c r="F14" s="744"/>
      <c r="G14" s="745"/>
      <c r="H14" s="746"/>
      <c r="I14" s="747"/>
      <c r="J14" s="742"/>
      <c r="K14" s="743"/>
      <c r="L14" s="97" t="s">
        <v>201</v>
      </c>
      <c r="M14" s="743">
        <f t="shared" si="0"/>
        <v>0</v>
      </c>
      <c r="N14" s="743"/>
      <c r="O14" s="99" t="s">
        <v>201</v>
      </c>
      <c r="Q14" s="670">
        <f t="shared" si="1"/>
        <v>0</v>
      </c>
    </row>
    <row r="15" spans="2:17" ht="21" customHeight="1" x14ac:dyDescent="0.2">
      <c r="D15" s="63"/>
      <c r="E15" s="744"/>
      <c r="F15" s="744"/>
      <c r="G15" s="745"/>
      <c r="H15" s="746"/>
      <c r="I15" s="747"/>
      <c r="J15" s="742"/>
      <c r="K15" s="743"/>
      <c r="L15" s="97" t="s">
        <v>201</v>
      </c>
      <c r="M15" s="743">
        <f t="shared" si="0"/>
        <v>0</v>
      </c>
      <c r="N15" s="743"/>
      <c r="O15" s="99" t="s">
        <v>201</v>
      </c>
      <c r="Q15" s="670">
        <f t="shared" si="1"/>
        <v>0</v>
      </c>
    </row>
    <row r="16" spans="2:17" ht="21" customHeight="1" x14ac:dyDescent="0.2">
      <c r="D16" s="63"/>
      <c r="E16" s="744"/>
      <c r="F16" s="744"/>
      <c r="G16" s="745"/>
      <c r="H16" s="746"/>
      <c r="I16" s="747"/>
      <c r="J16" s="742"/>
      <c r="K16" s="743"/>
      <c r="L16" s="97" t="s">
        <v>201</v>
      </c>
      <c r="M16" s="743">
        <f t="shared" si="0"/>
        <v>0</v>
      </c>
      <c r="N16" s="743"/>
      <c r="O16" s="99" t="s">
        <v>201</v>
      </c>
      <c r="Q16" s="670">
        <f t="shared" si="1"/>
        <v>0</v>
      </c>
    </row>
    <row r="17" spans="2:17" ht="21.75" customHeight="1" x14ac:dyDescent="0.2">
      <c r="D17" s="63"/>
      <c r="E17" s="744"/>
      <c r="F17" s="744"/>
      <c r="G17" s="745"/>
      <c r="H17" s="746"/>
      <c r="I17" s="747"/>
      <c r="J17" s="742"/>
      <c r="K17" s="743"/>
      <c r="L17" s="97" t="s">
        <v>201</v>
      </c>
      <c r="M17" s="743">
        <f t="shared" si="0"/>
        <v>0</v>
      </c>
      <c r="N17" s="743"/>
      <c r="O17" s="99" t="s">
        <v>201</v>
      </c>
      <c r="Q17" s="670">
        <f t="shared" si="1"/>
        <v>0</v>
      </c>
    </row>
    <row r="18" spans="2:17" ht="21.75" customHeight="1" x14ac:dyDescent="0.2">
      <c r="D18" s="63"/>
      <c r="E18" s="744"/>
      <c r="F18" s="744"/>
      <c r="G18" s="745"/>
      <c r="H18" s="746"/>
      <c r="I18" s="747"/>
      <c r="J18" s="742"/>
      <c r="K18" s="743"/>
      <c r="L18" s="97" t="s">
        <v>201</v>
      </c>
      <c r="M18" s="743">
        <f t="shared" si="0"/>
        <v>0</v>
      </c>
      <c r="N18" s="743"/>
      <c r="O18" s="99" t="s">
        <v>201</v>
      </c>
      <c r="Q18" s="670">
        <f t="shared" si="1"/>
        <v>0</v>
      </c>
    </row>
    <row r="19" spans="2:17" ht="21.75" customHeight="1" x14ac:dyDescent="0.2">
      <c r="D19" s="63"/>
      <c r="E19" s="744"/>
      <c r="F19" s="744"/>
      <c r="G19" s="745"/>
      <c r="H19" s="746"/>
      <c r="I19" s="747"/>
      <c r="J19" s="742"/>
      <c r="K19" s="743"/>
      <c r="L19" s="97" t="s">
        <v>201</v>
      </c>
      <c r="M19" s="743">
        <f t="shared" si="0"/>
        <v>0</v>
      </c>
      <c r="N19" s="743"/>
      <c r="O19" s="99" t="s">
        <v>201</v>
      </c>
      <c r="Q19" s="670">
        <f t="shared" si="1"/>
        <v>0</v>
      </c>
    </row>
    <row r="20" spans="2:17" ht="21.75" customHeight="1" x14ac:dyDescent="0.2">
      <c r="D20" s="63"/>
      <c r="E20" s="744"/>
      <c r="F20" s="744"/>
      <c r="G20" s="745"/>
      <c r="H20" s="746"/>
      <c r="I20" s="747"/>
      <c r="J20" s="742"/>
      <c r="K20" s="743"/>
      <c r="L20" s="97" t="s">
        <v>201</v>
      </c>
      <c r="M20" s="743">
        <f t="shared" si="0"/>
        <v>0</v>
      </c>
      <c r="N20" s="743"/>
      <c r="O20" s="99" t="s">
        <v>201</v>
      </c>
      <c r="Q20" s="670">
        <f t="shared" si="1"/>
        <v>0</v>
      </c>
    </row>
    <row r="21" spans="2:17" ht="21.75" customHeight="1" x14ac:dyDescent="0.2">
      <c r="D21" s="63"/>
      <c r="E21" s="744"/>
      <c r="F21" s="744"/>
      <c r="G21" s="745"/>
      <c r="H21" s="746"/>
      <c r="I21" s="747"/>
      <c r="J21" s="742"/>
      <c r="K21" s="743"/>
      <c r="L21" s="97" t="s">
        <v>201</v>
      </c>
      <c r="M21" s="743">
        <f t="shared" si="0"/>
        <v>0</v>
      </c>
      <c r="N21" s="743"/>
      <c r="O21" s="99" t="s">
        <v>201</v>
      </c>
      <c r="Q21" s="670">
        <f t="shared" si="1"/>
        <v>0</v>
      </c>
    </row>
    <row r="22" spans="2:17" ht="21.75" customHeight="1" x14ac:dyDescent="0.2">
      <c r="D22" s="63"/>
      <c r="E22" s="744"/>
      <c r="F22" s="744"/>
      <c r="G22" s="745"/>
      <c r="H22" s="746"/>
      <c r="I22" s="747"/>
      <c r="J22" s="742"/>
      <c r="K22" s="743"/>
      <c r="L22" s="97" t="s">
        <v>201</v>
      </c>
      <c r="M22" s="743">
        <f t="shared" si="0"/>
        <v>0</v>
      </c>
      <c r="N22" s="743"/>
      <c r="O22" s="99" t="s">
        <v>201</v>
      </c>
      <c r="Q22" s="670">
        <f t="shared" si="1"/>
        <v>0</v>
      </c>
    </row>
    <row r="23" spans="2:17" ht="21.75" customHeight="1" x14ac:dyDescent="0.2">
      <c r="D23" s="63"/>
      <c r="E23" s="744"/>
      <c r="F23" s="744"/>
      <c r="G23" s="745"/>
      <c r="H23" s="746"/>
      <c r="I23" s="747"/>
      <c r="J23" s="742"/>
      <c r="K23" s="743"/>
      <c r="L23" s="97" t="s">
        <v>201</v>
      </c>
      <c r="M23" s="743">
        <f t="shared" si="0"/>
        <v>0</v>
      </c>
      <c r="N23" s="743"/>
      <c r="O23" s="99" t="s">
        <v>201</v>
      </c>
      <c r="Q23" s="670">
        <f t="shared" si="1"/>
        <v>0</v>
      </c>
    </row>
    <row r="24" spans="2:17" ht="21.75" customHeight="1" x14ac:dyDescent="0.2">
      <c r="D24" s="63"/>
      <c r="E24" s="744"/>
      <c r="F24" s="744"/>
      <c r="G24" s="745"/>
      <c r="H24" s="746"/>
      <c r="I24" s="747"/>
      <c r="J24" s="742"/>
      <c r="K24" s="743"/>
      <c r="L24" s="97" t="s">
        <v>201</v>
      </c>
      <c r="M24" s="743">
        <f t="shared" si="0"/>
        <v>0</v>
      </c>
      <c r="N24" s="743"/>
      <c r="O24" s="99" t="s">
        <v>201</v>
      </c>
      <c r="Q24" s="670">
        <f t="shared" si="1"/>
        <v>0</v>
      </c>
    </row>
    <row r="25" spans="2:17" ht="21.75" customHeight="1" x14ac:dyDescent="0.2">
      <c r="D25" s="63"/>
      <c r="E25" s="744"/>
      <c r="F25" s="744"/>
      <c r="G25" s="745"/>
      <c r="H25" s="746"/>
      <c r="I25" s="747"/>
      <c r="J25" s="742"/>
      <c r="K25" s="743"/>
      <c r="L25" s="97" t="s">
        <v>201</v>
      </c>
      <c r="M25" s="743">
        <f t="shared" si="0"/>
        <v>0</v>
      </c>
      <c r="N25" s="743"/>
      <c r="O25" s="99" t="s">
        <v>201</v>
      </c>
      <c r="Q25" s="670">
        <f t="shared" si="1"/>
        <v>0</v>
      </c>
    </row>
    <row r="26" spans="2:17" ht="21.95" customHeight="1" thickBot="1" x14ac:dyDescent="0.25">
      <c r="C26" s="2"/>
      <c r="D26" s="2"/>
      <c r="E26" s="893"/>
      <c r="F26" s="893"/>
      <c r="G26" s="894"/>
      <c r="H26" s="895"/>
      <c r="I26" s="908"/>
      <c r="J26" s="897"/>
      <c r="K26" s="898"/>
      <c r="L26" s="119" t="s">
        <v>201</v>
      </c>
      <c r="M26" s="898">
        <f t="shared" si="0"/>
        <v>0</v>
      </c>
      <c r="N26" s="898"/>
      <c r="O26" s="118" t="s">
        <v>201</v>
      </c>
      <c r="Q26" s="670">
        <f t="shared" si="1"/>
        <v>0</v>
      </c>
    </row>
    <row r="27" spans="2:17" ht="16.5" thickTop="1" x14ac:dyDescent="0.25">
      <c r="B27" s="1617" t="s">
        <v>3276</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QBI+qm9i4DMYUJ/pjwOwNGyWTXMJ8POJV+vZxlTyIfq0wA/DkVLOnwwgBmUJuV09JvS88uQVd2Ygmf8u8TxtCg==" saltValue="5o467oCXVyN8shLayLhiCw==" spinCount="100000" sheet="1" objects="1" scenarios="1"/>
  <mergeCells count="8">
    <mergeCell ref="B2:O2"/>
    <mergeCell ref="J3:M3"/>
    <mergeCell ref="N3:O3"/>
    <mergeCell ref="B27:O27"/>
    <mergeCell ref="H4:I4"/>
    <mergeCell ref="H7:I7"/>
    <mergeCell ref="H8:I8"/>
    <mergeCell ref="D7:G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400-000000000000}">
          <x14:formula1>
            <xm:f>'Appropriation Codes'!$D$2:$D$11</xm:f>
          </x14:formula1>
          <xm:sqref>H9:H26</xm:sqref>
        </x14:dataValidation>
      </x14:dataValidations>
    </ext>
  </extLst>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Sheet74"/>
  <dimension ref="B2:T37"/>
  <sheetViews>
    <sheetView topLeftCell="E17" zoomScale="130" zoomScaleNormal="130" workbookViewId="0">
      <selection activeCell="E25" sqref="E25: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20" ht="21" thickBot="1" x14ac:dyDescent="0.35">
      <c r="B2" s="1700" t="s">
        <v>377</v>
      </c>
      <c r="C2" s="1700"/>
      <c r="D2" s="1700"/>
      <c r="E2" s="1700"/>
      <c r="F2" s="1700"/>
      <c r="G2" s="1700"/>
      <c r="H2" s="1700"/>
      <c r="I2" s="1700"/>
      <c r="J2" s="1700"/>
      <c r="K2" s="1700"/>
      <c r="L2" s="1700"/>
      <c r="M2" s="1700"/>
      <c r="N2" s="1700"/>
      <c r="O2" s="1700"/>
    </row>
    <row r="3" spans="2:20" ht="17.25" thickTop="1" thickBot="1" x14ac:dyDescent="0.3">
      <c r="B3" s="1" t="s">
        <v>16</v>
      </c>
      <c r="C3" s="222"/>
      <c r="D3" s="222"/>
      <c r="E3" s="222"/>
      <c r="F3" s="222"/>
      <c r="G3" s="6"/>
      <c r="H3" s="221"/>
      <c r="I3" s="237"/>
      <c r="J3" s="1705" t="s">
        <v>23</v>
      </c>
      <c r="K3" s="1707"/>
      <c r="L3" s="1707"/>
      <c r="M3" s="1708"/>
      <c r="N3" s="1705" t="str">
        <f>"Expended "&amp;'Key Inputs'!E34-1</f>
        <v>Expended 2020</v>
      </c>
      <c r="O3" s="1706"/>
    </row>
    <row r="4" spans="2:20" ht="15" customHeight="1" thickTop="1" x14ac:dyDescent="0.25">
      <c r="C4" s="63"/>
      <c r="D4" s="63"/>
      <c r="E4" s="63"/>
      <c r="F4" s="63"/>
      <c r="G4" s="7"/>
      <c r="H4" s="1711" t="s">
        <v>605</v>
      </c>
      <c r="I4" s="1712"/>
      <c r="J4" s="24"/>
      <c r="K4" s="25"/>
      <c r="L4" s="24" t="str">
        <f>"for "&amp;'Key Inputs'!E34-1&amp;"  By"</f>
        <v>for 2020  By</v>
      </c>
      <c r="M4" s="25" t="str">
        <f>"Total for "&amp;'Key Inputs'!E34-1</f>
        <v>Total for 2020</v>
      </c>
      <c r="N4" s="25"/>
      <c r="O4" s="81"/>
    </row>
    <row r="5" spans="2:20" ht="15" x14ac:dyDescent="0.25">
      <c r="C5" s="12"/>
      <c r="D5" s="63"/>
      <c r="E5" s="63"/>
      <c r="F5" s="63"/>
      <c r="G5" s="7"/>
      <c r="H5" s="184"/>
      <c r="I5" s="674"/>
      <c r="J5" s="24" t="str">
        <f>"for  "&amp;'Key Inputs'!E34</f>
        <v>for  2021</v>
      </c>
      <c r="K5" s="26" t="str">
        <f>"for  "&amp;'Key Inputs'!E34-1</f>
        <v>for  2020</v>
      </c>
      <c r="L5" s="24" t="s">
        <v>19</v>
      </c>
      <c r="M5" s="26" t="s">
        <v>24</v>
      </c>
      <c r="N5" s="26" t="s">
        <v>20</v>
      </c>
      <c r="O5" s="82" t="s">
        <v>22</v>
      </c>
      <c r="Q5" s="568" t="s">
        <v>3375</v>
      </c>
    </row>
    <row r="6" spans="2:20" ht="15" customHeight="1" thickBot="1" x14ac:dyDescent="0.3">
      <c r="B6" s="2"/>
      <c r="C6" s="3"/>
      <c r="D6" s="3"/>
      <c r="E6" s="2"/>
      <c r="F6" s="2"/>
      <c r="G6" s="8"/>
      <c r="H6" s="188"/>
      <c r="I6" s="675"/>
      <c r="J6" s="27"/>
      <c r="K6" s="28"/>
      <c r="L6" s="27" t="s">
        <v>18</v>
      </c>
      <c r="M6" s="28" t="s">
        <v>25</v>
      </c>
      <c r="N6" s="28" t="s">
        <v>21</v>
      </c>
      <c r="O6" s="83"/>
    </row>
    <row r="7" spans="2:20" ht="25.5" customHeight="1" thickTop="1" x14ac:dyDescent="0.2">
      <c r="C7" s="156" t="s">
        <v>268</v>
      </c>
      <c r="D7" s="1723" t="s">
        <v>270</v>
      </c>
      <c r="E7" s="1723"/>
      <c r="F7" s="1723"/>
      <c r="G7" s="1724"/>
      <c r="H7" s="1717" t="s">
        <v>200</v>
      </c>
      <c r="I7" s="1718"/>
      <c r="J7" s="94" t="s">
        <v>201</v>
      </c>
      <c r="K7" s="95" t="s">
        <v>201</v>
      </c>
      <c r="L7" s="94" t="s">
        <v>201</v>
      </c>
      <c r="M7" s="95" t="s">
        <v>201</v>
      </c>
      <c r="N7" s="95" t="s">
        <v>201</v>
      </c>
      <c r="O7" s="96" t="s">
        <v>201</v>
      </c>
    </row>
    <row r="8" spans="2:20" ht="21.95" customHeight="1" x14ac:dyDescent="0.25">
      <c r="C8" s="125" t="s">
        <v>214</v>
      </c>
      <c r="D8" s="104"/>
      <c r="E8" s="16"/>
      <c r="F8" s="16"/>
      <c r="G8" s="17"/>
      <c r="H8" s="1721" t="s">
        <v>200</v>
      </c>
      <c r="I8" s="1722"/>
      <c r="J8" s="97" t="s">
        <v>201</v>
      </c>
      <c r="K8" s="98" t="s">
        <v>201</v>
      </c>
      <c r="L8" s="97" t="s">
        <v>201</v>
      </c>
      <c r="M8" s="98" t="s">
        <v>201</v>
      </c>
      <c r="N8" s="98" t="s">
        <v>201</v>
      </c>
      <c r="O8" s="99" t="s">
        <v>201</v>
      </c>
    </row>
    <row r="9" spans="2:20" ht="12" customHeight="1" x14ac:dyDescent="0.25">
      <c r="C9" s="126"/>
      <c r="D9" s="126"/>
      <c r="E9" s="62" t="s">
        <v>219</v>
      </c>
      <c r="F9" s="104"/>
      <c r="G9" s="130"/>
      <c r="H9" s="688"/>
      <c r="I9" s="1027"/>
      <c r="J9" s="128"/>
      <c r="K9" s="58"/>
      <c r="L9" s="120"/>
      <c r="M9" s="58"/>
      <c r="N9" s="58"/>
      <c r="O9" s="121"/>
      <c r="P9" s="63"/>
      <c r="Q9" s="63"/>
      <c r="R9" s="63"/>
      <c r="S9" s="63"/>
      <c r="T9" s="63"/>
    </row>
    <row r="10" spans="2:20" ht="14.25" customHeight="1" x14ac:dyDescent="0.25">
      <c r="C10" s="63"/>
      <c r="D10" s="63"/>
      <c r="E10" s="129" t="s">
        <v>220</v>
      </c>
      <c r="F10" s="87"/>
      <c r="G10" s="88"/>
      <c r="H10" s="1200" t="s">
        <v>536</v>
      </c>
      <c r="I10" s="855"/>
      <c r="J10" s="903">
        <v>1720</v>
      </c>
      <c r="K10" s="868">
        <v>1720</v>
      </c>
      <c r="L10" s="920"/>
      <c r="M10" s="868">
        <f t="shared" ref="M10:M19" si="0">+K10</f>
        <v>1720</v>
      </c>
      <c r="N10" s="868">
        <v>1720</v>
      </c>
      <c r="O10" s="371">
        <f t="shared" ref="O10:O19" si="1">IFERROR(IF(+M10-N10&gt;=0,M10-N10,"*")-Q10,"*")</f>
        <v>0</v>
      </c>
      <c r="Q10" s="909"/>
    </row>
    <row r="11" spans="2:20" ht="24" customHeight="1" x14ac:dyDescent="0.25">
      <c r="C11" s="63"/>
      <c r="D11" s="63"/>
      <c r="E11" s="127" t="s">
        <v>221</v>
      </c>
      <c r="F11" s="16"/>
      <c r="G11" s="17"/>
      <c r="H11" s="1201" t="s">
        <v>537</v>
      </c>
      <c r="I11" s="1028"/>
      <c r="J11" s="742">
        <v>4596.49</v>
      </c>
      <c r="K11" s="743">
        <v>4506.3599999999997</v>
      </c>
      <c r="L11" s="921"/>
      <c r="M11" s="868">
        <f t="shared" si="0"/>
        <v>4506.3599999999997</v>
      </c>
      <c r="N11" s="743">
        <v>3964.09</v>
      </c>
      <c r="O11" s="371">
        <f t="shared" si="1"/>
        <v>542.26999999999953</v>
      </c>
      <c r="Q11" s="909"/>
    </row>
    <row r="12" spans="2:20" ht="24" customHeight="1" x14ac:dyDescent="0.25">
      <c r="C12" s="63"/>
      <c r="D12" s="63"/>
      <c r="E12" s="127" t="s">
        <v>222</v>
      </c>
      <c r="F12" s="16"/>
      <c r="G12" s="17"/>
      <c r="H12" s="1201" t="s">
        <v>538</v>
      </c>
      <c r="I12" s="1028"/>
      <c r="J12" s="742"/>
      <c r="K12" s="743"/>
      <c r="L12" s="921"/>
      <c r="M12" s="868">
        <f t="shared" si="0"/>
        <v>0</v>
      </c>
      <c r="N12" s="743"/>
      <c r="O12" s="371">
        <f t="shared" si="1"/>
        <v>0</v>
      </c>
      <c r="Q12" s="909"/>
    </row>
    <row r="13" spans="2:20" ht="24" customHeight="1" x14ac:dyDescent="0.25">
      <c r="C13" s="63"/>
      <c r="D13" s="63"/>
      <c r="E13" s="127" t="s">
        <v>223</v>
      </c>
      <c r="F13" s="16"/>
      <c r="G13" s="17"/>
      <c r="H13" s="1201" t="s">
        <v>539</v>
      </c>
      <c r="I13" s="1028"/>
      <c r="J13" s="742"/>
      <c r="K13" s="743"/>
      <c r="L13" s="921"/>
      <c r="M13" s="868">
        <f t="shared" si="0"/>
        <v>0</v>
      </c>
      <c r="N13" s="743"/>
      <c r="O13" s="371">
        <f t="shared" si="1"/>
        <v>0</v>
      </c>
      <c r="Q13" s="909"/>
    </row>
    <row r="14" spans="2:20" ht="24" customHeight="1" x14ac:dyDescent="0.25">
      <c r="C14" s="63"/>
      <c r="D14" s="63"/>
      <c r="E14" s="1728" t="s">
        <v>481</v>
      </c>
      <c r="F14" s="1728"/>
      <c r="G14" s="651"/>
      <c r="H14" s="1202" t="s">
        <v>124</v>
      </c>
      <c r="I14" s="1028"/>
      <c r="J14" s="742"/>
      <c r="K14" s="743"/>
      <c r="L14" s="921"/>
      <c r="M14" s="868">
        <f t="shared" si="0"/>
        <v>0</v>
      </c>
      <c r="N14" s="743"/>
      <c r="O14" s="371">
        <f t="shared" si="1"/>
        <v>0</v>
      </c>
      <c r="Q14" s="909"/>
    </row>
    <row r="15" spans="2:20" ht="24" customHeight="1" x14ac:dyDescent="0.25">
      <c r="C15" s="63"/>
      <c r="D15" s="63"/>
      <c r="E15" s="919"/>
      <c r="F15" s="744"/>
      <c r="G15" s="745"/>
      <c r="H15" s="932"/>
      <c r="I15" s="1028"/>
      <c r="J15" s="742"/>
      <c r="K15" s="743"/>
      <c r="L15" s="921"/>
      <c r="M15" s="868">
        <f t="shared" si="0"/>
        <v>0</v>
      </c>
      <c r="N15" s="743"/>
      <c r="O15" s="371">
        <f t="shared" si="1"/>
        <v>0</v>
      </c>
      <c r="Q15" s="909"/>
    </row>
    <row r="16" spans="2:20" ht="24" customHeight="1" x14ac:dyDescent="0.25">
      <c r="C16" s="63"/>
      <c r="D16" s="63"/>
      <c r="E16" s="919"/>
      <c r="F16" s="744"/>
      <c r="G16" s="745"/>
      <c r="H16" s="932"/>
      <c r="I16" s="1028"/>
      <c r="J16" s="742"/>
      <c r="K16" s="743"/>
      <c r="L16" s="921"/>
      <c r="M16" s="868">
        <f t="shared" si="0"/>
        <v>0</v>
      </c>
      <c r="N16" s="743"/>
      <c r="O16" s="371">
        <f t="shared" si="1"/>
        <v>0</v>
      </c>
      <c r="Q16" s="909"/>
    </row>
    <row r="17" spans="2:18" ht="24" customHeight="1" x14ac:dyDescent="0.25">
      <c r="C17" s="63"/>
      <c r="D17" s="63"/>
      <c r="E17" s="744"/>
      <c r="F17" s="744"/>
      <c r="G17" s="745"/>
      <c r="H17" s="932"/>
      <c r="I17" s="1028"/>
      <c r="J17" s="742"/>
      <c r="K17" s="743"/>
      <c r="L17" s="921"/>
      <c r="M17" s="868">
        <f t="shared" si="0"/>
        <v>0</v>
      </c>
      <c r="N17" s="743"/>
      <c r="O17" s="371">
        <f t="shared" si="1"/>
        <v>0</v>
      </c>
      <c r="Q17" s="909"/>
    </row>
    <row r="18" spans="2:18" ht="24" customHeight="1" x14ac:dyDescent="0.25">
      <c r="C18" s="63"/>
      <c r="D18" s="63"/>
      <c r="E18" s="127" t="s">
        <v>3347</v>
      </c>
      <c r="F18" s="16"/>
      <c r="G18" s="17"/>
      <c r="H18" s="1201" t="s">
        <v>161</v>
      </c>
      <c r="I18" s="1028"/>
      <c r="J18" s="742"/>
      <c r="K18" s="743"/>
      <c r="L18" s="921"/>
      <c r="M18" s="868">
        <f t="shared" si="0"/>
        <v>0</v>
      </c>
      <c r="N18" s="743"/>
      <c r="O18" s="371">
        <f t="shared" si="1"/>
        <v>0</v>
      </c>
      <c r="Q18" s="909"/>
    </row>
    <row r="19" spans="2:18" ht="24" customHeight="1" thickBot="1" x14ac:dyDescent="0.25">
      <c r="C19" s="63"/>
      <c r="D19" s="63"/>
      <c r="E19" s="744"/>
      <c r="F19" s="744"/>
      <c r="G19" s="745"/>
      <c r="H19" s="932"/>
      <c r="I19" s="145"/>
      <c r="J19" s="905"/>
      <c r="K19" s="865"/>
      <c r="L19" s="922"/>
      <c r="M19" s="868">
        <f t="shared" si="0"/>
        <v>0</v>
      </c>
      <c r="N19" s="865"/>
      <c r="O19" s="371">
        <f t="shared" si="1"/>
        <v>0</v>
      </c>
      <c r="Q19" s="909"/>
    </row>
    <row r="20" spans="2:18" ht="24" customHeight="1" thickTop="1" thickBot="1" x14ac:dyDescent="0.3">
      <c r="C20" s="16"/>
      <c r="D20" s="16"/>
      <c r="E20" s="1727" t="s">
        <v>217</v>
      </c>
      <c r="F20" s="1727"/>
      <c r="G20" s="650"/>
      <c r="H20" s="1203" t="s">
        <v>380</v>
      </c>
      <c r="I20" s="1028"/>
      <c r="J20" s="112">
        <f>+SUM(J9:J19)+SUM('18:18a'!J9:J26)</f>
        <v>6316.49</v>
      </c>
      <c r="K20" s="112">
        <f>+SUM(K9:K19)+SUM('18:18a'!K9:K26)</f>
        <v>6226.36</v>
      </c>
      <c r="L20" s="112">
        <f>+SUM(L9:L19)+SUM('18:18a'!L9:L26)</f>
        <v>0</v>
      </c>
      <c r="M20" s="112">
        <f>+SUM(M9:M19)+SUM('18:18a'!M9:M26)</f>
        <v>6226.36</v>
      </c>
      <c r="N20" s="112">
        <f>+SUM(N9:N19)+SUM('18:18a'!N9:N26)</f>
        <v>5684.09</v>
      </c>
      <c r="O20" s="113">
        <f>+SUM(O9:O19)+SUM('18:18a'!O9:O26)</f>
        <v>542.26999999999953</v>
      </c>
    </row>
    <row r="21" spans="2:18" ht="24" customHeight="1" thickTop="1" x14ac:dyDescent="0.2">
      <c r="C21" s="16"/>
      <c r="D21" s="16"/>
      <c r="E21" s="16"/>
      <c r="F21" s="16"/>
      <c r="G21" s="17"/>
      <c r="H21" s="1201"/>
      <c r="I21" s="17"/>
      <c r="J21" s="110"/>
      <c r="K21" s="30"/>
      <c r="L21" s="124"/>
      <c r="M21" s="30"/>
      <c r="N21" s="30"/>
      <c r="O21" s="1030"/>
    </row>
    <row r="22" spans="2:18" ht="24" customHeight="1" x14ac:dyDescent="0.2">
      <c r="C22" s="106" t="s">
        <v>5229</v>
      </c>
      <c r="D22" s="16"/>
      <c r="E22" s="16"/>
      <c r="F22" s="16"/>
      <c r="G22" s="17"/>
      <c r="H22" s="1201" t="s">
        <v>559</v>
      </c>
      <c r="I22" s="17"/>
      <c r="J22" s="742"/>
      <c r="K22" s="743"/>
      <c r="L22" s="921"/>
      <c r="M22" s="743">
        <f>+K22</f>
        <v>0</v>
      </c>
      <c r="N22" s="743"/>
      <c r="O22" s="99" t="s">
        <v>201</v>
      </c>
      <c r="Q22" s="29">
        <f>M22-N22</f>
        <v>0</v>
      </c>
    </row>
    <row r="23" spans="2:18" ht="24" customHeight="1" x14ac:dyDescent="0.25">
      <c r="C23" s="106" t="s">
        <v>506</v>
      </c>
      <c r="D23" s="16"/>
      <c r="E23" s="16"/>
      <c r="F23" s="16"/>
      <c r="G23" s="17"/>
      <c r="H23" s="1201" t="s">
        <v>540</v>
      </c>
      <c r="I23" s="1028"/>
      <c r="J23" s="742"/>
      <c r="K23" s="743"/>
      <c r="L23" s="921"/>
      <c r="M23" s="743">
        <f>+K23</f>
        <v>0</v>
      </c>
      <c r="N23" s="743"/>
      <c r="O23" s="1031">
        <f>IFERROR(IF(+M23-N23&gt;=0,M23-N23,"*")-Q23,"*")</f>
        <v>0</v>
      </c>
    </row>
    <row r="24" spans="2:18" ht="21" customHeight="1" thickBot="1" x14ac:dyDescent="0.25">
      <c r="C24" s="16"/>
      <c r="D24" s="16"/>
      <c r="E24" s="16"/>
      <c r="F24" s="16"/>
      <c r="G24" s="17"/>
      <c r="H24" s="1201"/>
      <c r="I24" s="17"/>
      <c r="J24" s="107"/>
      <c r="K24" s="58"/>
      <c r="L24" s="120"/>
      <c r="M24" s="58"/>
      <c r="N24" s="58"/>
      <c r="O24" s="1032"/>
    </row>
    <row r="25" spans="2:18" ht="25.5" customHeight="1" thickTop="1" thickBot="1" x14ac:dyDescent="0.3">
      <c r="C25" s="1725" t="s">
        <v>215</v>
      </c>
      <c r="D25" s="1725"/>
      <c r="E25" s="1726" t="s">
        <v>216</v>
      </c>
      <c r="F25" s="1726"/>
      <c r="G25" s="649"/>
      <c r="H25" s="1204" t="s">
        <v>381</v>
      </c>
      <c r="I25" s="1029"/>
      <c r="J25" s="122">
        <f>+J23+J20+'17a'!J23+J22</f>
        <v>394670.05999999994</v>
      </c>
      <c r="K25" s="122">
        <f>+K23+K20+'17a'!K23+K22</f>
        <v>383269.38999999996</v>
      </c>
      <c r="L25" s="122">
        <f>+L23+L20+'17a'!L23+L22</f>
        <v>0</v>
      </c>
      <c r="M25" s="122">
        <f>+M23+M20+'17a'!M23+M22</f>
        <v>383269.38999999996</v>
      </c>
      <c r="N25" s="122">
        <f>+N23+N20+'17a'!N23+N22</f>
        <v>290976.89000000007</v>
      </c>
      <c r="O25" s="137">
        <f>+O23+O20+'17a'!O23</f>
        <v>92292.5</v>
      </c>
      <c r="R25" s="29">
        <f>+M25-N25-O25</f>
        <v>-1.1641532182693481E-10</v>
      </c>
    </row>
    <row r="26" spans="2:18" ht="16.5" thickTop="1" x14ac:dyDescent="0.25">
      <c r="B26" s="1617" t="s">
        <v>218</v>
      </c>
      <c r="C26" s="1617"/>
      <c r="D26" s="1617"/>
      <c r="E26" s="1617"/>
      <c r="F26" s="1617"/>
      <c r="G26" s="1617"/>
      <c r="H26" s="1617"/>
      <c r="I26" s="1617"/>
      <c r="J26" s="1617"/>
      <c r="K26" s="1617"/>
      <c r="L26" s="1617"/>
      <c r="M26" s="1617"/>
      <c r="N26" s="1617"/>
      <c r="O26" s="1617"/>
    </row>
    <row r="28" spans="2:18" x14ac:dyDescent="0.2">
      <c r="J28" s="29"/>
      <c r="M28" s="29"/>
    </row>
    <row r="29" spans="2:18" x14ac:dyDescent="0.2">
      <c r="J29" s="29"/>
    </row>
    <row r="30" spans="2:18" x14ac:dyDescent="0.2">
      <c r="K30" s="29"/>
      <c r="L30" s="180"/>
      <c r="M30" s="180"/>
      <c r="N30" s="29"/>
    </row>
    <row r="31" spans="2:18" x14ac:dyDescent="0.2">
      <c r="J31" s="180"/>
      <c r="K31" s="180"/>
      <c r="L31" s="180"/>
      <c r="M31" s="180"/>
      <c r="N31" s="29"/>
    </row>
    <row r="32" spans="2:18" x14ac:dyDescent="0.2">
      <c r="J32" s="180"/>
      <c r="K32" s="180"/>
      <c r="L32" s="180"/>
    </row>
    <row r="33" spans="10:12" x14ac:dyDescent="0.2">
      <c r="J33" s="180"/>
      <c r="K33" s="180"/>
      <c r="L33" s="180"/>
    </row>
    <row r="34" spans="10:12" x14ac:dyDescent="0.2">
      <c r="J34" s="180"/>
    </row>
    <row r="35" spans="10:12" x14ac:dyDescent="0.2">
      <c r="J35" s="180"/>
    </row>
    <row r="37" spans="10:12" x14ac:dyDescent="0.2">
      <c r="J37" s="29"/>
    </row>
  </sheetData>
  <sheetProtection algorithmName="SHA-512" hashValue="ET4Ij7FNVfOxCbiw3Lr00j2U5WaSG8u8GnY45G/S7ex38pCFxU3MbGG4BES3+o1Vbvo5nlDSgLyGNm3XBmaqUg==" saltValue="OLTCM1HBua9pOo2lT/XHrg==" spinCount="100000" sheet="1" objects="1" scenarios="1"/>
  <mergeCells count="12">
    <mergeCell ref="H4:I4"/>
    <mergeCell ref="H7:I7"/>
    <mergeCell ref="H8:I8"/>
    <mergeCell ref="B2:O2"/>
    <mergeCell ref="N3:O3"/>
    <mergeCell ref="J3:M3"/>
    <mergeCell ref="D7:G7"/>
    <mergeCell ref="B26:O26"/>
    <mergeCell ref="C25:D25"/>
    <mergeCell ref="E25:F25"/>
    <mergeCell ref="E20:F20"/>
    <mergeCell ref="E14:F1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500-000000000000}">
          <x14:formula1>
            <xm:f>'Appropriation Codes'!$E$2:$E$3</xm:f>
          </x14:formula1>
          <xm:sqref>H15:H17 H19</xm:sqref>
        </x14:dataValidation>
      </x14:dataValidations>
    </ext>
  </extLst>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Sheet75"/>
  <dimension ref="B2:Q3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886"/>
      <c r="D7" s="886"/>
      <c r="E7" s="886"/>
      <c r="F7" s="886"/>
      <c r="G7" s="923"/>
      <c r="H7" s="924"/>
      <c r="I7" s="1044"/>
      <c r="J7" s="925"/>
      <c r="K7" s="926"/>
      <c r="L7" s="925"/>
      <c r="M7" s="743">
        <f>+K7</f>
        <v>0</v>
      </c>
      <c r="N7" s="926"/>
      <c r="O7" s="370">
        <f t="shared" ref="O7:O26" si="0">IFERROR(IF(+M7-N7&gt;=0,M7-N7,"*")-Q7,"*")</f>
        <v>0</v>
      </c>
      <c r="Q7" s="1261"/>
    </row>
    <row r="8" spans="2:17" ht="21.95" customHeight="1" x14ac:dyDescent="0.25">
      <c r="C8" s="744"/>
      <c r="D8" s="744"/>
      <c r="E8" s="744"/>
      <c r="F8" s="744"/>
      <c r="G8" s="745"/>
      <c r="H8" s="746"/>
      <c r="I8" s="1026"/>
      <c r="J8" s="742"/>
      <c r="K8" s="743"/>
      <c r="L8" s="742"/>
      <c r="M8" s="743">
        <f>+K8</f>
        <v>0</v>
      </c>
      <c r="N8" s="743"/>
      <c r="O8" s="370">
        <f t="shared" si="0"/>
        <v>0</v>
      </c>
      <c r="Q8" s="1261"/>
    </row>
    <row r="9" spans="2:17" ht="21.95" customHeight="1" x14ac:dyDescent="0.25">
      <c r="C9" s="744"/>
      <c r="D9" s="744"/>
      <c r="E9" s="744"/>
      <c r="F9" s="744"/>
      <c r="G9" s="745"/>
      <c r="H9" s="746"/>
      <c r="I9" s="1026"/>
      <c r="J9" s="742"/>
      <c r="K9" s="743"/>
      <c r="L9" s="742"/>
      <c r="M9" s="743">
        <f t="shared" ref="M9:M26" si="1">+K9</f>
        <v>0</v>
      </c>
      <c r="N9" s="743"/>
      <c r="O9" s="370">
        <f t="shared" si="0"/>
        <v>0</v>
      </c>
      <c r="Q9" s="1261"/>
    </row>
    <row r="10" spans="2:17" ht="21.95" customHeight="1" x14ac:dyDescent="0.25">
      <c r="C10" s="744"/>
      <c r="D10" s="744"/>
      <c r="E10" s="744"/>
      <c r="F10" s="744"/>
      <c r="G10" s="745"/>
      <c r="H10" s="746"/>
      <c r="I10" s="1026"/>
      <c r="J10" s="742"/>
      <c r="K10" s="743"/>
      <c r="L10" s="742"/>
      <c r="M10" s="743">
        <f t="shared" si="1"/>
        <v>0</v>
      </c>
      <c r="N10" s="743"/>
      <c r="O10" s="370">
        <f t="shared" si="0"/>
        <v>0</v>
      </c>
      <c r="Q10" s="1261"/>
    </row>
    <row r="11" spans="2:17" ht="21.95" customHeight="1" x14ac:dyDescent="0.2">
      <c r="C11" s="744"/>
      <c r="D11" s="744"/>
      <c r="E11" s="744"/>
      <c r="F11" s="744"/>
      <c r="G11" s="745"/>
      <c r="H11" s="746"/>
      <c r="I11" s="892"/>
      <c r="J11" s="742"/>
      <c r="K11" s="743"/>
      <c r="L11" s="742"/>
      <c r="M11" s="743">
        <f t="shared" si="1"/>
        <v>0</v>
      </c>
      <c r="N11" s="743"/>
      <c r="O11" s="370">
        <f t="shared" si="0"/>
        <v>0</v>
      </c>
      <c r="Q11" s="1261"/>
    </row>
    <row r="12" spans="2:17" ht="21.95" customHeight="1" x14ac:dyDescent="0.2">
      <c r="C12" s="744"/>
      <c r="D12" s="744"/>
      <c r="E12" s="744"/>
      <c r="F12" s="744"/>
      <c r="G12" s="745"/>
      <c r="H12" s="746"/>
      <c r="I12" s="892"/>
      <c r="J12" s="742"/>
      <c r="K12" s="743"/>
      <c r="L12" s="742"/>
      <c r="M12" s="743">
        <f t="shared" si="1"/>
        <v>0</v>
      </c>
      <c r="N12" s="743"/>
      <c r="O12" s="370">
        <f t="shared" si="0"/>
        <v>0</v>
      </c>
      <c r="Q12" s="1261"/>
    </row>
    <row r="13" spans="2:17" ht="21.95" customHeight="1" x14ac:dyDescent="0.2">
      <c r="C13" s="748"/>
      <c r="D13" s="744"/>
      <c r="E13" s="744"/>
      <c r="F13" s="744"/>
      <c r="G13" s="745"/>
      <c r="H13" s="746"/>
      <c r="I13" s="892"/>
      <c r="J13" s="742"/>
      <c r="K13" s="743"/>
      <c r="L13" s="742"/>
      <c r="M13" s="743">
        <f t="shared" si="1"/>
        <v>0</v>
      </c>
      <c r="N13" s="743"/>
      <c r="O13" s="370">
        <f t="shared" si="0"/>
        <v>0</v>
      </c>
      <c r="Q13" s="1261"/>
    </row>
    <row r="14" spans="2:17" ht="21.95" customHeight="1" x14ac:dyDescent="0.25">
      <c r="C14" s="744"/>
      <c r="D14" s="817"/>
      <c r="E14" s="744"/>
      <c r="F14" s="744"/>
      <c r="G14" s="745"/>
      <c r="H14" s="746"/>
      <c r="I14" s="1026"/>
      <c r="J14" s="742"/>
      <c r="K14" s="743"/>
      <c r="L14" s="742"/>
      <c r="M14" s="743">
        <f t="shared" si="1"/>
        <v>0</v>
      </c>
      <c r="N14" s="743"/>
      <c r="O14" s="370">
        <f t="shared" si="0"/>
        <v>0</v>
      </c>
      <c r="Q14" s="1261"/>
    </row>
    <row r="15" spans="2:17" ht="21.95" customHeight="1" x14ac:dyDescent="0.2">
      <c r="C15" s="744"/>
      <c r="D15" s="817"/>
      <c r="E15" s="744"/>
      <c r="F15" s="744"/>
      <c r="G15" s="745"/>
      <c r="H15" s="746"/>
      <c r="I15" s="892"/>
      <c r="J15" s="742"/>
      <c r="K15" s="743"/>
      <c r="L15" s="742"/>
      <c r="M15" s="743">
        <f t="shared" si="1"/>
        <v>0</v>
      </c>
      <c r="N15" s="743"/>
      <c r="O15" s="370">
        <f t="shared" si="0"/>
        <v>0</v>
      </c>
      <c r="Q15" s="1261"/>
    </row>
    <row r="16" spans="2:17" ht="21.95" customHeight="1" x14ac:dyDescent="0.2">
      <c r="C16" s="744"/>
      <c r="D16" s="817"/>
      <c r="E16" s="744"/>
      <c r="F16" s="744"/>
      <c r="G16" s="745"/>
      <c r="H16" s="746"/>
      <c r="I16" s="892"/>
      <c r="J16" s="927"/>
      <c r="K16" s="743"/>
      <c r="L16" s="742"/>
      <c r="M16" s="743">
        <f t="shared" si="1"/>
        <v>0</v>
      </c>
      <c r="N16" s="743"/>
      <c r="O16" s="370">
        <f t="shared" si="0"/>
        <v>0</v>
      </c>
      <c r="Q16" s="1261"/>
    </row>
    <row r="17" spans="2:17" ht="21.95" customHeight="1" x14ac:dyDescent="0.2">
      <c r="C17" s="744"/>
      <c r="D17" s="817"/>
      <c r="E17" s="744"/>
      <c r="F17" s="744"/>
      <c r="G17" s="745"/>
      <c r="H17" s="746"/>
      <c r="I17" s="892"/>
      <c r="J17" s="927"/>
      <c r="K17" s="743"/>
      <c r="L17" s="742"/>
      <c r="M17" s="743">
        <f t="shared" si="1"/>
        <v>0</v>
      </c>
      <c r="N17" s="743"/>
      <c r="O17" s="370">
        <f t="shared" si="0"/>
        <v>0</v>
      </c>
      <c r="Q17" s="1261"/>
    </row>
    <row r="18" spans="2:17" ht="21.95" customHeight="1" x14ac:dyDescent="0.2">
      <c r="C18" s="744"/>
      <c r="D18" s="817"/>
      <c r="E18" s="744"/>
      <c r="F18" s="744"/>
      <c r="G18" s="745"/>
      <c r="H18" s="746"/>
      <c r="I18" s="892"/>
      <c r="J18" s="927"/>
      <c r="K18" s="743"/>
      <c r="L18" s="742"/>
      <c r="M18" s="743">
        <f t="shared" si="1"/>
        <v>0</v>
      </c>
      <c r="N18" s="743"/>
      <c r="O18" s="370">
        <f t="shared" si="0"/>
        <v>0</v>
      </c>
      <c r="Q18" s="1261"/>
    </row>
    <row r="19" spans="2:17" ht="21.95" customHeight="1" x14ac:dyDescent="0.2">
      <c r="C19" s="744"/>
      <c r="D19" s="817"/>
      <c r="E19" s="744"/>
      <c r="F19" s="744"/>
      <c r="G19" s="745"/>
      <c r="H19" s="746"/>
      <c r="I19" s="892"/>
      <c r="J19" s="742"/>
      <c r="K19" s="743"/>
      <c r="L19" s="742"/>
      <c r="M19" s="743">
        <f t="shared" si="1"/>
        <v>0</v>
      </c>
      <c r="N19" s="743"/>
      <c r="O19" s="370">
        <f t="shared" si="0"/>
        <v>0</v>
      </c>
      <c r="Q19" s="1261"/>
    </row>
    <row r="20" spans="2:17" ht="21.95" customHeight="1" x14ac:dyDescent="0.2">
      <c r="C20" s="744"/>
      <c r="D20" s="817"/>
      <c r="E20" s="744"/>
      <c r="F20" s="744"/>
      <c r="G20" s="745"/>
      <c r="H20" s="746"/>
      <c r="I20" s="892"/>
      <c r="J20" s="742"/>
      <c r="K20" s="743"/>
      <c r="L20" s="742"/>
      <c r="M20" s="743">
        <f t="shared" si="1"/>
        <v>0</v>
      </c>
      <c r="N20" s="743"/>
      <c r="O20" s="370">
        <f t="shared" si="0"/>
        <v>0</v>
      </c>
      <c r="Q20" s="1261"/>
    </row>
    <row r="21" spans="2:17" ht="21.95" customHeight="1" x14ac:dyDescent="0.2">
      <c r="C21" s="744"/>
      <c r="D21" s="817"/>
      <c r="E21" s="744"/>
      <c r="F21" s="744"/>
      <c r="G21" s="745"/>
      <c r="H21" s="746"/>
      <c r="I21" s="892"/>
      <c r="J21" s="742"/>
      <c r="K21" s="743"/>
      <c r="L21" s="742"/>
      <c r="M21" s="743">
        <f t="shared" si="1"/>
        <v>0</v>
      </c>
      <c r="N21" s="743"/>
      <c r="O21" s="370">
        <f t="shared" si="0"/>
        <v>0</v>
      </c>
      <c r="Q21" s="1261"/>
    </row>
    <row r="22" spans="2:17" ht="21.95" customHeight="1" x14ac:dyDescent="0.2">
      <c r="C22" s="744"/>
      <c r="D22" s="817"/>
      <c r="E22" s="744"/>
      <c r="F22" s="744"/>
      <c r="G22" s="745"/>
      <c r="H22" s="746"/>
      <c r="I22" s="892"/>
      <c r="J22" s="742"/>
      <c r="K22" s="743"/>
      <c r="L22" s="742"/>
      <c r="M22" s="743">
        <f t="shared" si="1"/>
        <v>0</v>
      </c>
      <c r="N22" s="743"/>
      <c r="O22" s="370">
        <f t="shared" si="0"/>
        <v>0</v>
      </c>
      <c r="Q22" s="1261"/>
    </row>
    <row r="23" spans="2:17" ht="21.95" customHeight="1" x14ac:dyDescent="0.2">
      <c r="C23" s="744"/>
      <c r="D23" s="817"/>
      <c r="E23" s="744"/>
      <c r="F23" s="744"/>
      <c r="G23" s="745"/>
      <c r="H23" s="746"/>
      <c r="I23" s="892"/>
      <c r="J23" s="742"/>
      <c r="K23" s="743"/>
      <c r="L23" s="742"/>
      <c r="M23" s="743">
        <f t="shared" si="1"/>
        <v>0</v>
      </c>
      <c r="N23" s="743"/>
      <c r="O23" s="370">
        <f t="shared" si="0"/>
        <v>0</v>
      </c>
      <c r="Q23" s="1261"/>
    </row>
    <row r="24" spans="2:17" ht="21.95" customHeight="1" x14ac:dyDescent="0.2">
      <c r="C24" s="744"/>
      <c r="D24" s="817"/>
      <c r="E24" s="744"/>
      <c r="F24" s="744"/>
      <c r="G24" s="745"/>
      <c r="H24" s="746"/>
      <c r="I24" s="892"/>
      <c r="J24" s="742"/>
      <c r="K24" s="743"/>
      <c r="L24" s="742"/>
      <c r="M24" s="743">
        <f t="shared" si="1"/>
        <v>0</v>
      </c>
      <c r="N24" s="743"/>
      <c r="O24" s="370">
        <f t="shared" si="0"/>
        <v>0</v>
      </c>
      <c r="Q24" s="1261"/>
    </row>
    <row r="25" spans="2:17" ht="21.95" customHeight="1" x14ac:dyDescent="0.2">
      <c r="B25" s="1224"/>
      <c r="C25" s="1234"/>
      <c r="D25" s="1234"/>
      <c r="E25" s="1234"/>
      <c r="F25" s="1234"/>
      <c r="G25" s="1235"/>
      <c r="H25" s="1236"/>
      <c r="I25" s="1237"/>
      <c r="J25" s="1238"/>
      <c r="K25" s="1239"/>
      <c r="L25" s="1238"/>
      <c r="M25" s="1239">
        <v>0</v>
      </c>
      <c r="N25" s="1239"/>
      <c r="O25" s="1240">
        <v>0</v>
      </c>
      <c r="P25" s="1224"/>
      <c r="Q25" s="1225"/>
    </row>
    <row r="26" spans="2:17" ht="21.95" customHeight="1" thickBot="1" x14ac:dyDescent="0.25">
      <c r="B26" s="2"/>
      <c r="C26" s="1226"/>
      <c r="D26" s="1226"/>
      <c r="E26" s="1226"/>
      <c r="F26" s="1226"/>
      <c r="G26" s="1227"/>
      <c r="H26" s="1228"/>
      <c r="I26" s="1229"/>
      <c r="J26" s="1230"/>
      <c r="K26" s="1231"/>
      <c r="L26" s="1230"/>
      <c r="M26" s="1231">
        <f t="shared" si="1"/>
        <v>0</v>
      </c>
      <c r="N26" s="1231"/>
      <c r="O26" s="1232">
        <f t="shared" si="0"/>
        <v>0</v>
      </c>
      <c r="P26" s="1233"/>
      <c r="Q26" s="1233"/>
    </row>
    <row r="27" spans="2:17" ht="16.5" thickTop="1" x14ac:dyDescent="0.25">
      <c r="B27" s="1617" t="s">
        <v>225</v>
      </c>
      <c r="C27" s="1617"/>
      <c r="D27" s="1617"/>
      <c r="E27" s="1617"/>
      <c r="F27" s="1617"/>
      <c r="G27" s="1617"/>
      <c r="H27" s="1617"/>
      <c r="I27" s="1617"/>
      <c r="J27" s="1617"/>
      <c r="K27" s="1617"/>
      <c r="L27" s="1617"/>
      <c r="M27" s="1617"/>
      <c r="N27" s="1617"/>
      <c r="O27" s="1617"/>
    </row>
    <row r="30" spans="2:17" x14ac:dyDescent="0.2">
      <c r="J30" s="29"/>
    </row>
    <row r="36" spans="10:11" x14ac:dyDescent="0.2">
      <c r="J36" s="29"/>
      <c r="K36" s="29"/>
    </row>
    <row r="38" spans="10:11" x14ac:dyDescent="0.2">
      <c r="J38" s="29"/>
    </row>
  </sheetData>
  <sheetProtection algorithmName="SHA-512" hashValue="nVD5zS56pUbL/uteoi6EsU1l8LE4U0z6po8unC1rWTEbHm5f1XymhQns+w7p+awgGnjswpvsRsGabX9yK7S8Mg==" saltValue="QgsP4OZu/L/fxv3ItxlAPA=="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600-000000000000}">
          <x14:formula1>
            <xm:f>'Appropriation Codes'!$F$2:$F$17</xm:f>
          </x14:formula1>
          <xm:sqref>H7:H26</xm:sqref>
        </x14:dataValidation>
      </x14:dataValidations>
    </ext>
  </extLst>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Sheet76"/>
  <dimension ref="B2:R30"/>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8" ht="21" thickBot="1" x14ac:dyDescent="0.35">
      <c r="B2" s="1700" t="s">
        <v>377</v>
      </c>
      <c r="C2" s="1700"/>
      <c r="D2" s="1700"/>
      <c r="E2" s="1700"/>
      <c r="F2" s="1700"/>
      <c r="G2" s="1700"/>
      <c r="H2" s="1700"/>
      <c r="I2" s="1700"/>
      <c r="J2" s="1700"/>
      <c r="K2" s="1700"/>
      <c r="L2" s="1700"/>
      <c r="M2" s="1700"/>
      <c r="N2" s="1700"/>
      <c r="O2" s="1700"/>
    </row>
    <row r="3" spans="2:18" ht="17.25" thickTop="1" thickBot="1" x14ac:dyDescent="0.3">
      <c r="B3" s="1" t="s">
        <v>16</v>
      </c>
      <c r="F3" s="222"/>
      <c r="G3" s="6"/>
      <c r="H3" s="221"/>
      <c r="I3" s="237"/>
      <c r="J3" s="1705" t="s">
        <v>23</v>
      </c>
      <c r="K3" s="1707"/>
      <c r="L3" s="1707"/>
      <c r="M3" s="1708"/>
      <c r="N3" s="1705" t="str">
        <f>"Expended "&amp;'Key Inputs'!E34-1</f>
        <v>Expended 2020</v>
      </c>
      <c r="O3" s="1706"/>
    </row>
    <row r="4" spans="2:18"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8"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8" ht="15" customHeight="1" thickBot="1" x14ac:dyDescent="0.3">
      <c r="B6" s="2"/>
      <c r="C6" s="3"/>
      <c r="D6" s="3"/>
      <c r="E6" s="2"/>
      <c r="F6" s="2"/>
      <c r="G6" s="8"/>
      <c r="H6" s="188"/>
      <c r="I6" s="675"/>
      <c r="J6" s="27"/>
      <c r="K6" s="28"/>
      <c r="L6" s="27" t="s">
        <v>18</v>
      </c>
      <c r="M6" s="28" t="s">
        <v>25</v>
      </c>
      <c r="N6" s="28" t="s">
        <v>21</v>
      </c>
      <c r="O6" s="83"/>
    </row>
    <row r="7" spans="2:18" ht="21.95" customHeight="1" thickTop="1" x14ac:dyDescent="0.2">
      <c r="C7" s="886"/>
      <c r="D7" s="886"/>
      <c r="E7" s="886"/>
      <c r="F7" s="886"/>
      <c r="G7" s="923"/>
      <c r="H7" s="924"/>
      <c r="I7" s="1045"/>
      <c r="J7" s="928"/>
      <c r="K7" s="929"/>
      <c r="L7" s="928"/>
      <c r="M7" s="929">
        <f>+K7</f>
        <v>0</v>
      </c>
      <c r="N7" s="930"/>
      <c r="O7" s="370">
        <f t="shared" ref="O7:O24" si="0">IFERROR(IF(+M7-N7&gt;=0,M7-N7,"*")-Q7,"*")</f>
        <v>0</v>
      </c>
      <c r="P7" s="134"/>
      <c r="Q7" s="1261"/>
      <c r="R7" s="134"/>
    </row>
    <row r="8" spans="2:18" ht="21.95" customHeight="1" x14ac:dyDescent="0.2">
      <c r="C8" s="744"/>
      <c r="D8" s="744"/>
      <c r="E8" s="744"/>
      <c r="F8" s="744"/>
      <c r="G8" s="745"/>
      <c r="H8" s="746"/>
      <c r="I8" s="1046"/>
      <c r="J8" s="742"/>
      <c r="K8" s="743"/>
      <c r="L8" s="742"/>
      <c r="M8" s="743">
        <f>+K8</f>
        <v>0</v>
      </c>
      <c r="N8" s="743"/>
      <c r="O8" s="370">
        <f t="shared" si="0"/>
        <v>0</v>
      </c>
      <c r="Q8" s="1261"/>
    </row>
    <row r="9" spans="2:18" ht="21.95" customHeight="1" x14ac:dyDescent="0.2">
      <c r="C9" s="744"/>
      <c r="D9" s="744"/>
      <c r="E9" s="744"/>
      <c r="F9" s="744"/>
      <c r="G9" s="745"/>
      <c r="H9" s="746"/>
      <c r="I9" s="1046"/>
      <c r="J9" s="742"/>
      <c r="K9" s="743"/>
      <c r="L9" s="742"/>
      <c r="M9" s="743">
        <f t="shared" ref="M9:M24" si="1">+K9</f>
        <v>0</v>
      </c>
      <c r="N9" s="743"/>
      <c r="O9" s="370">
        <f t="shared" si="0"/>
        <v>0</v>
      </c>
      <c r="Q9" s="1261"/>
    </row>
    <row r="10" spans="2:18" ht="21.95" customHeight="1" x14ac:dyDescent="0.2">
      <c r="C10" s="744"/>
      <c r="D10" s="744"/>
      <c r="E10" s="744"/>
      <c r="F10" s="744"/>
      <c r="G10" s="745"/>
      <c r="H10" s="746"/>
      <c r="I10" s="1046"/>
      <c r="J10" s="742"/>
      <c r="K10" s="743"/>
      <c r="L10" s="742"/>
      <c r="M10" s="743">
        <f t="shared" si="1"/>
        <v>0</v>
      </c>
      <c r="N10" s="743"/>
      <c r="O10" s="370">
        <f t="shared" si="0"/>
        <v>0</v>
      </c>
      <c r="Q10" s="1261"/>
    </row>
    <row r="11" spans="2:18" ht="21.95" customHeight="1" x14ac:dyDescent="0.2">
      <c r="C11" s="744"/>
      <c r="D11" s="744"/>
      <c r="E11" s="744"/>
      <c r="F11" s="744"/>
      <c r="G11" s="745"/>
      <c r="H11" s="746"/>
      <c r="I11" s="1046"/>
      <c r="J11" s="742"/>
      <c r="K11" s="743"/>
      <c r="L11" s="742"/>
      <c r="M11" s="743">
        <f t="shared" si="1"/>
        <v>0</v>
      </c>
      <c r="N11" s="743"/>
      <c r="O11" s="370">
        <f t="shared" si="0"/>
        <v>0</v>
      </c>
      <c r="Q11" s="1261"/>
    </row>
    <row r="12" spans="2:18" ht="21.95" customHeight="1" x14ac:dyDescent="0.2">
      <c r="C12" s="744"/>
      <c r="D12" s="744"/>
      <c r="E12" s="744"/>
      <c r="F12" s="744"/>
      <c r="G12" s="745"/>
      <c r="H12" s="746"/>
      <c r="I12" s="1046"/>
      <c r="J12" s="742"/>
      <c r="K12" s="743"/>
      <c r="L12" s="742"/>
      <c r="M12" s="743">
        <f t="shared" si="1"/>
        <v>0</v>
      </c>
      <c r="N12" s="743"/>
      <c r="O12" s="370">
        <f t="shared" si="0"/>
        <v>0</v>
      </c>
      <c r="Q12" s="1261"/>
    </row>
    <row r="13" spans="2:18" ht="21.95" customHeight="1" x14ac:dyDescent="0.2">
      <c r="C13" s="744"/>
      <c r="D13" s="744"/>
      <c r="E13" s="744"/>
      <c r="F13" s="744"/>
      <c r="G13" s="745"/>
      <c r="H13" s="746"/>
      <c r="I13" s="1046"/>
      <c r="J13" s="742"/>
      <c r="K13" s="743"/>
      <c r="L13" s="742"/>
      <c r="M13" s="743">
        <f t="shared" si="1"/>
        <v>0</v>
      </c>
      <c r="N13" s="743"/>
      <c r="O13" s="370">
        <f t="shared" si="0"/>
        <v>0</v>
      </c>
      <c r="Q13" s="1261"/>
    </row>
    <row r="14" spans="2:18" ht="21.95" customHeight="1" x14ac:dyDescent="0.2">
      <c r="C14" s="744"/>
      <c r="D14" s="744"/>
      <c r="E14" s="744"/>
      <c r="F14" s="744"/>
      <c r="G14" s="745"/>
      <c r="H14" s="746"/>
      <c r="I14" s="1046"/>
      <c r="J14" s="742"/>
      <c r="K14" s="743"/>
      <c r="L14" s="742"/>
      <c r="M14" s="743">
        <f t="shared" si="1"/>
        <v>0</v>
      </c>
      <c r="N14" s="743"/>
      <c r="O14" s="370">
        <f t="shared" si="0"/>
        <v>0</v>
      </c>
      <c r="Q14" s="1261"/>
    </row>
    <row r="15" spans="2:18" ht="21.95" customHeight="1" x14ac:dyDescent="0.2">
      <c r="C15" s="744"/>
      <c r="D15" s="744"/>
      <c r="E15" s="744"/>
      <c r="F15" s="744"/>
      <c r="G15" s="745"/>
      <c r="H15" s="746"/>
      <c r="I15" s="1046"/>
      <c r="J15" s="865"/>
      <c r="K15" s="743"/>
      <c r="L15" s="742"/>
      <c r="M15" s="743">
        <f t="shared" si="1"/>
        <v>0</v>
      </c>
      <c r="N15" s="743"/>
      <c r="O15" s="370">
        <f t="shared" si="0"/>
        <v>0</v>
      </c>
      <c r="Q15" s="1261"/>
    </row>
    <row r="16" spans="2:18" ht="21.95" customHeight="1" x14ac:dyDescent="0.2">
      <c r="C16" s="744"/>
      <c r="D16" s="744"/>
      <c r="E16" s="744"/>
      <c r="F16" s="744"/>
      <c r="G16" s="745"/>
      <c r="H16" s="746"/>
      <c r="I16" s="1046"/>
      <c r="J16" s="743"/>
      <c r="K16" s="743"/>
      <c r="L16" s="742"/>
      <c r="M16" s="743">
        <f t="shared" si="1"/>
        <v>0</v>
      </c>
      <c r="N16" s="743"/>
      <c r="O16" s="370">
        <f t="shared" si="0"/>
        <v>0</v>
      </c>
      <c r="Q16" s="1261"/>
    </row>
    <row r="17" spans="2:17" ht="21.95" customHeight="1" x14ac:dyDescent="0.2">
      <c r="C17" s="744"/>
      <c r="D17" s="744"/>
      <c r="E17" s="744"/>
      <c r="F17" s="744"/>
      <c r="G17" s="745"/>
      <c r="H17" s="746"/>
      <c r="I17" s="1046"/>
      <c r="J17" s="742"/>
      <c r="K17" s="743"/>
      <c r="L17" s="742"/>
      <c r="M17" s="743">
        <f t="shared" si="1"/>
        <v>0</v>
      </c>
      <c r="N17" s="743"/>
      <c r="O17" s="370">
        <f t="shared" si="0"/>
        <v>0</v>
      </c>
      <c r="Q17" s="1261"/>
    </row>
    <row r="18" spans="2:17" ht="21.95" customHeight="1" x14ac:dyDescent="0.2">
      <c r="C18" s="744"/>
      <c r="D18" s="744"/>
      <c r="E18" s="744"/>
      <c r="F18" s="744"/>
      <c r="G18" s="745"/>
      <c r="H18" s="746"/>
      <c r="I18" s="1046"/>
      <c r="J18" s="742"/>
      <c r="K18" s="743"/>
      <c r="L18" s="742"/>
      <c r="M18" s="743">
        <f t="shared" si="1"/>
        <v>0</v>
      </c>
      <c r="N18" s="743"/>
      <c r="O18" s="370">
        <f t="shared" si="0"/>
        <v>0</v>
      </c>
      <c r="Q18" s="1261"/>
    </row>
    <row r="19" spans="2:17" ht="21.95" customHeight="1" x14ac:dyDescent="0.2">
      <c r="C19" s="744"/>
      <c r="D19" s="744"/>
      <c r="E19" s="744"/>
      <c r="F19" s="744"/>
      <c r="G19" s="745"/>
      <c r="H19" s="746"/>
      <c r="I19" s="1046"/>
      <c r="J19" s="742"/>
      <c r="K19" s="743"/>
      <c r="L19" s="742"/>
      <c r="M19" s="743">
        <f t="shared" si="1"/>
        <v>0</v>
      </c>
      <c r="N19" s="743"/>
      <c r="O19" s="370">
        <f t="shared" si="0"/>
        <v>0</v>
      </c>
      <c r="Q19" s="1261"/>
    </row>
    <row r="20" spans="2:17" ht="21.95" customHeight="1" x14ac:dyDescent="0.2">
      <c r="C20" s="744"/>
      <c r="D20" s="744"/>
      <c r="E20" s="744"/>
      <c r="F20" s="744"/>
      <c r="G20" s="745"/>
      <c r="H20" s="746"/>
      <c r="I20" s="1046"/>
      <c r="J20" s="742"/>
      <c r="K20" s="743"/>
      <c r="L20" s="742"/>
      <c r="M20" s="743">
        <f t="shared" si="1"/>
        <v>0</v>
      </c>
      <c r="N20" s="743"/>
      <c r="O20" s="370">
        <f t="shared" si="0"/>
        <v>0</v>
      </c>
      <c r="Q20" s="1261"/>
    </row>
    <row r="21" spans="2:17" ht="21.95" customHeight="1" x14ac:dyDescent="0.2">
      <c r="C21" s="744"/>
      <c r="D21" s="744"/>
      <c r="E21" s="744"/>
      <c r="F21" s="744"/>
      <c r="G21" s="745"/>
      <c r="H21" s="746"/>
      <c r="I21" s="1046"/>
      <c r="J21" s="742"/>
      <c r="K21" s="743"/>
      <c r="L21" s="742"/>
      <c r="M21" s="743">
        <f t="shared" si="1"/>
        <v>0</v>
      </c>
      <c r="N21" s="743"/>
      <c r="O21" s="370">
        <f t="shared" si="0"/>
        <v>0</v>
      </c>
      <c r="Q21" s="1261"/>
    </row>
    <row r="22" spans="2:17" ht="21.95" customHeight="1" x14ac:dyDescent="0.2">
      <c r="C22" s="744"/>
      <c r="D22" s="744"/>
      <c r="E22" s="744"/>
      <c r="F22" s="744"/>
      <c r="G22" s="745"/>
      <c r="H22" s="746"/>
      <c r="I22" s="1046"/>
      <c r="J22" s="742"/>
      <c r="K22" s="743"/>
      <c r="L22" s="742"/>
      <c r="M22" s="743">
        <f t="shared" si="1"/>
        <v>0</v>
      </c>
      <c r="N22" s="743"/>
      <c r="O22" s="370">
        <f t="shared" si="0"/>
        <v>0</v>
      </c>
      <c r="Q22" s="1261"/>
    </row>
    <row r="23" spans="2:17" ht="21.95" customHeight="1" x14ac:dyDescent="0.2">
      <c r="C23" s="744"/>
      <c r="D23" s="744"/>
      <c r="E23" s="744"/>
      <c r="F23" s="744"/>
      <c r="G23" s="745"/>
      <c r="H23" s="746"/>
      <c r="I23" s="1046"/>
      <c r="J23" s="742"/>
      <c r="K23" s="743"/>
      <c r="L23" s="742"/>
      <c r="M23" s="743">
        <f t="shared" si="1"/>
        <v>0</v>
      </c>
      <c r="N23" s="743"/>
      <c r="O23" s="370">
        <f t="shared" si="0"/>
        <v>0</v>
      </c>
      <c r="Q23" s="1261"/>
    </row>
    <row r="24" spans="2:17" ht="21.95" customHeight="1" x14ac:dyDescent="0.2">
      <c r="C24" s="744"/>
      <c r="D24" s="744"/>
      <c r="E24" s="744"/>
      <c r="F24" s="744"/>
      <c r="G24" s="745"/>
      <c r="H24" s="746"/>
      <c r="I24" s="1046"/>
      <c r="J24" s="742"/>
      <c r="K24" s="743"/>
      <c r="L24" s="742"/>
      <c r="M24" s="743">
        <f t="shared" si="1"/>
        <v>0</v>
      </c>
      <c r="N24" s="743"/>
      <c r="O24" s="370">
        <f t="shared" si="0"/>
        <v>0</v>
      </c>
      <c r="Q24" s="1261"/>
    </row>
    <row r="25" spans="2:17" ht="21.95" customHeight="1" thickBot="1" x14ac:dyDescent="0.25">
      <c r="B25" s="1224"/>
      <c r="C25" s="1234"/>
      <c r="D25" s="1234"/>
      <c r="E25" s="1234"/>
      <c r="F25" s="1234"/>
      <c r="G25" s="1235"/>
      <c r="H25" s="1236"/>
      <c r="I25" s="1241"/>
      <c r="J25" s="1238"/>
      <c r="K25" s="1239"/>
      <c r="L25" s="1238"/>
      <c r="M25" s="1239">
        <v>0</v>
      </c>
      <c r="N25" s="1239"/>
      <c r="O25" s="1240">
        <v>0</v>
      </c>
      <c r="P25" s="1224"/>
      <c r="Q25" s="1225"/>
    </row>
    <row r="26" spans="2:17" ht="21.95" customHeight="1" thickTop="1" thickBot="1" x14ac:dyDescent="0.25">
      <c r="B26" s="2"/>
      <c r="C26" s="135" t="s">
        <v>227</v>
      </c>
      <c r="D26" s="18"/>
      <c r="E26" s="18"/>
      <c r="F26" s="19"/>
      <c r="G26" s="19"/>
      <c r="H26" s="686" t="s">
        <v>382</v>
      </c>
      <c r="I26" s="683"/>
      <c r="J26" s="122">
        <f>+SUM('20'!J7:J26)+SUM(J7:J25)</f>
        <v>0</v>
      </c>
      <c r="K26" s="122">
        <f>+SUM('20'!K7:K26)+SUM(K7:K25)</f>
        <v>0</v>
      </c>
      <c r="L26" s="122">
        <f>+SUM('20'!L7:L26)+SUM(L7:L25)</f>
        <v>0</v>
      </c>
      <c r="M26" s="122">
        <f>+SUM('20'!M7:M26)+SUM(M7:M25)</f>
        <v>0</v>
      </c>
      <c r="N26" s="122">
        <f>+SUM('20'!N7:N26)+SUM(N7:N25)</f>
        <v>0</v>
      </c>
      <c r="O26" s="137">
        <f>+SUM('20'!O7:O26)+SUM(O7:O25)</f>
        <v>0</v>
      </c>
      <c r="Q26" s="251"/>
    </row>
    <row r="27" spans="2:17" ht="16.5" thickTop="1" x14ac:dyDescent="0.25">
      <c r="B27" s="1617" t="s">
        <v>226</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wia6/OmxD8pfztxzEccY9F2Z6AlQIu6OXlH958XhdeoO9W0SOQA0rIhsy9Jju8HlBGomwgTZgjBIdjBmRMxujw==" saltValue="EB8UgWOo/McTsgpoFt8HuQ==" spinCount="100000" sheet="1" objects="1" scenarios="1"/>
  <mergeCells count="5">
    <mergeCell ref="B2:O2"/>
    <mergeCell ref="N3:O3"/>
    <mergeCell ref="J3:M3"/>
    <mergeCell ref="B27:O27"/>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700-000000000000}">
          <x14:formula1>
            <xm:f>'Appropriation Codes'!$F$2:$F$17</xm:f>
          </x14:formula1>
          <xm:sqref>H7:H25</xm:sqref>
        </x14:dataValidation>
      </x14:dataValidations>
    </ext>
  </extLst>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Sheet77"/>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C3" s="222"/>
      <c r="D3" s="222"/>
      <c r="E3" s="222"/>
      <c r="F3" s="222"/>
      <c r="G3" s="6"/>
      <c r="H3" s="221"/>
      <c r="I3" s="237"/>
      <c r="J3" s="1705" t="s">
        <v>23</v>
      </c>
      <c r="K3" s="1707"/>
      <c r="L3" s="1707"/>
      <c r="M3" s="1708"/>
      <c r="N3" s="1705" t="str">
        <f>"Expended "&amp;'Key Inputs'!E34-1</f>
        <v>Expended 2020</v>
      </c>
      <c r="O3" s="1706"/>
    </row>
    <row r="4" spans="2:17" ht="15" customHeight="1" thickTop="1" x14ac:dyDescent="0.25">
      <c r="C4" s="63"/>
      <c r="D4" s="63"/>
      <c r="E4" s="63"/>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D5" s="63"/>
      <c r="E5" s="63"/>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4" customHeight="1" thickTop="1" x14ac:dyDescent="0.2">
      <c r="C7" s="91" t="s">
        <v>294</v>
      </c>
      <c r="D7" s="89"/>
      <c r="E7" s="89"/>
      <c r="F7" s="89"/>
      <c r="G7" s="90"/>
      <c r="H7" s="1713" t="s">
        <v>200</v>
      </c>
      <c r="I7" s="1714"/>
      <c r="J7" s="94" t="s">
        <v>201</v>
      </c>
      <c r="K7" s="95" t="s">
        <v>201</v>
      </c>
      <c r="L7" s="94" t="s">
        <v>201</v>
      </c>
      <c r="M7" s="95" t="s">
        <v>201</v>
      </c>
      <c r="N7" s="95" t="s">
        <v>201</v>
      </c>
      <c r="O7" s="96" t="s">
        <v>201</v>
      </c>
    </row>
    <row r="8" spans="2:17" ht="24" customHeight="1" x14ac:dyDescent="0.2">
      <c r="C8" s="1729" t="s">
        <v>3226</v>
      </c>
      <c r="D8" s="1729"/>
      <c r="E8" s="1729"/>
      <c r="F8" s="1729"/>
      <c r="G8" s="652"/>
      <c r="H8" s="1715" t="s">
        <v>200</v>
      </c>
      <c r="I8" s="1716"/>
      <c r="J8" s="97" t="s">
        <v>201</v>
      </c>
      <c r="K8" s="98" t="s">
        <v>201</v>
      </c>
      <c r="L8" s="97" t="s">
        <v>201</v>
      </c>
      <c r="M8" s="98" t="s">
        <v>201</v>
      </c>
      <c r="N8" s="98" t="s">
        <v>201</v>
      </c>
      <c r="O8" s="99" t="s">
        <v>201</v>
      </c>
    </row>
    <row r="9" spans="2:17" ht="21.95" customHeight="1" x14ac:dyDescent="0.2">
      <c r="C9" s="744"/>
      <c r="D9" s="744"/>
      <c r="E9" s="744"/>
      <c r="F9" s="744"/>
      <c r="G9" s="745"/>
      <c r="H9" s="746"/>
      <c r="I9" s="892"/>
      <c r="J9" s="742"/>
      <c r="K9" s="743"/>
      <c r="L9" s="742"/>
      <c r="M9" s="743">
        <f>+K9</f>
        <v>0</v>
      </c>
      <c r="N9" s="743"/>
      <c r="O9" s="370">
        <f t="shared" ref="O9:O25" si="0">IFERROR(IF(+M9-N9&gt;=0,M9-N9,"*")-Q9,"*")</f>
        <v>0</v>
      </c>
      <c r="Q9" s="1261"/>
    </row>
    <row r="10" spans="2:17" ht="21.95" customHeight="1" x14ac:dyDescent="0.2">
      <c r="C10" s="744"/>
      <c r="D10" s="744"/>
      <c r="E10" s="744"/>
      <c r="F10" s="744"/>
      <c r="G10" s="745"/>
      <c r="H10" s="746"/>
      <c r="I10" s="892"/>
      <c r="J10" s="742"/>
      <c r="K10" s="743"/>
      <c r="L10" s="742"/>
      <c r="M10" s="743">
        <f t="shared" ref="M10:M25" si="1">+K10</f>
        <v>0</v>
      </c>
      <c r="N10" s="743"/>
      <c r="O10" s="370">
        <f t="shared" si="0"/>
        <v>0</v>
      </c>
      <c r="Q10" s="1261"/>
    </row>
    <row r="11" spans="2:17" ht="21.95" customHeight="1" x14ac:dyDescent="0.2">
      <c r="C11" s="744"/>
      <c r="D11" s="744"/>
      <c r="E11" s="744"/>
      <c r="F11" s="744"/>
      <c r="G11" s="745"/>
      <c r="H11" s="746"/>
      <c r="I11" s="892"/>
      <c r="J11" s="742"/>
      <c r="K11" s="743"/>
      <c r="L11" s="742"/>
      <c r="M11" s="743">
        <f t="shared" si="1"/>
        <v>0</v>
      </c>
      <c r="N11" s="743"/>
      <c r="O11" s="370">
        <f t="shared" si="0"/>
        <v>0</v>
      </c>
      <c r="Q11" s="1261"/>
    </row>
    <row r="12" spans="2:17" ht="21.95" customHeight="1" x14ac:dyDescent="0.2">
      <c r="C12" s="744"/>
      <c r="D12" s="744"/>
      <c r="E12" s="744"/>
      <c r="F12" s="744"/>
      <c r="G12" s="745"/>
      <c r="H12" s="746"/>
      <c r="I12" s="892"/>
      <c r="J12" s="742"/>
      <c r="K12" s="743"/>
      <c r="L12" s="742"/>
      <c r="M12" s="743">
        <f t="shared" si="1"/>
        <v>0</v>
      </c>
      <c r="N12" s="743"/>
      <c r="O12" s="370">
        <f t="shared" si="0"/>
        <v>0</v>
      </c>
      <c r="Q12" s="1261"/>
    </row>
    <row r="13" spans="2:17" ht="21.95" customHeight="1" x14ac:dyDescent="0.2">
      <c r="C13" s="744"/>
      <c r="D13" s="744"/>
      <c r="E13" s="744"/>
      <c r="F13" s="744"/>
      <c r="G13" s="745"/>
      <c r="H13" s="746"/>
      <c r="I13" s="892"/>
      <c r="J13" s="742"/>
      <c r="K13" s="743"/>
      <c r="L13" s="742"/>
      <c r="M13" s="743">
        <f t="shared" si="1"/>
        <v>0</v>
      </c>
      <c r="N13" s="743"/>
      <c r="O13" s="370">
        <f t="shared" si="0"/>
        <v>0</v>
      </c>
      <c r="Q13" s="1261"/>
    </row>
    <row r="14" spans="2:17" ht="21.95" customHeight="1" x14ac:dyDescent="0.2">
      <c r="C14" s="744"/>
      <c r="D14" s="744"/>
      <c r="E14" s="744"/>
      <c r="F14" s="744"/>
      <c r="G14" s="745"/>
      <c r="H14" s="746"/>
      <c r="I14" s="892"/>
      <c r="J14" s="742"/>
      <c r="K14" s="743"/>
      <c r="L14" s="742"/>
      <c r="M14" s="743">
        <f t="shared" si="1"/>
        <v>0</v>
      </c>
      <c r="N14" s="743"/>
      <c r="O14" s="370">
        <f t="shared" si="0"/>
        <v>0</v>
      </c>
      <c r="Q14" s="1261"/>
    </row>
    <row r="15" spans="2:17" ht="21.95" customHeight="1" x14ac:dyDescent="0.2">
      <c r="C15" s="744"/>
      <c r="D15" s="744"/>
      <c r="E15" s="744"/>
      <c r="F15" s="744"/>
      <c r="G15" s="745"/>
      <c r="H15" s="746"/>
      <c r="I15" s="892"/>
      <c r="J15" s="742"/>
      <c r="K15" s="743"/>
      <c r="L15" s="742"/>
      <c r="M15" s="743">
        <f t="shared" si="1"/>
        <v>0</v>
      </c>
      <c r="N15" s="743"/>
      <c r="O15" s="370">
        <f t="shared" si="0"/>
        <v>0</v>
      </c>
      <c r="Q15" s="1261"/>
    </row>
    <row r="16" spans="2:17" ht="21.95" customHeight="1" x14ac:dyDescent="0.2">
      <c r="C16" s="744"/>
      <c r="D16" s="744"/>
      <c r="E16" s="744"/>
      <c r="F16" s="744"/>
      <c r="G16" s="745"/>
      <c r="H16" s="746"/>
      <c r="I16" s="892"/>
      <c r="J16" s="742"/>
      <c r="K16" s="743"/>
      <c r="L16" s="742"/>
      <c r="M16" s="743">
        <f t="shared" si="1"/>
        <v>0</v>
      </c>
      <c r="N16" s="743"/>
      <c r="O16" s="370">
        <f t="shared" si="0"/>
        <v>0</v>
      </c>
      <c r="Q16" s="1261"/>
    </row>
    <row r="17" spans="2:17" ht="21.95" customHeight="1" x14ac:dyDescent="0.2">
      <c r="C17" s="744"/>
      <c r="D17" s="744"/>
      <c r="E17" s="744"/>
      <c r="F17" s="744"/>
      <c r="G17" s="745"/>
      <c r="H17" s="746"/>
      <c r="I17" s="892"/>
      <c r="J17" s="742"/>
      <c r="K17" s="743"/>
      <c r="L17" s="742"/>
      <c r="M17" s="743">
        <f t="shared" si="1"/>
        <v>0</v>
      </c>
      <c r="N17" s="743"/>
      <c r="O17" s="370">
        <f t="shared" si="0"/>
        <v>0</v>
      </c>
      <c r="Q17" s="1261"/>
    </row>
    <row r="18" spans="2:17" ht="21.95" customHeight="1" x14ac:dyDescent="0.2">
      <c r="C18" s="744"/>
      <c r="D18" s="744"/>
      <c r="E18" s="744"/>
      <c r="F18" s="744"/>
      <c r="G18" s="745"/>
      <c r="H18" s="746"/>
      <c r="I18" s="892"/>
      <c r="J18" s="742"/>
      <c r="K18" s="743"/>
      <c r="L18" s="742"/>
      <c r="M18" s="743">
        <f t="shared" si="1"/>
        <v>0</v>
      </c>
      <c r="N18" s="743"/>
      <c r="O18" s="370">
        <f t="shared" si="0"/>
        <v>0</v>
      </c>
      <c r="Q18" s="1261"/>
    </row>
    <row r="19" spans="2:17" ht="21.95" customHeight="1" x14ac:dyDescent="0.2">
      <c r="C19" s="744"/>
      <c r="D19" s="744"/>
      <c r="E19" s="744"/>
      <c r="F19" s="744"/>
      <c r="G19" s="745"/>
      <c r="H19" s="746"/>
      <c r="I19" s="892"/>
      <c r="J19" s="742"/>
      <c r="K19" s="743"/>
      <c r="L19" s="742"/>
      <c r="M19" s="743">
        <f t="shared" si="1"/>
        <v>0</v>
      </c>
      <c r="N19" s="743"/>
      <c r="O19" s="370">
        <f t="shared" si="0"/>
        <v>0</v>
      </c>
      <c r="Q19" s="1261"/>
    </row>
    <row r="20" spans="2:17" ht="21.95" customHeight="1" x14ac:dyDescent="0.2">
      <c r="C20" s="744"/>
      <c r="D20" s="744"/>
      <c r="E20" s="744"/>
      <c r="F20" s="744"/>
      <c r="G20" s="745"/>
      <c r="H20" s="746"/>
      <c r="I20" s="892"/>
      <c r="J20" s="742"/>
      <c r="K20" s="743"/>
      <c r="L20" s="742"/>
      <c r="M20" s="743">
        <f t="shared" si="1"/>
        <v>0</v>
      </c>
      <c r="N20" s="743"/>
      <c r="O20" s="370">
        <f t="shared" si="0"/>
        <v>0</v>
      </c>
      <c r="Q20" s="1261"/>
    </row>
    <row r="21" spans="2:17" ht="21.95" customHeight="1" x14ac:dyDescent="0.2">
      <c r="C21" s="744"/>
      <c r="D21" s="744"/>
      <c r="E21" s="744"/>
      <c r="F21" s="744"/>
      <c r="G21" s="745"/>
      <c r="H21" s="746"/>
      <c r="I21" s="892"/>
      <c r="J21" s="742"/>
      <c r="K21" s="743"/>
      <c r="L21" s="742"/>
      <c r="M21" s="743">
        <f t="shared" si="1"/>
        <v>0</v>
      </c>
      <c r="N21" s="743"/>
      <c r="O21" s="370">
        <f t="shared" si="0"/>
        <v>0</v>
      </c>
      <c r="Q21" s="1261"/>
    </row>
    <row r="22" spans="2:17" ht="21.95" customHeight="1" x14ac:dyDescent="0.2">
      <c r="C22" s="744"/>
      <c r="D22" s="744"/>
      <c r="E22" s="744"/>
      <c r="F22" s="744"/>
      <c r="G22" s="745"/>
      <c r="H22" s="746"/>
      <c r="I22" s="892"/>
      <c r="J22" s="742"/>
      <c r="K22" s="743"/>
      <c r="L22" s="742"/>
      <c r="M22" s="743">
        <f t="shared" si="1"/>
        <v>0</v>
      </c>
      <c r="N22" s="743"/>
      <c r="O22" s="370">
        <f t="shared" si="0"/>
        <v>0</v>
      </c>
      <c r="Q22" s="1261"/>
    </row>
    <row r="23" spans="2:17" ht="21.95" customHeight="1" x14ac:dyDescent="0.2">
      <c r="C23" s="744"/>
      <c r="D23" s="744"/>
      <c r="E23" s="744"/>
      <c r="F23" s="744"/>
      <c r="G23" s="745"/>
      <c r="H23" s="746"/>
      <c r="I23" s="892"/>
      <c r="J23" s="742"/>
      <c r="K23" s="743"/>
      <c r="L23" s="742"/>
      <c r="M23" s="743">
        <f t="shared" si="1"/>
        <v>0</v>
      </c>
      <c r="N23" s="743"/>
      <c r="O23" s="370">
        <f t="shared" si="0"/>
        <v>0</v>
      </c>
      <c r="Q23" s="1261"/>
    </row>
    <row r="24" spans="2:17" ht="21.95" customHeight="1" x14ac:dyDescent="0.2">
      <c r="C24" s="744"/>
      <c r="D24" s="744"/>
      <c r="E24" s="744"/>
      <c r="F24" s="744"/>
      <c r="G24" s="745"/>
      <c r="H24" s="746"/>
      <c r="I24" s="892"/>
      <c r="J24" s="742"/>
      <c r="K24" s="743"/>
      <c r="L24" s="742"/>
      <c r="M24" s="743">
        <f t="shared" si="1"/>
        <v>0</v>
      </c>
      <c r="N24" s="743"/>
      <c r="O24" s="370">
        <f t="shared" si="0"/>
        <v>0</v>
      </c>
      <c r="Q24" s="1261"/>
    </row>
    <row r="25" spans="2:17" ht="21.95" customHeight="1" thickBot="1" x14ac:dyDescent="0.25">
      <c r="C25" s="1234"/>
      <c r="D25" s="1234"/>
      <c r="E25" s="1234"/>
      <c r="F25" s="1234"/>
      <c r="G25" s="1235"/>
      <c r="H25" s="1236"/>
      <c r="I25" s="1237"/>
      <c r="J25" s="1242"/>
      <c r="K25" s="1243"/>
      <c r="L25" s="1242"/>
      <c r="M25" s="1239">
        <f t="shared" si="1"/>
        <v>0</v>
      </c>
      <c r="N25" s="1243"/>
      <c r="O25" s="1240">
        <f t="shared" si="0"/>
        <v>0</v>
      </c>
      <c r="P25" s="1224"/>
      <c r="Q25" s="1261"/>
    </row>
    <row r="26" spans="2:17" ht="21.95" customHeight="1" thickTop="1" thickBot="1" x14ac:dyDescent="0.25">
      <c r="C26" s="641" t="s">
        <v>229</v>
      </c>
      <c r="D26" s="566"/>
      <c r="E26" s="566"/>
      <c r="F26" s="567"/>
      <c r="G26" s="567"/>
      <c r="H26" s="691" t="s">
        <v>383</v>
      </c>
      <c r="I26" s="690"/>
      <c r="J26" s="642">
        <f t="shared" ref="J26:O26" si="2">SUM(J9:J25)</f>
        <v>0</v>
      </c>
      <c r="K26" s="642">
        <f t="shared" si="2"/>
        <v>0</v>
      </c>
      <c r="L26" s="642">
        <f t="shared" si="2"/>
        <v>0</v>
      </c>
      <c r="M26" s="123">
        <f t="shared" si="2"/>
        <v>0</v>
      </c>
      <c r="N26" s="123">
        <f t="shared" si="2"/>
        <v>0</v>
      </c>
      <c r="O26" s="137">
        <f t="shared" si="2"/>
        <v>0</v>
      </c>
      <c r="Q26" s="1261"/>
    </row>
    <row r="27" spans="2:17" ht="16.5" thickTop="1" x14ac:dyDescent="0.25">
      <c r="B27" s="1617" t="s">
        <v>228</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A3i4jxzo8p5aBr/R8Z52EN4yh9uLQBSLaCe4sROR+rdxzssy7l7rvnbWvU24P3gJQksOCcV7EyzYecOwgGH6A==" saltValue="rOF1WP32sOv4DUYqnPFSmg==" spinCount="100000" sheet="1" objects="1" scenarios="1"/>
  <mergeCells count="8">
    <mergeCell ref="B2:O2"/>
    <mergeCell ref="N3:O3"/>
    <mergeCell ref="J3:M3"/>
    <mergeCell ref="B27:O27"/>
    <mergeCell ref="C8:F8"/>
    <mergeCell ref="H4:I4"/>
    <mergeCell ref="H7:I7"/>
    <mergeCell ref="H8:I8"/>
  </mergeCells>
  <phoneticPr fontId="0" type="noConversion"/>
  <pageMargins left="0.25" right="0.3" top="0.25" bottom="0.75" header="0.25" footer="0.25"/>
  <pageSetup paperSize="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77">
    <tabColor theme="6" tint="0.79998168889431442"/>
  </sheetPr>
  <dimension ref="A1:C90"/>
  <sheetViews>
    <sheetView topLeftCell="A34" workbookViewId="0">
      <selection activeCell="B81" sqref="B81"/>
    </sheetView>
  </sheetViews>
  <sheetFormatPr defaultRowHeight="12.75" x14ac:dyDescent="0.2"/>
  <cols>
    <col min="1" max="1" width="7.5703125" customWidth="1"/>
    <col min="2" max="2" width="27.7109375" customWidth="1"/>
    <col min="3" max="3" width="151.28515625" customWidth="1"/>
  </cols>
  <sheetData>
    <row r="1" spans="1:3" ht="20.25" x14ac:dyDescent="0.2">
      <c r="A1" s="1404" t="s">
        <v>6155</v>
      </c>
      <c r="B1" s="1324"/>
      <c r="C1" s="1324"/>
    </row>
    <row r="2" spans="1:3" ht="9" customHeight="1" x14ac:dyDescent="0.25">
      <c r="A2" s="1350"/>
      <c r="B2" s="1324"/>
      <c r="C2" s="1324"/>
    </row>
    <row r="3" spans="1:3" ht="15.75" x14ac:dyDescent="0.25">
      <c r="A3" s="1405" t="s">
        <v>6157</v>
      </c>
      <c r="B3" s="1406"/>
      <c r="C3" s="1406"/>
    </row>
    <row r="4" spans="1:3" ht="6.75" customHeight="1" x14ac:dyDescent="0.25">
      <c r="A4" s="1350"/>
      <c r="B4" s="1324"/>
      <c r="C4" s="1324"/>
    </row>
    <row r="5" spans="1:3" ht="14.25" customHeight="1" x14ac:dyDescent="0.2">
      <c r="A5" s="1324" t="s">
        <v>6148</v>
      </c>
      <c r="B5" s="1324"/>
      <c r="C5" s="1324"/>
    </row>
    <row r="6" spans="1:3" x14ac:dyDescent="0.2">
      <c r="A6" s="1324" t="s">
        <v>6166</v>
      </c>
      <c r="B6" s="1324"/>
      <c r="C6" s="1324"/>
    </row>
    <row r="7" spans="1:3" x14ac:dyDescent="0.2">
      <c r="A7" s="1324" t="s">
        <v>6176</v>
      </c>
      <c r="B7" s="1324"/>
      <c r="C7" s="1324"/>
    </row>
    <row r="8" spans="1:3" x14ac:dyDescent="0.2">
      <c r="A8" s="1324" t="s">
        <v>6164</v>
      </c>
      <c r="B8" s="1324"/>
      <c r="C8" s="1324"/>
    </row>
    <row r="9" spans="1:3" x14ac:dyDescent="0.2">
      <c r="A9" s="1324" t="s">
        <v>6173</v>
      </c>
      <c r="B9" s="1324"/>
      <c r="C9" s="1324"/>
    </row>
    <row r="10" spans="1:3" x14ac:dyDescent="0.2">
      <c r="A10" s="1324" t="s">
        <v>6177</v>
      </c>
      <c r="B10" s="1324"/>
      <c r="C10" s="1324"/>
    </row>
    <row r="11" spans="1:3" x14ac:dyDescent="0.2">
      <c r="A11" s="1324"/>
      <c r="B11" s="1324"/>
      <c r="C11" s="1324"/>
    </row>
    <row r="12" spans="1:3" ht="15.75" x14ac:dyDescent="0.25">
      <c r="A12" s="1405" t="s">
        <v>6158</v>
      </c>
      <c r="B12" s="1406"/>
      <c r="C12" s="1406"/>
    </row>
    <row r="13" spans="1:3" ht="6.75" customHeight="1" x14ac:dyDescent="0.25">
      <c r="A13" s="1350"/>
      <c r="B13" s="1324"/>
      <c r="C13" s="1324"/>
    </row>
    <row r="14" spans="1:3" x14ac:dyDescent="0.2">
      <c r="A14" s="1324" t="s">
        <v>6165</v>
      </c>
      <c r="B14" s="1324"/>
      <c r="C14" s="1324"/>
    </row>
    <row r="15" spans="1:3" x14ac:dyDescent="0.2">
      <c r="A15" s="1324"/>
      <c r="B15" s="1324"/>
      <c r="C15" s="1324"/>
    </row>
    <row r="16" spans="1:3" x14ac:dyDescent="0.2">
      <c r="A16" s="1324"/>
      <c r="B16" s="1328" t="s">
        <v>6118</v>
      </c>
      <c r="C16" s="1324"/>
    </row>
    <row r="17" spans="1:3" x14ac:dyDescent="0.2">
      <c r="A17" s="1324"/>
      <c r="B17" s="1324" t="s">
        <v>6137</v>
      </c>
      <c r="C17" s="1324"/>
    </row>
    <row r="18" spans="1:3" x14ac:dyDescent="0.2">
      <c r="A18" s="1324"/>
      <c r="B18" s="1324" t="s">
        <v>6147</v>
      </c>
      <c r="C18" s="1324"/>
    </row>
    <row r="19" spans="1:3" ht="4.5" customHeight="1" x14ac:dyDescent="0.2">
      <c r="A19" s="1324"/>
      <c r="B19" s="1324"/>
      <c r="C19" s="1324"/>
    </row>
    <row r="20" spans="1:3" x14ac:dyDescent="0.2">
      <c r="A20" s="1324"/>
      <c r="B20" s="1403" t="s">
        <v>6136</v>
      </c>
      <c r="C20" s="1324"/>
    </row>
    <row r="21" spans="1:3" x14ac:dyDescent="0.2">
      <c r="A21" s="1324"/>
      <c r="B21" s="1402" t="s">
        <v>6134</v>
      </c>
      <c r="C21" s="1324"/>
    </row>
    <row r="22" spans="1:3" x14ac:dyDescent="0.2">
      <c r="A22" s="1324"/>
      <c r="B22" s="1402" t="s">
        <v>6135</v>
      </c>
      <c r="C22" s="1324"/>
    </row>
    <row r="23" spans="1:3" x14ac:dyDescent="0.2">
      <c r="A23" s="1324"/>
      <c r="B23" s="1402" t="s">
        <v>6133</v>
      </c>
      <c r="C23" s="1324"/>
    </row>
    <row r="24" spans="1:3" x14ac:dyDescent="0.2">
      <c r="A24" s="1324"/>
      <c r="B24" s="1402" t="s">
        <v>5353</v>
      </c>
      <c r="C24" s="1324"/>
    </row>
    <row r="25" spans="1:3" x14ac:dyDescent="0.2">
      <c r="A25" s="1324"/>
      <c r="B25" s="1402" t="s">
        <v>5228</v>
      </c>
      <c r="C25" s="1324"/>
    </row>
    <row r="26" spans="1:3" x14ac:dyDescent="0.2">
      <c r="A26" s="1324"/>
      <c r="B26" s="1402" t="s">
        <v>5416</v>
      </c>
      <c r="C26" s="1324"/>
    </row>
    <row r="27" spans="1:3" x14ac:dyDescent="0.2">
      <c r="A27" s="1324"/>
      <c r="B27" s="1402" t="s">
        <v>5421</v>
      </c>
      <c r="C27" s="1324"/>
    </row>
    <row r="28" spans="1:3" x14ac:dyDescent="0.2">
      <c r="A28" s="1324"/>
      <c r="B28" s="1402" t="s">
        <v>5422</v>
      </c>
      <c r="C28" s="1324"/>
    </row>
    <row r="29" spans="1:3" x14ac:dyDescent="0.2">
      <c r="A29" s="1324"/>
      <c r="B29" s="1402" t="s">
        <v>5423</v>
      </c>
      <c r="C29" s="1324"/>
    </row>
    <row r="30" spans="1:3" ht="6.75" customHeight="1" x14ac:dyDescent="0.2">
      <c r="A30" s="1324"/>
      <c r="B30" s="1402"/>
      <c r="C30" s="1324"/>
    </row>
    <row r="31" spans="1:3" x14ac:dyDescent="0.2">
      <c r="A31" s="1324"/>
      <c r="B31" s="1403" t="s">
        <v>823</v>
      </c>
      <c r="C31" s="1324"/>
    </row>
    <row r="32" spans="1:3" x14ac:dyDescent="0.2">
      <c r="A32" s="1324"/>
      <c r="B32" s="1402" t="s">
        <v>6142</v>
      </c>
      <c r="C32" s="1324"/>
    </row>
    <row r="33" spans="1:3" x14ac:dyDescent="0.2">
      <c r="A33" s="1324"/>
      <c r="B33" s="1402" t="s">
        <v>6143</v>
      </c>
      <c r="C33" s="1324"/>
    </row>
    <row r="34" spans="1:3" x14ac:dyDescent="0.2">
      <c r="A34" s="1324"/>
      <c r="B34" s="1402" t="s">
        <v>6144</v>
      </c>
      <c r="C34" s="1324"/>
    </row>
    <row r="35" spans="1:3" x14ac:dyDescent="0.2">
      <c r="A35" s="1324"/>
      <c r="B35" s="1402" t="s">
        <v>6145</v>
      </c>
      <c r="C35" s="1324"/>
    </row>
    <row r="36" spans="1:3" x14ac:dyDescent="0.2">
      <c r="A36" s="1324"/>
      <c r="B36" s="1324"/>
      <c r="C36" s="1324"/>
    </row>
    <row r="37" spans="1:3" x14ac:dyDescent="0.2">
      <c r="A37" s="1324"/>
      <c r="B37" s="1324" t="s">
        <v>6156</v>
      </c>
      <c r="C37" s="1324"/>
    </row>
    <row r="38" spans="1:3" x14ac:dyDescent="0.2">
      <c r="A38" s="1324"/>
      <c r="B38" s="1324"/>
      <c r="C38" s="1324"/>
    </row>
    <row r="39" spans="1:3" x14ac:dyDescent="0.2">
      <c r="A39" s="1324"/>
      <c r="B39" s="1328" t="s">
        <v>6119</v>
      </c>
      <c r="C39" s="1324"/>
    </row>
    <row r="40" spans="1:3" x14ac:dyDescent="0.2">
      <c r="A40" s="1324"/>
      <c r="B40" s="1324" t="s">
        <v>6161</v>
      </c>
      <c r="C40" s="1324"/>
    </row>
    <row r="41" spans="1:3" ht="6" customHeight="1" x14ac:dyDescent="0.2">
      <c r="A41" s="1324"/>
      <c r="B41" s="1324"/>
      <c r="C41" s="1324"/>
    </row>
    <row r="42" spans="1:3" x14ac:dyDescent="0.2">
      <c r="A42" s="1324"/>
      <c r="B42" s="1403" t="s">
        <v>6136</v>
      </c>
      <c r="C42" s="1324"/>
    </row>
    <row r="43" spans="1:3" x14ac:dyDescent="0.2">
      <c r="A43" s="1324"/>
      <c r="B43" s="1402" t="s">
        <v>6134</v>
      </c>
      <c r="C43" s="1324"/>
    </row>
    <row r="44" spans="1:3" x14ac:dyDescent="0.2">
      <c r="A44" s="1324"/>
      <c r="B44" s="1402" t="s">
        <v>6135</v>
      </c>
      <c r="C44" s="1324"/>
    </row>
    <row r="45" spans="1:3" x14ac:dyDescent="0.2">
      <c r="A45" s="1324"/>
      <c r="B45" s="1402" t="s">
        <v>6133</v>
      </c>
      <c r="C45" s="1324"/>
    </row>
    <row r="46" spans="1:3" x14ac:dyDescent="0.2">
      <c r="A46" s="1324"/>
      <c r="B46" s="1402" t="s">
        <v>5410</v>
      </c>
      <c r="C46" s="1324"/>
    </row>
    <row r="47" spans="1:3" x14ac:dyDescent="0.2">
      <c r="A47" s="1324"/>
      <c r="B47" s="1402" t="s">
        <v>5411</v>
      </c>
      <c r="C47" s="1324"/>
    </row>
    <row r="48" spans="1:3" x14ac:dyDescent="0.2">
      <c r="A48" s="1324"/>
      <c r="B48" s="1402" t="s">
        <v>5437</v>
      </c>
      <c r="C48" s="1324"/>
    </row>
    <row r="49" spans="1:3" x14ac:dyDescent="0.2">
      <c r="A49" s="1324"/>
      <c r="B49" s="1402" t="s">
        <v>5353</v>
      </c>
      <c r="C49" s="1324"/>
    </row>
    <row r="50" spans="1:3" x14ac:dyDescent="0.2">
      <c r="A50" s="1324"/>
      <c r="B50" s="1402" t="s">
        <v>5416</v>
      </c>
      <c r="C50" s="1324"/>
    </row>
    <row r="51" spans="1:3" x14ac:dyDescent="0.2">
      <c r="A51" s="1324"/>
      <c r="B51" s="1402" t="s">
        <v>5421</v>
      </c>
      <c r="C51" s="1324"/>
    </row>
    <row r="52" spans="1:3" x14ac:dyDescent="0.2">
      <c r="A52" s="1324"/>
      <c r="B52" s="1402" t="s">
        <v>5422</v>
      </c>
      <c r="C52" s="1324"/>
    </row>
    <row r="53" spans="1:3" x14ac:dyDescent="0.2">
      <c r="A53" s="1324"/>
      <c r="B53" s="1402" t="s">
        <v>5423</v>
      </c>
      <c r="C53" s="1324"/>
    </row>
    <row r="54" spans="1:3" ht="7.5" customHeight="1" x14ac:dyDescent="0.2">
      <c r="A54" s="1324"/>
      <c r="B54" s="1324"/>
      <c r="C54" s="1324"/>
    </row>
    <row r="55" spans="1:3" x14ac:dyDescent="0.2">
      <c r="A55" s="1324"/>
      <c r="B55" s="1403" t="s">
        <v>823</v>
      </c>
      <c r="C55" s="1324"/>
    </row>
    <row r="56" spans="1:3" x14ac:dyDescent="0.2">
      <c r="A56" s="1324"/>
      <c r="B56" s="1402" t="s">
        <v>6139</v>
      </c>
      <c r="C56" s="1324"/>
    </row>
    <row r="57" spans="1:3" x14ac:dyDescent="0.2">
      <c r="A57" s="1324"/>
      <c r="B57" s="1402" t="s">
        <v>6140</v>
      </c>
      <c r="C57" s="1324"/>
    </row>
    <row r="58" spans="1:3" x14ac:dyDescent="0.2">
      <c r="A58" s="1324"/>
      <c r="B58" s="1402" t="s">
        <v>6141</v>
      </c>
      <c r="C58" s="1324"/>
    </row>
    <row r="59" spans="1:3" x14ac:dyDescent="0.2">
      <c r="A59" s="1324"/>
      <c r="B59" s="1402" t="s">
        <v>6138</v>
      </c>
      <c r="C59" s="1324"/>
    </row>
    <row r="60" spans="1:3" x14ac:dyDescent="0.2">
      <c r="A60" s="1324"/>
      <c r="B60" s="1402" t="s">
        <v>5609</v>
      </c>
      <c r="C60" s="1324"/>
    </row>
    <row r="61" spans="1:3" x14ac:dyDescent="0.2">
      <c r="A61" s="1324"/>
      <c r="B61" s="1402" t="s">
        <v>6142</v>
      </c>
      <c r="C61" s="1324"/>
    </row>
    <row r="62" spans="1:3" x14ac:dyDescent="0.2">
      <c r="A62" s="1324"/>
      <c r="B62" s="1402" t="s">
        <v>6143</v>
      </c>
      <c r="C62" s="1324"/>
    </row>
    <row r="63" spans="1:3" x14ac:dyDescent="0.2">
      <c r="A63" s="1324"/>
      <c r="B63" s="1402" t="s">
        <v>6144</v>
      </c>
      <c r="C63" s="1324"/>
    </row>
    <row r="64" spans="1:3" x14ac:dyDescent="0.2">
      <c r="A64" s="1324"/>
      <c r="B64" s="1402" t="s">
        <v>6145</v>
      </c>
      <c r="C64" s="1324"/>
    </row>
    <row r="65" spans="1:3" x14ac:dyDescent="0.2">
      <c r="A65" s="1324"/>
      <c r="B65" s="1402" t="s">
        <v>6146</v>
      </c>
      <c r="C65" s="1324"/>
    </row>
    <row r="66" spans="1:3" x14ac:dyDescent="0.2">
      <c r="A66" s="1324"/>
      <c r="B66" s="1324"/>
      <c r="C66" s="1324"/>
    </row>
    <row r="67" spans="1:3" x14ac:dyDescent="0.2">
      <c r="A67" s="1324"/>
      <c r="B67" s="1324" t="s">
        <v>6174</v>
      </c>
      <c r="C67" s="1324"/>
    </row>
    <row r="68" spans="1:3" x14ac:dyDescent="0.2">
      <c r="A68" s="1324"/>
      <c r="B68" s="1324"/>
      <c r="C68" s="1324"/>
    </row>
    <row r="69" spans="1:3" x14ac:dyDescent="0.2">
      <c r="A69" s="1324"/>
      <c r="B69" s="1328" t="s">
        <v>6120</v>
      </c>
      <c r="C69" s="1324"/>
    </row>
    <row r="70" spans="1:3" ht="27.75" customHeight="1" x14ac:dyDescent="0.2">
      <c r="A70" s="1324"/>
      <c r="B70" s="1541" t="s">
        <v>6163</v>
      </c>
      <c r="C70" s="1541"/>
    </row>
    <row r="71" spans="1:3" x14ac:dyDescent="0.2">
      <c r="A71" s="1324"/>
      <c r="B71" s="1324"/>
      <c r="C71" s="1324"/>
    </row>
    <row r="72" spans="1:3" ht="15.75" x14ac:dyDescent="0.25">
      <c r="A72" s="1405" t="s">
        <v>6160</v>
      </c>
      <c r="B72" s="1406"/>
      <c r="C72" s="1406"/>
    </row>
    <row r="73" spans="1:3" ht="6.75" customHeight="1" x14ac:dyDescent="0.25">
      <c r="A73" s="1350"/>
      <c r="B73" s="1324"/>
      <c r="C73" s="1324"/>
    </row>
    <row r="74" spans="1:3" x14ac:dyDescent="0.2">
      <c r="A74" s="1324" t="s">
        <v>6175</v>
      </c>
      <c r="B74" s="1324"/>
      <c r="C74" s="1324"/>
    </row>
    <row r="75" spans="1:3" x14ac:dyDescent="0.2">
      <c r="A75" s="1324" t="s">
        <v>6172</v>
      </c>
      <c r="B75" s="1324"/>
      <c r="C75" s="1324"/>
    </row>
    <row r="76" spans="1:3" x14ac:dyDescent="0.2">
      <c r="A76" s="1324"/>
      <c r="B76" s="1324"/>
      <c r="C76" s="1324"/>
    </row>
    <row r="77" spans="1:3" ht="15.75" x14ac:dyDescent="0.25">
      <c r="A77" s="1405" t="s">
        <v>6159</v>
      </c>
      <c r="B77" s="1406"/>
      <c r="C77" s="1406"/>
    </row>
    <row r="78" spans="1:3" ht="6.75" customHeight="1" x14ac:dyDescent="0.25">
      <c r="A78" s="1350"/>
      <c r="B78" s="1324"/>
      <c r="C78" s="1324"/>
    </row>
    <row r="79" spans="1:3" x14ac:dyDescent="0.2">
      <c r="A79" s="1324" t="s">
        <v>6178</v>
      </c>
      <c r="B79" s="1324"/>
      <c r="C79" s="1324"/>
    </row>
    <row r="80" spans="1:3" x14ac:dyDescent="0.2">
      <c r="A80" s="1324"/>
      <c r="B80" s="1324"/>
      <c r="C80" s="1324"/>
    </row>
    <row r="81" spans="1:3" x14ac:dyDescent="0.2">
      <c r="A81" s="1324"/>
      <c r="B81" s="1393" t="s">
        <v>6149</v>
      </c>
      <c r="C81" s="1324" t="s">
        <v>6168</v>
      </c>
    </row>
    <row r="82" spans="1:3" x14ac:dyDescent="0.2">
      <c r="A82" s="1324"/>
      <c r="B82" s="1393" t="s">
        <v>6150</v>
      </c>
      <c r="C82" s="1324" t="s">
        <v>6169</v>
      </c>
    </row>
    <row r="83" spans="1:3" x14ac:dyDescent="0.2">
      <c r="A83" s="1324"/>
      <c r="B83" s="1393" t="s">
        <v>6151</v>
      </c>
      <c r="C83" s="1324" t="s">
        <v>6170</v>
      </c>
    </row>
    <row r="84" spans="1:3" x14ac:dyDescent="0.2">
      <c r="A84" s="1324"/>
      <c r="B84" s="1393" t="s">
        <v>6152</v>
      </c>
      <c r="C84" s="1324" t="s">
        <v>6167</v>
      </c>
    </row>
    <row r="85" spans="1:3" x14ac:dyDescent="0.2">
      <c r="A85" s="1324"/>
      <c r="B85" s="1393" t="s">
        <v>6153</v>
      </c>
      <c r="C85" s="1324" t="s">
        <v>6162</v>
      </c>
    </row>
    <row r="86" spans="1:3" x14ac:dyDescent="0.2">
      <c r="A86" s="1324"/>
      <c r="B86" s="1393" t="s">
        <v>6154</v>
      </c>
      <c r="C86" s="1324" t="s">
        <v>6171</v>
      </c>
    </row>
    <row r="87" spans="1:3" x14ac:dyDescent="0.2">
      <c r="A87" s="1324"/>
      <c r="B87" s="1393"/>
      <c r="C87" s="1324"/>
    </row>
    <row r="88" spans="1:3" x14ac:dyDescent="0.2">
      <c r="A88" s="1324"/>
      <c r="B88" s="1393"/>
      <c r="C88" s="1324"/>
    </row>
    <row r="89" spans="1:3" x14ac:dyDescent="0.2">
      <c r="A89" s="1324"/>
      <c r="B89" s="1393"/>
      <c r="C89" s="1324"/>
    </row>
    <row r="90" spans="1:3" x14ac:dyDescent="0.2">
      <c r="A90" s="1324"/>
      <c r="B90" s="1324"/>
      <c r="C90" s="1324"/>
    </row>
  </sheetData>
  <mergeCells count="1">
    <mergeCell ref="B70:C70"/>
  </mergeCells>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Sheet78"/>
  <dimension ref="B2:Q30"/>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5">
      <c r="C7" s="100" t="s">
        <v>5230</v>
      </c>
      <c r="D7" s="14"/>
      <c r="E7" s="14"/>
      <c r="F7" s="14"/>
      <c r="G7" s="90"/>
      <c r="H7" s="1717" t="s">
        <v>200</v>
      </c>
      <c r="I7" s="1718"/>
      <c r="J7" s="94" t="s">
        <v>201</v>
      </c>
      <c r="K7" s="95" t="s">
        <v>201</v>
      </c>
      <c r="L7" s="94" t="s">
        <v>201</v>
      </c>
      <c r="M7" s="95" t="s">
        <v>201</v>
      </c>
      <c r="N7" s="95" t="s">
        <v>201</v>
      </c>
      <c r="O7" s="96" t="s">
        <v>201</v>
      </c>
    </row>
    <row r="8" spans="2:17" ht="21.95" customHeight="1" x14ac:dyDescent="0.25">
      <c r="C8" s="744"/>
      <c r="D8" s="744"/>
      <c r="E8" s="744"/>
      <c r="F8" s="744"/>
      <c r="G8" s="745"/>
      <c r="H8" s="746"/>
      <c r="I8" s="1026"/>
      <c r="J8" s="742"/>
      <c r="K8" s="743"/>
      <c r="L8" s="742"/>
      <c r="M8" s="743">
        <f t="shared" ref="M8:M26" si="0">+K8</f>
        <v>0</v>
      </c>
      <c r="N8" s="743"/>
      <c r="O8" s="370">
        <f t="shared" ref="O8:O26" si="1">IFERROR(IF(+M8-N8&gt;=0,M8-N8,"*")-Q8,"*")</f>
        <v>0</v>
      </c>
      <c r="Q8" s="1261"/>
    </row>
    <row r="9" spans="2:17" ht="21.95" customHeight="1" x14ac:dyDescent="0.25">
      <c r="C9" s="744" t="s">
        <v>6323</v>
      </c>
      <c r="D9" s="744"/>
      <c r="E9" s="744"/>
      <c r="F9" s="744"/>
      <c r="G9" s="745"/>
      <c r="H9" s="746"/>
      <c r="I9" s="1026"/>
      <c r="J9" s="742"/>
      <c r="K9" s="743"/>
      <c r="L9" s="742"/>
      <c r="M9" s="743">
        <f t="shared" si="0"/>
        <v>0</v>
      </c>
      <c r="N9" s="743"/>
      <c r="O9" s="370">
        <f t="shared" si="1"/>
        <v>0</v>
      </c>
      <c r="Q9" s="1261"/>
    </row>
    <row r="10" spans="2:17" ht="21.95" customHeight="1" x14ac:dyDescent="0.2">
      <c r="C10" s="744"/>
      <c r="D10" s="744" t="s">
        <v>6324</v>
      </c>
      <c r="E10" s="744"/>
      <c r="F10" s="744"/>
      <c r="G10" s="745"/>
      <c r="H10" s="746" t="s">
        <v>5107</v>
      </c>
      <c r="I10" s="892">
        <v>2</v>
      </c>
      <c r="J10" s="742">
        <v>1500</v>
      </c>
      <c r="K10" s="743">
        <v>1536.73</v>
      </c>
      <c r="L10" s="742"/>
      <c r="M10" s="743">
        <f t="shared" si="0"/>
        <v>1536.73</v>
      </c>
      <c r="N10" s="743">
        <v>1246.04</v>
      </c>
      <c r="O10" s="370">
        <f t="shared" si="1"/>
        <v>290.69000000000005</v>
      </c>
      <c r="Q10" s="1261"/>
    </row>
    <row r="11" spans="2:17" ht="21.95" customHeight="1" x14ac:dyDescent="0.2">
      <c r="C11" s="744"/>
      <c r="D11" s="744"/>
      <c r="E11" s="744"/>
      <c r="F11" s="744"/>
      <c r="G11" s="745"/>
      <c r="H11" s="746"/>
      <c r="I11" s="892"/>
      <c r="J11" s="742"/>
      <c r="K11" s="743"/>
      <c r="L11" s="742"/>
      <c r="M11" s="743">
        <f t="shared" si="0"/>
        <v>0</v>
      </c>
      <c r="N11" s="743"/>
      <c r="O11" s="370">
        <f t="shared" si="1"/>
        <v>0</v>
      </c>
      <c r="Q11" s="1261"/>
    </row>
    <row r="12" spans="2:17" ht="21.95" customHeight="1" x14ac:dyDescent="0.2">
      <c r="C12" s="744" t="s">
        <v>6325</v>
      </c>
      <c r="D12" s="876"/>
      <c r="E12" s="744"/>
      <c r="F12" s="744"/>
      <c r="G12" s="745"/>
      <c r="H12" s="746"/>
      <c r="I12" s="892"/>
      <c r="J12" s="742"/>
      <c r="K12" s="743"/>
      <c r="L12" s="742"/>
      <c r="M12" s="743">
        <f t="shared" si="0"/>
        <v>0</v>
      </c>
      <c r="N12" s="743"/>
      <c r="O12" s="370">
        <f t="shared" si="1"/>
        <v>0</v>
      </c>
      <c r="Q12" s="1261"/>
    </row>
    <row r="13" spans="2:17" ht="21.95" customHeight="1" x14ac:dyDescent="0.2">
      <c r="C13" s="744"/>
      <c r="D13" s="1525" t="s">
        <v>6326</v>
      </c>
      <c r="E13" s="744"/>
      <c r="F13" s="744"/>
      <c r="G13" s="745"/>
      <c r="H13" s="746" t="s">
        <v>5135</v>
      </c>
      <c r="I13" s="892">
        <v>2</v>
      </c>
      <c r="J13" s="742">
        <v>23700</v>
      </c>
      <c r="K13" s="743">
        <v>23700</v>
      </c>
      <c r="L13" s="742"/>
      <c r="M13" s="743">
        <f t="shared" si="0"/>
        <v>23700</v>
      </c>
      <c r="N13" s="743">
        <v>20093.97</v>
      </c>
      <c r="O13" s="370">
        <f t="shared" si="1"/>
        <v>3606.0299999999988</v>
      </c>
      <c r="Q13" s="1261"/>
    </row>
    <row r="14" spans="2:17" ht="21.95" customHeight="1" x14ac:dyDescent="0.2">
      <c r="C14" s="744"/>
      <c r="D14" s="744"/>
      <c r="E14" s="744"/>
      <c r="F14" s="744"/>
      <c r="G14" s="745"/>
      <c r="H14" s="746"/>
      <c r="I14" s="892"/>
      <c r="J14" s="742"/>
      <c r="K14" s="743"/>
      <c r="L14" s="742"/>
      <c r="M14" s="743">
        <f t="shared" si="0"/>
        <v>0</v>
      </c>
      <c r="N14" s="743"/>
      <c r="O14" s="370">
        <f t="shared" si="1"/>
        <v>0</v>
      </c>
      <c r="Q14" s="1261"/>
    </row>
    <row r="15" spans="2:17" ht="21.95" customHeight="1" x14ac:dyDescent="0.2">
      <c r="C15" s="744" t="s">
        <v>6327</v>
      </c>
      <c r="D15" s="744"/>
      <c r="E15" s="744"/>
      <c r="F15" s="744"/>
      <c r="G15" s="745"/>
      <c r="H15" s="746"/>
      <c r="I15" s="892"/>
      <c r="J15" s="742"/>
      <c r="K15" s="743"/>
      <c r="L15" s="742"/>
      <c r="M15" s="743">
        <f t="shared" si="0"/>
        <v>0</v>
      </c>
      <c r="N15" s="743"/>
      <c r="O15" s="370">
        <f t="shared" si="1"/>
        <v>0</v>
      </c>
      <c r="Q15" s="1261"/>
    </row>
    <row r="16" spans="2:17" ht="21.95" customHeight="1" x14ac:dyDescent="0.2">
      <c r="C16" s="744"/>
      <c r="D16" s="744" t="s">
        <v>6328</v>
      </c>
      <c r="E16" s="744"/>
      <c r="F16" s="744"/>
      <c r="G16" s="745"/>
      <c r="H16" s="746" t="s">
        <v>5137</v>
      </c>
      <c r="I16" s="892">
        <v>2</v>
      </c>
      <c r="J16" s="742">
        <v>8000</v>
      </c>
      <c r="K16" s="743">
        <v>9400</v>
      </c>
      <c r="L16" s="742"/>
      <c r="M16" s="743">
        <f t="shared" si="0"/>
        <v>9400</v>
      </c>
      <c r="N16" s="743">
        <v>5175.66</v>
      </c>
      <c r="O16" s="370">
        <f t="shared" si="1"/>
        <v>4224.34</v>
      </c>
      <c r="Q16" s="1261"/>
    </row>
    <row r="17" spans="2:17" ht="21.95" customHeight="1" x14ac:dyDescent="0.2">
      <c r="C17" s="744"/>
      <c r="D17" s="744"/>
      <c r="E17" s="744"/>
      <c r="F17" s="744"/>
      <c r="G17" s="745"/>
      <c r="H17" s="746"/>
      <c r="I17" s="892"/>
      <c r="J17" s="742"/>
      <c r="K17" s="743"/>
      <c r="L17" s="742"/>
      <c r="M17" s="743">
        <f t="shared" si="0"/>
        <v>0</v>
      </c>
      <c r="N17" s="743"/>
      <c r="O17" s="370">
        <f t="shared" si="1"/>
        <v>0</v>
      </c>
      <c r="Q17" s="1261"/>
    </row>
    <row r="18" spans="2:17" ht="21.95" customHeight="1" x14ac:dyDescent="0.2">
      <c r="C18" s="744" t="s">
        <v>6329</v>
      </c>
      <c r="D18" s="744"/>
      <c r="E18" s="744"/>
      <c r="F18" s="744"/>
      <c r="G18" s="745"/>
      <c r="H18" s="746" t="s">
        <v>5139</v>
      </c>
      <c r="I18" s="892">
        <v>2</v>
      </c>
      <c r="J18" s="742">
        <v>7600</v>
      </c>
      <c r="K18" s="743">
        <v>7600</v>
      </c>
      <c r="L18" s="742"/>
      <c r="M18" s="743">
        <f t="shared" si="0"/>
        <v>7600</v>
      </c>
      <c r="N18" s="743">
        <v>7600</v>
      </c>
      <c r="O18" s="370">
        <f t="shared" si="1"/>
        <v>0</v>
      </c>
      <c r="Q18" s="1261"/>
    </row>
    <row r="19" spans="2:17" ht="21.95" customHeight="1" x14ac:dyDescent="0.2">
      <c r="C19" s="744"/>
      <c r="D19" s="744"/>
      <c r="E19" s="744"/>
      <c r="F19" s="744"/>
      <c r="G19" s="745"/>
      <c r="H19" s="746"/>
      <c r="I19" s="892"/>
      <c r="J19" s="742"/>
      <c r="K19" s="743"/>
      <c r="L19" s="742"/>
      <c r="M19" s="743">
        <f t="shared" si="0"/>
        <v>0</v>
      </c>
      <c r="N19" s="743"/>
      <c r="O19" s="370">
        <f t="shared" si="1"/>
        <v>0</v>
      </c>
      <c r="Q19" s="1261"/>
    </row>
    <row r="20" spans="2:17" ht="21.95" customHeight="1" x14ac:dyDescent="0.2">
      <c r="C20" s="744" t="s">
        <v>6330</v>
      </c>
      <c r="D20" s="744"/>
      <c r="E20" s="744"/>
      <c r="F20" s="744"/>
      <c r="G20" s="745"/>
      <c r="H20" s="746" t="s">
        <v>5141</v>
      </c>
      <c r="I20" s="892">
        <v>2</v>
      </c>
      <c r="J20" s="742">
        <v>550</v>
      </c>
      <c r="K20" s="743">
        <v>550</v>
      </c>
      <c r="L20" s="742"/>
      <c r="M20" s="743">
        <f t="shared" si="0"/>
        <v>550</v>
      </c>
      <c r="N20" s="743">
        <v>548</v>
      </c>
      <c r="O20" s="370">
        <f t="shared" si="1"/>
        <v>2</v>
      </c>
      <c r="Q20" s="1261"/>
    </row>
    <row r="21" spans="2:17" ht="21.95" customHeight="1" x14ac:dyDescent="0.2">
      <c r="C21" s="744"/>
      <c r="D21" s="744"/>
      <c r="E21" s="744"/>
      <c r="F21" s="744"/>
      <c r="G21" s="745"/>
      <c r="H21" s="746"/>
      <c r="I21" s="892"/>
      <c r="J21" s="742"/>
      <c r="K21" s="743"/>
      <c r="L21" s="742"/>
      <c r="M21" s="743">
        <f t="shared" si="0"/>
        <v>0</v>
      </c>
      <c r="N21" s="743"/>
      <c r="O21" s="370">
        <f t="shared" si="1"/>
        <v>0</v>
      </c>
      <c r="Q21" s="1261"/>
    </row>
    <row r="22" spans="2:17" ht="21.95" customHeight="1" x14ac:dyDescent="0.2">
      <c r="C22" s="744" t="s">
        <v>6349</v>
      </c>
      <c r="D22" s="744"/>
      <c r="E22" s="744"/>
      <c r="F22" s="744"/>
      <c r="G22" s="745"/>
      <c r="H22" s="746" t="s">
        <v>5143</v>
      </c>
      <c r="I22" s="892">
        <v>2</v>
      </c>
      <c r="J22" s="742">
        <v>1500</v>
      </c>
      <c r="K22" s="743"/>
      <c r="L22" s="742"/>
      <c r="M22" s="743">
        <f t="shared" si="0"/>
        <v>0</v>
      </c>
      <c r="N22" s="743"/>
      <c r="O22" s="370">
        <f t="shared" si="1"/>
        <v>0</v>
      </c>
      <c r="Q22" s="1261"/>
    </row>
    <row r="23" spans="2:17" ht="21.95" customHeight="1" x14ac:dyDescent="0.2">
      <c r="C23" s="744"/>
      <c r="D23" s="744"/>
      <c r="E23" s="744"/>
      <c r="F23" s="744"/>
      <c r="G23" s="745"/>
      <c r="H23" s="746"/>
      <c r="I23" s="892"/>
      <c r="J23" s="742"/>
      <c r="K23" s="743"/>
      <c r="L23" s="742"/>
      <c r="M23" s="743">
        <f t="shared" si="0"/>
        <v>0</v>
      </c>
      <c r="N23" s="743"/>
      <c r="O23" s="370">
        <f t="shared" si="1"/>
        <v>0</v>
      </c>
      <c r="Q23" s="1261"/>
    </row>
    <row r="24" spans="2:17" ht="21.95" customHeight="1" x14ac:dyDescent="0.2">
      <c r="C24" s="744"/>
      <c r="D24" s="744"/>
      <c r="E24" s="744"/>
      <c r="F24" s="744"/>
      <c r="G24" s="745"/>
      <c r="H24" s="746"/>
      <c r="I24" s="892"/>
      <c r="J24" s="742"/>
      <c r="K24" s="743"/>
      <c r="L24" s="742"/>
      <c r="M24" s="743">
        <f t="shared" si="0"/>
        <v>0</v>
      </c>
      <c r="N24" s="743"/>
      <c r="O24" s="370">
        <f t="shared" si="1"/>
        <v>0</v>
      </c>
      <c r="Q24" s="1261"/>
    </row>
    <row r="25" spans="2:17" ht="21.95" customHeight="1" x14ac:dyDescent="0.2">
      <c r="C25" s="1244"/>
      <c r="D25" s="1234"/>
      <c r="E25" s="1234"/>
      <c r="F25" s="1234"/>
      <c r="G25" s="1235"/>
      <c r="H25" s="1236"/>
      <c r="I25" s="1237"/>
      <c r="J25" s="1242"/>
      <c r="K25" s="1243"/>
      <c r="L25" s="1242"/>
      <c r="M25" s="1243">
        <f t="shared" si="0"/>
        <v>0</v>
      </c>
      <c r="N25" s="1243"/>
      <c r="O25" s="1240">
        <f t="shared" si="1"/>
        <v>0</v>
      </c>
      <c r="P25" s="1224"/>
      <c r="Q25" s="1261"/>
    </row>
    <row r="26" spans="2:17" ht="21.95" customHeight="1" thickBot="1" x14ac:dyDescent="0.3">
      <c r="B26" s="2"/>
      <c r="C26" s="1245"/>
      <c r="D26" s="1219"/>
      <c r="E26" s="1219"/>
      <c r="F26" s="1219"/>
      <c r="G26" s="1220"/>
      <c r="H26" s="1221"/>
      <c r="I26" s="1246"/>
      <c r="J26" s="1247"/>
      <c r="K26" s="1247"/>
      <c r="L26" s="1247"/>
      <c r="M26" s="1222">
        <f t="shared" si="0"/>
        <v>0</v>
      </c>
      <c r="N26" s="1247"/>
      <c r="O26" s="1223">
        <f t="shared" si="1"/>
        <v>0</v>
      </c>
      <c r="P26" s="1224"/>
      <c r="Q26" s="1225"/>
    </row>
    <row r="27" spans="2:17" ht="16.5" thickTop="1" x14ac:dyDescent="0.25">
      <c r="B27" s="1617" t="s">
        <v>230</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bEzuRbLWvKrAiUYiuGqK/vIG9LXDhf1OxCECx9HP5ffRVzowUkXPAFm4jzm7NxI+n0ziUHxtGqdmEbp/AIv+rw==" saltValue="xXaOuc2wZ7G+MwLiD+mmYA=="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900-000000000000}">
          <x14:formula1>
            <xm:f>'Appropriation Codes'!$H$2:$H$25</xm:f>
          </x14:formula1>
          <xm:sqref>H8:H26</xm:sqref>
        </x14:dataValidation>
      </x14:dataValidations>
    </ext>
  </extLst>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Sheet79"/>
  <dimension ref="B2:Q31"/>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5">
      <c r="C7" s="100" t="s">
        <v>5230</v>
      </c>
      <c r="D7" s="14"/>
      <c r="E7" s="14"/>
      <c r="F7" s="14"/>
      <c r="G7" s="90"/>
      <c r="H7" s="1717" t="s">
        <v>200</v>
      </c>
      <c r="I7" s="1718"/>
      <c r="J7" s="94" t="s">
        <v>201</v>
      </c>
      <c r="K7" s="95" t="s">
        <v>201</v>
      </c>
      <c r="L7" s="94" t="s">
        <v>201</v>
      </c>
      <c r="M7" s="95" t="s">
        <v>201</v>
      </c>
      <c r="N7" s="95" t="s">
        <v>201</v>
      </c>
      <c r="O7" s="96" t="s">
        <v>201</v>
      </c>
    </row>
    <row r="8" spans="2:17" ht="21.95" customHeight="1" x14ac:dyDescent="0.25">
      <c r="C8" s="744"/>
      <c r="D8" s="744"/>
      <c r="E8" s="744"/>
      <c r="F8" s="744"/>
      <c r="G8" s="745"/>
      <c r="H8" s="746"/>
      <c r="I8" s="1026"/>
      <c r="J8" s="742"/>
      <c r="K8" s="743"/>
      <c r="L8" s="742"/>
      <c r="M8" s="743">
        <f>+K8</f>
        <v>0</v>
      </c>
      <c r="N8" s="743"/>
      <c r="O8" s="370">
        <f t="shared" ref="O8:O26" si="0">IFERROR(IF(+M8-N8&gt;=0,M8-N8,"*")-Q8,"*")</f>
        <v>0</v>
      </c>
      <c r="Q8" s="1261"/>
    </row>
    <row r="9" spans="2:17" ht="21.95" customHeight="1" x14ac:dyDescent="0.25">
      <c r="C9" s="744"/>
      <c r="D9" s="744"/>
      <c r="E9" s="744"/>
      <c r="F9" s="744"/>
      <c r="G9" s="745"/>
      <c r="H9" s="746"/>
      <c r="I9" s="1026"/>
      <c r="J9" s="742"/>
      <c r="K9" s="743"/>
      <c r="L9" s="742"/>
      <c r="M9" s="743">
        <f t="shared" ref="M9:M26" si="1">+K9</f>
        <v>0</v>
      </c>
      <c r="N9" s="743"/>
      <c r="O9" s="370">
        <f t="shared" si="0"/>
        <v>0</v>
      </c>
      <c r="Q9" s="1261"/>
    </row>
    <row r="10" spans="2:17" ht="21.95" customHeight="1" x14ac:dyDescent="0.2">
      <c r="C10" s="744"/>
      <c r="D10" s="744"/>
      <c r="E10" s="744"/>
      <c r="F10" s="744"/>
      <c r="G10" s="745"/>
      <c r="H10" s="746"/>
      <c r="I10" s="892"/>
      <c r="J10" s="742"/>
      <c r="K10" s="743"/>
      <c r="L10" s="742"/>
      <c r="M10" s="743">
        <f t="shared" si="1"/>
        <v>0</v>
      </c>
      <c r="N10" s="743"/>
      <c r="O10" s="370">
        <f t="shared" si="0"/>
        <v>0</v>
      </c>
      <c r="Q10" s="1261"/>
    </row>
    <row r="11" spans="2:17" ht="21.95" customHeight="1" x14ac:dyDescent="0.2">
      <c r="C11" s="744"/>
      <c r="D11" s="744"/>
      <c r="E11" s="744"/>
      <c r="F11" s="744"/>
      <c r="G11" s="745"/>
      <c r="H11" s="746"/>
      <c r="I11" s="892"/>
      <c r="J11" s="742"/>
      <c r="K11" s="743"/>
      <c r="L11" s="742"/>
      <c r="M11" s="743">
        <f t="shared" si="1"/>
        <v>0</v>
      </c>
      <c r="N11" s="743"/>
      <c r="O11" s="370">
        <f t="shared" si="0"/>
        <v>0</v>
      </c>
      <c r="Q11" s="1261"/>
    </row>
    <row r="12" spans="2:17" ht="21.95" customHeight="1" x14ac:dyDescent="0.2">
      <c r="C12" s="744"/>
      <c r="D12" s="876"/>
      <c r="E12" s="744"/>
      <c r="F12" s="744"/>
      <c r="G12" s="745"/>
      <c r="H12" s="746"/>
      <c r="I12" s="892"/>
      <c r="J12" s="742"/>
      <c r="K12" s="743"/>
      <c r="L12" s="742"/>
      <c r="M12" s="743">
        <f t="shared" si="1"/>
        <v>0</v>
      </c>
      <c r="N12" s="743"/>
      <c r="O12" s="370">
        <f t="shared" si="0"/>
        <v>0</v>
      </c>
      <c r="Q12" s="1261"/>
    </row>
    <row r="13" spans="2:17" ht="21.95" customHeight="1" x14ac:dyDescent="0.2">
      <c r="C13" s="744"/>
      <c r="D13" s="876"/>
      <c r="E13" s="744"/>
      <c r="F13" s="744"/>
      <c r="G13" s="745"/>
      <c r="H13" s="746"/>
      <c r="I13" s="892"/>
      <c r="J13" s="742"/>
      <c r="K13" s="743"/>
      <c r="L13" s="742"/>
      <c r="M13" s="743">
        <f t="shared" si="1"/>
        <v>0</v>
      </c>
      <c r="N13" s="743"/>
      <c r="O13" s="370">
        <f t="shared" si="0"/>
        <v>0</v>
      </c>
      <c r="Q13" s="1261"/>
    </row>
    <row r="14" spans="2:17" ht="21.95" customHeight="1" x14ac:dyDescent="0.2">
      <c r="C14" s="744"/>
      <c r="D14" s="744"/>
      <c r="E14" s="744"/>
      <c r="F14" s="744"/>
      <c r="G14" s="745"/>
      <c r="H14" s="746"/>
      <c r="I14" s="892"/>
      <c r="J14" s="742"/>
      <c r="K14" s="743"/>
      <c r="L14" s="742"/>
      <c r="M14" s="743">
        <f t="shared" si="1"/>
        <v>0</v>
      </c>
      <c r="N14" s="743"/>
      <c r="O14" s="370">
        <f t="shared" si="0"/>
        <v>0</v>
      </c>
      <c r="Q14" s="1261"/>
    </row>
    <row r="15" spans="2:17" ht="21.95" customHeight="1" x14ac:dyDescent="0.2">
      <c r="C15" s="744"/>
      <c r="D15" s="744"/>
      <c r="E15" s="744"/>
      <c r="F15" s="744"/>
      <c r="G15" s="745"/>
      <c r="H15" s="746"/>
      <c r="I15" s="892"/>
      <c r="J15" s="742"/>
      <c r="K15" s="743"/>
      <c r="L15" s="742"/>
      <c r="M15" s="743">
        <f t="shared" si="1"/>
        <v>0</v>
      </c>
      <c r="N15" s="743"/>
      <c r="O15" s="370">
        <f t="shared" si="0"/>
        <v>0</v>
      </c>
      <c r="Q15" s="1261"/>
    </row>
    <row r="16" spans="2:17" ht="21.95" customHeight="1" x14ac:dyDescent="0.2">
      <c r="C16" s="744"/>
      <c r="D16" s="744"/>
      <c r="E16" s="744"/>
      <c r="F16" s="744"/>
      <c r="G16" s="745"/>
      <c r="H16" s="746"/>
      <c r="I16" s="892"/>
      <c r="J16" s="742"/>
      <c r="K16" s="743"/>
      <c r="L16" s="742"/>
      <c r="M16" s="743">
        <f t="shared" si="1"/>
        <v>0</v>
      </c>
      <c r="N16" s="743"/>
      <c r="O16" s="370">
        <f t="shared" si="0"/>
        <v>0</v>
      </c>
      <c r="Q16" s="1261"/>
    </row>
    <row r="17" spans="2:17" ht="21.95" customHeight="1" x14ac:dyDescent="0.2">
      <c r="C17" s="744"/>
      <c r="D17" s="744"/>
      <c r="E17" s="744"/>
      <c r="F17" s="744"/>
      <c r="G17" s="745"/>
      <c r="H17" s="746"/>
      <c r="I17" s="892"/>
      <c r="J17" s="742"/>
      <c r="K17" s="743"/>
      <c r="L17" s="742"/>
      <c r="M17" s="743">
        <f t="shared" si="1"/>
        <v>0</v>
      </c>
      <c r="N17" s="743"/>
      <c r="O17" s="370">
        <f t="shared" si="0"/>
        <v>0</v>
      </c>
      <c r="Q17" s="1261"/>
    </row>
    <row r="18" spans="2:17" ht="21.95" customHeight="1" x14ac:dyDescent="0.2">
      <c r="C18" s="744"/>
      <c r="D18" s="744"/>
      <c r="E18" s="744"/>
      <c r="F18" s="744"/>
      <c r="G18" s="745"/>
      <c r="H18" s="746"/>
      <c r="I18" s="892"/>
      <c r="J18" s="742"/>
      <c r="K18" s="743"/>
      <c r="L18" s="742"/>
      <c r="M18" s="743">
        <f t="shared" si="1"/>
        <v>0</v>
      </c>
      <c r="N18" s="743"/>
      <c r="O18" s="370">
        <f t="shared" si="0"/>
        <v>0</v>
      </c>
      <c r="Q18" s="1261"/>
    </row>
    <row r="19" spans="2:17" ht="21.95" customHeight="1" x14ac:dyDescent="0.2">
      <c r="C19" s="744"/>
      <c r="D19" s="744"/>
      <c r="E19" s="744"/>
      <c r="F19" s="744"/>
      <c r="G19" s="745"/>
      <c r="H19" s="746"/>
      <c r="I19" s="892"/>
      <c r="J19" s="742"/>
      <c r="K19" s="743"/>
      <c r="L19" s="742"/>
      <c r="M19" s="743">
        <f t="shared" si="1"/>
        <v>0</v>
      </c>
      <c r="N19" s="743"/>
      <c r="O19" s="370">
        <f t="shared" si="0"/>
        <v>0</v>
      </c>
      <c r="Q19" s="1261"/>
    </row>
    <row r="20" spans="2:17" ht="21.95" customHeight="1" x14ac:dyDescent="0.2">
      <c r="C20" s="744"/>
      <c r="D20" s="744"/>
      <c r="E20" s="744"/>
      <c r="F20" s="744"/>
      <c r="G20" s="745"/>
      <c r="H20" s="746"/>
      <c r="I20" s="892"/>
      <c r="J20" s="742"/>
      <c r="K20" s="743"/>
      <c r="L20" s="742"/>
      <c r="M20" s="743">
        <f t="shared" si="1"/>
        <v>0</v>
      </c>
      <c r="N20" s="743"/>
      <c r="O20" s="370">
        <f t="shared" si="0"/>
        <v>0</v>
      </c>
      <c r="Q20" s="1261"/>
    </row>
    <row r="21" spans="2:17" ht="21.95" customHeight="1" x14ac:dyDescent="0.2">
      <c r="C21" s="744"/>
      <c r="D21" s="744"/>
      <c r="E21" s="744"/>
      <c r="F21" s="744"/>
      <c r="G21" s="745"/>
      <c r="H21" s="746"/>
      <c r="I21" s="892"/>
      <c r="J21" s="742"/>
      <c r="K21" s="743"/>
      <c r="L21" s="742"/>
      <c r="M21" s="743">
        <f t="shared" si="1"/>
        <v>0</v>
      </c>
      <c r="N21" s="743"/>
      <c r="O21" s="370">
        <f t="shared" si="0"/>
        <v>0</v>
      </c>
      <c r="Q21" s="1261"/>
    </row>
    <row r="22" spans="2:17" ht="21.95" customHeight="1" x14ac:dyDescent="0.2">
      <c r="C22" s="744"/>
      <c r="D22" s="744"/>
      <c r="E22" s="744"/>
      <c r="F22" s="744"/>
      <c r="G22" s="745"/>
      <c r="H22" s="746"/>
      <c r="I22" s="892"/>
      <c r="J22" s="742"/>
      <c r="K22" s="743"/>
      <c r="L22" s="742"/>
      <c r="M22" s="743">
        <f t="shared" si="1"/>
        <v>0</v>
      </c>
      <c r="N22" s="743"/>
      <c r="O22" s="370">
        <f t="shared" si="0"/>
        <v>0</v>
      </c>
      <c r="Q22" s="1261"/>
    </row>
    <row r="23" spans="2:17" ht="21.95" customHeight="1" x14ac:dyDescent="0.2">
      <c r="C23" s="744"/>
      <c r="D23" s="744"/>
      <c r="E23" s="744"/>
      <c r="F23" s="744"/>
      <c r="G23" s="745"/>
      <c r="H23" s="746"/>
      <c r="I23" s="892"/>
      <c r="J23" s="742"/>
      <c r="K23" s="743"/>
      <c r="L23" s="742"/>
      <c r="M23" s="743">
        <f t="shared" si="1"/>
        <v>0</v>
      </c>
      <c r="N23" s="743"/>
      <c r="O23" s="370">
        <f t="shared" si="0"/>
        <v>0</v>
      </c>
      <c r="Q23" s="1261"/>
    </row>
    <row r="24" spans="2:17" ht="21.95" customHeight="1" x14ac:dyDescent="0.2">
      <c r="C24" s="744"/>
      <c r="D24" s="744"/>
      <c r="E24" s="744"/>
      <c r="F24" s="744"/>
      <c r="G24" s="745"/>
      <c r="H24" s="746"/>
      <c r="I24" s="892"/>
      <c r="J24" s="742"/>
      <c r="K24" s="743"/>
      <c r="L24" s="742"/>
      <c r="M24" s="743">
        <f t="shared" si="1"/>
        <v>0</v>
      </c>
      <c r="N24" s="743"/>
      <c r="O24" s="370">
        <f t="shared" si="0"/>
        <v>0</v>
      </c>
      <c r="Q24" s="1261"/>
    </row>
    <row r="25" spans="2:17" ht="21.95" customHeight="1" x14ac:dyDescent="0.2">
      <c r="B25" s="1233"/>
      <c r="C25" s="1248"/>
      <c r="D25" s="1249"/>
      <c r="E25" s="1249"/>
      <c r="F25" s="1249"/>
      <c r="G25" s="1250"/>
      <c r="H25" s="1251"/>
      <c r="I25" s="1252"/>
      <c r="J25" s="1253"/>
      <c r="K25" s="1254"/>
      <c r="L25" s="1253"/>
      <c r="M25" s="1254">
        <f t="shared" si="1"/>
        <v>0</v>
      </c>
      <c r="N25" s="1254"/>
      <c r="O25" s="1255">
        <f t="shared" si="0"/>
        <v>0</v>
      </c>
      <c r="P25" s="1233"/>
      <c r="Q25" s="1261"/>
    </row>
    <row r="26" spans="2:17" ht="21.95" customHeight="1" thickBot="1" x14ac:dyDescent="0.3">
      <c r="B26" s="1256"/>
      <c r="C26" s="1257"/>
      <c r="D26" s="1226"/>
      <c r="E26" s="1226"/>
      <c r="F26" s="1226"/>
      <c r="G26" s="1227"/>
      <c r="H26" s="1228"/>
      <c r="I26" s="1258"/>
      <c r="J26" s="1259"/>
      <c r="K26" s="1259"/>
      <c r="L26" s="1259"/>
      <c r="M26" s="1231">
        <f t="shared" si="1"/>
        <v>0</v>
      </c>
      <c r="N26" s="1259"/>
      <c r="O26" s="1232">
        <f t="shared" si="0"/>
        <v>0</v>
      </c>
      <c r="P26" s="1233"/>
      <c r="Q26" s="1233"/>
    </row>
    <row r="27" spans="2:17" ht="16.5" thickTop="1" x14ac:dyDescent="0.25">
      <c r="B27" s="1617" t="s">
        <v>3374</v>
      </c>
      <c r="C27" s="1617"/>
      <c r="D27" s="1617"/>
      <c r="E27" s="1617"/>
      <c r="F27" s="1617"/>
      <c r="G27" s="1617"/>
      <c r="H27" s="1617"/>
      <c r="I27" s="1617"/>
      <c r="J27" s="1617"/>
      <c r="K27" s="1617"/>
      <c r="L27" s="1617"/>
      <c r="M27" s="1617"/>
      <c r="N27" s="1617"/>
      <c r="O27" s="1617"/>
    </row>
    <row r="30" spans="2:17" x14ac:dyDescent="0.2">
      <c r="J30" s="29"/>
    </row>
    <row r="31" spans="2:17" x14ac:dyDescent="0.2">
      <c r="J31">
        <f>735074-713665</f>
        <v>21409</v>
      </c>
    </row>
  </sheetData>
  <sheetProtection algorithmName="SHA-512" hashValue="OzfiQbgcaxkWb9bBlFXBh+PJiWuVW32AZ1ahBZIFAB/0lIHnDtOC5pjZajAZMKajiOIihTqCV10wlKTeeK0pHQ==" saltValue="1EiSGY20ubIkc/6JRfHR6g==" spinCount="100000" sheet="1" objects="1" scenarios="1"/>
  <mergeCells count="6">
    <mergeCell ref="B2:O2"/>
    <mergeCell ref="J3:M3"/>
    <mergeCell ref="N3:O3"/>
    <mergeCell ref="B27:O27"/>
    <mergeCell ref="H4:I4"/>
    <mergeCell ref="H7:I7"/>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A00-000000000000}">
          <x14:formula1>
            <xm:f>'Appropriation Codes'!$H$2:$H$25</xm:f>
          </x14:formula1>
          <xm:sqref>H8:H26</xm:sqref>
        </x14:dataValidation>
      </x14:dataValidations>
    </ext>
  </extLst>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80"/>
  <dimension ref="B2:Q31"/>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5">
      <c r="C7" s="100" t="s">
        <v>5230</v>
      </c>
      <c r="D7" s="14"/>
      <c r="E7" s="14"/>
      <c r="F7" s="14"/>
      <c r="G7" s="90"/>
      <c r="H7" s="1717" t="s">
        <v>200</v>
      </c>
      <c r="I7" s="1718"/>
      <c r="J7" s="94" t="s">
        <v>201</v>
      </c>
      <c r="K7" s="95" t="s">
        <v>201</v>
      </c>
      <c r="L7" s="94" t="s">
        <v>201</v>
      </c>
      <c r="M7" s="95" t="s">
        <v>201</v>
      </c>
      <c r="N7" s="95" t="s">
        <v>201</v>
      </c>
      <c r="O7" s="96" t="s">
        <v>201</v>
      </c>
    </row>
    <row r="8" spans="2:17" ht="21.95" customHeight="1" x14ac:dyDescent="0.25">
      <c r="C8" s="744"/>
      <c r="D8" s="744"/>
      <c r="E8" s="744"/>
      <c r="F8" s="744"/>
      <c r="G8" s="745"/>
      <c r="H8" s="746"/>
      <c r="I8" s="1026"/>
      <c r="J8" s="742"/>
      <c r="K8" s="743"/>
      <c r="L8" s="742"/>
      <c r="M8" s="743">
        <f t="shared" ref="M8:M14" si="0">+K8</f>
        <v>0</v>
      </c>
      <c r="N8" s="743"/>
      <c r="O8" s="370">
        <f t="shared" ref="O8:O25" si="1">IFERROR(IF(+M8-N8&gt;=0,M8-N8,"*")-Q8,"*")</f>
        <v>0</v>
      </c>
      <c r="Q8" s="1261"/>
    </row>
    <row r="9" spans="2:17" ht="21.95" customHeight="1" x14ac:dyDescent="0.25">
      <c r="C9" s="744"/>
      <c r="D9" s="744"/>
      <c r="E9" s="744"/>
      <c r="F9" s="744"/>
      <c r="G9" s="745"/>
      <c r="H9" s="746"/>
      <c r="I9" s="1026"/>
      <c r="J9" s="742"/>
      <c r="K9" s="743"/>
      <c r="L9" s="742"/>
      <c r="M9" s="743">
        <f t="shared" si="0"/>
        <v>0</v>
      </c>
      <c r="N9" s="743"/>
      <c r="O9" s="370">
        <f t="shared" si="1"/>
        <v>0</v>
      </c>
      <c r="Q9" s="1261"/>
    </row>
    <row r="10" spans="2:17" ht="21.95" customHeight="1" x14ac:dyDescent="0.2">
      <c r="C10" s="744"/>
      <c r="D10" s="744"/>
      <c r="E10" s="744"/>
      <c r="F10" s="744"/>
      <c r="G10" s="745"/>
      <c r="H10" s="746"/>
      <c r="I10" s="892"/>
      <c r="J10" s="742"/>
      <c r="K10" s="743"/>
      <c r="L10" s="742"/>
      <c r="M10" s="743">
        <f t="shared" si="0"/>
        <v>0</v>
      </c>
      <c r="N10" s="743"/>
      <c r="O10" s="370">
        <f t="shared" si="1"/>
        <v>0</v>
      </c>
      <c r="Q10" s="1261"/>
    </row>
    <row r="11" spans="2:17" ht="21.95" customHeight="1" x14ac:dyDescent="0.2">
      <c r="C11" s="744"/>
      <c r="D11" s="744"/>
      <c r="E11" s="744"/>
      <c r="F11" s="744"/>
      <c r="G11" s="745"/>
      <c r="H11" s="746"/>
      <c r="I11" s="892"/>
      <c r="J11" s="742"/>
      <c r="K11" s="743"/>
      <c r="L11" s="742"/>
      <c r="M11" s="743">
        <f t="shared" si="0"/>
        <v>0</v>
      </c>
      <c r="N11" s="743"/>
      <c r="O11" s="370">
        <f t="shared" si="1"/>
        <v>0</v>
      </c>
      <c r="Q11" s="1261"/>
    </row>
    <row r="12" spans="2:17" ht="21.95" customHeight="1" x14ac:dyDescent="0.2">
      <c r="C12" s="744"/>
      <c r="D12" s="876"/>
      <c r="E12" s="744"/>
      <c r="F12" s="744"/>
      <c r="G12" s="745"/>
      <c r="H12" s="746"/>
      <c r="I12" s="892"/>
      <c r="J12" s="742"/>
      <c r="K12" s="743"/>
      <c r="L12" s="742"/>
      <c r="M12" s="743">
        <f t="shared" si="0"/>
        <v>0</v>
      </c>
      <c r="N12" s="743"/>
      <c r="O12" s="370">
        <f t="shared" si="1"/>
        <v>0</v>
      </c>
      <c r="Q12" s="1261"/>
    </row>
    <row r="13" spans="2:17" ht="21.95" customHeight="1" x14ac:dyDescent="0.2">
      <c r="C13" s="744"/>
      <c r="D13" s="876"/>
      <c r="E13" s="744"/>
      <c r="F13" s="744"/>
      <c r="G13" s="745"/>
      <c r="H13" s="746"/>
      <c r="I13" s="892"/>
      <c r="J13" s="742"/>
      <c r="K13" s="743"/>
      <c r="L13" s="742"/>
      <c r="M13" s="743">
        <f t="shared" si="0"/>
        <v>0</v>
      </c>
      <c r="N13" s="743"/>
      <c r="O13" s="370">
        <f t="shared" si="1"/>
        <v>0</v>
      </c>
      <c r="Q13" s="1261"/>
    </row>
    <row r="14" spans="2:17" ht="21.95" customHeight="1" x14ac:dyDescent="0.2">
      <c r="C14" s="744"/>
      <c r="D14" s="744"/>
      <c r="E14" s="744"/>
      <c r="F14" s="744"/>
      <c r="G14" s="745"/>
      <c r="H14" s="746"/>
      <c r="I14" s="892"/>
      <c r="J14" s="742"/>
      <c r="K14" s="743"/>
      <c r="L14" s="742"/>
      <c r="M14" s="743">
        <f t="shared" si="0"/>
        <v>0</v>
      </c>
      <c r="N14" s="743"/>
      <c r="O14" s="370">
        <f t="shared" si="1"/>
        <v>0</v>
      </c>
      <c r="Q14" s="1261"/>
    </row>
    <row r="15" spans="2:17" ht="21.95" customHeight="1" x14ac:dyDescent="0.2">
      <c r="C15" s="744"/>
      <c r="D15" s="744"/>
      <c r="E15" s="744"/>
      <c r="F15" s="744"/>
      <c r="G15" s="745"/>
      <c r="H15" s="746"/>
      <c r="I15" s="892"/>
      <c r="J15" s="742"/>
      <c r="K15" s="743"/>
      <c r="L15" s="742"/>
      <c r="M15" s="743">
        <f t="shared" ref="M15:M25" si="2">+K15</f>
        <v>0</v>
      </c>
      <c r="N15" s="743"/>
      <c r="O15" s="370">
        <f t="shared" si="1"/>
        <v>0</v>
      </c>
      <c r="Q15" s="1261"/>
    </row>
    <row r="16" spans="2:17" ht="21.95" customHeight="1" x14ac:dyDescent="0.2">
      <c r="C16" s="744"/>
      <c r="D16" s="744"/>
      <c r="E16" s="744"/>
      <c r="F16" s="744"/>
      <c r="G16" s="745"/>
      <c r="H16" s="746"/>
      <c r="I16" s="892"/>
      <c r="J16" s="742"/>
      <c r="K16" s="743"/>
      <c r="L16" s="742"/>
      <c r="M16" s="743">
        <f t="shared" si="2"/>
        <v>0</v>
      </c>
      <c r="N16" s="743"/>
      <c r="O16" s="370">
        <f t="shared" si="1"/>
        <v>0</v>
      </c>
      <c r="Q16" s="1261"/>
    </row>
    <row r="17" spans="2:17" ht="21.95" customHeight="1" x14ac:dyDescent="0.2">
      <c r="C17" s="744"/>
      <c r="D17" s="744"/>
      <c r="E17" s="744"/>
      <c r="F17" s="744"/>
      <c r="G17" s="745"/>
      <c r="H17" s="746"/>
      <c r="I17" s="892"/>
      <c r="J17" s="742"/>
      <c r="K17" s="743"/>
      <c r="L17" s="742"/>
      <c r="M17" s="743">
        <f t="shared" si="2"/>
        <v>0</v>
      </c>
      <c r="N17" s="743"/>
      <c r="O17" s="370">
        <f t="shared" si="1"/>
        <v>0</v>
      </c>
      <c r="Q17" s="1261"/>
    </row>
    <row r="18" spans="2:17" ht="21.95" customHeight="1" x14ac:dyDescent="0.2">
      <c r="C18" s="744"/>
      <c r="D18" s="744"/>
      <c r="E18" s="744"/>
      <c r="F18" s="744"/>
      <c r="G18" s="745"/>
      <c r="H18" s="746"/>
      <c r="I18" s="892"/>
      <c r="J18" s="742"/>
      <c r="K18" s="743"/>
      <c r="L18" s="742"/>
      <c r="M18" s="743">
        <f t="shared" si="2"/>
        <v>0</v>
      </c>
      <c r="N18" s="743"/>
      <c r="O18" s="370">
        <f t="shared" si="1"/>
        <v>0</v>
      </c>
      <c r="Q18" s="1261"/>
    </row>
    <row r="19" spans="2:17" ht="21.95" customHeight="1" x14ac:dyDescent="0.2">
      <c r="C19" s="744"/>
      <c r="D19" s="744"/>
      <c r="E19" s="744"/>
      <c r="F19" s="744"/>
      <c r="G19" s="745"/>
      <c r="H19" s="746"/>
      <c r="I19" s="892"/>
      <c r="J19" s="742"/>
      <c r="K19" s="743"/>
      <c r="L19" s="742"/>
      <c r="M19" s="743">
        <f t="shared" si="2"/>
        <v>0</v>
      </c>
      <c r="N19" s="743"/>
      <c r="O19" s="370">
        <f t="shared" si="1"/>
        <v>0</v>
      </c>
      <c r="Q19" s="1261"/>
    </row>
    <row r="20" spans="2:17" ht="21.95" customHeight="1" x14ac:dyDescent="0.2">
      <c r="C20" s="744"/>
      <c r="D20" s="744"/>
      <c r="E20" s="744"/>
      <c r="F20" s="744"/>
      <c r="G20" s="745"/>
      <c r="H20" s="746"/>
      <c r="I20" s="892"/>
      <c r="J20" s="742"/>
      <c r="K20" s="743"/>
      <c r="L20" s="742"/>
      <c r="M20" s="743">
        <f t="shared" si="2"/>
        <v>0</v>
      </c>
      <c r="N20" s="743"/>
      <c r="O20" s="370">
        <f t="shared" si="1"/>
        <v>0</v>
      </c>
      <c r="Q20" s="1261"/>
    </row>
    <row r="21" spans="2:17" ht="21.95" customHeight="1" x14ac:dyDescent="0.2">
      <c r="C21" s="744"/>
      <c r="D21" s="744"/>
      <c r="E21" s="744"/>
      <c r="F21" s="744"/>
      <c r="G21" s="745"/>
      <c r="H21" s="746"/>
      <c r="I21" s="892"/>
      <c r="J21" s="742"/>
      <c r="K21" s="743"/>
      <c r="L21" s="742"/>
      <c r="M21" s="743">
        <f t="shared" si="2"/>
        <v>0</v>
      </c>
      <c r="N21" s="743"/>
      <c r="O21" s="370">
        <f t="shared" si="1"/>
        <v>0</v>
      </c>
      <c r="Q21" s="1261"/>
    </row>
    <row r="22" spans="2:17" ht="21.95" customHeight="1" x14ac:dyDescent="0.2">
      <c r="C22" s="744"/>
      <c r="D22" s="744"/>
      <c r="E22" s="744"/>
      <c r="F22" s="744"/>
      <c r="G22" s="745"/>
      <c r="H22" s="746"/>
      <c r="I22" s="892"/>
      <c r="J22" s="742"/>
      <c r="K22" s="743"/>
      <c r="L22" s="742"/>
      <c r="M22" s="743">
        <f t="shared" si="2"/>
        <v>0</v>
      </c>
      <c r="N22" s="743"/>
      <c r="O22" s="370">
        <f t="shared" si="1"/>
        <v>0</v>
      </c>
      <c r="Q22" s="1261"/>
    </row>
    <row r="23" spans="2:17" ht="21.95" customHeight="1" x14ac:dyDescent="0.2">
      <c r="C23" s="744"/>
      <c r="D23" s="744"/>
      <c r="E23" s="744"/>
      <c r="F23" s="744"/>
      <c r="G23" s="745"/>
      <c r="H23" s="746"/>
      <c r="I23" s="892"/>
      <c r="J23" s="742"/>
      <c r="K23" s="743"/>
      <c r="L23" s="742"/>
      <c r="M23" s="743">
        <f t="shared" si="2"/>
        <v>0</v>
      </c>
      <c r="N23" s="743"/>
      <c r="O23" s="370">
        <f t="shared" si="1"/>
        <v>0</v>
      </c>
      <c r="Q23" s="1261"/>
    </row>
    <row r="24" spans="2:17" ht="21.95" customHeight="1" x14ac:dyDescent="0.2">
      <c r="C24" s="744"/>
      <c r="D24" s="744"/>
      <c r="E24" s="744"/>
      <c r="F24" s="744"/>
      <c r="G24" s="745"/>
      <c r="H24" s="746"/>
      <c r="I24" s="892"/>
      <c r="J24" s="742"/>
      <c r="K24" s="743"/>
      <c r="L24" s="742"/>
      <c r="M24" s="743">
        <f t="shared" si="2"/>
        <v>0</v>
      </c>
      <c r="N24" s="743"/>
      <c r="O24" s="370">
        <f t="shared" si="1"/>
        <v>0</v>
      </c>
      <c r="Q24" s="1261"/>
    </row>
    <row r="25" spans="2:17" ht="21.95" customHeight="1" thickBot="1" x14ac:dyDescent="0.25">
      <c r="B25" s="1224"/>
      <c r="C25" s="1244"/>
      <c r="D25" s="1234"/>
      <c r="E25" s="1234"/>
      <c r="F25" s="1234"/>
      <c r="G25" s="1235"/>
      <c r="H25" s="1236"/>
      <c r="I25" s="1237"/>
      <c r="J25" s="1242"/>
      <c r="K25" s="1243"/>
      <c r="L25" s="1242"/>
      <c r="M25" s="1239">
        <f t="shared" si="2"/>
        <v>0</v>
      </c>
      <c r="N25" s="1243"/>
      <c r="O25" s="1240">
        <f t="shared" si="1"/>
        <v>0</v>
      </c>
      <c r="P25" s="1224"/>
      <c r="Q25" s="1261"/>
    </row>
    <row r="26" spans="2:17" ht="21.95" customHeight="1" thickTop="1" thickBot="1" x14ac:dyDescent="0.3">
      <c r="B26" s="2"/>
      <c r="C26" s="136" t="s">
        <v>231</v>
      </c>
      <c r="D26" s="18"/>
      <c r="E26" s="18"/>
      <c r="F26" s="19"/>
      <c r="G26" s="19"/>
      <c r="H26" s="686" t="s">
        <v>384</v>
      </c>
      <c r="I26" s="683"/>
      <c r="J26" s="122">
        <f>SUM(J8:J25)+SUM('22:22a'!J8:J26)</f>
        <v>42850</v>
      </c>
      <c r="K26" s="122">
        <f>SUM(K8:K25)+SUM('22:22a'!K8:K26)</f>
        <v>42786.729999999996</v>
      </c>
      <c r="L26" s="122">
        <f>SUM(L8:L25)+SUM('22:22a'!L8:L26)</f>
        <v>0</v>
      </c>
      <c r="M26" s="122">
        <f>SUM(M8:M25)+SUM('22:22a'!M8:M26)</f>
        <v>42786.729999999996</v>
      </c>
      <c r="N26" s="122">
        <f>SUM(N8:N25)+SUM('22:22a'!N8:N26)</f>
        <v>34663.67</v>
      </c>
      <c r="O26" s="137">
        <f>SUM(O8:O25)+SUM('22:22a'!O8:O26)</f>
        <v>8123.0599999999995</v>
      </c>
    </row>
    <row r="27" spans="2:17" ht="16.5" thickTop="1" x14ac:dyDescent="0.25">
      <c r="B27" s="1617" t="s">
        <v>3373</v>
      </c>
      <c r="C27" s="1617"/>
      <c r="D27" s="1617"/>
      <c r="E27" s="1617"/>
      <c r="F27" s="1617"/>
      <c r="G27" s="1617"/>
      <c r="H27" s="1617"/>
      <c r="I27" s="1617"/>
      <c r="J27" s="1617"/>
      <c r="K27" s="1617"/>
      <c r="L27" s="1617"/>
      <c r="M27" s="1617"/>
      <c r="N27" s="1617"/>
      <c r="O27" s="1617"/>
    </row>
    <row r="30" spans="2:17" x14ac:dyDescent="0.2">
      <c r="J30" s="29"/>
    </row>
    <row r="31" spans="2:17" x14ac:dyDescent="0.2">
      <c r="J31">
        <f>735074-713665</f>
        <v>21409</v>
      </c>
    </row>
  </sheetData>
  <sheetProtection algorithmName="SHA-512" hashValue="Cs3/jk/Qo0hhccoRpqZr0XwcEQurGnzI6j8JTPmq+TOjKGeDVUygDXJ98kHOQgnANfXDle/2r2KXTCKLWG1PSg==" saltValue="a0VuBKdjoXhFE7dyU5Nh8g==" spinCount="100000" sheet="1" objects="1" scenarios="1"/>
  <mergeCells count="6">
    <mergeCell ref="B2:O2"/>
    <mergeCell ref="N3:O3"/>
    <mergeCell ref="J3:M3"/>
    <mergeCell ref="B27:O27"/>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B00-000000000000}">
          <x14:formula1>
            <xm:f>'Appropriation Codes'!$H$2:$H$25</xm:f>
          </x14:formula1>
          <xm:sqref>H8:H25</xm:sqref>
        </x14:dataValidation>
      </x14:dataValidations>
    </ext>
  </extLst>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81"/>
  <dimension ref="B2:Q30"/>
  <sheetViews>
    <sheetView topLeftCell="A4"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C3" s="222"/>
      <c r="D3" s="222"/>
      <c r="E3" s="222"/>
      <c r="F3" s="222"/>
      <c r="G3" s="6"/>
      <c r="H3" s="221"/>
      <c r="I3" s="237"/>
      <c r="J3" s="1705" t="s">
        <v>23</v>
      </c>
      <c r="K3" s="1707"/>
      <c r="L3" s="1707"/>
      <c r="M3" s="1708"/>
      <c r="N3" s="1705" t="str">
        <f>"Expended "&amp;'Key Inputs'!E34-1</f>
        <v>Expended 2020</v>
      </c>
      <c r="O3" s="1706"/>
    </row>
    <row r="4" spans="2:17" ht="15" customHeight="1" thickTop="1" x14ac:dyDescent="0.25">
      <c r="C4" s="63"/>
      <c r="D4" s="63"/>
      <c r="E4" s="63"/>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D5" s="63"/>
      <c r="E5" s="63"/>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6.25" customHeight="1" thickTop="1" x14ac:dyDescent="0.2">
      <c r="C7" s="1723" t="s">
        <v>3362</v>
      </c>
      <c r="D7" s="1723"/>
      <c r="E7" s="1723"/>
      <c r="F7" s="1723"/>
      <c r="G7" s="687"/>
      <c r="H7" s="1717" t="s">
        <v>200</v>
      </c>
      <c r="I7" s="1718"/>
      <c r="J7" s="94" t="s">
        <v>201</v>
      </c>
      <c r="K7" s="95" t="s">
        <v>201</v>
      </c>
      <c r="L7" s="94" t="s">
        <v>201</v>
      </c>
      <c r="M7" s="95" t="s">
        <v>201</v>
      </c>
      <c r="N7" s="95" t="s">
        <v>201</v>
      </c>
      <c r="O7" s="96" t="s">
        <v>201</v>
      </c>
    </row>
    <row r="8" spans="2:17" ht="20.45" customHeight="1" x14ac:dyDescent="0.25">
      <c r="C8" s="744"/>
      <c r="D8" s="744"/>
      <c r="E8" s="744"/>
      <c r="F8" s="744"/>
      <c r="G8" s="745"/>
      <c r="H8" s="746"/>
      <c r="I8" s="1026"/>
      <c r="J8" s="742"/>
      <c r="K8" s="743"/>
      <c r="L8" s="742"/>
      <c r="M8" s="743">
        <f>+K8</f>
        <v>0</v>
      </c>
      <c r="N8" s="743"/>
      <c r="O8" s="370">
        <f t="shared" ref="O8:O25" si="0">IFERROR(IF(+M8-N8&gt;=0,M8-N8,"*")-Q8,"*")</f>
        <v>0</v>
      </c>
      <c r="Q8" s="1261"/>
    </row>
    <row r="9" spans="2:17" ht="20.85" customHeight="1" x14ac:dyDescent="0.2">
      <c r="C9" s="744"/>
      <c r="D9" s="744"/>
      <c r="E9" s="744"/>
      <c r="F9" s="744"/>
      <c r="G9" s="745"/>
      <c r="H9" s="746"/>
      <c r="I9" s="892"/>
      <c r="J9" s="742"/>
      <c r="K9" s="743"/>
      <c r="L9" s="742"/>
      <c r="M9" s="743">
        <f t="shared" ref="M9:M25" si="1">+K9</f>
        <v>0</v>
      </c>
      <c r="N9" s="743"/>
      <c r="O9" s="370">
        <f t="shared" si="0"/>
        <v>0</v>
      </c>
      <c r="Q9" s="1261"/>
    </row>
    <row r="10" spans="2:17" ht="20.85" customHeight="1" x14ac:dyDescent="0.2">
      <c r="C10" s="744"/>
      <c r="D10" s="744"/>
      <c r="E10" s="744"/>
      <c r="F10" s="744"/>
      <c r="G10" s="745"/>
      <c r="H10" s="746"/>
      <c r="I10" s="892"/>
      <c r="J10" s="742"/>
      <c r="K10" s="743"/>
      <c r="L10" s="742"/>
      <c r="M10" s="743">
        <f t="shared" si="1"/>
        <v>0</v>
      </c>
      <c r="N10" s="743"/>
      <c r="O10" s="370">
        <f t="shared" si="0"/>
        <v>0</v>
      </c>
      <c r="Q10" s="1261"/>
    </row>
    <row r="11" spans="2:17" ht="20.85" customHeight="1" x14ac:dyDescent="0.2">
      <c r="C11" s="744"/>
      <c r="D11" s="744"/>
      <c r="E11" s="744"/>
      <c r="F11" s="744"/>
      <c r="G11" s="745"/>
      <c r="H11" s="746"/>
      <c r="I11" s="892"/>
      <c r="J11" s="742"/>
      <c r="K11" s="743"/>
      <c r="L11" s="742"/>
      <c r="M11" s="743">
        <f t="shared" si="1"/>
        <v>0</v>
      </c>
      <c r="N11" s="743"/>
      <c r="O11" s="370">
        <f t="shared" si="0"/>
        <v>0</v>
      </c>
      <c r="Q11" s="1261"/>
    </row>
    <row r="12" spans="2:17" ht="20.85" customHeight="1" x14ac:dyDescent="0.2">
      <c r="C12" s="744"/>
      <c r="D12" s="744"/>
      <c r="E12" s="744"/>
      <c r="F12" s="744"/>
      <c r="G12" s="745"/>
      <c r="H12" s="746"/>
      <c r="I12" s="892"/>
      <c r="J12" s="742"/>
      <c r="K12" s="743"/>
      <c r="L12" s="742"/>
      <c r="M12" s="743">
        <f t="shared" si="1"/>
        <v>0</v>
      </c>
      <c r="N12" s="743"/>
      <c r="O12" s="370">
        <f t="shared" si="0"/>
        <v>0</v>
      </c>
      <c r="Q12" s="1261"/>
    </row>
    <row r="13" spans="2:17" ht="20.85" customHeight="1" x14ac:dyDescent="0.2">
      <c r="C13" s="744"/>
      <c r="D13" s="744"/>
      <c r="E13" s="744"/>
      <c r="F13" s="744"/>
      <c r="G13" s="745"/>
      <c r="H13" s="746"/>
      <c r="I13" s="892"/>
      <c r="J13" s="742"/>
      <c r="K13" s="743"/>
      <c r="L13" s="742"/>
      <c r="M13" s="743">
        <f t="shared" si="1"/>
        <v>0</v>
      </c>
      <c r="N13" s="743"/>
      <c r="O13" s="370">
        <f t="shared" si="0"/>
        <v>0</v>
      </c>
      <c r="Q13" s="1261"/>
    </row>
    <row r="14" spans="2:17" ht="20.85" customHeight="1" x14ac:dyDescent="0.2">
      <c r="C14" s="744"/>
      <c r="D14" s="744"/>
      <c r="E14" s="744"/>
      <c r="F14" s="744"/>
      <c r="G14" s="745"/>
      <c r="H14" s="746"/>
      <c r="I14" s="892"/>
      <c r="J14" s="742"/>
      <c r="K14" s="743"/>
      <c r="L14" s="742"/>
      <c r="M14" s="743">
        <f t="shared" si="1"/>
        <v>0</v>
      </c>
      <c r="N14" s="743"/>
      <c r="O14" s="370">
        <f t="shared" si="0"/>
        <v>0</v>
      </c>
      <c r="Q14" s="1261"/>
    </row>
    <row r="15" spans="2:17" ht="20.85" customHeight="1" x14ac:dyDescent="0.2">
      <c r="C15" s="744"/>
      <c r="D15" s="744"/>
      <c r="E15" s="744"/>
      <c r="F15" s="744"/>
      <c r="G15" s="745"/>
      <c r="H15" s="746"/>
      <c r="I15" s="892"/>
      <c r="J15" s="742"/>
      <c r="K15" s="743"/>
      <c r="L15" s="742"/>
      <c r="M15" s="743">
        <f t="shared" si="1"/>
        <v>0</v>
      </c>
      <c r="N15" s="743"/>
      <c r="O15" s="370">
        <f t="shared" si="0"/>
        <v>0</v>
      </c>
      <c r="Q15" s="1261"/>
    </row>
    <row r="16" spans="2:17" ht="20.85" customHeight="1" x14ac:dyDescent="0.2">
      <c r="C16" s="744"/>
      <c r="D16" s="744"/>
      <c r="E16" s="744"/>
      <c r="F16" s="744"/>
      <c r="G16" s="745"/>
      <c r="H16" s="746"/>
      <c r="I16" s="892"/>
      <c r="J16" s="742"/>
      <c r="K16" s="743"/>
      <c r="L16" s="742"/>
      <c r="M16" s="743">
        <f t="shared" si="1"/>
        <v>0</v>
      </c>
      <c r="N16" s="743"/>
      <c r="O16" s="370">
        <f t="shared" si="0"/>
        <v>0</v>
      </c>
      <c r="Q16" s="1261"/>
    </row>
    <row r="17" spans="2:17" ht="20.85" customHeight="1" x14ac:dyDescent="0.2">
      <c r="C17" s="744"/>
      <c r="D17" s="744"/>
      <c r="E17" s="744"/>
      <c r="F17" s="744"/>
      <c r="G17" s="745"/>
      <c r="H17" s="746"/>
      <c r="I17" s="892"/>
      <c r="J17" s="742"/>
      <c r="K17" s="743"/>
      <c r="L17" s="742"/>
      <c r="M17" s="743">
        <f t="shared" si="1"/>
        <v>0</v>
      </c>
      <c r="N17" s="743"/>
      <c r="O17" s="370">
        <f t="shared" si="0"/>
        <v>0</v>
      </c>
      <c r="Q17" s="1261"/>
    </row>
    <row r="18" spans="2:17" ht="20.85" customHeight="1" x14ac:dyDescent="0.2">
      <c r="C18" s="744"/>
      <c r="D18" s="744"/>
      <c r="E18" s="744"/>
      <c r="F18" s="744"/>
      <c r="G18" s="745"/>
      <c r="H18" s="746"/>
      <c r="I18" s="892"/>
      <c r="J18" s="742"/>
      <c r="K18" s="743"/>
      <c r="L18" s="742"/>
      <c r="M18" s="743">
        <f t="shared" si="1"/>
        <v>0</v>
      </c>
      <c r="N18" s="743"/>
      <c r="O18" s="370">
        <f t="shared" si="0"/>
        <v>0</v>
      </c>
      <c r="Q18" s="1261"/>
    </row>
    <row r="19" spans="2:17" ht="20.85" customHeight="1" x14ac:dyDescent="0.2">
      <c r="C19" s="744"/>
      <c r="D19" s="744"/>
      <c r="E19" s="744"/>
      <c r="F19" s="744"/>
      <c r="G19" s="745"/>
      <c r="H19" s="746"/>
      <c r="I19" s="892"/>
      <c r="J19" s="742"/>
      <c r="K19" s="743"/>
      <c r="L19" s="742"/>
      <c r="M19" s="743">
        <f t="shared" si="1"/>
        <v>0</v>
      </c>
      <c r="N19" s="743"/>
      <c r="O19" s="370">
        <f t="shared" si="0"/>
        <v>0</v>
      </c>
      <c r="Q19" s="1261"/>
    </row>
    <row r="20" spans="2:17" ht="20.85" customHeight="1" x14ac:dyDescent="0.2">
      <c r="C20" s="744"/>
      <c r="D20" s="744"/>
      <c r="E20" s="744"/>
      <c r="F20" s="744"/>
      <c r="G20" s="745"/>
      <c r="H20" s="746"/>
      <c r="I20" s="892"/>
      <c r="J20" s="742"/>
      <c r="K20" s="743"/>
      <c r="L20" s="742"/>
      <c r="M20" s="743">
        <f t="shared" si="1"/>
        <v>0</v>
      </c>
      <c r="N20" s="743"/>
      <c r="O20" s="370">
        <f t="shared" si="0"/>
        <v>0</v>
      </c>
      <c r="Q20" s="1261"/>
    </row>
    <row r="21" spans="2:17" ht="20.85" customHeight="1" x14ac:dyDescent="0.2">
      <c r="C21" s="744"/>
      <c r="D21" s="744"/>
      <c r="E21" s="744"/>
      <c r="F21" s="744"/>
      <c r="G21" s="745"/>
      <c r="H21" s="746"/>
      <c r="I21" s="892"/>
      <c r="J21" s="742"/>
      <c r="K21" s="743"/>
      <c r="L21" s="742"/>
      <c r="M21" s="743">
        <f t="shared" si="1"/>
        <v>0</v>
      </c>
      <c r="N21" s="743"/>
      <c r="O21" s="370">
        <f t="shared" si="0"/>
        <v>0</v>
      </c>
      <c r="Q21" s="1261"/>
    </row>
    <row r="22" spans="2:17" ht="20.85" customHeight="1" x14ac:dyDescent="0.2">
      <c r="C22" s="744"/>
      <c r="D22" s="744"/>
      <c r="E22" s="744"/>
      <c r="F22" s="744"/>
      <c r="G22" s="745"/>
      <c r="H22" s="746"/>
      <c r="I22" s="892"/>
      <c r="J22" s="742"/>
      <c r="K22" s="743"/>
      <c r="L22" s="742"/>
      <c r="M22" s="743">
        <f t="shared" si="1"/>
        <v>0</v>
      </c>
      <c r="N22" s="743"/>
      <c r="O22" s="370">
        <f t="shared" si="0"/>
        <v>0</v>
      </c>
      <c r="Q22" s="1261"/>
    </row>
    <row r="23" spans="2:17" ht="20.85" customHeight="1" x14ac:dyDescent="0.2">
      <c r="C23" s="744"/>
      <c r="D23" s="744"/>
      <c r="E23" s="744"/>
      <c r="F23" s="744"/>
      <c r="G23" s="745"/>
      <c r="H23" s="746"/>
      <c r="I23" s="892"/>
      <c r="J23" s="742"/>
      <c r="K23" s="743"/>
      <c r="L23" s="742"/>
      <c r="M23" s="743">
        <f t="shared" si="1"/>
        <v>0</v>
      </c>
      <c r="N23" s="743"/>
      <c r="O23" s="370">
        <f t="shared" si="0"/>
        <v>0</v>
      </c>
      <c r="Q23" s="1261"/>
    </row>
    <row r="24" spans="2:17" ht="20.85" customHeight="1" x14ac:dyDescent="0.2">
      <c r="C24" s="744"/>
      <c r="D24" s="744"/>
      <c r="E24" s="744"/>
      <c r="F24" s="744"/>
      <c r="G24" s="745"/>
      <c r="H24" s="746"/>
      <c r="I24" s="892"/>
      <c r="J24" s="742"/>
      <c r="K24" s="743"/>
      <c r="L24" s="742"/>
      <c r="M24" s="743">
        <f t="shared" si="1"/>
        <v>0</v>
      </c>
      <c r="N24" s="743"/>
      <c r="O24" s="370">
        <f t="shared" si="0"/>
        <v>0</v>
      </c>
      <c r="Q24" s="1261"/>
    </row>
    <row r="25" spans="2:17" ht="21.95" customHeight="1" thickBot="1" x14ac:dyDescent="0.25">
      <c r="C25" s="1244"/>
      <c r="D25" s="1244"/>
      <c r="E25" s="1244"/>
      <c r="F25" s="1244"/>
      <c r="G25" s="1260"/>
      <c r="H25" s="1236"/>
      <c r="I25" s="1237"/>
      <c r="J25" s="1242"/>
      <c r="K25" s="1243"/>
      <c r="L25" s="1242"/>
      <c r="M25" s="1239">
        <f t="shared" si="1"/>
        <v>0</v>
      </c>
      <c r="N25" s="1243"/>
      <c r="O25" s="1240">
        <f t="shared" si="0"/>
        <v>0</v>
      </c>
      <c r="P25" s="1224"/>
      <c r="Q25" s="1261"/>
    </row>
    <row r="26" spans="2:17" ht="27" customHeight="1" thickTop="1" thickBot="1" x14ac:dyDescent="0.25">
      <c r="C26" s="1730" t="s">
        <v>3363</v>
      </c>
      <c r="D26" s="1730"/>
      <c r="E26" s="1730"/>
      <c r="F26" s="1730"/>
      <c r="G26" s="649"/>
      <c r="H26" s="686" t="s">
        <v>385</v>
      </c>
      <c r="I26" s="683"/>
      <c r="J26" s="122">
        <f t="shared" ref="J26:O26" si="2">SUM(J8:J25)</f>
        <v>0</v>
      </c>
      <c r="K26" s="122">
        <f t="shared" si="2"/>
        <v>0</v>
      </c>
      <c r="L26" s="122">
        <f t="shared" si="2"/>
        <v>0</v>
      </c>
      <c r="M26" s="122">
        <f t="shared" si="2"/>
        <v>0</v>
      </c>
      <c r="N26" s="122">
        <f t="shared" si="2"/>
        <v>0</v>
      </c>
      <c r="O26" s="137">
        <f t="shared" si="2"/>
        <v>0</v>
      </c>
    </row>
    <row r="27" spans="2:17" ht="16.5" thickTop="1" x14ac:dyDescent="0.25">
      <c r="B27" s="1617" t="s">
        <v>232</v>
      </c>
      <c r="C27" s="1617"/>
      <c r="D27" s="1617"/>
      <c r="E27" s="1617"/>
      <c r="F27" s="1617"/>
      <c r="G27" s="1617"/>
      <c r="H27" s="1617"/>
      <c r="I27" s="1617"/>
      <c r="J27" s="1617"/>
      <c r="K27" s="1617"/>
      <c r="L27" s="1617"/>
      <c r="M27" s="1617"/>
      <c r="N27" s="1617"/>
      <c r="O27" s="1617"/>
    </row>
    <row r="30" spans="2:17" x14ac:dyDescent="0.2">
      <c r="J30" s="29"/>
    </row>
  </sheetData>
  <sheetProtection algorithmName="SHA-512" hashValue="1cTxOXBlfsPbJJsBoADya2l16y8V66P2trrV5CTVuT0m29qP8dvJqwgFIce4FBAj2tzp3NlwQ7T4FCG2AI/eNw==" saltValue="v5T48SB0hYUFhnw6lOsC2A==" spinCount="100000" sheet="1" objects="1" scenarios="1"/>
  <mergeCells count="8">
    <mergeCell ref="B2:O2"/>
    <mergeCell ref="N3:O3"/>
    <mergeCell ref="J3:M3"/>
    <mergeCell ref="B27:O27"/>
    <mergeCell ref="C7:F7"/>
    <mergeCell ref="C26:F26"/>
    <mergeCell ref="H4:I4"/>
    <mergeCell ref="H7:I7"/>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C00-000000000000}">
          <x14:formula1>
            <xm:f>'Appropriation Codes'!$I$2:$I$102</xm:f>
          </x14:formula1>
          <xm:sqref>H8:H25</xm:sqref>
        </x14:dataValidation>
      </x14:dataValidations>
    </ext>
  </extLst>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82"/>
  <dimension ref="B2:Q28"/>
  <sheetViews>
    <sheetView zoomScaleNormal="100" workbookViewId="0">
      <selection activeCell="B25" sqref="B25:O25"/>
    </sheetView>
  </sheetViews>
  <sheetFormatPr defaultRowHeight="12.75" x14ac:dyDescent="0.2"/>
  <cols>
    <col min="1" max="1" width="3.7109375" customWidth="1"/>
    <col min="2" max="2" width="5.7109375" customWidth="1"/>
    <col min="3" max="5" width="3.7109375" customWidth="1"/>
    <col min="6" max="6" width="24.7109375" style="63"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G4" s="7"/>
      <c r="H4" s="1711" t="s">
        <v>605</v>
      </c>
      <c r="I4" s="1712"/>
      <c r="J4" s="24"/>
      <c r="K4" s="25"/>
      <c r="L4" s="24" t="str">
        <f>"for "&amp;'Key Inputs'!E34-1&amp;"  By"</f>
        <v>for 2020  By</v>
      </c>
      <c r="M4" s="25" t="str">
        <f>"Total for "&amp;'Key Inputs'!E34-1</f>
        <v>Total for 2020</v>
      </c>
      <c r="N4" s="25"/>
      <c r="O4" s="81"/>
    </row>
    <row r="5" spans="2:17" ht="15" x14ac:dyDescent="0.25">
      <c r="C5" s="133" t="s">
        <v>224</v>
      </c>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1020" t="s">
        <v>5341</v>
      </c>
      <c r="D8" s="1020"/>
      <c r="E8" s="1020"/>
      <c r="F8" s="1020"/>
      <c r="G8" s="1268"/>
      <c r="H8" s="1269" t="s">
        <v>5340</v>
      </c>
      <c r="I8" s="892">
        <v>2</v>
      </c>
      <c r="J8" s="742">
        <v>15000</v>
      </c>
      <c r="K8" s="743">
        <v>15000</v>
      </c>
      <c r="L8" s="742"/>
      <c r="M8" s="743">
        <f t="shared" ref="M8:M24" si="0">+K8</f>
        <v>15000</v>
      </c>
      <c r="N8" s="743"/>
      <c r="O8" s="370">
        <f t="shared" ref="O8:O24" si="1">IFERROR(IF(+M8-N8&gt;=0,M8-N8,"*")-Q8,"*")</f>
        <v>15000</v>
      </c>
      <c r="Q8" s="1261"/>
    </row>
    <row r="9" spans="2:17" ht="24" customHeight="1" x14ac:dyDescent="0.2">
      <c r="C9" s="744"/>
      <c r="D9" s="744"/>
      <c r="E9" s="744"/>
      <c r="F9" s="744"/>
      <c r="G9" s="745"/>
      <c r="H9" s="746"/>
      <c r="I9" s="892"/>
      <c r="J9" s="742"/>
      <c r="K9" s="743"/>
      <c r="L9" s="742"/>
      <c r="M9" s="743">
        <f t="shared" si="0"/>
        <v>0</v>
      </c>
      <c r="N9" s="743">
        <f>+M9</f>
        <v>0</v>
      </c>
      <c r="O9" s="370">
        <f t="shared" si="1"/>
        <v>0</v>
      </c>
      <c r="Q9" s="1261"/>
    </row>
    <row r="10" spans="2:17" ht="24" customHeight="1" x14ac:dyDescent="0.2">
      <c r="C10" s="744" t="s">
        <v>6331</v>
      </c>
      <c r="D10" s="744"/>
      <c r="E10" s="744"/>
      <c r="F10" s="744"/>
      <c r="G10" s="745"/>
      <c r="H10" s="746" t="s">
        <v>3607</v>
      </c>
      <c r="I10" s="892">
        <v>2</v>
      </c>
      <c r="J10" s="742">
        <v>1119.8399999999999</v>
      </c>
      <c r="K10" s="743">
        <v>1119.8399999999999</v>
      </c>
      <c r="L10" s="742"/>
      <c r="M10" s="743">
        <f t="shared" si="0"/>
        <v>1119.8399999999999</v>
      </c>
      <c r="N10" s="743">
        <f t="shared" ref="N10:N24" si="2">+M10</f>
        <v>1119.8399999999999</v>
      </c>
      <c r="O10" s="370">
        <f t="shared" si="1"/>
        <v>0</v>
      </c>
      <c r="Q10" s="1261"/>
    </row>
    <row r="11" spans="2:17" ht="24" customHeight="1" x14ac:dyDescent="0.2">
      <c r="C11" s="744"/>
      <c r="D11" s="744"/>
      <c r="E11" s="744"/>
      <c r="F11" s="744"/>
      <c r="G11" s="745"/>
      <c r="H11" s="746"/>
      <c r="I11" s="892"/>
      <c r="J11" s="742"/>
      <c r="K11" s="743"/>
      <c r="L11" s="742"/>
      <c r="M11" s="743">
        <f t="shared" si="0"/>
        <v>0</v>
      </c>
      <c r="N11" s="743">
        <f t="shared" si="2"/>
        <v>0</v>
      </c>
      <c r="O11" s="370">
        <f t="shared" si="1"/>
        <v>0</v>
      </c>
      <c r="Q11" s="1261"/>
    </row>
    <row r="12" spans="2:17" ht="24" customHeight="1" x14ac:dyDescent="0.2">
      <c r="C12" s="744" t="s">
        <v>6332</v>
      </c>
      <c r="D12" s="744"/>
      <c r="E12" s="744"/>
      <c r="F12" s="744"/>
      <c r="G12" s="745"/>
      <c r="H12" s="746" t="s">
        <v>3673</v>
      </c>
      <c r="I12" s="892">
        <v>2</v>
      </c>
      <c r="J12" s="742">
        <v>4000</v>
      </c>
      <c r="K12" s="743">
        <v>4000</v>
      </c>
      <c r="L12" s="742"/>
      <c r="M12" s="743">
        <f t="shared" si="0"/>
        <v>4000</v>
      </c>
      <c r="N12" s="743">
        <f t="shared" si="2"/>
        <v>4000</v>
      </c>
      <c r="O12" s="370">
        <f t="shared" si="1"/>
        <v>0</v>
      </c>
      <c r="Q12" s="1261"/>
    </row>
    <row r="13" spans="2:17" ht="24" customHeight="1" x14ac:dyDescent="0.2">
      <c r="C13" s="744"/>
      <c r="D13" s="744"/>
      <c r="E13" s="744"/>
      <c r="F13" s="744"/>
      <c r="G13" s="745"/>
      <c r="H13" s="746"/>
      <c r="I13" s="892"/>
      <c r="J13" s="742"/>
      <c r="K13" s="743"/>
      <c r="L13" s="742"/>
      <c r="M13" s="743">
        <f t="shared" si="0"/>
        <v>0</v>
      </c>
      <c r="N13" s="743">
        <f t="shared" si="2"/>
        <v>0</v>
      </c>
      <c r="O13" s="370">
        <f t="shared" si="1"/>
        <v>0</v>
      </c>
      <c r="Q13" s="1261"/>
    </row>
    <row r="14" spans="2:17" ht="24" customHeight="1" x14ac:dyDescent="0.2">
      <c r="C14" s="744"/>
      <c r="D14" s="744"/>
      <c r="E14" s="744"/>
      <c r="F14" s="744"/>
      <c r="G14" s="745"/>
      <c r="H14" s="746"/>
      <c r="I14" s="892"/>
      <c r="J14" s="742"/>
      <c r="K14" s="743"/>
      <c r="L14" s="742"/>
      <c r="M14" s="743">
        <f t="shared" si="0"/>
        <v>0</v>
      </c>
      <c r="N14" s="743">
        <f t="shared" si="2"/>
        <v>0</v>
      </c>
      <c r="O14" s="370">
        <f t="shared" si="1"/>
        <v>0</v>
      </c>
      <c r="Q14" s="1261"/>
    </row>
    <row r="15" spans="2:17" ht="24" customHeight="1" x14ac:dyDescent="0.2">
      <c r="C15" s="744"/>
      <c r="D15" s="744"/>
      <c r="E15" s="744"/>
      <c r="F15" s="744"/>
      <c r="G15" s="745"/>
      <c r="H15" s="746"/>
      <c r="I15" s="892"/>
      <c r="J15" s="742"/>
      <c r="K15" s="743"/>
      <c r="L15" s="742"/>
      <c r="M15" s="743">
        <f t="shared" si="0"/>
        <v>0</v>
      </c>
      <c r="N15" s="743">
        <f t="shared" si="2"/>
        <v>0</v>
      </c>
      <c r="O15" s="370">
        <f t="shared" si="1"/>
        <v>0</v>
      </c>
      <c r="Q15" s="1261"/>
    </row>
    <row r="16" spans="2:17" ht="24" customHeight="1" x14ac:dyDescent="0.2">
      <c r="C16" s="744"/>
      <c r="D16" s="744"/>
      <c r="E16" s="744"/>
      <c r="F16" s="744"/>
      <c r="G16" s="745"/>
      <c r="H16" s="746"/>
      <c r="I16" s="892"/>
      <c r="J16" s="742"/>
      <c r="K16" s="743"/>
      <c r="L16" s="742"/>
      <c r="M16" s="743">
        <f t="shared" si="0"/>
        <v>0</v>
      </c>
      <c r="N16" s="743">
        <f t="shared" si="2"/>
        <v>0</v>
      </c>
      <c r="O16" s="370">
        <f t="shared" si="1"/>
        <v>0</v>
      </c>
      <c r="Q16" s="1261"/>
    </row>
    <row r="17" spans="2:17" ht="24" customHeight="1" x14ac:dyDescent="0.2">
      <c r="C17" s="744"/>
      <c r="D17" s="744"/>
      <c r="E17" s="744"/>
      <c r="F17" s="744"/>
      <c r="G17" s="745"/>
      <c r="H17" s="746"/>
      <c r="I17" s="892"/>
      <c r="J17" s="742"/>
      <c r="K17" s="743"/>
      <c r="L17" s="742"/>
      <c r="M17" s="743">
        <f t="shared" si="0"/>
        <v>0</v>
      </c>
      <c r="N17" s="743">
        <f t="shared" si="2"/>
        <v>0</v>
      </c>
      <c r="O17" s="370">
        <f t="shared" si="1"/>
        <v>0</v>
      </c>
      <c r="Q17" s="1261"/>
    </row>
    <row r="18" spans="2:17" ht="24" customHeight="1" x14ac:dyDescent="0.2">
      <c r="C18" s="744"/>
      <c r="D18" s="744"/>
      <c r="E18" s="744"/>
      <c r="F18" s="744"/>
      <c r="G18" s="745"/>
      <c r="H18" s="746"/>
      <c r="I18" s="892"/>
      <c r="J18" s="742"/>
      <c r="K18" s="743"/>
      <c r="L18" s="742"/>
      <c r="M18" s="743">
        <f t="shared" si="0"/>
        <v>0</v>
      </c>
      <c r="N18" s="743">
        <f t="shared" si="2"/>
        <v>0</v>
      </c>
      <c r="O18" s="370">
        <f t="shared" si="1"/>
        <v>0</v>
      </c>
      <c r="Q18" s="1261"/>
    </row>
    <row r="19" spans="2:17" ht="24" customHeight="1" x14ac:dyDescent="0.2">
      <c r="C19" s="744"/>
      <c r="D19" s="744"/>
      <c r="E19" s="744"/>
      <c r="F19" s="744"/>
      <c r="G19" s="745"/>
      <c r="H19" s="746"/>
      <c r="I19" s="892"/>
      <c r="J19" s="742"/>
      <c r="K19" s="743"/>
      <c r="L19" s="742"/>
      <c r="M19" s="743">
        <f t="shared" si="0"/>
        <v>0</v>
      </c>
      <c r="N19" s="743">
        <f t="shared" si="2"/>
        <v>0</v>
      </c>
      <c r="O19" s="370">
        <f t="shared" si="1"/>
        <v>0</v>
      </c>
      <c r="Q19" s="1261"/>
    </row>
    <row r="20" spans="2:17" ht="24" customHeight="1" x14ac:dyDescent="0.2">
      <c r="C20" s="744"/>
      <c r="D20" s="744"/>
      <c r="E20" s="744"/>
      <c r="F20" s="744"/>
      <c r="G20" s="745"/>
      <c r="H20" s="746"/>
      <c r="I20" s="892"/>
      <c r="J20" s="742"/>
      <c r="K20" s="743"/>
      <c r="L20" s="742"/>
      <c r="M20" s="743">
        <f t="shared" si="0"/>
        <v>0</v>
      </c>
      <c r="N20" s="743">
        <f t="shared" si="2"/>
        <v>0</v>
      </c>
      <c r="O20" s="370">
        <f t="shared" si="1"/>
        <v>0</v>
      </c>
      <c r="Q20" s="1261"/>
    </row>
    <row r="21" spans="2:17" ht="24" customHeight="1" x14ac:dyDescent="0.2">
      <c r="C21" s="744"/>
      <c r="D21" s="744"/>
      <c r="E21" s="744"/>
      <c r="F21" s="744"/>
      <c r="G21" s="745"/>
      <c r="H21" s="746"/>
      <c r="I21" s="892"/>
      <c r="J21" s="742"/>
      <c r="K21" s="743"/>
      <c r="L21" s="742"/>
      <c r="M21" s="743">
        <f t="shared" si="0"/>
        <v>0</v>
      </c>
      <c r="N21" s="743">
        <f t="shared" si="2"/>
        <v>0</v>
      </c>
      <c r="O21" s="370">
        <f t="shared" si="1"/>
        <v>0</v>
      </c>
      <c r="Q21" s="1261"/>
    </row>
    <row r="22" spans="2:17" ht="24" customHeight="1" x14ac:dyDescent="0.2">
      <c r="C22" s="744"/>
      <c r="D22" s="744"/>
      <c r="E22" s="744"/>
      <c r="F22" s="744"/>
      <c r="G22" s="745"/>
      <c r="H22" s="746"/>
      <c r="I22" s="892"/>
      <c r="J22" s="742"/>
      <c r="K22" s="743"/>
      <c r="L22" s="742"/>
      <c r="M22" s="743">
        <f t="shared" si="0"/>
        <v>0</v>
      </c>
      <c r="N22" s="743">
        <f t="shared" si="2"/>
        <v>0</v>
      </c>
      <c r="O22" s="370">
        <f t="shared" si="1"/>
        <v>0</v>
      </c>
      <c r="Q22" s="1261"/>
    </row>
    <row r="23" spans="2:17" ht="24" customHeight="1" x14ac:dyDescent="0.2">
      <c r="C23" s="748"/>
      <c r="D23" s="748"/>
      <c r="E23" s="748"/>
      <c r="F23" s="748"/>
      <c r="G23" s="904"/>
      <c r="H23" s="906"/>
      <c r="I23" s="1025"/>
      <c r="J23" s="905"/>
      <c r="K23" s="865"/>
      <c r="L23" s="905"/>
      <c r="M23" s="743">
        <f t="shared" si="0"/>
        <v>0</v>
      </c>
      <c r="N23" s="743">
        <f t="shared" si="2"/>
        <v>0</v>
      </c>
      <c r="O23" s="370">
        <f t="shared" si="1"/>
        <v>0</v>
      </c>
      <c r="Q23" s="1261"/>
    </row>
    <row r="24" spans="2:17" ht="24" customHeight="1" thickBot="1" x14ac:dyDescent="0.25">
      <c r="B24" s="2"/>
      <c r="C24" s="893"/>
      <c r="D24" s="893"/>
      <c r="E24" s="893"/>
      <c r="F24" s="893"/>
      <c r="G24" s="894"/>
      <c r="H24" s="895"/>
      <c r="I24" s="896"/>
      <c r="J24" s="897"/>
      <c r="K24" s="898"/>
      <c r="L24" s="897"/>
      <c r="M24" s="898">
        <f t="shared" si="0"/>
        <v>0</v>
      </c>
      <c r="N24" s="898">
        <f t="shared" si="2"/>
        <v>0</v>
      </c>
      <c r="O24" s="525">
        <f t="shared" si="1"/>
        <v>0</v>
      </c>
      <c r="Q24" s="1261"/>
    </row>
    <row r="25" spans="2:17" ht="16.5" thickTop="1" x14ac:dyDescent="0.25">
      <c r="B25" s="1617" t="s">
        <v>234</v>
      </c>
      <c r="C25" s="1617"/>
      <c r="D25" s="1617"/>
      <c r="E25" s="1617"/>
      <c r="F25" s="1617"/>
      <c r="G25" s="1617"/>
      <c r="H25" s="1617"/>
      <c r="I25" s="1617"/>
      <c r="J25" s="1617"/>
      <c r="K25" s="1617"/>
      <c r="L25" s="1617"/>
      <c r="M25" s="1617"/>
      <c r="N25" s="1617"/>
      <c r="O25" s="1617"/>
    </row>
    <row r="28" spans="2:17" x14ac:dyDescent="0.2">
      <c r="J28" s="29"/>
    </row>
  </sheetData>
  <sheetProtection algorithmName="SHA-512" hashValue="8SpaR6cA6ytKcVD4HQilMIGmgQeE3lVXqiNbf7JmPy0hcdna/nyqy9psNDjfq4IACn9brTMiSxQXsQXGyHc0QA==" saltValue="xui+cJ5IKz2B/mw9OK7drw=="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D00-000000000000}">
          <x14:formula1>
            <xm:f>'Other Codes'!$C$2:$C$782</xm:f>
          </x14:formula1>
          <xm:sqref>H9:H24</xm:sqref>
        </x14:dataValidation>
      </x14:dataValidations>
    </ext>
  </extLst>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83"/>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898">
        <f t="shared" si="3"/>
        <v>0</v>
      </c>
      <c r="O24" s="370">
        <f t="shared" si="0"/>
        <v>0</v>
      </c>
      <c r="Q24" s="1261"/>
    </row>
    <row r="25" spans="2:17" ht="16.5" thickTop="1" x14ac:dyDescent="0.25">
      <c r="B25" s="1701" t="s">
        <v>235</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14JLy25u14tgOG0ILSEPj8XCFqNsuD8DKvFoBMR4bG2fFa2vdKnZfFxahbqyyOPPqdgHvrtmMdK/aw6HttT3Fw==" saltValue="lr36wZG57nmVzWEVP7M9Bg==" spinCount="100000" sheet="1" objects="1" scenarios="1"/>
  <mergeCells count="5">
    <mergeCell ref="B2:O2"/>
    <mergeCell ref="N3:O3"/>
    <mergeCell ref="J3:M3"/>
    <mergeCell ref="B25:O25"/>
    <mergeCell ref="H4:I4"/>
  </mergeCells>
  <phoneticPr fontId="0" type="noConversion"/>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E00-000000000000}">
          <x14:formula1>
            <xm:f>'Other Codes'!$C$2:$C$782</xm:f>
          </x14:formula1>
          <xm:sqref>H8:H24</xm:sqref>
        </x14:dataValidation>
      </x14:dataValidations>
    </ext>
  </extLst>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84"/>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692"/>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898">
        <f t="shared" si="3"/>
        <v>0</v>
      </c>
      <c r="O24" s="370">
        <f t="shared" si="0"/>
        <v>0</v>
      </c>
      <c r="Q24" s="1261"/>
    </row>
    <row r="25" spans="2:17" ht="16.5" thickTop="1" x14ac:dyDescent="0.25">
      <c r="B25" s="1701" t="s">
        <v>3277</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3H6f5JsoW7IBh1HQRUU2SHz5oQfPZnu0xil9MhNnGBSkBBvgbPUll+g5piI73e1LYee7v47UmSaN7kyQaMfE+Q==" saltValue="110sLxnnenoon4BtpcrK3Q=="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5F00-000000000000}">
          <x14:formula1>
            <xm:f>'Other Codes'!$C$2:$C$782</xm:f>
          </x14:formula1>
          <xm:sqref>H8:H24</xm:sqref>
        </x14:dataValidation>
      </x14:dataValidations>
    </ext>
  </extLst>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85"/>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898">
        <f t="shared" si="3"/>
        <v>0</v>
      </c>
      <c r="O24" s="370">
        <f t="shared" si="0"/>
        <v>0</v>
      </c>
      <c r="Q24" s="1261"/>
    </row>
    <row r="25" spans="2:17" ht="16.5" thickTop="1" x14ac:dyDescent="0.25">
      <c r="B25" s="1701" t="s">
        <v>3278</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VsNaj7vopQgcn2IBNctyG8A7iCYnSAo7dw/84bCuBrpiqPG8LAF+hJie4GE4wmiSb4EImN3CUmPzArw3K+VBVQ==" saltValue="xEVzvWcnpBAqyzKG0CV+ng=="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000-000000000000}">
          <x14:formula1>
            <xm:f>'Other Codes'!$C$2:$C$782</xm:f>
          </x14:formula1>
          <xm:sqref>H8:H24</xm:sqref>
        </x14:dataValidation>
      </x14:dataValidations>
    </ext>
  </extLst>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86"/>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 t="shared" ref="M8:M24" si="0">+K8</f>
        <v>0</v>
      </c>
      <c r="N8" s="743">
        <f>+M8</f>
        <v>0</v>
      </c>
      <c r="O8" s="370">
        <f t="shared" ref="O8:O24" si="1">IFERROR(IF(+M8-N8&gt;=0,M8-N8,"*")-Q8,"*")</f>
        <v>0</v>
      </c>
      <c r="Q8" s="1261"/>
    </row>
    <row r="9" spans="2:17" ht="24" customHeight="1" x14ac:dyDescent="0.2">
      <c r="C9" s="744"/>
      <c r="D9" s="744"/>
      <c r="E9" s="744"/>
      <c r="F9" s="744"/>
      <c r="G9" s="745"/>
      <c r="H9" s="746"/>
      <c r="I9" s="892"/>
      <c r="J9" s="742"/>
      <c r="K9" s="743"/>
      <c r="L9" s="742"/>
      <c r="M9" s="743">
        <f t="shared" si="0"/>
        <v>0</v>
      </c>
      <c r="N9" s="743">
        <f>+M9</f>
        <v>0</v>
      </c>
      <c r="O9" s="370">
        <f t="shared" si="1"/>
        <v>0</v>
      </c>
      <c r="Q9" s="1261"/>
    </row>
    <row r="10" spans="2:17" ht="24" customHeight="1" x14ac:dyDescent="0.2">
      <c r="C10" s="744"/>
      <c r="D10" s="744"/>
      <c r="E10" s="744"/>
      <c r="F10" s="744"/>
      <c r="G10" s="745"/>
      <c r="H10" s="746"/>
      <c r="I10" s="892"/>
      <c r="J10" s="742"/>
      <c r="K10" s="743"/>
      <c r="L10" s="742"/>
      <c r="M10" s="743">
        <f t="shared" si="0"/>
        <v>0</v>
      </c>
      <c r="N10" s="743">
        <f t="shared" ref="N10:N24" si="2">+M10</f>
        <v>0</v>
      </c>
      <c r="O10" s="370">
        <f t="shared" si="1"/>
        <v>0</v>
      </c>
      <c r="Q10" s="1261"/>
    </row>
    <row r="11" spans="2:17" ht="24" customHeight="1" x14ac:dyDescent="0.2">
      <c r="C11" s="744"/>
      <c r="D11" s="744"/>
      <c r="E11" s="744"/>
      <c r="F11" s="744"/>
      <c r="G11" s="745"/>
      <c r="H11" s="746"/>
      <c r="I11" s="892"/>
      <c r="J11" s="742"/>
      <c r="K11" s="743"/>
      <c r="L11" s="742"/>
      <c r="M11" s="743">
        <f t="shared" si="0"/>
        <v>0</v>
      </c>
      <c r="N11" s="743">
        <f t="shared" si="2"/>
        <v>0</v>
      </c>
      <c r="O11" s="370">
        <f t="shared" si="1"/>
        <v>0</v>
      </c>
      <c r="Q11" s="1261"/>
    </row>
    <row r="12" spans="2:17" ht="24" customHeight="1" x14ac:dyDescent="0.2">
      <c r="C12" s="744"/>
      <c r="D12" s="744"/>
      <c r="E12" s="744"/>
      <c r="F12" s="744"/>
      <c r="G12" s="745"/>
      <c r="H12" s="746"/>
      <c r="I12" s="892"/>
      <c r="J12" s="742"/>
      <c r="K12" s="743"/>
      <c r="L12" s="742"/>
      <c r="M12" s="743">
        <f t="shared" si="0"/>
        <v>0</v>
      </c>
      <c r="N12" s="743">
        <f t="shared" si="2"/>
        <v>0</v>
      </c>
      <c r="O12" s="370">
        <f t="shared" si="1"/>
        <v>0</v>
      </c>
      <c r="Q12" s="1261"/>
    </row>
    <row r="13" spans="2:17" ht="24" customHeight="1" x14ac:dyDescent="0.2">
      <c r="C13" s="744"/>
      <c r="D13" s="744"/>
      <c r="E13" s="744"/>
      <c r="F13" s="744"/>
      <c r="G13" s="745"/>
      <c r="H13" s="746"/>
      <c r="I13" s="892"/>
      <c r="J13" s="742"/>
      <c r="K13" s="743"/>
      <c r="L13" s="742"/>
      <c r="M13" s="743">
        <f t="shared" si="0"/>
        <v>0</v>
      </c>
      <c r="N13" s="743">
        <f t="shared" si="2"/>
        <v>0</v>
      </c>
      <c r="O13" s="370">
        <f t="shared" si="1"/>
        <v>0</v>
      </c>
      <c r="Q13" s="1261"/>
    </row>
    <row r="14" spans="2:17" ht="24" customHeight="1" x14ac:dyDescent="0.2">
      <c r="C14" s="744"/>
      <c r="D14" s="744"/>
      <c r="E14" s="744"/>
      <c r="F14" s="744"/>
      <c r="G14" s="745"/>
      <c r="H14" s="746"/>
      <c r="I14" s="892"/>
      <c r="J14" s="742"/>
      <c r="K14" s="743"/>
      <c r="L14" s="742"/>
      <c r="M14" s="743">
        <f t="shared" si="0"/>
        <v>0</v>
      </c>
      <c r="N14" s="743">
        <f t="shared" si="2"/>
        <v>0</v>
      </c>
      <c r="O14" s="370">
        <f t="shared" si="1"/>
        <v>0</v>
      </c>
      <c r="Q14" s="1261"/>
    </row>
    <row r="15" spans="2:17" ht="24" customHeight="1" x14ac:dyDescent="0.2">
      <c r="C15" s="744"/>
      <c r="D15" s="744"/>
      <c r="E15" s="744"/>
      <c r="F15" s="744"/>
      <c r="G15" s="745"/>
      <c r="H15" s="746"/>
      <c r="I15" s="892"/>
      <c r="J15" s="742"/>
      <c r="K15" s="743"/>
      <c r="L15" s="742"/>
      <c r="M15" s="743">
        <f t="shared" si="0"/>
        <v>0</v>
      </c>
      <c r="N15" s="743">
        <f t="shared" si="2"/>
        <v>0</v>
      </c>
      <c r="O15" s="370">
        <f t="shared" si="1"/>
        <v>0</v>
      </c>
      <c r="Q15" s="1261"/>
    </row>
    <row r="16" spans="2:17" ht="24" customHeight="1" x14ac:dyDescent="0.2">
      <c r="C16" s="744"/>
      <c r="D16" s="744"/>
      <c r="E16" s="744"/>
      <c r="F16" s="744"/>
      <c r="G16" s="745"/>
      <c r="H16" s="746"/>
      <c r="I16" s="892"/>
      <c r="J16" s="742"/>
      <c r="K16" s="743"/>
      <c r="L16" s="742"/>
      <c r="M16" s="743">
        <f t="shared" si="0"/>
        <v>0</v>
      </c>
      <c r="N16" s="743">
        <f t="shared" si="2"/>
        <v>0</v>
      </c>
      <c r="O16" s="370">
        <f t="shared" si="1"/>
        <v>0</v>
      </c>
      <c r="Q16" s="1261"/>
    </row>
    <row r="17" spans="2:17" ht="24" customHeight="1" x14ac:dyDescent="0.2">
      <c r="C17" s="744"/>
      <c r="D17" s="744"/>
      <c r="E17" s="744"/>
      <c r="F17" s="744"/>
      <c r="G17" s="745"/>
      <c r="H17" s="746"/>
      <c r="I17" s="892"/>
      <c r="J17" s="742"/>
      <c r="K17" s="743"/>
      <c r="L17" s="742"/>
      <c r="M17" s="743">
        <f t="shared" si="0"/>
        <v>0</v>
      </c>
      <c r="N17" s="743">
        <f t="shared" si="2"/>
        <v>0</v>
      </c>
      <c r="O17" s="370">
        <f t="shared" si="1"/>
        <v>0</v>
      </c>
      <c r="Q17" s="1261"/>
    </row>
    <row r="18" spans="2:17" ht="24" customHeight="1" x14ac:dyDescent="0.2">
      <c r="C18" s="744"/>
      <c r="D18" s="744"/>
      <c r="E18" s="744"/>
      <c r="F18" s="744"/>
      <c r="G18" s="745"/>
      <c r="H18" s="746"/>
      <c r="I18" s="892"/>
      <c r="J18" s="742"/>
      <c r="K18" s="743"/>
      <c r="L18" s="742"/>
      <c r="M18" s="743">
        <f t="shared" si="0"/>
        <v>0</v>
      </c>
      <c r="N18" s="743">
        <f t="shared" si="2"/>
        <v>0</v>
      </c>
      <c r="O18" s="370">
        <f t="shared" si="1"/>
        <v>0</v>
      </c>
      <c r="Q18" s="1261"/>
    </row>
    <row r="19" spans="2:17" ht="24" customHeight="1" x14ac:dyDescent="0.2">
      <c r="C19" s="744"/>
      <c r="D19" s="744"/>
      <c r="E19" s="744"/>
      <c r="F19" s="744"/>
      <c r="G19" s="745"/>
      <c r="H19" s="746"/>
      <c r="I19" s="892"/>
      <c r="J19" s="742"/>
      <c r="K19" s="743"/>
      <c r="L19" s="742"/>
      <c r="M19" s="743">
        <f t="shared" si="0"/>
        <v>0</v>
      </c>
      <c r="N19" s="743">
        <f t="shared" si="2"/>
        <v>0</v>
      </c>
      <c r="O19" s="370">
        <f t="shared" si="1"/>
        <v>0</v>
      </c>
      <c r="Q19" s="1261"/>
    </row>
    <row r="20" spans="2:17" ht="24" customHeight="1" x14ac:dyDescent="0.2">
      <c r="C20" s="744"/>
      <c r="D20" s="744"/>
      <c r="E20" s="744"/>
      <c r="F20" s="744"/>
      <c r="G20" s="745"/>
      <c r="H20" s="746"/>
      <c r="I20" s="892"/>
      <c r="J20" s="742"/>
      <c r="K20" s="743"/>
      <c r="L20" s="742"/>
      <c r="M20" s="743">
        <f t="shared" si="0"/>
        <v>0</v>
      </c>
      <c r="N20" s="743">
        <f t="shared" si="2"/>
        <v>0</v>
      </c>
      <c r="O20" s="370">
        <f t="shared" si="1"/>
        <v>0</v>
      </c>
      <c r="Q20" s="1261"/>
    </row>
    <row r="21" spans="2:17" ht="24" customHeight="1" x14ac:dyDescent="0.2">
      <c r="C21" s="744"/>
      <c r="D21" s="744"/>
      <c r="E21" s="744"/>
      <c r="F21" s="744"/>
      <c r="G21" s="745"/>
      <c r="H21" s="746"/>
      <c r="I21" s="892"/>
      <c r="J21" s="742"/>
      <c r="K21" s="743"/>
      <c r="L21" s="742"/>
      <c r="M21" s="743">
        <f t="shared" si="0"/>
        <v>0</v>
      </c>
      <c r="N21" s="743">
        <f t="shared" si="2"/>
        <v>0</v>
      </c>
      <c r="O21" s="370">
        <f t="shared" si="1"/>
        <v>0</v>
      </c>
      <c r="Q21" s="1261"/>
    </row>
    <row r="22" spans="2:17" ht="24" customHeight="1" x14ac:dyDescent="0.2">
      <c r="C22" s="744"/>
      <c r="D22" s="744"/>
      <c r="E22" s="744"/>
      <c r="F22" s="744"/>
      <c r="G22" s="745"/>
      <c r="H22" s="746"/>
      <c r="I22" s="892"/>
      <c r="J22" s="742"/>
      <c r="K22" s="743"/>
      <c r="L22" s="742"/>
      <c r="M22" s="743">
        <f t="shared" si="0"/>
        <v>0</v>
      </c>
      <c r="N22" s="743">
        <f t="shared" si="2"/>
        <v>0</v>
      </c>
      <c r="O22" s="370">
        <f t="shared" si="1"/>
        <v>0</v>
      </c>
      <c r="Q22" s="1261"/>
    </row>
    <row r="23" spans="2:17" ht="24" customHeight="1" x14ac:dyDescent="0.2">
      <c r="C23" s="748"/>
      <c r="D23" s="748"/>
      <c r="E23" s="748"/>
      <c r="F23" s="748"/>
      <c r="G23" s="904"/>
      <c r="H23" s="906"/>
      <c r="I23" s="1025"/>
      <c r="J23" s="905"/>
      <c r="K23" s="865"/>
      <c r="L23" s="905"/>
      <c r="M23" s="743">
        <f t="shared" si="0"/>
        <v>0</v>
      </c>
      <c r="N23" s="743">
        <f t="shared" si="2"/>
        <v>0</v>
      </c>
      <c r="O23" s="370">
        <f t="shared" si="1"/>
        <v>0</v>
      </c>
      <c r="Q23" s="1261"/>
    </row>
    <row r="24" spans="2:17" ht="24" customHeight="1" thickBot="1" x14ac:dyDescent="0.25">
      <c r="B24" s="2"/>
      <c r="C24" s="893"/>
      <c r="D24" s="893"/>
      <c r="E24" s="893"/>
      <c r="F24" s="893"/>
      <c r="G24" s="894"/>
      <c r="H24" s="895"/>
      <c r="I24" s="896"/>
      <c r="J24" s="897"/>
      <c r="K24" s="898"/>
      <c r="L24" s="897"/>
      <c r="M24" s="898">
        <f t="shared" si="0"/>
        <v>0</v>
      </c>
      <c r="N24" s="898">
        <f t="shared" si="2"/>
        <v>0</v>
      </c>
      <c r="O24" s="525">
        <f t="shared" si="1"/>
        <v>0</v>
      </c>
      <c r="Q24" s="1261"/>
    </row>
    <row r="25" spans="2:17" ht="16.5" thickTop="1" x14ac:dyDescent="0.25">
      <c r="B25" s="1617" t="s">
        <v>3279</v>
      </c>
      <c r="C25" s="1617"/>
      <c r="D25" s="1617"/>
      <c r="E25" s="1617"/>
      <c r="F25" s="1617"/>
      <c r="G25" s="1617"/>
      <c r="H25" s="1617"/>
      <c r="I25" s="1617"/>
      <c r="J25" s="1617"/>
      <c r="K25" s="1617"/>
      <c r="L25" s="1617"/>
      <c r="M25" s="1617"/>
      <c r="N25" s="1617"/>
      <c r="O25" s="1617"/>
    </row>
    <row r="28" spans="2:17" x14ac:dyDescent="0.2">
      <c r="J28" s="29">
        <f>SUM(J7:J24)</f>
        <v>0</v>
      </c>
    </row>
  </sheetData>
  <sheetProtection algorithmName="SHA-512" hashValue="uOg0TTybIlvc7oaGNX7wey2M3bmtXf6o54E3U0O4AEEVNJVmJWfhUUSxdHecNsUfI49TBdZyRExxdanUKPyKKA==" saltValue="N4978VENNF3pebhfVxoVk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preadsheet." xr:uid="{00000000-0002-0000-6100-000000000000}">
          <x14:formula1>
            <xm:f>'Other Codes'!$C$2:$C$782</xm:f>
          </x14:formula1>
          <xm:sqref>H8:H24</xm:sqref>
        </x14:dataValidation>
      </x14:dataValidations>
    </ext>
  </extLst>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87"/>
  <dimension ref="B2:Q28"/>
  <sheetViews>
    <sheetView zoomScaleNormal="100" workbookViewId="0">
      <selection activeCell="F25" sqref="F25"/>
    </sheetView>
  </sheetViews>
  <sheetFormatPr defaultRowHeight="12.75" x14ac:dyDescent="0.2"/>
  <cols>
    <col min="1" max="1" width="3.7109375" customWidth="1"/>
    <col min="2" max="2" width="5.7109375" customWidth="1"/>
    <col min="3" max="5" width="3.7109375" customWidth="1"/>
    <col min="6" max="6" width="24.7109375" customWidth="1"/>
    <col min="7" max="7" width="16.7109375" customWidth="1"/>
    <col min="8" max="8" width="7.7109375" customWidth="1"/>
    <col min="9" max="9" width="2.7109375" customWidth="1"/>
    <col min="10" max="15" width="16.7109375" customWidth="1"/>
    <col min="17" max="17" width="14.7109375" customWidth="1"/>
  </cols>
  <sheetData>
    <row r="2" spans="2:17" ht="21" thickBot="1" x14ac:dyDescent="0.35">
      <c r="B2" s="1700" t="s">
        <v>377</v>
      </c>
      <c r="C2" s="1700"/>
      <c r="D2" s="1700"/>
      <c r="E2" s="1700"/>
      <c r="F2" s="1700"/>
      <c r="G2" s="1700"/>
      <c r="H2" s="1700"/>
      <c r="I2" s="1700"/>
      <c r="J2" s="1700"/>
      <c r="K2" s="1700"/>
      <c r="L2" s="1700"/>
      <c r="M2" s="1700"/>
      <c r="N2" s="1700"/>
      <c r="O2" s="1700"/>
    </row>
    <row r="3" spans="2:17" ht="17.25" thickTop="1" thickBot="1" x14ac:dyDescent="0.3">
      <c r="B3" s="1" t="s">
        <v>16</v>
      </c>
      <c r="F3" s="222"/>
      <c r="G3" s="6"/>
      <c r="H3" s="221"/>
      <c r="I3" s="237"/>
      <c r="J3" s="1705" t="s">
        <v>23</v>
      </c>
      <c r="K3" s="1707"/>
      <c r="L3" s="1707"/>
      <c r="M3" s="1708"/>
      <c r="N3" s="1705" t="str">
        <f>"Expended "&amp;'Key Inputs'!E34-1</f>
        <v>Expended 2020</v>
      </c>
      <c r="O3" s="1706"/>
    </row>
    <row r="4" spans="2:17" ht="15" customHeight="1" thickTop="1" x14ac:dyDescent="0.25">
      <c r="F4" s="63"/>
      <c r="G4" s="7"/>
      <c r="H4" s="1711" t="s">
        <v>605</v>
      </c>
      <c r="I4" s="1712"/>
      <c r="J4" s="24"/>
      <c r="K4" s="25"/>
      <c r="L4" s="24" t="str">
        <f>"for "&amp;'Key Inputs'!E34-1&amp;"  By"</f>
        <v>for 2020  By</v>
      </c>
      <c r="M4" s="25" t="str">
        <f>"Total for "&amp;'Key Inputs'!E34-1</f>
        <v>Total for 2020</v>
      </c>
      <c r="N4" s="25"/>
      <c r="O4" s="81"/>
    </row>
    <row r="5" spans="2:17" ht="15" x14ac:dyDescent="0.25">
      <c r="C5" s="133" t="s">
        <v>224</v>
      </c>
      <c r="F5" s="63"/>
      <c r="G5" s="7"/>
      <c r="H5" s="184"/>
      <c r="I5" s="674"/>
      <c r="J5" s="24" t="str">
        <f>"for  "&amp;'Key Inputs'!E34</f>
        <v>for  2021</v>
      </c>
      <c r="K5" s="26" t="str">
        <f>"for  "&amp;'Key Inputs'!E34-1</f>
        <v>for  2020</v>
      </c>
      <c r="L5" s="24" t="s">
        <v>19</v>
      </c>
      <c r="M5" s="26" t="s">
        <v>24</v>
      </c>
      <c r="N5" s="26" t="s">
        <v>20</v>
      </c>
      <c r="O5" s="82" t="s">
        <v>22</v>
      </c>
      <c r="Q5" s="568" t="s">
        <v>3375</v>
      </c>
    </row>
    <row r="6" spans="2:17" ht="15" customHeight="1" thickBot="1" x14ac:dyDescent="0.3">
      <c r="B6" s="2"/>
      <c r="C6" s="3"/>
      <c r="D6" s="3"/>
      <c r="E6" s="2"/>
      <c r="F6" s="2"/>
      <c r="G6" s="8"/>
      <c r="H6" s="188"/>
      <c r="I6" s="675"/>
      <c r="J6" s="27"/>
      <c r="K6" s="28"/>
      <c r="L6" s="27" t="s">
        <v>18</v>
      </c>
      <c r="M6" s="28" t="s">
        <v>25</v>
      </c>
      <c r="N6" s="28" t="s">
        <v>21</v>
      </c>
      <c r="O6" s="83"/>
    </row>
    <row r="7" spans="2:17" ht="21.95" customHeight="1" thickTop="1" x14ac:dyDescent="0.2">
      <c r="C7" s="138" t="s">
        <v>233</v>
      </c>
      <c r="D7" s="14"/>
      <c r="E7" s="14"/>
      <c r="F7" s="14"/>
      <c r="G7" s="90"/>
      <c r="H7" s="679"/>
      <c r="I7" s="1047"/>
      <c r="J7" s="139"/>
      <c r="K7" s="140"/>
      <c r="L7" s="139"/>
      <c r="M7" s="140"/>
      <c r="N7" s="140"/>
      <c r="O7" s="141"/>
    </row>
    <row r="8" spans="2:17" ht="24" customHeight="1" x14ac:dyDescent="0.2">
      <c r="C8" s="744"/>
      <c r="D8" s="744"/>
      <c r="E8" s="744"/>
      <c r="F8" s="744"/>
      <c r="G8" s="745"/>
      <c r="H8" s="746"/>
      <c r="I8" s="892"/>
      <c r="J8" s="742"/>
      <c r="K8" s="743"/>
      <c r="L8" s="742"/>
      <c r="M8" s="743">
        <f>+K8</f>
        <v>0</v>
      </c>
      <c r="N8" s="743">
        <f>+M8</f>
        <v>0</v>
      </c>
      <c r="O8" s="370">
        <f t="shared" ref="O8:O24" si="0">IFERROR(IF(+M8-N8&gt;=0,M8-N8,"*")-Q8,"*")</f>
        <v>0</v>
      </c>
      <c r="Q8" s="1261"/>
    </row>
    <row r="9" spans="2:17" ht="24" customHeight="1" x14ac:dyDescent="0.2">
      <c r="C9" s="744"/>
      <c r="D9" s="744"/>
      <c r="E9" s="744"/>
      <c r="F9" s="744"/>
      <c r="G9" s="745"/>
      <c r="H9" s="746"/>
      <c r="I9" s="892"/>
      <c r="J9" s="742"/>
      <c r="K9" s="743"/>
      <c r="L9" s="742"/>
      <c r="M9" s="743">
        <f>+K9</f>
        <v>0</v>
      </c>
      <c r="N9" s="743">
        <f>+M9</f>
        <v>0</v>
      </c>
      <c r="O9" s="370">
        <f t="shared" si="0"/>
        <v>0</v>
      </c>
      <c r="Q9" s="1261"/>
    </row>
    <row r="10" spans="2:17" ht="24" customHeight="1" x14ac:dyDescent="0.2">
      <c r="C10" s="744"/>
      <c r="D10" s="744"/>
      <c r="E10" s="744"/>
      <c r="F10" s="744"/>
      <c r="G10" s="745"/>
      <c r="H10" s="746"/>
      <c r="I10" s="892"/>
      <c r="J10" s="742"/>
      <c r="K10" s="743"/>
      <c r="L10" s="742"/>
      <c r="M10" s="743">
        <f t="shared" ref="M10:M24" si="1">+K10</f>
        <v>0</v>
      </c>
      <c r="N10" s="743">
        <f t="shared" ref="N10:N16" si="2">+M10</f>
        <v>0</v>
      </c>
      <c r="O10" s="370">
        <f t="shared" si="0"/>
        <v>0</v>
      </c>
      <c r="Q10" s="1261"/>
    </row>
    <row r="11" spans="2:17" ht="24" customHeight="1" x14ac:dyDescent="0.2">
      <c r="C11" s="744"/>
      <c r="D11" s="744"/>
      <c r="E11" s="744"/>
      <c r="F11" s="744"/>
      <c r="G11" s="745"/>
      <c r="H11" s="746"/>
      <c r="I11" s="892"/>
      <c r="J11" s="742"/>
      <c r="K11" s="743"/>
      <c r="L11" s="742"/>
      <c r="M11" s="743">
        <f t="shared" si="1"/>
        <v>0</v>
      </c>
      <c r="N11" s="743">
        <f t="shared" si="2"/>
        <v>0</v>
      </c>
      <c r="O11" s="370">
        <f t="shared" si="0"/>
        <v>0</v>
      </c>
      <c r="Q11" s="1261"/>
    </row>
    <row r="12" spans="2:17" ht="24" customHeight="1" x14ac:dyDescent="0.2">
      <c r="C12" s="744"/>
      <c r="D12" s="744"/>
      <c r="E12" s="744"/>
      <c r="F12" s="744"/>
      <c r="G12" s="745"/>
      <c r="H12" s="746"/>
      <c r="I12" s="892"/>
      <c r="J12" s="742"/>
      <c r="K12" s="743"/>
      <c r="L12" s="742"/>
      <c r="M12" s="743">
        <f t="shared" si="1"/>
        <v>0</v>
      </c>
      <c r="N12" s="743">
        <f t="shared" si="2"/>
        <v>0</v>
      </c>
      <c r="O12" s="370">
        <f t="shared" si="0"/>
        <v>0</v>
      </c>
      <c r="Q12" s="1261"/>
    </row>
    <row r="13" spans="2:17" ht="24" customHeight="1" x14ac:dyDescent="0.2">
      <c r="C13" s="744"/>
      <c r="D13" s="744"/>
      <c r="E13" s="744"/>
      <c r="F13" s="744"/>
      <c r="G13" s="745"/>
      <c r="H13" s="746"/>
      <c r="I13" s="892"/>
      <c r="J13" s="742"/>
      <c r="K13" s="743"/>
      <c r="L13" s="742"/>
      <c r="M13" s="743">
        <f t="shared" si="1"/>
        <v>0</v>
      </c>
      <c r="N13" s="743">
        <f t="shared" si="2"/>
        <v>0</v>
      </c>
      <c r="O13" s="370">
        <f t="shared" si="0"/>
        <v>0</v>
      </c>
      <c r="Q13" s="1261"/>
    </row>
    <row r="14" spans="2:17" ht="24" customHeight="1" x14ac:dyDescent="0.2">
      <c r="C14" s="744"/>
      <c r="D14" s="744"/>
      <c r="E14" s="744"/>
      <c r="F14" s="744"/>
      <c r="G14" s="745"/>
      <c r="H14" s="746"/>
      <c r="I14" s="892"/>
      <c r="J14" s="742"/>
      <c r="K14" s="743"/>
      <c r="L14" s="742"/>
      <c r="M14" s="743">
        <f t="shared" si="1"/>
        <v>0</v>
      </c>
      <c r="N14" s="743">
        <f t="shared" si="2"/>
        <v>0</v>
      </c>
      <c r="O14" s="370">
        <f t="shared" si="0"/>
        <v>0</v>
      </c>
      <c r="Q14" s="1261"/>
    </row>
    <row r="15" spans="2:17" ht="24" customHeight="1" x14ac:dyDescent="0.2">
      <c r="C15" s="744"/>
      <c r="D15" s="744"/>
      <c r="E15" s="744"/>
      <c r="F15" s="744"/>
      <c r="G15" s="745"/>
      <c r="H15" s="746"/>
      <c r="I15" s="892"/>
      <c r="J15" s="742"/>
      <c r="K15" s="743"/>
      <c r="L15" s="742"/>
      <c r="M15" s="743">
        <f t="shared" si="1"/>
        <v>0</v>
      </c>
      <c r="N15" s="743">
        <f t="shared" si="2"/>
        <v>0</v>
      </c>
      <c r="O15" s="370">
        <f t="shared" si="0"/>
        <v>0</v>
      </c>
      <c r="Q15" s="1261"/>
    </row>
    <row r="16" spans="2:17" ht="24" customHeight="1" x14ac:dyDescent="0.2">
      <c r="C16" s="744"/>
      <c r="D16" s="744"/>
      <c r="E16" s="744"/>
      <c r="F16" s="744"/>
      <c r="G16" s="745"/>
      <c r="H16" s="746"/>
      <c r="I16" s="892"/>
      <c r="J16" s="742"/>
      <c r="K16" s="743"/>
      <c r="L16" s="742"/>
      <c r="M16" s="743">
        <f t="shared" si="1"/>
        <v>0</v>
      </c>
      <c r="N16" s="743">
        <f t="shared" si="2"/>
        <v>0</v>
      </c>
      <c r="O16" s="370">
        <f t="shared" si="0"/>
        <v>0</v>
      </c>
      <c r="Q16" s="1261"/>
    </row>
    <row r="17" spans="2:17" ht="24" customHeight="1" x14ac:dyDescent="0.2">
      <c r="C17" s="744"/>
      <c r="D17" s="744"/>
      <c r="E17" s="744"/>
      <c r="F17" s="744"/>
      <c r="G17" s="745"/>
      <c r="H17" s="746"/>
      <c r="I17" s="892"/>
      <c r="J17" s="742"/>
      <c r="K17" s="743"/>
      <c r="L17" s="742"/>
      <c r="M17" s="743">
        <f t="shared" si="1"/>
        <v>0</v>
      </c>
      <c r="N17" s="743">
        <f t="shared" ref="N17:N24" si="3">+M17</f>
        <v>0</v>
      </c>
      <c r="O17" s="370">
        <f t="shared" si="0"/>
        <v>0</v>
      </c>
      <c r="Q17" s="1261"/>
    </row>
    <row r="18" spans="2:17" ht="24" customHeight="1" x14ac:dyDescent="0.2">
      <c r="C18" s="744"/>
      <c r="D18" s="744"/>
      <c r="E18" s="744"/>
      <c r="F18" s="744"/>
      <c r="G18" s="745"/>
      <c r="H18" s="746"/>
      <c r="I18" s="892"/>
      <c r="J18" s="742"/>
      <c r="K18" s="743"/>
      <c r="L18" s="742"/>
      <c r="M18" s="743">
        <f t="shared" si="1"/>
        <v>0</v>
      </c>
      <c r="N18" s="743">
        <f t="shared" si="3"/>
        <v>0</v>
      </c>
      <c r="O18" s="370">
        <f t="shared" si="0"/>
        <v>0</v>
      </c>
      <c r="Q18" s="1261"/>
    </row>
    <row r="19" spans="2:17" ht="24" customHeight="1" x14ac:dyDescent="0.2">
      <c r="C19" s="744"/>
      <c r="D19" s="744"/>
      <c r="E19" s="744"/>
      <c r="F19" s="744"/>
      <c r="G19" s="745"/>
      <c r="H19" s="746"/>
      <c r="I19" s="892"/>
      <c r="J19" s="742"/>
      <c r="K19" s="743"/>
      <c r="L19" s="742"/>
      <c r="M19" s="743">
        <f t="shared" si="1"/>
        <v>0</v>
      </c>
      <c r="N19" s="743">
        <f t="shared" si="3"/>
        <v>0</v>
      </c>
      <c r="O19" s="370">
        <f t="shared" si="0"/>
        <v>0</v>
      </c>
      <c r="Q19" s="1261"/>
    </row>
    <row r="20" spans="2:17" ht="24" customHeight="1" x14ac:dyDescent="0.2">
      <c r="C20" s="744"/>
      <c r="D20" s="744"/>
      <c r="E20" s="744"/>
      <c r="F20" s="744"/>
      <c r="G20" s="745"/>
      <c r="H20" s="746"/>
      <c r="I20" s="892"/>
      <c r="J20" s="742"/>
      <c r="K20" s="743"/>
      <c r="L20" s="742"/>
      <c r="M20" s="743">
        <f t="shared" si="1"/>
        <v>0</v>
      </c>
      <c r="N20" s="743">
        <f t="shared" si="3"/>
        <v>0</v>
      </c>
      <c r="O20" s="370">
        <f t="shared" si="0"/>
        <v>0</v>
      </c>
      <c r="Q20" s="1261"/>
    </row>
    <row r="21" spans="2:17" ht="24" customHeight="1" x14ac:dyDescent="0.2">
      <c r="C21" s="744"/>
      <c r="D21" s="744"/>
      <c r="E21" s="744"/>
      <c r="F21" s="744"/>
      <c r="G21" s="745"/>
      <c r="H21" s="746"/>
      <c r="I21" s="892"/>
      <c r="J21" s="742"/>
      <c r="K21" s="743"/>
      <c r="L21" s="742"/>
      <c r="M21" s="743">
        <f t="shared" si="1"/>
        <v>0</v>
      </c>
      <c r="N21" s="743">
        <f t="shared" si="3"/>
        <v>0</v>
      </c>
      <c r="O21" s="370">
        <f t="shared" si="0"/>
        <v>0</v>
      </c>
      <c r="Q21" s="1261"/>
    </row>
    <row r="22" spans="2:17" ht="24" customHeight="1" x14ac:dyDescent="0.2">
      <c r="C22" s="744"/>
      <c r="D22" s="744"/>
      <c r="E22" s="744"/>
      <c r="F22" s="744"/>
      <c r="G22" s="745"/>
      <c r="H22" s="746"/>
      <c r="I22" s="892"/>
      <c r="J22" s="742"/>
      <c r="K22" s="743"/>
      <c r="L22" s="742"/>
      <c r="M22" s="743">
        <f t="shared" si="1"/>
        <v>0</v>
      </c>
      <c r="N22" s="743">
        <f t="shared" si="3"/>
        <v>0</v>
      </c>
      <c r="O22" s="370">
        <f t="shared" si="0"/>
        <v>0</v>
      </c>
      <c r="Q22" s="1261"/>
    </row>
    <row r="23" spans="2:17" ht="24" customHeight="1" x14ac:dyDescent="0.2">
      <c r="C23" s="744"/>
      <c r="D23" s="744"/>
      <c r="E23" s="744"/>
      <c r="F23" s="744"/>
      <c r="G23" s="745"/>
      <c r="H23" s="746"/>
      <c r="I23" s="892"/>
      <c r="J23" s="742"/>
      <c r="K23" s="743"/>
      <c r="L23" s="742"/>
      <c r="M23" s="743">
        <f t="shared" si="1"/>
        <v>0</v>
      </c>
      <c r="N23" s="743">
        <f t="shared" si="3"/>
        <v>0</v>
      </c>
      <c r="O23" s="370">
        <f t="shared" si="0"/>
        <v>0</v>
      </c>
      <c r="Q23" s="1261"/>
    </row>
    <row r="24" spans="2:17" ht="24" customHeight="1" thickBot="1" x14ac:dyDescent="0.25">
      <c r="C24" s="748"/>
      <c r="D24" s="748"/>
      <c r="E24" s="748"/>
      <c r="F24" s="893"/>
      <c r="G24" s="904"/>
      <c r="H24" s="895"/>
      <c r="I24" s="1025"/>
      <c r="J24" s="905"/>
      <c r="K24" s="865"/>
      <c r="L24" s="905"/>
      <c r="M24" s="865">
        <f t="shared" si="1"/>
        <v>0</v>
      </c>
      <c r="N24" s="743">
        <f t="shared" si="3"/>
        <v>0</v>
      </c>
      <c r="O24" s="370">
        <f t="shared" si="0"/>
        <v>0</v>
      </c>
      <c r="Q24" s="1261"/>
    </row>
    <row r="25" spans="2:17" ht="16.5" thickTop="1" x14ac:dyDescent="0.25">
      <c r="B25" s="1701" t="s">
        <v>3280</v>
      </c>
      <c r="C25" s="1701"/>
      <c r="D25" s="1701"/>
      <c r="E25" s="1701"/>
      <c r="F25" s="1701"/>
      <c r="G25" s="1701"/>
      <c r="H25" s="1701"/>
      <c r="I25" s="1701"/>
      <c r="J25" s="1701"/>
      <c r="K25" s="1701"/>
      <c r="L25" s="1701"/>
      <c r="M25" s="1701"/>
      <c r="N25" s="1701"/>
      <c r="O25" s="1701"/>
    </row>
    <row r="28" spans="2:17" x14ac:dyDescent="0.2">
      <c r="J28" s="29">
        <f>SUM(J7:J24)</f>
        <v>0</v>
      </c>
    </row>
  </sheetData>
  <sheetProtection algorithmName="SHA-512" hashValue="xiCFNW8yaOvVFHwXsONdTcbrTpCCGz4yqMz4mmVeLfeGB56OfiufdvXXXmVH8M1usu3w8W0E3sMOOWXmmhGbcQ==" saltValue="kaZMGb+1++/+LuZLETOAfw==" spinCount="100000" sheet="1" objects="1" scenarios="1"/>
  <mergeCells count="5">
    <mergeCell ref="B2:O2"/>
    <mergeCell ref="J3:M3"/>
    <mergeCell ref="N3:O3"/>
    <mergeCell ref="B25:O25"/>
    <mergeCell ref="H4:I4"/>
  </mergeCells>
  <pageMargins left="0.25" right="0.3" top="0.25" bottom="0.75" header="0.25" footer="0.25"/>
  <pageSetup paperSize="5" orientation="landscape"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errorTitle="Invalid Entry" error="This FCOA Code is not authorized for use on this sheet." xr:uid="{00000000-0002-0000-6200-000000000000}">
          <x14:formula1>
            <xm:f>'Other Codes'!$C$2:$C$782</xm:f>
          </x14:formula1>
          <xm:sqref>H8:H24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179</vt:i4>
      </vt:variant>
      <vt:variant>
        <vt:lpstr>Named Ranges</vt:lpstr>
      </vt:variant>
      <vt:variant>
        <vt:i4>179</vt:i4>
      </vt:variant>
    </vt:vector>
  </HeadingPairs>
  <TitlesOfParts>
    <vt:vector size="358" baseType="lpstr">
      <vt:lpstr>Instructions</vt:lpstr>
      <vt:lpstr>Key Inputs</vt:lpstr>
      <vt:lpstr>Info</vt:lpstr>
      <vt:lpstr>Revenue Codes</vt:lpstr>
      <vt:lpstr>Appropriation Codes</vt:lpstr>
      <vt:lpstr>Other Codes</vt:lpstr>
      <vt:lpstr>Ranges</vt:lpstr>
      <vt:lpstr>Key Metrics</vt:lpstr>
      <vt:lpstr>Budget Projection Guide</vt:lpstr>
      <vt:lpstr>Budget Projection</vt:lpstr>
      <vt:lpstr>Advertisement</vt:lpstr>
      <vt:lpstr>Summary Data</vt:lpstr>
      <vt:lpstr>Budget Summary</vt:lpstr>
      <vt:lpstr>Tax Summary</vt:lpstr>
      <vt:lpstr>Reserve &amp; Tax Calculation</vt:lpstr>
      <vt:lpstr>Sheet A</vt:lpstr>
      <vt:lpstr>1</vt:lpstr>
      <vt:lpstr>1a</vt:lpstr>
      <vt:lpstr>2</vt:lpstr>
      <vt:lpstr>3</vt:lpstr>
      <vt:lpstr>3a</vt:lpstr>
      <vt:lpstr>App. CAP</vt:lpstr>
      <vt:lpstr>Health Ins.</vt:lpstr>
      <vt:lpstr>2% Levy Cap</vt:lpstr>
      <vt:lpstr>3d</vt:lpstr>
      <vt:lpstr>4</vt:lpstr>
      <vt:lpstr>4a</vt:lpstr>
      <vt:lpstr>4b</vt:lpstr>
      <vt:lpstr>4c</vt:lpstr>
      <vt:lpstr>5</vt:lpstr>
      <vt:lpstr>6</vt:lpstr>
      <vt:lpstr>7</vt:lpstr>
      <vt:lpstr>7a</vt:lpstr>
      <vt:lpstr>7b</vt:lpstr>
      <vt:lpstr>8</vt:lpstr>
      <vt:lpstr>9</vt:lpstr>
      <vt:lpstr>9a</vt:lpstr>
      <vt:lpstr>9b</vt:lpstr>
      <vt:lpstr>9c</vt:lpstr>
      <vt:lpstr>9d</vt:lpstr>
      <vt:lpstr>9e</vt:lpstr>
      <vt:lpstr>9f</vt:lpstr>
      <vt:lpstr>9g</vt:lpstr>
      <vt:lpstr>9h</vt:lpstr>
      <vt:lpstr>9 TOTAL</vt:lpstr>
      <vt:lpstr>10</vt:lpstr>
      <vt:lpstr>10a</vt:lpstr>
      <vt:lpstr>10b</vt:lpstr>
      <vt:lpstr>10c</vt:lpstr>
      <vt:lpstr>10d</vt:lpstr>
      <vt:lpstr>10e</vt:lpstr>
      <vt:lpstr>10f</vt:lpstr>
      <vt:lpstr>10g</vt:lpstr>
      <vt:lpstr>10h</vt:lpstr>
      <vt:lpstr>10i</vt:lpstr>
      <vt:lpstr>10j</vt:lpstr>
      <vt:lpstr>10k</vt:lpstr>
      <vt:lpstr>10l</vt:lpstr>
      <vt:lpstr>10m</vt:lpstr>
      <vt:lpstr>10 TOTAL</vt:lpstr>
      <vt:lpstr>11</vt:lpstr>
      <vt:lpstr>12</vt:lpstr>
      <vt:lpstr>13</vt:lpstr>
      <vt:lpstr>14</vt:lpstr>
      <vt:lpstr>15</vt:lpstr>
      <vt:lpstr>15a</vt:lpstr>
      <vt:lpstr>15b</vt:lpstr>
      <vt:lpstr>15c</vt:lpstr>
      <vt:lpstr>15d</vt:lpstr>
      <vt:lpstr>15e</vt:lpstr>
      <vt:lpstr>15f</vt:lpstr>
      <vt:lpstr>15g</vt:lpstr>
      <vt:lpstr>15h</vt:lpstr>
      <vt:lpstr>15i</vt:lpstr>
      <vt:lpstr>15j</vt:lpstr>
      <vt:lpstr>15k</vt:lpstr>
      <vt:lpstr>15l</vt:lpstr>
      <vt:lpstr>15m</vt:lpstr>
      <vt:lpstr>15n</vt:lpstr>
      <vt:lpstr>16</vt:lpstr>
      <vt:lpstr>16a</vt:lpstr>
      <vt:lpstr>17</vt:lpstr>
      <vt:lpstr>17a</vt:lpstr>
      <vt:lpstr>18</vt:lpstr>
      <vt:lpstr>18a</vt:lpstr>
      <vt:lpstr>19</vt:lpstr>
      <vt:lpstr>20</vt:lpstr>
      <vt:lpstr>20a</vt:lpstr>
      <vt:lpstr>21</vt:lpstr>
      <vt:lpstr>22</vt:lpstr>
      <vt:lpstr>22a</vt:lpstr>
      <vt:lpstr>22b</vt:lpstr>
      <vt:lpstr>23</vt:lpstr>
      <vt:lpstr>24</vt:lpstr>
      <vt:lpstr>24a</vt:lpstr>
      <vt:lpstr>24b</vt:lpstr>
      <vt:lpstr>24c</vt:lpstr>
      <vt:lpstr>24d</vt:lpstr>
      <vt:lpstr>24e</vt:lpstr>
      <vt:lpstr>24f</vt:lpstr>
      <vt:lpstr>24g</vt:lpstr>
      <vt:lpstr>24h</vt:lpstr>
      <vt:lpstr>24i</vt:lpstr>
      <vt:lpstr>25</vt:lpstr>
      <vt:lpstr>26</vt:lpstr>
      <vt:lpstr>26a</vt:lpstr>
      <vt:lpstr>27</vt:lpstr>
      <vt:lpstr>27a</vt:lpstr>
      <vt:lpstr>28</vt:lpstr>
      <vt:lpstr>29</vt:lpstr>
      <vt:lpstr>30</vt:lpstr>
      <vt:lpstr>31-Utility1</vt:lpstr>
      <vt:lpstr>32-Utility1</vt:lpstr>
      <vt:lpstr>32a-Utility1</vt:lpstr>
      <vt:lpstr>32b-Utility1</vt:lpstr>
      <vt:lpstr>33-Utility1</vt:lpstr>
      <vt:lpstr>31-Utility2</vt:lpstr>
      <vt:lpstr>32-Utility2</vt:lpstr>
      <vt:lpstr>32a-Utility2</vt:lpstr>
      <vt:lpstr>32b-Utility2</vt:lpstr>
      <vt:lpstr>33-Utility2</vt:lpstr>
      <vt:lpstr>31-Utility3</vt:lpstr>
      <vt:lpstr>32-Utility3</vt:lpstr>
      <vt:lpstr>32a-Utility3</vt:lpstr>
      <vt:lpstr>32b-Utility3</vt:lpstr>
      <vt:lpstr>33-Utility3</vt:lpstr>
      <vt:lpstr>31-Utility4</vt:lpstr>
      <vt:lpstr>32-Utility4</vt:lpstr>
      <vt:lpstr>32a-Utility4</vt:lpstr>
      <vt:lpstr>32b-Utility4</vt:lpstr>
      <vt:lpstr>33-Utility4</vt:lpstr>
      <vt:lpstr>31-Utility5</vt:lpstr>
      <vt:lpstr>32-Utility5</vt:lpstr>
      <vt:lpstr>32a-Utility5</vt:lpstr>
      <vt:lpstr>32b-Utility5</vt:lpstr>
      <vt:lpstr>33-Utility5</vt:lpstr>
      <vt:lpstr>31-Utility6</vt:lpstr>
      <vt:lpstr>32-Utility6</vt:lpstr>
      <vt:lpstr>32a-Utility6</vt:lpstr>
      <vt:lpstr>32b-Utility6</vt:lpstr>
      <vt:lpstr>33-Utility6</vt:lpstr>
      <vt:lpstr>37</vt:lpstr>
      <vt:lpstr>38</vt:lpstr>
      <vt:lpstr>39</vt:lpstr>
      <vt:lpstr>40</vt:lpstr>
      <vt:lpstr>40a</vt:lpstr>
      <vt:lpstr>40b</vt:lpstr>
      <vt:lpstr>40b1</vt:lpstr>
      <vt:lpstr>40b2</vt:lpstr>
      <vt:lpstr>40b3</vt:lpstr>
      <vt:lpstr>40b4</vt:lpstr>
      <vt:lpstr>40b5</vt:lpstr>
      <vt:lpstr>40b6</vt:lpstr>
      <vt:lpstr>40b7</vt:lpstr>
      <vt:lpstr>40b Totals</vt:lpstr>
      <vt:lpstr>40c</vt:lpstr>
      <vt:lpstr>40c1</vt:lpstr>
      <vt:lpstr>40c2</vt:lpstr>
      <vt:lpstr>40c3</vt:lpstr>
      <vt:lpstr>40c4</vt:lpstr>
      <vt:lpstr>40c5</vt:lpstr>
      <vt:lpstr>40c6</vt:lpstr>
      <vt:lpstr>40c7</vt:lpstr>
      <vt:lpstr>40c Totals</vt:lpstr>
      <vt:lpstr>40d</vt:lpstr>
      <vt:lpstr>40d1</vt:lpstr>
      <vt:lpstr>40d2</vt:lpstr>
      <vt:lpstr>40d3</vt:lpstr>
      <vt:lpstr>40d4</vt:lpstr>
      <vt:lpstr>40d5</vt:lpstr>
      <vt:lpstr>40d6</vt:lpstr>
      <vt:lpstr>40d7</vt:lpstr>
      <vt:lpstr>40d Totals</vt:lpstr>
      <vt:lpstr>41</vt:lpstr>
      <vt:lpstr>42</vt:lpstr>
      <vt:lpstr>43</vt:lpstr>
      <vt:lpstr>44</vt:lpstr>
      <vt:lpstr>UEZ</vt:lpstr>
      <vt:lpstr>45</vt:lpstr>
      <vt:lpstr>Expenditures</vt:lpstr>
      <vt:lpstr>LIExpenditures</vt:lpstr>
      <vt:lpstr>Method</vt:lpstr>
      <vt:lpstr>'1'!Print_Area</vt:lpstr>
      <vt:lpstr>'10'!Print_Area</vt:lpstr>
      <vt:lpstr>'10 TOTAL'!Print_Area</vt:lpstr>
      <vt:lpstr>'10a'!Print_Area</vt:lpstr>
      <vt:lpstr>'10b'!Print_Area</vt:lpstr>
      <vt:lpstr>'10c'!Print_Area</vt:lpstr>
      <vt:lpstr>'10d'!Print_Area</vt:lpstr>
      <vt:lpstr>'10e'!Print_Area</vt:lpstr>
      <vt:lpstr>'10f'!Print_Area</vt:lpstr>
      <vt:lpstr>'10g'!Print_Area</vt:lpstr>
      <vt:lpstr>'10h'!Print_Area</vt:lpstr>
      <vt:lpstr>'10i'!Print_Area</vt:lpstr>
      <vt:lpstr>'10j'!Print_Area</vt:lpstr>
      <vt:lpstr>'10k'!Print_Area</vt:lpstr>
      <vt:lpstr>'10l'!Print_Area</vt:lpstr>
      <vt:lpstr>'10m'!Print_Area</vt:lpstr>
      <vt:lpstr>'11'!Print_Area</vt:lpstr>
      <vt:lpstr>'12'!Print_Area</vt:lpstr>
      <vt:lpstr>'13'!Print_Area</vt:lpstr>
      <vt:lpstr>'14'!Print_Area</vt:lpstr>
      <vt:lpstr>'15'!Print_Area</vt:lpstr>
      <vt:lpstr>'15a'!Print_Area</vt:lpstr>
      <vt:lpstr>'15b'!Print_Area</vt:lpstr>
      <vt:lpstr>'15c'!Print_Area</vt:lpstr>
      <vt:lpstr>'15d'!Print_Area</vt:lpstr>
      <vt:lpstr>'15e'!Print_Area</vt:lpstr>
      <vt:lpstr>'15f'!Print_Area</vt:lpstr>
      <vt:lpstr>'15g'!Print_Area</vt:lpstr>
      <vt:lpstr>'15h'!Print_Area</vt:lpstr>
      <vt:lpstr>'15i'!Print_Area</vt:lpstr>
      <vt:lpstr>'15j'!Print_Area</vt:lpstr>
      <vt:lpstr>'15k'!Print_Area</vt:lpstr>
      <vt:lpstr>'15l'!Print_Area</vt:lpstr>
      <vt:lpstr>'15m'!Print_Area</vt:lpstr>
      <vt:lpstr>'15n'!Print_Area</vt:lpstr>
      <vt:lpstr>'16'!Print_Area</vt:lpstr>
      <vt:lpstr>'16a'!Print_Area</vt:lpstr>
      <vt:lpstr>'17'!Print_Area</vt:lpstr>
      <vt:lpstr>'17a'!Print_Area</vt:lpstr>
      <vt:lpstr>'18'!Print_Area</vt:lpstr>
      <vt:lpstr>'18a'!Print_Area</vt:lpstr>
      <vt:lpstr>'19'!Print_Area</vt:lpstr>
      <vt:lpstr>'1a'!Print_Area</vt:lpstr>
      <vt:lpstr>'2% Levy Cap'!Print_Area</vt:lpstr>
      <vt:lpstr>'20'!Print_Area</vt:lpstr>
      <vt:lpstr>'20a'!Print_Area</vt:lpstr>
      <vt:lpstr>'21'!Print_Area</vt:lpstr>
      <vt:lpstr>'22'!Print_Area</vt:lpstr>
      <vt:lpstr>'22a'!Print_Area</vt:lpstr>
      <vt:lpstr>'22b'!Print_Area</vt:lpstr>
      <vt:lpstr>'23'!Print_Area</vt:lpstr>
      <vt:lpstr>'24'!Print_Area</vt:lpstr>
      <vt:lpstr>'24a'!Print_Area</vt:lpstr>
      <vt:lpstr>'24b'!Print_Area</vt:lpstr>
      <vt:lpstr>'24c'!Print_Area</vt:lpstr>
      <vt:lpstr>'24d'!Print_Area</vt:lpstr>
      <vt:lpstr>'24e'!Print_Area</vt:lpstr>
      <vt:lpstr>'24f'!Print_Area</vt:lpstr>
      <vt:lpstr>'24g'!Print_Area</vt:lpstr>
      <vt:lpstr>'24h'!Print_Area</vt:lpstr>
      <vt:lpstr>'24i'!Print_Area</vt:lpstr>
      <vt:lpstr>'25'!Print_Area</vt:lpstr>
      <vt:lpstr>'26'!Print_Area</vt:lpstr>
      <vt:lpstr>'26a'!Print_Area</vt:lpstr>
      <vt:lpstr>'27'!Print_Area</vt:lpstr>
      <vt:lpstr>'27a'!Print_Area</vt:lpstr>
      <vt:lpstr>'28'!Print_Area</vt:lpstr>
      <vt:lpstr>'29'!Print_Area</vt:lpstr>
      <vt:lpstr>'3'!Print_Area</vt:lpstr>
      <vt:lpstr>'30'!Print_Area</vt:lpstr>
      <vt:lpstr>'31-Utility1'!Print_Area</vt:lpstr>
      <vt:lpstr>'31-Utility2'!Print_Area</vt:lpstr>
      <vt:lpstr>'31-Utility3'!Print_Area</vt:lpstr>
      <vt:lpstr>'31-Utility4'!Print_Area</vt:lpstr>
      <vt:lpstr>'31-Utility5'!Print_Area</vt:lpstr>
      <vt:lpstr>'31-Utility6'!Print_Area</vt:lpstr>
      <vt:lpstr>'32a-Utility1'!Print_Area</vt:lpstr>
      <vt:lpstr>'32a-Utility2'!Print_Area</vt:lpstr>
      <vt:lpstr>'32a-Utility3'!Print_Area</vt:lpstr>
      <vt:lpstr>'32a-Utility4'!Print_Area</vt:lpstr>
      <vt:lpstr>'32a-Utility5'!Print_Area</vt:lpstr>
      <vt:lpstr>'32a-Utility6'!Print_Area</vt:lpstr>
      <vt:lpstr>'32b-Utility1'!Print_Area</vt:lpstr>
      <vt:lpstr>'32b-Utility2'!Print_Area</vt:lpstr>
      <vt:lpstr>'32b-Utility3'!Print_Area</vt:lpstr>
      <vt:lpstr>'32b-Utility4'!Print_Area</vt:lpstr>
      <vt:lpstr>'32b-Utility5'!Print_Area</vt:lpstr>
      <vt:lpstr>'32b-Utility6'!Print_Area</vt:lpstr>
      <vt:lpstr>'32-Utility1'!Print_Area</vt:lpstr>
      <vt:lpstr>'32-Utility2'!Print_Area</vt:lpstr>
      <vt:lpstr>'32-Utility3'!Print_Area</vt:lpstr>
      <vt:lpstr>'32-Utility4'!Print_Area</vt:lpstr>
      <vt:lpstr>'32-Utility5'!Print_Area</vt:lpstr>
      <vt:lpstr>'32-Utility6'!Print_Area</vt:lpstr>
      <vt:lpstr>'33-Utility1'!Print_Area</vt:lpstr>
      <vt:lpstr>'33-Utility2'!Print_Area</vt:lpstr>
      <vt:lpstr>'33-Utility3'!Print_Area</vt:lpstr>
      <vt:lpstr>'33-Utility4'!Print_Area</vt:lpstr>
      <vt:lpstr>'33-Utility5'!Print_Area</vt:lpstr>
      <vt:lpstr>'33-Utility6'!Print_Area</vt:lpstr>
      <vt:lpstr>'37'!Print_Area</vt:lpstr>
      <vt:lpstr>'38'!Print_Area</vt:lpstr>
      <vt:lpstr>'39'!Print_Area</vt:lpstr>
      <vt:lpstr>'3a'!Print_Area</vt:lpstr>
      <vt:lpstr>'3d'!Print_Area</vt:lpstr>
      <vt:lpstr>'4'!Print_Area</vt:lpstr>
      <vt:lpstr>'40'!Print_Area</vt:lpstr>
      <vt:lpstr>'40a'!Print_Area</vt:lpstr>
      <vt:lpstr>'40b'!Print_Area</vt:lpstr>
      <vt:lpstr>'40b Totals'!Print_Area</vt:lpstr>
      <vt:lpstr>'40b1'!Print_Area</vt:lpstr>
      <vt:lpstr>'40b2'!Print_Area</vt:lpstr>
      <vt:lpstr>'40b3'!Print_Area</vt:lpstr>
      <vt:lpstr>'40b4'!Print_Area</vt:lpstr>
      <vt:lpstr>'40b5'!Print_Area</vt:lpstr>
      <vt:lpstr>'40b6'!Print_Area</vt:lpstr>
      <vt:lpstr>'40b7'!Print_Area</vt:lpstr>
      <vt:lpstr>'40c'!Print_Area</vt:lpstr>
      <vt:lpstr>'40c Totals'!Print_Area</vt:lpstr>
      <vt:lpstr>'40c1'!Print_Area</vt:lpstr>
      <vt:lpstr>'40c2'!Print_Area</vt:lpstr>
      <vt:lpstr>'40c3'!Print_Area</vt:lpstr>
      <vt:lpstr>'40c4'!Print_Area</vt:lpstr>
      <vt:lpstr>'40c5'!Print_Area</vt:lpstr>
      <vt:lpstr>'40c6'!Print_Area</vt:lpstr>
      <vt:lpstr>'40c7'!Print_Area</vt:lpstr>
      <vt:lpstr>'40d'!Print_Area</vt:lpstr>
      <vt:lpstr>'40d Totals'!Print_Area</vt:lpstr>
      <vt:lpstr>'40d1'!Print_Area</vt:lpstr>
      <vt:lpstr>'40d2'!Print_Area</vt:lpstr>
      <vt:lpstr>'40d3'!Print_Area</vt:lpstr>
      <vt:lpstr>'40d4'!Print_Area</vt:lpstr>
      <vt:lpstr>'40d5'!Print_Area</vt:lpstr>
      <vt:lpstr>'40d6'!Print_Area</vt:lpstr>
      <vt:lpstr>'40d7'!Print_Area</vt:lpstr>
      <vt:lpstr>'41'!Print_Area</vt:lpstr>
      <vt:lpstr>'43'!Print_Area</vt:lpstr>
      <vt:lpstr>'44'!Print_Area</vt:lpstr>
      <vt:lpstr>'45'!Print_Area</vt:lpstr>
      <vt:lpstr>'4a'!Print_Area</vt:lpstr>
      <vt:lpstr>'4b'!Print_Area</vt:lpstr>
      <vt:lpstr>'4c'!Print_Area</vt:lpstr>
      <vt:lpstr>'5'!Print_Area</vt:lpstr>
      <vt:lpstr>'6'!Print_Area</vt:lpstr>
      <vt:lpstr>'7'!Print_Area</vt:lpstr>
      <vt:lpstr>'7a'!Print_Area</vt:lpstr>
      <vt:lpstr>'7b'!Print_Area</vt:lpstr>
      <vt:lpstr>'8'!Print_Area</vt:lpstr>
      <vt:lpstr>'9'!Print_Area</vt:lpstr>
      <vt:lpstr>'9 TOTAL'!Print_Area</vt:lpstr>
      <vt:lpstr>'9a'!Print_Area</vt:lpstr>
      <vt:lpstr>'9b'!Print_Area</vt:lpstr>
      <vt:lpstr>'9c'!Print_Area</vt:lpstr>
      <vt:lpstr>'9d'!Print_Area</vt:lpstr>
      <vt:lpstr>'9e'!Print_Area</vt:lpstr>
      <vt:lpstr>'9f'!Print_Area</vt:lpstr>
      <vt:lpstr>'9g'!Print_Area</vt:lpstr>
      <vt:lpstr>'9h'!Print_Area</vt:lpstr>
      <vt:lpstr>Advertisement!Print_Area</vt:lpstr>
      <vt:lpstr>'App. CAP'!Print_Area</vt:lpstr>
      <vt:lpstr>'Budget Projection'!Print_Area</vt:lpstr>
      <vt:lpstr>'Budget Summary'!Print_Area</vt:lpstr>
      <vt:lpstr>'Health Ins.'!Print_Area</vt:lpstr>
      <vt:lpstr>Instructions!Print_Area</vt:lpstr>
      <vt:lpstr>'Key Inputs'!Print_Area</vt:lpstr>
      <vt:lpstr>'Reserve &amp; Tax Calculation'!Print_Area</vt:lpstr>
      <vt:lpstr>'Sheet A'!Print_Area</vt:lpstr>
      <vt:lpstr>'Summary Data'!Print_Area</vt:lpstr>
      <vt:lpstr>'Tax Summary'!Print_Area</vt:lpstr>
      <vt:lpstr>UEZ!Print_Area</vt:lpstr>
      <vt:lpstr>Revenues</vt:lpstr>
      <vt:lpstr>'Budget Projection'!SeventeenA</vt:lpstr>
      <vt:lpstr>SeventeenA</vt:lpstr>
      <vt:lpstr>Summary</vt:lpstr>
      <vt:lpstr>'Budget Projection'!Twenty_Five</vt:lpstr>
      <vt:lpstr>Twenty_Five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DLGS@dca.nj.gov</dc:creator>
  <cp:lastModifiedBy>Greenwich Township</cp:lastModifiedBy>
  <cp:lastPrinted>2021-03-24T18:48:53Z</cp:lastPrinted>
  <dcterms:created xsi:type="dcterms:W3CDTF">1999-02-11T21:20:25Z</dcterms:created>
  <dcterms:modified xsi:type="dcterms:W3CDTF">2021-05-02T21:43:47Z</dcterms:modified>
</cp:coreProperties>
</file>